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Weekly Planner" sheetId="3" r:id="rId3"/>
    <sheet name="Monthly Planner" sheetId="4" r:id="rId4"/>
    <sheet name="Settings" sheetId="5" r:id="rId5"/>
    <sheet name="Lists" sheetId="6" r:id="rId6"/>
    <sheet name="Household" sheetId="7" r:id="rId7"/>
    <sheet name="Recipes" sheetId="8" r:id="rId8"/>
    <sheet name="Recipe Ingredients" sheetId="9" r:id="rId9"/>
    <sheet name="Ingredients" sheetId="10" r:id="rId10"/>
    <sheet name="Meal Plan" sheetId="11" r:id="rId11"/>
    <sheet name="Grocery List" sheetId="12" r:id="rId12"/>
    <sheet name="Pantry" sheetId="13" r:id="rId13"/>
    <sheet name="Staples" sheetId="14" r:id="rId14"/>
    <sheet name="Leftovers" sheetId="15" r:id="rId15"/>
    <sheet name="Food Waste" sheetId="16" r:id="rId16"/>
    <sheet name="Meal Prep" sheetId="17" r:id="rId17"/>
    <sheet name="Dietary Filters" sheetId="18" r:id="rId18"/>
    <sheet name="Nutrition" sheetId="19" r:id="rId19"/>
    <sheet name="Budget" sheetId="20" r:id="rId20"/>
    <sheet name="Recipe Costs" sheetId="21" r:id="rId21"/>
    <sheet name="Converter" sheetId="22" r:id="rId22"/>
    <sheet name="Rotation" sheetId="23" r:id="rId23"/>
    <sheet name="Food Safety" sheetId="24" r:id="rId24"/>
    <sheet name="Fridge &amp; Freezer" sheetId="25" r:id="rId25"/>
    <sheet name="Grocery Spending" sheetId="26" r:id="rId26"/>
    <sheet name="Store Prices" sheetId="27" r:id="rId27"/>
    <sheet name="Stores" sheetId="28" r:id="rId28"/>
    <sheet name="Events" sheetId="29" r:id="rId29"/>
    <sheet name="Goals" sheetId="30" r:id="rId30"/>
    <sheet name="Sustainability" sheetId="31" r:id="rId31"/>
    <sheet name="Reports" sheetId="32" r:id="rId32"/>
    <sheet name="Print Week" sheetId="33" r:id="rId33"/>
    <sheet name="Print Shopping" sheetId="34" r:id="rId34"/>
    <sheet name="Print Recipe" sheetId="35" r:id="rId35"/>
    <sheet name="Help" sheetId="36" r:id="rId36"/>
  </sheets>
  <definedNames>
    <definedName name="_xlnm._FilterDatabase" localSheetId="19" hidden="1">Budget!$A$16:$O$76</definedName>
    <definedName name="_xlnm._FilterDatabase" localSheetId="21" hidden="1">Converter!$A$22:$H$62</definedName>
    <definedName name="_xlnm._FilterDatabase" localSheetId="17" hidden="1">'Dietary Filters'!$A$4:$J$104</definedName>
    <definedName name="_xlnm._FilterDatabase" localSheetId="28" hidden="1">Events!$A$4:$W$44</definedName>
    <definedName name="_xlnm._FilterDatabase" localSheetId="23" hidden="1">'Food Safety'!$A$4:$K$64</definedName>
    <definedName name="_xlnm._FilterDatabase" localSheetId="15" hidden="1">'Food Waste'!$A$4:$T$154</definedName>
    <definedName name="_xlnm._FilterDatabase" localSheetId="24" hidden="1">'Fridge &amp; Freezer'!$A$4:$Q$154</definedName>
    <definedName name="_xlnm._FilterDatabase" localSheetId="29" hidden="1">Goals!$A$14:$L$54</definedName>
    <definedName name="_xlnm._FilterDatabase" localSheetId="11" hidden="1">'Grocery List'!$A$4:$AA$304</definedName>
    <definedName name="_xlnm._FilterDatabase" localSheetId="25" hidden="1">'Grocery Spending'!$A$4:$V$404</definedName>
    <definedName name="_xlnm._FilterDatabase" localSheetId="6" hidden="1">Household!$A$4:$L$16</definedName>
    <definedName name="_xlnm._FilterDatabase" localSheetId="9" hidden="1">Ingredients!$A$4:$AN$304</definedName>
    <definedName name="_xlnm._FilterDatabase" localSheetId="14" hidden="1">Leftovers!$A$4:$S$124</definedName>
    <definedName name="_xlnm._FilterDatabase" localSheetId="5" hidden="1">Lists!$A$4:$J$44</definedName>
    <definedName name="_xlnm._FilterDatabase" localSheetId="10" hidden="1">'Meal Plan'!$A$4:$AG$504</definedName>
    <definedName name="_xlnm._FilterDatabase" localSheetId="16" hidden="1">'Meal Prep'!$A$4:$X$124</definedName>
    <definedName name="_xlnm._FilterDatabase" localSheetId="18" hidden="1">Nutrition!$A$18:$X$138</definedName>
    <definedName name="_xlnm._FilterDatabase" localSheetId="12" hidden="1">Pantry!$A$4:$Z$304</definedName>
    <definedName name="_xlnm._FilterDatabase" localSheetId="20" hidden="1">'Recipe Costs'!$A$4:$R$204</definedName>
    <definedName name="_xlnm._FilterDatabase" localSheetId="8" hidden="1">'Recipe Ingredients'!$A$4:$AD$1204</definedName>
    <definedName name="_xlnm._FilterDatabase" localSheetId="7" hidden="1">Recipes!$A$4:$AY$204</definedName>
    <definedName name="_xlnm._FilterDatabase" localSheetId="22" hidden="1">Rotation!$A$4:$O$204</definedName>
    <definedName name="_xlnm._FilterDatabase" localSheetId="13" hidden="1">Staples!$A$4:$S$104</definedName>
    <definedName name="_xlnm._FilterDatabase" localSheetId="26" hidden="1">'Store Prices'!$A$4:$Q$304</definedName>
    <definedName name="_xlnm._FilterDatabase" localSheetId="27" hidden="1">Stores!$A$4:$W$44</definedName>
    <definedName name="_xlnm._FilterDatabase" localSheetId="30" hidden="1">Sustainability!$A$4:$Q$28</definedName>
    <definedName name="Annual_Budget">Settings!$B$21</definedName>
    <definedName name="Calorie_Target">Settings!$B$26</definedName>
    <definedName name="Carb_Target">Settings!$B$28</definedName>
    <definedName name="Category_List">OFFSET('Lists'!$C$5,0,0,MAX(1,COUNTIF('Lists'!$C$5:$C$44,"?*")),1)</definedName>
    <definedName name="Cuisine_List">OFFSET('Lists'!$D$5,0,0,MAX(1,COUNTIF('Lists'!$D$5:$D$44,"?*")),1)</definedName>
    <definedName name="Currency_Code">Settings!$B$14</definedName>
    <definedName name="Currency_Symbol">Settings!$B$13</definedName>
    <definedName name="Default_Servings">Settings!$B$10</definedName>
    <definedName name="Diet_List">OFFSET('Lists'!$G$5,0,0,MAX(1,COUNTIF('Lists'!$G$5:$G$44,"?*")),1)</definedName>
    <definedName name="Eating_Out_Budget">Settings!$B$22</definedName>
    <definedName name="Expiry_Warning_Days">Settings!$B$36</definedName>
    <definedName name="Fat_Target">Settings!$B$29</definedName>
    <definedName name="Fibre_Target">Settings!$B$30</definedName>
    <definedName name="Freezer_Review_Days">Settings!$B$38</definedName>
    <definedName name="Grocery_Items">OFFSET('Grocery List'!$A$5,0,0,MAX(1,COUNTIF('Grocery List'!$A$5:$A$304,"?*")),1)</definedName>
    <definedName name="Home_Cooked_Target">Settings!$B$44</definedName>
    <definedName name="Household_Name">Settings!$B$6</definedName>
    <definedName name="Household_Size">Settings!$B$7</definedName>
    <definedName name="Ingredient_Names">OFFSET('Ingredients'!$A$5,0,0,MAX(1,COUNTIF('Ingredients'!$A$5:$A$304,"?*")),1)</definedName>
    <definedName name="Leftover_Items">OFFSET('Leftovers'!$B$5,0,0,MAX(1,COUNTIF('Leftovers'!$B$5:$B$124,"?*")),1)</definedName>
    <definedName name="Leftover_Safe_Days">Settings!$B$37</definedName>
    <definedName name="Low_Stock_Days">Settings!$B$39</definedName>
    <definedName name="Meal_Slots">OFFSET('Lists'!$A$5,0,0,MAX(1,COUNTIF('Lists'!$A$5:$A$44,"?*")),1)</definedName>
    <definedName name="Measurement_System">Settings!$B$12</definedName>
    <definedName name="Monthly_Budget">Settings!$B$20</definedName>
    <definedName name="New_Recipe_Target">Settings!$B$45</definedName>
    <definedName name="Packed_Lunch_Target">Settings!$B$47</definedName>
    <definedName name="Pantry_Items">OFFSET('Pantry'!$A$5,0,0,MAX(1,COUNTIF('Pantry'!$A$5:$A$304,"?*")),1)</definedName>
    <definedName name="Plan_Cook">Settings!$B$8</definedName>
    <definedName name="Plan_Month">Dashboard!$F$6</definedName>
    <definedName name="Plan_Week">Dashboard!$C$6</definedName>
    <definedName name="Plan_Year">Settings!$B$9</definedName>
    <definedName name="Prep_Day">Settings!$B$16</definedName>
    <definedName name="Prep_Reminder_Days">Settings!$B$40</definedName>
    <definedName name="_xlnm.Print_Area" localSheetId="19">Budget!$A$1:$O$76</definedName>
    <definedName name="_xlnm.Print_Area" localSheetId="21">Converter!$A$1:$H$62</definedName>
    <definedName name="_xlnm.Print_Area" localSheetId="1">Dashboard!$A$1:$R$62</definedName>
    <definedName name="_xlnm.Print_Area" localSheetId="17">'Dietary Filters'!$A$1:$J$104</definedName>
    <definedName name="_xlnm.Print_Area" localSheetId="28">Events!$A$1:$W$44</definedName>
    <definedName name="_xlnm.Print_Area" localSheetId="23">'Food Safety'!$A$1:$K$64</definedName>
    <definedName name="_xlnm.Print_Area" localSheetId="15">'Food Waste'!$A$1:$T$154</definedName>
    <definedName name="_xlnm.Print_Area" localSheetId="24">'Fridge &amp; Freezer'!$A$1:$Q$154</definedName>
    <definedName name="_xlnm.Print_Area" localSheetId="29">Goals!$A$1:$L$54</definedName>
    <definedName name="_xlnm.Print_Area" localSheetId="11">'Grocery List'!$A$1:$AA$304</definedName>
    <definedName name="_xlnm.Print_Area" localSheetId="25">'Grocery Spending'!$A$1:$V$404</definedName>
    <definedName name="_xlnm.Print_Area" localSheetId="35">Help!$A$1:$C$36</definedName>
    <definedName name="_xlnm.Print_Area" localSheetId="6">Household!$A$1:$L$16</definedName>
    <definedName name="_xlnm.Print_Area" localSheetId="9">Ingredients!$A$1:$AN$304</definedName>
    <definedName name="_xlnm.Print_Area" localSheetId="14">Leftovers!$A$1:$S$124</definedName>
    <definedName name="_xlnm.Print_Area" localSheetId="5">Lists!$A$1:$J$44</definedName>
    <definedName name="_xlnm.Print_Area" localSheetId="10">'Meal Plan'!$A$1:$AG$504</definedName>
    <definedName name="_xlnm.Print_Area" localSheetId="16">'Meal Prep'!$A$1:$X$124</definedName>
    <definedName name="_xlnm.Print_Area" localSheetId="3">'Monthly Planner'!$A$1:$J$15</definedName>
    <definedName name="_xlnm.Print_Area" localSheetId="18">Nutrition!$A$1:$X$138</definedName>
    <definedName name="_xlnm.Print_Area" localSheetId="12">Pantry!$A$1:$Z$304</definedName>
    <definedName name="_xlnm.Print_Area" localSheetId="34">'Print Recipe'!$A$1:$F$59</definedName>
    <definedName name="_xlnm.Print_Area" localSheetId="33">'Print Shopping'!$A$1:$I$65</definedName>
    <definedName name="_xlnm.Print_Area" localSheetId="32">'Print Week'!$A$1:$J$12</definedName>
    <definedName name="_xlnm.Print_Area" localSheetId="20">'Recipe Costs'!$A$1:$R$204</definedName>
    <definedName name="_xlnm.Print_Area" localSheetId="8">'Recipe Ingredients'!$A$1:$AD$1204</definedName>
    <definedName name="_xlnm.Print_Area" localSheetId="7">Recipes!$A$1:$AY$204</definedName>
    <definedName name="_xlnm.Print_Area" localSheetId="31">Reports!$A$1:$E$79</definedName>
    <definedName name="_xlnm.Print_Area" localSheetId="22">Rotation!$A$1:$O$204</definedName>
    <definedName name="_xlnm.Print_Area" localSheetId="4">Settings!$A$1:$C$50</definedName>
    <definedName name="_xlnm.Print_Area" localSheetId="13">Staples!$A$1:$S$104</definedName>
    <definedName name="_xlnm.Print_Area" localSheetId="0">'Start Here'!$A$1:$D$65</definedName>
    <definedName name="_xlnm.Print_Area" localSheetId="26">'Store Prices'!$A$1:$Q$304</definedName>
    <definedName name="_xlnm.Print_Area" localSheetId="27">Stores!$A$1:$W$44</definedName>
    <definedName name="_xlnm.Print_Area" localSheetId="30">Sustainability!$A$1:$Q$28</definedName>
    <definedName name="_xlnm.Print_Area" localSheetId="2">'Weekly Planner'!$A$1:$K$16</definedName>
    <definedName name="Print_List_Store">'Print Shopping'!$B$3</definedName>
    <definedName name="Print_Recipe_Title">'Print Recipe'!$B$3</definedName>
    <definedName name="_xlnm.Print_Titles" localSheetId="19">Budget!$1:$16</definedName>
    <definedName name="_xlnm.Print_Titles" localSheetId="21">Converter!$1:$22</definedName>
    <definedName name="_xlnm.Print_Titles" localSheetId="17">'Dietary Filters'!$1:$4</definedName>
    <definedName name="_xlnm.Print_Titles" localSheetId="28">Events!$1:$4</definedName>
    <definedName name="_xlnm.Print_Titles" localSheetId="23">'Food Safety'!$1:$4</definedName>
    <definedName name="_xlnm.Print_Titles" localSheetId="15">'Food Waste'!$1:$4</definedName>
    <definedName name="_xlnm.Print_Titles" localSheetId="24">'Fridge &amp; Freezer'!$1:$4</definedName>
    <definedName name="_xlnm.Print_Titles" localSheetId="29">Goals!$1:$14</definedName>
    <definedName name="_xlnm.Print_Titles" localSheetId="11">'Grocery List'!$1:$4</definedName>
    <definedName name="_xlnm.Print_Titles" localSheetId="25">'Grocery Spending'!$1:$4</definedName>
    <definedName name="_xlnm.Print_Titles" localSheetId="6">Household!$1:$4</definedName>
    <definedName name="_xlnm.Print_Titles" localSheetId="9">Ingredients!$1:$4</definedName>
    <definedName name="_xlnm.Print_Titles" localSheetId="14">Leftovers!$1:$4</definedName>
    <definedName name="_xlnm.Print_Titles" localSheetId="5">Lists!$1:$4</definedName>
    <definedName name="_xlnm.Print_Titles" localSheetId="10">'Meal Plan'!$1:$4</definedName>
    <definedName name="_xlnm.Print_Titles" localSheetId="16">'Meal Prep'!$1:$4</definedName>
    <definedName name="_xlnm.Print_Titles" localSheetId="3">'Monthly Planner'!$1:$8</definedName>
    <definedName name="_xlnm.Print_Titles" localSheetId="18">Nutrition!$1:$18</definedName>
    <definedName name="_xlnm.Print_Titles" localSheetId="12">Pantry!$1:$4</definedName>
    <definedName name="_xlnm.Print_Titles" localSheetId="20">'Recipe Costs'!$1:$4</definedName>
    <definedName name="_xlnm.Print_Titles" localSheetId="8">'Recipe Ingredients'!$1:$4</definedName>
    <definedName name="_xlnm.Print_Titles" localSheetId="7">Recipes!$1:$4</definedName>
    <definedName name="_xlnm.Print_Titles" localSheetId="22">Rotation!$1:$4</definedName>
    <definedName name="_xlnm.Print_Titles" localSheetId="13">Staples!$1:$4</definedName>
    <definedName name="_xlnm.Print_Titles" localSheetId="26">'Store Prices'!$1:$4</definedName>
    <definedName name="_xlnm.Print_Titles" localSheetId="27">Stores!$1:$4</definedName>
    <definedName name="_xlnm.Print_Titles" localSheetId="30">Sustainability!$1:$4</definedName>
    <definedName name="_xlnm.Print_Titles" localSheetId="2">'Weekly Planner'!$1:$8</definedName>
    <definedName name="Print_Week_Start">'Print Week'!$B$3</definedName>
    <definedName name="Protein_Target">Settings!$B$27</definedName>
    <definedName name="Recipe_Category_List">OFFSET('Lists'!$J$5,0,0,MAX(1,COUNTIF('Lists'!$J$5:$J$44,"?*")),1)</definedName>
    <definedName name="Recipe_Titles">OFFSET('Recipes'!$A$5,0,0,MAX(1,COUNTIF('Recipes'!$A$5:$A$204,"?*")),1)</definedName>
    <definedName name="Rep_From">Reports!$B$6</definedName>
    <definedName name="Rep_To">Reports!$B$7</definedName>
    <definedName name="Rotation_Gap_Days">Settings!$B$41</definedName>
    <definedName name="Shopping_Day">Settings!$B$15</definedName>
    <definedName name="Sodium_Limit">Settings!$B$32</definedName>
    <definedName name="Status_List">OFFSET('Lists'!$H$5,0,0,MAX(1,COUNTIF('Lists'!$H$5:$H$44,"?*")),1)</definedName>
    <definedName name="Store_List">OFFSET('Lists'!$F$5,0,0,MAX(1,COUNTIF('Lists'!$F$5:$F$44,"?*")),1)</definedName>
    <definedName name="Sugar_Limit">Settings!$B$31</definedName>
    <definedName name="Tag_List">OFFSET('Lists'!$E$5,0,0,MAX(1,COUNTIF('Lists'!$E$5:$E$44,"?*")),1)</definedName>
    <definedName name="Takeaway_Limit">Settings!$B$46</definedName>
    <definedName name="Top_Rows">Settings!$B$49</definedName>
    <definedName name="Unit_List">OFFSET('Lists'!$B$5,0,0,MAX(1,COUNTIF('Lists'!$B$5:$B$44,"?*")),1)</definedName>
    <definedName name="Waste_Cost_Target">Settings!$B$23</definedName>
    <definedName name="Waste_Reduction_Target">Settings!$B$48</definedName>
    <definedName name="Water_Target">Settings!$B$33</definedName>
    <definedName name="Week_Start_Day">Settings!$B$11</definedName>
    <definedName name="Weekly_Budget">Settings!$B$19</definedName>
  </definedNames>
  <calcPr calcId="124519" fullCalcOnLoad="1"/>
</workbook>
</file>

<file path=xl/comments1.xml><?xml version="1.0" encoding="utf-8"?>
<comments xmlns="http://schemas.openxmlformats.org/spreadsheetml/2006/main">
  <authors>
    <author/>
  </authors>
  <commentList>
    <comment ref="A4" authorId="0">
      <text>
        <r>
          <rPr>
            <sz val="8"/>
            <color indexed="81"/>
            <rFont val="Tahoma"/>
            <family val="2"/>
          </rPr>
          <t>Breakfast, lunch, dinner and the snacks in between.</t>
        </r>
      </text>
    </comment>
    <comment ref="B4" authorId="0">
      <text>
        <r>
          <rPr>
            <sz val="8"/>
            <color indexed="81"/>
            <rFont val="Tahoma"/>
            <family val="2"/>
          </rPr>
          <t>Measurement units used by recipes and the pantry.</t>
        </r>
      </text>
    </comment>
    <comment ref="C4" authorId="0">
      <text>
        <r>
          <rPr>
            <sz val="8"/>
            <color indexed="81"/>
            <rFont val="Tahoma"/>
            <family val="2"/>
          </rPr>
          <t>Aisle / section of the shop.</t>
        </r>
      </text>
    </comment>
    <comment ref="D4" authorId="0">
      <text>
        <r>
          <rPr>
            <sz val="8"/>
            <color indexed="81"/>
            <rFont val="Tahoma"/>
            <family val="2"/>
          </rPr>
          <t>Used for variety reporting and rotation rules.</t>
        </r>
      </text>
    </comment>
    <comment ref="E4" authorId="0">
      <text>
        <r>
          <rPr>
            <sz val="8"/>
            <color indexed="81"/>
            <rFont val="Tahoma"/>
            <family val="2"/>
          </rPr>
          <t>Recipe tags: quick, one pot, batch cook ...</t>
        </r>
      </text>
    </comment>
    <comment ref="F4" authorId="0">
      <text>
        <r>
          <rPr>
            <sz val="8"/>
            <color indexed="81"/>
            <rFont val="Tahoma"/>
            <family val="2"/>
          </rPr>
          <t>Where you shop. Also drives the store reports.</t>
        </r>
      </text>
    </comment>
    <comment ref="G4" authorId="0">
      <text>
        <r>
          <rPr>
            <sz val="8"/>
            <color indexed="81"/>
            <rFont val="Tahoma"/>
            <family val="2"/>
          </rPr>
          <t>Household dietary filters.</t>
        </r>
      </text>
    </comment>
    <comment ref="H4" authorId="0">
      <text>
        <r>
          <rPr>
            <sz val="8"/>
            <color indexed="81"/>
            <rFont val="Tahoma"/>
            <family val="2"/>
          </rPr>
          <t>Meal plan status values.</t>
        </r>
      </text>
    </comment>
    <comment ref="J4" authorId="0">
      <text>
        <r>
          <rPr>
            <sz val="8"/>
            <color indexed="81"/>
            <rFont val="Tahoma"/>
            <family val="2"/>
          </rPr>
          <t>What kind of meal it is, as opposed to which aisle the ingredients come from.</t>
        </r>
      </text>
    </comment>
  </commentList>
</comments>
</file>

<file path=xl/comments2.xml><?xml version="1.0" encoding="utf-8"?>
<comments xmlns="http://schemas.openxmlformats.org/spreadsheetml/2006/main">
  <authors>
    <author/>
  </authors>
  <commentList>
    <comment ref="A4" authorId="0">
      <text>
        <r>
          <rPr>
            <sz val="8"/>
            <color indexed="81"/>
            <rFont val="Tahoma"/>
            <family val="2"/>
          </rPr>
          <t>Name or initials - whatever you will recognise.</t>
        </r>
      </text>
    </comment>
    <comment ref="E4" authorId="0">
      <text>
        <r>
          <rPr>
            <sz val="8"/>
            <color indexed="81"/>
            <rFont val="Tahoma"/>
            <family val="2"/>
          </rPr>
          <t>Free text. Anything listed here is checked against the Dietary Filters tab.</t>
        </r>
      </text>
    </comment>
    <comment ref="I4" authorId="0">
      <text>
        <r>
          <rPr>
            <sz val="8"/>
            <color indexed="81"/>
            <rFont val="Tahoma"/>
            <family val="2"/>
          </rPr>
          <t>Portions this person takes from a shared meal.</t>
        </r>
      </text>
    </comment>
  </commentList>
</comments>
</file>

<file path=xl/comments3.xml><?xml version="1.0" encoding="utf-8"?>
<comments xmlns="http://schemas.openxmlformats.org/spreadsheetml/2006/main">
  <authors>
    <author/>
  </authors>
  <commentList>
    <comment ref="A4" authorId="0">
      <text>
        <r>
          <rPr>
            <sz val="8"/>
            <color indexed="81"/>
            <rFont val="Tahoma"/>
            <family val="2"/>
          </rPr>
          <t>The recipe name. Spell it the same way everywhere else.</t>
        </r>
      </text>
    </comment>
    <comment ref="D4" authorId="0">
      <text>
        <r>
          <rPr>
            <sz val="8"/>
            <color indexed="81"/>
            <rFont val="Tahoma"/>
            <family val="2"/>
          </rPr>
          <t>How many people this recipe feeds as written.</t>
        </r>
      </text>
    </comment>
    <comment ref="H4" authorId="0">
      <text>
        <r>
          <rPr>
            <sz val="8"/>
            <color indexed="81"/>
            <rFont val="Tahoma"/>
            <family val="2"/>
          </rPr>
          <t>Per serving.</t>
        </r>
      </text>
    </comment>
    <comment ref="AM4" authorId="0">
      <text>
        <r>
          <rPr>
            <sz val="8"/>
            <color indexed="81"/>
            <rFont val="Tahoma"/>
            <family val="2"/>
          </rPr>
          <t>When you added the recipe - used by the 'new recipes tried' counter.</t>
        </r>
      </text>
    </comment>
  </commentList>
</comments>
</file>

<file path=xl/comments4.xml><?xml version="1.0" encoding="utf-8"?>
<comments xmlns="http://schemas.openxmlformats.org/spreadsheetml/2006/main">
  <authors>
    <author/>
  </authors>
  <commentList>
    <comment ref="A4" authorId="0">
      <text>
        <r>
          <rPr>
            <sz val="8"/>
            <color indexed="81"/>
            <rFont val="Tahoma"/>
            <family val="2"/>
          </rPr>
          <t>Pick the recipe this ingredient belongs to.</t>
        </r>
      </text>
    </comment>
    <comment ref="B4" authorId="0">
      <text>
        <r>
          <rPr>
            <sz val="8"/>
            <color indexed="81"/>
            <rFont val="Tahoma"/>
            <family val="2"/>
          </rPr>
          <t>Must match a name on the Ingredients tab exactly.</t>
        </r>
      </text>
    </comment>
    <comment ref="T4" authorId="0">
      <text>
        <r>
          <rPr>
            <sz val="8"/>
            <color indexed="81"/>
            <rFont val="Tahoma"/>
            <family val="2"/>
          </rPr>
          <t>Size of the pack you buy, in the same unit as the quantity.</t>
        </r>
      </text>
    </comment>
    <comment ref="X4" authorId="0">
      <text>
        <r>
          <rPr>
            <sz val="8"/>
            <color indexed="81"/>
            <rFont val="Tahoma"/>
            <family val="2"/>
          </rPr>
          <t>Peel, trim and spillage as a share of the quantity.</t>
        </r>
      </text>
    </comment>
  </commentList>
</comments>
</file>

<file path=xl/comments5.xml><?xml version="1.0" encoding="utf-8"?>
<comments xmlns="http://schemas.openxmlformats.org/spreadsheetml/2006/main">
  <authors>
    <author/>
  </authors>
  <commentList>
    <comment ref="A4" authorId="0">
      <text>
        <r>
          <rPr>
            <sz val="8"/>
            <color indexed="81"/>
            <rFont val="Tahoma"/>
            <family val="2"/>
          </rPr>
          <t>The name used everywhere else. Keep the spelling identical on every tab.</t>
        </r>
      </text>
    </comment>
    <comment ref="C4" authorId="0">
      <text>
        <r>
          <rPr>
            <sz val="8"/>
            <color indexed="81"/>
            <rFont val="Tahoma"/>
            <family val="2"/>
          </rPr>
          <t>The unit the price and the nutrition are quoted in.</t>
        </r>
      </text>
    </comment>
    <comment ref="M4" authorId="0">
      <text>
        <r>
          <rPr>
            <sz val="8"/>
            <color indexed="81"/>
            <rFont val="Tahoma"/>
            <family val="2"/>
          </rPr>
          <t>Used to work out expiry dates on the Pantry tab.</t>
        </r>
      </text>
    </comment>
    <comment ref="O4" authorId="0">
      <text>
        <r>
          <rPr>
            <sz val="8"/>
            <color indexed="81"/>
            <rFont val="Tahoma"/>
            <family val="2"/>
          </rPr>
          <t>Yes = you buy it every week, so it is re-added to the grocery list automatically.</t>
        </r>
      </text>
    </comment>
    <comment ref="R4" authorId="0">
      <text>
        <r>
          <rPr>
            <sz val="8"/>
            <color indexed="81"/>
            <rFont val="Tahoma"/>
            <family val="2"/>
          </rPr>
          <t>Free text: nuts, dairy, gluten ...</t>
        </r>
      </text>
    </comment>
  </commentList>
</comments>
</file>

<file path=xl/comments6.xml><?xml version="1.0" encoding="utf-8"?>
<comments xmlns="http://schemas.openxmlformats.org/spreadsheetml/2006/main">
  <authors>
    <author/>
  </authors>
  <commentList>
    <comment ref="A4" authorId="0">
      <text>
        <r>
          <rPr>
            <sz val="8"/>
            <color indexed="81"/>
            <rFont val="Tahoma"/>
            <family val="2"/>
          </rPr>
          <t>Anything you like - 'W34-D1' is a good pattern.</t>
        </r>
      </text>
    </comment>
    <comment ref="H4" authorId="0">
      <text>
        <r>
          <rPr>
            <sz val="8"/>
            <color indexed="81"/>
            <rFont val="Tahoma"/>
            <family val="2"/>
          </rPr>
          <t>How many portions to cook. Leave blank to cook the recipe as written.</t>
        </r>
      </text>
    </comment>
    <comment ref="V4" authorId="0">
      <text>
        <r>
          <rPr>
            <sz val="8"/>
            <color indexed="81"/>
            <rFont val="Tahoma"/>
            <family val="2"/>
          </rPr>
          <t>If this meal is leftovers, name the recipe they came from.</t>
        </r>
      </text>
    </comment>
  </commentList>
</comments>
</file>

<file path=xl/comments7.xml><?xml version="1.0" encoding="utf-8"?>
<comments xmlns="http://schemas.openxmlformats.org/spreadsheetml/2006/main">
  <authors>
    <author/>
  </authors>
  <commentList>
    <comment ref="A4" authorId="0">
      <text>
        <r>
          <rPr>
            <sz val="8"/>
            <color indexed="81"/>
            <rFont val="Tahoma"/>
            <family val="2"/>
          </rPr>
          <t>Must match an ingredient name on the Ingredients tab.</t>
        </r>
      </text>
    </comment>
    <comment ref="F4" authorId="0">
      <text>
        <r>
          <rPr>
            <sz val="8"/>
            <color indexed="81"/>
            <rFont val="Tahoma"/>
            <family val="2"/>
          </rPr>
          <t>Your shop's aisle, so the printed list walks the store in order.</t>
        </r>
      </text>
    </comment>
    <comment ref="W4" authorId="0">
      <text>
        <r>
          <rPr>
            <sz val="8"/>
            <color indexed="81"/>
            <rFont val="Tahoma"/>
            <family val="2"/>
          </rPr>
          <t>Which week this line belongs to.</t>
        </r>
      </text>
    </comment>
  </commentList>
</comments>
</file>

<file path=xl/comments8.xml><?xml version="1.0" encoding="utf-8"?>
<comments xmlns="http://schemas.openxmlformats.org/spreadsheetml/2006/main">
  <authors>
    <author/>
  </authors>
  <commentList>
    <comment ref="A4" authorId="0">
      <text>
        <r>
          <rPr>
            <sz val="8"/>
            <color indexed="81"/>
            <rFont val="Tahoma"/>
            <family val="2"/>
          </rPr>
          <t>Must match a name on the Ingredients tab.</t>
        </r>
      </text>
    </comment>
    <comment ref="G4" authorId="0">
      <text>
        <r>
          <rPr>
            <sz val="8"/>
            <color indexed="81"/>
            <rFont val="Tahoma"/>
            <family val="2"/>
          </rPr>
          <t>Fill this in when you open a jar or a pack.</t>
        </r>
      </text>
    </comment>
    <comment ref="W4" authorId="0">
      <text>
        <r>
          <rPr>
            <sz val="8"/>
            <color indexed="81"/>
            <rFont val="Tahoma"/>
            <family val="2"/>
          </rPr>
          <t>e.g. 2 portions, half a tub.</t>
        </r>
      </text>
    </comment>
  </commentList>
</comments>
</file>

<file path=xl/comments9.xml><?xml version="1.0" encoding="utf-8"?>
<comments xmlns="http://schemas.openxmlformats.org/spreadsheetml/2006/main">
  <authors>
    <author/>
  </authors>
  <commentList>
    <comment ref="A4" authorId="0">
      <text>
        <r>
          <rPr>
            <sz val="8"/>
            <color indexed="81"/>
            <rFont val="Tahoma"/>
            <family val="2"/>
          </rPr>
          <t>Must match a name on the Ingredients tab.</t>
        </r>
      </text>
    </comment>
    <comment ref="D4" authorId="0">
      <text>
        <r>
          <rPr>
            <sz val="8"/>
            <color indexed="81"/>
            <rFont val="Tahoma"/>
            <family val="2"/>
          </rPr>
          <t>How much you buy each time.</t>
        </r>
      </text>
    </comment>
    <comment ref="I4" authorId="0">
      <text>
        <r>
          <rPr>
            <sz val="8"/>
            <color indexed="81"/>
            <rFont val="Tahoma"/>
            <family val="2"/>
          </rPr>
          <t>Yes = this staple is added to the grocery list whenever it is due.</t>
        </r>
      </text>
    </comment>
  </commentList>
</comments>
</file>

<file path=xl/comments10.xml><?xml version="1.0" encoding="utf-8"?>
<comments xmlns="http://schemas.openxmlformats.org/spreadsheetml/2006/main">
  <authors>
    <author/>
  </authors>
  <commentList>
    <comment ref="A4" authorId="0">
      <text>
        <r>
          <rPr>
            <sz val="8"/>
            <color indexed="81"/>
            <rFont val="Tahoma"/>
            <family val="2"/>
          </rPr>
          <t>Anything you like - 'LO-01' is a good pattern.</t>
        </r>
      </text>
    </comment>
  </commentList>
</comments>
</file>

<file path=xl/comments11.xml><?xml version="1.0" encoding="utf-8"?>
<comments xmlns="http://schemas.openxmlformats.org/spreadsheetml/2006/main">
  <authors>
    <author/>
  </authors>
  <commentList>
    <comment ref="A4" authorId="0">
      <text>
        <r>
          <rPr>
            <sz val="8"/>
            <color indexed="81"/>
            <rFont val="Tahoma"/>
            <family val="2"/>
          </rPr>
          <t>Anything you like - 'W-01' is a good pattern.</t>
        </r>
      </text>
    </comment>
    <comment ref="C4" authorId="0">
      <text>
        <r>
          <rPr>
            <sz val="8"/>
            <color indexed="81"/>
            <rFont val="Tahoma"/>
            <family val="2"/>
          </rPr>
          <t>Must match a name on the Ingredients tab so the cost can be looked up.</t>
        </r>
      </text>
    </comment>
    <comment ref="I4" authorId="0">
      <text>
        <r>
          <rPr>
            <sz val="8"/>
            <color indexed="81"/>
            <rFont val="Tahoma"/>
            <family val="2"/>
          </rPr>
          <t>The reason it was binned - this is what the reports group by.</t>
        </r>
      </text>
    </comment>
    <comment ref="L4" authorId="0">
      <text>
        <r>
          <rPr>
            <sz val="8"/>
            <color indexed="81"/>
            <rFont val="Tahoma"/>
            <family val="2"/>
          </rPr>
          <t>No = it was bones, peel or packaging you cannot eat.</t>
        </r>
      </text>
    </comment>
  </commentList>
</comments>
</file>

<file path=xl/comments12.xml><?xml version="1.0" encoding="utf-8"?>
<comments xmlns="http://schemas.openxmlformats.org/spreadsheetml/2006/main">
  <authors>
    <author/>
  </authors>
  <commentList>
    <comment ref="A4" authorId="0">
      <text>
        <r>
          <rPr>
            <sz val="8"/>
            <color indexed="81"/>
            <rFont val="Tahoma"/>
            <family val="2"/>
          </rPr>
          <t>Anything you like - 'P-01' is a good pattern.</t>
        </r>
      </text>
    </comment>
    <comment ref="G4" authorId="0">
      <text>
        <r>
          <rPr>
            <sz val="8"/>
            <color indexed="81"/>
            <rFont val="Tahoma"/>
            <family val="2"/>
          </rPr>
          <t>The order to do the tasks in.</t>
        </r>
      </text>
    </comment>
  </commentList>
</comments>
</file>

<file path=xl/comments13.xml><?xml version="1.0" encoding="utf-8"?>
<comments xmlns="http://schemas.openxmlformats.org/spreadsheetml/2006/main">
  <authors>
    <author/>
  </authors>
  <commentList>
    <comment ref="A4" authorId="0">
      <text>
        <r>
          <rPr>
            <sz val="8"/>
            <color indexed="81"/>
            <rFont val="Tahoma"/>
            <family val="2"/>
          </rPr>
          <t>Anything you like - 'DF-01' is a good pattern.</t>
        </r>
      </text>
    </comment>
    <comment ref="B4" authorId="0">
      <text>
        <r>
          <rPr>
            <sz val="8"/>
            <color indexed="81"/>
            <rFont val="Tahoma"/>
            <family val="2"/>
          </rPr>
          <t>Who the exclusion is for. Leave blank for the whole household.</t>
        </r>
      </text>
    </comment>
    <comment ref="C4" authorId="0">
      <text>
        <r>
          <rPr>
            <sz val="8"/>
            <color indexed="81"/>
            <rFont val="Tahoma"/>
            <family val="2"/>
          </rPr>
          <t>The ingredient name to look for. It is matched against the Ingredients and Recipe Ingredients tabs.</t>
        </r>
      </text>
    </comment>
  </commentList>
</comments>
</file>

<file path=xl/comments14.xml><?xml version="1.0" encoding="utf-8"?>
<comments xmlns="http://schemas.openxmlformats.org/spreadsheetml/2006/main">
  <authors>
    <author/>
  </authors>
  <commentList>
    <comment ref="A16" authorId="0">
      <text>
        <r>
          <rPr>
            <sz val="8"/>
            <color indexed="81"/>
            <rFont val="Tahoma"/>
            <family val="2"/>
          </rPr>
          <t>Type it as 'Jan 2026' to match the other tabs.</t>
        </r>
      </text>
    </comment>
  </commentList>
</comments>
</file>

<file path=xl/comments15.xml><?xml version="1.0" encoding="utf-8"?>
<comments xmlns="http://schemas.openxmlformats.org/spreadsheetml/2006/main">
  <authors>
    <author/>
  </authors>
  <commentList>
    <comment ref="A4" authorId="0">
      <text>
        <r>
          <rPr>
            <sz val="8"/>
            <color indexed="81"/>
            <rFont val="Tahoma"/>
            <family val="2"/>
          </rPr>
          <t>Pick a recipe from your recipe book.</t>
        </r>
      </text>
    </comment>
  </commentList>
</comments>
</file>

<file path=xl/comments16.xml><?xml version="1.0" encoding="utf-8"?>
<comments xmlns="http://schemas.openxmlformats.org/spreadsheetml/2006/main">
  <authors>
    <author/>
  </authors>
  <commentList>
    <comment ref="A4" authorId="0">
      <text>
        <r>
          <rPr>
            <sz val="8"/>
            <color indexed="81"/>
            <rFont val="Tahoma"/>
            <family val="2"/>
          </rPr>
          <t>Pick a recipe from your recipe book.</t>
        </r>
      </text>
    </comment>
  </commentList>
</comments>
</file>

<file path=xl/comments17.xml><?xml version="1.0" encoding="utf-8"?>
<comments xmlns="http://schemas.openxmlformats.org/spreadsheetml/2006/main">
  <authors>
    <author/>
  </authors>
  <commentList>
    <comment ref="A4" authorId="0">
      <text>
        <r>
          <rPr>
            <sz val="8"/>
            <color indexed="81"/>
            <rFont val="Tahoma"/>
            <family val="2"/>
          </rPr>
          <t>Anything you like - 'FF-01' is a good pattern.</t>
        </r>
      </text>
    </comment>
  </commentList>
</comments>
</file>

<file path=xl/comments18.xml><?xml version="1.0" encoding="utf-8"?>
<comments xmlns="http://schemas.openxmlformats.org/spreadsheetml/2006/main">
  <authors>
    <author/>
  </authors>
  <commentList>
    <comment ref="E4" authorId="0">
      <text>
        <r>
          <rPr>
            <sz val="8"/>
            <color indexed="81"/>
            <rFont val="Tahoma"/>
            <family val="2"/>
          </rPr>
          <t>Must match a name on the Ingredients tab.</t>
        </r>
      </text>
    </comment>
  </commentList>
</comments>
</file>

<file path=xl/comments19.xml><?xml version="1.0" encoding="utf-8"?>
<comments xmlns="http://schemas.openxmlformats.org/spreadsheetml/2006/main">
  <authors>
    <author/>
  </authors>
  <commentList>
    <comment ref="A4" authorId="0">
      <text>
        <r>
          <rPr>
            <sz val="8"/>
            <color indexed="81"/>
            <rFont val="Tahoma"/>
            <family val="2"/>
          </rPr>
          <t>Must match a name on the Ingredients tab.</t>
        </r>
      </text>
    </comment>
  </commentList>
</comments>
</file>

<file path=xl/comments20.xml><?xml version="1.0" encoding="utf-8"?>
<comments xmlns="http://schemas.openxmlformats.org/spreadsheetml/2006/main">
  <authors>
    <author/>
  </authors>
  <commentList>
    <comment ref="A4" authorId="0">
      <text>
        <r>
          <rPr>
            <sz val="8"/>
            <color indexed="81"/>
            <rFont val="Tahoma"/>
            <family val="2"/>
          </rPr>
          <t>Anything you like - 'Mum's birthday' is perfect.</t>
        </r>
      </text>
    </comment>
    <comment ref="U4" authorId="0">
      <text>
        <r>
          <rPr>
            <sz val="8"/>
            <color indexed="81"/>
            <rFont val="Tahoma"/>
            <family val="2"/>
          </rPr>
          <t>What happens to the food that is left over.</t>
        </r>
      </text>
    </comment>
  </commentList>
</comments>
</file>

<file path=xl/comments21.xml><?xml version="1.0" encoding="utf-8"?>
<comments xmlns="http://schemas.openxmlformats.org/spreadsheetml/2006/main">
  <authors>
    <author/>
  </authors>
  <commentList>
    <comment ref="A14" authorId="0">
      <text>
        <r>
          <rPr>
            <sz val="8"/>
            <color indexed="81"/>
            <rFont val="Tahoma"/>
            <family val="2"/>
          </rPr>
          <t>Say what you want to change, in your own words.</t>
        </r>
      </text>
    </comment>
    <comment ref="E14" authorId="0">
      <text>
        <r>
          <rPr>
            <sz val="8"/>
            <color indexed="81"/>
            <rFont val="Tahoma"/>
            <family val="2"/>
          </rPr>
          <t>e.g. meals a week, % of spend, kg a month.</t>
        </r>
      </text>
    </comment>
  </commentList>
</comments>
</file>

<file path=xl/comments22.xml><?xml version="1.0" encoding="utf-8"?>
<comments xmlns="http://schemas.openxmlformats.org/spreadsheetml/2006/main">
  <authors>
    <author/>
  </authors>
  <commentList>
    <comment ref="A4" authorId="0">
      <text>
        <r>
          <rPr>
            <sz val="8"/>
            <color indexed="81"/>
            <rFont val="Tahoma"/>
            <family val="2"/>
          </rPr>
          <t>Type it as 'Jan 2026' to match the other tabs.</t>
        </r>
      </text>
    </comment>
  </commentList>
</comments>
</file>

<file path=xl/sharedStrings.xml><?xml version="1.0" encoding="utf-8"?>
<sst xmlns="http://schemas.openxmlformats.org/spreadsheetml/2006/main" count="1156" uniqueCount="785">
  <si>
    <t>MEAL PLANNER &amp; GROCERY LIST</t>
  </si>
  <si>
    <t>Weekly &amp; Monthly Meal Planner, Recipe Organizer, Automatic Grocery List, Pantry Inventory, Food Budget &amp; Nutrition Tracker</t>
  </si>
  <si>
    <t xml:space="preserve">  Version 1.0.0   |   Novality Store   |   36 tabs   |   Start at Settings, then Recipes, then Weekly Planner</t>
  </si>
  <si>
    <t xml:space="preserve">  WELCOME - THIS WORKBOOK PLANS YOUR MEALS AND WRITES YOUR SHOPPING LIST</t>
  </si>
  <si>
    <t>Plan breakfast, lunch and dinner for the week, see the calories and the cost of every meal, keep an eye on what is in the pantry, and print a grocery list that is already grouped by aisle. Fill in the cream cells only - the soft sage cells calculate themselves.</t>
  </si>
  <si>
    <t xml:space="preserve">  SET IT UP IN FIVE STEPS</t>
  </si>
  <si>
    <t>1. Set up your household</t>
  </si>
  <si>
    <t>Settings tab: household name, number of people, servings per meal, currency, measurement system, grocery budget and your nutrition targets. Everything else reads from here.</t>
  </si>
  <si>
    <t>2. Add your ingredients</t>
  </si>
  <si>
    <t>Ingredients tab: name, category, unit, price and the nutrition per unit. These prices drive every recipe cost and grocery total, so add the staples you buy most often first.</t>
  </si>
  <si>
    <t>3. Build your recipe book</t>
  </si>
  <si>
    <t>Recipes tab: title, category, servings, timings and the nutrition per serving. Recipe Ingredients tab: list each ingredient with its quantity and the cost per serving is calculated for you.</t>
  </si>
  <si>
    <t>4. Plan the week</t>
  </si>
  <si>
    <t>Weekly Planner tab: pick a week starting date, then choose a recipe for each day and slot. The planner works out the calories, protein and cost of the whole week as you type.</t>
  </si>
  <si>
    <t>5. Shop and cook</t>
  </si>
  <si>
    <t>Grocery List tab: everything you planned is already there, grouped by aisle, with quantities scaled to your household. Print it with Print Shopping, then tick items off as you fill the basket.</t>
  </si>
  <si>
    <t xml:space="preserve">  COLOUR KEY</t>
  </si>
  <si>
    <t>Cream cells</t>
  </si>
  <si>
    <t>You type here. These cells are unlocked.</t>
  </si>
  <si>
    <t>Soft sage cells</t>
  </si>
  <si>
    <t>Calculated by the spreadsheet. Leave them alone.</t>
  </si>
  <si>
    <t>Green headers</t>
  </si>
  <si>
    <t>Column titles - hover for a note about the column.</t>
  </si>
  <si>
    <t>Terracotta</t>
  </si>
  <si>
    <t>Totals, targets and anything that needs attention.</t>
  </si>
  <si>
    <t xml:space="preserve">  WHAT IS ON EACH TAB</t>
  </si>
  <si>
    <t>Start Here</t>
  </si>
  <si>
    <t>This page.</t>
  </si>
  <si>
    <t>Dashboard</t>
  </si>
  <si>
    <t>The week at a glance: calories, budget, what to cook, what is expiring and how your habits are going.</t>
  </si>
  <si>
    <t>Weekly Planner</t>
  </si>
  <si>
    <t>Pick the meals for one week, day by day.</t>
  </si>
  <si>
    <t>Monthly Planner</t>
  </si>
  <si>
    <t>The whole month on one page with the food budget per week.</t>
  </si>
  <si>
    <t>Settings</t>
  </si>
  <si>
    <t>Household, budget, nutrition targets and reminder windows.</t>
  </si>
  <si>
    <t>Lists</t>
  </si>
  <si>
    <t>Every drop down source: meal slots, units, categories, cuisines, stores, diets.</t>
  </si>
  <si>
    <t>Household</t>
  </si>
  <si>
    <t>Who you are cooking for, their diets, allergies and calorie needs.</t>
  </si>
  <si>
    <t>Recipes</t>
  </si>
  <si>
    <t>Your recipe book with nutrition, cost and rankings.</t>
  </si>
  <si>
    <t>Recipe Ingredients</t>
  </si>
  <si>
    <t>What goes into each recipe and what it costs.</t>
  </si>
  <si>
    <t>Ingredients</t>
  </si>
  <si>
    <t>Master ingredient list with prices and nutrition.</t>
  </si>
  <si>
    <t>Meal Plan</t>
  </si>
  <si>
    <t>Every planned meal in one long register - the engine behind the planner.</t>
  </si>
  <si>
    <t>Grocery List</t>
  </si>
  <si>
    <t>The automatic shopping list, grouped by aisle.</t>
  </si>
  <si>
    <t>Pantry</t>
  </si>
  <si>
    <t>What you have, what is running low, what expires next.</t>
  </si>
  <si>
    <t>Staples</t>
  </si>
  <si>
    <t>The things you buy every week, with buy-by reminders.</t>
  </si>
  <si>
    <t>Leftovers</t>
  </si>
  <si>
    <t>What is in the fridge or freezer and when to eat it.</t>
  </si>
  <si>
    <t>Food Waste</t>
  </si>
  <si>
    <t>What got thrown away, why, and what it cost.</t>
  </si>
  <si>
    <t>Meal Prep</t>
  </si>
  <si>
    <t>Batch cooking tasks and what to do when.</t>
  </si>
  <si>
    <t>Dietary Filters</t>
  </si>
  <si>
    <t>Allergies and dietary needs, and which recipes are safe.</t>
  </si>
  <si>
    <t>Nutrition</t>
  </si>
  <si>
    <t>Daily nutrition log against your targets.</t>
  </si>
  <si>
    <t>Budget</t>
  </si>
  <si>
    <t>Planned versus actual food spend, month by month.</t>
  </si>
  <si>
    <t>Recipe Costs</t>
  </si>
  <si>
    <t>Cost per serving for every recipe.</t>
  </si>
  <si>
    <t>Converter</t>
  </si>
  <si>
    <t>Unit conversions plus a live converter you can use.</t>
  </si>
  <si>
    <t>Rotation</t>
  </si>
  <si>
    <t>How often each meal repeats, so nothing gets boring.</t>
  </si>
  <si>
    <t>Food Safety</t>
  </si>
  <si>
    <t>How long food keeps, and safe storage temperatures.</t>
  </si>
  <si>
    <t>Fridge &amp; Freezer</t>
  </si>
  <si>
    <t>Batch cooked portions and their use-by dates.</t>
  </si>
  <si>
    <t>Grocery Spending</t>
  </si>
  <si>
    <t>Every shop you record, against the budget.</t>
  </si>
  <si>
    <t>Store Prices</t>
  </si>
  <si>
    <t>Price comparison for the same item across stores.</t>
  </si>
  <si>
    <t>Stores</t>
  </si>
  <si>
    <t>Your shops, with spend and best-for notes.</t>
  </si>
  <si>
    <t>Events</t>
  </si>
  <si>
    <t>Parties, holidays and dinner guests, with a menu budget.</t>
  </si>
  <si>
    <t>Event Menu</t>
  </si>
  <si>
    <t>The recipes and quantities for each event.</t>
  </si>
  <si>
    <t>Goals</t>
  </si>
  <si>
    <t>Habit goals with live progress.</t>
  </si>
  <si>
    <t>Sustainability</t>
  </si>
  <si>
    <t>Waste, packaging and local shopping metrics.</t>
  </si>
  <si>
    <t>Reports</t>
  </si>
  <si>
    <t>Any date range: spend, nutrition, waste, variety.</t>
  </si>
  <si>
    <t>Print Week</t>
  </si>
  <si>
    <t>A printable weekly meal plan for the fridge door.</t>
  </si>
  <si>
    <t>Print Shopping</t>
  </si>
  <si>
    <t>A printable grocery list.</t>
  </si>
  <si>
    <t>Print Recipe</t>
  </si>
  <si>
    <t>A printable recipe card.</t>
  </si>
  <si>
    <t>Help</t>
  </si>
  <si>
    <t>Frequently asked questions and troubleshooting.</t>
  </si>
  <si>
    <t xml:space="preserve">  SHEET PROTECTION</t>
  </si>
  <si>
    <t>Every tab is protected so the formulas cannot be deleted by accident. The cream input cells stay editable. If you want to change the look of the whole workbook, unprotect the sheets from Review &gt; Unprotect Sheet (password: premium) and re-protect them when you are done.</t>
  </si>
  <si>
    <t xml:space="preserve">  Novality Store  -  thank you for buying this workbook!</t>
  </si>
  <si>
    <t>DASHBOARD</t>
  </si>
  <si>
    <t>The week at a glance - meals, calories, cost, expiry dates and habits</t>
  </si>
  <si>
    <t xml:space="preserve">  |  Start Here   |   Weekly Planner   |   Meal Plan   |   Grocery List   |   Pantry   |   Reports</t>
  </si>
  <si>
    <t xml:space="preserve">  WHICH WEEK ARE YOU LOOKING AT?</t>
  </si>
  <si>
    <t>Week starting</t>
  </si>
  <si>
    <t>2026-10-05</t>
  </si>
  <si>
    <t>Month</t>
  </si>
  <si>
    <t>People</t>
  </si>
  <si>
    <t>Servings</t>
  </si>
  <si>
    <t>Shopping day</t>
  </si>
  <si>
    <t>Prep day</t>
  </si>
  <si>
    <t>Weekly budget</t>
  </si>
  <si>
    <t xml:space="preserve">  THIS WEEK</t>
  </si>
  <si>
    <t>Meals planned</t>
  </si>
  <si>
    <t>rows on the Meal Plan</t>
  </si>
  <si>
    <t>Calories a day</t>
  </si>
  <si>
    <t>Grocery cost</t>
  </si>
  <si>
    <t>Budget left</t>
  </si>
  <si>
    <t>planned vs budget</t>
  </si>
  <si>
    <t>Items to buy</t>
  </si>
  <si>
    <t>on the grocery list</t>
  </si>
  <si>
    <t>Use it or lose it</t>
  </si>
  <si>
    <t>pantry items</t>
  </si>
  <si>
    <t xml:space="preserve">  YOUR WEEK</t>
  </si>
  <si>
    <t>Day</t>
  </si>
  <si>
    <t>Date</t>
  </si>
  <si>
    <t>Breakfast</t>
  </si>
  <si>
    <t>Lunch</t>
  </si>
  <si>
    <t>Dinner</t>
  </si>
  <si>
    <t>Snack</t>
  </si>
  <si>
    <t>Calories</t>
  </si>
  <si>
    <t>Cost</t>
  </si>
  <si>
    <t>Status</t>
  </si>
  <si>
    <t xml:space="preserve">  MEALS OVERDUE FOR ANOTHER TURN</t>
  </si>
  <si>
    <t>Rank</t>
  </si>
  <si>
    <t>Recipe</t>
  </si>
  <si>
    <t>Last cooked</t>
  </si>
  <si>
    <t>Days since</t>
  </si>
  <si>
    <t>Rating</t>
  </si>
  <si>
    <t>Cost / serving</t>
  </si>
  <si>
    <t xml:space="preserve">  CHEAPEST MEALS IN YOUR RECIPE BOOK</t>
  </si>
  <si>
    <t>Total time (min)</t>
  </si>
  <si>
    <t>Cost / 1000 kcal</t>
  </si>
  <si>
    <t xml:space="preserve">  USE IT OR LOSE IT</t>
  </si>
  <si>
    <t>Item</t>
  </si>
  <si>
    <t>Days left</t>
  </si>
  <si>
    <t>Quantity</t>
  </si>
  <si>
    <t>Storage</t>
  </si>
  <si>
    <t xml:space="preserve">  HABITS AND ALERTS</t>
  </si>
  <si>
    <t>Habit</t>
  </si>
  <si>
    <t>This month</t>
  </si>
  <si>
    <t>Target</t>
  </si>
  <si>
    <t>Home cooked meals</t>
  </si>
  <si>
    <t>Takeaways and meals out</t>
  </si>
  <si>
    <t>New recipes tried</t>
  </si>
  <si>
    <t>Grocery spend vs weekly budget</t>
  </si>
  <si>
    <t>Waste cost vs target</t>
  </si>
  <si>
    <t>Items running low</t>
  </si>
  <si>
    <t>Dietary checks flagged</t>
  </si>
  <si>
    <t>Leftovers to eat</t>
  </si>
  <si>
    <t>Everything on this page is calculated. Change the week at the top, or the month in the cell next to 'Month', and the whole dashboard follows.</t>
  </si>
  <si>
    <t>WEEKLY PLANNER</t>
  </si>
  <si>
    <t>One week, day by day - meals, calories and cost</t>
  </si>
  <si>
    <t xml:space="preserve">  |  Dashboard   |   Meal Plan   |   Grocery List   |   Print Week   |   Monthly Planner</t>
  </si>
  <si>
    <t xml:space="preserve">  WHICH WEEK?</t>
  </si>
  <si>
    <t>Planned</t>
  </si>
  <si>
    <t>Week cost</t>
  </si>
  <si>
    <t>Calories / day</t>
  </si>
  <si>
    <t>Snacks</t>
  </si>
  <si>
    <t>Dessert</t>
  </si>
  <si>
    <t>Notes</t>
  </si>
  <si>
    <t>Week total</t>
  </si>
  <si>
    <t>MONTHLY PLANNER</t>
  </si>
  <si>
    <t>The whole month on one page - themes, planned cost and actual spend</t>
  </si>
  <si>
    <t xml:space="preserve">  |  Dashboard   |   Weekly Planner   |   Meal Plan   |   Grocery Spending   |   Budget</t>
  </si>
  <si>
    <t xml:space="preserve">  WHICH MONTH?</t>
  </si>
  <si>
    <t>October 2026</t>
  </si>
  <si>
    <t>Weeks in the month</t>
  </si>
  <si>
    <t>Monthly budget</t>
  </si>
  <si>
    <t>Month planned</t>
  </si>
  <si>
    <t>Month actual</t>
  </si>
  <si>
    <t>Variance</t>
  </si>
  <si>
    <t>Week</t>
  </si>
  <si>
    <t>Breakfast theme</t>
  </si>
  <si>
    <t>Lunch theme</t>
  </si>
  <si>
    <t>Dinner theme</t>
  </si>
  <si>
    <t>Planned cost</t>
  </si>
  <si>
    <t>Actual spend</t>
  </si>
  <si>
    <t>SETTINGS</t>
  </si>
  <si>
    <t>Household, budget, nutrition targets and reminder windows - every tab reads these cells</t>
  </si>
  <si>
    <t xml:space="preserve">  |  Dashboard   |   Weekly Planner   |   Budget   |   Nutrition   |   Reports</t>
  </si>
  <si>
    <t>Setting</t>
  </si>
  <si>
    <t>Value</t>
  </si>
  <si>
    <t>What it does</t>
  </si>
  <si>
    <t>HOUSEHOLD</t>
  </si>
  <si>
    <t>Household name</t>
  </si>
  <si>
    <t>The Harper Household</t>
  </si>
  <si>
    <t>Shown on every print out.</t>
  </si>
  <si>
    <t>People in the household</t>
  </si>
  <si>
    <t>Drives servings, budget per person and the grocery quantities.</t>
  </si>
  <si>
    <t>Main cook / planner</t>
  </si>
  <si>
    <t>Maya Harper</t>
  </si>
  <si>
    <t>Who owns the plan this year.</t>
  </si>
  <si>
    <t>Planning year</t>
  </si>
  <si>
    <t>Every weekly and monthly plan is built around this year.</t>
  </si>
  <si>
    <t>Servings per meal</t>
  </si>
  <si>
    <t>Default portion count copied into new plan rows.</t>
  </si>
  <si>
    <t>Week starts on</t>
  </si>
  <si>
    <t>Monday</t>
  </si>
  <si>
    <t>Monday or Sunday.</t>
  </si>
  <si>
    <t>Measurement system</t>
  </si>
  <si>
    <t>Metric</t>
  </si>
  <si>
    <t>Metric (g, ml) or Imperial (oz, fl oz).</t>
  </si>
  <si>
    <t>Currency symbol</t>
  </si>
  <si>
    <t>$</t>
  </si>
  <si>
    <t>Used in every money format.</t>
  </si>
  <si>
    <t>Currency code</t>
  </si>
  <si>
    <t>USD</t>
  </si>
  <si>
    <t>Three letter code, e.g. USD.</t>
  </si>
  <si>
    <t>Saturday</t>
  </si>
  <si>
    <t>Day you usually shop.</t>
  </si>
  <si>
    <t>Meal prep day</t>
  </si>
  <si>
    <t>Sunday</t>
  </si>
  <si>
    <t>Day you usually cook ahead.</t>
  </si>
  <si>
    <t>GROCERY BUDGET</t>
  </si>
  <si>
    <t>Weekly grocery budget</t>
  </si>
  <si>
    <t>Compared with the actual grocery spend on the Dashboard.</t>
  </si>
  <si>
    <t>Monthly grocery budget</t>
  </si>
  <si>
    <t>Annual grocery budget</t>
  </si>
  <si>
    <t>Eating out budget (monthly)</t>
  </si>
  <si>
    <t>Food waste cost target (monthly)</t>
  </si>
  <si>
    <t>Money you are willing to write off as waste.</t>
  </si>
  <si>
    <t>DAILY NUTRITION TARGETS PER PERSON</t>
  </si>
  <si>
    <t>kcal a day.</t>
  </si>
  <si>
    <t>Protein</t>
  </si>
  <si>
    <t>grams a day.</t>
  </si>
  <si>
    <t>Carbohydrates</t>
  </si>
  <si>
    <t>Fat</t>
  </si>
  <si>
    <t>Fibre</t>
  </si>
  <si>
    <t>Sugar limit</t>
  </si>
  <si>
    <t>Sodium limit</t>
  </si>
  <si>
    <t>mg a day.</t>
  </si>
  <si>
    <t>Water</t>
  </si>
  <si>
    <t>glasses a day.</t>
  </si>
  <si>
    <t>REMINDER WINDOWS</t>
  </si>
  <si>
    <t>Use it or lose it (days)</t>
  </si>
  <si>
    <t>Pantry items inside this window are flagged for use.</t>
  </si>
  <si>
    <t>Leftover fridge life (days)</t>
  </si>
  <si>
    <t>Freezer review (days)</t>
  </si>
  <si>
    <t>How long before a freezer item is reviewed.</t>
  </si>
  <si>
    <t>Low stock warning (days of cover)</t>
  </si>
  <si>
    <t>Prep reminder (days ahead)</t>
  </si>
  <si>
    <t>Rotation gap (days)</t>
  </si>
  <si>
    <t>Minimum days before the same meal is planned again.</t>
  </si>
  <si>
    <t>HABIT TARGETS</t>
  </si>
  <si>
    <t>Home cooked meals a week</t>
  </si>
  <si>
    <t>New recipes a month</t>
  </si>
  <si>
    <t>Takeaways a month (limit)</t>
  </si>
  <si>
    <t>Packed lunches a week</t>
  </si>
  <si>
    <t>Waste reduction target</t>
  </si>
  <si>
    <t>Share of food bought that you are aiming to bin.</t>
  </si>
  <si>
    <t>Top rows in 'best of' tables</t>
  </si>
  <si>
    <t>How many rows the Dashboard 'top 5' tables show.</t>
  </si>
  <si>
    <t>Meal slots</t>
  </si>
  <si>
    <t>Units</t>
  </si>
  <si>
    <t>Categories</t>
  </si>
  <si>
    <t>Cuisines</t>
  </si>
  <si>
    <t>Tags</t>
  </si>
  <si>
    <t>Dietary needs</t>
  </si>
  <si>
    <t>Yes / No</t>
  </si>
  <si>
    <t>Recipe categories</t>
  </si>
  <si>
    <t>Household member</t>
  </si>
  <si>
    <t>Role</t>
  </si>
  <si>
    <t>Age</t>
  </si>
  <si>
    <t>Dietary need</t>
  </si>
  <si>
    <t>Allergies</t>
  </si>
  <si>
    <t>Dislikes</t>
  </si>
  <si>
    <t>Protein / day (g)</t>
  </si>
  <si>
    <t>Packed lunch</t>
  </si>
  <si>
    <t>Category</t>
  </si>
  <si>
    <t>Cuisine</t>
  </si>
  <si>
    <t>Prep (min)</t>
  </si>
  <si>
    <t>Cook (min)</t>
  </si>
  <si>
    <t>Total (min)</t>
  </si>
  <si>
    <t>Protein (g)</t>
  </si>
  <si>
    <t>Carbs (g)</t>
  </si>
  <si>
    <t>Fat (g)</t>
  </si>
  <si>
    <t>Fibre (g)</t>
  </si>
  <si>
    <t>Sugar (g)</t>
  </si>
  <si>
    <t>Sodium (mg)</t>
  </si>
  <si>
    <t>Total cost</t>
  </si>
  <si>
    <t>kcal / $</t>
  </si>
  <si>
    <t>Protein / $</t>
  </si>
  <si>
    <t>kcal / 10 min</t>
  </si>
  <si>
    <t>Match score</t>
  </si>
  <si>
    <t>Times cooked</t>
  </si>
  <si>
    <t>Plan flag</t>
  </si>
  <si>
    <t>Favourite</t>
  </si>
  <si>
    <t>Vegetarian</t>
  </si>
  <si>
    <t>Vegan</t>
  </si>
  <si>
    <t>Gluten free</t>
  </si>
  <si>
    <t>Dairy free</t>
  </si>
  <si>
    <t>Nut free</t>
  </si>
  <si>
    <t>Kid friendly</t>
  </si>
  <si>
    <t>Batch cook</t>
  </si>
  <si>
    <t>Freezer</t>
  </si>
  <si>
    <t>Quick (30 min)</t>
  </si>
  <si>
    <t>Season</t>
  </si>
  <si>
    <t>Added on</t>
  </si>
  <si>
    <t>Rating (1-5)</t>
  </si>
  <si>
    <t>Source</t>
  </si>
  <si>
    <t>Link</t>
  </si>
  <si>
    <t>Calorie rank</t>
  </si>
  <si>
    <t>Protein rank</t>
  </si>
  <si>
    <t>Fibre rank</t>
  </si>
  <si>
    <t>Cost rank</t>
  </si>
  <si>
    <t>Match rank</t>
  </si>
  <si>
    <t>Rotation rank</t>
  </si>
  <si>
    <t>Popularity rank</t>
  </si>
  <si>
    <t>Ingredient</t>
  </si>
  <si>
    <t>Unit</t>
  </si>
  <si>
    <t>Best store</t>
  </si>
  <si>
    <t>Price / unit</t>
  </si>
  <si>
    <t>Line cost</t>
  </si>
  <si>
    <t>Recipe servings</t>
  </si>
  <si>
    <t>Share of cost</t>
  </si>
  <si>
    <t>In pantry</t>
  </si>
  <si>
    <t>To buy</t>
  </si>
  <si>
    <t>Pack size</t>
  </si>
  <si>
    <t>Pack cost</t>
  </si>
  <si>
    <t>Packs needed</t>
  </si>
  <si>
    <t>Organic</t>
  </si>
  <si>
    <t>Waste %</t>
  </si>
  <si>
    <t>Qty incl. waste</t>
  </si>
  <si>
    <t>Staple</t>
  </si>
  <si>
    <t>Line in recipe</t>
  </si>
  <si>
    <t>Diet check</t>
  </si>
  <si>
    <t>Usual store</t>
  </si>
  <si>
    <t>Price per unit</t>
  </si>
  <si>
    <t>Calories / unit</t>
  </si>
  <si>
    <t>Protein / unit</t>
  </si>
  <si>
    <t>Carbs / unit</t>
  </si>
  <si>
    <t>Fat / unit</t>
  </si>
  <si>
    <t>Fibre / unit</t>
  </si>
  <si>
    <t>Shelf life (days)</t>
  </si>
  <si>
    <t>Allergens</t>
  </si>
  <si>
    <t>On list</t>
  </si>
  <si>
    <t>Needed this week</t>
  </si>
  <si>
    <t>Used in recipes</t>
  </si>
  <si>
    <t>Qty used in recipes</t>
  </si>
  <si>
    <t>Weeks of stock</t>
  </si>
  <si>
    <t>Need score</t>
  </si>
  <si>
    <t>Need rank</t>
  </si>
  <si>
    <t>Buy this week</t>
  </si>
  <si>
    <t>Pantry value</t>
  </si>
  <si>
    <t>Spend rank</t>
  </si>
  <si>
    <t>Wasted qty</t>
  </si>
  <si>
    <t>Waste rank</t>
  </si>
  <si>
    <t>Last bought</t>
  </si>
  <si>
    <t>Last price</t>
  </si>
  <si>
    <t>Average price</t>
  </si>
  <si>
    <t>Lowest price</t>
  </si>
  <si>
    <t>Highest price</t>
  </si>
  <si>
    <t>Price spread</t>
  </si>
  <si>
    <t>Change vs average</t>
  </si>
  <si>
    <t>Trend</t>
  </si>
  <si>
    <t>Plan ID</t>
  </si>
  <si>
    <t>Meal slot</t>
  </si>
  <si>
    <t>Scale</t>
  </si>
  <si>
    <t>Cook for</t>
  </si>
  <si>
    <t>Budget / meal</t>
  </si>
  <si>
    <t>Cooked</t>
  </si>
  <si>
    <t>Leftover of</t>
  </si>
  <si>
    <t>Leftover ID</t>
  </si>
  <si>
    <t>Waste (portions)</t>
  </si>
  <si>
    <t>Prep task</t>
  </si>
  <si>
    <t>Cost rank (day)</t>
  </si>
  <si>
    <t>Calorie rank (day)</t>
  </si>
  <si>
    <t>Repeat</t>
  </si>
  <si>
    <t>Days since last</t>
  </si>
  <si>
    <t>Aisle / category</t>
  </si>
  <si>
    <t>Store</t>
  </si>
  <si>
    <t>Aisle</t>
  </si>
  <si>
    <t>Line total</t>
  </si>
  <si>
    <t>Packs</t>
  </si>
  <si>
    <t>Pack total</t>
  </si>
  <si>
    <t>Still needed</t>
  </si>
  <si>
    <t>Buy</t>
  </si>
  <si>
    <t>Bought</t>
  </si>
  <si>
    <t>Bought on</t>
  </si>
  <si>
    <t>Price paid</t>
  </si>
  <si>
    <t>Vs planned</t>
  </si>
  <si>
    <t>Sort key</t>
  </si>
  <si>
    <t>Buy rank</t>
  </si>
  <si>
    <t>Priority</t>
  </si>
  <si>
    <t>From recipe</t>
  </si>
  <si>
    <t>Opened</t>
  </si>
  <si>
    <t>Use by</t>
  </si>
  <si>
    <t>Use by status</t>
  </si>
  <si>
    <t>Reorder qty</t>
  </si>
  <si>
    <t>Stock level</t>
  </si>
  <si>
    <t>Fridge rank</t>
  </si>
  <si>
    <t>Freezer rank</t>
  </si>
  <si>
    <t>Batch / lot</t>
  </si>
  <si>
    <t>Frozen</t>
  </si>
  <si>
    <t>Portion</t>
  </si>
  <si>
    <t>Servings left</t>
  </si>
  <si>
    <t>Usual quantity</t>
  </si>
  <si>
    <t>Buy every (days)</t>
  </si>
  <si>
    <t>Due</t>
  </si>
  <si>
    <t>Auto add</t>
  </si>
  <si>
    <t>Quantity to add</t>
  </si>
  <si>
    <t>Vs average</t>
  </si>
  <si>
    <t>Urgency rank</t>
  </si>
  <si>
    <t>Batch ID</t>
  </si>
  <si>
    <t>What it is</t>
  </si>
  <si>
    <t>Portions</t>
  </si>
  <si>
    <t>Fridge use by</t>
  </si>
  <si>
    <t>Freezer use by</t>
  </si>
  <si>
    <t>Queue rank</t>
  </si>
  <si>
    <t>Flag</t>
  </si>
  <si>
    <t>Portions left</t>
  </si>
  <si>
    <t>Eaten up</t>
  </si>
  <si>
    <t>Binned</t>
  </si>
  <si>
    <t>Container</t>
  </si>
  <si>
    <t>Reheats left</t>
  </si>
  <si>
    <t>Waste ID</t>
  </si>
  <si>
    <t>Cost binned</t>
  </si>
  <si>
    <t>Reason</t>
  </si>
  <si>
    <t>Stored in</t>
  </si>
  <si>
    <t>Avoidable</t>
  </si>
  <si>
    <t>Bought at</t>
  </si>
  <si>
    <t>Month total</t>
  </si>
  <si>
    <t>Share of month</t>
  </si>
  <si>
    <t>Task ID</t>
  </si>
  <si>
    <t>Task</t>
  </si>
  <si>
    <t>Minutes</t>
  </si>
  <si>
    <t>Order</t>
  </si>
  <si>
    <t>Needed by</t>
  </si>
  <si>
    <t>Days until</t>
  </si>
  <si>
    <t>Urgency</t>
  </si>
  <si>
    <t>Todo rank</t>
  </si>
  <si>
    <t>Who</t>
  </si>
  <si>
    <t>Equipment</t>
  </si>
  <si>
    <t>Batch size</t>
  </si>
  <si>
    <t>Fridge until</t>
  </si>
  <si>
    <t>Freezer until</t>
  </si>
  <si>
    <t>For meal slot</t>
  </si>
  <si>
    <t>Done</t>
  </si>
  <si>
    <t>Completed on</t>
  </si>
  <si>
    <t>Filter ID</t>
  </si>
  <si>
    <t>Applies to</t>
  </si>
  <si>
    <t>Avoid this</t>
  </si>
  <si>
    <t>Severity</t>
  </si>
  <si>
    <t>Active</t>
  </si>
  <si>
    <t>Ingredients matched</t>
  </si>
  <si>
    <t>Recipes affected</t>
  </si>
  <si>
    <t>Plan rows flagged</t>
  </si>
  <si>
    <t>NUTRITION</t>
  </si>
  <si>
    <t>Daily nutrition log against the targets set on Settings</t>
  </si>
  <si>
    <t xml:space="preserve">  |  Dashboard   |   Settings   |   Meal Plan   |   Recipes   |   Reports</t>
  </si>
  <si>
    <t xml:space="preserve">  MONTH SUMMARY</t>
  </si>
  <si>
    <t>Oct 2026</t>
  </si>
  <si>
    <t>days logged</t>
  </si>
  <si>
    <t>Average calories</t>
  </si>
  <si>
    <t>= calories</t>
  </si>
  <si>
    <t>Average protein (g)</t>
  </si>
  <si>
    <t>= protein</t>
  </si>
  <si>
    <t>Average carbs (g)</t>
  </si>
  <si>
    <t>= carbs</t>
  </si>
  <si>
    <t>Average fat (g)</t>
  </si>
  <si>
    <t>= fat</t>
  </si>
  <si>
    <t>Average fibre (g)</t>
  </si>
  <si>
    <t>= fibre</t>
  </si>
  <si>
    <t>Average sugar (g)</t>
  </si>
  <si>
    <t>= sugar</t>
  </si>
  <si>
    <t>Average sodium (mg)</t>
  </si>
  <si>
    <t>= sodium</t>
  </si>
  <si>
    <t>vs target</t>
  </si>
  <si>
    <t>days on target</t>
  </si>
  <si>
    <t>days over</t>
  </si>
  <si>
    <t>days under</t>
  </si>
  <si>
    <t>Type a recipe name in the Recipe column and the nutrition is looked up for you. To enter the numbers by hand instead, leave Recipe blank and type over the calculated cells - the sheet is protected, so unprotect it first if you want to keep your own numbers.</t>
  </si>
  <si>
    <t>Water (glasses)</t>
  </si>
  <si>
    <t>Calories target</t>
  </si>
  <si>
    <t>% calories</t>
  </si>
  <si>
    <t>% protein</t>
  </si>
  <si>
    <t>% carbs</t>
  </si>
  <si>
    <t>% fat</t>
  </si>
  <si>
    <t>% fibre</t>
  </si>
  <si>
    <t>% sugar limit</t>
  </si>
  <si>
    <t>% sodium limit</t>
  </si>
  <si>
    <t>BUDGET</t>
  </si>
  <si>
    <t>Planned versus actual food spend, month by month</t>
  </si>
  <si>
    <t xml:space="preserve">  |  Dashboard   |   Settings   |   Grocery Spending   |   Food Waste   |   Reports</t>
  </si>
  <si>
    <t xml:space="preserve">  YEAR TO DATE</t>
  </si>
  <si>
    <t>Grocery spend YTD</t>
  </si>
  <si>
    <t>Total food spend YTD</t>
  </si>
  <si>
    <t>Waste cost YTD</t>
  </si>
  <si>
    <t>Average month</t>
  </si>
  <si>
    <t>Months over budget</t>
  </si>
  <si>
    <t>Months under</t>
  </si>
  <si>
    <t>Waste as % of spend</t>
  </si>
  <si>
    <t>Add one row per month. The planned columns come from Settings, the actual grocery and waste columns come from the Grocery Spending and Food Waste tabs, and you type in what you spent eating out.</t>
  </si>
  <si>
    <t>Planned groceries</t>
  </si>
  <si>
    <t>Actual groceries</t>
  </si>
  <si>
    <t>Planned eating out</t>
  </si>
  <si>
    <t>Actual eating out</t>
  </si>
  <si>
    <t>Waste cost</t>
  </si>
  <si>
    <t>Total planned</t>
  </si>
  <si>
    <t>Total actual</t>
  </si>
  <si>
    <t>Total variance</t>
  </si>
  <si>
    <t>Running total</t>
  </si>
  <si>
    <t>Cost / 100 kcal</t>
  </si>
  <si>
    <t>Priciest ingredient</t>
  </si>
  <si>
    <t>Its cost</t>
  </si>
  <si>
    <t>Vs average dish</t>
  </si>
  <si>
    <t>Budget flag</t>
  </si>
  <si>
    <t>Cost per week</t>
  </si>
  <si>
    <t>CONVERTER</t>
  </si>
  <si>
    <t>Unit conversions, plus a calculator you can use while you cook</t>
  </si>
  <si>
    <t xml:space="preserve">  |  Recipes   |   Ingredients   |   Pantry   |   Weekly Planner   |   Help</t>
  </si>
  <si>
    <t xml:space="preserve">  QUICK CONVERTER</t>
  </si>
  <si>
    <t>From</t>
  </si>
  <si>
    <t>g</t>
  </si>
  <si>
    <t>To</t>
  </si>
  <si>
    <t>oz</t>
  </si>
  <si>
    <t>Result</t>
  </si>
  <si>
    <t>Reverse</t>
  </si>
  <si>
    <t xml:space="preserve">  OVEN TEMPERATURES</t>
  </si>
  <si>
    <t>Gas mark</t>
  </si>
  <si>
    <t>Fan (C)</t>
  </si>
  <si>
    <t>Conventional (C)</t>
  </si>
  <si>
    <t>Fahrenheit</t>
  </si>
  <si>
    <t>1/4</t>
  </si>
  <si>
    <t>1/2</t>
  </si>
  <si>
    <t>1</t>
  </si>
  <si>
    <t>2</t>
  </si>
  <si>
    <t>3</t>
  </si>
  <si>
    <t>4</t>
  </si>
  <si>
    <t>5</t>
  </si>
  <si>
    <t>6</t>
  </si>
  <si>
    <t>7</t>
  </si>
  <si>
    <t>8</t>
  </si>
  <si>
    <t>9</t>
  </si>
  <si>
    <t>Add a pair of units to the table below and the quick converter above picks it up immediately. Use the factor column for 'multiply the From unit by this to get the To unit'.</t>
  </si>
  <si>
    <t>Multiply by</t>
  </si>
  <si>
    <t>Example</t>
  </si>
  <si>
    <t>Average gap (days)</t>
  </si>
  <si>
    <t>Back in the plan</t>
  </si>
  <si>
    <t>Overdue rank</t>
  </si>
  <si>
    <t>Food</t>
  </si>
  <si>
    <t>Store in</t>
  </si>
  <si>
    <t>Fridge (days)</t>
  </si>
  <si>
    <t>Freezer (days)</t>
  </si>
  <si>
    <t>Once cooked (days)</t>
  </si>
  <si>
    <t>Fridge temp (C)</t>
  </si>
  <si>
    <t>Reheat to (C)</t>
  </si>
  <si>
    <t>Defrost by</t>
  </si>
  <si>
    <t>Eaten</t>
  </si>
  <si>
    <t>Week spend</t>
  </si>
  <si>
    <t>Share of week</t>
  </si>
  <si>
    <t>Week vs budget</t>
  </si>
  <si>
    <t>Receipt</t>
  </si>
  <si>
    <t>Paid by</t>
  </si>
  <si>
    <t>On offer</t>
  </si>
  <si>
    <t>Saving</t>
  </si>
  <si>
    <t>Month running total</t>
  </si>
  <si>
    <t>Price</t>
  </si>
  <si>
    <t>Seen on</t>
  </si>
  <si>
    <t>Usual price</t>
  </si>
  <si>
    <t>Saving %</t>
  </si>
  <si>
    <t>Best price</t>
  </si>
  <si>
    <t>Vs best</t>
  </si>
  <si>
    <t>Best buy</t>
  </si>
  <si>
    <t>Price rank</t>
  </si>
  <si>
    <t>Address</t>
  </si>
  <si>
    <t>Phone</t>
  </si>
  <si>
    <t>Website</t>
  </si>
  <si>
    <t>Loyalty scheme</t>
  </si>
  <si>
    <t>Delivers</t>
  </si>
  <si>
    <t>Click &amp; collect</t>
  </si>
  <si>
    <t>Minimum order</t>
  </si>
  <si>
    <t>Delivery fee</t>
  </si>
  <si>
    <t>Delivery day</t>
  </si>
  <si>
    <t>Opening hours</t>
  </si>
  <si>
    <t>Distance (km)</t>
  </si>
  <si>
    <t>Parking</t>
  </si>
  <si>
    <t>Organic range</t>
  </si>
  <si>
    <t>Bulk bins</t>
  </si>
  <si>
    <t>Cards accepted</t>
  </si>
  <si>
    <t>Shops recorded</t>
  </si>
  <si>
    <t>Total spend</t>
  </si>
  <si>
    <t>Average basket</t>
  </si>
  <si>
    <t>Best for</t>
  </si>
  <si>
    <t>Event</t>
  </si>
  <si>
    <t>Guests</t>
  </si>
  <si>
    <t>Meal</t>
  </si>
  <si>
    <t>Host</t>
  </si>
  <si>
    <t>Where</t>
  </si>
  <si>
    <t>Dish 1</t>
  </si>
  <si>
    <t>Dish 2</t>
  </si>
  <si>
    <t>Dish 3</t>
  </si>
  <si>
    <t>Dish 4</t>
  </si>
  <si>
    <t>Drinks</t>
  </si>
  <si>
    <t>Servings each</t>
  </si>
  <si>
    <t>Menu cost</t>
  </si>
  <si>
    <t>Cost per head</t>
  </si>
  <si>
    <t>Vs budget</t>
  </si>
  <si>
    <t>Days to go</t>
  </si>
  <si>
    <t>Prep tasks</t>
  </si>
  <si>
    <t>Dietary notes</t>
  </si>
  <si>
    <t>Leftover plan</t>
  </si>
  <si>
    <t>GOALS</t>
  </si>
  <si>
    <t>Habit goals with a live progress bar</t>
  </si>
  <si>
    <t xml:space="preserve">  |  Dashboard   |   Settings   |   Food Waste   |   Sustainability   |   Help</t>
  </si>
  <si>
    <t xml:space="preserve">  WHERE YOU ARE</t>
  </si>
  <si>
    <t>Goals running</t>
  </si>
  <si>
    <t>Goals hit</t>
  </si>
  <si>
    <t>On track</t>
  </si>
  <si>
    <t>Needs work</t>
  </si>
  <si>
    <t>Average progress</t>
  </si>
  <si>
    <t>Best goal</t>
  </si>
  <si>
    <t>Longest streak</t>
  </si>
  <si>
    <t>The progress bar is a data bar: it fills up as the 'Where you are now' column approaches the target. Anything at 100% turns green.</t>
  </si>
  <si>
    <t>Goal</t>
  </si>
  <si>
    <t>Where you are now</t>
  </si>
  <si>
    <t>By</t>
  </si>
  <si>
    <t>Progress</t>
  </si>
  <si>
    <t>Current streak</t>
  </si>
  <si>
    <t>Best streak</t>
  </si>
  <si>
    <t>Grocery spend</t>
  </si>
  <si>
    <t>Waste quantity</t>
  </si>
  <si>
    <t>Vs target</t>
  </si>
  <si>
    <t>Takeaways</t>
  </si>
  <si>
    <t>Local shops used</t>
  </si>
  <si>
    <t>Bulk / refill buys</t>
  </si>
  <si>
    <t>Plastic free shops</t>
  </si>
  <si>
    <t>Grown at home</t>
  </si>
  <si>
    <t>Green score</t>
  </si>
  <si>
    <t>REPORTS</t>
  </si>
  <si>
    <t>Spend, nutrition, waste, variety and cooking habits for any date range</t>
  </si>
  <si>
    <t xml:space="preserve">  |  Dashboard   |   Grocery Spending   |   Food Waste   |   Nutrition   |   Meal Plan</t>
  </si>
  <si>
    <t xml:space="preserve">  REPORTING PERIOD</t>
  </si>
  <si>
    <t/>
  </si>
  <si>
    <t>Type the dates as yyyy-mm-dd.</t>
  </si>
  <si>
    <t>Days in period</t>
  </si>
  <si>
    <t>The two grey cells turn your text into real dates.</t>
  </si>
  <si>
    <t xml:space="preserve">  HEADLINE NUMBERS</t>
  </si>
  <si>
    <t>Everything recorded on the Grocery Spending tab.</t>
  </si>
  <si>
    <t>How many spending rows fall inside the period.</t>
  </si>
  <si>
    <t>Average shop</t>
  </si>
  <si>
    <t>Weekly average</t>
  </si>
  <si>
    <t>Compared with the weekly budget on Settings.</t>
  </si>
  <si>
    <t>Vs weekly budget</t>
  </si>
  <si>
    <t>Meals cooked</t>
  </si>
  <si>
    <t>Takeaways / eating out</t>
  </si>
  <si>
    <t>Home cooked %</t>
  </si>
  <si>
    <t>Target is set on Settings.</t>
  </si>
  <si>
    <t>Average calories a day</t>
  </si>
  <si>
    <t xml:space="preserve">  SPEND BY STORE</t>
  </si>
  <si>
    <t>Greenfield Market</t>
  </si>
  <si>
    <t>visits</t>
  </si>
  <si>
    <t>Corner Grocer</t>
  </si>
  <si>
    <t>Bulk Barn</t>
  </si>
  <si>
    <t>Farmers Market</t>
  </si>
  <si>
    <t>Asian Supermarket</t>
  </si>
  <si>
    <t xml:space="preserve">  SPEND BY CATEGORY</t>
  </si>
  <si>
    <t>Vegetables</t>
  </si>
  <si>
    <t>of spend</t>
  </si>
  <si>
    <t>Fruit</t>
  </si>
  <si>
    <t>Meat &amp; Fish</t>
  </si>
  <si>
    <t>Dairy &amp; Eggs</t>
  </si>
  <si>
    <t>Bakery</t>
  </si>
  <si>
    <t>Grains &amp; Pasta</t>
  </si>
  <si>
    <t>Tins &amp; Jars</t>
  </si>
  <si>
    <t xml:space="preserve">  WASTE BY REASON</t>
  </si>
  <si>
    <t>Expired</t>
  </si>
  <si>
    <t>quantity</t>
  </si>
  <si>
    <t>Spoiled</t>
  </si>
  <si>
    <t>Mouldy</t>
  </si>
  <si>
    <t>Leftover not eaten</t>
  </si>
  <si>
    <t>Cooked too much</t>
  </si>
  <si>
    <t>Burnt</t>
  </si>
  <si>
    <t>Tasted bad</t>
  </si>
  <si>
    <t>Bought too much</t>
  </si>
  <si>
    <t>Child refused</t>
  </si>
  <si>
    <t>Plans changed</t>
  </si>
  <si>
    <t xml:space="preserve">  MOST COOKED MEALS</t>
  </si>
  <si>
    <t>Chicken &amp; veg traybake</t>
  </si>
  <si>
    <t>Spaghetti bolognese</t>
  </si>
  <si>
    <t>Vegetable curry</t>
  </si>
  <si>
    <t>Salmon &amp; rice</t>
  </si>
  <si>
    <t>Beef chilli</t>
  </si>
  <si>
    <t>Pizza night</t>
  </si>
  <si>
    <t>Pasta primavera</t>
  </si>
  <si>
    <t>Fish finger sandwich</t>
  </si>
  <si>
    <t xml:space="preserve">  TOP INGREDIENTS BY SPEND</t>
  </si>
  <si>
    <t>Spend in period</t>
  </si>
  <si>
    <t>Times bought</t>
  </si>
  <si>
    <t>Chicken breast</t>
  </si>
  <si>
    <t>Rice</t>
  </si>
  <si>
    <t>Eggs</t>
  </si>
  <si>
    <t>Milk</t>
  </si>
  <si>
    <t>Bread</t>
  </si>
  <si>
    <t>Cheddar cheese</t>
  </si>
  <si>
    <t>Pasta</t>
  </si>
  <si>
    <t>Tinned tomatoes</t>
  </si>
  <si>
    <t>Every table reads the Grocery Spending, Food Waste, Meal Plan and Nutrition tabs, so they fill in as you record your shops and your meals. Change the dates at the top of the page to re-cut the whole report.</t>
  </si>
  <si>
    <t>WEEKLY MEAL PLAN</t>
  </si>
  <si>
    <t>Stick this on the fridge - one page, one week</t>
  </si>
  <si>
    <t>GROCERY LIST</t>
  </si>
  <si>
    <t>In buy order - tick each item off as you fill the basket</t>
  </si>
  <si>
    <t>Got it</t>
  </si>
  <si>
    <t>Total to buy</t>
  </si>
  <si>
    <t>RECIPE CARD</t>
  </si>
  <si>
    <t>Pick a recipe and print - one card, one page</t>
  </si>
  <si>
    <t>Row found</t>
  </si>
  <si>
    <t xml:space="preserve">  THE RECIPE</t>
  </si>
  <si>
    <t>Prep time (min)</t>
  </si>
  <si>
    <t>Cook time (min)</t>
  </si>
  <si>
    <t>Calories per serving</t>
  </si>
  <si>
    <t>Cost per serving</t>
  </si>
  <si>
    <t xml:space="preserve">  INGREDIENTS</t>
  </si>
  <si>
    <t>#</t>
  </si>
  <si>
    <t>Total</t>
  </si>
  <si>
    <t xml:space="preserve">  METHOD</t>
  </si>
  <si>
    <t>=IF($B$4=0,"",IFERROR(INDEX(Recipes!$AR$5:$AR$204,$B$4),"Write your method in the Notes column on the Recipes tab and it will appear here."))</t>
  </si>
  <si>
    <t xml:space="preserve">  NOTE</t>
  </si>
  <si>
    <t>=IF($B$4=0,"","This recipe needs "&amp;TEXT(IFERROR(INDEX(Recipes!$O$5:$O$204,$B$4),0),"0")&amp;" ingredients. Add them to the Grocery List tab with the quantities above and the rest of the list builds itself.")</t>
  </si>
  <si>
    <t>HELP</t>
  </si>
  <si>
    <t>Frequently asked questions, column notes and troubleshooting</t>
  </si>
  <si>
    <t xml:space="preserve">  |  Start Here   |   Settings   |   Weekly Planner   |   Grocery List   |   Reports</t>
  </si>
  <si>
    <t xml:space="preserve">  FREQUENTLY ASKED QUESTIONS</t>
  </si>
  <si>
    <t>How do I start?</t>
  </si>
  <si>
    <t>Go to Settings and fill in your household, budget and targets. Then add the ingredients you buy most often to the Ingredients tab, add your favourite recipes, and plan your first week on the Weekly Planner tab.</t>
  </si>
  <si>
    <t>How does the grocery list fill itself?</t>
  </si>
  <si>
    <t>Everything you plan on the Weekly Planner or the Meal Plan tab is copied to the Grocery List tab. Quantities are scaled by the servings you asked for and reduced by whatever you already have in the pantry, so the list only shows what you actually need to buy.</t>
  </si>
  <si>
    <t>Why is a recipe showing a cost of zero?</t>
  </si>
  <si>
    <t>The recipe has no ingredients on the Recipe Ingredients tab yet, or the ingredient names there do not exactly match the names on the Ingredients tab. The cost is looked up by name, so keep the spelling identical.</t>
  </si>
  <si>
    <t>Can I change the meal slots?</t>
  </si>
  <si>
    <t>Yes - edit the Meal slots column on the Lists tab. The planner grids, the nutrition log and the reports all follow the list.</t>
  </si>
  <si>
    <t>What if I shop at more than one store?</t>
  </si>
  <si>
    <t>Add each shop on the Stores tab, then set the store on the Ingredients tab. The grocery list can be printed per store, and the Store Prices tab compares the same item across shops.</t>
  </si>
  <si>
    <t>How do the pantry and expiry reminders work?</t>
  </si>
  <si>
    <t>Add an item, its quantity and the date you opened or bought it. The pantry works out the expiry date from the shelf life on the Ingredients tab and flags anything inside the 'use it or lose it' window you set on Settings.</t>
  </si>
  <si>
    <t>Can I use ounces instead of grams?</t>
  </si>
  <si>
    <t>Set Measurement system to Imperial on the Settings tab and use the Converter tab when a recipe is written in the other system.</t>
  </si>
  <si>
    <t>How do I record that we ate out?</t>
  </si>
  <si>
    <t>On the Meal Plan tab set the status to Takeaway or Eating out. The budget and the habit trackers pick it up, and the week is no longer counted as fully home cooked.</t>
  </si>
  <si>
    <t>Can I print just the shopping list?</t>
  </si>
  <si>
    <t>Yes - Print Shopping. Choose the store and the week, then print. The list is grouped by aisle with check boxes down the side.</t>
  </si>
  <si>
    <t>How do I add a recipe card?</t>
  </si>
  <si>
    <t>Print Recipe. Choose the recipe title and it lays out the ingredients, the method notes and the nutrition for one page.</t>
  </si>
  <si>
    <t>Something looks wrong - what do I check first?</t>
  </si>
  <si>
    <t>Check that the ingredient and recipe names match exactly between tabs, that the dates are real dates and not text, and that Settings has a planning year. Most odd numbers come from a name typed slightly differently on two tabs.</t>
  </si>
  <si>
    <t>Can I add my own columns?</t>
  </si>
  <si>
    <t>Yes, but the sheets are protected. Unprotect the sheet from Review &gt; Unprotect Sheet, add your columns to the right of the existing ones, then protect it again.</t>
  </si>
  <si>
    <t>How much of this do I have to fill in?</t>
  </si>
  <si>
    <t>Only what you use. If you never batch cook, leave Meal Prep and Fridge &amp; Freezer empty. The planner still works from Recipes, Meal Plan and Grocery List alone.</t>
  </si>
  <si>
    <t>Where do I get support?</t>
  </si>
  <si>
    <t>Message Novality Store through the shop where you bought this workbook and include the version number from the Start Here tab.</t>
  </si>
  <si>
    <t xml:space="preserve">  TROUBLESHOOTING</t>
  </si>
  <si>
    <t>#REF! errors</t>
  </si>
  <si>
    <t>A row or column was deleted. Close without saving and reopen the original file.</t>
  </si>
  <si>
    <t>Zero calories for a planned meal</t>
  </si>
  <si>
    <t>The recipe has no nutrition entered, or the servings on the plan row are zero.</t>
  </si>
  <si>
    <t>Grocery list is empty</t>
  </si>
  <si>
    <t>The Meal Plan rows have no date inside the week you are looking at, or the status is set to Skipped.</t>
  </si>
  <si>
    <t>Costs look too high</t>
  </si>
  <si>
    <t>The price on the Ingredients tab is the price of one unit, not of a whole pack. Divide the pack price by the pack size.</t>
  </si>
  <si>
    <t>A drop down will not let me type</t>
  </si>
  <si>
    <t>The cell is validated against a list on the Lists tab. Either pick from the list or add your value to the list.</t>
  </si>
  <si>
    <t xml:space="preserve">  GOOD HABITS</t>
  </si>
  <si>
    <t>-</t>
  </si>
  <si>
    <t>Fill in Settings first - the rest of the workbook depends on it.</t>
  </si>
  <si>
    <t>Add your 20 most used ingredients before anything else.</t>
  </si>
  <si>
    <t>Type ingredient names exactly the same way on every tab.</t>
  </si>
  <si>
    <t>Plan one week at a time until the habit sticks.</t>
  </si>
  <si>
    <t>Record what you actually threw away - it is the fastest way to save money on food.</t>
  </si>
  <si>
    <t>Print the week and stick it on the fridge; the plan only works if you can see it.</t>
  </si>
  <si>
    <t xml:space="preserve">  Novality Store  -  version 1.0.0</t>
  </si>
</sst>
</file>

<file path=xl/styles.xml><?xml version="1.0" encoding="utf-8"?>
<styleSheet xmlns="http://schemas.openxmlformats.org/spreadsheetml/2006/main">
  <numFmts count="6">
    <numFmt numFmtId="164" formatCode="$#,##0.00"/>
    <numFmt numFmtId="165" formatCode="#,##0.##"/>
    <numFmt numFmtId="166" formatCode="$#,##0.00;[Red]-$#,##0.00"/>
    <numFmt numFmtId="167" formatCode="dd-mmm-yyyy"/>
    <numFmt numFmtId="168" formatCode="0%"/>
    <numFmt numFmtId="169" formatCode="0.0%"/>
  </numFmts>
  <fonts count="15">
    <font>
      <sz val="11"/>
      <color theme="1"/>
      <name val="Calibri"/>
      <family val="2"/>
      <scheme val="minor"/>
    </font>
    <font>
      <b/>
      <sz val="16"/>
      <color rgb="FFFFFFFF"/>
      <name val="Calibri"/>
      <family val="2"/>
      <scheme val="minor"/>
    </font>
    <font>
      <i/>
      <sz val="10"/>
      <color rgb="FFFFFFFF"/>
      <name val="Calibri"/>
      <family val="2"/>
      <scheme val="minor"/>
    </font>
    <font>
      <b/>
      <sz val="10"/>
      <color rgb="FFFFFFFF"/>
      <name val="Calibri"/>
      <family val="2"/>
      <scheme val="minor"/>
    </font>
    <font>
      <b/>
      <sz val="11"/>
      <color rgb="FFFFFFFF"/>
      <name val="Calibri"/>
      <family val="2"/>
      <scheme val="minor"/>
    </font>
    <font>
      <sz val="10"/>
      <color rgb="FF1E2C22"/>
      <name val="Calibri"/>
      <family val="2"/>
      <scheme val="minor"/>
    </font>
    <font>
      <b/>
      <sz val="10"/>
      <color rgb="FF1E2C22"/>
      <name val="Calibri"/>
      <family val="2"/>
      <scheme val="minor"/>
    </font>
    <font>
      <b/>
      <sz val="20"/>
      <color rgb="FFD9703C"/>
      <name val="Calibri"/>
      <family val="2"/>
      <scheme val="minor"/>
    </font>
    <font>
      <u/>
      <sz val="10"/>
      <color rgb="FFD9703C"/>
      <name val="Calibri"/>
      <family val="2"/>
      <scheme val="minor"/>
    </font>
    <font>
      <b/>
      <sz val="9"/>
      <color rgb="FF4E8A63"/>
      <name val="Calibri"/>
      <family val="2"/>
      <scheme val="minor"/>
    </font>
    <font>
      <b/>
      <sz val="20"/>
      <color rgb="FF2F5E43"/>
      <name val="Calibri"/>
      <family val="2"/>
      <scheme val="minor"/>
    </font>
    <font>
      <i/>
      <sz val="8"/>
      <color rgb="FF5A6560"/>
      <name val="Calibri"/>
      <family val="2"/>
      <scheme val="minor"/>
    </font>
    <font>
      <b/>
      <sz val="10"/>
      <color rgb="FF2F5E43"/>
      <name val="Calibri"/>
      <family val="2"/>
      <scheme val="minor"/>
    </font>
    <font>
      <i/>
      <sz val="9"/>
      <color rgb="FF5A6560"/>
      <name val="Calibri"/>
      <family val="2"/>
      <scheme val="minor"/>
    </font>
    <font>
      <sz val="8"/>
      <color indexed="81"/>
      <name val="Tahoma"/>
      <family val="2"/>
    </font>
  </fonts>
  <fills count="9">
    <fill>
      <patternFill patternType="none"/>
    </fill>
    <fill>
      <patternFill patternType="gray125"/>
    </fill>
    <fill>
      <patternFill patternType="solid">
        <fgColor rgb="FF2F5E43"/>
        <bgColor indexed="64"/>
      </patternFill>
    </fill>
    <fill>
      <patternFill patternType="solid">
        <fgColor rgb="FF4E8A63"/>
        <bgColor indexed="64"/>
      </patternFill>
    </fill>
    <fill>
      <patternFill patternType="solid">
        <fgColor rgb="FFFFFFFF"/>
        <bgColor indexed="64"/>
      </patternFill>
    </fill>
    <fill>
      <patternFill patternType="solid">
        <fgColor rgb="FFFFFDF7"/>
        <bgColor indexed="64"/>
      </patternFill>
    </fill>
    <fill>
      <patternFill patternType="solid">
        <fgColor rgb="FFEFF4F0"/>
        <bgColor indexed="64"/>
      </patternFill>
    </fill>
    <fill>
      <patternFill patternType="solid">
        <fgColor rgb="FFE2EFE6"/>
        <bgColor indexed="64"/>
      </patternFill>
    </fill>
    <fill>
      <patternFill patternType="solid">
        <fgColor rgb="FFF7FAF8"/>
        <bgColor indexed="64"/>
      </patternFill>
    </fill>
  </fills>
  <borders count="5">
    <border>
      <left/>
      <right/>
      <top/>
      <bottom/>
      <diagonal/>
    </border>
    <border>
      <left style="thin">
        <color rgb="FFE8DEC6"/>
      </left>
      <right style="thin">
        <color rgb="FFE8DEC6"/>
      </right>
      <top style="thin">
        <color rgb="FFE8DEC6"/>
      </top>
      <bottom style="thin">
        <color rgb="FFE8DEC6"/>
      </bottom>
      <diagonal/>
    </border>
    <border>
      <left style="thin">
        <color rgb="FFD2E0D6"/>
      </left>
      <right style="thin">
        <color rgb="FFD2E0D6"/>
      </right>
      <top style="thin">
        <color rgb="FFD2E0D6"/>
      </top>
      <bottom style="thin">
        <color rgb="FFD2E0D6"/>
      </bottom>
      <diagonal/>
    </border>
    <border>
      <left style="thin">
        <color rgb="FF4E8A63"/>
      </left>
      <right style="thin">
        <color rgb="FF4E8A63"/>
      </right>
      <top style="thin">
        <color rgb="FF4E8A63"/>
      </top>
      <bottom style="thin">
        <color rgb="FF4E8A63"/>
      </bottom>
      <diagonal/>
    </border>
    <border>
      <left style="thin">
        <color rgb="FFC2D4C7"/>
      </left>
      <right style="thin">
        <color rgb="FFC2D4C7"/>
      </right>
      <top style="thin">
        <color rgb="FFC2D4C7"/>
      </top>
      <bottom style="thin">
        <color rgb="FFC2D4C7"/>
      </bottom>
      <diagonal/>
    </border>
  </borders>
  <cellStyleXfs count="1">
    <xf numFmtId="0" fontId="0" fillId="0" borderId="0"/>
  </cellStyleXfs>
  <cellXfs count="34">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3" borderId="0" xfId="0" applyFont="1" applyFill="1" applyAlignment="1">
      <alignment horizontal="center" vertical="center"/>
    </xf>
    <xf numFmtId="0" fontId="4" fillId="3" borderId="0" xfId="0" applyFont="1" applyFill="1" applyAlignment="1">
      <alignment horizontal="left" vertical="center" indent="1"/>
    </xf>
    <xf numFmtId="0" fontId="5" fillId="0" borderId="0" xfId="0" applyFont="1" applyAlignment="1">
      <alignment vertical="top" wrapText="1"/>
    </xf>
    <xf numFmtId="0" fontId="6" fillId="4" borderId="0" xfId="0" applyFont="1" applyFill="1" applyAlignment="1">
      <alignment horizontal="left" vertical="center" indent="1"/>
    </xf>
    <xf numFmtId="0" fontId="5" fillId="5" borderId="1" xfId="0" applyFont="1" applyFill="1" applyBorder="1" applyAlignment="1" applyProtection="1">
      <alignment horizontal="left" vertical="center" indent="1"/>
      <protection locked="0"/>
    </xf>
    <xf numFmtId="0" fontId="5" fillId="6" borderId="2" xfId="0" applyFont="1" applyFill="1" applyBorder="1" applyAlignment="1">
      <alignment horizontal="left" vertical="center" indent="1"/>
    </xf>
    <xf numFmtId="0" fontId="3" fillId="2" borderId="3" xfId="0" applyFont="1" applyFill="1" applyBorder="1" applyAlignment="1">
      <alignment horizontal="center" vertical="center" wrapText="1"/>
    </xf>
    <xf numFmtId="164" fontId="7" fillId="4" borderId="4" xfId="0" applyNumberFormat="1" applyFont="1" applyFill="1" applyBorder="1" applyAlignment="1">
      <alignment horizontal="center" vertical="center"/>
    </xf>
    <xf numFmtId="0" fontId="8" fillId="0" borderId="0" xfId="0" applyFont="1" applyAlignment="1">
      <alignment vertical="center"/>
    </xf>
    <xf numFmtId="0" fontId="6" fillId="6" borderId="2" xfId="0" applyFont="1" applyFill="1" applyBorder="1" applyAlignment="1">
      <alignment horizontal="left" vertical="center" indent="1"/>
    </xf>
    <xf numFmtId="165" fontId="5" fillId="6" borderId="2" xfId="0" applyNumberFormat="1" applyFont="1" applyFill="1" applyBorder="1" applyAlignment="1">
      <alignment horizontal="left" vertical="center" indent="1"/>
    </xf>
    <xf numFmtId="166" fontId="5" fillId="6" borderId="2" xfId="0" applyNumberFormat="1" applyFont="1" applyFill="1" applyBorder="1" applyAlignment="1">
      <alignment horizontal="right" vertical="center" indent="1"/>
    </xf>
    <xf numFmtId="0" fontId="9" fillId="4" borderId="4" xfId="0" applyFont="1" applyFill="1" applyBorder="1" applyAlignment="1">
      <alignment horizontal="center" vertical="center" wrapText="1"/>
    </xf>
    <xf numFmtId="165" fontId="10" fillId="4" borderId="4" xfId="0" applyNumberFormat="1" applyFont="1" applyFill="1" applyBorder="1" applyAlignment="1">
      <alignment horizontal="center" vertical="center"/>
    </xf>
    <xf numFmtId="0" fontId="11" fillId="4" borderId="4" xfId="0" applyFont="1" applyFill="1" applyBorder="1" applyAlignment="1">
      <alignment horizontal="center" vertical="center" wrapText="1"/>
    </xf>
    <xf numFmtId="167" fontId="5" fillId="6" borderId="2" xfId="0" applyNumberFormat="1" applyFont="1" applyFill="1" applyBorder="1" applyAlignment="1">
      <alignment horizontal="left" vertical="center" indent="1"/>
    </xf>
    <xf numFmtId="0" fontId="5" fillId="6" borderId="2" xfId="0" applyFont="1" applyFill="1" applyBorder="1" applyAlignment="1">
      <alignment horizontal="left" vertical="center" indent="1"/>
    </xf>
    <xf numFmtId="0" fontId="12" fillId="7" borderId="4" xfId="0" applyFont="1" applyFill="1" applyBorder="1" applyAlignment="1">
      <alignment horizontal="left" vertical="center" indent="1"/>
    </xf>
    <xf numFmtId="165" fontId="12" fillId="7" borderId="4" xfId="0" applyNumberFormat="1" applyFont="1" applyFill="1" applyBorder="1" applyAlignment="1">
      <alignment horizontal="center" vertical="center"/>
    </xf>
    <xf numFmtId="166" fontId="12" fillId="7" borderId="4" xfId="0" applyNumberFormat="1" applyFont="1" applyFill="1" applyBorder="1" applyAlignment="1">
      <alignment horizontal="right" vertical="center"/>
    </xf>
    <xf numFmtId="0" fontId="12" fillId="6" borderId="2" xfId="0" applyFont="1" applyFill="1" applyBorder="1" applyAlignment="1">
      <alignment horizontal="left" vertical="center" indent="1"/>
    </xf>
    <xf numFmtId="0" fontId="13" fillId="8" borderId="0" xfId="0" applyFont="1" applyFill="1" applyAlignment="1">
      <alignment vertical="top" indent="1" wrapText="1"/>
    </xf>
    <xf numFmtId="0" fontId="5" fillId="5" borderId="1" xfId="0" applyFont="1" applyFill="1" applyBorder="1" applyAlignment="1" applyProtection="1">
      <alignment vertical="top" indent="1" wrapText="1"/>
      <protection locked="0"/>
    </xf>
    <xf numFmtId="165" fontId="5" fillId="5" borderId="1" xfId="0" applyNumberFormat="1" applyFont="1" applyFill="1" applyBorder="1" applyAlignment="1" applyProtection="1">
      <alignment horizontal="center" vertical="center"/>
      <protection locked="0"/>
    </xf>
    <xf numFmtId="0" fontId="5" fillId="5" borderId="1" xfId="0" applyFont="1" applyFill="1" applyBorder="1" applyAlignment="1" applyProtection="1">
      <alignment horizontal="center" vertical="center"/>
      <protection locked="0"/>
    </xf>
    <xf numFmtId="166" fontId="5" fillId="5" borderId="1" xfId="0" applyNumberFormat="1" applyFont="1" applyFill="1" applyBorder="1" applyAlignment="1" applyProtection="1">
      <alignment horizontal="right" vertical="center"/>
      <protection locked="0"/>
    </xf>
    <xf numFmtId="168" fontId="5" fillId="5" borderId="1" xfId="0" applyNumberFormat="1" applyFont="1" applyFill="1" applyBorder="1" applyAlignment="1" applyProtection="1">
      <alignment horizontal="center" vertical="center"/>
      <protection locked="0"/>
    </xf>
    <xf numFmtId="167" fontId="5" fillId="5" borderId="1" xfId="0" applyNumberFormat="1" applyFont="1" applyFill="1" applyBorder="1" applyAlignment="1" applyProtection="1">
      <alignment horizontal="center" vertical="center"/>
      <protection locked="0"/>
    </xf>
    <xf numFmtId="169" fontId="5" fillId="6" borderId="2" xfId="0" applyNumberFormat="1" applyFont="1" applyFill="1" applyBorder="1" applyAlignment="1">
      <alignment horizontal="left" vertical="center" indent="1"/>
    </xf>
    <xf numFmtId="169" fontId="12" fillId="7" borderId="4" xfId="0" applyNumberFormat="1" applyFont="1" applyFill="1" applyBorder="1" applyAlignment="1">
      <alignment horizontal="center" vertical="center"/>
    </xf>
    <xf numFmtId="0" fontId="6" fillId="0" borderId="0" xfId="0" applyFont="1" applyAlignment="1">
      <alignment vertical="center"/>
    </xf>
  </cellXfs>
  <cellStyles count="1">
    <cellStyle name="Normal" xfId="0" builtinId="0"/>
  </cellStyles>
  <dxfs count="2">
    <dxf>
      <fill>
        <patternFill>
          <bgColor rgb="FFE2EFE6"/>
        </patternFill>
      </fill>
      <border>
        <left style="thin">
          <color rgb="FFD2E0D6"/>
        </left>
        <right style="thin">
          <color rgb="FFD2E0D6"/>
        </right>
        <top style="thin">
          <color rgb="FFD2E0D6"/>
        </top>
        <bottom style="thin">
          <color rgb="FFD2E0D6"/>
        </bottom>
        <vertical/>
        <horizontal/>
      </border>
    </dxf>
    <dxf>
      <font>
        <b/>
        <color rgb="FF0E6B45"/>
      </font>
      <fill>
        <patternFill>
          <bgColor rgb="FFD9F2E4"/>
        </patternFill>
      </fill>
      <border>
        <left style="thin">
          <color rgb="FFC2D4C7"/>
        </left>
        <right style="thin">
          <color rgb="FFC2D4C7"/>
        </right>
        <top style="thin">
          <color rgb="FFC2D4C7"/>
        </top>
        <bottom style="thin">
          <color rgb="FFC2D4C7"/>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theme" Target="theme/theme1.xml"/><Relationship Id="rId38" Type="http://schemas.openxmlformats.org/officeDocument/2006/relationships/styles" Target="styles.xml"/><Relationship Id="rId3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9.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sheet1.xml><?xml version="1.0" encoding="utf-8"?>
<worksheet xmlns="http://schemas.openxmlformats.org/spreadsheetml/2006/main" xmlns:r="http://schemas.openxmlformats.org/officeDocument/2006/relationships">
  <sheetPr>
    <tabColor rgb="FFD9703C"/>
    <pageSetUpPr fitToPage="1"/>
  </sheetPr>
  <dimension ref="A1:D65"/>
  <sheetViews>
    <sheetView showGridLines="0" tabSelected="1" workbookViewId="0"/>
  </sheetViews>
  <sheetFormatPr defaultRowHeight="15"/>
  <cols>
    <col min="1" max="1" width="3.7109375" customWidth="1"/>
    <col min="2" max="2" width="30.7109375" customWidth="1"/>
    <col min="3" max="3" width="78.7109375" customWidth="1"/>
    <col min="4" max="4" width="22.7109375" customWidth="1"/>
  </cols>
  <sheetData>
    <row r="1" spans="1:4" ht="42" customHeight="1">
      <c r="A1" s="1" t="s">
        <v>0</v>
      </c>
      <c r="B1" s="1"/>
      <c r="C1" s="1"/>
      <c r="D1" s="1"/>
    </row>
    <row r="2" spans="1:4" ht="20" customHeight="1">
      <c r="A2" s="2" t="s">
        <v>1</v>
      </c>
      <c r="B2" s="2"/>
      <c r="C2" s="2"/>
      <c r="D2" s="2"/>
    </row>
    <row r="3" spans="1:4" ht="20" customHeight="1">
      <c r="A3" s="3" t="s">
        <v>2</v>
      </c>
      <c r="B3" s="3"/>
      <c r="C3" s="3"/>
      <c r="D3" s="3"/>
    </row>
    <row r="5" spans="1:4">
      <c r="A5" s="4" t="s">
        <v>3</v>
      </c>
      <c r="B5" s="4"/>
      <c r="C5" s="4"/>
      <c r="D5" s="4"/>
    </row>
    <row r="6" spans="1:4">
      <c r="B6" s="5" t="s">
        <v>4</v>
      </c>
      <c r="C6" s="5"/>
      <c r="D6" s="5"/>
    </row>
    <row r="7" spans="1:4">
      <c r="B7" s="5"/>
      <c r="C7" s="5"/>
      <c r="D7" s="5"/>
    </row>
    <row r="8" spans="1:4">
      <c r="B8" s="5"/>
      <c r="C8" s="5"/>
      <c r="D8" s="5"/>
    </row>
    <row r="10" spans="1:4">
      <c r="A10" s="4" t="s">
        <v>5</v>
      </c>
      <c r="B10" s="4"/>
      <c r="C10" s="4"/>
      <c r="D10" s="4"/>
    </row>
    <row r="11" spans="1:4" ht="34" customHeight="1">
      <c r="B11" s="6" t="s">
        <v>6</v>
      </c>
      <c r="C11" s="5" t="s">
        <v>7</v>
      </c>
      <c r="D11" s="5"/>
    </row>
    <row r="12" spans="1:4" ht="34" customHeight="1">
      <c r="B12" s="6" t="s">
        <v>8</v>
      </c>
      <c r="C12" s="5" t="s">
        <v>9</v>
      </c>
      <c r="D12" s="5"/>
    </row>
    <row r="13" spans="1:4" ht="34" customHeight="1">
      <c r="B13" s="6" t="s">
        <v>10</v>
      </c>
      <c r="C13" s="5" t="s">
        <v>11</v>
      </c>
      <c r="D13" s="5"/>
    </row>
    <row r="14" spans="1:4" ht="34" customHeight="1">
      <c r="B14" s="6" t="s">
        <v>12</v>
      </c>
      <c r="C14" s="5" t="s">
        <v>13</v>
      </c>
      <c r="D14" s="5"/>
    </row>
    <row r="15" spans="1:4" ht="34" customHeight="1">
      <c r="B15" s="6" t="s">
        <v>14</v>
      </c>
      <c r="C15" s="5" t="s">
        <v>15</v>
      </c>
      <c r="D15" s="5"/>
    </row>
    <row r="17" spans="1:4">
      <c r="A17" s="4" t="s">
        <v>16</v>
      </c>
      <c r="B17" s="4"/>
      <c r="C17" s="4"/>
      <c r="D17" s="4"/>
    </row>
    <row r="18" spans="1:4" ht="22" customHeight="1">
      <c r="B18" s="7" t="s">
        <v>17</v>
      </c>
      <c r="C18" s="5" t="s">
        <v>18</v>
      </c>
      <c r="D18" s="5"/>
    </row>
    <row r="19" spans="1:4" ht="22" customHeight="1">
      <c r="B19" s="8" t="s">
        <v>19</v>
      </c>
      <c r="C19" s="5" t="s">
        <v>20</v>
      </c>
      <c r="D19" s="5"/>
    </row>
    <row r="20" spans="1:4" ht="22" customHeight="1">
      <c r="B20" s="9" t="s">
        <v>21</v>
      </c>
      <c r="C20" s="5" t="s">
        <v>22</v>
      </c>
      <c r="D20" s="5"/>
    </row>
    <row r="21" spans="1:4" ht="22" customHeight="1">
      <c r="B21" s="10" t="s">
        <v>23</v>
      </c>
      <c r="C21" s="5" t="s">
        <v>24</v>
      </c>
      <c r="D21" s="5"/>
    </row>
    <row r="23" spans="1:4">
      <c r="A23" s="4" t="s">
        <v>25</v>
      </c>
      <c r="B23" s="4"/>
      <c r="C23" s="4"/>
      <c r="D23" s="4"/>
    </row>
    <row r="24" spans="1:4" ht="20" customHeight="1">
      <c r="B24" s="11" t="s">
        <v>26</v>
      </c>
      <c r="C24" s="5" t="s">
        <v>27</v>
      </c>
      <c r="D24" s="5"/>
    </row>
    <row r="25" spans="1:4" ht="20" customHeight="1">
      <c r="B25" s="11" t="s">
        <v>28</v>
      </c>
      <c r="C25" s="5" t="s">
        <v>29</v>
      </c>
      <c r="D25" s="5"/>
    </row>
    <row r="26" spans="1:4" ht="20" customHeight="1">
      <c r="B26" s="11" t="s">
        <v>30</v>
      </c>
      <c r="C26" s="5" t="s">
        <v>31</v>
      </c>
      <c r="D26" s="5"/>
    </row>
    <row r="27" spans="1:4" ht="20" customHeight="1">
      <c r="B27" s="11" t="s">
        <v>32</v>
      </c>
      <c r="C27" s="5" t="s">
        <v>33</v>
      </c>
      <c r="D27" s="5"/>
    </row>
    <row r="28" spans="1:4" ht="20" customHeight="1">
      <c r="B28" s="11" t="s">
        <v>34</v>
      </c>
      <c r="C28" s="5" t="s">
        <v>35</v>
      </c>
      <c r="D28" s="5"/>
    </row>
    <row r="29" spans="1:4" ht="20" customHeight="1">
      <c r="B29" s="11" t="s">
        <v>36</v>
      </c>
      <c r="C29" s="5" t="s">
        <v>37</v>
      </c>
      <c r="D29" s="5"/>
    </row>
    <row r="30" spans="1:4" ht="20" customHeight="1">
      <c r="B30" s="11" t="s">
        <v>38</v>
      </c>
      <c r="C30" s="5" t="s">
        <v>39</v>
      </c>
      <c r="D30" s="5"/>
    </row>
    <row r="31" spans="1:4" ht="20" customHeight="1">
      <c r="B31" s="11" t="s">
        <v>40</v>
      </c>
      <c r="C31" s="5" t="s">
        <v>41</v>
      </c>
      <c r="D31" s="5"/>
    </row>
    <row r="32" spans="1:4" ht="20" customHeight="1">
      <c r="B32" s="11" t="s">
        <v>42</v>
      </c>
      <c r="C32" s="5" t="s">
        <v>43</v>
      </c>
      <c r="D32" s="5"/>
    </row>
    <row r="33" spans="2:4" ht="20" customHeight="1">
      <c r="B33" s="11" t="s">
        <v>44</v>
      </c>
      <c r="C33" s="5" t="s">
        <v>45</v>
      </c>
      <c r="D33" s="5"/>
    </row>
    <row r="34" spans="2:4" ht="20" customHeight="1">
      <c r="B34" s="11" t="s">
        <v>46</v>
      </c>
      <c r="C34" s="5" t="s">
        <v>47</v>
      </c>
      <c r="D34" s="5"/>
    </row>
    <row r="35" spans="2:4" ht="20" customHeight="1">
      <c r="B35" s="11" t="s">
        <v>48</v>
      </c>
      <c r="C35" s="5" t="s">
        <v>49</v>
      </c>
      <c r="D35" s="5"/>
    </row>
    <row r="36" spans="2:4" ht="20" customHeight="1">
      <c r="B36" s="11" t="s">
        <v>50</v>
      </c>
      <c r="C36" s="5" t="s">
        <v>51</v>
      </c>
      <c r="D36" s="5"/>
    </row>
    <row r="37" spans="2:4" ht="20" customHeight="1">
      <c r="B37" s="11" t="s">
        <v>52</v>
      </c>
      <c r="C37" s="5" t="s">
        <v>53</v>
      </c>
      <c r="D37" s="5"/>
    </row>
    <row r="38" spans="2:4" ht="20" customHeight="1">
      <c r="B38" s="11" t="s">
        <v>54</v>
      </c>
      <c r="C38" s="5" t="s">
        <v>55</v>
      </c>
      <c r="D38" s="5"/>
    </row>
    <row r="39" spans="2:4" ht="20" customHeight="1">
      <c r="B39" s="11" t="s">
        <v>56</v>
      </c>
      <c r="C39" s="5" t="s">
        <v>57</v>
      </c>
      <c r="D39" s="5"/>
    </row>
    <row r="40" spans="2:4" ht="20" customHeight="1">
      <c r="B40" s="11" t="s">
        <v>58</v>
      </c>
      <c r="C40" s="5" t="s">
        <v>59</v>
      </c>
      <c r="D40" s="5"/>
    </row>
    <row r="41" spans="2:4" ht="20" customHeight="1">
      <c r="B41" s="11" t="s">
        <v>60</v>
      </c>
      <c r="C41" s="5" t="s">
        <v>61</v>
      </c>
      <c r="D41" s="5"/>
    </row>
    <row r="42" spans="2:4" ht="20" customHeight="1">
      <c r="B42" s="11" t="s">
        <v>62</v>
      </c>
      <c r="C42" s="5" t="s">
        <v>63</v>
      </c>
      <c r="D42" s="5"/>
    </row>
    <row r="43" spans="2:4" ht="20" customHeight="1">
      <c r="B43" s="11" t="s">
        <v>64</v>
      </c>
      <c r="C43" s="5" t="s">
        <v>65</v>
      </c>
      <c r="D43" s="5"/>
    </row>
    <row r="44" spans="2:4" ht="20" customHeight="1">
      <c r="B44" s="11" t="s">
        <v>66</v>
      </c>
      <c r="C44" s="5" t="s">
        <v>67</v>
      </c>
      <c r="D44" s="5"/>
    </row>
    <row r="45" spans="2:4" ht="20" customHeight="1">
      <c r="B45" s="11" t="s">
        <v>68</v>
      </c>
      <c r="C45" s="5" t="s">
        <v>69</v>
      </c>
      <c r="D45" s="5"/>
    </row>
    <row r="46" spans="2:4" ht="20" customHeight="1">
      <c r="B46" s="11" t="s">
        <v>70</v>
      </c>
      <c r="C46" s="5" t="s">
        <v>71</v>
      </c>
      <c r="D46" s="5"/>
    </row>
    <row r="47" spans="2:4" ht="20" customHeight="1">
      <c r="B47" s="11" t="s">
        <v>72</v>
      </c>
      <c r="C47" s="5" t="s">
        <v>73</v>
      </c>
      <c r="D47" s="5"/>
    </row>
    <row r="48" spans="2:4" ht="20" customHeight="1">
      <c r="B48" s="11" t="s">
        <v>74</v>
      </c>
      <c r="C48" s="5" t="s">
        <v>75</v>
      </c>
      <c r="D48" s="5"/>
    </row>
    <row r="49" spans="1:4" ht="20" customHeight="1">
      <c r="B49" s="11" t="s">
        <v>76</v>
      </c>
      <c r="C49" s="5" t="s">
        <v>77</v>
      </c>
      <c r="D49" s="5"/>
    </row>
    <row r="50" spans="1:4" ht="20" customHeight="1">
      <c r="B50" s="11" t="s">
        <v>78</v>
      </c>
      <c r="C50" s="5" t="s">
        <v>79</v>
      </c>
      <c r="D50" s="5"/>
    </row>
    <row r="51" spans="1:4" ht="20" customHeight="1">
      <c r="B51" s="11" t="s">
        <v>80</v>
      </c>
      <c r="C51" s="5" t="s">
        <v>81</v>
      </c>
      <c r="D51" s="5"/>
    </row>
    <row r="52" spans="1:4" ht="20" customHeight="1">
      <c r="B52" s="11" t="s">
        <v>82</v>
      </c>
      <c r="C52" s="5" t="s">
        <v>83</v>
      </c>
      <c r="D52" s="5"/>
    </row>
    <row r="53" spans="1:4" ht="20" customHeight="1">
      <c r="B53" s="11" t="s">
        <v>84</v>
      </c>
      <c r="C53" s="5" t="s">
        <v>85</v>
      </c>
      <c r="D53" s="5"/>
    </row>
    <row r="54" spans="1:4" ht="20" customHeight="1">
      <c r="B54" s="11" t="s">
        <v>86</v>
      </c>
      <c r="C54" s="5" t="s">
        <v>87</v>
      </c>
      <c r="D54" s="5"/>
    </row>
    <row r="55" spans="1:4" ht="20" customHeight="1">
      <c r="B55" s="11" t="s">
        <v>88</v>
      </c>
      <c r="C55" s="5" t="s">
        <v>89</v>
      </c>
      <c r="D55" s="5"/>
    </row>
    <row r="56" spans="1:4" ht="20" customHeight="1">
      <c r="B56" s="11" t="s">
        <v>90</v>
      </c>
      <c r="C56" s="5" t="s">
        <v>91</v>
      </c>
      <c r="D56" s="5"/>
    </row>
    <row r="57" spans="1:4" ht="20" customHeight="1">
      <c r="B57" s="11" t="s">
        <v>92</v>
      </c>
      <c r="C57" s="5" t="s">
        <v>93</v>
      </c>
      <c r="D57" s="5"/>
    </row>
    <row r="58" spans="1:4" ht="20" customHeight="1">
      <c r="B58" s="11" t="s">
        <v>94</v>
      </c>
      <c r="C58" s="5" t="s">
        <v>95</v>
      </c>
      <c r="D58" s="5"/>
    </row>
    <row r="59" spans="1:4" ht="20" customHeight="1">
      <c r="B59" s="11" t="s">
        <v>96</v>
      </c>
      <c r="C59" s="5" t="s">
        <v>97</v>
      </c>
      <c r="D59" s="5"/>
    </row>
    <row r="60" spans="1:4" ht="20" customHeight="1">
      <c r="B60" s="11" t="s">
        <v>98</v>
      </c>
      <c r="C60" s="5" t="s">
        <v>99</v>
      </c>
      <c r="D60" s="5"/>
    </row>
    <row r="62" spans="1:4">
      <c r="A62" s="4" t="s">
        <v>100</v>
      </c>
      <c r="B62" s="4"/>
      <c r="C62" s="4"/>
      <c r="D62" s="4"/>
    </row>
    <row r="63" spans="1:4" ht="40" customHeight="1">
      <c r="B63" s="5" t="s">
        <v>101</v>
      </c>
      <c r="C63" s="5"/>
      <c r="D63" s="5"/>
    </row>
    <row r="65" spans="1:4">
      <c r="A65" s="4" t="s">
        <v>102</v>
      </c>
      <c r="B65" s="4"/>
      <c r="C65" s="4"/>
      <c r="D65" s="4"/>
    </row>
  </sheetData>
  <sheetProtection password="EC7C" sheet="1" objects="1" scenarios="1" selectLockedCells="1" selectUnlockedCells="1"/>
  <mergeCells count="57">
    <mergeCell ref="A1:D1"/>
    <mergeCell ref="A2:D2"/>
    <mergeCell ref="A3:D3"/>
    <mergeCell ref="A5:D5"/>
    <mergeCell ref="B6:D8"/>
    <mergeCell ref="A10:D10"/>
    <mergeCell ref="C11:D11"/>
    <mergeCell ref="C12:D12"/>
    <mergeCell ref="C13:D13"/>
    <mergeCell ref="C14:D14"/>
    <mergeCell ref="C15:D15"/>
    <mergeCell ref="A17:D17"/>
    <mergeCell ref="C18:D18"/>
    <mergeCell ref="C19:D19"/>
    <mergeCell ref="C20:D20"/>
    <mergeCell ref="C21:D21"/>
    <mergeCell ref="A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A62:D62"/>
    <mergeCell ref="B63:D63"/>
    <mergeCell ref="A65:D65"/>
  </mergeCells>
  <hyperlinks>
    <hyperlink ref="B24" location="'Start Here'!A1" display="Start Here"/>
    <hyperlink ref="B25" location="'Dashboard'!A1" display="Dashboard"/>
    <hyperlink ref="B26" location="'Weekly Planner'!A1" display="Weekly Planner"/>
    <hyperlink ref="B27" location="'Monthly Planner'!A1" display="Monthly Planner"/>
    <hyperlink ref="B28" location="'Settings'!A1" display="Settings"/>
    <hyperlink ref="B29" location="'Lists'!A1" display="Lists"/>
    <hyperlink ref="B30" location="'Household'!A1" display="Household"/>
    <hyperlink ref="B31" location="'Recipes'!A1" display="Recipes"/>
    <hyperlink ref="B32" location="'Recipe Ingredients'!A1" display="Recipe Ingredients"/>
    <hyperlink ref="B33" location="'Ingredients'!A1" display="Ingredients"/>
    <hyperlink ref="B34" location="'Meal Plan'!A1" display="Meal Plan"/>
    <hyperlink ref="B35" location="'Grocery List'!A1" display="Grocery List"/>
    <hyperlink ref="B36" location="'Pantry'!A1" display="Pantry"/>
    <hyperlink ref="B37" location="'Staples'!A1" display="Staples"/>
    <hyperlink ref="B38" location="'Leftovers'!A1" display="Leftovers"/>
    <hyperlink ref="B39" location="'Food Waste'!A1" display="Food Waste"/>
    <hyperlink ref="B40" location="'Meal Prep'!A1" display="Meal Prep"/>
    <hyperlink ref="B41" location="'Dietary Filters'!A1" display="Dietary Filters"/>
    <hyperlink ref="B42" location="'Nutrition'!A1" display="Nutrition"/>
    <hyperlink ref="B43" location="'Budget'!A1" display="Budget"/>
    <hyperlink ref="B44" location="'Recipe Costs'!A1" display="Recipe Costs"/>
    <hyperlink ref="B45" location="'Converter'!A1" display="Converter"/>
    <hyperlink ref="B46" location="'Rotation'!A1" display="Rotation"/>
    <hyperlink ref="B47" location="'Food Safety'!A1" display="Food Safety"/>
    <hyperlink ref="B48" location="'Fridge &amp; Freezer'!A1" display="Fridge &amp; Freezer"/>
    <hyperlink ref="B49" location="'Grocery Spending'!A1" display="Grocery Spending"/>
    <hyperlink ref="B50" location="'Store Prices'!A1" display="Store Prices"/>
    <hyperlink ref="B51" location="'Stores'!A1" display="Stores"/>
    <hyperlink ref="B52" location="'Events'!A1" display="Events"/>
    <hyperlink ref="B53" location="'Event Menu'!A1" display="Event Menu"/>
    <hyperlink ref="B54" location="'Goals'!A1" display="Goals"/>
    <hyperlink ref="B55" location="'Sustainability'!A1" display="Sustainability"/>
    <hyperlink ref="B56" location="'Reports'!A1" display="Reports"/>
    <hyperlink ref="B57" location="'Print Week'!A1" display="Print Week"/>
    <hyperlink ref="B58" location="'Print Shopping'!A1" display="Print Shopping"/>
    <hyperlink ref="B59" location="'Print Recipe'!A1" display="Print Recipe"/>
    <hyperlink ref="B60" location="'Help'!A1" display="Help"/>
  </hyperlink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sheetPr>
    <tabColor rgb="FFD9703C"/>
    <pageSetUpPr fitToPage="1"/>
  </sheetPr>
  <dimension ref="A1:R61"/>
  <sheetViews>
    <sheetView showGridLines="0" workbookViewId="0"/>
  </sheetViews>
  <sheetFormatPr defaultRowHeight="15"/>
  <cols>
    <col min="1" max="1" width="24.7109375" customWidth="1"/>
    <col min="2" max="18" width="13.7109375" customWidth="1"/>
  </cols>
  <sheetData>
    <row r="1" spans="1:18" ht="34" customHeight="1">
      <c r="A1" s="1" t="s">
        <v>103</v>
      </c>
      <c r="B1" s="1"/>
      <c r="C1" s="1"/>
      <c r="D1" s="1"/>
      <c r="E1" s="1"/>
      <c r="F1" s="1"/>
      <c r="G1" s="1"/>
      <c r="H1" s="1"/>
      <c r="I1" s="1"/>
      <c r="J1" s="1"/>
      <c r="K1" s="1"/>
      <c r="L1" s="1"/>
      <c r="M1" s="1"/>
      <c r="N1" s="1"/>
      <c r="O1" s="1"/>
      <c r="P1" s="1"/>
      <c r="Q1" s="1"/>
      <c r="R1" s="1"/>
    </row>
    <row r="2" spans="1:18" ht="18" customHeight="1">
      <c r="A2" s="2" t="s">
        <v>104</v>
      </c>
      <c r="B2" s="2"/>
      <c r="C2" s="2"/>
      <c r="D2" s="2"/>
      <c r="E2" s="2"/>
      <c r="F2" s="2"/>
      <c r="G2" s="2"/>
      <c r="H2" s="2"/>
      <c r="I2" s="2"/>
      <c r="J2" s="2"/>
      <c r="K2" s="2"/>
      <c r="L2" s="2"/>
      <c r="M2" s="2"/>
      <c r="N2" s="2"/>
      <c r="O2" s="2"/>
      <c r="P2" s="2"/>
      <c r="Q2" s="2"/>
      <c r="R2" s="2"/>
    </row>
    <row r="3" spans="1:18" ht="20" customHeight="1">
      <c r="A3" s="3" t="s">
        <v>105</v>
      </c>
      <c r="B3" s="3"/>
      <c r="C3" s="3"/>
      <c r="D3" s="3"/>
      <c r="E3" s="3"/>
      <c r="F3" s="3"/>
      <c r="G3" s="3"/>
      <c r="H3" s="3"/>
      <c r="I3" s="3"/>
      <c r="J3" s="3"/>
      <c r="K3" s="3"/>
      <c r="L3" s="3"/>
      <c r="M3" s="3"/>
      <c r="N3" s="3"/>
      <c r="O3" s="3"/>
      <c r="P3" s="3"/>
      <c r="Q3" s="3"/>
      <c r="R3" s="3"/>
    </row>
    <row r="5" spans="1:18" ht="22" customHeight="1">
      <c r="A5" s="4" t="s">
        <v>106</v>
      </c>
      <c r="B5" s="4"/>
      <c r="C5" s="4"/>
      <c r="D5" s="4"/>
      <c r="E5" s="4"/>
      <c r="F5" s="4"/>
      <c r="G5" s="4"/>
      <c r="H5" s="4"/>
      <c r="I5" s="4"/>
      <c r="J5" s="4"/>
      <c r="K5" s="4"/>
      <c r="L5" s="4"/>
      <c r="M5" s="4"/>
      <c r="N5" s="4"/>
      <c r="O5" s="4"/>
      <c r="P5" s="4"/>
      <c r="Q5" s="4"/>
      <c r="R5" s="4"/>
    </row>
    <row r="6" spans="1:18">
      <c r="B6" s="6" t="s">
        <v>107</v>
      </c>
      <c r="C6" s="7" t="s">
        <v>108</v>
      </c>
      <c r="F6" s="6" t="s">
        <v>109</v>
      </c>
      <c r="G6" s="12">
        <f>TEXT($C$7,"mmmm yyyy")</f>
        <v>0</v>
      </c>
      <c r="I6" s="6" t="s">
        <v>38</v>
      </c>
      <c r="J6" s="8">
        <f>Household_Name</f>
        <v>0</v>
      </c>
      <c r="L6" s="6" t="s">
        <v>110</v>
      </c>
      <c r="M6" s="13">
        <f>Household_Size</f>
        <v>0</v>
      </c>
      <c r="O6" s="6" t="s">
        <v>111</v>
      </c>
      <c r="P6" s="13">
        <f>Default_Servings</f>
        <v>0</v>
      </c>
    </row>
    <row r="7" spans="1:18">
      <c r="B7" s="6" t="s">
        <v>112</v>
      </c>
      <c r="C7" s="8">
        <f>Shopping_Day</f>
        <v>0</v>
      </c>
      <c r="F7" s="6" t="s">
        <v>113</v>
      </c>
      <c r="G7" s="8">
        <f>Prep_Day</f>
        <v>0</v>
      </c>
      <c r="I7" s="6" t="s">
        <v>114</v>
      </c>
      <c r="J7" s="14">
        <f>Weekly_Budget</f>
        <v>0</v>
      </c>
    </row>
    <row r="9" spans="1:18" ht="22" customHeight="1">
      <c r="A9" s="4" t="s">
        <v>115</v>
      </c>
      <c r="B9" s="4"/>
      <c r="C9" s="4"/>
      <c r="D9" s="4"/>
      <c r="E9" s="4"/>
      <c r="F9" s="4"/>
      <c r="G9" s="4"/>
      <c r="H9" s="4"/>
      <c r="I9" s="4"/>
      <c r="J9" s="4"/>
      <c r="K9" s="4"/>
      <c r="L9" s="4"/>
      <c r="M9" s="4"/>
      <c r="N9" s="4"/>
      <c r="O9" s="4"/>
      <c r="P9" s="4"/>
      <c r="Q9" s="4"/>
      <c r="R9" s="4"/>
    </row>
    <row r="10" spans="1:18">
      <c r="A10" s="15" t="s">
        <v>116</v>
      </c>
      <c r="B10" s="15"/>
      <c r="C10" s="15"/>
      <c r="D10" s="15" t="s">
        <v>118</v>
      </c>
      <c r="E10" s="15"/>
      <c r="F10" s="15"/>
      <c r="G10" s="15" t="s">
        <v>119</v>
      </c>
      <c r="H10" s="15"/>
      <c r="I10" s="15"/>
      <c r="J10" s="15" t="s">
        <v>120</v>
      </c>
      <c r="K10" s="15"/>
      <c r="L10" s="15"/>
      <c r="M10" s="15" t="s">
        <v>122</v>
      </c>
      <c r="N10" s="15"/>
      <c r="O10" s="15"/>
      <c r="P10" s="15" t="s">
        <v>124</v>
      </c>
      <c r="Q10" s="15"/>
      <c r="R10" s="15"/>
    </row>
    <row r="11" spans="1:18" ht="34" customHeight="1">
      <c r="A11" s="16">
        <f>COUNTIFS('Meal Plan'!$C$5:$C$504,$C$7)</f>
        <v>0</v>
      </c>
      <c r="B11" s="16"/>
      <c r="C11" s="16"/>
      <c r="D11" s="16">
        <f>IFERROR(SUMIFS('Meal Plan'!$L$5:$L$504,'Meal Plan'!$C$5:$C$504,$C$7)/MAX(1,Household_Size)/7,0)</f>
        <v>0</v>
      </c>
      <c r="E11" s="16"/>
      <c r="F11" s="16"/>
      <c r="G11" s="10">
        <f>SUMIFS('Meal Plan'!$Q$5:$Q$504,'Meal Plan'!$C$5:$C$504,$C$7)</f>
        <v>0</v>
      </c>
      <c r="H11" s="10"/>
      <c r="I11" s="10"/>
      <c r="J11" s="10">
        <f>Weekly_Budget-SUMIFS('Meal Plan'!$Q$5:$Q$504,'Meal Plan'!$C$5:$C$504,$C$7)</f>
        <v>0</v>
      </c>
      <c r="K11" s="10"/>
      <c r="L11" s="10"/>
      <c r="M11" s="16">
        <f>COUNTIFS('Grocery List'!$N$5:$N$304,"Yes")</f>
        <v>0</v>
      </c>
      <c r="N11" s="16"/>
      <c r="O11" s="16"/>
      <c r="P11" s="16">
        <f>COUNTIFS(Pantry!$K$5:$K$304,"Use soon")+COUNTIFS(Pantry!$K$5:$K$304,"Expired")</f>
        <v>0</v>
      </c>
      <c r="Q11" s="16"/>
      <c r="R11" s="16"/>
    </row>
    <row r="12" spans="1:18">
      <c r="A12" s="17" t="s">
        <v>117</v>
      </c>
      <c r="B12" s="17"/>
      <c r="C12" s="17"/>
      <c r="D12" s="17">
        <f> "target "&amp;TEXT(Calorie_Target,"#,##0")</f>
        <v>0</v>
      </c>
      <c r="E12" s="17"/>
      <c r="F12" s="17"/>
      <c r="G12" s="17">
        <f> "budget "&amp;TEXT(Weekly_Budget,"#,##0.00")</f>
        <v>0</v>
      </c>
      <c r="H12" s="17"/>
      <c r="I12" s="17"/>
      <c r="J12" s="17" t="s">
        <v>121</v>
      </c>
      <c r="K12" s="17"/>
      <c r="L12" s="17"/>
      <c r="M12" s="17" t="s">
        <v>123</v>
      </c>
      <c r="N12" s="17"/>
      <c r="O12" s="17"/>
      <c r="P12" s="17" t="s">
        <v>125</v>
      </c>
      <c r="Q12" s="17"/>
      <c r="R12" s="17"/>
    </row>
    <row r="14" spans="1:18" ht="22" customHeight="1">
      <c r="A14" s="4" t="s">
        <v>126</v>
      </c>
      <c r="B14" s="4"/>
      <c r="C14" s="4"/>
      <c r="D14" s="4"/>
      <c r="E14" s="4"/>
      <c r="F14" s="4"/>
      <c r="G14" s="4"/>
      <c r="H14" s="4"/>
      <c r="I14" s="4"/>
      <c r="J14" s="4"/>
      <c r="K14" s="4"/>
      <c r="L14" s="4"/>
      <c r="M14" s="4"/>
      <c r="N14" s="4"/>
      <c r="O14" s="4"/>
      <c r="P14" s="4"/>
      <c r="Q14" s="4"/>
      <c r="R14" s="4"/>
    </row>
    <row r="15" spans="1:18">
      <c r="A15" s="9" t="s">
        <v>127</v>
      </c>
      <c r="B15" s="9" t="s">
        <v>128</v>
      </c>
      <c r="C15" s="9" t="s">
        <v>129</v>
      </c>
      <c r="D15" s="9" t="s">
        <v>130</v>
      </c>
      <c r="E15" s="9" t="s">
        <v>131</v>
      </c>
      <c r="F15" s="9" t="s">
        <v>132</v>
      </c>
      <c r="G15" s="9" t="s">
        <v>133</v>
      </c>
      <c r="H15" s="9" t="s">
        <v>134</v>
      </c>
      <c r="I15" s="9" t="s">
        <v>135</v>
      </c>
    </row>
    <row r="16" spans="1:18">
      <c r="A16" s="12">
        <f>TEXT($C$7+0,"ddd")</f>
        <v>0</v>
      </c>
      <c r="B16" s="18">
        <f>$C$7+0</f>
        <v>0</v>
      </c>
      <c r="C16" s="8">
        <f>IFERROR(INDEX('Meal Plan'!$G$5:$G$504,MATCH(1,INDEX(('Meal Plan'!$B$5:$B$504=$B16)*('Meal Plan'!$F$5:$F$504="Breakfast"),0),0)),"")</f>
        <v>0</v>
      </c>
      <c r="D16" s="8">
        <f>IFERROR(INDEX('Meal Plan'!$G$5:$G$504,MATCH(1,INDEX(('Meal Plan'!$B$5:$B$504=$B16)*('Meal Plan'!$F$5:$F$504="Lunch"),0),0)),"")</f>
        <v>0</v>
      </c>
      <c r="E16" s="8">
        <f>IFERROR(INDEX('Meal Plan'!$G$5:$G$504,MATCH(1,INDEX(('Meal Plan'!$B$5:$B$504=$B16)*('Meal Plan'!$F$5:$F$504="Dinner"),0),0)),"")</f>
        <v>0</v>
      </c>
      <c r="F16" s="8">
        <f>IFERROR(INDEX('Meal Plan'!$G$5:$G$504,MATCH(1,INDEX(('Meal Plan'!$B$5:$B$504=$B16)*('Meal Plan'!$F$5:$F$504="Afternoon snack"),0),0)),"")</f>
        <v>0</v>
      </c>
      <c r="G16" s="13">
        <f>SUMIFS('Meal Plan'!$L$5:$L$504,'Meal Plan'!$B$5:$B$504,$B16)</f>
        <v>0</v>
      </c>
      <c r="H16" s="14">
        <f>SUMIFS('Meal Plan'!$Q$5:$Q$504,'Meal Plan'!$B$5:$B$504,$B16)</f>
        <v>0</v>
      </c>
      <c r="I16" s="19">
        <f>IF(COUNTIFS('Meal Plan'!$B$5:$B$504,$B16)=0,"Nothing planned",TEXT(COUNTIFS('Meal Plan'!$B$5:$B$504,$B16,'Meal Plan'!$S$5:$S$504,"Cooked")+COUNTIFS('Meal Plan'!$B$5:$B$504,$B16,'Meal Plan'!$S$5:$S$504,"Eaten"),"0")&amp;" of "&amp;TEXT(COUNTIFS('Meal Plan'!$B$5:$B$504,$B16),"0")&amp;" cooked")</f>
        <v>0</v>
      </c>
    </row>
    <row r="17" spans="1:18">
      <c r="A17" s="12">
        <f>TEXT($C$7+1,"ddd")</f>
        <v>0</v>
      </c>
      <c r="B17" s="18">
        <f>$C$7+1</f>
        <v>0</v>
      </c>
      <c r="C17" s="8">
        <f>IFERROR(INDEX('Meal Plan'!$G$5:$G$504,MATCH(1,INDEX(('Meal Plan'!$B$5:$B$504=$B17)*('Meal Plan'!$F$5:$F$504="Breakfast"),0),0)),"")</f>
        <v>0</v>
      </c>
      <c r="D17" s="8">
        <f>IFERROR(INDEX('Meal Plan'!$G$5:$G$504,MATCH(1,INDEX(('Meal Plan'!$B$5:$B$504=$B17)*('Meal Plan'!$F$5:$F$504="Lunch"),0),0)),"")</f>
        <v>0</v>
      </c>
      <c r="E17" s="8">
        <f>IFERROR(INDEX('Meal Plan'!$G$5:$G$504,MATCH(1,INDEX(('Meal Plan'!$B$5:$B$504=$B17)*('Meal Plan'!$F$5:$F$504="Dinner"),0),0)),"")</f>
        <v>0</v>
      </c>
      <c r="F17" s="8">
        <f>IFERROR(INDEX('Meal Plan'!$G$5:$G$504,MATCH(1,INDEX(('Meal Plan'!$B$5:$B$504=$B17)*('Meal Plan'!$F$5:$F$504="Afternoon snack"),0),0)),"")</f>
        <v>0</v>
      </c>
      <c r="G17" s="13">
        <f>SUMIFS('Meal Plan'!$L$5:$L$504,'Meal Plan'!$B$5:$B$504,$B17)</f>
        <v>0</v>
      </c>
      <c r="H17" s="14">
        <f>SUMIFS('Meal Plan'!$Q$5:$Q$504,'Meal Plan'!$B$5:$B$504,$B17)</f>
        <v>0</v>
      </c>
      <c r="I17" s="19">
        <f>IF(COUNTIFS('Meal Plan'!$B$5:$B$504,$B17)=0,"Nothing planned",TEXT(COUNTIFS('Meal Plan'!$B$5:$B$504,$B17,'Meal Plan'!$S$5:$S$504,"Cooked")+COUNTIFS('Meal Plan'!$B$5:$B$504,$B17,'Meal Plan'!$S$5:$S$504,"Eaten"),"0")&amp;" of "&amp;TEXT(COUNTIFS('Meal Plan'!$B$5:$B$504,$B17),"0")&amp;" cooked")</f>
        <v>0</v>
      </c>
    </row>
    <row r="18" spans="1:18">
      <c r="A18" s="12">
        <f>TEXT($C$7+2,"ddd")</f>
        <v>0</v>
      </c>
      <c r="B18" s="18">
        <f>$C$7+2</f>
        <v>0</v>
      </c>
      <c r="C18" s="8">
        <f>IFERROR(INDEX('Meal Plan'!$G$5:$G$504,MATCH(1,INDEX(('Meal Plan'!$B$5:$B$504=$B18)*('Meal Plan'!$F$5:$F$504="Breakfast"),0),0)),"")</f>
        <v>0</v>
      </c>
      <c r="D18" s="8">
        <f>IFERROR(INDEX('Meal Plan'!$G$5:$G$504,MATCH(1,INDEX(('Meal Plan'!$B$5:$B$504=$B18)*('Meal Plan'!$F$5:$F$504="Lunch"),0),0)),"")</f>
        <v>0</v>
      </c>
      <c r="E18" s="8">
        <f>IFERROR(INDEX('Meal Plan'!$G$5:$G$504,MATCH(1,INDEX(('Meal Plan'!$B$5:$B$504=$B18)*('Meal Plan'!$F$5:$F$504="Dinner"),0),0)),"")</f>
        <v>0</v>
      </c>
      <c r="F18" s="8">
        <f>IFERROR(INDEX('Meal Plan'!$G$5:$G$504,MATCH(1,INDEX(('Meal Plan'!$B$5:$B$504=$B18)*('Meal Plan'!$F$5:$F$504="Afternoon snack"),0),0)),"")</f>
        <v>0</v>
      </c>
      <c r="G18" s="13">
        <f>SUMIFS('Meal Plan'!$L$5:$L$504,'Meal Plan'!$B$5:$B$504,$B18)</f>
        <v>0</v>
      </c>
      <c r="H18" s="14">
        <f>SUMIFS('Meal Plan'!$Q$5:$Q$504,'Meal Plan'!$B$5:$B$504,$B18)</f>
        <v>0</v>
      </c>
      <c r="I18" s="19">
        <f>IF(COUNTIFS('Meal Plan'!$B$5:$B$504,$B18)=0,"Nothing planned",TEXT(COUNTIFS('Meal Plan'!$B$5:$B$504,$B18,'Meal Plan'!$S$5:$S$504,"Cooked")+COUNTIFS('Meal Plan'!$B$5:$B$504,$B18,'Meal Plan'!$S$5:$S$504,"Eaten"),"0")&amp;" of "&amp;TEXT(COUNTIFS('Meal Plan'!$B$5:$B$504,$B18),"0")&amp;" cooked")</f>
        <v>0</v>
      </c>
    </row>
    <row r="19" spans="1:18">
      <c r="A19" s="12">
        <f>TEXT($C$7+3,"ddd")</f>
        <v>0</v>
      </c>
      <c r="B19" s="18">
        <f>$C$7+3</f>
        <v>0</v>
      </c>
      <c r="C19" s="8">
        <f>IFERROR(INDEX('Meal Plan'!$G$5:$G$504,MATCH(1,INDEX(('Meal Plan'!$B$5:$B$504=$B19)*('Meal Plan'!$F$5:$F$504="Breakfast"),0),0)),"")</f>
        <v>0</v>
      </c>
      <c r="D19" s="8">
        <f>IFERROR(INDEX('Meal Plan'!$G$5:$G$504,MATCH(1,INDEX(('Meal Plan'!$B$5:$B$504=$B19)*('Meal Plan'!$F$5:$F$504="Lunch"),0),0)),"")</f>
        <v>0</v>
      </c>
      <c r="E19" s="8">
        <f>IFERROR(INDEX('Meal Plan'!$G$5:$G$504,MATCH(1,INDEX(('Meal Plan'!$B$5:$B$504=$B19)*('Meal Plan'!$F$5:$F$504="Dinner"),0),0)),"")</f>
        <v>0</v>
      </c>
      <c r="F19" s="8">
        <f>IFERROR(INDEX('Meal Plan'!$G$5:$G$504,MATCH(1,INDEX(('Meal Plan'!$B$5:$B$504=$B19)*('Meal Plan'!$F$5:$F$504="Afternoon snack"),0),0)),"")</f>
        <v>0</v>
      </c>
      <c r="G19" s="13">
        <f>SUMIFS('Meal Plan'!$L$5:$L$504,'Meal Plan'!$B$5:$B$504,$B19)</f>
        <v>0</v>
      </c>
      <c r="H19" s="14">
        <f>SUMIFS('Meal Plan'!$Q$5:$Q$504,'Meal Plan'!$B$5:$B$504,$B19)</f>
        <v>0</v>
      </c>
      <c r="I19" s="19">
        <f>IF(COUNTIFS('Meal Plan'!$B$5:$B$504,$B19)=0,"Nothing planned",TEXT(COUNTIFS('Meal Plan'!$B$5:$B$504,$B19,'Meal Plan'!$S$5:$S$504,"Cooked")+COUNTIFS('Meal Plan'!$B$5:$B$504,$B19,'Meal Plan'!$S$5:$S$504,"Eaten"),"0")&amp;" of "&amp;TEXT(COUNTIFS('Meal Plan'!$B$5:$B$504,$B19),"0")&amp;" cooked")</f>
        <v>0</v>
      </c>
    </row>
    <row r="20" spans="1:18">
      <c r="A20" s="12">
        <f>TEXT($C$7+4,"ddd")</f>
        <v>0</v>
      </c>
      <c r="B20" s="18">
        <f>$C$7+4</f>
        <v>0</v>
      </c>
      <c r="C20" s="8">
        <f>IFERROR(INDEX('Meal Plan'!$G$5:$G$504,MATCH(1,INDEX(('Meal Plan'!$B$5:$B$504=$B20)*('Meal Plan'!$F$5:$F$504="Breakfast"),0),0)),"")</f>
        <v>0</v>
      </c>
      <c r="D20" s="8">
        <f>IFERROR(INDEX('Meal Plan'!$G$5:$G$504,MATCH(1,INDEX(('Meal Plan'!$B$5:$B$504=$B20)*('Meal Plan'!$F$5:$F$504="Lunch"),0),0)),"")</f>
        <v>0</v>
      </c>
      <c r="E20" s="8">
        <f>IFERROR(INDEX('Meal Plan'!$G$5:$G$504,MATCH(1,INDEX(('Meal Plan'!$B$5:$B$504=$B20)*('Meal Plan'!$F$5:$F$504="Dinner"),0),0)),"")</f>
        <v>0</v>
      </c>
      <c r="F20" s="8">
        <f>IFERROR(INDEX('Meal Plan'!$G$5:$G$504,MATCH(1,INDEX(('Meal Plan'!$B$5:$B$504=$B20)*('Meal Plan'!$F$5:$F$504="Afternoon snack"),0),0)),"")</f>
        <v>0</v>
      </c>
      <c r="G20" s="13">
        <f>SUMIFS('Meal Plan'!$L$5:$L$504,'Meal Plan'!$B$5:$B$504,$B20)</f>
        <v>0</v>
      </c>
      <c r="H20" s="14">
        <f>SUMIFS('Meal Plan'!$Q$5:$Q$504,'Meal Plan'!$B$5:$B$504,$B20)</f>
        <v>0</v>
      </c>
      <c r="I20" s="19">
        <f>IF(COUNTIFS('Meal Plan'!$B$5:$B$504,$B20)=0,"Nothing planned",TEXT(COUNTIFS('Meal Plan'!$B$5:$B$504,$B20,'Meal Plan'!$S$5:$S$504,"Cooked")+COUNTIFS('Meal Plan'!$B$5:$B$504,$B20,'Meal Plan'!$S$5:$S$504,"Eaten"),"0")&amp;" of "&amp;TEXT(COUNTIFS('Meal Plan'!$B$5:$B$504,$B20),"0")&amp;" cooked")</f>
        <v>0</v>
      </c>
    </row>
    <row r="21" spans="1:18">
      <c r="A21" s="12">
        <f>TEXT($C$7+5,"ddd")</f>
        <v>0</v>
      </c>
      <c r="B21" s="18">
        <f>$C$7+5</f>
        <v>0</v>
      </c>
      <c r="C21" s="8">
        <f>IFERROR(INDEX('Meal Plan'!$G$5:$G$504,MATCH(1,INDEX(('Meal Plan'!$B$5:$B$504=$B21)*('Meal Plan'!$F$5:$F$504="Breakfast"),0),0)),"")</f>
        <v>0</v>
      </c>
      <c r="D21" s="8">
        <f>IFERROR(INDEX('Meal Plan'!$G$5:$G$504,MATCH(1,INDEX(('Meal Plan'!$B$5:$B$504=$B21)*('Meal Plan'!$F$5:$F$504="Lunch"),0),0)),"")</f>
        <v>0</v>
      </c>
      <c r="E21" s="8">
        <f>IFERROR(INDEX('Meal Plan'!$G$5:$G$504,MATCH(1,INDEX(('Meal Plan'!$B$5:$B$504=$B21)*('Meal Plan'!$F$5:$F$504="Dinner"),0),0)),"")</f>
        <v>0</v>
      </c>
      <c r="F21" s="8">
        <f>IFERROR(INDEX('Meal Plan'!$G$5:$G$504,MATCH(1,INDEX(('Meal Plan'!$B$5:$B$504=$B21)*('Meal Plan'!$F$5:$F$504="Afternoon snack"),0),0)),"")</f>
        <v>0</v>
      </c>
      <c r="G21" s="13">
        <f>SUMIFS('Meal Plan'!$L$5:$L$504,'Meal Plan'!$B$5:$B$504,$B21)</f>
        <v>0</v>
      </c>
      <c r="H21" s="14">
        <f>SUMIFS('Meal Plan'!$Q$5:$Q$504,'Meal Plan'!$B$5:$B$504,$B21)</f>
        <v>0</v>
      </c>
      <c r="I21" s="19">
        <f>IF(COUNTIFS('Meal Plan'!$B$5:$B$504,$B21)=0,"Nothing planned",TEXT(COUNTIFS('Meal Plan'!$B$5:$B$504,$B21,'Meal Plan'!$S$5:$S$504,"Cooked")+COUNTIFS('Meal Plan'!$B$5:$B$504,$B21,'Meal Plan'!$S$5:$S$504,"Eaten"),"0")&amp;" of "&amp;TEXT(COUNTIFS('Meal Plan'!$B$5:$B$504,$B21),"0")&amp;" cooked")</f>
        <v>0</v>
      </c>
    </row>
    <row r="22" spans="1:18">
      <c r="A22" s="12">
        <f>TEXT($C$7+6,"ddd")</f>
        <v>0</v>
      </c>
      <c r="B22" s="18">
        <f>$C$7+6</f>
        <v>0</v>
      </c>
      <c r="C22" s="8">
        <f>IFERROR(INDEX('Meal Plan'!$G$5:$G$504,MATCH(1,INDEX(('Meal Plan'!$B$5:$B$504=$B22)*('Meal Plan'!$F$5:$F$504="Breakfast"),0),0)),"")</f>
        <v>0</v>
      </c>
      <c r="D22" s="8">
        <f>IFERROR(INDEX('Meal Plan'!$G$5:$G$504,MATCH(1,INDEX(('Meal Plan'!$B$5:$B$504=$B22)*('Meal Plan'!$F$5:$F$504="Lunch"),0),0)),"")</f>
        <v>0</v>
      </c>
      <c r="E22" s="8">
        <f>IFERROR(INDEX('Meal Plan'!$G$5:$G$504,MATCH(1,INDEX(('Meal Plan'!$B$5:$B$504=$B22)*('Meal Plan'!$F$5:$F$504="Dinner"),0),0)),"")</f>
        <v>0</v>
      </c>
      <c r="F22" s="8">
        <f>IFERROR(INDEX('Meal Plan'!$G$5:$G$504,MATCH(1,INDEX(('Meal Plan'!$B$5:$B$504=$B22)*('Meal Plan'!$F$5:$F$504="Afternoon snack"),0),0)),"")</f>
        <v>0</v>
      </c>
      <c r="G22" s="13">
        <f>SUMIFS('Meal Plan'!$L$5:$L$504,'Meal Plan'!$B$5:$B$504,$B22)</f>
        <v>0</v>
      </c>
      <c r="H22" s="14">
        <f>SUMIFS('Meal Plan'!$Q$5:$Q$504,'Meal Plan'!$B$5:$B$504,$B22)</f>
        <v>0</v>
      </c>
      <c r="I22" s="19">
        <f>IF(COUNTIFS('Meal Plan'!$B$5:$B$504,$B22)=0,"Nothing planned",TEXT(COUNTIFS('Meal Plan'!$B$5:$B$504,$B22,'Meal Plan'!$S$5:$S$504,"Cooked")+COUNTIFS('Meal Plan'!$B$5:$B$504,$B22,'Meal Plan'!$S$5:$S$504,"Eaten"),"0")&amp;" of "&amp;TEXT(COUNTIFS('Meal Plan'!$B$5:$B$504,$B22),"0")&amp;" cooked")</f>
        <v>0</v>
      </c>
    </row>
    <row r="23" spans="1:18">
      <c r="A23" s="20">
        <f>Week</f>
        <v>0</v>
      </c>
      <c r="B23" s="20"/>
      <c r="C23" s="20"/>
      <c r="D23" s="20"/>
      <c r="E23" s="20"/>
      <c r="F23" s="20"/>
      <c r="G23" s="21">
        <f>SUMIFS('Meal Plan'!$L$5:$L$504,'Meal Plan'!$C$5:$C$504,$C$7)</f>
        <v>0</v>
      </c>
      <c r="H23" s="22">
        <f>SUMIFS('Meal Plan'!$Q$5:$Q$504,'Meal Plan'!$C$5:$C$504,$C$7)</f>
        <v>0</v>
      </c>
      <c r="I23" s="20">
        <f>TEXT(IFERROR(SUMIFS('Meal Plan'!$L$5:$L$504,'Meal Plan'!$C$5:$C$504,$C$7)/MAX(1,Household_Size)/7/Calorie_Target,0),"0%")&amp;" of target"</f>
        <v>0</v>
      </c>
    </row>
    <row r="25" spans="1:18" ht="22" customHeight="1">
      <c r="A25" s="4" t="s">
        <v>136</v>
      </c>
      <c r="B25" s="4"/>
      <c r="C25" s="4"/>
      <c r="D25" s="4"/>
      <c r="E25" s="4"/>
      <c r="F25" s="4"/>
      <c r="G25" s="4"/>
      <c r="H25" s="4"/>
      <c r="I25" s="4"/>
      <c r="J25" s="4"/>
      <c r="K25" s="4"/>
      <c r="L25" s="4"/>
      <c r="M25" s="4"/>
      <c r="N25" s="4"/>
      <c r="O25" s="4"/>
      <c r="P25" s="4"/>
      <c r="Q25" s="4"/>
      <c r="R25" s="4"/>
    </row>
    <row r="26" spans="1:18">
      <c r="A26" s="9" t="s">
        <v>137</v>
      </c>
      <c r="B26" s="9" t="s">
        <v>138</v>
      </c>
      <c r="C26" s="9" t="s">
        <v>139</v>
      </c>
      <c r="D26" s="9" t="s">
        <v>140</v>
      </c>
      <c r="E26" s="9" t="s">
        <v>141</v>
      </c>
      <c r="F26" s="9" t="s">
        <v>142</v>
      </c>
    </row>
    <row r="27" spans="1:18">
      <c r="A27" s="19">
        <v>1</v>
      </c>
      <c r="B27" s="8">
        <f>IFERROR(INDEX(Recipes!$A$5:$A$204,MATCH($A27,Recipes!$AX$5:$AX$204,0)),"")</f>
        <v>0</v>
      </c>
      <c r="C27" s="18">
        <f>IFERROR(INDEX(Recipes!$X$5:$X$204,MATCH($A27,Recipes!$AX$5:$AX$204,0)),"")</f>
        <v>0</v>
      </c>
      <c r="D27" s="13">
        <f>IFERROR(INDEX(Recipes!$Y$5:$Y$204,MATCH($A27,Recipes!$AX$5:$AX$204,0)),"")</f>
        <v>0</v>
      </c>
      <c r="E27" s="13">
        <f>IFERROR(INDEX(Recipes!$AN$5:$AN$204,MATCH($A27,Recipes!$AX$5:$AX$204,0)),"")</f>
        <v>0</v>
      </c>
      <c r="F27" s="14">
        <f>IFERROR(INDEX(Recipes!$Q$5:$Q$204,MATCH($A27,Recipes!$AX$5:$AX$204,0)),"")</f>
        <v>0</v>
      </c>
    </row>
    <row r="28" spans="1:18">
      <c r="A28" s="19">
        <v>2</v>
      </c>
      <c r="B28" s="8">
        <f>IFERROR(INDEX(Recipes!$A$5:$A$204,MATCH($A28,Recipes!$AX$5:$AX$204,0)),"")</f>
        <v>0</v>
      </c>
      <c r="C28" s="18">
        <f>IFERROR(INDEX(Recipes!$X$5:$X$204,MATCH($A28,Recipes!$AX$5:$AX$204,0)),"")</f>
        <v>0</v>
      </c>
      <c r="D28" s="13">
        <f>IFERROR(INDEX(Recipes!$Y$5:$Y$204,MATCH($A28,Recipes!$AX$5:$AX$204,0)),"")</f>
        <v>0</v>
      </c>
      <c r="E28" s="13">
        <f>IFERROR(INDEX(Recipes!$AN$5:$AN$204,MATCH($A28,Recipes!$AX$5:$AX$204,0)),"")</f>
        <v>0</v>
      </c>
      <c r="F28" s="14">
        <f>IFERROR(INDEX(Recipes!$Q$5:$Q$204,MATCH($A28,Recipes!$AX$5:$AX$204,0)),"")</f>
        <v>0</v>
      </c>
    </row>
    <row r="29" spans="1:18">
      <c r="A29" s="19">
        <v>3</v>
      </c>
      <c r="B29" s="8">
        <f>IFERROR(INDEX(Recipes!$A$5:$A$204,MATCH($A29,Recipes!$AX$5:$AX$204,0)),"")</f>
        <v>0</v>
      </c>
      <c r="C29" s="18">
        <f>IFERROR(INDEX(Recipes!$X$5:$X$204,MATCH($A29,Recipes!$AX$5:$AX$204,0)),"")</f>
        <v>0</v>
      </c>
      <c r="D29" s="13">
        <f>IFERROR(INDEX(Recipes!$Y$5:$Y$204,MATCH($A29,Recipes!$AX$5:$AX$204,0)),"")</f>
        <v>0</v>
      </c>
      <c r="E29" s="13">
        <f>IFERROR(INDEX(Recipes!$AN$5:$AN$204,MATCH($A29,Recipes!$AX$5:$AX$204,0)),"")</f>
        <v>0</v>
      </c>
      <c r="F29" s="14">
        <f>IFERROR(INDEX(Recipes!$Q$5:$Q$204,MATCH($A29,Recipes!$AX$5:$AX$204,0)),"")</f>
        <v>0</v>
      </c>
    </row>
    <row r="30" spans="1:18">
      <c r="A30" s="19">
        <v>4</v>
      </c>
      <c r="B30" s="8">
        <f>IFERROR(INDEX(Recipes!$A$5:$A$204,MATCH($A30,Recipes!$AX$5:$AX$204,0)),"")</f>
        <v>0</v>
      </c>
      <c r="C30" s="18">
        <f>IFERROR(INDEX(Recipes!$X$5:$X$204,MATCH($A30,Recipes!$AX$5:$AX$204,0)),"")</f>
        <v>0</v>
      </c>
      <c r="D30" s="13">
        <f>IFERROR(INDEX(Recipes!$Y$5:$Y$204,MATCH($A30,Recipes!$AX$5:$AX$204,0)),"")</f>
        <v>0</v>
      </c>
      <c r="E30" s="13">
        <f>IFERROR(INDEX(Recipes!$AN$5:$AN$204,MATCH($A30,Recipes!$AX$5:$AX$204,0)),"")</f>
        <v>0</v>
      </c>
      <c r="F30" s="14">
        <f>IFERROR(INDEX(Recipes!$Q$5:$Q$204,MATCH($A30,Recipes!$AX$5:$AX$204,0)),"")</f>
        <v>0</v>
      </c>
    </row>
    <row r="31" spans="1:18">
      <c r="A31" s="19">
        <v>5</v>
      </c>
      <c r="B31" s="8">
        <f>IFERROR(INDEX(Recipes!$A$5:$A$204,MATCH($A31,Recipes!$AX$5:$AX$204,0)),"")</f>
        <v>0</v>
      </c>
      <c r="C31" s="18">
        <f>IFERROR(INDEX(Recipes!$X$5:$X$204,MATCH($A31,Recipes!$AX$5:$AX$204,0)),"")</f>
        <v>0</v>
      </c>
      <c r="D31" s="13">
        <f>IFERROR(INDEX(Recipes!$Y$5:$Y$204,MATCH($A31,Recipes!$AX$5:$AX$204,0)),"")</f>
        <v>0</v>
      </c>
      <c r="E31" s="13">
        <f>IFERROR(INDEX(Recipes!$AN$5:$AN$204,MATCH($A31,Recipes!$AX$5:$AX$204,0)),"")</f>
        <v>0</v>
      </c>
      <c r="F31" s="14">
        <f>IFERROR(INDEX(Recipes!$Q$5:$Q$204,MATCH($A31,Recipes!$AX$5:$AX$204,0)),"")</f>
        <v>0</v>
      </c>
    </row>
    <row r="33" spans="1:18" ht="22" customHeight="1">
      <c r="A33" s="4" t="s">
        <v>143</v>
      </c>
      <c r="B33" s="4"/>
      <c r="C33" s="4"/>
      <c r="D33" s="4"/>
      <c r="E33" s="4"/>
      <c r="F33" s="4"/>
      <c r="G33" s="4"/>
      <c r="H33" s="4"/>
      <c r="I33" s="4"/>
      <c r="J33" s="4"/>
      <c r="K33" s="4"/>
      <c r="L33" s="4"/>
      <c r="M33" s="4"/>
      <c r="N33" s="4"/>
      <c r="O33" s="4"/>
      <c r="P33" s="4"/>
      <c r="Q33" s="4"/>
      <c r="R33" s="4"/>
    </row>
    <row r="34" spans="1:18">
      <c r="A34" s="9" t="s">
        <v>137</v>
      </c>
      <c r="B34" s="9" t="s">
        <v>138</v>
      </c>
      <c r="C34" s="9" t="s">
        <v>142</v>
      </c>
      <c r="D34" s="9" t="s">
        <v>133</v>
      </c>
      <c r="E34" s="9" t="s">
        <v>144</v>
      </c>
      <c r="F34" s="9" t="s">
        <v>145</v>
      </c>
    </row>
    <row r="35" spans="1:18">
      <c r="A35" s="19">
        <v>1</v>
      </c>
      <c r="B35" s="8">
        <f>IFERROR(INDEX(Recipes!$A$5:$A$204,MATCH($A35,Recipes!$AV$5:$AV$204,0)),"")</f>
        <v>0</v>
      </c>
      <c r="C35" s="14">
        <f>IFERROR(INDEX(Recipes!$Q$5:$Q$204,MATCH($A35,Recipes!$AV$5:$AV$204,0)),"")</f>
        <v>0</v>
      </c>
      <c r="D35" s="13">
        <f>IFERROR(INDEX(Recipes!$H$5:$H$204,MATCH($A35,Recipes!$AV$5:$AV$204,0)),"")</f>
        <v>0</v>
      </c>
      <c r="E35" s="13">
        <f>IFERROR(INDEX(Recipes!$G$5:$G$204,MATCH($A35,Recipes!$AV$5:$AV$204,0)),"")</f>
        <v>0</v>
      </c>
      <c r="F35" s="14">
        <f>IFERROR(INDEX(Recipes!$R$5:$R$204,MATCH($A35,Recipes!$AV$5:$AV$204,0)),"")</f>
        <v>0</v>
      </c>
    </row>
    <row r="36" spans="1:18">
      <c r="A36" s="19">
        <v>2</v>
      </c>
      <c r="B36" s="8">
        <f>IFERROR(INDEX(Recipes!$A$5:$A$204,MATCH($A36,Recipes!$AV$5:$AV$204,0)),"")</f>
        <v>0</v>
      </c>
      <c r="C36" s="14">
        <f>IFERROR(INDEX(Recipes!$Q$5:$Q$204,MATCH($A36,Recipes!$AV$5:$AV$204,0)),"")</f>
        <v>0</v>
      </c>
      <c r="D36" s="13">
        <f>IFERROR(INDEX(Recipes!$H$5:$H$204,MATCH($A36,Recipes!$AV$5:$AV$204,0)),"")</f>
        <v>0</v>
      </c>
      <c r="E36" s="13">
        <f>IFERROR(INDEX(Recipes!$G$5:$G$204,MATCH($A36,Recipes!$AV$5:$AV$204,0)),"")</f>
        <v>0</v>
      </c>
      <c r="F36" s="14">
        <f>IFERROR(INDEX(Recipes!$R$5:$R$204,MATCH($A36,Recipes!$AV$5:$AV$204,0)),"")</f>
        <v>0</v>
      </c>
    </row>
    <row r="37" spans="1:18">
      <c r="A37" s="19">
        <v>3</v>
      </c>
      <c r="B37" s="8">
        <f>IFERROR(INDEX(Recipes!$A$5:$A$204,MATCH($A37,Recipes!$AV$5:$AV$204,0)),"")</f>
        <v>0</v>
      </c>
      <c r="C37" s="14">
        <f>IFERROR(INDEX(Recipes!$Q$5:$Q$204,MATCH($A37,Recipes!$AV$5:$AV$204,0)),"")</f>
        <v>0</v>
      </c>
      <c r="D37" s="13">
        <f>IFERROR(INDEX(Recipes!$H$5:$H$204,MATCH($A37,Recipes!$AV$5:$AV$204,0)),"")</f>
        <v>0</v>
      </c>
      <c r="E37" s="13">
        <f>IFERROR(INDEX(Recipes!$G$5:$G$204,MATCH($A37,Recipes!$AV$5:$AV$204,0)),"")</f>
        <v>0</v>
      </c>
      <c r="F37" s="14">
        <f>IFERROR(INDEX(Recipes!$R$5:$R$204,MATCH($A37,Recipes!$AV$5:$AV$204,0)),"")</f>
        <v>0</v>
      </c>
    </row>
    <row r="38" spans="1:18">
      <c r="A38" s="19">
        <v>4</v>
      </c>
      <c r="B38" s="8">
        <f>IFERROR(INDEX(Recipes!$A$5:$A$204,MATCH($A38,Recipes!$AV$5:$AV$204,0)),"")</f>
        <v>0</v>
      </c>
      <c r="C38" s="14">
        <f>IFERROR(INDEX(Recipes!$Q$5:$Q$204,MATCH($A38,Recipes!$AV$5:$AV$204,0)),"")</f>
        <v>0</v>
      </c>
      <c r="D38" s="13">
        <f>IFERROR(INDEX(Recipes!$H$5:$H$204,MATCH($A38,Recipes!$AV$5:$AV$204,0)),"")</f>
        <v>0</v>
      </c>
      <c r="E38" s="13">
        <f>IFERROR(INDEX(Recipes!$G$5:$G$204,MATCH($A38,Recipes!$AV$5:$AV$204,0)),"")</f>
        <v>0</v>
      </c>
      <c r="F38" s="14">
        <f>IFERROR(INDEX(Recipes!$R$5:$R$204,MATCH($A38,Recipes!$AV$5:$AV$204,0)),"")</f>
        <v>0</v>
      </c>
    </row>
    <row r="39" spans="1:18">
      <c r="A39" s="19">
        <v>5</v>
      </c>
      <c r="B39" s="8">
        <f>IFERROR(INDEX(Recipes!$A$5:$A$204,MATCH($A39,Recipes!$AV$5:$AV$204,0)),"")</f>
        <v>0</v>
      </c>
      <c r="C39" s="14">
        <f>IFERROR(INDEX(Recipes!$Q$5:$Q$204,MATCH($A39,Recipes!$AV$5:$AV$204,0)),"")</f>
        <v>0</v>
      </c>
      <c r="D39" s="13">
        <f>IFERROR(INDEX(Recipes!$H$5:$H$204,MATCH($A39,Recipes!$AV$5:$AV$204,0)),"")</f>
        <v>0</v>
      </c>
      <c r="E39" s="13">
        <f>IFERROR(INDEX(Recipes!$G$5:$G$204,MATCH($A39,Recipes!$AV$5:$AV$204,0)),"")</f>
        <v>0</v>
      </c>
      <c r="F39" s="14">
        <f>IFERROR(INDEX(Recipes!$R$5:$R$204,MATCH($A39,Recipes!$AV$5:$AV$204,0)),"")</f>
        <v>0</v>
      </c>
    </row>
    <row r="41" spans="1:18" ht="22" customHeight="1">
      <c r="A41" s="4" t="s">
        <v>146</v>
      </c>
      <c r="B41" s="4"/>
      <c r="C41" s="4"/>
      <c r="D41" s="4"/>
      <c r="E41" s="4"/>
      <c r="F41" s="4"/>
      <c r="G41" s="4"/>
      <c r="H41" s="4"/>
      <c r="I41" s="4"/>
      <c r="J41" s="4"/>
      <c r="K41" s="4"/>
      <c r="L41" s="4"/>
      <c r="M41" s="4"/>
      <c r="N41" s="4"/>
      <c r="O41" s="4"/>
      <c r="P41" s="4"/>
      <c r="Q41" s="4"/>
      <c r="R41" s="4"/>
    </row>
    <row r="42" spans="1:18">
      <c r="A42" s="9" t="s">
        <v>137</v>
      </c>
      <c r="B42" s="9" t="s">
        <v>147</v>
      </c>
      <c r="C42" s="9" t="s">
        <v>148</v>
      </c>
      <c r="D42" s="9" t="s">
        <v>149</v>
      </c>
      <c r="E42" s="9" t="s">
        <v>150</v>
      </c>
      <c r="F42" s="9" t="s">
        <v>135</v>
      </c>
    </row>
    <row r="43" spans="1:18">
      <c r="A43" s="19">
        <v>1</v>
      </c>
      <c r="B43" s="8">
        <f>IFERROR(INDEX(Pantry!$A$5:$A$304,MATCH($A43,Pantry!$Q$5:$Q$304,0)),"")</f>
        <v>0</v>
      </c>
      <c r="C43" s="13">
        <f>IFERROR(INDEX(Pantry!$J$5:$J$304,MATCH($A43,Pantry!$Q$5:$Q$304,0)),"")</f>
        <v>0</v>
      </c>
      <c r="D43" s="13">
        <f>IFERROR(INDEX(Pantry!$C$5:$C$304,MATCH($A43,Pantry!$Q$5:$Q$304,0)),"")</f>
        <v>0</v>
      </c>
      <c r="E43" s="8">
        <f>IFERROR(INDEX(Pantry!$E$5:$E$304,MATCH($A43,Pantry!$Q$5:$Q$304,0)),"")</f>
        <v>0</v>
      </c>
      <c r="F43" s="8">
        <f>IFERROR(INDEX(Pantry!$K$5:$K$304,MATCH($A43,Pantry!$Q$5:$Q$304,0)),"")</f>
        <v>0</v>
      </c>
    </row>
    <row r="44" spans="1:18">
      <c r="A44" s="19">
        <v>2</v>
      </c>
      <c r="B44" s="8">
        <f>IFERROR(INDEX(Pantry!$A$5:$A$304,MATCH($A44,Pantry!$Q$5:$Q$304,0)),"")</f>
        <v>0</v>
      </c>
      <c r="C44" s="13">
        <f>IFERROR(INDEX(Pantry!$J$5:$J$304,MATCH($A44,Pantry!$Q$5:$Q$304,0)),"")</f>
        <v>0</v>
      </c>
      <c r="D44" s="13">
        <f>IFERROR(INDEX(Pantry!$C$5:$C$304,MATCH($A44,Pantry!$Q$5:$Q$304,0)),"")</f>
        <v>0</v>
      </c>
      <c r="E44" s="8">
        <f>IFERROR(INDEX(Pantry!$E$5:$E$304,MATCH($A44,Pantry!$Q$5:$Q$304,0)),"")</f>
        <v>0</v>
      </c>
      <c r="F44" s="8">
        <f>IFERROR(INDEX(Pantry!$K$5:$K$304,MATCH($A44,Pantry!$Q$5:$Q$304,0)),"")</f>
        <v>0</v>
      </c>
    </row>
    <row r="45" spans="1:18">
      <c r="A45" s="19">
        <v>3</v>
      </c>
      <c r="B45" s="8">
        <f>IFERROR(INDEX(Pantry!$A$5:$A$304,MATCH($A45,Pantry!$Q$5:$Q$304,0)),"")</f>
        <v>0</v>
      </c>
      <c r="C45" s="13">
        <f>IFERROR(INDEX(Pantry!$J$5:$J$304,MATCH($A45,Pantry!$Q$5:$Q$304,0)),"")</f>
        <v>0</v>
      </c>
      <c r="D45" s="13">
        <f>IFERROR(INDEX(Pantry!$C$5:$C$304,MATCH($A45,Pantry!$Q$5:$Q$304,0)),"")</f>
        <v>0</v>
      </c>
      <c r="E45" s="8">
        <f>IFERROR(INDEX(Pantry!$E$5:$E$304,MATCH($A45,Pantry!$Q$5:$Q$304,0)),"")</f>
        <v>0</v>
      </c>
      <c r="F45" s="8">
        <f>IFERROR(INDEX(Pantry!$K$5:$K$304,MATCH($A45,Pantry!$Q$5:$Q$304,0)),"")</f>
        <v>0</v>
      </c>
    </row>
    <row r="46" spans="1:18">
      <c r="A46" s="19">
        <v>4</v>
      </c>
      <c r="B46" s="8">
        <f>IFERROR(INDEX(Pantry!$A$5:$A$304,MATCH($A46,Pantry!$Q$5:$Q$304,0)),"")</f>
        <v>0</v>
      </c>
      <c r="C46" s="13">
        <f>IFERROR(INDEX(Pantry!$J$5:$J$304,MATCH($A46,Pantry!$Q$5:$Q$304,0)),"")</f>
        <v>0</v>
      </c>
      <c r="D46" s="13">
        <f>IFERROR(INDEX(Pantry!$C$5:$C$304,MATCH($A46,Pantry!$Q$5:$Q$304,0)),"")</f>
        <v>0</v>
      </c>
      <c r="E46" s="8">
        <f>IFERROR(INDEX(Pantry!$E$5:$E$304,MATCH($A46,Pantry!$Q$5:$Q$304,0)),"")</f>
        <v>0</v>
      </c>
      <c r="F46" s="8">
        <f>IFERROR(INDEX(Pantry!$K$5:$K$304,MATCH($A46,Pantry!$Q$5:$Q$304,0)),"")</f>
        <v>0</v>
      </c>
    </row>
    <row r="47" spans="1:18">
      <c r="A47" s="19">
        <v>5</v>
      </c>
      <c r="B47" s="8">
        <f>IFERROR(INDEX(Pantry!$A$5:$A$304,MATCH($A47,Pantry!$Q$5:$Q$304,0)),"")</f>
        <v>0</v>
      </c>
      <c r="C47" s="13">
        <f>IFERROR(INDEX(Pantry!$J$5:$J$304,MATCH($A47,Pantry!$Q$5:$Q$304,0)),"")</f>
        <v>0</v>
      </c>
      <c r="D47" s="13">
        <f>IFERROR(INDEX(Pantry!$C$5:$C$304,MATCH($A47,Pantry!$Q$5:$Q$304,0)),"")</f>
        <v>0</v>
      </c>
      <c r="E47" s="8">
        <f>IFERROR(INDEX(Pantry!$E$5:$E$304,MATCH($A47,Pantry!$Q$5:$Q$304,0)),"")</f>
        <v>0</v>
      </c>
      <c r="F47" s="8">
        <f>IFERROR(INDEX(Pantry!$K$5:$K$304,MATCH($A47,Pantry!$Q$5:$Q$304,0)),"")</f>
        <v>0</v>
      </c>
    </row>
    <row r="48" spans="1:18">
      <c r="A48" s="19">
        <v>6</v>
      </c>
      <c r="B48" s="8">
        <f>IFERROR(INDEX(Pantry!$A$5:$A$304,MATCH($A48,Pantry!$Q$5:$Q$304,0)),"")</f>
        <v>0</v>
      </c>
      <c r="C48" s="13">
        <f>IFERROR(INDEX(Pantry!$J$5:$J$304,MATCH($A48,Pantry!$Q$5:$Q$304,0)),"")</f>
        <v>0</v>
      </c>
      <c r="D48" s="13">
        <f>IFERROR(INDEX(Pantry!$C$5:$C$304,MATCH($A48,Pantry!$Q$5:$Q$304,0)),"")</f>
        <v>0</v>
      </c>
      <c r="E48" s="8">
        <f>IFERROR(INDEX(Pantry!$E$5:$E$304,MATCH($A48,Pantry!$Q$5:$Q$304,0)),"")</f>
        <v>0</v>
      </c>
      <c r="F48" s="8">
        <f>IFERROR(INDEX(Pantry!$K$5:$K$304,MATCH($A48,Pantry!$Q$5:$Q$304,0)),"")</f>
        <v>0</v>
      </c>
    </row>
    <row r="50" spans="1:18" ht="22" customHeight="1">
      <c r="A50" s="4" t="s">
        <v>151</v>
      </c>
      <c r="B50" s="4"/>
      <c r="C50" s="4"/>
      <c r="D50" s="4"/>
      <c r="E50" s="4"/>
      <c r="F50" s="4"/>
      <c r="G50" s="4"/>
      <c r="H50" s="4"/>
      <c r="I50" s="4"/>
      <c r="J50" s="4"/>
      <c r="K50" s="4"/>
      <c r="L50" s="4"/>
      <c r="M50" s="4"/>
      <c r="N50" s="4"/>
      <c r="O50" s="4"/>
      <c r="P50" s="4"/>
      <c r="Q50" s="4"/>
      <c r="R50" s="4"/>
    </row>
    <row r="51" spans="1:18">
      <c r="A51" s="9" t="s">
        <v>152</v>
      </c>
      <c r="C51" s="9" t="s">
        <v>153</v>
      </c>
      <c r="E51" s="9" t="s">
        <v>154</v>
      </c>
      <c r="G51" s="9" t="s">
        <v>135</v>
      </c>
    </row>
    <row r="52" spans="1:18">
      <c r="A52" s="6" t="s">
        <v>155</v>
      </c>
      <c r="B52" s="6"/>
      <c r="C52" s="13">
        <f>COUNTIFS('Meal Plan'!$E$5:$E$504,$G$6,'Meal Plan'!$S$5:$S$504,"Cooked")+COUNTIFS('Meal Plan'!$E$5:$E$504,$G$6,'Meal Plan'!$S$5:$S$504,"Eaten")</f>
        <v>0</v>
      </c>
      <c r="E52" s="13">
        <f>Home_Cooked_Target*4</f>
        <v>0</v>
      </c>
      <c r="G52" s="23">
        <f>IF($C52&gt;=$E52,"On target","Behind target")</f>
        <v>0</v>
      </c>
    </row>
    <row r="53" spans="1:18">
      <c r="A53" s="6" t="s">
        <v>156</v>
      </c>
      <c r="B53" s="6"/>
      <c r="C53" s="13">
        <f>COUNTIFS('Meal Plan'!$E$5:$E$504,$G$6,'Meal Plan'!$S$5:$S$504,"Takeaway")+COUNTIFS('Meal Plan'!$E$5:$E$504,$G$6,'Meal Plan'!$S$5:$S$504,"Eating out")</f>
        <v>0</v>
      </c>
      <c r="E53" s="13">
        <f>Takeaway_Limit</f>
        <v>0</v>
      </c>
      <c r="G53" s="23">
        <f>IF($C53&gt;=$E53,"On target","Behind target")</f>
        <v>0</v>
      </c>
    </row>
    <row r="54" spans="1:18">
      <c r="A54" s="6" t="s">
        <v>157</v>
      </c>
      <c r="B54" s="6"/>
      <c r="C54" s="13">
        <f>COUNTIFS(Recipes!$AM$5:$AM$204,"&gt;="&amp;DATE(Plan_Year,1,1),Recipes!$AM$5:$AM$204,"&lt;="&amp;DATE(Plan_Year,12,31))</f>
        <v>0</v>
      </c>
      <c r="E54" s="13">
        <f>New_Recipe_Target*12</f>
        <v>0</v>
      </c>
      <c r="G54" s="23">
        <f>IF($C54&gt;=$E54,"On target","Behind target")</f>
        <v>0</v>
      </c>
    </row>
    <row r="55" spans="1:18">
      <c r="A55" s="6" t="s">
        <v>158</v>
      </c>
      <c r="B55" s="6"/>
      <c r="C55" s="14">
        <f>Weekly_Budget-SUMIFS('Meal Plan'!$Q$5:$Q$504,'Meal Plan'!$C$5:$C$504,$C$7)</f>
        <v>0</v>
      </c>
      <c r="E55" s="8"/>
      <c r="G55" s="23">
        <f>IF(SUMIFS('Meal Plan'!$Q$5:$Q$504,'Meal Plan'!$C$5:$C$504,$C$7)&gt;Weekly_Budget,"Over budget","Within budget")</f>
        <v>0</v>
      </c>
      <c r="H55" s="23"/>
      <c r="I55" s="23"/>
    </row>
    <row r="56" spans="1:18">
      <c r="A56" s="6" t="s">
        <v>159</v>
      </c>
      <c r="B56" s="6"/>
      <c r="C56" s="14">
        <f>Waste_Cost_Target-SUMIFS('Food Waste'!$H$5:$H$154,'Food Waste'!$O$5:$O$154,$G$6)</f>
        <v>0</v>
      </c>
      <c r="E56" s="8"/>
      <c r="G56" s="23">
        <f>IF(SUMIFS('Food Waste'!$H$5:$H$154,'Food Waste'!$O$5:$O$154,$G$6)&gt;Waste_Cost_Target,"Over target","On target")</f>
        <v>0</v>
      </c>
      <c r="H56" s="23"/>
      <c r="I56" s="23"/>
    </row>
    <row r="57" spans="1:18">
      <c r="A57" s="6" t="s">
        <v>160</v>
      </c>
      <c r="B57" s="6"/>
      <c r="C57" s="14">
        <f>COUNTIFS(Ingredients!$AA$5:$AA$304,"Yes")</f>
        <v>0</v>
      </c>
      <c r="E57" s="8"/>
      <c r="G57" s="23">
        <f>IF(COUNTIFS(Ingredients!$AA$5:$AA$304,"Yes")&gt;0,"Add to the list","Nothing needed")</f>
        <v>0</v>
      </c>
      <c r="H57" s="23"/>
      <c r="I57" s="23"/>
    </row>
    <row r="58" spans="1:18">
      <c r="A58" s="6" t="s">
        <v>161</v>
      </c>
      <c r="B58" s="6"/>
      <c r="C58" s="14">
        <f>COUNTIFS('Meal Plan'!$AG$5:$AG$504,"Check")</f>
        <v>0</v>
      </c>
      <c r="E58" s="8"/>
      <c r="G58" s="23">
        <f>IF(COUNTIFS('Meal Plan'!$AG$5:$AG$504,"Check")&gt;0,"Check the plan","All clear")</f>
        <v>0</v>
      </c>
      <c r="H58" s="23"/>
      <c r="I58" s="23"/>
    </row>
    <row r="59" spans="1:18">
      <c r="A59" s="6" t="s">
        <v>162</v>
      </c>
      <c r="B59" s="6"/>
      <c r="C59" s="14">
        <f>COUNTIFS(Leftovers!$I$5:$I$124,"&gt;=0")</f>
        <v>0</v>
      </c>
      <c r="E59" s="8"/>
      <c r="G59" s="23">
        <f>IF(COUNTIFS(Leftovers!$I$5:$I$124,"&lt;=1")&gt;0,"Eat something today","Nothing urgent")</f>
        <v>0</v>
      </c>
      <c r="H59" s="23"/>
      <c r="I59" s="23"/>
    </row>
    <row r="61" spans="1:18">
      <c r="A61" s="24" t="s">
        <v>163</v>
      </c>
      <c r="B61" s="24"/>
      <c r="C61" s="24"/>
      <c r="D61" s="24"/>
      <c r="E61" s="24"/>
      <c r="F61" s="24"/>
      <c r="G61" s="24"/>
      <c r="H61" s="24"/>
      <c r="I61" s="24"/>
      <c r="J61" s="24"/>
      <c r="K61" s="24"/>
      <c r="L61" s="24"/>
      <c r="M61" s="24"/>
      <c r="N61" s="24"/>
      <c r="O61" s="24"/>
      <c r="P61" s="24"/>
      <c r="Q61" s="24"/>
    </row>
  </sheetData>
  <sheetProtection password="EC7C" sheet="1" objects="1" scenarios="1" selectLockedCells="1" selectUnlockedCells="1"/>
  <mergeCells count="42">
    <mergeCell ref="A1:R1"/>
    <mergeCell ref="A2:R2"/>
    <mergeCell ref="A3:R3"/>
    <mergeCell ref="A5:R5"/>
    <mergeCell ref="A9:R9"/>
    <mergeCell ref="A10:C10"/>
    <mergeCell ref="A11:C11"/>
    <mergeCell ref="A12:C12"/>
    <mergeCell ref="D10:F10"/>
    <mergeCell ref="D11:F11"/>
    <mergeCell ref="D12:F12"/>
    <mergeCell ref="G10:I10"/>
    <mergeCell ref="G11:I11"/>
    <mergeCell ref="G12:I12"/>
    <mergeCell ref="J10:L10"/>
    <mergeCell ref="J11:L11"/>
    <mergeCell ref="J12:L12"/>
    <mergeCell ref="M10:O10"/>
    <mergeCell ref="M11:O11"/>
    <mergeCell ref="M12:O12"/>
    <mergeCell ref="P10:R10"/>
    <mergeCell ref="P11:R11"/>
    <mergeCell ref="P12:R12"/>
    <mergeCell ref="A14:R14"/>
    <mergeCell ref="A25:R25"/>
    <mergeCell ref="A33:R33"/>
    <mergeCell ref="A41:R41"/>
    <mergeCell ref="A50:R50"/>
    <mergeCell ref="A52:B52"/>
    <mergeCell ref="A53:B53"/>
    <mergeCell ref="A54:B54"/>
    <mergeCell ref="A55:B55"/>
    <mergeCell ref="G55:I55"/>
    <mergeCell ref="A56:B56"/>
    <mergeCell ref="G56:I56"/>
    <mergeCell ref="A57:B57"/>
    <mergeCell ref="G57:I57"/>
    <mergeCell ref="A58:B58"/>
    <mergeCell ref="G58:I58"/>
    <mergeCell ref="A59:B59"/>
    <mergeCell ref="G59:I59"/>
    <mergeCell ref="A61:Q61"/>
  </mergeCells>
  <pageMargins left="0.7" right="0.7" top="0.75" bottom="0.75" header="0.3" footer="0.3"/>
  <pageSetup paperSize="9" fitToHeight="0" orientation="landscape"/>
</worksheet>
</file>

<file path=xl/worksheets/sheet3.xml><?xml version="1.0" encoding="utf-8"?>
<worksheet xmlns="http://schemas.openxmlformats.org/spreadsheetml/2006/main" xmlns:r="http://schemas.openxmlformats.org/officeDocument/2006/relationships">
  <sheetPr>
    <tabColor rgb="FFD9703C"/>
    <pageSetUpPr fitToPage="1"/>
  </sheetPr>
  <dimension ref="A1:K16"/>
  <sheetViews>
    <sheetView showGridLines="0" workbookViewId="0">
      <pane xSplit="2" ySplit="8" topLeftCell="C9" activePane="bottomRight" state="frozen"/>
      <selection pane="topRight" activeCell="C1" sqref="C1"/>
      <selection pane="bottomLeft" activeCell="A9" sqref="A9"/>
      <selection pane="bottomRight"/>
    </sheetView>
  </sheetViews>
  <sheetFormatPr defaultRowHeight="15"/>
  <cols>
    <col min="1" max="2" width="12.7109375" customWidth="1"/>
    <col min="3" max="5" width="26.7109375" customWidth="1"/>
    <col min="6" max="6" width="22.7109375" customWidth="1"/>
    <col min="7" max="7" width="20.7109375" customWidth="1"/>
    <col min="8" max="8" width="10.7109375" customWidth="1"/>
    <col min="9" max="10" width="11.7109375" customWidth="1"/>
    <col min="11" max="11" width="30.7109375" customWidth="1"/>
  </cols>
  <sheetData>
    <row r="1" spans="1:11" ht="32" customHeight="1">
      <c r="A1" s="1" t="s">
        <v>164</v>
      </c>
      <c r="B1" s="1"/>
      <c r="C1" s="1"/>
      <c r="D1" s="1"/>
      <c r="E1" s="1"/>
      <c r="F1" s="1"/>
      <c r="G1" s="1"/>
      <c r="H1" s="1"/>
      <c r="I1" s="1"/>
      <c r="J1" s="1"/>
      <c r="K1" s="1"/>
    </row>
    <row r="2" spans="1:11" ht="18" customHeight="1">
      <c r="A2" s="2" t="s">
        <v>165</v>
      </c>
      <c r="B2" s="2"/>
      <c r="C2" s="2"/>
      <c r="D2" s="2"/>
      <c r="E2" s="2"/>
      <c r="F2" s="2"/>
      <c r="G2" s="2"/>
      <c r="H2" s="2"/>
      <c r="I2" s="2"/>
      <c r="J2" s="2"/>
      <c r="K2" s="2"/>
    </row>
    <row r="3" spans="1:11" ht="20" customHeight="1">
      <c r="A3" s="3" t="s">
        <v>166</v>
      </c>
      <c r="B3" s="3"/>
      <c r="C3" s="3"/>
      <c r="D3" s="3"/>
      <c r="E3" s="3"/>
      <c r="F3" s="3"/>
      <c r="G3" s="3"/>
      <c r="H3" s="3"/>
      <c r="I3" s="3"/>
      <c r="J3" s="3"/>
      <c r="K3" s="3"/>
    </row>
    <row r="5" spans="1:11" ht="22" customHeight="1">
      <c r="A5" s="4" t="s">
        <v>167</v>
      </c>
      <c r="B5" s="4"/>
      <c r="C5" s="4"/>
      <c r="D5" s="4"/>
      <c r="E5" s="4"/>
      <c r="F5" s="4"/>
      <c r="G5" s="4"/>
      <c r="H5" s="4"/>
      <c r="I5" s="4"/>
      <c r="J5" s="4"/>
      <c r="K5" s="4"/>
    </row>
    <row r="6" spans="1:11">
      <c r="A6" s="6" t="s">
        <v>107</v>
      </c>
      <c r="B6" s="7" t="s">
        <v>108</v>
      </c>
      <c r="D6" s="6" t="s">
        <v>38</v>
      </c>
      <c r="E6" s="8">
        <f>Household_Name</f>
        <v>0</v>
      </c>
      <c r="G6" s="6" t="s">
        <v>110</v>
      </c>
      <c r="H6" s="13">
        <f>Household_Size</f>
        <v>0</v>
      </c>
      <c r="J6" s="6" t="s">
        <v>64</v>
      </c>
      <c r="K6" s="14">
        <f>Weekly_Budget</f>
        <v>0</v>
      </c>
    </row>
    <row r="7" spans="1:11">
      <c r="A7" s="6" t="s">
        <v>168</v>
      </c>
      <c r="B7" s="12">
        <f>COUNTIFS('Meal Plan'!$C$5:$C$504,$B$8)&amp;" meals this week"</f>
        <v>0</v>
      </c>
      <c r="D7" s="6" t="s">
        <v>169</v>
      </c>
      <c r="E7" s="14">
        <f>SUMIFS('Meal Plan'!$Q$5:$Q$504,'Meal Plan'!$C$5:$C$504,$B$8)</f>
        <v>0</v>
      </c>
      <c r="G7" s="6" t="s">
        <v>120</v>
      </c>
      <c r="H7" s="14">
        <f>Weekly_Budget-$E$7</f>
        <v>0</v>
      </c>
      <c r="J7" s="6" t="s">
        <v>170</v>
      </c>
      <c r="K7" s="13">
        <f>IFERROR(SUMIFS('Meal Plan'!$L$5:$L$504,'Meal Plan'!$C$5:$C$504,$B$8)/MAX(1,Household_Size)/7,0)</f>
        <v>0</v>
      </c>
    </row>
    <row r="8" spans="1:11" ht="26" customHeight="1">
      <c r="A8" s="9" t="s">
        <v>127</v>
      </c>
      <c r="B8" s="9" t="s">
        <v>128</v>
      </c>
      <c r="C8" s="9" t="s">
        <v>129</v>
      </c>
      <c r="D8" s="9" t="s">
        <v>130</v>
      </c>
      <c r="E8" s="9" t="s">
        <v>131</v>
      </c>
      <c r="F8" s="9" t="s">
        <v>171</v>
      </c>
      <c r="G8" s="9" t="s">
        <v>172</v>
      </c>
      <c r="H8" s="9" t="s">
        <v>111</v>
      </c>
      <c r="I8" s="9" t="s">
        <v>133</v>
      </c>
      <c r="J8" s="9" t="s">
        <v>134</v>
      </c>
      <c r="K8" s="9" t="s">
        <v>173</v>
      </c>
    </row>
    <row r="10" spans="1:11" ht="22" customHeight="1">
      <c r="A10" s="12">
        <f>TEXT($B$8+0,"dddd")</f>
        <v>0</v>
      </c>
      <c r="B10" s="18">
        <f>$B$8+0</f>
        <v>0</v>
      </c>
      <c r="C10" s="8">
        <f>IFERROR(INDEX('Meal Plan'!$G$5:$G$504,MATCH(1,INDEX(('Meal Plan'!$B$5:$B$504=$B10)*('Meal Plan'!$F$5:$F$504="Breakfast"),0),0)),"")</f>
        <v>0</v>
      </c>
      <c r="D10" s="8">
        <f>IFERROR(INDEX('Meal Plan'!$G$5:$G$504,MATCH(1,INDEX(('Meal Plan'!$B$5:$B$504=$B10)*('Meal Plan'!$F$5:$F$504="Lunch"),0),0)),"")</f>
        <v>0</v>
      </c>
      <c r="E10" s="8">
        <f>IFERROR(INDEX('Meal Plan'!$G$5:$G$504,MATCH(1,INDEX(('Meal Plan'!$B$5:$B$504=$B10)*('Meal Plan'!$F$5:$F$504="Dinner"),0),0)),"")</f>
        <v>0</v>
      </c>
      <c r="F10" s="8">
        <f>IFERROR(INDEX('Meal Plan'!$G$5:$G$504,MATCH(1,INDEX(('Meal Plan'!$B$5:$B$504=$B10)*('Meal Plan'!$F$5:$F$504="Afternoon snack"),0),0)),"")</f>
        <v>0</v>
      </c>
      <c r="G10" s="8">
        <f>IFERROR(INDEX('Meal Plan'!$G$5:$G$504,MATCH(1,INDEX(('Meal Plan'!$B$5:$B$504=$B10)*('Meal Plan'!$F$5:$F$504="Dessert"),0),0)),"")</f>
        <v>0</v>
      </c>
      <c r="H10" s="13">
        <f>SUMIFS('Meal Plan'!$H$5:$H$504,'Meal Plan'!$B$5:$B$504,$B10)</f>
        <v>0</v>
      </c>
      <c r="I10" s="13">
        <f>SUMIFS('Meal Plan'!$L$5:$L$504,'Meal Plan'!$B$5:$B$504,$B10)</f>
        <v>0</v>
      </c>
      <c r="J10" s="14">
        <f>SUMIFS('Meal Plan'!$Q$5:$Q$504,'Meal Plan'!$B$5:$B$504,$B10)</f>
        <v>0</v>
      </c>
      <c r="K10" s="25"/>
    </row>
    <row r="11" spans="1:11" ht="22" customHeight="1">
      <c r="A11" s="12">
        <f>TEXT($B$8+1,"dddd")</f>
        <v>0</v>
      </c>
      <c r="B11" s="18">
        <f>$B$8+1</f>
        <v>0</v>
      </c>
      <c r="C11" s="8">
        <f>IFERROR(INDEX('Meal Plan'!$G$5:$G$504,MATCH(1,INDEX(('Meal Plan'!$B$5:$B$504=$B11)*('Meal Plan'!$F$5:$F$504="Breakfast"),0),0)),"")</f>
        <v>0</v>
      </c>
      <c r="D11" s="8">
        <f>IFERROR(INDEX('Meal Plan'!$G$5:$G$504,MATCH(1,INDEX(('Meal Plan'!$B$5:$B$504=$B11)*('Meal Plan'!$F$5:$F$504="Lunch"),0),0)),"")</f>
        <v>0</v>
      </c>
      <c r="E11" s="8">
        <f>IFERROR(INDEX('Meal Plan'!$G$5:$G$504,MATCH(1,INDEX(('Meal Plan'!$B$5:$B$504=$B11)*('Meal Plan'!$F$5:$F$504="Dinner"),0),0)),"")</f>
        <v>0</v>
      </c>
      <c r="F11" s="8">
        <f>IFERROR(INDEX('Meal Plan'!$G$5:$G$504,MATCH(1,INDEX(('Meal Plan'!$B$5:$B$504=$B11)*('Meal Plan'!$F$5:$F$504="Afternoon snack"),0),0)),"")</f>
        <v>0</v>
      </c>
      <c r="G11" s="8">
        <f>IFERROR(INDEX('Meal Plan'!$G$5:$G$504,MATCH(1,INDEX(('Meal Plan'!$B$5:$B$504=$B11)*('Meal Plan'!$F$5:$F$504="Dessert"),0),0)),"")</f>
        <v>0</v>
      </c>
      <c r="H11" s="13">
        <f>SUMIFS('Meal Plan'!$H$5:$H$504,'Meal Plan'!$B$5:$B$504,$B11)</f>
        <v>0</v>
      </c>
      <c r="I11" s="13">
        <f>SUMIFS('Meal Plan'!$L$5:$L$504,'Meal Plan'!$B$5:$B$504,$B11)</f>
        <v>0</v>
      </c>
      <c r="J11" s="14">
        <f>SUMIFS('Meal Plan'!$Q$5:$Q$504,'Meal Plan'!$B$5:$B$504,$B11)</f>
        <v>0</v>
      </c>
      <c r="K11" s="25"/>
    </row>
    <row r="12" spans="1:11" ht="22" customHeight="1">
      <c r="A12" s="12">
        <f>TEXT($B$8+2,"dddd")</f>
        <v>0</v>
      </c>
      <c r="B12" s="18">
        <f>$B$8+2</f>
        <v>0</v>
      </c>
      <c r="C12" s="8">
        <f>IFERROR(INDEX('Meal Plan'!$G$5:$G$504,MATCH(1,INDEX(('Meal Plan'!$B$5:$B$504=$B12)*('Meal Plan'!$F$5:$F$504="Breakfast"),0),0)),"")</f>
        <v>0</v>
      </c>
      <c r="D12" s="8">
        <f>IFERROR(INDEX('Meal Plan'!$G$5:$G$504,MATCH(1,INDEX(('Meal Plan'!$B$5:$B$504=$B12)*('Meal Plan'!$F$5:$F$504="Lunch"),0),0)),"")</f>
        <v>0</v>
      </c>
      <c r="E12" s="8">
        <f>IFERROR(INDEX('Meal Plan'!$G$5:$G$504,MATCH(1,INDEX(('Meal Plan'!$B$5:$B$504=$B12)*('Meal Plan'!$F$5:$F$504="Dinner"),0),0)),"")</f>
        <v>0</v>
      </c>
      <c r="F12" s="8">
        <f>IFERROR(INDEX('Meal Plan'!$G$5:$G$504,MATCH(1,INDEX(('Meal Plan'!$B$5:$B$504=$B12)*('Meal Plan'!$F$5:$F$504="Afternoon snack"),0),0)),"")</f>
        <v>0</v>
      </c>
      <c r="G12" s="8">
        <f>IFERROR(INDEX('Meal Plan'!$G$5:$G$504,MATCH(1,INDEX(('Meal Plan'!$B$5:$B$504=$B12)*('Meal Plan'!$F$5:$F$504="Dessert"),0),0)),"")</f>
        <v>0</v>
      </c>
      <c r="H12" s="13">
        <f>SUMIFS('Meal Plan'!$H$5:$H$504,'Meal Plan'!$B$5:$B$504,$B12)</f>
        <v>0</v>
      </c>
      <c r="I12" s="13">
        <f>SUMIFS('Meal Plan'!$L$5:$L$504,'Meal Plan'!$B$5:$B$504,$B12)</f>
        <v>0</v>
      </c>
      <c r="J12" s="14">
        <f>SUMIFS('Meal Plan'!$Q$5:$Q$504,'Meal Plan'!$B$5:$B$504,$B12)</f>
        <v>0</v>
      </c>
      <c r="K12" s="25"/>
    </row>
    <row r="13" spans="1:11" ht="22" customHeight="1">
      <c r="A13" s="12">
        <f>TEXT($B$8+3,"dddd")</f>
        <v>0</v>
      </c>
      <c r="B13" s="18">
        <f>$B$8+3</f>
        <v>0</v>
      </c>
      <c r="C13" s="8">
        <f>IFERROR(INDEX('Meal Plan'!$G$5:$G$504,MATCH(1,INDEX(('Meal Plan'!$B$5:$B$504=$B13)*('Meal Plan'!$F$5:$F$504="Breakfast"),0),0)),"")</f>
        <v>0</v>
      </c>
      <c r="D13" s="8">
        <f>IFERROR(INDEX('Meal Plan'!$G$5:$G$504,MATCH(1,INDEX(('Meal Plan'!$B$5:$B$504=$B13)*('Meal Plan'!$F$5:$F$504="Lunch"),0),0)),"")</f>
        <v>0</v>
      </c>
      <c r="E13" s="8">
        <f>IFERROR(INDEX('Meal Plan'!$G$5:$G$504,MATCH(1,INDEX(('Meal Plan'!$B$5:$B$504=$B13)*('Meal Plan'!$F$5:$F$504="Dinner"),0),0)),"")</f>
        <v>0</v>
      </c>
      <c r="F13" s="8">
        <f>IFERROR(INDEX('Meal Plan'!$G$5:$G$504,MATCH(1,INDEX(('Meal Plan'!$B$5:$B$504=$B13)*('Meal Plan'!$F$5:$F$504="Afternoon snack"),0),0)),"")</f>
        <v>0</v>
      </c>
      <c r="G13" s="8">
        <f>IFERROR(INDEX('Meal Plan'!$G$5:$G$504,MATCH(1,INDEX(('Meal Plan'!$B$5:$B$504=$B13)*('Meal Plan'!$F$5:$F$504="Dessert"),0),0)),"")</f>
        <v>0</v>
      </c>
      <c r="H13" s="13">
        <f>SUMIFS('Meal Plan'!$H$5:$H$504,'Meal Plan'!$B$5:$B$504,$B13)</f>
        <v>0</v>
      </c>
      <c r="I13" s="13">
        <f>SUMIFS('Meal Plan'!$L$5:$L$504,'Meal Plan'!$B$5:$B$504,$B13)</f>
        <v>0</v>
      </c>
      <c r="J13" s="14">
        <f>SUMIFS('Meal Plan'!$Q$5:$Q$504,'Meal Plan'!$B$5:$B$504,$B13)</f>
        <v>0</v>
      </c>
      <c r="K13" s="25"/>
    </row>
    <row r="14" spans="1:11" ht="22" customHeight="1">
      <c r="A14" s="12">
        <f>TEXT($B$8+4,"dddd")</f>
        <v>0</v>
      </c>
      <c r="B14" s="18">
        <f>$B$8+4</f>
        <v>0</v>
      </c>
      <c r="C14" s="8">
        <f>IFERROR(INDEX('Meal Plan'!$G$5:$G$504,MATCH(1,INDEX(('Meal Plan'!$B$5:$B$504=$B14)*('Meal Plan'!$F$5:$F$504="Breakfast"),0),0)),"")</f>
        <v>0</v>
      </c>
      <c r="D14" s="8">
        <f>IFERROR(INDEX('Meal Plan'!$G$5:$G$504,MATCH(1,INDEX(('Meal Plan'!$B$5:$B$504=$B14)*('Meal Plan'!$F$5:$F$504="Lunch"),0),0)),"")</f>
        <v>0</v>
      </c>
      <c r="E14" s="8">
        <f>IFERROR(INDEX('Meal Plan'!$G$5:$G$504,MATCH(1,INDEX(('Meal Plan'!$B$5:$B$504=$B14)*('Meal Plan'!$F$5:$F$504="Dinner"),0),0)),"")</f>
        <v>0</v>
      </c>
      <c r="F14" s="8">
        <f>IFERROR(INDEX('Meal Plan'!$G$5:$G$504,MATCH(1,INDEX(('Meal Plan'!$B$5:$B$504=$B14)*('Meal Plan'!$F$5:$F$504="Afternoon snack"),0),0)),"")</f>
        <v>0</v>
      </c>
      <c r="G14" s="8">
        <f>IFERROR(INDEX('Meal Plan'!$G$5:$G$504,MATCH(1,INDEX(('Meal Plan'!$B$5:$B$504=$B14)*('Meal Plan'!$F$5:$F$504="Dessert"),0),0)),"")</f>
        <v>0</v>
      </c>
      <c r="H14" s="13">
        <f>SUMIFS('Meal Plan'!$H$5:$H$504,'Meal Plan'!$B$5:$B$504,$B14)</f>
        <v>0</v>
      </c>
      <c r="I14" s="13">
        <f>SUMIFS('Meal Plan'!$L$5:$L$504,'Meal Plan'!$B$5:$B$504,$B14)</f>
        <v>0</v>
      </c>
      <c r="J14" s="14">
        <f>SUMIFS('Meal Plan'!$Q$5:$Q$504,'Meal Plan'!$B$5:$B$504,$B14)</f>
        <v>0</v>
      </c>
      <c r="K14" s="25"/>
    </row>
    <row r="15" spans="1:11" ht="22" customHeight="1">
      <c r="A15" s="12">
        <f>TEXT($B$8+5,"dddd")</f>
        <v>0</v>
      </c>
      <c r="B15" s="18">
        <f>$B$8+5</f>
        <v>0</v>
      </c>
      <c r="C15" s="8">
        <f>IFERROR(INDEX('Meal Plan'!$G$5:$G$504,MATCH(1,INDEX(('Meal Plan'!$B$5:$B$504=$B15)*('Meal Plan'!$F$5:$F$504="Breakfast"),0),0)),"")</f>
        <v>0</v>
      </c>
      <c r="D15" s="8">
        <f>IFERROR(INDEX('Meal Plan'!$G$5:$G$504,MATCH(1,INDEX(('Meal Plan'!$B$5:$B$504=$B15)*('Meal Plan'!$F$5:$F$504="Lunch"),0),0)),"")</f>
        <v>0</v>
      </c>
      <c r="E15" s="8">
        <f>IFERROR(INDEX('Meal Plan'!$G$5:$G$504,MATCH(1,INDEX(('Meal Plan'!$B$5:$B$504=$B15)*('Meal Plan'!$F$5:$F$504="Dinner"),0),0)),"")</f>
        <v>0</v>
      </c>
      <c r="F15" s="8">
        <f>IFERROR(INDEX('Meal Plan'!$G$5:$G$504,MATCH(1,INDEX(('Meal Plan'!$B$5:$B$504=$B15)*('Meal Plan'!$F$5:$F$504="Afternoon snack"),0),0)),"")</f>
        <v>0</v>
      </c>
      <c r="G15" s="8">
        <f>IFERROR(INDEX('Meal Plan'!$G$5:$G$504,MATCH(1,INDEX(('Meal Plan'!$B$5:$B$504=$B15)*('Meal Plan'!$F$5:$F$504="Dessert"),0),0)),"")</f>
        <v>0</v>
      </c>
      <c r="H15" s="13">
        <f>SUMIFS('Meal Plan'!$H$5:$H$504,'Meal Plan'!$B$5:$B$504,$B15)</f>
        <v>0</v>
      </c>
      <c r="I15" s="13">
        <f>SUMIFS('Meal Plan'!$L$5:$L$504,'Meal Plan'!$B$5:$B$504,$B15)</f>
        <v>0</v>
      </c>
      <c r="J15" s="14">
        <f>SUMIFS('Meal Plan'!$Q$5:$Q$504,'Meal Plan'!$B$5:$B$504,$B15)</f>
        <v>0</v>
      </c>
      <c r="K15" s="25"/>
    </row>
    <row r="16" spans="1:11" ht="22" customHeight="1">
      <c r="A16" s="20" t="s">
        <v>174</v>
      </c>
      <c r="B16" s="20"/>
      <c r="C16" s="20"/>
      <c r="D16" s="20"/>
      <c r="E16" s="20"/>
      <c r="F16" s="20"/>
      <c r="G16" s="20"/>
      <c r="H16" s="21">
        <f>SUM($H$10:$H$15)</f>
        <v>0</v>
      </c>
      <c r="I16" s="21">
        <f>SUM($I$10:$I$15)</f>
        <v>0</v>
      </c>
      <c r="J16" s="22">
        <f>SUM($J$10:$J$15)</f>
        <v>0</v>
      </c>
      <c r="K16" s="20">
        <f>IFERROR(TEXT($I16/MAX(1,Household_Size)/7,"#,##0")&amp;" kcal a day","")</f>
        <v>0</v>
      </c>
    </row>
  </sheetData>
  <sheetProtection password="EC7C" sheet="1" objects="1" scenarios="1" selectLockedCells="1" selectUnlockedCells="1"/>
  <mergeCells count="4">
    <mergeCell ref="A1:K1"/>
    <mergeCell ref="A2:K2"/>
    <mergeCell ref="A3:K3"/>
    <mergeCell ref="A5:K5"/>
  </mergeCells>
  <pageMargins left="0.4" right="0.4" top="0.5" bottom="0.5" header="0.3" footer="0.3"/>
  <pageSetup paperSize="9" orientation="landscape"/>
</worksheet>
</file>

<file path=xl/worksheets/sheet4.xml><?xml version="1.0" encoding="utf-8"?>
<worksheet xmlns="http://schemas.openxmlformats.org/spreadsheetml/2006/main" xmlns:r="http://schemas.openxmlformats.org/officeDocument/2006/relationships">
  <sheetPr>
    <tabColor rgb="FFD9703C"/>
    <pageSetUpPr fitToPage="1"/>
  </sheetPr>
  <dimension ref="A1:J15"/>
  <sheetViews>
    <sheetView showGridLines="0" workbookViewId="0">
      <pane xSplit="2" ySplit="8" topLeftCell="C9" activePane="bottomRight" state="frozen"/>
      <selection pane="topRight" activeCell="C1" sqref="C1"/>
      <selection pane="bottomLeft" activeCell="A9" sqref="A9"/>
      <selection pane="bottomRight"/>
    </sheetView>
  </sheetViews>
  <sheetFormatPr defaultRowHeight="15"/>
  <cols>
    <col min="1" max="1" width="10.7109375" customWidth="1"/>
    <col min="2" max="2" width="13.7109375" customWidth="1"/>
    <col min="3" max="4" width="22.7109375" customWidth="1"/>
    <col min="5" max="5" width="24.7109375" customWidth="1"/>
    <col min="6" max="8" width="12.7109375" customWidth="1"/>
    <col min="9" max="9" width="11.7109375" customWidth="1"/>
    <col min="10" max="10" width="30.7109375" customWidth="1"/>
  </cols>
  <sheetData>
    <row r="1" spans="1:10" ht="32" customHeight="1">
      <c r="A1" s="1" t="s">
        <v>175</v>
      </c>
      <c r="B1" s="1"/>
      <c r="C1" s="1"/>
      <c r="D1" s="1"/>
      <c r="E1" s="1"/>
      <c r="F1" s="1"/>
      <c r="G1" s="1"/>
      <c r="H1" s="1"/>
      <c r="I1" s="1"/>
      <c r="J1" s="1"/>
    </row>
    <row r="2" spans="1:10" ht="18" customHeight="1">
      <c r="A2" s="2" t="s">
        <v>176</v>
      </c>
      <c r="B2" s="2"/>
      <c r="C2" s="2"/>
      <c r="D2" s="2"/>
      <c r="E2" s="2"/>
      <c r="F2" s="2"/>
      <c r="G2" s="2"/>
      <c r="H2" s="2"/>
      <c r="I2" s="2"/>
      <c r="J2" s="2"/>
    </row>
    <row r="3" spans="1:10" ht="20" customHeight="1">
      <c r="A3" s="3" t="s">
        <v>177</v>
      </c>
      <c r="B3" s="3"/>
      <c r="C3" s="3"/>
      <c r="D3" s="3"/>
      <c r="E3" s="3"/>
      <c r="F3" s="3"/>
      <c r="G3" s="3"/>
      <c r="H3" s="3"/>
      <c r="I3" s="3"/>
      <c r="J3" s="3"/>
    </row>
    <row r="5" spans="1:10" ht="22" customHeight="1">
      <c r="A5" s="4" t="s">
        <v>178</v>
      </c>
      <c r="B5" s="4"/>
      <c r="C5" s="4"/>
      <c r="D5" s="4"/>
      <c r="E5" s="4"/>
      <c r="F5" s="4"/>
      <c r="G5" s="4"/>
      <c r="H5" s="4"/>
      <c r="I5" s="4"/>
      <c r="J5" s="4"/>
    </row>
    <row r="6" spans="1:10">
      <c r="A6" s="6" t="s">
        <v>109</v>
      </c>
      <c r="B6" s="7" t="s">
        <v>179</v>
      </c>
      <c r="D6" s="6" t="s">
        <v>180</v>
      </c>
      <c r="E6" s="13">
        <f>6</f>
        <v>0</v>
      </c>
      <c r="G6" s="6" t="s">
        <v>181</v>
      </c>
      <c r="H6" s="14">
        <f>Monthly_Budget</f>
        <v>0</v>
      </c>
    </row>
    <row r="7" spans="1:10">
      <c r="B7" s="18">
        <f>DATEVALUE("1 "&amp;$B$6)</f>
        <v>0</v>
      </c>
      <c r="D7" s="6" t="s">
        <v>182</v>
      </c>
      <c r="E7" s="14">
        <f>SUM($G$9:$G$14)</f>
        <v>0</v>
      </c>
      <c r="G7" s="6" t="s">
        <v>183</v>
      </c>
      <c r="H7" s="14">
        <f>SUM($H$9:$H$14)</f>
        <v>0</v>
      </c>
      <c r="J7" s="6" t="s">
        <v>184</v>
      </c>
    </row>
    <row r="8" spans="1:10" ht="26" customHeight="1">
      <c r="A8" s="9" t="s">
        <v>185</v>
      </c>
      <c r="B8" s="9" t="s">
        <v>107</v>
      </c>
      <c r="C8" s="9" t="s">
        <v>186</v>
      </c>
      <c r="D8" s="9" t="s">
        <v>187</v>
      </c>
      <c r="E8" s="9" t="s">
        <v>188</v>
      </c>
      <c r="F8" s="9" t="s">
        <v>189</v>
      </c>
      <c r="G8" s="9" t="s">
        <v>190</v>
      </c>
      <c r="H8" s="9" t="s">
        <v>64</v>
      </c>
      <c r="I8" s="9" t="s">
        <v>184</v>
      </c>
      <c r="J8" s="9" t="s">
        <v>173</v>
      </c>
    </row>
    <row r="10" spans="1:10" ht="22" customHeight="1">
      <c r="A10" s="19">
        <v>1</v>
      </c>
      <c r="B10" s="18">
        <f>$B$7+0*7-WEEKDAY($B$7,2)+1</f>
        <v>0</v>
      </c>
      <c r="C10" s="7"/>
      <c r="D10" s="7"/>
      <c r="E10" s="7"/>
      <c r="F10" s="14">
        <f>SUMIFS('Meal Plan'!$Q$5:$Q$504,'Meal Plan'!$C$5:$C$504,$B10)</f>
        <v>0</v>
      </c>
      <c r="G10" s="14">
        <f>SUMIFS('Grocery Spending'!$J$5:$J$404,'Grocery Spending'!$B$5:$B$404,$B10)</f>
        <v>0</v>
      </c>
      <c r="H10" s="14">
        <f>Weekly_Budget</f>
        <v>0</v>
      </c>
      <c r="I10" s="14">
        <f>$H10-$G10</f>
        <v>0</v>
      </c>
      <c r="J10" s="25"/>
    </row>
    <row r="11" spans="1:10" ht="22" customHeight="1">
      <c r="A11" s="19">
        <v>2</v>
      </c>
      <c r="B11" s="18">
        <f>$B$7+1*7-WEEKDAY($B$7,2)+1</f>
        <v>0</v>
      </c>
      <c r="C11" s="7"/>
      <c r="D11" s="7"/>
      <c r="E11" s="7"/>
      <c r="F11" s="14">
        <f>SUMIFS('Meal Plan'!$Q$5:$Q$504,'Meal Plan'!$C$5:$C$504,$B11)</f>
        <v>0</v>
      </c>
      <c r="G11" s="14">
        <f>SUMIFS('Grocery Spending'!$J$5:$J$404,'Grocery Spending'!$B$5:$B$404,$B11)</f>
        <v>0</v>
      </c>
      <c r="H11" s="14">
        <f>Weekly_Budget</f>
        <v>0</v>
      </c>
      <c r="I11" s="14">
        <f>$H11-$G11</f>
        <v>0</v>
      </c>
      <c r="J11" s="25"/>
    </row>
    <row r="12" spans="1:10" ht="22" customHeight="1">
      <c r="A12" s="19">
        <v>3</v>
      </c>
      <c r="B12" s="18">
        <f>$B$7+2*7-WEEKDAY($B$7,2)+1</f>
        <v>0</v>
      </c>
      <c r="C12" s="7"/>
      <c r="D12" s="7"/>
      <c r="E12" s="7"/>
      <c r="F12" s="14">
        <f>SUMIFS('Meal Plan'!$Q$5:$Q$504,'Meal Plan'!$C$5:$C$504,$B12)</f>
        <v>0</v>
      </c>
      <c r="G12" s="14">
        <f>SUMIFS('Grocery Spending'!$J$5:$J$404,'Grocery Spending'!$B$5:$B$404,$B12)</f>
        <v>0</v>
      </c>
      <c r="H12" s="14">
        <f>Weekly_Budget</f>
        <v>0</v>
      </c>
      <c r="I12" s="14">
        <f>$H12-$G12</f>
        <v>0</v>
      </c>
      <c r="J12" s="25"/>
    </row>
    <row r="13" spans="1:10" ht="22" customHeight="1">
      <c r="A13" s="19">
        <v>4</v>
      </c>
      <c r="B13" s="18">
        <f>$B$7+3*7-WEEKDAY($B$7,2)+1</f>
        <v>0</v>
      </c>
      <c r="C13" s="7"/>
      <c r="D13" s="7"/>
      <c r="E13" s="7"/>
      <c r="F13" s="14">
        <f>SUMIFS('Meal Plan'!$Q$5:$Q$504,'Meal Plan'!$C$5:$C$504,$B13)</f>
        <v>0</v>
      </c>
      <c r="G13" s="14">
        <f>SUMIFS('Grocery Spending'!$J$5:$J$404,'Grocery Spending'!$B$5:$B$404,$B13)</f>
        <v>0</v>
      </c>
      <c r="H13" s="14">
        <f>Weekly_Budget</f>
        <v>0</v>
      </c>
      <c r="I13" s="14">
        <f>$H13-$G13</f>
        <v>0</v>
      </c>
      <c r="J13" s="25"/>
    </row>
    <row r="14" spans="1:10" ht="22" customHeight="1">
      <c r="A14" s="19">
        <v>5</v>
      </c>
      <c r="B14" s="18">
        <f>$B$7+4*7-WEEKDAY($B$7,2)+1</f>
        <v>0</v>
      </c>
      <c r="C14" s="7"/>
      <c r="D14" s="7"/>
      <c r="E14" s="7"/>
      <c r="F14" s="14">
        <f>SUMIFS('Meal Plan'!$Q$5:$Q$504,'Meal Plan'!$C$5:$C$504,$B14)</f>
        <v>0</v>
      </c>
      <c r="G14" s="14">
        <f>SUMIFS('Grocery Spending'!$J$5:$J$404,'Grocery Spending'!$B$5:$B$404,$B14)</f>
        <v>0</v>
      </c>
      <c r="H14" s="14">
        <f>Weekly_Budget</f>
        <v>0</v>
      </c>
      <c r="I14" s="14">
        <f>$H14-$G14</f>
        <v>0</v>
      </c>
      <c r="J14" s="25"/>
    </row>
    <row r="15" spans="1:10" ht="22" customHeight="1">
      <c r="A15" s="20" t="s">
        <v>109</v>
      </c>
      <c r="B15" s="20"/>
      <c r="C15" s="20"/>
      <c r="D15" s="20"/>
      <c r="E15" s="20"/>
      <c r="F15" s="22">
        <f>SUM($F$9:$F$14)</f>
        <v>0</v>
      </c>
      <c r="G15" s="22">
        <f>SUM($G$9:$G$14)</f>
        <v>0</v>
      </c>
      <c r="H15" s="22">
        <f>SUM($H$9:$H$14)</f>
        <v>0</v>
      </c>
      <c r="I15" s="22">
        <f>$H15-$G15</f>
        <v>0</v>
      </c>
      <c r="J15" s="20">
        <f>IF($H15=0,"",TEXT(($G15-$H15)/$H15,"0%")&amp;" of budget left")</f>
        <v>0</v>
      </c>
    </row>
  </sheetData>
  <sheetProtection password="EC7C" sheet="1" objects="1" scenarios="1" selectLockedCells="1" selectUnlockedCells="1"/>
  <mergeCells count="4">
    <mergeCell ref="A1:J1"/>
    <mergeCell ref="A2:J2"/>
    <mergeCell ref="A3:J3"/>
    <mergeCell ref="A5:J5"/>
  </mergeCells>
  <pageMargins left="0.7" right="0.7" top="0.75" bottom="0.75" header="0.3" footer="0.3"/>
  <pageSetup paperSize="9" orientation="landscape"/>
</worksheet>
</file>

<file path=xl/worksheets/sheet5.xml><?xml version="1.0" encoding="utf-8"?>
<worksheet xmlns="http://schemas.openxmlformats.org/spreadsheetml/2006/main" xmlns:r="http://schemas.openxmlformats.org/officeDocument/2006/relationships">
  <sheetPr>
    <tabColor rgb="FF2F5E43"/>
    <pageSetUpPr fitToPage="1"/>
  </sheetPr>
  <dimension ref="A1:C49"/>
  <sheetViews>
    <sheetView showGridLines="0" workbookViewId="0"/>
  </sheetViews>
  <sheetFormatPr defaultRowHeight="15"/>
  <cols>
    <col min="1" max="1" width="38.7109375" customWidth="1"/>
    <col min="2" max="2" width="20.7109375" customWidth="1"/>
    <col min="3" max="3" width="54.7109375" customWidth="1"/>
  </cols>
  <sheetData>
    <row r="1" spans="1:3" ht="30" customHeight="1">
      <c r="A1" s="1" t="s">
        <v>191</v>
      </c>
      <c r="B1" s="1"/>
      <c r="C1" s="1"/>
    </row>
    <row r="2" spans="1:3" ht="18" customHeight="1">
      <c r="A2" s="2" t="s">
        <v>192</v>
      </c>
      <c r="B2" s="2"/>
      <c r="C2" s="2"/>
    </row>
    <row r="3" spans="1:3">
      <c r="A3" s="3" t="s">
        <v>193</v>
      </c>
      <c r="B3" s="3"/>
      <c r="C3" s="3"/>
    </row>
    <row r="5" spans="1:3" ht="22" customHeight="1">
      <c r="A5" s="4" t="s">
        <v>197</v>
      </c>
      <c r="B5" s="4"/>
      <c r="C5" s="4"/>
    </row>
    <row r="6" spans="1:3">
      <c r="A6" s="6" t="s">
        <v>198</v>
      </c>
      <c r="B6" s="7" t="s">
        <v>199</v>
      </c>
      <c r="C6" s="24" t="s">
        <v>200</v>
      </c>
    </row>
    <row r="7" spans="1:3">
      <c r="A7" s="6" t="s">
        <v>201</v>
      </c>
      <c r="B7" s="26">
        <v>4</v>
      </c>
      <c r="C7" s="24" t="s">
        <v>202</v>
      </c>
    </row>
    <row r="8" spans="1:3">
      <c r="A8" s="6" t="s">
        <v>203</v>
      </c>
      <c r="B8" s="7" t="s">
        <v>204</v>
      </c>
      <c r="C8" s="24" t="s">
        <v>205</v>
      </c>
    </row>
    <row r="9" spans="1:3">
      <c r="A9" s="6" t="s">
        <v>206</v>
      </c>
      <c r="B9" s="26">
        <v>2026</v>
      </c>
      <c r="C9" s="24" t="s">
        <v>207</v>
      </c>
    </row>
    <row r="10" spans="1:3">
      <c r="A10" s="6" t="s">
        <v>208</v>
      </c>
      <c r="B10" s="26">
        <v>4</v>
      </c>
      <c r="C10" s="24" t="s">
        <v>209</v>
      </c>
    </row>
    <row r="11" spans="1:3">
      <c r="A11" s="6" t="s">
        <v>210</v>
      </c>
      <c r="B11" s="27" t="s">
        <v>211</v>
      </c>
      <c r="C11" s="24" t="s">
        <v>212</v>
      </c>
    </row>
    <row r="12" spans="1:3">
      <c r="A12" s="6" t="s">
        <v>213</v>
      </c>
      <c r="B12" s="27" t="s">
        <v>214</v>
      </c>
      <c r="C12" s="24" t="s">
        <v>215</v>
      </c>
    </row>
    <row r="13" spans="1:3">
      <c r="A13" s="6" t="s">
        <v>216</v>
      </c>
      <c r="B13" s="7" t="s">
        <v>217</v>
      </c>
      <c r="C13" s="24" t="s">
        <v>218</v>
      </c>
    </row>
    <row r="14" spans="1:3">
      <c r="A14" s="6" t="s">
        <v>219</v>
      </c>
      <c r="B14" s="7" t="s">
        <v>220</v>
      </c>
      <c r="C14" s="24" t="s">
        <v>221</v>
      </c>
    </row>
    <row r="15" spans="1:3">
      <c r="A15" s="6" t="s">
        <v>112</v>
      </c>
      <c r="B15" s="27" t="s">
        <v>222</v>
      </c>
      <c r="C15" s="24" t="s">
        <v>223</v>
      </c>
    </row>
    <row r="16" spans="1:3">
      <c r="A16" s="6" t="s">
        <v>224</v>
      </c>
      <c r="B16" s="27" t="s">
        <v>225</v>
      </c>
      <c r="C16" s="24" t="s">
        <v>226</v>
      </c>
    </row>
    <row r="17" spans="1:3" ht="6" customHeight="1"/>
    <row r="18" spans="1:3">
      <c r="A18" s="4" t="s">
        <v>227</v>
      </c>
      <c r="B18" s="4"/>
      <c r="C18" s="4"/>
    </row>
    <row r="19" spans="1:3">
      <c r="A19" s="6" t="s">
        <v>228</v>
      </c>
      <c r="B19" s="28">
        <v>180</v>
      </c>
      <c r="C19" s="24" t="s">
        <v>229</v>
      </c>
    </row>
    <row r="20" spans="1:3">
      <c r="A20" s="6" t="s">
        <v>230</v>
      </c>
      <c r="B20" s="28">
        <v>780</v>
      </c>
      <c r="C20" s="24"/>
    </row>
    <row r="21" spans="1:3">
      <c r="A21" s="6" t="s">
        <v>231</v>
      </c>
      <c r="B21" s="28">
        <v>9360</v>
      </c>
      <c r="C21" s="24"/>
    </row>
    <row r="22" spans="1:3">
      <c r="A22" s="6" t="s">
        <v>232</v>
      </c>
      <c r="B22" s="28">
        <v>120</v>
      </c>
      <c r="C22" s="24"/>
    </row>
    <row r="23" spans="1:3">
      <c r="A23" s="6" t="s">
        <v>233</v>
      </c>
      <c r="B23" s="28">
        <v>15</v>
      </c>
      <c r="C23" s="24" t="s">
        <v>234</v>
      </c>
    </row>
    <row r="24" spans="1:3" ht="6" customHeight="1"/>
    <row r="25" spans="1:3">
      <c r="A25" s="4" t="s">
        <v>235</v>
      </c>
      <c r="B25" s="4"/>
      <c r="C25" s="4"/>
    </row>
    <row r="26" spans="1:3">
      <c r="A26" s="6" t="s">
        <v>133</v>
      </c>
      <c r="B26" s="26">
        <v>2000</v>
      </c>
      <c r="C26" s="24" t="s">
        <v>236</v>
      </c>
    </row>
    <row r="27" spans="1:3">
      <c r="A27" s="6" t="s">
        <v>237</v>
      </c>
      <c r="B27" s="26">
        <v>90</v>
      </c>
      <c r="C27" s="24" t="s">
        <v>238</v>
      </c>
    </row>
    <row r="28" spans="1:3">
      <c r="A28" s="6" t="s">
        <v>239</v>
      </c>
      <c r="B28" s="26">
        <v>230</v>
      </c>
      <c r="C28" s="24" t="s">
        <v>238</v>
      </c>
    </row>
    <row r="29" spans="1:3">
      <c r="A29" s="6" t="s">
        <v>240</v>
      </c>
      <c r="B29" s="26">
        <v>70</v>
      </c>
      <c r="C29" s="24" t="s">
        <v>238</v>
      </c>
    </row>
    <row r="30" spans="1:3">
      <c r="A30" s="6" t="s">
        <v>241</v>
      </c>
      <c r="B30" s="26">
        <v>30</v>
      </c>
      <c r="C30" s="24" t="s">
        <v>238</v>
      </c>
    </row>
    <row r="31" spans="1:3">
      <c r="A31" s="6" t="s">
        <v>242</v>
      </c>
      <c r="B31" s="26">
        <v>50</v>
      </c>
      <c r="C31" s="24" t="s">
        <v>238</v>
      </c>
    </row>
    <row r="32" spans="1:3">
      <c r="A32" s="6" t="s">
        <v>243</v>
      </c>
      <c r="B32" s="26">
        <v>2300</v>
      </c>
      <c r="C32" s="24" t="s">
        <v>244</v>
      </c>
    </row>
    <row r="33" spans="1:3">
      <c r="A33" s="6" t="s">
        <v>245</v>
      </c>
      <c r="B33" s="26">
        <v>8</v>
      </c>
      <c r="C33" s="24" t="s">
        <v>246</v>
      </c>
    </row>
    <row r="34" spans="1:3" ht="6" customHeight="1"/>
    <row r="35" spans="1:3">
      <c r="A35" s="4" t="s">
        <v>247</v>
      </c>
      <c r="B35" s="4"/>
      <c r="C35" s="4"/>
    </row>
    <row r="36" spans="1:3">
      <c r="A36" s="6" t="s">
        <v>248</v>
      </c>
      <c r="B36" s="26">
        <v>5</v>
      </c>
      <c r="C36" s="24" t="s">
        <v>249</v>
      </c>
    </row>
    <row r="37" spans="1:3">
      <c r="A37" s="6" t="s">
        <v>250</v>
      </c>
      <c r="B37" s="26">
        <v>3</v>
      </c>
      <c r="C37" s="24"/>
    </row>
    <row r="38" spans="1:3">
      <c r="A38" s="6" t="s">
        <v>251</v>
      </c>
      <c r="B38" s="26">
        <v>90</v>
      </c>
      <c r="C38" s="24" t="s">
        <v>252</v>
      </c>
    </row>
    <row r="39" spans="1:3">
      <c r="A39" s="6" t="s">
        <v>253</v>
      </c>
      <c r="B39" s="26">
        <v>7</v>
      </c>
      <c r="C39" s="24"/>
    </row>
    <row r="40" spans="1:3">
      <c r="A40" s="6" t="s">
        <v>254</v>
      </c>
      <c r="B40" s="26">
        <v>2</v>
      </c>
      <c r="C40" s="24"/>
    </row>
    <row r="41" spans="1:3">
      <c r="A41" s="6" t="s">
        <v>255</v>
      </c>
      <c r="B41" s="26">
        <v>14</v>
      </c>
      <c r="C41" s="24" t="s">
        <v>256</v>
      </c>
    </row>
    <row r="42" spans="1:3" ht="6" customHeight="1"/>
    <row r="43" spans="1:3">
      <c r="A43" s="4" t="s">
        <v>257</v>
      </c>
      <c r="B43" s="4"/>
      <c r="C43" s="4"/>
    </row>
    <row r="44" spans="1:3">
      <c r="A44" s="6" t="s">
        <v>258</v>
      </c>
      <c r="B44" s="26">
        <v>18</v>
      </c>
      <c r="C44" s="24"/>
    </row>
    <row r="45" spans="1:3">
      <c r="A45" s="6" t="s">
        <v>259</v>
      </c>
      <c r="B45" s="26">
        <v>2</v>
      </c>
      <c r="C45" s="24"/>
    </row>
    <row r="46" spans="1:3">
      <c r="A46" s="6" t="s">
        <v>260</v>
      </c>
      <c r="B46" s="26">
        <v>4</v>
      </c>
      <c r="C46" s="24"/>
    </row>
    <row r="47" spans="1:3">
      <c r="A47" s="6" t="s">
        <v>261</v>
      </c>
      <c r="B47" s="26">
        <v>5</v>
      </c>
      <c r="C47" s="24"/>
    </row>
    <row r="48" spans="1:3">
      <c r="A48" s="6" t="s">
        <v>262</v>
      </c>
      <c r="B48" s="29">
        <v>0.05</v>
      </c>
      <c r="C48" s="24" t="s">
        <v>263</v>
      </c>
    </row>
    <row r="49" spans="1:3">
      <c r="A49" s="6" t="s">
        <v>264</v>
      </c>
      <c r="B49" s="26">
        <v>5</v>
      </c>
      <c r="C49" s="24" t="s">
        <v>265</v>
      </c>
    </row>
  </sheetData>
  <sheetProtection password="EC7C" sheet="1" objects="1" scenarios="1" selectLockedCells="1" selectUnlockedCells="1"/>
  <mergeCells count="8">
    <mergeCell ref="A1:C1"/>
    <mergeCell ref="A2:C2"/>
    <mergeCell ref="A3:C3"/>
    <mergeCell ref="A5:C5"/>
    <mergeCell ref="A18:C18"/>
    <mergeCell ref="A25:C25"/>
    <mergeCell ref="A35:C35"/>
    <mergeCell ref="A43:C43"/>
  </mergeCells>
  <dataValidations count="4">
    <dataValidation type="list" allowBlank="1" showInputMessage="1" showErrorMessage="1" sqref="B11">
      <formula1>"Monday,Sunday"</formula1>
    </dataValidation>
    <dataValidation type="list" allowBlank="1" showInputMessage="1" showErrorMessage="1" sqref="B12">
      <formula1>"Metric,Imperial"</formula1>
    </dataValidation>
    <dataValidation type="list" allowBlank="1" showInputMessage="1" showErrorMessage="1" sqref="B15">
      <formula1>"Monday,Tuesday,Wednesday,Thursday,Friday,Saturday,Sunday"</formula1>
    </dataValidation>
    <dataValidation type="list" allowBlank="1" showInputMessage="1" showErrorMessage="1" sqref="B16">
      <formula1>"Monday,Tuesday,Wednesday,Thursday,Friday,Saturday,Sunday"</formula1>
    </dataValidation>
  </dataValidations>
  <pageMargins left="0.7" right="0.7" top="0.75" bottom="0.75" header="0.3" footer="0.3"/>
  <pageSetup paperSize="9" orientation="landscape"/>
</worksheet>
</file>

<file path=xl/worksheets/sheet6.xml><?xml version="1.0" encoding="utf-8"?>
<worksheet xmlns="http://schemas.openxmlformats.org/spreadsheetml/2006/main" xmlns:r="http://schemas.openxmlformats.org/officeDocument/2006/relationships">
  <sheetPr>
    <tabColor rgb="FF4E8A63"/>
    <pageSetUpPr fitToPage="1"/>
  </sheetPr>
  <dimension ref="A4:J4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8.7109375" customWidth="1"/>
    <col min="2" max="2" width="12.7109375" customWidth="1"/>
    <col min="3" max="4" width="18.7109375" customWidth="1"/>
    <col min="5" max="5" width="16.7109375" customWidth="1"/>
    <col min="6" max="6" width="20.7109375" customWidth="1"/>
    <col min="7" max="7" width="18.7109375" customWidth="1"/>
    <col min="8" max="8" width="14.7109375" customWidth="1"/>
    <col min="9" max="9" width="10.7109375" customWidth="1"/>
    <col min="10" max="10" width="18.7109375" customWidth="1"/>
  </cols>
  <sheetData>
    <row r="4" spans="1:10" ht="32" customHeight="1">
      <c r="A4" s="9" t="s">
        <v>266</v>
      </c>
      <c r="B4" s="9" t="s">
        <v>267</v>
      </c>
      <c r="C4" s="9" t="s">
        <v>268</v>
      </c>
      <c r="D4" s="9" t="s">
        <v>269</v>
      </c>
      <c r="E4" s="9" t="s">
        <v>270</v>
      </c>
      <c r="F4" s="9" t="s">
        <v>80</v>
      </c>
      <c r="G4" s="9" t="s">
        <v>271</v>
      </c>
      <c r="H4" s="9" t="s">
        <v>135</v>
      </c>
      <c r="I4" s="9" t="s">
        <v>272</v>
      </c>
      <c r="J4" s="9" t="s">
        <v>273</v>
      </c>
    </row>
    <row r="5" spans="1:10">
      <c r="A5" s="27"/>
      <c r="B5" s="27"/>
      <c r="C5" s="27"/>
      <c r="D5" s="27"/>
      <c r="E5" s="27"/>
      <c r="F5" s="27"/>
      <c r="G5" s="27"/>
      <c r="H5" s="27"/>
      <c r="I5" s="27"/>
      <c r="J5" s="27"/>
    </row>
    <row r="6" spans="1:10">
      <c r="A6" s="27"/>
      <c r="B6" s="27"/>
      <c r="C6" s="27"/>
      <c r="D6" s="27"/>
      <c r="E6" s="27"/>
      <c r="F6" s="27"/>
      <c r="G6" s="27"/>
      <c r="H6" s="27"/>
      <c r="I6" s="27"/>
      <c r="J6" s="27"/>
    </row>
    <row r="7" spans="1:10">
      <c r="A7" s="27"/>
      <c r="B7" s="27"/>
      <c r="C7" s="27"/>
      <c r="D7" s="27"/>
      <c r="E7" s="27"/>
      <c r="F7" s="27"/>
      <c r="G7" s="27"/>
      <c r="H7" s="27"/>
      <c r="I7" s="27"/>
      <c r="J7" s="27"/>
    </row>
    <row r="8" spans="1:10">
      <c r="A8" s="27"/>
      <c r="B8" s="27"/>
      <c r="C8" s="27"/>
      <c r="D8" s="27"/>
      <c r="E8" s="27"/>
      <c r="F8" s="27"/>
      <c r="G8" s="27"/>
      <c r="H8" s="27"/>
      <c r="I8" s="27"/>
      <c r="J8" s="27"/>
    </row>
    <row r="9" spans="1:10">
      <c r="A9" s="27"/>
      <c r="B9" s="27"/>
      <c r="C9" s="27"/>
      <c r="D9" s="27"/>
      <c r="E9" s="27"/>
      <c r="F9" s="27"/>
      <c r="G9" s="27"/>
      <c r="H9" s="27"/>
      <c r="I9" s="27"/>
      <c r="J9" s="27"/>
    </row>
    <row r="10" spans="1:10">
      <c r="A10" s="27"/>
      <c r="B10" s="27"/>
      <c r="C10" s="27"/>
      <c r="D10" s="27"/>
      <c r="E10" s="27"/>
      <c r="F10" s="27"/>
      <c r="G10" s="27"/>
      <c r="H10" s="27"/>
      <c r="I10" s="27"/>
      <c r="J10" s="27"/>
    </row>
    <row r="11" spans="1:10">
      <c r="A11" s="27"/>
      <c r="B11" s="27"/>
      <c r="C11" s="27"/>
      <c r="D11" s="27"/>
      <c r="E11" s="27"/>
      <c r="F11" s="27"/>
      <c r="G11" s="27"/>
      <c r="H11" s="27"/>
      <c r="I11" s="27"/>
      <c r="J11" s="27"/>
    </row>
    <row r="12" spans="1:10">
      <c r="A12" s="27"/>
      <c r="B12" s="27"/>
      <c r="C12" s="27"/>
      <c r="D12" s="27"/>
      <c r="E12" s="27"/>
      <c r="F12" s="27"/>
      <c r="G12" s="27"/>
      <c r="H12" s="27"/>
      <c r="I12" s="27"/>
      <c r="J12" s="27"/>
    </row>
    <row r="13" spans="1:10">
      <c r="A13" s="27"/>
      <c r="B13" s="27"/>
      <c r="C13" s="27"/>
      <c r="D13" s="27"/>
      <c r="E13" s="27"/>
      <c r="F13" s="27"/>
      <c r="G13" s="27"/>
      <c r="H13" s="27"/>
      <c r="I13" s="27"/>
      <c r="J13" s="27"/>
    </row>
    <row r="14" spans="1:10">
      <c r="A14" s="27"/>
      <c r="B14" s="27"/>
      <c r="C14" s="27"/>
      <c r="D14" s="27"/>
      <c r="E14" s="27"/>
      <c r="F14" s="27"/>
      <c r="G14" s="27"/>
      <c r="H14" s="27"/>
      <c r="I14" s="27"/>
      <c r="J14" s="27"/>
    </row>
    <row r="15" spans="1:10">
      <c r="A15" s="27"/>
      <c r="B15" s="27"/>
      <c r="C15" s="27"/>
      <c r="D15" s="27"/>
      <c r="E15" s="27"/>
      <c r="F15" s="27"/>
      <c r="G15" s="27"/>
      <c r="H15" s="27"/>
      <c r="I15" s="27"/>
      <c r="J15" s="27"/>
    </row>
    <row r="16" spans="1:10">
      <c r="A16" s="27"/>
      <c r="B16" s="27"/>
      <c r="C16" s="27"/>
      <c r="D16" s="27"/>
      <c r="E16" s="27"/>
      <c r="F16" s="27"/>
      <c r="G16" s="27"/>
      <c r="H16" s="27"/>
      <c r="I16" s="27"/>
      <c r="J16" s="27"/>
    </row>
    <row r="17" spans="1:10">
      <c r="A17" s="27"/>
      <c r="B17" s="27"/>
      <c r="C17" s="27"/>
      <c r="D17" s="27"/>
      <c r="E17" s="27"/>
      <c r="F17" s="27"/>
      <c r="G17" s="27"/>
      <c r="H17" s="27"/>
      <c r="I17" s="27"/>
      <c r="J17" s="27"/>
    </row>
    <row r="18" spans="1:10">
      <c r="A18" s="27"/>
      <c r="B18" s="27"/>
      <c r="C18" s="27"/>
      <c r="D18" s="27"/>
      <c r="E18" s="27"/>
      <c r="F18" s="27"/>
      <c r="G18" s="27"/>
      <c r="H18" s="27"/>
      <c r="I18" s="27"/>
      <c r="J18" s="27"/>
    </row>
    <row r="19" spans="1:10">
      <c r="A19" s="27"/>
      <c r="B19" s="27"/>
      <c r="C19" s="27"/>
      <c r="D19" s="27"/>
      <c r="E19" s="27"/>
      <c r="F19" s="27"/>
      <c r="G19" s="27"/>
      <c r="H19" s="27"/>
      <c r="I19" s="27"/>
      <c r="J19" s="27"/>
    </row>
    <row r="20" spans="1:10">
      <c r="A20" s="27"/>
      <c r="B20" s="27"/>
      <c r="C20" s="27"/>
      <c r="D20" s="27"/>
      <c r="E20" s="27"/>
      <c r="F20" s="27"/>
      <c r="G20" s="27"/>
      <c r="H20" s="27"/>
      <c r="I20" s="27"/>
      <c r="J20" s="27"/>
    </row>
    <row r="21" spans="1:10">
      <c r="A21" s="27"/>
      <c r="B21" s="27"/>
      <c r="C21" s="27"/>
      <c r="D21" s="27"/>
      <c r="E21" s="27"/>
      <c r="F21" s="27"/>
      <c r="G21" s="27"/>
      <c r="H21" s="27"/>
      <c r="I21" s="27"/>
      <c r="J21" s="27"/>
    </row>
    <row r="22" spans="1:10">
      <c r="A22" s="27"/>
      <c r="B22" s="27"/>
      <c r="C22" s="27"/>
      <c r="D22" s="27"/>
      <c r="E22" s="27"/>
      <c r="F22" s="27"/>
      <c r="G22" s="27"/>
      <c r="H22" s="27"/>
      <c r="I22" s="27"/>
      <c r="J22" s="27"/>
    </row>
    <row r="23" spans="1:10">
      <c r="A23" s="27"/>
      <c r="B23" s="27"/>
      <c r="C23" s="27"/>
      <c r="D23" s="27"/>
      <c r="E23" s="27"/>
      <c r="F23" s="27"/>
      <c r="G23" s="27"/>
      <c r="H23" s="27"/>
      <c r="I23" s="27"/>
      <c r="J23" s="27"/>
    </row>
    <row r="24" spans="1:10">
      <c r="A24" s="27"/>
      <c r="B24" s="27"/>
      <c r="C24" s="27"/>
      <c r="D24" s="27"/>
      <c r="E24" s="27"/>
      <c r="F24" s="27"/>
      <c r="G24" s="27"/>
      <c r="H24" s="27"/>
      <c r="I24" s="27"/>
      <c r="J24" s="27"/>
    </row>
    <row r="25" spans="1:10">
      <c r="A25" s="27"/>
      <c r="B25" s="27"/>
      <c r="C25" s="27"/>
      <c r="D25" s="27"/>
      <c r="E25" s="27"/>
      <c r="F25" s="27"/>
      <c r="G25" s="27"/>
      <c r="H25" s="27"/>
      <c r="I25" s="27"/>
      <c r="J25" s="27"/>
    </row>
    <row r="26" spans="1:10">
      <c r="A26" s="27"/>
      <c r="B26" s="27"/>
      <c r="C26" s="27"/>
      <c r="D26" s="27"/>
      <c r="E26" s="27"/>
      <c r="F26" s="27"/>
      <c r="G26" s="27"/>
      <c r="H26" s="27"/>
      <c r="I26" s="27"/>
      <c r="J26" s="27"/>
    </row>
    <row r="27" spans="1:10">
      <c r="A27" s="27"/>
      <c r="B27" s="27"/>
      <c r="C27" s="27"/>
      <c r="D27" s="27"/>
      <c r="E27" s="27"/>
      <c r="F27" s="27"/>
      <c r="G27" s="27"/>
      <c r="H27" s="27"/>
      <c r="I27" s="27"/>
      <c r="J27" s="27"/>
    </row>
    <row r="28" spans="1:10">
      <c r="A28" s="27"/>
      <c r="B28" s="27"/>
      <c r="C28" s="27"/>
      <c r="D28" s="27"/>
      <c r="E28" s="27"/>
      <c r="F28" s="27"/>
      <c r="G28" s="27"/>
      <c r="H28" s="27"/>
      <c r="I28" s="27"/>
      <c r="J28" s="27"/>
    </row>
    <row r="29" spans="1:10">
      <c r="A29" s="27"/>
      <c r="B29" s="27"/>
      <c r="C29" s="27"/>
      <c r="D29" s="27"/>
      <c r="E29" s="27"/>
      <c r="F29" s="27"/>
      <c r="G29" s="27"/>
      <c r="H29" s="27"/>
      <c r="I29" s="27"/>
      <c r="J29" s="27"/>
    </row>
    <row r="30" spans="1:10">
      <c r="A30" s="27"/>
      <c r="B30" s="27"/>
      <c r="C30" s="27"/>
      <c r="D30" s="27"/>
      <c r="E30" s="27"/>
      <c r="F30" s="27"/>
      <c r="G30" s="27"/>
      <c r="H30" s="27"/>
      <c r="I30" s="27"/>
      <c r="J30" s="27"/>
    </row>
    <row r="31" spans="1:10">
      <c r="A31" s="27"/>
      <c r="B31" s="27"/>
      <c r="C31" s="27"/>
      <c r="D31" s="27"/>
      <c r="E31" s="27"/>
      <c r="F31" s="27"/>
      <c r="G31" s="27"/>
      <c r="H31" s="27"/>
      <c r="I31" s="27"/>
      <c r="J31" s="27"/>
    </row>
    <row r="32" spans="1:10">
      <c r="A32" s="27"/>
      <c r="B32" s="27"/>
      <c r="C32" s="27"/>
      <c r="D32" s="27"/>
      <c r="E32" s="27"/>
      <c r="F32" s="27"/>
      <c r="G32" s="27"/>
      <c r="H32" s="27"/>
      <c r="I32" s="27"/>
      <c r="J32" s="27"/>
    </row>
    <row r="33" spans="1:10">
      <c r="A33" s="27"/>
      <c r="B33" s="27"/>
      <c r="C33" s="27"/>
      <c r="D33" s="27"/>
      <c r="E33" s="27"/>
      <c r="F33" s="27"/>
      <c r="G33" s="27"/>
      <c r="H33" s="27"/>
      <c r="I33" s="27"/>
      <c r="J33" s="27"/>
    </row>
    <row r="34" spans="1:10">
      <c r="A34" s="27"/>
      <c r="B34" s="27"/>
      <c r="C34" s="27"/>
      <c r="D34" s="27"/>
      <c r="E34" s="27"/>
      <c r="F34" s="27"/>
      <c r="G34" s="27"/>
      <c r="H34" s="27"/>
      <c r="I34" s="27"/>
      <c r="J34" s="27"/>
    </row>
    <row r="35" spans="1:10">
      <c r="A35" s="27"/>
      <c r="B35" s="27"/>
      <c r="C35" s="27"/>
      <c r="D35" s="27"/>
      <c r="E35" s="27"/>
      <c r="F35" s="27"/>
      <c r="G35" s="27"/>
      <c r="H35" s="27"/>
      <c r="I35" s="27"/>
      <c r="J35" s="27"/>
    </row>
    <row r="36" spans="1:10">
      <c r="A36" s="27"/>
      <c r="B36" s="27"/>
      <c r="C36" s="27"/>
      <c r="D36" s="27"/>
      <c r="E36" s="27"/>
      <c r="F36" s="27"/>
      <c r="G36" s="27"/>
      <c r="H36" s="27"/>
      <c r="I36" s="27"/>
      <c r="J36" s="27"/>
    </row>
    <row r="37" spans="1:10">
      <c r="A37" s="27"/>
      <c r="B37" s="27"/>
      <c r="C37" s="27"/>
      <c r="D37" s="27"/>
      <c r="E37" s="27"/>
      <c r="F37" s="27"/>
      <c r="G37" s="27"/>
      <c r="H37" s="27"/>
      <c r="I37" s="27"/>
      <c r="J37" s="27"/>
    </row>
    <row r="38" spans="1:10">
      <c r="A38" s="27"/>
      <c r="B38" s="27"/>
      <c r="C38" s="27"/>
      <c r="D38" s="27"/>
      <c r="E38" s="27"/>
      <c r="F38" s="27"/>
      <c r="G38" s="27"/>
      <c r="H38" s="27"/>
      <c r="I38" s="27"/>
      <c r="J38" s="27"/>
    </row>
    <row r="39" spans="1:10">
      <c r="A39" s="27"/>
      <c r="B39" s="27"/>
      <c r="C39" s="27"/>
      <c r="D39" s="27"/>
      <c r="E39" s="27"/>
      <c r="F39" s="27"/>
      <c r="G39" s="27"/>
      <c r="H39" s="27"/>
      <c r="I39" s="27"/>
      <c r="J39" s="27"/>
    </row>
    <row r="40" spans="1:10">
      <c r="A40" s="27"/>
      <c r="B40" s="27"/>
      <c r="C40" s="27"/>
      <c r="D40" s="27"/>
      <c r="E40" s="27"/>
      <c r="F40" s="27"/>
      <c r="G40" s="27"/>
      <c r="H40" s="27"/>
      <c r="I40" s="27"/>
      <c r="J40" s="27"/>
    </row>
    <row r="41" spans="1:10">
      <c r="A41" s="27"/>
      <c r="B41" s="27"/>
      <c r="C41" s="27"/>
      <c r="D41" s="27"/>
      <c r="E41" s="27"/>
      <c r="F41" s="27"/>
      <c r="G41" s="27"/>
      <c r="H41" s="27"/>
      <c r="I41" s="27"/>
      <c r="J41" s="27"/>
    </row>
    <row r="42" spans="1:10">
      <c r="A42" s="27"/>
      <c r="B42" s="27"/>
      <c r="C42" s="27"/>
      <c r="D42" s="27"/>
      <c r="E42" s="27"/>
      <c r="F42" s="27"/>
      <c r="G42" s="27"/>
      <c r="H42" s="27"/>
      <c r="I42" s="27"/>
      <c r="J42" s="27"/>
    </row>
    <row r="43" spans="1:10">
      <c r="A43" s="27"/>
      <c r="B43" s="27"/>
      <c r="C43" s="27"/>
      <c r="D43" s="27"/>
      <c r="E43" s="27"/>
      <c r="F43" s="27"/>
      <c r="G43" s="27"/>
      <c r="H43" s="27"/>
      <c r="I43" s="27"/>
      <c r="J43" s="27"/>
    </row>
    <row r="44" spans="1:10">
      <c r="A44" s="27"/>
      <c r="B44" s="27"/>
      <c r="C44" s="27"/>
      <c r="D44" s="27"/>
      <c r="E44" s="27"/>
      <c r="F44" s="27"/>
      <c r="G44" s="27"/>
      <c r="H44" s="27"/>
      <c r="I44" s="27"/>
      <c r="J44" s="27"/>
    </row>
  </sheetData>
  <sheetProtection password="EC7C" sheet="1" objects="1" scenarios="1" selectLockedCells="1" selectUnlockedCells="1"/>
  <autoFilter ref="A4:J44"/>
  <dataValidations count="400">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Spreadsheet&amp;R&amp;"Calibri,Italic"Lists</oddHeader>
    <oddFooter>&amp;LPage &amp;P of &amp;N&amp;R&amp;D</oddFooter>
  </headerFooter>
  <legacyDrawing r:id="rId1"/>
</worksheet>
</file>

<file path=xl/worksheets/sheet7.xml><?xml version="1.0" encoding="utf-8"?>
<worksheet xmlns="http://schemas.openxmlformats.org/spreadsheetml/2006/main" xmlns:r="http://schemas.openxmlformats.org/officeDocument/2006/relationships">
  <sheetPr>
    <tabColor rgb="FF4E8A63"/>
    <pageSetUpPr fitToPage="1"/>
  </sheetPr>
  <dimension ref="A4:L16"/>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2" width="12.7109375" customWidth="1"/>
    <col min="3" max="3" width="7.7109375" customWidth="1"/>
    <col min="4" max="4" width="16.7109375" customWidth="1"/>
    <col min="5" max="6" width="22.7109375" customWidth="1"/>
    <col min="7" max="7" width="12.7109375" customWidth="1"/>
    <col min="8" max="8" width="13.7109375" customWidth="1"/>
    <col min="9" max="9" width="10.7109375" customWidth="1"/>
    <col min="10" max="10" width="12.7109375" customWidth="1"/>
    <col min="11" max="11" width="34.7109375" customWidth="1"/>
    <col min="12" max="12" width="12.7109375" customWidth="1"/>
  </cols>
  <sheetData>
    <row r="4" spans="1:12" ht="32" customHeight="1">
      <c r="A4" s="9" t="s">
        <v>274</v>
      </c>
      <c r="B4" s="9" t="s">
        <v>275</v>
      </c>
      <c r="C4" s="9" t="s">
        <v>276</v>
      </c>
      <c r="D4" s="9" t="s">
        <v>277</v>
      </c>
      <c r="E4" s="9" t="s">
        <v>278</v>
      </c>
      <c r="F4" s="9" t="s">
        <v>279</v>
      </c>
      <c r="G4" s="9" t="s">
        <v>170</v>
      </c>
      <c r="H4" s="9" t="s">
        <v>280</v>
      </c>
      <c r="I4" s="9" t="s">
        <v>111</v>
      </c>
      <c r="J4" s="9" t="s">
        <v>281</v>
      </c>
      <c r="K4" s="9" t="s">
        <v>173</v>
      </c>
      <c r="L4" s="9" t="s">
        <v>135</v>
      </c>
    </row>
    <row r="5" spans="1:12">
      <c r="A5" s="7"/>
      <c r="B5" s="27"/>
      <c r="C5" s="26"/>
      <c r="D5" s="27"/>
      <c r="E5" s="7"/>
      <c r="F5" s="7"/>
      <c r="G5" s="8">
        <f>IF(A5="","",IF(C5="",Calorie_Target,IF(C5&lt;4,Calorie_Target*0.4,IF(C5&lt;9,Calorie_Target*0.6,IF(C5&lt;14,Calorie_Target*0.8,IF(C5&lt;19,Calorie_Target*0.95,Calorie_Target))))))</f>
        <v>0</v>
      </c>
      <c r="H5" s="8">
        <f>IF(A5="","",IF(C5="",Protein_Target,IF(C5&lt;4,Protein_Target*0.5,IF(C5&lt;9,Protein_Target*0.65,IF(C5&lt;14,Protein_Target*0.8,IF(C5&lt;19,Protein_Target*0.9,Protein_Target))))))</f>
        <v>0</v>
      </c>
      <c r="I5" s="26"/>
      <c r="J5" s="27"/>
      <c r="K5" s="25"/>
      <c r="L5" s="8">
        <f>IF(A5="","",IF(E5&lt;&gt;"","Allergy noted","OK"))</f>
        <v>0</v>
      </c>
    </row>
    <row r="6" spans="1:12">
      <c r="A6" s="7"/>
      <c r="B6" s="27"/>
      <c r="C6" s="26"/>
      <c r="D6" s="27"/>
      <c r="E6" s="7"/>
      <c r="F6" s="7"/>
      <c r="G6" s="8">
        <f>IF(A6="","",IF(C6="",Calorie_Target,IF(C6&lt;4,Calorie_Target*0.4,IF(C6&lt;9,Calorie_Target*0.6,IF(C6&lt;14,Calorie_Target*0.8,IF(C6&lt;19,Calorie_Target*0.95,Calorie_Target))))))</f>
        <v>0</v>
      </c>
      <c r="H6" s="8">
        <f>IF(A6="","",IF(C6="",Protein_Target,IF(C6&lt;4,Protein_Target*0.5,IF(C6&lt;9,Protein_Target*0.65,IF(C6&lt;14,Protein_Target*0.8,IF(C6&lt;19,Protein_Target*0.9,Protein_Target))))))</f>
        <v>0</v>
      </c>
      <c r="I6" s="26"/>
      <c r="J6" s="27"/>
      <c r="K6" s="25"/>
      <c r="L6" s="8">
        <f>IF(A6="","",IF(E6&lt;&gt;"","Allergy noted","OK"))</f>
        <v>0</v>
      </c>
    </row>
    <row r="7" spans="1:12">
      <c r="A7" s="7"/>
      <c r="B7" s="27"/>
      <c r="C7" s="26"/>
      <c r="D7" s="27"/>
      <c r="E7" s="7"/>
      <c r="F7" s="7"/>
      <c r="G7" s="8">
        <f>IF(A7="","",IF(C7="",Calorie_Target,IF(C7&lt;4,Calorie_Target*0.4,IF(C7&lt;9,Calorie_Target*0.6,IF(C7&lt;14,Calorie_Target*0.8,IF(C7&lt;19,Calorie_Target*0.95,Calorie_Target))))))</f>
        <v>0</v>
      </c>
      <c r="H7" s="8">
        <f>IF(A7="","",IF(C7="",Protein_Target,IF(C7&lt;4,Protein_Target*0.5,IF(C7&lt;9,Protein_Target*0.65,IF(C7&lt;14,Protein_Target*0.8,IF(C7&lt;19,Protein_Target*0.9,Protein_Target))))))</f>
        <v>0</v>
      </c>
      <c r="I7" s="26"/>
      <c r="J7" s="27"/>
      <c r="K7" s="25"/>
      <c r="L7" s="8">
        <f>IF(A7="","",IF(E7&lt;&gt;"","Allergy noted","OK"))</f>
        <v>0</v>
      </c>
    </row>
    <row r="8" spans="1:12">
      <c r="A8" s="7"/>
      <c r="B8" s="27"/>
      <c r="C8" s="26"/>
      <c r="D8" s="27"/>
      <c r="E8" s="7"/>
      <c r="F8" s="7"/>
      <c r="G8" s="8">
        <f>IF(A8="","",IF(C8="",Calorie_Target,IF(C8&lt;4,Calorie_Target*0.4,IF(C8&lt;9,Calorie_Target*0.6,IF(C8&lt;14,Calorie_Target*0.8,IF(C8&lt;19,Calorie_Target*0.95,Calorie_Target))))))</f>
        <v>0</v>
      </c>
      <c r="H8" s="8">
        <f>IF(A8="","",IF(C8="",Protein_Target,IF(C8&lt;4,Protein_Target*0.5,IF(C8&lt;9,Protein_Target*0.65,IF(C8&lt;14,Protein_Target*0.8,IF(C8&lt;19,Protein_Target*0.9,Protein_Target))))))</f>
        <v>0</v>
      </c>
      <c r="I8" s="26"/>
      <c r="J8" s="27"/>
      <c r="K8" s="25"/>
      <c r="L8" s="8">
        <f>IF(A8="","",IF(E8&lt;&gt;"","Allergy noted","OK"))</f>
        <v>0</v>
      </c>
    </row>
    <row r="9" spans="1:12">
      <c r="A9" s="7"/>
      <c r="B9" s="27"/>
      <c r="C9" s="26"/>
      <c r="D9" s="27"/>
      <c r="E9" s="7"/>
      <c r="F9" s="7"/>
      <c r="G9" s="8">
        <f>IF(A9="","",IF(C9="",Calorie_Target,IF(C9&lt;4,Calorie_Target*0.4,IF(C9&lt;9,Calorie_Target*0.6,IF(C9&lt;14,Calorie_Target*0.8,IF(C9&lt;19,Calorie_Target*0.95,Calorie_Target))))))</f>
        <v>0</v>
      </c>
      <c r="H9" s="8">
        <f>IF(A9="","",IF(C9="",Protein_Target,IF(C9&lt;4,Protein_Target*0.5,IF(C9&lt;9,Protein_Target*0.65,IF(C9&lt;14,Protein_Target*0.8,IF(C9&lt;19,Protein_Target*0.9,Protein_Target))))))</f>
        <v>0</v>
      </c>
      <c r="I9" s="26"/>
      <c r="J9" s="27"/>
      <c r="K9" s="25"/>
      <c r="L9" s="8">
        <f>IF(A9="","",IF(E9&lt;&gt;"","Allergy noted","OK"))</f>
        <v>0</v>
      </c>
    </row>
    <row r="10" spans="1:12">
      <c r="A10" s="7"/>
      <c r="B10" s="27"/>
      <c r="C10" s="26"/>
      <c r="D10" s="27"/>
      <c r="E10" s="7"/>
      <c r="F10" s="7"/>
      <c r="G10" s="8">
        <f>IF(A10="","",IF(C10="",Calorie_Target,IF(C10&lt;4,Calorie_Target*0.4,IF(C10&lt;9,Calorie_Target*0.6,IF(C10&lt;14,Calorie_Target*0.8,IF(C10&lt;19,Calorie_Target*0.95,Calorie_Target))))))</f>
        <v>0</v>
      </c>
      <c r="H10" s="8">
        <f>IF(A10="","",IF(C10="",Protein_Target,IF(C10&lt;4,Protein_Target*0.5,IF(C10&lt;9,Protein_Target*0.65,IF(C10&lt;14,Protein_Target*0.8,IF(C10&lt;19,Protein_Target*0.9,Protein_Target))))))</f>
        <v>0</v>
      </c>
      <c r="I10" s="26"/>
      <c r="J10" s="27"/>
      <c r="K10" s="25"/>
      <c r="L10" s="8">
        <f>IF(A10="","",IF(E10&lt;&gt;"","Allergy noted","OK"))</f>
        <v>0</v>
      </c>
    </row>
    <row r="11" spans="1:12">
      <c r="A11" s="7"/>
      <c r="B11" s="27"/>
      <c r="C11" s="26"/>
      <c r="D11" s="27"/>
      <c r="E11" s="7"/>
      <c r="F11" s="7"/>
      <c r="G11" s="8">
        <f>IF(A11="","",IF(C11="",Calorie_Target,IF(C11&lt;4,Calorie_Target*0.4,IF(C11&lt;9,Calorie_Target*0.6,IF(C11&lt;14,Calorie_Target*0.8,IF(C11&lt;19,Calorie_Target*0.95,Calorie_Target))))))</f>
        <v>0</v>
      </c>
      <c r="H11" s="8">
        <f>IF(A11="","",IF(C11="",Protein_Target,IF(C11&lt;4,Protein_Target*0.5,IF(C11&lt;9,Protein_Target*0.65,IF(C11&lt;14,Protein_Target*0.8,IF(C11&lt;19,Protein_Target*0.9,Protein_Target))))))</f>
        <v>0</v>
      </c>
      <c r="I11" s="26"/>
      <c r="J11" s="27"/>
      <c r="K11" s="25"/>
      <c r="L11" s="8">
        <f>IF(A11="","",IF(E11&lt;&gt;"","Allergy noted","OK"))</f>
        <v>0</v>
      </c>
    </row>
    <row r="12" spans="1:12">
      <c r="A12" s="7"/>
      <c r="B12" s="27"/>
      <c r="C12" s="26"/>
      <c r="D12" s="27"/>
      <c r="E12" s="7"/>
      <c r="F12" s="7"/>
      <c r="G12" s="8">
        <f>IF(A12="","",IF(C12="",Calorie_Target,IF(C12&lt;4,Calorie_Target*0.4,IF(C12&lt;9,Calorie_Target*0.6,IF(C12&lt;14,Calorie_Target*0.8,IF(C12&lt;19,Calorie_Target*0.95,Calorie_Target))))))</f>
        <v>0</v>
      </c>
      <c r="H12" s="8">
        <f>IF(A12="","",IF(C12="",Protein_Target,IF(C12&lt;4,Protein_Target*0.5,IF(C12&lt;9,Protein_Target*0.65,IF(C12&lt;14,Protein_Target*0.8,IF(C12&lt;19,Protein_Target*0.9,Protein_Target))))))</f>
        <v>0</v>
      </c>
      <c r="I12" s="26"/>
      <c r="J12" s="27"/>
      <c r="K12" s="25"/>
      <c r="L12" s="8">
        <f>IF(A12="","",IF(E12&lt;&gt;"","Allergy noted","OK"))</f>
        <v>0</v>
      </c>
    </row>
    <row r="13" spans="1:12">
      <c r="A13" s="7"/>
      <c r="B13" s="27"/>
      <c r="C13" s="26"/>
      <c r="D13" s="27"/>
      <c r="E13" s="7"/>
      <c r="F13" s="7"/>
      <c r="G13" s="8">
        <f>IF(A13="","",IF(C13="",Calorie_Target,IF(C13&lt;4,Calorie_Target*0.4,IF(C13&lt;9,Calorie_Target*0.6,IF(C13&lt;14,Calorie_Target*0.8,IF(C13&lt;19,Calorie_Target*0.95,Calorie_Target))))))</f>
        <v>0</v>
      </c>
      <c r="H13" s="8">
        <f>IF(A13="","",IF(C13="",Protein_Target,IF(C13&lt;4,Protein_Target*0.5,IF(C13&lt;9,Protein_Target*0.65,IF(C13&lt;14,Protein_Target*0.8,IF(C13&lt;19,Protein_Target*0.9,Protein_Target))))))</f>
        <v>0</v>
      </c>
      <c r="I13" s="26"/>
      <c r="J13" s="27"/>
      <c r="K13" s="25"/>
      <c r="L13" s="8">
        <f>IF(A13="","",IF(E13&lt;&gt;"","Allergy noted","OK"))</f>
        <v>0</v>
      </c>
    </row>
    <row r="14" spans="1:12">
      <c r="A14" s="7"/>
      <c r="B14" s="27"/>
      <c r="C14" s="26"/>
      <c r="D14" s="27"/>
      <c r="E14" s="7"/>
      <c r="F14" s="7"/>
      <c r="G14" s="8">
        <f>IF(A14="","",IF(C14="",Calorie_Target,IF(C14&lt;4,Calorie_Target*0.4,IF(C14&lt;9,Calorie_Target*0.6,IF(C14&lt;14,Calorie_Target*0.8,IF(C14&lt;19,Calorie_Target*0.95,Calorie_Target))))))</f>
        <v>0</v>
      </c>
      <c r="H14" s="8">
        <f>IF(A14="","",IF(C14="",Protein_Target,IF(C14&lt;4,Protein_Target*0.5,IF(C14&lt;9,Protein_Target*0.65,IF(C14&lt;14,Protein_Target*0.8,IF(C14&lt;19,Protein_Target*0.9,Protein_Target))))))</f>
        <v>0</v>
      </c>
      <c r="I14" s="26"/>
      <c r="J14" s="27"/>
      <c r="K14" s="25"/>
      <c r="L14" s="8">
        <f>IF(A14="","",IF(E14&lt;&gt;"","Allergy noted","OK"))</f>
        <v>0</v>
      </c>
    </row>
    <row r="15" spans="1:12">
      <c r="A15" s="7"/>
      <c r="B15" s="27"/>
      <c r="C15" s="26"/>
      <c r="D15" s="27"/>
      <c r="E15" s="7"/>
      <c r="F15" s="7"/>
      <c r="G15" s="8">
        <f>IF(A15="","",IF(C15="",Calorie_Target,IF(C15&lt;4,Calorie_Target*0.4,IF(C15&lt;9,Calorie_Target*0.6,IF(C15&lt;14,Calorie_Target*0.8,IF(C15&lt;19,Calorie_Target*0.95,Calorie_Target))))))</f>
        <v>0</v>
      </c>
      <c r="H15" s="8">
        <f>IF(A15="","",IF(C15="",Protein_Target,IF(C15&lt;4,Protein_Target*0.5,IF(C15&lt;9,Protein_Target*0.65,IF(C15&lt;14,Protein_Target*0.8,IF(C15&lt;19,Protein_Target*0.9,Protein_Target))))))</f>
        <v>0</v>
      </c>
      <c r="I15" s="26"/>
      <c r="J15" s="27"/>
      <c r="K15" s="25"/>
      <c r="L15" s="8">
        <f>IF(A15="","",IF(E15&lt;&gt;"","Allergy noted","OK"))</f>
        <v>0</v>
      </c>
    </row>
    <row r="16" spans="1:12">
      <c r="A16" s="7"/>
      <c r="B16" s="27"/>
      <c r="C16" s="26"/>
      <c r="D16" s="27"/>
      <c r="E16" s="7"/>
      <c r="F16" s="7"/>
      <c r="G16" s="8">
        <f>IF(A16="","",IF(C16="",Calorie_Target,IF(C16&lt;4,Calorie_Target*0.4,IF(C16&lt;9,Calorie_Target*0.6,IF(C16&lt;14,Calorie_Target*0.8,IF(C16&lt;19,Calorie_Target*0.95,Calorie_Target))))))</f>
        <v>0</v>
      </c>
      <c r="H16" s="8">
        <f>IF(A16="","",IF(C16="",Protein_Target,IF(C16&lt;4,Protein_Target*0.5,IF(C16&lt;9,Protein_Target*0.65,IF(C16&lt;14,Protein_Target*0.8,IF(C16&lt;19,Protein_Target*0.9,Protein_Target))))))</f>
        <v>0</v>
      </c>
      <c r="I16" s="26"/>
      <c r="J16" s="27"/>
      <c r="K16" s="25"/>
      <c r="L16" s="8">
        <f>IF(A16="","",IF(E16&lt;&gt;"","Allergy noted","OK"))</f>
        <v>0</v>
      </c>
    </row>
  </sheetData>
  <sheetProtection password="EC7C" sheet="1" objects="1" scenarios="1" selectLockedCells="1" selectUnlockedCells="1"/>
  <autoFilter ref="A4:L16"/>
  <conditionalFormatting sqref="A11:L11">
    <cfRule type="expression" dxfId="0" priority="4">
      <formula>MOD(ROW(),2)=0</formula>
    </cfRule>
  </conditionalFormatting>
  <conditionalFormatting sqref="A13:L13">
    <cfRule type="expression" dxfId="0" priority="5">
      <formula>MOD(ROW(),2)=0</formula>
    </cfRule>
  </conditionalFormatting>
  <conditionalFormatting sqref="A15:L15">
    <cfRule type="expression" dxfId="0" priority="6">
      <formula>MOD(ROW(),2)=0</formula>
    </cfRule>
  </conditionalFormatting>
  <conditionalFormatting sqref="A5:L5">
    <cfRule type="expression" dxfId="0" priority="1">
      <formula>MOD(ROW(),2)=0</formula>
    </cfRule>
  </conditionalFormatting>
  <conditionalFormatting sqref="A7:L7">
    <cfRule type="expression" dxfId="0" priority="2">
      <formula>MOD(ROW(),2)=0</formula>
    </cfRule>
  </conditionalFormatting>
  <conditionalFormatting sqref="A9:L9">
    <cfRule type="expression" dxfId="0" priority="3">
      <formula>MOD(ROW(),2)=0</formula>
    </cfRule>
  </conditionalFormatting>
  <dataValidations count="60">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Spreadsheet&amp;R&amp;"Calibri,Italic"Household</oddHeader>
    <oddFooter>&amp;LPage &amp;P of &amp;N&amp;R&amp;D</oddFooter>
  </headerFooter>
  <legacyDrawing r:id="rId1"/>
</worksheet>
</file>

<file path=xl/worksheets/sheet8.xml><?xml version="1.0" encoding="utf-8"?>
<worksheet xmlns="http://schemas.openxmlformats.org/spreadsheetml/2006/main" xmlns:r="http://schemas.openxmlformats.org/officeDocument/2006/relationships">
  <sheetPr>
    <tabColor rgb="FF2F5E43"/>
    <pageSetUpPr fitToPage="1"/>
  </sheetPr>
  <dimension ref="A4:AY2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30.7109375" customWidth="1"/>
    <col min="2" max="2" width="13.7109375" customWidth="1"/>
    <col min="3" max="3" width="14.7109375" customWidth="1"/>
    <col min="4" max="10" width="10.7109375" customWidth="1"/>
    <col min="11" max="13" width="9.7109375" customWidth="1"/>
    <col min="14" max="15" width="11.7109375" customWidth="1"/>
    <col min="16" max="16" width="12.7109375" customWidth="1"/>
    <col min="17" max="17" width="13.7109375" customWidth="1"/>
    <col min="18" max="18" width="14.7109375" customWidth="1"/>
    <col min="19" max="19" width="11.7109375" customWidth="1"/>
    <col min="20" max="21" width="12.7109375" customWidth="1"/>
    <col min="22" max="23" width="11.7109375" customWidth="1"/>
    <col min="24" max="24" width="12.7109375" customWidth="1"/>
    <col min="25" max="25" width="11.7109375" customWidth="1"/>
    <col min="26" max="26" width="10.7109375" customWidth="1"/>
    <col min="27" max="27" width="12.7109375" customWidth="1"/>
    <col min="28" max="28" width="10.7109375" customWidth="1"/>
    <col min="29" max="29" width="11.7109375" customWidth="1"/>
    <col min="30" max="30" width="9.7109375" customWidth="1"/>
    <col min="31" max="32" width="11.7109375" customWidth="1"/>
    <col min="33" max="33" width="10.7109375" customWidth="1"/>
    <col min="34" max="35" width="11.7109375" customWidth="1"/>
    <col min="36" max="36" width="10.7109375" customWidth="1"/>
    <col min="37" max="37" width="12.7109375" customWidth="1"/>
    <col min="38" max="38" width="11.7109375" customWidth="1"/>
    <col min="39" max="39" width="12.7109375" customWidth="1"/>
    <col min="40" max="40" width="11.7109375" customWidth="1"/>
    <col min="41" max="42" width="20.7109375" customWidth="1"/>
    <col min="43" max="43" width="26.7109375" customWidth="1"/>
    <col min="44" max="44" width="40.7109375" customWidth="1"/>
    <col min="45" max="49" width="11.7109375" customWidth="1"/>
    <col min="50" max="50" width="12.7109375" customWidth="1"/>
    <col min="51" max="51" width="13.7109375" customWidth="1"/>
  </cols>
  <sheetData>
    <row r="4" spans="1:51" ht="32" customHeight="1">
      <c r="A4" s="9" t="s">
        <v>138</v>
      </c>
      <c r="B4" s="9" t="s">
        <v>282</v>
      </c>
      <c r="C4" s="9" t="s">
        <v>283</v>
      </c>
      <c r="D4" s="9" t="s">
        <v>111</v>
      </c>
      <c r="E4" s="9" t="s">
        <v>284</v>
      </c>
      <c r="F4" s="9" t="s">
        <v>285</v>
      </c>
      <c r="G4" s="9" t="s">
        <v>286</v>
      </c>
      <c r="H4" s="9" t="s">
        <v>133</v>
      </c>
      <c r="I4" s="9" t="s">
        <v>287</v>
      </c>
      <c r="J4" s="9" t="s">
        <v>288</v>
      </c>
      <c r="K4" s="9" t="s">
        <v>289</v>
      </c>
      <c r="L4" s="9" t="s">
        <v>290</v>
      </c>
      <c r="M4" s="9" t="s">
        <v>291</v>
      </c>
      <c r="N4" s="9" t="s">
        <v>292</v>
      </c>
      <c r="O4" s="9" t="s">
        <v>44</v>
      </c>
      <c r="P4" s="9" t="s">
        <v>293</v>
      </c>
      <c r="Q4" s="9" t="s">
        <v>142</v>
      </c>
      <c r="R4" s="9" t="s">
        <v>145</v>
      </c>
      <c r="S4" s="9" t="s">
        <v>294</v>
      </c>
      <c r="T4" s="9" t="s">
        <v>295</v>
      </c>
      <c r="U4" s="9" t="s">
        <v>296</v>
      </c>
      <c r="V4" s="9" t="s">
        <v>297</v>
      </c>
      <c r="W4" s="9" t="s">
        <v>298</v>
      </c>
      <c r="X4" s="9" t="s">
        <v>139</v>
      </c>
      <c r="Y4" s="9" t="s">
        <v>140</v>
      </c>
      <c r="Z4" s="9" t="s">
        <v>70</v>
      </c>
      <c r="AA4" s="9" t="s">
        <v>299</v>
      </c>
      <c r="AB4" s="9" t="s">
        <v>300</v>
      </c>
      <c r="AC4" s="9" t="s">
        <v>301</v>
      </c>
      <c r="AD4" s="9" t="s">
        <v>302</v>
      </c>
      <c r="AE4" s="9" t="s">
        <v>303</v>
      </c>
      <c r="AF4" s="9" t="s">
        <v>304</v>
      </c>
      <c r="AG4" s="9" t="s">
        <v>305</v>
      </c>
      <c r="AH4" s="9" t="s">
        <v>306</v>
      </c>
      <c r="AI4" s="9" t="s">
        <v>307</v>
      </c>
      <c r="AJ4" s="9" t="s">
        <v>308</v>
      </c>
      <c r="AK4" s="9" t="s">
        <v>309</v>
      </c>
      <c r="AL4" s="9" t="s">
        <v>310</v>
      </c>
      <c r="AM4" s="9" t="s">
        <v>311</v>
      </c>
      <c r="AN4" s="9" t="s">
        <v>312</v>
      </c>
      <c r="AO4" s="9" t="s">
        <v>313</v>
      </c>
      <c r="AP4" s="9" t="s">
        <v>314</v>
      </c>
      <c r="AQ4" s="9" t="s">
        <v>270</v>
      </c>
      <c r="AR4" s="9" t="s">
        <v>173</v>
      </c>
      <c r="AS4" s="9" t="s">
        <v>315</v>
      </c>
      <c r="AT4" s="9" t="s">
        <v>316</v>
      </c>
      <c r="AU4" s="9" t="s">
        <v>317</v>
      </c>
      <c r="AV4" s="9" t="s">
        <v>318</v>
      </c>
      <c r="AW4" s="9" t="s">
        <v>319</v>
      </c>
      <c r="AX4" s="9" t="s">
        <v>320</v>
      </c>
      <c r="AY4" s="9" t="s">
        <v>321</v>
      </c>
    </row>
    <row r="5" spans="1:51">
      <c r="A5" s="7"/>
      <c r="B5" s="27"/>
      <c r="C5" s="27"/>
      <c r="D5" s="26"/>
      <c r="E5" s="26"/>
      <c r="F5" s="26"/>
      <c r="G5" s="8">
        <f>IF(A5="","",E5+F5)</f>
        <v>0</v>
      </c>
      <c r="H5" s="26"/>
      <c r="I5" s="26"/>
      <c r="J5" s="26"/>
      <c r="K5" s="26"/>
      <c r="L5" s="26"/>
      <c r="M5" s="26"/>
      <c r="N5" s="26"/>
      <c r="O5" s="8">
        <f>IF(A5="","",COUNTIFS('Recipe Ingredients'!$A$5:$A$1204,A5))</f>
        <v>0</v>
      </c>
      <c r="P5" s="8">
        <f>IF(A5="","",SUMIFS('Recipe Ingredients'!$H$5:$H$1204,'Recipe Ingredients'!$A$5:$A$1204,A5))</f>
        <v>0</v>
      </c>
      <c r="Q5" s="8">
        <f>IF(OR(A5="",D5=0,D5=""),"",P5/D5)</f>
        <v>0</v>
      </c>
      <c r="R5" s="8">
        <f>IF(OR(A5="",H5=0,H5=""),"",IFERROR(Q5/H5*1000,""))</f>
        <v>0</v>
      </c>
      <c r="S5" s="8">
        <f>IF(OR(A5="",Q5="",Q5=0),"",IFERROR(H5/Q5,""))</f>
        <v>0</v>
      </c>
      <c r="T5" s="8">
        <f>IF(OR(A5="",Q5="",Q5=0),"",IFERROR(I5/Q5,""))</f>
        <v>0</v>
      </c>
      <c r="U5" s="8">
        <f>IF(OR(A5="",G5="",G5=0),"",IFERROR(H5/G5*10,""))</f>
        <v>0</v>
      </c>
      <c r="V5" s="8">
        <f>IF(A5="","",(AC5="Yes")*1+(AD5="Yes")*1+(AE5="Yes")*1+(AF5="Yes")*1+(AG5="Yes")*1+(AH5="Yes")*1)</f>
        <v>0</v>
      </c>
      <c r="W5" s="8">
        <f>IF(A5="","",COUNTIFS('Meal Plan'!$G$5:$G$504,A5,'Meal Plan'!$S$5:$S$504,"Cooked")+COUNTIFS('Meal Plan'!$G$5:$G$504,A5,'Meal Plan'!$S$5:$S$504,"Eaten"))</f>
        <v>0</v>
      </c>
      <c r="X5" s="8">
        <f>IF(A5="","",IF(SUMPRODUCT(MAX(('Meal Plan'!$G$5:$G$504=A5)*'Meal Plan'!$B$5:$B$504))=0,"",SUMPRODUCT(MAX(('Meal Plan'!$G$5:$G$504=A5)*'Meal Plan'!$B$5:$B$504))))</f>
        <v>0</v>
      </c>
      <c r="Y5" s="8">
        <f>IF(OR(A5="",X5=""),"",TODAY()-X5)</f>
        <v>0</v>
      </c>
      <c r="Z5" s="8">
        <f>IF(A5="","",IF(Y5="","Yes",IF(Y5&gt;=Rotation_Gap_Days,"Yes","No")))</f>
        <v>0</v>
      </c>
      <c r="AA5" s="8">
        <f>IF(A5="","",IF(Z5="No","Too soon",IF(AND(AN5&lt;&gt;"",AN5&gt;=4),"Plan it","Available")))</f>
        <v>0</v>
      </c>
      <c r="AB5" s="27"/>
      <c r="AC5" s="27"/>
      <c r="AD5" s="27"/>
      <c r="AE5" s="27"/>
      <c r="AF5" s="27"/>
      <c r="AG5" s="27"/>
      <c r="AH5" s="27"/>
      <c r="AI5" s="27"/>
      <c r="AJ5" s="27"/>
      <c r="AK5" s="8">
        <f>IF(A5="","",IF(G5&lt;=30,"Yes","No"))</f>
        <v>0</v>
      </c>
      <c r="AL5" s="27"/>
      <c r="AM5" s="30"/>
      <c r="AN5" s="26"/>
      <c r="AO5" s="7"/>
      <c r="AP5" s="7"/>
      <c r="AQ5" s="7"/>
      <c r="AR5" s="25"/>
      <c r="AS5" s="8">
        <f>IF(A5="","",COUNTIFS($H$5:$H$204,"&gt;"&amp;H5)+1)</f>
        <v>0</v>
      </c>
      <c r="AT5" s="8">
        <f>IF(A5="","",COUNTIFS($I$5:$I$204,"&gt;"&amp;I5)+1)</f>
        <v>0</v>
      </c>
      <c r="AU5" s="8">
        <f>IF(A5="","",COUNTIFS($L$5:$L$204,"&gt;"&amp;L5)+1)</f>
        <v>0</v>
      </c>
      <c r="AV5" s="8">
        <f>IF(OR(A5="",Q5=""),"",COUNTIFS($Q$5:$Q$204,"&lt;"&amp;Q5)+1)</f>
        <v>0</v>
      </c>
      <c r="AW5" s="8">
        <f>IF(A5="","",COUNTIFS($V$5:$V$204,"&gt;"&amp;V5)+1)</f>
        <v>0</v>
      </c>
      <c r="AX5" s="8">
        <f>IF(A5="","",COUNTIFS($Y$5:$Y$204,"&lt;"&amp;Y5)+1)</f>
        <v>0</v>
      </c>
      <c r="AY5" s="8">
        <f>IF(A5="","",COUNTIFS($W$5:$W$204,"&gt;"&amp;W5)+1)</f>
        <v>0</v>
      </c>
    </row>
    <row r="6" spans="1:51">
      <c r="A6" s="7"/>
      <c r="B6" s="27"/>
      <c r="C6" s="27"/>
      <c r="D6" s="26"/>
      <c r="E6" s="26"/>
      <c r="F6" s="26"/>
      <c r="G6" s="8">
        <f>IF(A6="","",E6+F6)</f>
        <v>0</v>
      </c>
      <c r="H6" s="26"/>
      <c r="I6" s="26"/>
      <c r="J6" s="26"/>
      <c r="K6" s="26"/>
      <c r="L6" s="26"/>
      <c r="M6" s="26"/>
      <c r="N6" s="26"/>
      <c r="O6" s="8">
        <f>IF(A6="","",COUNTIFS('Recipe Ingredients'!$A$5:$A$1204,A6))</f>
        <v>0</v>
      </c>
      <c r="P6" s="8">
        <f>IF(A6="","",SUMIFS('Recipe Ingredients'!$H$5:$H$1204,'Recipe Ingredients'!$A$5:$A$1204,A6))</f>
        <v>0</v>
      </c>
      <c r="Q6" s="8">
        <f>IF(OR(A6="",D6=0,D6=""),"",P6/D6)</f>
        <v>0</v>
      </c>
      <c r="R6" s="8">
        <f>IF(OR(A6="",H6=0,H6=""),"",IFERROR(Q6/H6*1000,""))</f>
        <v>0</v>
      </c>
      <c r="S6" s="8">
        <f>IF(OR(A6="",Q6="",Q6=0),"",IFERROR(H6/Q6,""))</f>
        <v>0</v>
      </c>
      <c r="T6" s="8">
        <f>IF(OR(A6="",Q6="",Q6=0),"",IFERROR(I6/Q6,""))</f>
        <v>0</v>
      </c>
      <c r="U6" s="8">
        <f>IF(OR(A6="",G6="",G6=0),"",IFERROR(H6/G6*10,""))</f>
        <v>0</v>
      </c>
      <c r="V6" s="8">
        <f>IF(A6="","",(AC6="Yes")*1+(AD6="Yes")*1+(AE6="Yes")*1+(AF6="Yes")*1+(AG6="Yes")*1+(AH6="Yes")*1)</f>
        <v>0</v>
      </c>
      <c r="W6" s="8">
        <f>IF(A6="","",COUNTIFS('Meal Plan'!$G$5:$G$504,A6,'Meal Plan'!$S$5:$S$504,"Cooked")+COUNTIFS('Meal Plan'!$G$5:$G$504,A6,'Meal Plan'!$S$5:$S$504,"Eaten"))</f>
        <v>0</v>
      </c>
      <c r="X6" s="8">
        <f>IF(A6="","",IF(SUMPRODUCT(MAX(('Meal Plan'!$G$5:$G$504=A6)*'Meal Plan'!$B$5:$B$504))=0,"",SUMPRODUCT(MAX(('Meal Plan'!$G$5:$G$504=A6)*'Meal Plan'!$B$5:$B$504))))</f>
        <v>0</v>
      </c>
      <c r="Y6" s="8">
        <f>IF(OR(A6="",X6=""),"",TODAY()-X6)</f>
        <v>0</v>
      </c>
      <c r="Z6" s="8">
        <f>IF(A6="","",IF(Y6="","Yes",IF(Y6&gt;=Rotation_Gap_Days,"Yes","No")))</f>
        <v>0</v>
      </c>
      <c r="AA6" s="8">
        <f>IF(A6="","",IF(Z6="No","Too soon",IF(AND(AN6&lt;&gt;"",AN6&gt;=4),"Plan it","Available")))</f>
        <v>0</v>
      </c>
      <c r="AB6" s="27"/>
      <c r="AC6" s="27"/>
      <c r="AD6" s="27"/>
      <c r="AE6" s="27"/>
      <c r="AF6" s="27"/>
      <c r="AG6" s="27"/>
      <c r="AH6" s="27"/>
      <c r="AI6" s="27"/>
      <c r="AJ6" s="27"/>
      <c r="AK6" s="8">
        <f>IF(A6="","",IF(G6&lt;=30,"Yes","No"))</f>
        <v>0</v>
      </c>
      <c r="AL6" s="27"/>
      <c r="AM6" s="30"/>
      <c r="AN6" s="26"/>
      <c r="AO6" s="7"/>
      <c r="AP6" s="7"/>
      <c r="AQ6" s="7"/>
      <c r="AR6" s="25"/>
      <c r="AS6" s="8">
        <f>IF(A6="","",COUNTIFS($H$5:$H$204,"&gt;"&amp;H6)+1)</f>
        <v>0</v>
      </c>
      <c r="AT6" s="8">
        <f>IF(A6="","",COUNTIFS($I$5:$I$204,"&gt;"&amp;I6)+1)</f>
        <v>0</v>
      </c>
      <c r="AU6" s="8">
        <f>IF(A6="","",COUNTIFS($L$5:$L$204,"&gt;"&amp;L6)+1)</f>
        <v>0</v>
      </c>
      <c r="AV6" s="8">
        <f>IF(OR(A6="",Q6=""),"",COUNTIFS($Q$5:$Q$204,"&lt;"&amp;Q6)+1)</f>
        <v>0</v>
      </c>
      <c r="AW6" s="8">
        <f>IF(A6="","",COUNTIFS($V$5:$V$204,"&gt;"&amp;V6)+1)</f>
        <v>0</v>
      </c>
      <c r="AX6" s="8">
        <f>IF(A6="","",COUNTIFS($Y$5:$Y$204,"&lt;"&amp;Y6)+1)</f>
        <v>0</v>
      </c>
      <c r="AY6" s="8">
        <f>IF(A6="","",COUNTIFS($W$5:$W$204,"&gt;"&amp;W6)+1)</f>
        <v>0</v>
      </c>
    </row>
    <row r="7" spans="1:51">
      <c r="A7" s="7"/>
      <c r="B7" s="27"/>
      <c r="C7" s="27"/>
      <c r="D7" s="26"/>
      <c r="E7" s="26"/>
      <c r="F7" s="26"/>
      <c r="G7" s="8">
        <f>IF(A7="","",E7+F7)</f>
        <v>0</v>
      </c>
      <c r="H7" s="26"/>
      <c r="I7" s="26"/>
      <c r="J7" s="26"/>
      <c r="K7" s="26"/>
      <c r="L7" s="26"/>
      <c r="M7" s="26"/>
      <c r="N7" s="26"/>
      <c r="O7" s="8">
        <f>IF(A7="","",COUNTIFS('Recipe Ingredients'!$A$5:$A$1204,A7))</f>
        <v>0</v>
      </c>
      <c r="P7" s="8">
        <f>IF(A7="","",SUMIFS('Recipe Ingredients'!$H$5:$H$1204,'Recipe Ingredients'!$A$5:$A$1204,A7))</f>
        <v>0</v>
      </c>
      <c r="Q7" s="8">
        <f>IF(OR(A7="",D7=0,D7=""),"",P7/D7)</f>
        <v>0</v>
      </c>
      <c r="R7" s="8">
        <f>IF(OR(A7="",H7=0,H7=""),"",IFERROR(Q7/H7*1000,""))</f>
        <v>0</v>
      </c>
      <c r="S7" s="8">
        <f>IF(OR(A7="",Q7="",Q7=0),"",IFERROR(H7/Q7,""))</f>
        <v>0</v>
      </c>
      <c r="T7" s="8">
        <f>IF(OR(A7="",Q7="",Q7=0),"",IFERROR(I7/Q7,""))</f>
        <v>0</v>
      </c>
      <c r="U7" s="8">
        <f>IF(OR(A7="",G7="",G7=0),"",IFERROR(H7/G7*10,""))</f>
        <v>0</v>
      </c>
      <c r="V7" s="8">
        <f>IF(A7="","",(AC7="Yes")*1+(AD7="Yes")*1+(AE7="Yes")*1+(AF7="Yes")*1+(AG7="Yes")*1+(AH7="Yes")*1)</f>
        <v>0</v>
      </c>
      <c r="W7" s="8">
        <f>IF(A7="","",COUNTIFS('Meal Plan'!$G$5:$G$504,A7,'Meal Plan'!$S$5:$S$504,"Cooked")+COUNTIFS('Meal Plan'!$G$5:$G$504,A7,'Meal Plan'!$S$5:$S$504,"Eaten"))</f>
        <v>0</v>
      </c>
      <c r="X7" s="8">
        <f>IF(A7="","",IF(SUMPRODUCT(MAX(('Meal Plan'!$G$5:$G$504=A7)*'Meal Plan'!$B$5:$B$504))=0,"",SUMPRODUCT(MAX(('Meal Plan'!$G$5:$G$504=A7)*'Meal Plan'!$B$5:$B$504))))</f>
        <v>0</v>
      </c>
      <c r="Y7" s="8">
        <f>IF(OR(A7="",X7=""),"",TODAY()-X7)</f>
        <v>0</v>
      </c>
      <c r="Z7" s="8">
        <f>IF(A7="","",IF(Y7="","Yes",IF(Y7&gt;=Rotation_Gap_Days,"Yes","No")))</f>
        <v>0</v>
      </c>
      <c r="AA7" s="8">
        <f>IF(A7="","",IF(Z7="No","Too soon",IF(AND(AN7&lt;&gt;"",AN7&gt;=4),"Plan it","Available")))</f>
        <v>0</v>
      </c>
      <c r="AB7" s="27"/>
      <c r="AC7" s="27"/>
      <c r="AD7" s="27"/>
      <c r="AE7" s="27"/>
      <c r="AF7" s="27"/>
      <c r="AG7" s="27"/>
      <c r="AH7" s="27"/>
      <c r="AI7" s="27"/>
      <c r="AJ7" s="27"/>
      <c r="AK7" s="8">
        <f>IF(A7="","",IF(G7&lt;=30,"Yes","No"))</f>
        <v>0</v>
      </c>
      <c r="AL7" s="27"/>
      <c r="AM7" s="30"/>
      <c r="AN7" s="26"/>
      <c r="AO7" s="7"/>
      <c r="AP7" s="7"/>
      <c r="AQ7" s="7"/>
      <c r="AR7" s="25"/>
      <c r="AS7" s="8">
        <f>IF(A7="","",COUNTIFS($H$5:$H$204,"&gt;"&amp;H7)+1)</f>
        <v>0</v>
      </c>
      <c r="AT7" s="8">
        <f>IF(A7="","",COUNTIFS($I$5:$I$204,"&gt;"&amp;I7)+1)</f>
        <v>0</v>
      </c>
      <c r="AU7" s="8">
        <f>IF(A7="","",COUNTIFS($L$5:$L$204,"&gt;"&amp;L7)+1)</f>
        <v>0</v>
      </c>
      <c r="AV7" s="8">
        <f>IF(OR(A7="",Q7=""),"",COUNTIFS($Q$5:$Q$204,"&lt;"&amp;Q7)+1)</f>
        <v>0</v>
      </c>
      <c r="AW7" s="8">
        <f>IF(A7="","",COUNTIFS($V$5:$V$204,"&gt;"&amp;V7)+1)</f>
        <v>0</v>
      </c>
      <c r="AX7" s="8">
        <f>IF(A7="","",COUNTIFS($Y$5:$Y$204,"&lt;"&amp;Y7)+1)</f>
        <v>0</v>
      </c>
      <c r="AY7" s="8">
        <f>IF(A7="","",COUNTIFS($W$5:$W$204,"&gt;"&amp;W7)+1)</f>
        <v>0</v>
      </c>
    </row>
    <row r="8" spans="1:51">
      <c r="A8" s="7"/>
      <c r="B8" s="27"/>
      <c r="C8" s="27"/>
      <c r="D8" s="26"/>
      <c r="E8" s="26"/>
      <c r="F8" s="26"/>
      <c r="G8" s="8">
        <f>IF(A8="","",E8+F8)</f>
        <v>0</v>
      </c>
      <c r="H8" s="26"/>
      <c r="I8" s="26"/>
      <c r="J8" s="26"/>
      <c r="K8" s="26"/>
      <c r="L8" s="26"/>
      <c r="M8" s="26"/>
      <c r="N8" s="26"/>
      <c r="O8" s="8">
        <f>IF(A8="","",COUNTIFS('Recipe Ingredients'!$A$5:$A$1204,A8))</f>
        <v>0</v>
      </c>
      <c r="P8" s="8">
        <f>IF(A8="","",SUMIFS('Recipe Ingredients'!$H$5:$H$1204,'Recipe Ingredients'!$A$5:$A$1204,A8))</f>
        <v>0</v>
      </c>
      <c r="Q8" s="8">
        <f>IF(OR(A8="",D8=0,D8=""),"",P8/D8)</f>
        <v>0</v>
      </c>
      <c r="R8" s="8">
        <f>IF(OR(A8="",H8=0,H8=""),"",IFERROR(Q8/H8*1000,""))</f>
        <v>0</v>
      </c>
      <c r="S8" s="8">
        <f>IF(OR(A8="",Q8="",Q8=0),"",IFERROR(H8/Q8,""))</f>
        <v>0</v>
      </c>
      <c r="T8" s="8">
        <f>IF(OR(A8="",Q8="",Q8=0),"",IFERROR(I8/Q8,""))</f>
        <v>0</v>
      </c>
      <c r="U8" s="8">
        <f>IF(OR(A8="",G8="",G8=0),"",IFERROR(H8/G8*10,""))</f>
        <v>0</v>
      </c>
      <c r="V8" s="8">
        <f>IF(A8="","",(AC8="Yes")*1+(AD8="Yes")*1+(AE8="Yes")*1+(AF8="Yes")*1+(AG8="Yes")*1+(AH8="Yes")*1)</f>
        <v>0</v>
      </c>
      <c r="W8" s="8">
        <f>IF(A8="","",COUNTIFS('Meal Plan'!$G$5:$G$504,A8,'Meal Plan'!$S$5:$S$504,"Cooked")+COUNTIFS('Meal Plan'!$G$5:$G$504,A8,'Meal Plan'!$S$5:$S$504,"Eaten"))</f>
        <v>0</v>
      </c>
      <c r="X8" s="8">
        <f>IF(A8="","",IF(SUMPRODUCT(MAX(('Meal Plan'!$G$5:$G$504=A8)*'Meal Plan'!$B$5:$B$504))=0,"",SUMPRODUCT(MAX(('Meal Plan'!$G$5:$G$504=A8)*'Meal Plan'!$B$5:$B$504))))</f>
        <v>0</v>
      </c>
      <c r="Y8" s="8">
        <f>IF(OR(A8="",X8=""),"",TODAY()-X8)</f>
        <v>0</v>
      </c>
      <c r="Z8" s="8">
        <f>IF(A8="","",IF(Y8="","Yes",IF(Y8&gt;=Rotation_Gap_Days,"Yes","No")))</f>
        <v>0</v>
      </c>
      <c r="AA8" s="8">
        <f>IF(A8="","",IF(Z8="No","Too soon",IF(AND(AN8&lt;&gt;"",AN8&gt;=4),"Plan it","Available")))</f>
        <v>0</v>
      </c>
      <c r="AB8" s="27"/>
      <c r="AC8" s="27"/>
      <c r="AD8" s="27"/>
      <c r="AE8" s="27"/>
      <c r="AF8" s="27"/>
      <c r="AG8" s="27"/>
      <c r="AH8" s="27"/>
      <c r="AI8" s="27"/>
      <c r="AJ8" s="27"/>
      <c r="AK8" s="8">
        <f>IF(A8="","",IF(G8&lt;=30,"Yes","No"))</f>
        <v>0</v>
      </c>
      <c r="AL8" s="27"/>
      <c r="AM8" s="30"/>
      <c r="AN8" s="26"/>
      <c r="AO8" s="7"/>
      <c r="AP8" s="7"/>
      <c r="AQ8" s="7"/>
      <c r="AR8" s="25"/>
      <c r="AS8" s="8">
        <f>IF(A8="","",COUNTIFS($H$5:$H$204,"&gt;"&amp;H8)+1)</f>
        <v>0</v>
      </c>
      <c r="AT8" s="8">
        <f>IF(A8="","",COUNTIFS($I$5:$I$204,"&gt;"&amp;I8)+1)</f>
        <v>0</v>
      </c>
      <c r="AU8" s="8">
        <f>IF(A8="","",COUNTIFS($L$5:$L$204,"&gt;"&amp;L8)+1)</f>
        <v>0</v>
      </c>
      <c r="AV8" s="8">
        <f>IF(OR(A8="",Q8=""),"",COUNTIFS($Q$5:$Q$204,"&lt;"&amp;Q8)+1)</f>
        <v>0</v>
      </c>
      <c r="AW8" s="8">
        <f>IF(A8="","",COUNTIFS($V$5:$V$204,"&gt;"&amp;V8)+1)</f>
        <v>0</v>
      </c>
      <c r="AX8" s="8">
        <f>IF(A8="","",COUNTIFS($Y$5:$Y$204,"&lt;"&amp;Y8)+1)</f>
        <v>0</v>
      </c>
      <c r="AY8" s="8">
        <f>IF(A8="","",COUNTIFS($W$5:$W$204,"&gt;"&amp;W8)+1)</f>
        <v>0</v>
      </c>
    </row>
    <row r="9" spans="1:51">
      <c r="A9" s="7"/>
      <c r="B9" s="27"/>
      <c r="C9" s="27"/>
      <c r="D9" s="26"/>
      <c r="E9" s="26"/>
      <c r="F9" s="26"/>
      <c r="G9" s="8">
        <f>IF(A9="","",E9+F9)</f>
        <v>0</v>
      </c>
      <c r="H9" s="26"/>
      <c r="I9" s="26"/>
      <c r="J9" s="26"/>
      <c r="K9" s="26"/>
      <c r="L9" s="26"/>
      <c r="M9" s="26"/>
      <c r="N9" s="26"/>
      <c r="O9" s="8">
        <f>IF(A9="","",COUNTIFS('Recipe Ingredients'!$A$5:$A$1204,A9))</f>
        <v>0</v>
      </c>
      <c r="P9" s="8">
        <f>IF(A9="","",SUMIFS('Recipe Ingredients'!$H$5:$H$1204,'Recipe Ingredients'!$A$5:$A$1204,A9))</f>
        <v>0</v>
      </c>
      <c r="Q9" s="8">
        <f>IF(OR(A9="",D9=0,D9=""),"",P9/D9)</f>
        <v>0</v>
      </c>
      <c r="R9" s="8">
        <f>IF(OR(A9="",H9=0,H9=""),"",IFERROR(Q9/H9*1000,""))</f>
        <v>0</v>
      </c>
      <c r="S9" s="8">
        <f>IF(OR(A9="",Q9="",Q9=0),"",IFERROR(H9/Q9,""))</f>
        <v>0</v>
      </c>
      <c r="T9" s="8">
        <f>IF(OR(A9="",Q9="",Q9=0),"",IFERROR(I9/Q9,""))</f>
        <v>0</v>
      </c>
      <c r="U9" s="8">
        <f>IF(OR(A9="",G9="",G9=0),"",IFERROR(H9/G9*10,""))</f>
        <v>0</v>
      </c>
      <c r="V9" s="8">
        <f>IF(A9="","",(AC9="Yes")*1+(AD9="Yes")*1+(AE9="Yes")*1+(AF9="Yes")*1+(AG9="Yes")*1+(AH9="Yes")*1)</f>
        <v>0</v>
      </c>
      <c r="W9" s="8">
        <f>IF(A9="","",COUNTIFS('Meal Plan'!$G$5:$G$504,A9,'Meal Plan'!$S$5:$S$504,"Cooked")+COUNTIFS('Meal Plan'!$G$5:$G$504,A9,'Meal Plan'!$S$5:$S$504,"Eaten"))</f>
        <v>0</v>
      </c>
      <c r="X9" s="8">
        <f>IF(A9="","",IF(SUMPRODUCT(MAX(('Meal Plan'!$G$5:$G$504=A9)*'Meal Plan'!$B$5:$B$504))=0,"",SUMPRODUCT(MAX(('Meal Plan'!$G$5:$G$504=A9)*'Meal Plan'!$B$5:$B$504))))</f>
        <v>0</v>
      </c>
      <c r="Y9" s="8">
        <f>IF(OR(A9="",X9=""),"",TODAY()-X9)</f>
        <v>0</v>
      </c>
      <c r="Z9" s="8">
        <f>IF(A9="","",IF(Y9="","Yes",IF(Y9&gt;=Rotation_Gap_Days,"Yes","No")))</f>
        <v>0</v>
      </c>
      <c r="AA9" s="8">
        <f>IF(A9="","",IF(Z9="No","Too soon",IF(AND(AN9&lt;&gt;"",AN9&gt;=4),"Plan it","Available")))</f>
        <v>0</v>
      </c>
      <c r="AB9" s="27"/>
      <c r="AC9" s="27"/>
      <c r="AD9" s="27"/>
      <c r="AE9" s="27"/>
      <c r="AF9" s="27"/>
      <c r="AG9" s="27"/>
      <c r="AH9" s="27"/>
      <c r="AI9" s="27"/>
      <c r="AJ9" s="27"/>
      <c r="AK9" s="8">
        <f>IF(A9="","",IF(G9&lt;=30,"Yes","No"))</f>
        <v>0</v>
      </c>
      <c r="AL9" s="27"/>
      <c r="AM9" s="30"/>
      <c r="AN9" s="26"/>
      <c r="AO9" s="7"/>
      <c r="AP9" s="7"/>
      <c r="AQ9" s="7"/>
      <c r="AR9" s="25"/>
      <c r="AS9" s="8">
        <f>IF(A9="","",COUNTIFS($H$5:$H$204,"&gt;"&amp;H9)+1)</f>
        <v>0</v>
      </c>
      <c r="AT9" s="8">
        <f>IF(A9="","",COUNTIFS($I$5:$I$204,"&gt;"&amp;I9)+1)</f>
        <v>0</v>
      </c>
      <c r="AU9" s="8">
        <f>IF(A9="","",COUNTIFS($L$5:$L$204,"&gt;"&amp;L9)+1)</f>
        <v>0</v>
      </c>
      <c r="AV9" s="8">
        <f>IF(OR(A9="",Q9=""),"",COUNTIFS($Q$5:$Q$204,"&lt;"&amp;Q9)+1)</f>
        <v>0</v>
      </c>
      <c r="AW9" s="8">
        <f>IF(A9="","",COUNTIFS($V$5:$V$204,"&gt;"&amp;V9)+1)</f>
        <v>0</v>
      </c>
      <c r="AX9" s="8">
        <f>IF(A9="","",COUNTIFS($Y$5:$Y$204,"&lt;"&amp;Y9)+1)</f>
        <v>0</v>
      </c>
      <c r="AY9" s="8">
        <f>IF(A9="","",COUNTIFS($W$5:$W$204,"&gt;"&amp;W9)+1)</f>
        <v>0</v>
      </c>
    </row>
    <row r="10" spans="1:51">
      <c r="A10" s="7"/>
      <c r="B10" s="27"/>
      <c r="C10" s="27"/>
      <c r="D10" s="26"/>
      <c r="E10" s="26"/>
      <c r="F10" s="26"/>
      <c r="G10" s="8">
        <f>IF(A10="","",E10+F10)</f>
        <v>0</v>
      </c>
      <c r="H10" s="26"/>
      <c r="I10" s="26"/>
      <c r="J10" s="26"/>
      <c r="K10" s="26"/>
      <c r="L10" s="26"/>
      <c r="M10" s="26"/>
      <c r="N10" s="26"/>
      <c r="O10" s="8">
        <f>IF(A10="","",COUNTIFS('Recipe Ingredients'!$A$5:$A$1204,A10))</f>
        <v>0</v>
      </c>
      <c r="P10" s="8">
        <f>IF(A10="","",SUMIFS('Recipe Ingredients'!$H$5:$H$1204,'Recipe Ingredients'!$A$5:$A$1204,A10))</f>
        <v>0</v>
      </c>
      <c r="Q10" s="8">
        <f>IF(OR(A10="",D10=0,D10=""),"",P10/D10)</f>
        <v>0</v>
      </c>
      <c r="R10" s="8">
        <f>IF(OR(A10="",H10=0,H10=""),"",IFERROR(Q10/H10*1000,""))</f>
        <v>0</v>
      </c>
      <c r="S10" s="8">
        <f>IF(OR(A10="",Q10="",Q10=0),"",IFERROR(H10/Q10,""))</f>
        <v>0</v>
      </c>
      <c r="T10" s="8">
        <f>IF(OR(A10="",Q10="",Q10=0),"",IFERROR(I10/Q10,""))</f>
        <v>0</v>
      </c>
      <c r="U10" s="8">
        <f>IF(OR(A10="",G10="",G10=0),"",IFERROR(H10/G10*10,""))</f>
        <v>0</v>
      </c>
      <c r="V10" s="8">
        <f>IF(A10="","",(AC10="Yes")*1+(AD10="Yes")*1+(AE10="Yes")*1+(AF10="Yes")*1+(AG10="Yes")*1+(AH10="Yes")*1)</f>
        <v>0</v>
      </c>
      <c r="W10" s="8">
        <f>IF(A10="","",COUNTIFS('Meal Plan'!$G$5:$G$504,A10,'Meal Plan'!$S$5:$S$504,"Cooked")+COUNTIFS('Meal Plan'!$G$5:$G$504,A10,'Meal Plan'!$S$5:$S$504,"Eaten"))</f>
        <v>0</v>
      </c>
      <c r="X10" s="8">
        <f>IF(A10="","",IF(SUMPRODUCT(MAX(('Meal Plan'!$G$5:$G$504=A10)*'Meal Plan'!$B$5:$B$504))=0,"",SUMPRODUCT(MAX(('Meal Plan'!$G$5:$G$504=A10)*'Meal Plan'!$B$5:$B$504))))</f>
        <v>0</v>
      </c>
      <c r="Y10" s="8">
        <f>IF(OR(A10="",X10=""),"",TODAY()-X10)</f>
        <v>0</v>
      </c>
      <c r="Z10" s="8">
        <f>IF(A10="","",IF(Y10="","Yes",IF(Y10&gt;=Rotation_Gap_Days,"Yes","No")))</f>
        <v>0</v>
      </c>
      <c r="AA10" s="8">
        <f>IF(A10="","",IF(Z10="No","Too soon",IF(AND(AN10&lt;&gt;"",AN10&gt;=4),"Plan it","Available")))</f>
        <v>0</v>
      </c>
      <c r="AB10" s="27"/>
      <c r="AC10" s="27"/>
      <c r="AD10" s="27"/>
      <c r="AE10" s="27"/>
      <c r="AF10" s="27"/>
      <c r="AG10" s="27"/>
      <c r="AH10" s="27"/>
      <c r="AI10" s="27"/>
      <c r="AJ10" s="27"/>
      <c r="AK10" s="8">
        <f>IF(A10="","",IF(G10&lt;=30,"Yes","No"))</f>
        <v>0</v>
      </c>
      <c r="AL10" s="27"/>
      <c r="AM10" s="30"/>
      <c r="AN10" s="26"/>
      <c r="AO10" s="7"/>
      <c r="AP10" s="7"/>
      <c r="AQ10" s="7"/>
      <c r="AR10" s="25"/>
      <c r="AS10" s="8">
        <f>IF(A10="","",COUNTIFS($H$5:$H$204,"&gt;"&amp;H10)+1)</f>
        <v>0</v>
      </c>
      <c r="AT10" s="8">
        <f>IF(A10="","",COUNTIFS($I$5:$I$204,"&gt;"&amp;I10)+1)</f>
        <v>0</v>
      </c>
      <c r="AU10" s="8">
        <f>IF(A10="","",COUNTIFS($L$5:$L$204,"&gt;"&amp;L10)+1)</f>
        <v>0</v>
      </c>
      <c r="AV10" s="8">
        <f>IF(OR(A10="",Q10=""),"",COUNTIFS($Q$5:$Q$204,"&lt;"&amp;Q10)+1)</f>
        <v>0</v>
      </c>
      <c r="AW10" s="8">
        <f>IF(A10="","",COUNTIFS($V$5:$V$204,"&gt;"&amp;V10)+1)</f>
        <v>0</v>
      </c>
      <c r="AX10" s="8">
        <f>IF(A10="","",COUNTIFS($Y$5:$Y$204,"&lt;"&amp;Y10)+1)</f>
        <v>0</v>
      </c>
      <c r="AY10" s="8">
        <f>IF(A10="","",COUNTIFS($W$5:$W$204,"&gt;"&amp;W10)+1)</f>
        <v>0</v>
      </c>
    </row>
    <row r="11" spans="1:51">
      <c r="A11" s="7"/>
      <c r="B11" s="27"/>
      <c r="C11" s="27"/>
      <c r="D11" s="26"/>
      <c r="E11" s="26"/>
      <c r="F11" s="26"/>
      <c r="G11" s="8">
        <f>IF(A11="","",E11+F11)</f>
        <v>0</v>
      </c>
      <c r="H11" s="26"/>
      <c r="I11" s="26"/>
      <c r="J11" s="26"/>
      <c r="K11" s="26"/>
      <c r="L11" s="26"/>
      <c r="M11" s="26"/>
      <c r="N11" s="26"/>
      <c r="O11" s="8">
        <f>IF(A11="","",COUNTIFS('Recipe Ingredients'!$A$5:$A$1204,A11))</f>
        <v>0</v>
      </c>
      <c r="P11" s="8">
        <f>IF(A11="","",SUMIFS('Recipe Ingredients'!$H$5:$H$1204,'Recipe Ingredients'!$A$5:$A$1204,A11))</f>
        <v>0</v>
      </c>
      <c r="Q11" s="8">
        <f>IF(OR(A11="",D11=0,D11=""),"",P11/D11)</f>
        <v>0</v>
      </c>
      <c r="R11" s="8">
        <f>IF(OR(A11="",H11=0,H11=""),"",IFERROR(Q11/H11*1000,""))</f>
        <v>0</v>
      </c>
      <c r="S11" s="8">
        <f>IF(OR(A11="",Q11="",Q11=0),"",IFERROR(H11/Q11,""))</f>
        <v>0</v>
      </c>
      <c r="T11" s="8">
        <f>IF(OR(A11="",Q11="",Q11=0),"",IFERROR(I11/Q11,""))</f>
        <v>0</v>
      </c>
      <c r="U11" s="8">
        <f>IF(OR(A11="",G11="",G11=0),"",IFERROR(H11/G11*10,""))</f>
        <v>0</v>
      </c>
      <c r="V11" s="8">
        <f>IF(A11="","",(AC11="Yes")*1+(AD11="Yes")*1+(AE11="Yes")*1+(AF11="Yes")*1+(AG11="Yes")*1+(AH11="Yes")*1)</f>
        <v>0</v>
      </c>
      <c r="W11" s="8">
        <f>IF(A11="","",COUNTIFS('Meal Plan'!$G$5:$G$504,A11,'Meal Plan'!$S$5:$S$504,"Cooked")+COUNTIFS('Meal Plan'!$G$5:$G$504,A11,'Meal Plan'!$S$5:$S$504,"Eaten"))</f>
        <v>0</v>
      </c>
      <c r="X11" s="8">
        <f>IF(A11="","",IF(SUMPRODUCT(MAX(('Meal Plan'!$G$5:$G$504=A11)*'Meal Plan'!$B$5:$B$504))=0,"",SUMPRODUCT(MAX(('Meal Plan'!$G$5:$G$504=A11)*'Meal Plan'!$B$5:$B$504))))</f>
        <v>0</v>
      </c>
      <c r="Y11" s="8">
        <f>IF(OR(A11="",X11=""),"",TODAY()-X11)</f>
        <v>0</v>
      </c>
      <c r="Z11" s="8">
        <f>IF(A11="","",IF(Y11="","Yes",IF(Y11&gt;=Rotation_Gap_Days,"Yes","No")))</f>
        <v>0</v>
      </c>
      <c r="AA11" s="8">
        <f>IF(A11="","",IF(Z11="No","Too soon",IF(AND(AN11&lt;&gt;"",AN11&gt;=4),"Plan it","Available")))</f>
        <v>0</v>
      </c>
      <c r="AB11" s="27"/>
      <c r="AC11" s="27"/>
      <c r="AD11" s="27"/>
      <c r="AE11" s="27"/>
      <c r="AF11" s="27"/>
      <c r="AG11" s="27"/>
      <c r="AH11" s="27"/>
      <c r="AI11" s="27"/>
      <c r="AJ11" s="27"/>
      <c r="AK11" s="8">
        <f>IF(A11="","",IF(G11&lt;=30,"Yes","No"))</f>
        <v>0</v>
      </c>
      <c r="AL11" s="27"/>
      <c r="AM11" s="30"/>
      <c r="AN11" s="26"/>
      <c r="AO11" s="7"/>
      <c r="AP11" s="7"/>
      <c r="AQ11" s="7"/>
      <c r="AR11" s="25"/>
      <c r="AS11" s="8">
        <f>IF(A11="","",COUNTIFS($H$5:$H$204,"&gt;"&amp;H11)+1)</f>
        <v>0</v>
      </c>
      <c r="AT11" s="8">
        <f>IF(A11="","",COUNTIFS($I$5:$I$204,"&gt;"&amp;I11)+1)</f>
        <v>0</v>
      </c>
      <c r="AU11" s="8">
        <f>IF(A11="","",COUNTIFS($L$5:$L$204,"&gt;"&amp;L11)+1)</f>
        <v>0</v>
      </c>
      <c r="AV11" s="8">
        <f>IF(OR(A11="",Q11=""),"",COUNTIFS($Q$5:$Q$204,"&lt;"&amp;Q11)+1)</f>
        <v>0</v>
      </c>
      <c r="AW11" s="8">
        <f>IF(A11="","",COUNTIFS($V$5:$V$204,"&gt;"&amp;V11)+1)</f>
        <v>0</v>
      </c>
      <c r="AX11" s="8">
        <f>IF(A11="","",COUNTIFS($Y$5:$Y$204,"&lt;"&amp;Y11)+1)</f>
        <v>0</v>
      </c>
      <c r="AY11" s="8">
        <f>IF(A11="","",COUNTIFS($W$5:$W$204,"&gt;"&amp;W11)+1)</f>
        <v>0</v>
      </c>
    </row>
    <row r="12" spans="1:51">
      <c r="A12" s="7"/>
      <c r="B12" s="27"/>
      <c r="C12" s="27"/>
      <c r="D12" s="26"/>
      <c r="E12" s="26"/>
      <c r="F12" s="26"/>
      <c r="G12" s="8">
        <f>IF(A12="","",E12+F12)</f>
        <v>0</v>
      </c>
      <c r="H12" s="26"/>
      <c r="I12" s="26"/>
      <c r="J12" s="26"/>
      <c r="K12" s="26"/>
      <c r="L12" s="26"/>
      <c r="M12" s="26"/>
      <c r="N12" s="26"/>
      <c r="O12" s="8">
        <f>IF(A12="","",COUNTIFS('Recipe Ingredients'!$A$5:$A$1204,A12))</f>
        <v>0</v>
      </c>
      <c r="P12" s="8">
        <f>IF(A12="","",SUMIFS('Recipe Ingredients'!$H$5:$H$1204,'Recipe Ingredients'!$A$5:$A$1204,A12))</f>
        <v>0</v>
      </c>
      <c r="Q12" s="8">
        <f>IF(OR(A12="",D12=0,D12=""),"",P12/D12)</f>
        <v>0</v>
      </c>
      <c r="R12" s="8">
        <f>IF(OR(A12="",H12=0,H12=""),"",IFERROR(Q12/H12*1000,""))</f>
        <v>0</v>
      </c>
      <c r="S12" s="8">
        <f>IF(OR(A12="",Q12="",Q12=0),"",IFERROR(H12/Q12,""))</f>
        <v>0</v>
      </c>
      <c r="T12" s="8">
        <f>IF(OR(A12="",Q12="",Q12=0),"",IFERROR(I12/Q12,""))</f>
        <v>0</v>
      </c>
      <c r="U12" s="8">
        <f>IF(OR(A12="",G12="",G12=0),"",IFERROR(H12/G12*10,""))</f>
        <v>0</v>
      </c>
      <c r="V12" s="8">
        <f>IF(A12="","",(AC12="Yes")*1+(AD12="Yes")*1+(AE12="Yes")*1+(AF12="Yes")*1+(AG12="Yes")*1+(AH12="Yes")*1)</f>
        <v>0</v>
      </c>
      <c r="W12" s="8">
        <f>IF(A12="","",COUNTIFS('Meal Plan'!$G$5:$G$504,A12,'Meal Plan'!$S$5:$S$504,"Cooked")+COUNTIFS('Meal Plan'!$G$5:$G$504,A12,'Meal Plan'!$S$5:$S$504,"Eaten"))</f>
        <v>0</v>
      </c>
      <c r="X12" s="8">
        <f>IF(A12="","",IF(SUMPRODUCT(MAX(('Meal Plan'!$G$5:$G$504=A12)*'Meal Plan'!$B$5:$B$504))=0,"",SUMPRODUCT(MAX(('Meal Plan'!$G$5:$G$504=A12)*'Meal Plan'!$B$5:$B$504))))</f>
        <v>0</v>
      </c>
      <c r="Y12" s="8">
        <f>IF(OR(A12="",X12=""),"",TODAY()-X12)</f>
        <v>0</v>
      </c>
      <c r="Z12" s="8">
        <f>IF(A12="","",IF(Y12="","Yes",IF(Y12&gt;=Rotation_Gap_Days,"Yes","No")))</f>
        <v>0</v>
      </c>
      <c r="AA12" s="8">
        <f>IF(A12="","",IF(Z12="No","Too soon",IF(AND(AN12&lt;&gt;"",AN12&gt;=4),"Plan it","Available")))</f>
        <v>0</v>
      </c>
      <c r="AB12" s="27"/>
      <c r="AC12" s="27"/>
      <c r="AD12" s="27"/>
      <c r="AE12" s="27"/>
      <c r="AF12" s="27"/>
      <c r="AG12" s="27"/>
      <c r="AH12" s="27"/>
      <c r="AI12" s="27"/>
      <c r="AJ12" s="27"/>
      <c r="AK12" s="8">
        <f>IF(A12="","",IF(G12&lt;=30,"Yes","No"))</f>
        <v>0</v>
      </c>
      <c r="AL12" s="27"/>
      <c r="AM12" s="30"/>
      <c r="AN12" s="26"/>
      <c r="AO12" s="7"/>
      <c r="AP12" s="7"/>
      <c r="AQ12" s="7"/>
      <c r="AR12" s="25"/>
      <c r="AS12" s="8">
        <f>IF(A12="","",COUNTIFS($H$5:$H$204,"&gt;"&amp;H12)+1)</f>
        <v>0</v>
      </c>
      <c r="AT12" s="8">
        <f>IF(A12="","",COUNTIFS($I$5:$I$204,"&gt;"&amp;I12)+1)</f>
        <v>0</v>
      </c>
      <c r="AU12" s="8">
        <f>IF(A12="","",COUNTIFS($L$5:$L$204,"&gt;"&amp;L12)+1)</f>
        <v>0</v>
      </c>
      <c r="AV12" s="8">
        <f>IF(OR(A12="",Q12=""),"",COUNTIFS($Q$5:$Q$204,"&lt;"&amp;Q12)+1)</f>
        <v>0</v>
      </c>
      <c r="AW12" s="8">
        <f>IF(A12="","",COUNTIFS($V$5:$V$204,"&gt;"&amp;V12)+1)</f>
        <v>0</v>
      </c>
      <c r="AX12" s="8">
        <f>IF(A12="","",COUNTIFS($Y$5:$Y$204,"&lt;"&amp;Y12)+1)</f>
        <v>0</v>
      </c>
      <c r="AY12" s="8">
        <f>IF(A12="","",COUNTIFS($W$5:$W$204,"&gt;"&amp;W12)+1)</f>
        <v>0</v>
      </c>
    </row>
    <row r="13" spans="1:51">
      <c r="A13" s="7"/>
      <c r="B13" s="27"/>
      <c r="C13" s="27"/>
      <c r="D13" s="26"/>
      <c r="E13" s="26"/>
      <c r="F13" s="26"/>
      <c r="G13" s="8">
        <f>IF(A13="","",E13+F13)</f>
        <v>0</v>
      </c>
      <c r="H13" s="26"/>
      <c r="I13" s="26"/>
      <c r="J13" s="26"/>
      <c r="K13" s="26"/>
      <c r="L13" s="26"/>
      <c r="M13" s="26"/>
      <c r="N13" s="26"/>
      <c r="O13" s="8">
        <f>IF(A13="","",COUNTIFS('Recipe Ingredients'!$A$5:$A$1204,A13))</f>
        <v>0</v>
      </c>
      <c r="P13" s="8">
        <f>IF(A13="","",SUMIFS('Recipe Ingredients'!$H$5:$H$1204,'Recipe Ingredients'!$A$5:$A$1204,A13))</f>
        <v>0</v>
      </c>
      <c r="Q13" s="8">
        <f>IF(OR(A13="",D13=0,D13=""),"",P13/D13)</f>
        <v>0</v>
      </c>
      <c r="R13" s="8">
        <f>IF(OR(A13="",H13=0,H13=""),"",IFERROR(Q13/H13*1000,""))</f>
        <v>0</v>
      </c>
      <c r="S13" s="8">
        <f>IF(OR(A13="",Q13="",Q13=0),"",IFERROR(H13/Q13,""))</f>
        <v>0</v>
      </c>
      <c r="T13" s="8">
        <f>IF(OR(A13="",Q13="",Q13=0),"",IFERROR(I13/Q13,""))</f>
        <v>0</v>
      </c>
      <c r="U13" s="8">
        <f>IF(OR(A13="",G13="",G13=0),"",IFERROR(H13/G13*10,""))</f>
        <v>0</v>
      </c>
      <c r="V13" s="8">
        <f>IF(A13="","",(AC13="Yes")*1+(AD13="Yes")*1+(AE13="Yes")*1+(AF13="Yes")*1+(AG13="Yes")*1+(AH13="Yes")*1)</f>
        <v>0</v>
      </c>
      <c r="W13" s="8">
        <f>IF(A13="","",COUNTIFS('Meal Plan'!$G$5:$G$504,A13,'Meal Plan'!$S$5:$S$504,"Cooked")+COUNTIFS('Meal Plan'!$G$5:$G$504,A13,'Meal Plan'!$S$5:$S$504,"Eaten"))</f>
        <v>0</v>
      </c>
      <c r="X13" s="8">
        <f>IF(A13="","",IF(SUMPRODUCT(MAX(('Meal Plan'!$G$5:$G$504=A13)*'Meal Plan'!$B$5:$B$504))=0,"",SUMPRODUCT(MAX(('Meal Plan'!$G$5:$G$504=A13)*'Meal Plan'!$B$5:$B$504))))</f>
        <v>0</v>
      </c>
      <c r="Y13" s="8">
        <f>IF(OR(A13="",X13=""),"",TODAY()-X13)</f>
        <v>0</v>
      </c>
      <c r="Z13" s="8">
        <f>IF(A13="","",IF(Y13="","Yes",IF(Y13&gt;=Rotation_Gap_Days,"Yes","No")))</f>
        <v>0</v>
      </c>
      <c r="AA13" s="8">
        <f>IF(A13="","",IF(Z13="No","Too soon",IF(AND(AN13&lt;&gt;"",AN13&gt;=4),"Plan it","Available")))</f>
        <v>0</v>
      </c>
      <c r="AB13" s="27"/>
      <c r="AC13" s="27"/>
      <c r="AD13" s="27"/>
      <c r="AE13" s="27"/>
      <c r="AF13" s="27"/>
      <c r="AG13" s="27"/>
      <c r="AH13" s="27"/>
      <c r="AI13" s="27"/>
      <c r="AJ13" s="27"/>
      <c r="AK13" s="8">
        <f>IF(A13="","",IF(G13&lt;=30,"Yes","No"))</f>
        <v>0</v>
      </c>
      <c r="AL13" s="27"/>
      <c r="AM13" s="30"/>
      <c r="AN13" s="26"/>
      <c r="AO13" s="7"/>
      <c r="AP13" s="7"/>
      <c r="AQ13" s="7"/>
      <c r="AR13" s="25"/>
      <c r="AS13" s="8">
        <f>IF(A13="","",COUNTIFS($H$5:$H$204,"&gt;"&amp;H13)+1)</f>
        <v>0</v>
      </c>
      <c r="AT13" s="8">
        <f>IF(A13="","",COUNTIFS($I$5:$I$204,"&gt;"&amp;I13)+1)</f>
        <v>0</v>
      </c>
      <c r="AU13" s="8">
        <f>IF(A13="","",COUNTIFS($L$5:$L$204,"&gt;"&amp;L13)+1)</f>
        <v>0</v>
      </c>
      <c r="AV13" s="8">
        <f>IF(OR(A13="",Q13=""),"",COUNTIFS($Q$5:$Q$204,"&lt;"&amp;Q13)+1)</f>
        <v>0</v>
      </c>
      <c r="AW13" s="8">
        <f>IF(A13="","",COUNTIFS($V$5:$V$204,"&gt;"&amp;V13)+1)</f>
        <v>0</v>
      </c>
      <c r="AX13" s="8">
        <f>IF(A13="","",COUNTIFS($Y$5:$Y$204,"&lt;"&amp;Y13)+1)</f>
        <v>0</v>
      </c>
      <c r="AY13" s="8">
        <f>IF(A13="","",COUNTIFS($W$5:$W$204,"&gt;"&amp;W13)+1)</f>
        <v>0</v>
      </c>
    </row>
    <row r="14" spans="1:51">
      <c r="A14" s="7"/>
      <c r="B14" s="27"/>
      <c r="C14" s="27"/>
      <c r="D14" s="26"/>
      <c r="E14" s="26"/>
      <c r="F14" s="26"/>
      <c r="G14" s="8">
        <f>IF(A14="","",E14+F14)</f>
        <v>0</v>
      </c>
      <c r="H14" s="26"/>
      <c r="I14" s="26"/>
      <c r="J14" s="26"/>
      <c r="K14" s="26"/>
      <c r="L14" s="26"/>
      <c r="M14" s="26"/>
      <c r="N14" s="26"/>
      <c r="O14" s="8">
        <f>IF(A14="","",COUNTIFS('Recipe Ingredients'!$A$5:$A$1204,A14))</f>
        <v>0</v>
      </c>
      <c r="P14" s="8">
        <f>IF(A14="","",SUMIFS('Recipe Ingredients'!$H$5:$H$1204,'Recipe Ingredients'!$A$5:$A$1204,A14))</f>
        <v>0</v>
      </c>
      <c r="Q14" s="8">
        <f>IF(OR(A14="",D14=0,D14=""),"",P14/D14)</f>
        <v>0</v>
      </c>
      <c r="R14" s="8">
        <f>IF(OR(A14="",H14=0,H14=""),"",IFERROR(Q14/H14*1000,""))</f>
        <v>0</v>
      </c>
      <c r="S14" s="8">
        <f>IF(OR(A14="",Q14="",Q14=0),"",IFERROR(H14/Q14,""))</f>
        <v>0</v>
      </c>
      <c r="T14" s="8">
        <f>IF(OR(A14="",Q14="",Q14=0),"",IFERROR(I14/Q14,""))</f>
        <v>0</v>
      </c>
      <c r="U14" s="8">
        <f>IF(OR(A14="",G14="",G14=0),"",IFERROR(H14/G14*10,""))</f>
        <v>0</v>
      </c>
      <c r="V14" s="8">
        <f>IF(A14="","",(AC14="Yes")*1+(AD14="Yes")*1+(AE14="Yes")*1+(AF14="Yes")*1+(AG14="Yes")*1+(AH14="Yes")*1)</f>
        <v>0</v>
      </c>
      <c r="W14" s="8">
        <f>IF(A14="","",COUNTIFS('Meal Plan'!$G$5:$G$504,A14,'Meal Plan'!$S$5:$S$504,"Cooked")+COUNTIFS('Meal Plan'!$G$5:$G$504,A14,'Meal Plan'!$S$5:$S$504,"Eaten"))</f>
        <v>0</v>
      </c>
      <c r="X14" s="8">
        <f>IF(A14="","",IF(SUMPRODUCT(MAX(('Meal Plan'!$G$5:$G$504=A14)*'Meal Plan'!$B$5:$B$504))=0,"",SUMPRODUCT(MAX(('Meal Plan'!$G$5:$G$504=A14)*'Meal Plan'!$B$5:$B$504))))</f>
        <v>0</v>
      </c>
      <c r="Y14" s="8">
        <f>IF(OR(A14="",X14=""),"",TODAY()-X14)</f>
        <v>0</v>
      </c>
      <c r="Z14" s="8">
        <f>IF(A14="","",IF(Y14="","Yes",IF(Y14&gt;=Rotation_Gap_Days,"Yes","No")))</f>
        <v>0</v>
      </c>
      <c r="AA14" s="8">
        <f>IF(A14="","",IF(Z14="No","Too soon",IF(AND(AN14&lt;&gt;"",AN14&gt;=4),"Plan it","Available")))</f>
        <v>0</v>
      </c>
      <c r="AB14" s="27"/>
      <c r="AC14" s="27"/>
      <c r="AD14" s="27"/>
      <c r="AE14" s="27"/>
      <c r="AF14" s="27"/>
      <c r="AG14" s="27"/>
      <c r="AH14" s="27"/>
      <c r="AI14" s="27"/>
      <c r="AJ14" s="27"/>
      <c r="AK14" s="8">
        <f>IF(A14="","",IF(G14&lt;=30,"Yes","No"))</f>
        <v>0</v>
      </c>
      <c r="AL14" s="27"/>
      <c r="AM14" s="30"/>
      <c r="AN14" s="26"/>
      <c r="AO14" s="7"/>
      <c r="AP14" s="7"/>
      <c r="AQ14" s="7"/>
      <c r="AR14" s="25"/>
      <c r="AS14" s="8">
        <f>IF(A14="","",COUNTIFS($H$5:$H$204,"&gt;"&amp;H14)+1)</f>
        <v>0</v>
      </c>
      <c r="AT14" s="8">
        <f>IF(A14="","",COUNTIFS($I$5:$I$204,"&gt;"&amp;I14)+1)</f>
        <v>0</v>
      </c>
      <c r="AU14" s="8">
        <f>IF(A14="","",COUNTIFS($L$5:$L$204,"&gt;"&amp;L14)+1)</f>
        <v>0</v>
      </c>
      <c r="AV14" s="8">
        <f>IF(OR(A14="",Q14=""),"",COUNTIFS($Q$5:$Q$204,"&lt;"&amp;Q14)+1)</f>
        <v>0</v>
      </c>
      <c r="AW14" s="8">
        <f>IF(A14="","",COUNTIFS($V$5:$V$204,"&gt;"&amp;V14)+1)</f>
        <v>0</v>
      </c>
      <c r="AX14" s="8">
        <f>IF(A14="","",COUNTIFS($Y$5:$Y$204,"&lt;"&amp;Y14)+1)</f>
        <v>0</v>
      </c>
      <c r="AY14" s="8">
        <f>IF(A14="","",COUNTIFS($W$5:$W$204,"&gt;"&amp;W14)+1)</f>
        <v>0</v>
      </c>
    </row>
    <row r="15" spans="1:51">
      <c r="A15" s="7"/>
      <c r="B15" s="27"/>
      <c r="C15" s="27"/>
      <c r="D15" s="26"/>
      <c r="E15" s="26"/>
      <c r="F15" s="26"/>
      <c r="G15" s="8">
        <f>IF(A15="","",E15+F15)</f>
        <v>0</v>
      </c>
      <c r="H15" s="26"/>
      <c r="I15" s="26"/>
      <c r="J15" s="26"/>
      <c r="K15" s="26"/>
      <c r="L15" s="26"/>
      <c r="M15" s="26"/>
      <c r="N15" s="26"/>
      <c r="O15" s="8">
        <f>IF(A15="","",COUNTIFS('Recipe Ingredients'!$A$5:$A$1204,A15))</f>
        <v>0</v>
      </c>
      <c r="P15" s="8">
        <f>IF(A15="","",SUMIFS('Recipe Ingredients'!$H$5:$H$1204,'Recipe Ingredients'!$A$5:$A$1204,A15))</f>
        <v>0</v>
      </c>
      <c r="Q15" s="8">
        <f>IF(OR(A15="",D15=0,D15=""),"",P15/D15)</f>
        <v>0</v>
      </c>
      <c r="R15" s="8">
        <f>IF(OR(A15="",H15=0,H15=""),"",IFERROR(Q15/H15*1000,""))</f>
        <v>0</v>
      </c>
      <c r="S15" s="8">
        <f>IF(OR(A15="",Q15="",Q15=0),"",IFERROR(H15/Q15,""))</f>
        <v>0</v>
      </c>
      <c r="T15" s="8">
        <f>IF(OR(A15="",Q15="",Q15=0),"",IFERROR(I15/Q15,""))</f>
        <v>0</v>
      </c>
      <c r="U15" s="8">
        <f>IF(OR(A15="",G15="",G15=0),"",IFERROR(H15/G15*10,""))</f>
        <v>0</v>
      </c>
      <c r="V15" s="8">
        <f>IF(A15="","",(AC15="Yes")*1+(AD15="Yes")*1+(AE15="Yes")*1+(AF15="Yes")*1+(AG15="Yes")*1+(AH15="Yes")*1)</f>
        <v>0</v>
      </c>
      <c r="W15" s="8">
        <f>IF(A15="","",COUNTIFS('Meal Plan'!$G$5:$G$504,A15,'Meal Plan'!$S$5:$S$504,"Cooked")+COUNTIFS('Meal Plan'!$G$5:$G$504,A15,'Meal Plan'!$S$5:$S$504,"Eaten"))</f>
        <v>0</v>
      </c>
      <c r="X15" s="8">
        <f>IF(A15="","",IF(SUMPRODUCT(MAX(('Meal Plan'!$G$5:$G$504=A15)*'Meal Plan'!$B$5:$B$504))=0,"",SUMPRODUCT(MAX(('Meal Plan'!$G$5:$G$504=A15)*'Meal Plan'!$B$5:$B$504))))</f>
        <v>0</v>
      </c>
      <c r="Y15" s="8">
        <f>IF(OR(A15="",X15=""),"",TODAY()-X15)</f>
        <v>0</v>
      </c>
      <c r="Z15" s="8">
        <f>IF(A15="","",IF(Y15="","Yes",IF(Y15&gt;=Rotation_Gap_Days,"Yes","No")))</f>
        <v>0</v>
      </c>
      <c r="AA15" s="8">
        <f>IF(A15="","",IF(Z15="No","Too soon",IF(AND(AN15&lt;&gt;"",AN15&gt;=4),"Plan it","Available")))</f>
        <v>0</v>
      </c>
      <c r="AB15" s="27"/>
      <c r="AC15" s="27"/>
      <c r="AD15" s="27"/>
      <c r="AE15" s="27"/>
      <c r="AF15" s="27"/>
      <c r="AG15" s="27"/>
      <c r="AH15" s="27"/>
      <c r="AI15" s="27"/>
      <c r="AJ15" s="27"/>
      <c r="AK15" s="8">
        <f>IF(A15="","",IF(G15&lt;=30,"Yes","No"))</f>
        <v>0</v>
      </c>
      <c r="AL15" s="27"/>
      <c r="AM15" s="30"/>
      <c r="AN15" s="26"/>
      <c r="AO15" s="7"/>
      <c r="AP15" s="7"/>
      <c r="AQ15" s="7"/>
      <c r="AR15" s="25"/>
      <c r="AS15" s="8">
        <f>IF(A15="","",COUNTIFS($H$5:$H$204,"&gt;"&amp;H15)+1)</f>
        <v>0</v>
      </c>
      <c r="AT15" s="8">
        <f>IF(A15="","",COUNTIFS($I$5:$I$204,"&gt;"&amp;I15)+1)</f>
        <v>0</v>
      </c>
      <c r="AU15" s="8">
        <f>IF(A15="","",COUNTIFS($L$5:$L$204,"&gt;"&amp;L15)+1)</f>
        <v>0</v>
      </c>
      <c r="AV15" s="8">
        <f>IF(OR(A15="",Q15=""),"",COUNTIFS($Q$5:$Q$204,"&lt;"&amp;Q15)+1)</f>
        <v>0</v>
      </c>
      <c r="AW15" s="8">
        <f>IF(A15="","",COUNTIFS($V$5:$V$204,"&gt;"&amp;V15)+1)</f>
        <v>0</v>
      </c>
      <c r="AX15" s="8">
        <f>IF(A15="","",COUNTIFS($Y$5:$Y$204,"&lt;"&amp;Y15)+1)</f>
        <v>0</v>
      </c>
      <c r="AY15" s="8">
        <f>IF(A15="","",COUNTIFS($W$5:$W$204,"&gt;"&amp;W15)+1)</f>
        <v>0</v>
      </c>
    </row>
    <row r="16" spans="1:51">
      <c r="A16" s="7"/>
      <c r="B16" s="27"/>
      <c r="C16" s="27"/>
      <c r="D16" s="26"/>
      <c r="E16" s="26"/>
      <c r="F16" s="26"/>
      <c r="G16" s="8">
        <f>IF(A16="","",E16+F16)</f>
        <v>0</v>
      </c>
      <c r="H16" s="26"/>
      <c r="I16" s="26"/>
      <c r="J16" s="26"/>
      <c r="K16" s="26"/>
      <c r="L16" s="26"/>
      <c r="M16" s="26"/>
      <c r="N16" s="26"/>
      <c r="O16" s="8">
        <f>IF(A16="","",COUNTIFS('Recipe Ingredients'!$A$5:$A$1204,A16))</f>
        <v>0</v>
      </c>
      <c r="P16" s="8">
        <f>IF(A16="","",SUMIFS('Recipe Ingredients'!$H$5:$H$1204,'Recipe Ingredients'!$A$5:$A$1204,A16))</f>
        <v>0</v>
      </c>
      <c r="Q16" s="8">
        <f>IF(OR(A16="",D16=0,D16=""),"",P16/D16)</f>
        <v>0</v>
      </c>
      <c r="R16" s="8">
        <f>IF(OR(A16="",H16=0,H16=""),"",IFERROR(Q16/H16*1000,""))</f>
        <v>0</v>
      </c>
      <c r="S16" s="8">
        <f>IF(OR(A16="",Q16="",Q16=0),"",IFERROR(H16/Q16,""))</f>
        <v>0</v>
      </c>
      <c r="T16" s="8">
        <f>IF(OR(A16="",Q16="",Q16=0),"",IFERROR(I16/Q16,""))</f>
        <v>0</v>
      </c>
      <c r="U16" s="8">
        <f>IF(OR(A16="",G16="",G16=0),"",IFERROR(H16/G16*10,""))</f>
        <v>0</v>
      </c>
      <c r="V16" s="8">
        <f>IF(A16="","",(AC16="Yes")*1+(AD16="Yes")*1+(AE16="Yes")*1+(AF16="Yes")*1+(AG16="Yes")*1+(AH16="Yes")*1)</f>
        <v>0</v>
      </c>
      <c r="W16" s="8">
        <f>IF(A16="","",COUNTIFS('Meal Plan'!$G$5:$G$504,A16,'Meal Plan'!$S$5:$S$504,"Cooked")+COUNTIFS('Meal Plan'!$G$5:$G$504,A16,'Meal Plan'!$S$5:$S$504,"Eaten"))</f>
        <v>0</v>
      </c>
      <c r="X16" s="8">
        <f>IF(A16="","",IF(SUMPRODUCT(MAX(('Meal Plan'!$G$5:$G$504=A16)*'Meal Plan'!$B$5:$B$504))=0,"",SUMPRODUCT(MAX(('Meal Plan'!$G$5:$G$504=A16)*'Meal Plan'!$B$5:$B$504))))</f>
        <v>0</v>
      </c>
      <c r="Y16" s="8">
        <f>IF(OR(A16="",X16=""),"",TODAY()-X16)</f>
        <v>0</v>
      </c>
      <c r="Z16" s="8">
        <f>IF(A16="","",IF(Y16="","Yes",IF(Y16&gt;=Rotation_Gap_Days,"Yes","No")))</f>
        <v>0</v>
      </c>
      <c r="AA16" s="8">
        <f>IF(A16="","",IF(Z16="No","Too soon",IF(AND(AN16&lt;&gt;"",AN16&gt;=4),"Plan it","Available")))</f>
        <v>0</v>
      </c>
      <c r="AB16" s="27"/>
      <c r="AC16" s="27"/>
      <c r="AD16" s="27"/>
      <c r="AE16" s="27"/>
      <c r="AF16" s="27"/>
      <c r="AG16" s="27"/>
      <c r="AH16" s="27"/>
      <c r="AI16" s="27"/>
      <c r="AJ16" s="27"/>
      <c r="AK16" s="8">
        <f>IF(A16="","",IF(G16&lt;=30,"Yes","No"))</f>
        <v>0</v>
      </c>
      <c r="AL16" s="27"/>
      <c r="AM16" s="30"/>
      <c r="AN16" s="26"/>
      <c r="AO16" s="7"/>
      <c r="AP16" s="7"/>
      <c r="AQ16" s="7"/>
      <c r="AR16" s="25"/>
      <c r="AS16" s="8">
        <f>IF(A16="","",COUNTIFS($H$5:$H$204,"&gt;"&amp;H16)+1)</f>
        <v>0</v>
      </c>
      <c r="AT16" s="8">
        <f>IF(A16="","",COUNTIFS($I$5:$I$204,"&gt;"&amp;I16)+1)</f>
        <v>0</v>
      </c>
      <c r="AU16" s="8">
        <f>IF(A16="","",COUNTIFS($L$5:$L$204,"&gt;"&amp;L16)+1)</f>
        <v>0</v>
      </c>
      <c r="AV16" s="8">
        <f>IF(OR(A16="",Q16=""),"",COUNTIFS($Q$5:$Q$204,"&lt;"&amp;Q16)+1)</f>
        <v>0</v>
      </c>
      <c r="AW16" s="8">
        <f>IF(A16="","",COUNTIFS($V$5:$V$204,"&gt;"&amp;V16)+1)</f>
        <v>0</v>
      </c>
      <c r="AX16" s="8">
        <f>IF(A16="","",COUNTIFS($Y$5:$Y$204,"&lt;"&amp;Y16)+1)</f>
        <v>0</v>
      </c>
      <c r="AY16" s="8">
        <f>IF(A16="","",COUNTIFS($W$5:$W$204,"&gt;"&amp;W16)+1)</f>
        <v>0</v>
      </c>
    </row>
    <row r="17" spans="1:51">
      <c r="A17" s="7"/>
      <c r="B17" s="27"/>
      <c r="C17" s="27"/>
      <c r="D17" s="26"/>
      <c r="E17" s="26"/>
      <c r="F17" s="26"/>
      <c r="G17" s="8">
        <f>IF(A17="","",E17+F17)</f>
        <v>0</v>
      </c>
      <c r="H17" s="26"/>
      <c r="I17" s="26"/>
      <c r="J17" s="26"/>
      <c r="K17" s="26"/>
      <c r="L17" s="26"/>
      <c r="M17" s="26"/>
      <c r="N17" s="26"/>
      <c r="O17" s="8">
        <f>IF(A17="","",COUNTIFS('Recipe Ingredients'!$A$5:$A$1204,A17))</f>
        <v>0</v>
      </c>
      <c r="P17" s="8">
        <f>IF(A17="","",SUMIFS('Recipe Ingredients'!$H$5:$H$1204,'Recipe Ingredients'!$A$5:$A$1204,A17))</f>
        <v>0</v>
      </c>
      <c r="Q17" s="8">
        <f>IF(OR(A17="",D17=0,D17=""),"",P17/D17)</f>
        <v>0</v>
      </c>
      <c r="R17" s="8">
        <f>IF(OR(A17="",H17=0,H17=""),"",IFERROR(Q17/H17*1000,""))</f>
        <v>0</v>
      </c>
      <c r="S17" s="8">
        <f>IF(OR(A17="",Q17="",Q17=0),"",IFERROR(H17/Q17,""))</f>
        <v>0</v>
      </c>
      <c r="T17" s="8">
        <f>IF(OR(A17="",Q17="",Q17=0),"",IFERROR(I17/Q17,""))</f>
        <v>0</v>
      </c>
      <c r="U17" s="8">
        <f>IF(OR(A17="",G17="",G17=0),"",IFERROR(H17/G17*10,""))</f>
        <v>0</v>
      </c>
      <c r="V17" s="8">
        <f>IF(A17="","",(AC17="Yes")*1+(AD17="Yes")*1+(AE17="Yes")*1+(AF17="Yes")*1+(AG17="Yes")*1+(AH17="Yes")*1)</f>
        <v>0</v>
      </c>
      <c r="W17" s="8">
        <f>IF(A17="","",COUNTIFS('Meal Plan'!$G$5:$G$504,A17,'Meal Plan'!$S$5:$S$504,"Cooked")+COUNTIFS('Meal Plan'!$G$5:$G$504,A17,'Meal Plan'!$S$5:$S$504,"Eaten"))</f>
        <v>0</v>
      </c>
      <c r="X17" s="8">
        <f>IF(A17="","",IF(SUMPRODUCT(MAX(('Meal Plan'!$G$5:$G$504=A17)*'Meal Plan'!$B$5:$B$504))=0,"",SUMPRODUCT(MAX(('Meal Plan'!$G$5:$G$504=A17)*'Meal Plan'!$B$5:$B$504))))</f>
        <v>0</v>
      </c>
      <c r="Y17" s="8">
        <f>IF(OR(A17="",X17=""),"",TODAY()-X17)</f>
        <v>0</v>
      </c>
      <c r="Z17" s="8">
        <f>IF(A17="","",IF(Y17="","Yes",IF(Y17&gt;=Rotation_Gap_Days,"Yes","No")))</f>
        <v>0</v>
      </c>
      <c r="AA17" s="8">
        <f>IF(A17="","",IF(Z17="No","Too soon",IF(AND(AN17&lt;&gt;"",AN17&gt;=4),"Plan it","Available")))</f>
        <v>0</v>
      </c>
      <c r="AB17" s="27"/>
      <c r="AC17" s="27"/>
      <c r="AD17" s="27"/>
      <c r="AE17" s="27"/>
      <c r="AF17" s="27"/>
      <c r="AG17" s="27"/>
      <c r="AH17" s="27"/>
      <c r="AI17" s="27"/>
      <c r="AJ17" s="27"/>
      <c r="AK17" s="8">
        <f>IF(A17="","",IF(G17&lt;=30,"Yes","No"))</f>
        <v>0</v>
      </c>
      <c r="AL17" s="27"/>
      <c r="AM17" s="30"/>
      <c r="AN17" s="26"/>
      <c r="AO17" s="7"/>
      <c r="AP17" s="7"/>
      <c r="AQ17" s="7"/>
      <c r="AR17" s="25"/>
      <c r="AS17" s="8">
        <f>IF(A17="","",COUNTIFS($H$5:$H$204,"&gt;"&amp;H17)+1)</f>
        <v>0</v>
      </c>
      <c r="AT17" s="8">
        <f>IF(A17="","",COUNTIFS($I$5:$I$204,"&gt;"&amp;I17)+1)</f>
        <v>0</v>
      </c>
      <c r="AU17" s="8">
        <f>IF(A17="","",COUNTIFS($L$5:$L$204,"&gt;"&amp;L17)+1)</f>
        <v>0</v>
      </c>
      <c r="AV17" s="8">
        <f>IF(OR(A17="",Q17=""),"",COUNTIFS($Q$5:$Q$204,"&lt;"&amp;Q17)+1)</f>
        <v>0</v>
      </c>
      <c r="AW17" s="8">
        <f>IF(A17="","",COUNTIFS($V$5:$V$204,"&gt;"&amp;V17)+1)</f>
        <v>0</v>
      </c>
      <c r="AX17" s="8">
        <f>IF(A17="","",COUNTIFS($Y$5:$Y$204,"&lt;"&amp;Y17)+1)</f>
        <v>0</v>
      </c>
      <c r="AY17" s="8">
        <f>IF(A17="","",COUNTIFS($W$5:$W$204,"&gt;"&amp;W17)+1)</f>
        <v>0</v>
      </c>
    </row>
    <row r="18" spans="1:51">
      <c r="A18" s="7"/>
      <c r="B18" s="27"/>
      <c r="C18" s="27"/>
      <c r="D18" s="26"/>
      <c r="E18" s="26"/>
      <c r="F18" s="26"/>
      <c r="G18" s="8">
        <f>IF(A18="","",E18+F18)</f>
        <v>0</v>
      </c>
      <c r="H18" s="26"/>
      <c r="I18" s="26"/>
      <c r="J18" s="26"/>
      <c r="K18" s="26"/>
      <c r="L18" s="26"/>
      <c r="M18" s="26"/>
      <c r="N18" s="26"/>
      <c r="O18" s="8">
        <f>IF(A18="","",COUNTIFS('Recipe Ingredients'!$A$5:$A$1204,A18))</f>
        <v>0</v>
      </c>
      <c r="P18" s="8">
        <f>IF(A18="","",SUMIFS('Recipe Ingredients'!$H$5:$H$1204,'Recipe Ingredients'!$A$5:$A$1204,A18))</f>
        <v>0</v>
      </c>
      <c r="Q18" s="8">
        <f>IF(OR(A18="",D18=0,D18=""),"",P18/D18)</f>
        <v>0</v>
      </c>
      <c r="R18" s="8">
        <f>IF(OR(A18="",H18=0,H18=""),"",IFERROR(Q18/H18*1000,""))</f>
        <v>0</v>
      </c>
      <c r="S18" s="8">
        <f>IF(OR(A18="",Q18="",Q18=0),"",IFERROR(H18/Q18,""))</f>
        <v>0</v>
      </c>
      <c r="T18" s="8">
        <f>IF(OR(A18="",Q18="",Q18=0),"",IFERROR(I18/Q18,""))</f>
        <v>0</v>
      </c>
      <c r="U18" s="8">
        <f>IF(OR(A18="",G18="",G18=0),"",IFERROR(H18/G18*10,""))</f>
        <v>0</v>
      </c>
      <c r="V18" s="8">
        <f>IF(A18="","",(AC18="Yes")*1+(AD18="Yes")*1+(AE18="Yes")*1+(AF18="Yes")*1+(AG18="Yes")*1+(AH18="Yes")*1)</f>
        <v>0</v>
      </c>
      <c r="W18" s="8">
        <f>IF(A18="","",COUNTIFS('Meal Plan'!$G$5:$G$504,A18,'Meal Plan'!$S$5:$S$504,"Cooked")+COUNTIFS('Meal Plan'!$G$5:$G$504,A18,'Meal Plan'!$S$5:$S$504,"Eaten"))</f>
        <v>0</v>
      </c>
      <c r="X18" s="8">
        <f>IF(A18="","",IF(SUMPRODUCT(MAX(('Meal Plan'!$G$5:$G$504=A18)*'Meal Plan'!$B$5:$B$504))=0,"",SUMPRODUCT(MAX(('Meal Plan'!$G$5:$G$504=A18)*'Meal Plan'!$B$5:$B$504))))</f>
        <v>0</v>
      </c>
      <c r="Y18" s="8">
        <f>IF(OR(A18="",X18=""),"",TODAY()-X18)</f>
        <v>0</v>
      </c>
      <c r="Z18" s="8">
        <f>IF(A18="","",IF(Y18="","Yes",IF(Y18&gt;=Rotation_Gap_Days,"Yes","No")))</f>
        <v>0</v>
      </c>
      <c r="AA18" s="8">
        <f>IF(A18="","",IF(Z18="No","Too soon",IF(AND(AN18&lt;&gt;"",AN18&gt;=4),"Plan it","Available")))</f>
        <v>0</v>
      </c>
      <c r="AB18" s="27"/>
      <c r="AC18" s="27"/>
      <c r="AD18" s="27"/>
      <c r="AE18" s="27"/>
      <c r="AF18" s="27"/>
      <c r="AG18" s="27"/>
      <c r="AH18" s="27"/>
      <c r="AI18" s="27"/>
      <c r="AJ18" s="27"/>
      <c r="AK18" s="8">
        <f>IF(A18="","",IF(G18&lt;=30,"Yes","No"))</f>
        <v>0</v>
      </c>
      <c r="AL18" s="27"/>
      <c r="AM18" s="30"/>
      <c r="AN18" s="26"/>
      <c r="AO18" s="7"/>
      <c r="AP18" s="7"/>
      <c r="AQ18" s="7"/>
      <c r="AR18" s="25"/>
      <c r="AS18" s="8">
        <f>IF(A18="","",COUNTIFS($H$5:$H$204,"&gt;"&amp;H18)+1)</f>
        <v>0</v>
      </c>
      <c r="AT18" s="8">
        <f>IF(A18="","",COUNTIFS($I$5:$I$204,"&gt;"&amp;I18)+1)</f>
        <v>0</v>
      </c>
      <c r="AU18" s="8">
        <f>IF(A18="","",COUNTIFS($L$5:$L$204,"&gt;"&amp;L18)+1)</f>
        <v>0</v>
      </c>
      <c r="AV18" s="8">
        <f>IF(OR(A18="",Q18=""),"",COUNTIFS($Q$5:$Q$204,"&lt;"&amp;Q18)+1)</f>
        <v>0</v>
      </c>
      <c r="AW18" s="8">
        <f>IF(A18="","",COUNTIFS($V$5:$V$204,"&gt;"&amp;V18)+1)</f>
        <v>0</v>
      </c>
      <c r="AX18" s="8">
        <f>IF(A18="","",COUNTIFS($Y$5:$Y$204,"&lt;"&amp;Y18)+1)</f>
        <v>0</v>
      </c>
      <c r="AY18" s="8">
        <f>IF(A18="","",COUNTIFS($W$5:$W$204,"&gt;"&amp;W18)+1)</f>
        <v>0</v>
      </c>
    </row>
    <row r="19" spans="1:51">
      <c r="A19" s="7"/>
      <c r="B19" s="27"/>
      <c r="C19" s="27"/>
      <c r="D19" s="26"/>
      <c r="E19" s="26"/>
      <c r="F19" s="26"/>
      <c r="G19" s="8">
        <f>IF(A19="","",E19+F19)</f>
        <v>0</v>
      </c>
      <c r="H19" s="26"/>
      <c r="I19" s="26"/>
      <c r="J19" s="26"/>
      <c r="K19" s="26"/>
      <c r="L19" s="26"/>
      <c r="M19" s="26"/>
      <c r="N19" s="26"/>
      <c r="O19" s="8">
        <f>IF(A19="","",COUNTIFS('Recipe Ingredients'!$A$5:$A$1204,A19))</f>
        <v>0</v>
      </c>
      <c r="P19" s="8">
        <f>IF(A19="","",SUMIFS('Recipe Ingredients'!$H$5:$H$1204,'Recipe Ingredients'!$A$5:$A$1204,A19))</f>
        <v>0</v>
      </c>
      <c r="Q19" s="8">
        <f>IF(OR(A19="",D19=0,D19=""),"",P19/D19)</f>
        <v>0</v>
      </c>
      <c r="R19" s="8">
        <f>IF(OR(A19="",H19=0,H19=""),"",IFERROR(Q19/H19*1000,""))</f>
        <v>0</v>
      </c>
      <c r="S19" s="8">
        <f>IF(OR(A19="",Q19="",Q19=0),"",IFERROR(H19/Q19,""))</f>
        <v>0</v>
      </c>
      <c r="T19" s="8">
        <f>IF(OR(A19="",Q19="",Q19=0),"",IFERROR(I19/Q19,""))</f>
        <v>0</v>
      </c>
      <c r="U19" s="8">
        <f>IF(OR(A19="",G19="",G19=0),"",IFERROR(H19/G19*10,""))</f>
        <v>0</v>
      </c>
      <c r="V19" s="8">
        <f>IF(A19="","",(AC19="Yes")*1+(AD19="Yes")*1+(AE19="Yes")*1+(AF19="Yes")*1+(AG19="Yes")*1+(AH19="Yes")*1)</f>
        <v>0</v>
      </c>
      <c r="W19" s="8">
        <f>IF(A19="","",COUNTIFS('Meal Plan'!$G$5:$G$504,A19,'Meal Plan'!$S$5:$S$504,"Cooked")+COUNTIFS('Meal Plan'!$G$5:$G$504,A19,'Meal Plan'!$S$5:$S$504,"Eaten"))</f>
        <v>0</v>
      </c>
      <c r="X19" s="8">
        <f>IF(A19="","",IF(SUMPRODUCT(MAX(('Meal Plan'!$G$5:$G$504=A19)*'Meal Plan'!$B$5:$B$504))=0,"",SUMPRODUCT(MAX(('Meal Plan'!$G$5:$G$504=A19)*'Meal Plan'!$B$5:$B$504))))</f>
        <v>0</v>
      </c>
      <c r="Y19" s="8">
        <f>IF(OR(A19="",X19=""),"",TODAY()-X19)</f>
        <v>0</v>
      </c>
      <c r="Z19" s="8">
        <f>IF(A19="","",IF(Y19="","Yes",IF(Y19&gt;=Rotation_Gap_Days,"Yes","No")))</f>
        <v>0</v>
      </c>
      <c r="AA19" s="8">
        <f>IF(A19="","",IF(Z19="No","Too soon",IF(AND(AN19&lt;&gt;"",AN19&gt;=4),"Plan it","Available")))</f>
        <v>0</v>
      </c>
      <c r="AB19" s="27"/>
      <c r="AC19" s="27"/>
      <c r="AD19" s="27"/>
      <c r="AE19" s="27"/>
      <c r="AF19" s="27"/>
      <c r="AG19" s="27"/>
      <c r="AH19" s="27"/>
      <c r="AI19" s="27"/>
      <c r="AJ19" s="27"/>
      <c r="AK19" s="8">
        <f>IF(A19="","",IF(G19&lt;=30,"Yes","No"))</f>
        <v>0</v>
      </c>
      <c r="AL19" s="27"/>
      <c r="AM19" s="30"/>
      <c r="AN19" s="26"/>
      <c r="AO19" s="7"/>
      <c r="AP19" s="7"/>
      <c r="AQ19" s="7"/>
      <c r="AR19" s="25"/>
      <c r="AS19" s="8">
        <f>IF(A19="","",COUNTIFS($H$5:$H$204,"&gt;"&amp;H19)+1)</f>
        <v>0</v>
      </c>
      <c r="AT19" s="8">
        <f>IF(A19="","",COUNTIFS($I$5:$I$204,"&gt;"&amp;I19)+1)</f>
        <v>0</v>
      </c>
      <c r="AU19" s="8">
        <f>IF(A19="","",COUNTIFS($L$5:$L$204,"&gt;"&amp;L19)+1)</f>
        <v>0</v>
      </c>
      <c r="AV19" s="8">
        <f>IF(OR(A19="",Q19=""),"",COUNTIFS($Q$5:$Q$204,"&lt;"&amp;Q19)+1)</f>
        <v>0</v>
      </c>
      <c r="AW19" s="8">
        <f>IF(A19="","",COUNTIFS($V$5:$V$204,"&gt;"&amp;V19)+1)</f>
        <v>0</v>
      </c>
      <c r="AX19" s="8">
        <f>IF(A19="","",COUNTIFS($Y$5:$Y$204,"&lt;"&amp;Y19)+1)</f>
        <v>0</v>
      </c>
      <c r="AY19" s="8">
        <f>IF(A19="","",COUNTIFS($W$5:$W$204,"&gt;"&amp;W19)+1)</f>
        <v>0</v>
      </c>
    </row>
    <row r="20" spans="1:51">
      <c r="A20" s="7"/>
      <c r="B20" s="27"/>
      <c r="C20" s="27"/>
      <c r="D20" s="26"/>
      <c r="E20" s="26"/>
      <c r="F20" s="26"/>
      <c r="G20" s="8">
        <f>IF(A20="","",E20+F20)</f>
        <v>0</v>
      </c>
      <c r="H20" s="26"/>
      <c r="I20" s="26"/>
      <c r="J20" s="26"/>
      <c r="K20" s="26"/>
      <c r="L20" s="26"/>
      <c r="M20" s="26"/>
      <c r="N20" s="26"/>
      <c r="O20" s="8">
        <f>IF(A20="","",COUNTIFS('Recipe Ingredients'!$A$5:$A$1204,A20))</f>
        <v>0</v>
      </c>
      <c r="P20" s="8">
        <f>IF(A20="","",SUMIFS('Recipe Ingredients'!$H$5:$H$1204,'Recipe Ingredients'!$A$5:$A$1204,A20))</f>
        <v>0</v>
      </c>
      <c r="Q20" s="8">
        <f>IF(OR(A20="",D20=0,D20=""),"",P20/D20)</f>
        <v>0</v>
      </c>
      <c r="R20" s="8">
        <f>IF(OR(A20="",H20=0,H20=""),"",IFERROR(Q20/H20*1000,""))</f>
        <v>0</v>
      </c>
      <c r="S20" s="8">
        <f>IF(OR(A20="",Q20="",Q20=0),"",IFERROR(H20/Q20,""))</f>
        <v>0</v>
      </c>
      <c r="T20" s="8">
        <f>IF(OR(A20="",Q20="",Q20=0),"",IFERROR(I20/Q20,""))</f>
        <v>0</v>
      </c>
      <c r="U20" s="8">
        <f>IF(OR(A20="",G20="",G20=0),"",IFERROR(H20/G20*10,""))</f>
        <v>0</v>
      </c>
      <c r="V20" s="8">
        <f>IF(A20="","",(AC20="Yes")*1+(AD20="Yes")*1+(AE20="Yes")*1+(AF20="Yes")*1+(AG20="Yes")*1+(AH20="Yes")*1)</f>
        <v>0</v>
      </c>
      <c r="W20" s="8">
        <f>IF(A20="","",COUNTIFS('Meal Plan'!$G$5:$G$504,A20,'Meal Plan'!$S$5:$S$504,"Cooked")+COUNTIFS('Meal Plan'!$G$5:$G$504,A20,'Meal Plan'!$S$5:$S$504,"Eaten"))</f>
        <v>0</v>
      </c>
      <c r="X20" s="8">
        <f>IF(A20="","",IF(SUMPRODUCT(MAX(('Meal Plan'!$G$5:$G$504=A20)*'Meal Plan'!$B$5:$B$504))=0,"",SUMPRODUCT(MAX(('Meal Plan'!$G$5:$G$504=A20)*'Meal Plan'!$B$5:$B$504))))</f>
        <v>0</v>
      </c>
      <c r="Y20" s="8">
        <f>IF(OR(A20="",X20=""),"",TODAY()-X20)</f>
        <v>0</v>
      </c>
      <c r="Z20" s="8">
        <f>IF(A20="","",IF(Y20="","Yes",IF(Y20&gt;=Rotation_Gap_Days,"Yes","No")))</f>
        <v>0</v>
      </c>
      <c r="AA20" s="8">
        <f>IF(A20="","",IF(Z20="No","Too soon",IF(AND(AN20&lt;&gt;"",AN20&gt;=4),"Plan it","Available")))</f>
        <v>0</v>
      </c>
      <c r="AB20" s="27"/>
      <c r="AC20" s="27"/>
      <c r="AD20" s="27"/>
      <c r="AE20" s="27"/>
      <c r="AF20" s="27"/>
      <c r="AG20" s="27"/>
      <c r="AH20" s="27"/>
      <c r="AI20" s="27"/>
      <c r="AJ20" s="27"/>
      <c r="AK20" s="8">
        <f>IF(A20="","",IF(G20&lt;=30,"Yes","No"))</f>
        <v>0</v>
      </c>
      <c r="AL20" s="27"/>
      <c r="AM20" s="30"/>
      <c r="AN20" s="26"/>
      <c r="AO20" s="7"/>
      <c r="AP20" s="7"/>
      <c r="AQ20" s="7"/>
      <c r="AR20" s="25"/>
      <c r="AS20" s="8">
        <f>IF(A20="","",COUNTIFS($H$5:$H$204,"&gt;"&amp;H20)+1)</f>
        <v>0</v>
      </c>
      <c r="AT20" s="8">
        <f>IF(A20="","",COUNTIFS($I$5:$I$204,"&gt;"&amp;I20)+1)</f>
        <v>0</v>
      </c>
      <c r="AU20" s="8">
        <f>IF(A20="","",COUNTIFS($L$5:$L$204,"&gt;"&amp;L20)+1)</f>
        <v>0</v>
      </c>
      <c r="AV20" s="8">
        <f>IF(OR(A20="",Q20=""),"",COUNTIFS($Q$5:$Q$204,"&lt;"&amp;Q20)+1)</f>
        <v>0</v>
      </c>
      <c r="AW20" s="8">
        <f>IF(A20="","",COUNTIFS($V$5:$V$204,"&gt;"&amp;V20)+1)</f>
        <v>0</v>
      </c>
      <c r="AX20" s="8">
        <f>IF(A20="","",COUNTIFS($Y$5:$Y$204,"&lt;"&amp;Y20)+1)</f>
        <v>0</v>
      </c>
      <c r="AY20" s="8">
        <f>IF(A20="","",COUNTIFS($W$5:$W$204,"&gt;"&amp;W20)+1)</f>
        <v>0</v>
      </c>
    </row>
    <row r="21" spans="1:51">
      <c r="A21" s="7"/>
      <c r="B21" s="27"/>
      <c r="C21" s="27"/>
      <c r="D21" s="26"/>
      <c r="E21" s="26"/>
      <c r="F21" s="26"/>
      <c r="G21" s="8">
        <f>IF(A21="","",E21+F21)</f>
        <v>0</v>
      </c>
      <c r="H21" s="26"/>
      <c r="I21" s="26"/>
      <c r="J21" s="26"/>
      <c r="K21" s="26"/>
      <c r="L21" s="26"/>
      <c r="M21" s="26"/>
      <c r="N21" s="26"/>
      <c r="O21" s="8">
        <f>IF(A21="","",COUNTIFS('Recipe Ingredients'!$A$5:$A$1204,A21))</f>
        <v>0</v>
      </c>
      <c r="P21" s="8">
        <f>IF(A21="","",SUMIFS('Recipe Ingredients'!$H$5:$H$1204,'Recipe Ingredients'!$A$5:$A$1204,A21))</f>
        <v>0</v>
      </c>
      <c r="Q21" s="8">
        <f>IF(OR(A21="",D21=0,D21=""),"",P21/D21)</f>
        <v>0</v>
      </c>
      <c r="R21" s="8">
        <f>IF(OR(A21="",H21=0,H21=""),"",IFERROR(Q21/H21*1000,""))</f>
        <v>0</v>
      </c>
      <c r="S21" s="8">
        <f>IF(OR(A21="",Q21="",Q21=0),"",IFERROR(H21/Q21,""))</f>
        <v>0</v>
      </c>
      <c r="T21" s="8">
        <f>IF(OR(A21="",Q21="",Q21=0),"",IFERROR(I21/Q21,""))</f>
        <v>0</v>
      </c>
      <c r="U21" s="8">
        <f>IF(OR(A21="",G21="",G21=0),"",IFERROR(H21/G21*10,""))</f>
        <v>0</v>
      </c>
      <c r="V21" s="8">
        <f>IF(A21="","",(AC21="Yes")*1+(AD21="Yes")*1+(AE21="Yes")*1+(AF21="Yes")*1+(AG21="Yes")*1+(AH21="Yes")*1)</f>
        <v>0</v>
      </c>
      <c r="W21" s="8">
        <f>IF(A21="","",COUNTIFS('Meal Plan'!$G$5:$G$504,A21,'Meal Plan'!$S$5:$S$504,"Cooked")+COUNTIFS('Meal Plan'!$G$5:$G$504,A21,'Meal Plan'!$S$5:$S$504,"Eaten"))</f>
        <v>0</v>
      </c>
      <c r="X21" s="8">
        <f>IF(A21="","",IF(SUMPRODUCT(MAX(('Meal Plan'!$G$5:$G$504=A21)*'Meal Plan'!$B$5:$B$504))=0,"",SUMPRODUCT(MAX(('Meal Plan'!$G$5:$G$504=A21)*'Meal Plan'!$B$5:$B$504))))</f>
        <v>0</v>
      </c>
      <c r="Y21" s="8">
        <f>IF(OR(A21="",X21=""),"",TODAY()-X21)</f>
        <v>0</v>
      </c>
      <c r="Z21" s="8">
        <f>IF(A21="","",IF(Y21="","Yes",IF(Y21&gt;=Rotation_Gap_Days,"Yes","No")))</f>
        <v>0</v>
      </c>
      <c r="AA21" s="8">
        <f>IF(A21="","",IF(Z21="No","Too soon",IF(AND(AN21&lt;&gt;"",AN21&gt;=4),"Plan it","Available")))</f>
        <v>0</v>
      </c>
      <c r="AB21" s="27"/>
      <c r="AC21" s="27"/>
      <c r="AD21" s="27"/>
      <c r="AE21" s="27"/>
      <c r="AF21" s="27"/>
      <c r="AG21" s="27"/>
      <c r="AH21" s="27"/>
      <c r="AI21" s="27"/>
      <c r="AJ21" s="27"/>
      <c r="AK21" s="8">
        <f>IF(A21="","",IF(G21&lt;=30,"Yes","No"))</f>
        <v>0</v>
      </c>
      <c r="AL21" s="27"/>
      <c r="AM21" s="30"/>
      <c r="AN21" s="26"/>
      <c r="AO21" s="7"/>
      <c r="AP21" s="7"/>
      <c r="AQ21" s="7"/>
      <c r="AR21" s="25"/>
      <c r="AS21" s="8">
        <f>IF(A21="","",COUNTIFS($H$5:$H$204,"&gt;"&amp;H21)+1)</f>
        <v>0</v>
      </c>
      <c r="AT21" s="8">
        <f>IF(A21="","",COUNTIFS($I$5:$I$204,"&gt;"&amp;I21)+1)</f>
        <v>0</v>
      </c>
      <c r="AU21" s="8">
        <f>IF(A21="","",COUNTIFS($L$5:$L$204,"&gt;"&amp;L21)+1)</f>
        <v>0</v>
      </c>
      <c r="AV21" s="8">
        <f>IF(OR(A21="",Q21=""),"",COUNTIFS($Q$5:$Q$204,"&lt;"&amp;Q21)+1)</f>
        <v>0</v>
      </c>
      <c r="AW21" s="8">
        <f>IF(A21="","",COUNTIFS($V$5:$V$204,"&gt;"&amp;V21)+1)</f>
        <v>0</v>
      </c>
      <c r="AX21" s="8">
        <f>IF(A21="","",COUNTIFS($Y$5:$Y$204,"&lt;"&amp;Y21)+1)</f>
        <v>0</v>
      </c>
      <c r="AY21" s="8">
        <f>IF(A21="","",COUNTIFS($W$5:$W$204,"&gt;"&amp;W21)+1)</f>
        <v>0</v>
      </c>
    </row>
    <row r="22" spans="1:51">
      <c r="A22" s="7"/>
      <c r="B22" s="27"/>
      <c r="C22" s="27"/>
      <c r="D22" s="26"/>
      <c r="E22" s="26"/>
      <c r="F22" s="26"/>
      <c r="G22" s="8">
        <f>IF(A22="","",E22+F22)</f>
        <v>0</v>
      </c>
      <c r="H22" s="26"/>
      <c r="I22" s="26"/>
      <c r="J22" s="26"/>
      <c r="K22" s="26"/>
      <c r="L22" s="26"/>
      <c r="M22" s="26"/>
      <c r="N22" s="26"/>
      <c r="O22" s="8">
        <f>IF(A22="","",COUNTIFS('Recipe Ingredients'!$A$5:$A$1204,A22))</f>
        <v>0</v>
      </c>
      <c r="P22" s="8">
        <f>IF(A22="","",SUMIFS('Recipe Ingredients'!$H$5:$H$1204,'Recipe Ingredients'!$A$5:$A$1204,A22))</f>
        <v>0</v>
      </c>
      <c r="Q22" s="8">
        <f>IF(OR(A22="",D22=0,D22=""),"",P22/D22)</f>
        <v>0</v>
      </c>
      <c r="R22" s="8">
        <f>IF(OR(A22="",H22=0,H22=""),"",IFERROR(Q22/H22*1000,""))</f>
        <v>0</v>
      </c>
      <c r="S22" s="8">
        <f>IF(OR(A22="",Q22="",Q22=0),"",IFERROR(H22/Q22,""))</f>
        <v>0</v>
      </c>
      <c r="T22" s="8">
        <f>IF(OR(A22="",Q22="",Q22=0),"",IFERROR(I22/Q22,""))</f>
        <v>0</v>
      </c>
      <c r="U22" s="8">
        <f>IF(OR(A22="",G22="",G22=0),"",IFERROR(H22/G22*10,""))</f>
        <v>0</v>
      </c>
      <c r="V22" s="8">
        <f>IF(A22="","",(AC22="Yes")*1+(AD22="Yes")*1+(AE22="Yes")*1+(AF22="Yes")*1+(AG22="Yes")*1+(AH22="Yes")*1)</f>
        <v>0</v>
      </c>
      <c r="W22" s="8">
        <f>IF(A22="","",COUNTIFS('Meal Plan'!$G$5:$G$504,A22,'Meal Plan'!$S$5:$S$504,"Cooked")+COUNTIFS('Meal Plan'!$G$5:$G$504,A22,'Meal Plan'!$S$5:$S$504,"Eaten"))</f>
        <v>0</v>
      </c>
      <c r="X22" s="8">
        <f>IF(A22="","",IF(SUMPRODUCT(MAX(('Meal Plan'!$G$5:$G$504=A22)*'Meal Plan'!$B$5:$B$504))=0,"",SUMPRODUCT(MAX(('Meal Plan'!$G$5:$G$504=A22)*'Meal Plan'!$B$5:$B$504))))</f>
        <v>0</v>
      </c>
      <c r="Y22" s="8">
        <f>IF(OR(A22="",X22=""),"",TODAY()-X22)</f>
        <v>0</v>
      </c>
      <c r="Z22" s="8">
        <f>IF(A22="","",IF(Y22="","Yes",IF(Y22&gt;=Rotation_Gap_Days,"Yes","No")))</f>
        <v>0</v>
      </c>
      <c r="AA22" s="8">
        <f>IF(A22="","",IF(Z22="No","Too soon",IF(AND(AN22&lt;&gt;"",AN22&gt;=4),"Plan it","Available")))</f>
        <v>0</v>
      </c>
      <c r="AB22" s="27"/>
      <c r="AC22" s="27"/>
      <c r="AD22" s="27"/>
      <c r="AE22" s="27"/>
      <c r="AF22" s="27"/>
      <c r="AG22" s="27"/>
      <c r="AH22" s="27"/>
      <c r="AI22" s="27"/>
      <c r="AJ22" s="27"/>
      <c r="AK22" s="8">
        <f>IF(A22="","",IF(G22&lt;=30,"Yes","No"))</f>
        <v>0</v>
      </c>
      <c r="AL22" s="27"/>
      <c r="AM22" s="30"/>
      <c r="AN22" s="26"/>
      <c r="AO22" s="7"/>
      <c r="AP22" s="7"/>
      <c r="AQ22" s="7"/>
      <c r="AR22" s="25"/>
      <c r="AS22" s="8">
        <f>IF(A22="","",COUNTIFS($H$5:$H$204,"&gt;"&amp;H22)+1)</f>
        <v>0</v>
      </c>
      <c r="AT22" s="8">
        <f>IF(A22="","",COUNTIFS($I$5:$I$204,"&gt;"&amp;I22)+1)</f>
        <v>0</v>
      </c>
      <c r="AU22" s="8">
        <f>IF(A22="","",COUNTIFS($L$5:$L$204,"&gt;"&amp;L22)+1)</f>
        <v>0</v>
      </c>
      <c r="AV22" s="8">
        <f>IF(OR(A22="",Q22=""),"",COUNTIFS($Q$5:$Q$204,"&lt;"&amp;Q22)+1)</f>
        <v>0</v>
      </c>
      <c r="AW22" s="8">
        <f>IF(A22="","",COUNTIFS($V$5:$V$204,"&gt;"&amp;V22)+1)</f>
        <v>0</v>
      </c>
      <c r="AX22" s="8">
        <f>IF(A22="","",COUNTIFS($Y$5:$Y$204,"&lt;"&amp;Y22)+1)</f>
        <v>0</v>
      </c>
      <c r="AY22" s="8">
        <f>IF(A22="","",COUNTIFS($W$5:$W$204,"&gt;"&amp;W22)+1)</f>
        <v>0</v>
      </c>
    </row>
    <row r="23" spans="1:51">
      <c r="A23" s="7"/>
      <c r="B23" s="27"/>
      <c r="C23" s="27"/>
      <c r="D23" s="26"/>
      <c r="E23" s="26"/>
      <c r="F23" s="26"/>
      <c r="G23" s="8">
        <f>IF(A23="","",E23+F23)</f>
        <v>0</v>
      </c>
      <c r="H23" s="26"/>
      <c r="I23" s="26"/>
      <c r="J23" s="26"/>
      <c r="K23" s="26"/>
      <c r="L23" s="26"/>
      <c r="M23" s="26"/>
      <c r="N23" s="26"/>
      <c r="O23" s="8">
        <f>IF(A23="","",COUNTIFS('Recipe Ingredients'!$A$5:$A$1204,A23))</f>
        <v>0</v>
      </c>
      <c r="P23" s="8">
        <f>IF(A23="","",SUMIFS('Recipe Ingredients'!$H$5:$H$1204,'Recipe Ingredients'!$A$5:$A$1204,A23))</f>
        <v>0</v>
      </c>
      <c r="Q23" s="8">
        <f>IF(OR(A23="",D23=0,D23=""),"",P23/D23)</f>
        <v>0</v>
      </c>
      <c r="R23" s="8">
        <f>IF(OR(A23="",H23=0,H23=""),"",IFERROR(Q23/H23*1000,""))</f>
        <v>0</v>
      </c>
      <c r="S23" s="8">
        <f>IF(OR(A23="",Q23="",Q23=0),"",IFERROR(H23/Q23,""))</f>
        <v>0</v>
      </c>
      <c r="T23" s="8">
        <f>IF(OR(A23="",Q23="",Q23=0),"",IFERROR(I23/Q23,""))</f>
        <v>0</v>
      </c>
      <c r="U23" s="8">
        <f>IF(OR(A23="",G23="",G23=0),"",IFERROR(H23/G23*10,""))</f>
        <v>0</v>
      </c>
      <c r="V23" s="8">
        <f>IF(A23="","",(AC23="Yes")*1+(AD23="Yes")*1+(AE23="Yes")*1+(AF23="Yes")*1+(AG23="Yes")*1+(AH23="Yes")*1)</f>
        <v>0</v>
      </c>
      <c r="W23" s="8">
        <f>IF(A23="","",COUNTIFS('Meal Plan'!$G$5:$G$504,A23,'Meal Plan'!$S$5:$S$504,"Cooked")+COUNTIFS('Meal Plan'!$G$5:$G$504,A23,'Meal Plan'!$S$5:$S$504,"Eaten"))</f>
        <v>0</v>
      </c>
      <c r="X23" s="8">
        <f>IF(A23="","",IF(SUMPRODUCT(MAX(('Meal Plan'!$G$5:$G$504=A23)*'Meal Plan'!$B$5:$B$504))=0,"",SUMPRODUCT(MAX(('Meal Plan'!$G$5:$G$504=A23)*'Meal Plan'!$B$5:$B$504))))</f>
        <v>0</v>
      </c>
      <c r="Y23" s="8">
        <f>IF(OR(A23="",X23=""),"",TODAY()-X23)</f>
        <v>0</v>
      </c>
      <c r="Z23" s="8">
        <f>IF(A23="","",IF(Y23="","Yes",IF(Y23&gt;=Rotation_Gap_Days,"Yes","No")))</f>
        <v>0</v>
      </c>
      <c r="AA23" s="8">
        <f>IF(A23="","",IF(Z23="No","Too soon",IF(AND(AN23&lt;&gt;"",AN23&gt;=4),"Plan it","Available")))</f>
        <v>0</v>
      </c>
      <c r="AB23" s="27"/>
      <c r="AC23" s="27"/>
      <c r="AD23" s="27"/>
      <c r="AE23" s="27"/>
      <c r="AF23" s="27"/>
      <c r="AG23" s="27"/>
      <c r="AH23" s="27"/>
      <c r="AI23" s="27"/>
      <c r="AJ23" s="27"/>
      <c r="AK23" s="8">
        <f>IF(A23="","",IF(G23&lt;=30,"Yes","No"))</f>
        <v>0</v>
      </c>
      <c r="AL23" s="27"/>
      <c r="AM23" s="30"/>
      <c r="AN23" s="26"/>
      <c r="AO23" s="7"/>
      <c r="AP23" s="7"/>
      <c r="AQ23" s="7"/>
      <c r="AR23" s="25"/>
      <c r="AS23" s="8">
        <f>IF(A23="","",COUNTIFS($H$5:$H$204,"&gt;"&amp;H23)+1)</f>
        <v>0</v>
      </c>
      <c r="AT23" s="8">
        <f>IF(A23="","",COUNTIFS($I$5:$I$204,"&gt;"&amp;I23)+1)</f>
        <v>0</v>
      </c>
      <c r="AU23" s="8">
        <f>IF(A23="","",COUNTIFS($L$5:$L$204,"&gt;"&amp;L23)+1)</f>
        <v>0</v>
      </c>
      <c r="AV23" s="8">
        <f>IF(OR(A23="",Q23=""),"",COUNTIFS($Q$5:$Q$204,"&lt;"&amp;Q23)+1)</f>
        <v>0</v>
      </c>
      <c r="AW23" s="8">
        <f>IF(A23="","",COUNTIFS($V$5:$V$204,"&gt;"&amp;V23)+1)</f>
        <v>0</v>
      </c>
      <c r="AX23" s="8">
        <f>IF(A23="","",COUNTIFS($Y$5:$Y$204,"&lt;"&amp;Y23)+1)</f>
        <v>0</v>
      </c>
      <c r="AY23" s="8">
        <f>IF(A23="","",COUNTIFS($W$5:$W$204,"&gt;"&amp;W23)+1)</f>
        <v>0</v>
      </c>
    </row>
    <row r="24" spans="1:51">
      <c r="A24" s="7"/>
      <c r="B24" s="27"/>
      <c r="C24" s="27"/>
      <c r="D24" s="26"/>
      <c r="E24" s="26"/>
      <c r="F24" s="26"/>
      <c r="G24" s="8">
        <f>IF(A24="","",E24+F24)</f>
        <v>0</v>
      </c>
      <c r="H24" s="26"/>
      <c r="I24" s="26"/>
      <c r="J24" s="26"/>
      <c r="K24" s="26"/>
      <c r="L24" s="26"/>
      <c r="M24" s="26"/>
      <c r="N24" s="26"/>
      <c r="O24" s="8">
        <f>IF(A24="","",COUNTIFS('Recipe Ingredients'!$A$5:$A$1204,A24))</f>
        <v>0</v>
      </c>
      <c r="P24" s="8">
        <f>IF(A24="","",SUMIFS('Recipe Ingredients'!$H$5:$H$1204,'Recipe Ingredients'!$A$5:$A$1204,A24))</f>
        <v>0</v>
      </c>
      <c r="Q24" s="8">
        <f>IF(OR(A24="",D24=0,D24=""),"",P24/D24)</f>
        <v>0</v>
      </c>
      <c r="R24" s="8">
        <f>IF(OR(A24="",H24=0,H24=""),"",IFERROR(Q24/H24*1000,""))</f>
        <v>0</v>
      </c>
      <c r="S24" s="8">
        <f>IF(OR(A24="",Q24="",Q24=0),"",IFERROR(H24/Q24,""))</f>
        <v>0</v>
      </c>
      <c r="T24" s="8">
        <f>IF(OR(A24="",Q24="",Q24=0),"",IFERROR(I24/Q24,""))</f>
        <v>0</v>
      </c>
      <c r="U24" s="8">
        <f>IF(OR(A24="",G24="",G24=0),"",IFERROR(H24/G24*10,""))</f>
        <v>0</v>
      </c>
      <c r="V24" s="8">
        <f>IF(A24="","",(AC24="Yes")*1+(AD24="Yes")*1+(AE24="Yes")*1+(AF24="Yes")*1+(AG24="Yes")*1+(AH24="Yes")*1)</f>
        <v>0</v>
      </c>
      <c r="W24" s="8">
        <f>IF(A24="","",COUNTIFS('Meal Plan'!$G$5:$G$504,A24,'Meal Plan'!$S$5:$S$504,"Cooked")+COUNTIFS('Meal Plan'!$G$5:$G$504,A24,'Meal Plan'!$S$5:$S$504,"Eaten"))</f>
        <v>0</v>
      </c>
      <c r="X24" s="8">
        <f>IF(A24="","",IF(SUMPRODUCT(MAX(('Meal Plan'!$G$5:$G$504=A24)*'Meal Plan'!$B$5:$B$504))=0,"",SUMPRODUCT(MAX(('Meal Plan'!$G$5:$G$504=A24)*'Meal Plan'!$B$5:$B$504))))</f>
        <v>0</v>
      </c>
      <c r="Y24" s="8">
        <f>IF(OR(A24="",X24=""),"",TODAY()-X24)</f>
        <v>0</v>
      </c>
      <c r="Z24" s="8">
        <f>IF(A24="","",IF(Y24="","Yes",IF(Y24&gt;=Rotation_Gap_Days,"Yes","No")))</f>
        <v>0</v>
      </c>
      <c r="AA24" s="8">
        <f>IF(A24="","",IF(Z24="No","Too soon",IF(AND(AN24&lt;&gt;"",AN24&gt;=4),"Plan it","Available")))</f>
        <v>0</v>
      </c>
      <c r="AB24" s="27"/>
      <c r="AC24" s="27"/>
      <c r="AD24" s="27"/>
      <c r="AE24" s="27"/>
      <c r="AF24" s="27"/>
      <c r="AG24" s="27"/>
      <c r="AH24" s="27"/>
      <c r="AI24" s="27"/>
      <c r="AJ24" s="27"/>
      <c r="AK24" s="8">
        <f>IF(A24="","",IF(G24&lt;=30,"Yes","No"))</f>
        <v>0</v>
      </c>
      <c r="AL24" s="27"/>
      <c r="AM24" s="30"/>
      <c r="AN24" s="26"/>
      <c r="AO24" s="7"/>
      <c r="AP24" s="7"/>
      <c r="AQ24" s="7"/>
      <c r="AR24" s="25"/>
      <c r="AS24" s="8">
        <f>IF(A24="","",COUNTIFS($H$5:$H$204,"&gt;"&amp;H24)+1)</f>
        <v>0</v>
      </c>
      <c r="AT24" s="8">
        <f>IF(A24="","",COUNTIFS($I$5:$I$204,"&gt;"&amp;I24)+1)</f>
        <v>0</v>
      </c>
      <c r="AU24" s="8">
        <f>IF(A24="","",COUNTIFS($L$5:$L$204,"&gt;"&amp;L24)+1)</f>
        <v>0</v>
      </c>
      <c r="AV24" s="8">
        <f>IF(OR(A24="",Q24=""),"",COUNTIFS($Q$5:$Q$204,"&lt;"&amp;Q24)+1)</f>
        <v>0</v>
      </c>
      <c r="AW24" s="8">
        <f>IF(A24="","",COUNTIFS($V$5:$V$204,"&gt;"&amp;V24)+1)</f>
        <v>0</v>
      </c>
      <c r="AX24" s="8">
        <f>IF(A24="","",COUNTIFS($Y$5:$Y$204,"&lt;"&amp;Y24)+1)</f>
        <v>0</v>
      </c>
      <c r="AY24" s="8">
        <f>IF(A24="","",COUNTIFS($W$5:$W$204,"&gt;"&amp;W24)+1)</f>
        <v>0</v>
      </c>
    </row>
    <row r="25" spans="1:51">
      <c r="A25" s="7"/>
      <c r="B25" s="27"/>
      <c r="C25" s="27"/>
      <c r="D25" s="26"/>
      <c r="E25" s="26"/>
      <c r="F25" s="26"/>
      <c r="G25" s="8">
        <f>IF(A25="","",E25+F25)</f>
        <v>0</v>
      </c>
      <c r="H25" s="26"/>
      <c r="I25" s="26"/>
      <c r="J25" s="26"/>
      <c r="K25" s="26"/>
      <c r="L25" s="26"/>
      <c r="M25" s="26"/>
      <c r="N25" s="26"/>
      <c r="O25" s="8">
        <f>IF(A25="","",COUNTIFS('Recipe Ingredients'!$A$5:$A$1204,A25))</f>
        <v>0</v>
      </c>
      <c r="P25" s="8">
        <f>IF(A25="","",SUMIFS('Recipe Ingredients'!$H$5:$H$1204,'Recipe Ingredients'!$A$5:$A$1204,A25))</f>
        <v>0</v>
      </c>
      <c r="Q25" s="8">
        <f>IF(OR(A25="",D25=0,D25=""),"",P25/D25)</f>
        <v>0</v>
      </c>
      <c r="R25" s="8">
        <f>IF(OR(A25="",H25=0,H25=""),"",IFERROR(Q25/H25*1000,""))</f>
        <v>0</v>
      </c>
      <c r="S25" s="8">
        <f>IF(OR(A25="",Q25="",Q25=0),"",IFERROR(H25/Q25,""))</f>
        <v>0</v>
      </c>
      <c r="T25" s="8">
        <f>IF(OR(A25="",Q25="",Q25=0),"",IFERROR(I25/Q25,""))</f>
        <v>0</v>
      </c>
      <c r="U25" s="8">
        <f>IF(OR(A25="",G25="",G25=0),"",IFERROR(H25/G25*10,""))</f>
        <v>0</v>
      </c>
      <c r="V25" s="8">
        <f>IF(A25="","",(AC25="Yes")*1+(AD25="Yes")*1+(AE25="Yes")*1+(AF25="Yes")*1+(AG25="Yes")*1+(AH25="Yes")*1)</f>
        <v>0</v>
      </c>
      <c r="W25" s="8">
        <f>IF(A25="","",COUNTIFS('Meal Plan'!$G$5:$G$504,A25,'Meal Plan'!$S$5:$S$504,"Cooked")+COUNTIFS('Meal Plan'!$G$5:$G$504,A25,'Meal Plan'!$S$5:$S$504,"Eaten"))</f>
        <v>0</v>
      </c>
      <c r="X25" s="8">
        <f>IF(A25="","",IF(SUMPRODUCT(MAX(('Meal Plan'!$G$5:$G$504=A25)*'Meal Plan'!$B$5:$B$504))=0,"",SUMPRODUCT(MAX(('Meal Plan'!$G$5:$G$504=A25)*'Meal Plan'!$B$5:$B$504))))</f>
        <v>0</v>
      </c>
      <c r="Y25" s="8">
        <f>IF(OR(A25="",X25=""),"",TODAY()-X25)</f>
        <v>0</v>
      </c>
      <c r="Z25" s="8">
        <f>IF(A25="","",IF(Y25="","Yes",IF(Y25&gt;=Rotation_Gap_Days,"Yes","No")))</f>
        <v>0</v>
      </c>
      <c r="AA25" s="8">
        <f>IF(A25="","",IF(Z25="No","Too soon",IF(AND(AN25&lt;&gt;"",AN25&gt;=4),"Plan it","Available")))</f>
        <v>0</v>
      </c>
      <c r="AB25" s="27"/>
      <c r="AC25" s="27"/>
      <c r="AD25" s="27"/>
      <c r="AE25" s="27"/>
      <c r="AF25" s="27"/>
      <c r="AG25" s="27"/>
      <c r="AH25" s="27"/>
      <c r="AI25" s="27"/>
      <c r="AJ25" s="27"/>
      <c r="AK25" s="8">
        <f>IF(A25="","",IF(G25&lt;=30,"Yes","No"))</f>
        <v>0</v>
      </c>
      <c r="AL25" s="27"/>
      <c r="AM25" s="30"/>
      <c r="AN25" s="26"/>
      <c r="AO25" s="7"/>
      <c r="AP25" s="7"/>
      <c r="AQ25" s="7"/>
      <c r="AR25" s="25"/>
      <c r="AS25" s="8">
        <f>IF(A25="","",COUNTIFS($H$5:$H$204,"&gt;"&amp;H25)+1)</f>
        <v>0</v>
      </c>
      <c r="AT25" s="8">
        <f>IF(A25="","",COUNTIFS($I$5:$I$204,"&gt;"&amp;I25)+1)</f>
        <v>0</v>
      </c>
      <c r="AU25" s="8">
        <f>IF(A25="","",COUNTIFS($L$5:$L$204,"&gt;"&amp;L25)+1)</f>
        <v>0</v>
      </c>
      <c r="AV25" s="8">
        <f>IF(OR(A25="",Q25=""),"",COUNTIFS($Q$5:$Q$204,"&lt;"&amp;Q25)+1)</f>
        <v>0</v>
      </c>
      <c r="AW25" s="8">
        <f>IF(A25="","",COUNTIFS($V$5:$V$204,"&gt;"&amp;V25)+1)</f>
        <v>0</v>
      </c>
      <c r="AX25" s="8">
        <f>IF(A25="","",COUNTIFS($Y$5:$Y$204,"&lt;"&amp;Y25)+1)</f>
        <v>0</v>
      </c>
      <c r="AY25" s="8">
        <f>IF(A25="","",COUNTIFS($W$5:$W$204,"&gt;"&amp;W25)+1)</f>
        <v>0</v>
      </c>
    </row>
    <row r="26" spans="1:51">
      <c r="A26" s="7"/>
      <c r="B26" s="27"/>
      <c r="C26" s="27"/>
      <c r="D26" s="26"/>
      <c r="E26" s="26"/>
      <c r="F26" s="26"/>
      <c r="G26" s="8">
        <f>IF(A26="","",E26+F26)</f>
        <v>0</v>
      </c>
      <c r="H26" s="26"/>
      <c r="I26" s="26"/>
      <c r="J26" s="26"/>
      <c r="K26" s="26"/>
      <c r="L26" s="26"/>
      <c r="M26" s="26"/>
      <c r="N26" s="26"/>
      <c r="O26" s="8">
        <f>IF(A26="","",COUNTIFS('Recipe Ingredients'!$A$5:$A$1204,A26))</f>
        <v>0</v>
      </c>
      <c r="P26" s="8">
        <f>IF(A26="","",SUMIFS('Recipe Ingredients'!$H$5:$H$1204,'Recipe Ingredients'!$A$5:$A$1204,A26))</f>
        <v>0</v>
      </c>
      <c r="Q26" s="8">
        <f>IF(OR(A26="",D26=0,D26=""),"",P26/D26)</f>
        <v>0</v>
      </c>
      <c r="R26" s="8">
        <f>IF(OR(A26="",H26=0,H26=""),"",IFERROR(Q26/H26*1000,""))</f>
        <v>0</v>
      </c>
      <c r="S26" s="8">
        <f>IF(OR(A26="",Q26="",Q26=0),"",IFERROR(H26/Q26,""))</f>
        <v>0</v>
      </c>
      <c r="T26" s="8">
        <f>IF(OR(A26="",Q26="",Q26=0),"",IFERROR(I26/Q26,""))</f>
        <v>0</v>
      </c>
      <c r="U26" s="8">
        <f>IF(OR(A26="",G26="",G26=0),"",IFERROR(H26/G26*10,""))</f>
        <v>0</v>
      </c>
      <c r="V26" s="8">
        <f>IF(A26="","",(AC26="Yes")*1+(AD26="Yes")*1+(AE26="Yes")*1+(AF26="Yes")*1+(AG26="Yes")*1+(AH26="Yes")*1)</f>
        <v>0</v>
      </c>
      <c r="W26" s="8">
        <f>IF(A26="","",COUNTIFS('Meal Plan'!$G$5:$G$504,A26,'Meal Plan'!$S$5:$S$504,"Cooked")+COUNTIFS('Meal Plan'!$G$5:$G$504,A26,'Meal Plan'!$S$5:$S$504,"Eaten"))</f>
        <v>0</v>
      </c>
      <c r="X26" s="8">
        <f>IF(A26="","",IF(SUMPRODUCT(MAX(('Meal Plan'!$G$5:$G$504=A26)*'Meal Plan'!$B$5:$B$504))=0,"",SUMPRODUCT(MAX(('Meal Plan'!$G$5:$G$504=A26)*'Meal Plan'!$B$5:$B$504))))</f>
        <v>0</v>
      </c>
      <c r="Y26" s="8">
        <f>IF(OR(A26="",X26=""),"",TODAY()-X26)</f>
        <v>0</v>
      </c>
      <c r="Z26" s="8">
        <f>IF(A26="","",IF(Y26="","Yes",IF(Y26&gt;=Rotation_Gap_Days,"Yes","No")))</f>
        <v>0</v>
      </c>
      <c r="AA26" s="8">
        <f>IF(A26="","",IF(Z26="No","Too soon",IF(AND(AN26&lt;&gt;"",AN26&gt;=4),"Plan it","Available")))</f>
        <v>0</v>
      </c>
      <c r="AB26" s="27"/>
      <c r="AC26" s="27"/>
      <c r="AD26" s="27"/>
      <c r="AE26" s="27"/>
      <c r="AF26" s="27"/>
      <c r="AG26" s="27"/>
      <c r="AH26" s="27"/>
      <c r="AI26" s="27"/>
      <c r="AJ26" s="27"/>
      <c r="AK26" s="8">
        <f>IF(A26="","",IF(G26&lt;=30,"Yes","No"))</f>
        <v>0</v>
      </c>
      <c r="AL26" s="27"/>
      <c r="AM26" s="30"/>
      <c r="AN26" s="26"/>
      <c r="AO26" s="7"/>
      <c r="AP26" s="7"/>
      <c r="AQ26" s="7"/>
      <c r="AR26" s="25"/>
      <c r="AS26" s="8">
        <f>IF(A26="","",COUNTIFS($H$5:$H$204,"&gt;"&amp;H26)+1)</f>
        <v>0</v>
      </c>
      <c r="AT26" s="8">
        <f>IF(A26="","",COUNTIFS($I$5:$I$204,"&gt;"&amp;I26)+1)</f>
        <v>0</v>
      </c>
      <c r="AU26" s="8">
        <f>IF(A26="","",COUNTIFS($L$5:$L$204,"&gt;"&amp;L26)+1)</f>
        <v>0</v>
      </c>
      <c r="AV26" s="8">
        <f>IF(OR(A26="",Q26=""),"",COUNTIFS($Q$5:$Q$204,"&lt;"&amp;Q26)+1)</f>
        <v>0</v>
      </c>
      <c r="AW26" s="8">
        <f>IF(A26="","",COUNTIFS($V$5:$V$204,"&gt;"&amp;V26)+1)</f>
        <v>0</v>
      </c>
      <c r="AX26" s="8">
        <f>IF(A26="","",COUNTIFS($Y$5:$Y$204,"&lt;"&amp;Y26)+1)</f>
        <v>0</v>
      </c>
      <c r="AY26" s="8">
        <f>IF(A26="","",COUNTIFS($W$5:$W$204,"&gt;"&amp;W26)+1)</f>
        <v>0</v>
      </c>
    </row>
    <row r="27" spans="1:51">
      <c r="A27" s="7"/>
      <c r="B27" s="27"/>
      <c r="C27" s="27"/>
      <c r="D27" s="26"/>
      <c r="E27" s="26"/>
      <c r="F27" s="26"/>
      <c r="G27" s="8">
        <f>IF(A27="","",E27+F27)</f>
        <v>0</v>
      </c>
      <c r="H27" s="26"/>
      <c r="I27" s="26"/>
      <c r="J27" s="26"/>
      <c r="K27" s="26"/>
      <c r="L27" s="26"/>
      <c r="M27" s="26"/>
      <c r="N27" s="26"/>
      <c r="O27" s="8">
        <f>IF(A27="","",COUNTIFS('Recipe Ingredients'!$A$5:$A$1204,A27))</f>
        <v>0</v>
      </c>
      <c r="P27" s="8">
        <f>IF(A27="","",SUMIFS('Recipe Ingredients'!$H$5:$H$1204,'Recipe Ingredients'!$A$5:$A$1204,A27))</f>
        <v>0</v>
      </c>
      <c r="Q27" s="8">
        <f>IF(OR(A27="",D27=0,D27=""),"",P27/D27)</f>
        <v>0</v>
      </c>
      <c r="R27" s="8">
        <f>IF(OR(A27="",H27=0,H27=""),"",IFERROR(Q27/H27*1000,""))</f>
        <v>0</v>
      </c>
      <c r="S27" s="8">
        <f>IF(OR(A27="",Q27="",Q27=0),"",IFERROR(H27/Q27,""))</f>
        <v>0</v>
      </c>
      <c r="T27" s="8">
        <f>IF(OR(A27="",Q27="",Q27=0),"",IFERROR(I27/Q27,""))</f>
        <v>0</v>
      </c>
      <c r="U27" s="8">
        <f>IF(OR(A27="",G27="",G27=0),"",IFERROR(H27/G27*10,""))</f>
        <v>0</v>
      </c>
      <c r="V27" s="8">
        <f>IF(A27="","",(AC27="Yes")*1+(AD27="Yes")*1+(AE27="Yes")*1+(AF27="Yes")*1+(AG27="Yes")*1+(AH27="Yes")*1)</f>
        <v>0</v>
      </c>
      <c r="W27" s="8">
        <f>IF(A27="","",COUNTIFS('Meal Plan'!$G$5:$G$504,A27,'Meal Plan'!$S$5:$S$504,"Cooked")+COUNTIFS('Meal Plan'!$G$5:$G$504,A27,'Meal Plan'!$S$5:$S$504,"Eaten"))</f>
        <v>0</v>
      </c>
      <c r="X27" s="8">
        <f>IF(A27="","",IF(SUMPRODUCT(MAX(('Meal Plan'!$G$5:$G$504=A27)*'Meal Plan'!$B$5:$B$504))=0,"",SUMPRODUCT(MAX(('Meal Plan'!$G$5:$G$504=A27)*'Meal Plan'!$B$5:$B$504))))</f>
        <v>0</v>
      </c>
      <c r="Y27" s="8">
        <f>IF(OR(A27="",X27=""),"",TODAY()-X27)</f>
        <v>0</v>
      </c>
      <c r="Z27" s="8">
        <f>IF(A27="","",IF(Y27="","Yes",IF(Y27&gt;=Rotation_Gap_Days,"Yes","No")))</f>
        <v>0</v>
      </c>
      <c r="AA27" s="8">
        <f>IF(A27="","",IF(Z27="No","Too soon",IF(AND(AN27&lt;&gt;"",AN27&gt;=4),"Plan it","Available")))</f>
        <v>0</v>
      </c>
      <c r="AB27" s="27"/>
      <c r="AC27" s="27"/>
      <c r="AD27" s="27"/>
      <c r="AE27" s="27"/>
      <c r="AF27" s="27"/>
      <c r="AG27" s="27"/>
      <c r="AH27" s="27"/>
      <c r="AI27" s="27"/>
      <c r="AJ27" s="27"/>
      <c r="AK27" s="8">
        <f>IF(A27="","",IF(G27&lt;=30,"Yes","No"))</f>
        <v>0</v>
      </c>
      <c r="AL27" s="27"/>
      <c r="AM27" s="30"/>
      <c r="AN27" s="26"/>
      <c r="AO27" s="7"/>
      <c r="AP27" s="7"/>
      <c r="AQ27" s="7"/>
      <c r="AR27" s="25"/>
      <c r="AS27" s="8">
        <f>IF(A27="","",COUNTIFS($H$5:$H$204,"&gt;"&amp;H27)+1)</f>
        <v>0</v>
      </c>
      <c r="AT27" s="8">
        <f>IF(A27="","",COUNTIFS($I$5:$I$204,"&gt;"&amp;I27)+1)</f>
        <v>0</v>
      </c>
      <c r="AU27" s="8">
        <f>IF(A27="","",COUNTIFS($L$5:$L$204,"&gt;"&amp;L27)+1)</f>
        <v>0</v>
      </c>
      <c r="AV27" s="8">
        <f>IF(OR(A27="",Q27=""),"",COUNTIFS($Q$5:$Q$204,"&lt;"&amp;Q27)+1)</f>
        <v>0</v>
      </c>
      <c r="AW27" s="8">
        <f>IF(A27="","",COUNTIFS($V$5:$V$204,"&gt;"&amp;V27)+1)</f>
        <v>0</v>
      </c>
      <c r="AX27" s="8">
        <f>IF(A27="","",COUNTIFS($Y$5:$Y$204,"&lt;"&amp;Y27)+1)</f>
        <v>0</v>
      </c>
      <c r="AY27" s="8">
        <f>IF(A27="","",COUNTIFS($W$5:$W$204,"&gt;"&amp;W27)+1)</f>
        <v>0</v>
      </c>
    </row>
    <row r="28" spans="1:51">
      <c r="A28" s="7"/>
      <c r="B28" s="27"/>
      <c r="C28" s="27"/>
      <c r="D28" s="26"/>
      <c r="E28" s="26"/>
      <c r="F28" s="26"/>
      <c r="G28" s="8">
        <f>IF(A28="","",E28+F28)</f>
        <v>0</v>
      </c>
      <c r="H28" s="26"/>
      <c r="I28" s="26"/>
      <c r="J28" s="26"/>
      <c r="K28" s="26"/>
      <c r="L28" s="26"/>
      <c r="M28" s="26"/>
      <c r="N28" s="26"/>
      <c r="O28" s="8">
        <f>IF(A28="","",COUNTIFS('Recipe Ingredients'!$A$5:$A$1204,A28))</f>
        <v>0</v>
      </c>
      <c r="P28" s="8">
        <f>IF(A28="","",SUMIFS('Recipe Ingredients'!$H$5:$H$1204,'Recipe Ingredients'!$A$5:$A$1204,A28))</f>
        <v>0</v>
      </c>
      <c r="Q28" s="8">
        <f>IF(OR(A28="",D28=0,D28=""),"",P28/D28)</f>
        <v>0</v>
      </c>
      <c r="R28" s="8">
        <f>IF(OR(A28="",H28=0,H28=""),"",IFERROR(Q28/H28*1000,""))</f>
        <v>0</v>
      </c>
      <c r="S28" s="8">
        <f>IF(OR(A28="",Q28="",Q28=0),"",IFERROR(H28/Q28,""))</f>
        <v>0</v>
      </c>
      <c r="T28" s="8">
        <f>IF(OR(A28="",Q28="",Q28=0),"",IFERROR(I28/Q28,""))</f>
        <v>0</v>
      </c>
      <c r="U28" s="8">
        <f>IF(OR(A28="",G28="",G28=0),"",IFERROR(H28/G28*10,""))</f>
        <v>0</v>
      </c>
      <c r="V28" s="8">
        <f>IF(A28="","",(AC28="Yes")*1+(AD28="Yes")*1+(AE28="Yes")*1+(AF28="Yes")*1+(AG28="Yes")*1+(AH28="Yes")*1)</f>
        <v>0</v>
      </c>
      <c r="W28" s="8">
        <f>IF(A28="","",COUNTIFS('Meal Plan'!$G$5:$G$504,A28,'Meal Plan'!$S$5:$S$504,"Cooked")+COUNTIFS('Meal Plan'!$G$5:$G$504,A28,'Meal Plan'!$S$5:$S$504,"Eaten"))</f>
        <v>0</v>
      </c>
      <c r="X28" s="8">
        <f>IF(A28="","",IF(SUMPRODUCT(MAX(('Meal Plan'!$G$5:$G$504=A28)*'Meal Plan'!$B$5:$B$504))=0,"",SUMPRODUCT(MAX(('Meal Plan'!$G$5:$G$504=A28)*'Meal Plan'!$B$5:$B$504))))</f>
        <v>0</v>
      </c>
      <c r="Y28" s="8">
        <f>IF(OR(A28="",X28=""),"",TODAY()-X28)</f>
        <v>0</v>
      </c>
      <c r="Z28" s="8">
        <f>IF(A28="","",IF(Y28="","Yes",IF(Y28&gt;=Rotation_Gap_Days,"Yes","No")))</f>
        <v>0</v>
      </c>
      <c r="AA28" s="8">
        <f>IF(A28="","",IF(Z28="No","Too soon",IF(AND(AN28&lt;&gt;"",AN28&gt;=4),"Plan it","Available")))</f>
        <v>0</v>
      </c>
      <c r="AB28" s="27"/>
      <c r="AC28" s="27"/>
      <c r="AD28" s="27"/>
      <c r="AE28" s="27"/>
      <c r="AF28" s="27"/>
      <c r="AG28" s="27"/>
      <c r="AH28" s="27"/>
      <c r="AI28" s="27"/>
      <c r="AJ28" s="27"/>
      <c r="AK28" s="8">
        <f>IF(A28="","",IF(G28&lt;=30,"Yes","No"))</f>
        <v>0</v>
      </c>
      <c r="AL28" s="27"/>
      <c r="AM28" s="30"/>
      <c r="AN28" s="26"/>
      <c r="AO28" s="7"/>
      <c r="AP28" s="7"/>
      <c r="AQ28" s="7"/>
      <c r="AR28" s="25"/>
      <c r="AS28" s="8">
        <f>IF(A28="","",COUNTIFS($H$5:$H$204,"&gt;"&amp;H28)+1)</f>
        <v>0</v>
      </c>
      <c r="AT28" s="8">
        <f>IF(A28="","",COUNTIFS($I$5:$I$204,"&gt;"&amp;I28)+1)</f>
        <v>0</v>
      </c>
      <c r="AU28" s="8">
        <f>IF(A28="","",COUNTIFS($L$5:$L$204,"&gt;"&amp;L28)+1)</f>
        <v>0</v>
      </c>
      <c r="AV28" s="8">
        <f>IF(OR(A28="",Q28=""),"",COUNTIFS($Q$5:$Q$204,"&lt;"&amp;Q28)+1)</f>
        <v>0</v>
      </c>
      <c r="AW28" s="8">
        <f>IF(A28="","",COUNTIFS($V$5:$V$204,"&gt;"&amp;V28)+1)</f>
        <v>0</v>
      </c>
      <c r="AX28" s="8">
        <f>IF(A28="","",COUNTIFS($Y$5:$Y$204,"&lt;"&amp;Y28)+1)</f>
        <v>0</v>
      </c>
      <c r="AY28" s="8">
        <f>IF(A28="","",COUNTIFS($W$5:$W$204,"&gt;"&amp;W28)+1)</f>
        <v>0</v>
      </c>
    </row>
    <row r="29" spans="1:51">
      <c r="A29" s="7"/>
      <c r="B29" s="27"/>
      <c r="C29" s="27"/>
      <c r="D29" s="26"/>
      <c r="E29" s="26"/>
      <c r="F29" s="26"/>
      <c r="G29" s="8">
        <f>IF(A29="","",E29+F29)</f>
        <v>0</v>
      </c>
      <c r="H29" s="26"/>
      <c r="I29" s="26"/>
      <c r="J29" s="26"/>
      <c r="K29" s="26"/>
      <c r="L29" s="26"/>
      <c r="M29" s="26"/>
      <c r="N29" s="26"/>
      <c r="O29" s="8">
        <f>IF(A29="","",COUNTIFS('Recipe Ingredients'!$A$5:$A$1204,A29))</f>
        <v>0</v>
      </c>
      <c r="P29" s="8">
        <f>IF(A29="","",SUMIFS('Recipe Ingredients'!$H$5:$H$1204,'Recipe Ingredients'!$A$5:$A$1204,A29))</f>
        <v>0</v>
      </c>
      <c r="Q29" s="8">
        <f>IF(OR(A29="",D29=0,D29=""),"",P29/D29)</f>
        <v>0</v>
      </c>
      <c r="R29" s="8">
        <f>IF(OR(A29="",H29=0,H29=""),"",IFERROR(Q29/H29*1000,""))</f>
        <v>0</v>
      </c>
      <c r="S29" s="8">
        <f>IF(OR(A29="",Q29="",Q29=0),"",IFERROR(H29/Q29,""))</f>
        <v>0</v>
      </c>
      <c r="T29" s="8">
        <f>IF(OR(A29="",Q29="",Q29=0),"",IFERROR(I29/Q29,""))</f>
        <v>0</v>
      </c>
      <c r="U29" s="8">
        <f>IF(OR(A29="",G29="",G29=0),"",IFERROR(H29/G29*10,""))</f>
        <v>0</v>
      </c>
      <c r="V29" s="8">
        <f>IF(A29="","",(AC29="Yes")*1+(AD29="Yes")*1+(AE29="Yes")*1+(AF29="Yes")*1+(AG29="Yes")*1+(AH29="Yes")*1)</f>
        <v>0</v>
      </c>
      <c r="W29" s="8">
        <f>IF(A29="","",COUNTIFS('Meal Plan'!$G$5:$G$504,A29,'Meal Plan'!$S$5:$S$504,"Cooked")+COUNTIFS('Meal Plan'!$G$5:$G$504,A29,'Meal Plan'!$S$5:$S$504,"Eaten"))</f>
        <v>0</v>
      </c>
      <c r="X29" s="8">
        <f>IF(A29="","",IF(SUMPRODUCT(MAX(('Meal Plan'!$G$5:$G$504=A29)*'Meal Plan'!$B$5:$B$504))=0,"",SUMPRODUCT(MAX(('Meal Plan'!$G$5:$G$504=A29)*'Meal Plan'!$B$5:$B$504))))</f>
        <v>0</v>
      </c>
      <c r="Y29" s="8">
        <f>IF(OR(A29="",X29=""),"",TODAY()-X29)</f>
        <v>0</v>
      </c>
      <c r="Z29" s="8">
        <f>IF(A29="","",IF(Y29="","Yes",IF(Y29&gt;=Rotation_Gap_Days,"Yes","No")))</f>
        <v>0</v>
      </c>
      <c r="AA29" s="8">
        <f>IF(A29="","",IF(Z29="No","Too soon",IF(AND(AN29&lt;&gt;"",AN29&gt;=4),"Plan it","Available")))</f>
        <v>0</v>
      </c>
      <c r="AB29" s="27"/>
      <c r="AC29" s="27"/>
      <c r="AD29" s="27"/>
      <c r="AE29" s="27"/>
      <c r="AF29" s="27"/>
      <c r="AG29" s="27"/>
      <c r="AH29" s="27"/>
      <c r="AI29" s="27"/>
      <c r="AJ29" s="27"/>
      <c r="AK29" s="8">
        <f>IF(A29="","",IF(G29&lt;=30,"Yes","No"))</f>
        <v>0</v>
      </c>
      <c r="AL29" s="27"/>
      <c r="AM29" s="30"/>
      <c r="AN29" s="26"/>
      <c r="AO29" s="7"/>
      <c r="AP29" s="7"/>
      <c r="AQ29" s="7"/>
      <c r="AR29" s="25"/>
      <c r="AS29" s="8">
        <f>IF(A29="","",COUNTIFS($H$5:$H$204,"&gt;"&amp;H29)+1)</f>
        <v>0</v>
      </c>
      <c r="AT29" s="8">
        <f>IF(A29="","",COUNTIFS($I$5:$I$204,"&gt;"&amp;I29)+1)</f>
        <v>0</v>
      </c>
      <c r="AU29" s="8">
        <f>IF(A29="","",COUNTIFS($L$5:$L$204,"&gt;"&amp;L29)+1)</f>
        <v>0</v>
      </c>
      <c r="AV29" s="8">
        <f>IF(OR(A29="",Q29=""),"",COUNTIFS($Q$5:$Q$204,"&lt;"&amp;Q29)+1)</f>
        <v>0</v>
      </c>
      <c r="AW29" s="8">
        <f>IF(A29="","",COUNTIFS($V$5:$V$204,"&gt;"&amp;V29)+1)</f>
        <v>0</v>
      </c>
      <c r="AX29" s="8">
        <f>IF(A29="","",COUNTIFS($Y$5:$Y$204,"&lt;"&amp;Y29)+1)</f>
        <v>0</v>
      </c>
      <c r="AY29" s="8">
        <f>IF(A29="","",COUNTIFS($W$5:$W$204,"&gt;"&amp;W29)+1)</f>
        <v>0</v>
      </c>
    </row>
    <row r="30" spans="1:51">
      <c r="A30" s="7"/>
      <c r="B30" s="27"/>
      <c r="C30" s="27"/>
      <c r="D30" s="26"/>
      <c r="E30" s="26"/>
      <c r="F30" s="26"/>
      <c r="G30" s="8">
        <f>IF(A30="","",E30+F30)</f>
        <v>0</v>
      </c>
      <c r="H30" s="26"/>
      <c r="I30" s="26"/>
      <c r="J30" s="26"/>
      <c r="K30" s="26"/>
      <c r="L30" s="26"/>
      <c r="M30" s="26"/>
      <c r="N30" s="26"/>
      <c r="O30" s="8">
        <f>IF(A30="","",COUNTIFS('Recipe Ingredients'!$A$5:$A$1204,A30))</f>
        <v>0</v>
      </c>
      <c r="P30" s="8">
        <f>IF(A30="","",SUMIFS('Recipe Ingredients'!$H$5:$H$1204,'Recipe Ingredients'!$A$5:$A$1204,A30))</f>
        <v>0</v>
      </c>
      <c r="Q30" s="8">
        <f>IF(OR(A30="",D30=0,D30=""),"",P30/D30)</f>
        <v>0</v>
      </c>
      <c r="R30" s="8">
        <f>IF(OR(A30="",H30=0,H30=""),"",IFERROR(Q30/H30*1000,""))</f>
        <v>0</v>
      </c>
      <c r="S30" s="8">
        <f>IF(OR(A30="",Q30="",Q30=0),"",IFERROR(H30/Q30,""))</f>
        <v>0</v>
      </c>
      <c r="T30" s="8">
        <f>IF(OR(A30="",Q30="",Q30=0),"",IFERROR(I30/Q30,""))</f>
        <v>0</v>
      </c>
      <c r="U30" s="8">
        <f>IF(OR(A30="",G30="",G30=0),"",IFERROR(H30/G30*10,""))</f>
        <v>0</v>
      </c>
      <c r="V30" s="8">
        <f>IF(A30="","",(AC30="Yes")*1+(AD30="Yes")*1+(AE30="Yes")*1+(AF30="Yes")*1+(AG30="Yes")*1+(AH30="Yes")*1)</f>
        <v>0</v>
      </c>
      <c r="W30" s="8">
        <f>IF(A30="","",COUNTIFS('Meal Plan'!$G$5:$G$504,A30,'Meal Plan'!$S$5:$S$504,"Cooked")+COUNTIFS('Meal Plan'!$G$5:$G$504,A30,'Meal Plan'!$S$5:$S$504,"Eaten"))</f>
        <v>0</v>
      </c>
      <c r="X30" s="8">
        <f>IF(A30="","",IF(SUMPRODUCT(MAX(('Meal Plan'!$G$5:$G$504=A30)*'Meal Plan'!$B$5:$B$504))=0,"",SUMPRODUCT(MAX(('Meal Plan'!$G$5:$G$504=A30)*'Meal Plan'!$B$5:$B$504))))</f>
        <v>0</v>
      </c>
      <c r="Y30" s="8">
        <f>IF(OR(A30="",X30=""),"",TODAY()-X30)</f>
        <v>0</v>
      </c>
      <c r="Z30" s="8">
        <f>IF(A30="","",IF(Y30="","Yes",IF(Y30&gt;=Rotation_Gap_Days,"Yes","No")))</f>
        <v>0</v>
      </c>
      <c r="AA30" s="8">
        <f>IF(A30="","",IF(Z30="No","Too soon",IF(AND(AN30&lt;&gt;"",AN30&gt;=4),"Plan it","Available")))</f>
        <v>0</v>
      </c>
      <c r="AB30" s="27"/>
      <c r="AC30" s="27"/>
      <c r="AD30" s="27"/>
      <c r="AE30" s="27"/>
      <c r="AF30" s="27"/>
      <c r="AG30" s="27"/>
      <c r="AH30" s="27"/>
      <c r="AI30" s="27"/>
      <c r="AJ30" s="27"/>
      <c r="AK30" s="8">
        <f>IF(A30="","",IF(G30&lt;=30,"Yes","No"))</f>
        <v>0</v>
      </c>
      <c r="AL30" s="27"/>
      <c r="AM30" s="30"/>
      <c r="AN30" s="26"/>
      <c r="AO30" s="7"/>
      <c r="AP30" s="7"/>
      <c r="AQ30" s="7"/>
      <c r="AR30" s="25"/>
      <c r="AS30" s="8">
        <f>IF(A30="","",COUNTIFS($H$5:$H$204,"&gt;"&amp;H30)+1)</f>
        <v>0</v>
      </c>
      <c r="AT30" s="8">
        <f>IF(A30="","",COUNTIFS($I$5:$I$204,"&gt;"&amp;I30)+1)</f>
        <v>0</v>
      </c>
      <c r="AU30" s="8">
        <f>IF(A30="","",COUNTIFS($L$5:$L$204,"&gt;"&amp;L30)+1)</f>
        <v>0</v>
      </c>
      <c r="AV30" s="8">
        <f>IF(OR(A30="",Q30=""),"",COUNTIFS($Q$5:$Q$204,"&lt;"&amp;Q30)+1)</f>
        <v>0</v>
      </c>
      <c r="AW30" s="8">
        <f>IF(A30="","",COUNTIFS($V$5:$V$204,"&gt;"&amp;V30)+1)</f>
        <v>0</v>
      </c>
      <c r="AX30" s="8">
        <f>IF(A30="","",COUNTIFS($Y$5:$Y$204,"&lt;"&amp;Y30)+1)</f>
        <v>0</v>
      </c>
      <c r="AY30" s="8">
        <f>IF(A30="","",COUNTIFS($W$5:$W$204,"&gt;"&amp;W30)+1)</f>
        <v>0</v>
      </c>
    </row>
    <row r="31" spans="1:51">
      <c r="A31" s="7"/>
      <c r="B31" s="27"/>
      <c r="C31" s="27"/>
      <c r="D31" s="26"/>
      <c r="E31" s="26"/>
      <c r="F31" s="26"/>
      <c r="G31" s="8">
        <f>IF(A31="","",E31+F31)</f>
        <v>0</v>
      </c>
      <c r="H31" s="26"/>
      <c r="I31" s="26"/>
      <c r="J31" s="26"/>
      <c r="K31" s="26"/>
      <c r="L31" s="26"/>
      <c r="M31" s="26"/>
      <c r="N31" s="26"/>
      <c r="O31" s="8">
        <f>IF(A31="","",COUNTIFS('Recipe Ingredients'!$A$5:$A$1204,A31))</f>
        <v>0</v>
      </c>
      <c r="P31" s="8">
        <f>IF(A31="","",SUMIFS('Recipe Ingredients'!$H$5:$H$1204,'Recipe Ingredients'!$A$5:$A$1204,A31))</f>
        <v>0</v>
      </c>
      <c r="Q31" s="8">
        <f>IF(OR(A31="",D31=0,D31=""),"",P31/D31)</f>
        <v>0</v>
      </c>
      <c r="R31" s="8">
        <f>IF(OR(A31="",H31=0,H31=""),"",IFERROR(Q31/H31*1000,""))</f>
        <v>0</v>
      </c>
      <c r="S31" s="8">
        <f>IF(OR(A31="",Q31="",Q31=0),"",IFERROR(H31/Q31,""))</f>
        <v>0</v>
      </c>
      <c r="T31" s="8">
        <f>IF(OR(A31="",Q31="",Q31=0),"",IFERROR(I31/Q31,""))</f>
        <v>0</v>
      </c>
      <c r="U31" s="8">
        <f>IF(OR(A31="",G31="",G31=0),"",IFERROR(H31/G31*10,""))</f>
        <v>0</v>
      </c>
      <c r="V31" s="8">
        <f>IF(A31="","",(AC31="Yes")*1+(AD31="Yes")*1+(AE31="Yes")*1+(AF31="Yes")*1+(AG31="Yes")*1+(AH31="Yes")*1)</f>
        <v>0</v>
      </c>
      <c r="W31" s="8">
        <f>IF(A31="","",COUNTIFS('Meal Plan'!$G$5:$G$504,A31,'Meal Plan'!$S$5:$S$504,"Cooked")+COUNTIFS('Meal Plan'!$G$5:$G$504,A31,'Meal Plan'!$S$5:$S$504,"Eaten"))</f>
        <v>0</v>
      </c>
      <c r="X31" s="8">
        <f>IF(A31="","",IF(SUMPRODUCT(MAX(('Meal Plan'!$G$5:$G$504=A31)*'Meal Plan'!$B$5:$B$504))=0,"",SUMPRODUCT(MAX(('Meal Plan'!$G$5:$G$504=A31)*'Meal Plan'!$B$5:$B$504))))</f>
        <v>0</v>
      </c>
      <c r="Y31" s="8">
        <f>IF(OR(A31="",X31=""),"",TODAY()-X31)</f>
        <v>0</v>
      </c>
      <c r="Z31" s="8">
        <f>IF(A31="","",IF(Y31="","Yes",IF(Y31&gt;=Rotation_Gap_Days,"Yes","No")))</f>
        <v>0</v>
      </c>
      <c r="AA31" s="8">
        <f>IF(A31="","",IF(Z31="No","Too soon",IF(AND(AN31&lt;&gt;"",AN31&gt;=4),"Plan it","Available")))</f>
        <v>0</v>
      </c>
      <c r="AB31" s="27"/>
      <c r="AC31" s="27"/>
      <c r="AD31" s="27"/>
      <c r="AE31" s="27"/>
      <c r="AF31" s="27"/>
      <c r="AG31" s="27"/>
      <c r="AH31" s="27"/>
      <c r="AI31" s="27"/>
      <c r="AJ31" s="27"/>
      <c r="AK31" s="8">
        <f>IF(A31="","",IF(G31&lt;=30,"Yes","No"))</f>
        <v>0</v>
      </c>
      <c r="AL31" s="27"/>
      <c r="AM31" s="30"/>
      <c r="AN31" s="26"/>
      <c r="AO31" s="7"/>
      <c r="AP31" s="7"/>
      <c r="AQ31" s="7"/>
      <c r="AR31" s="25"/>
      <c r="AS31" s="8">
        <f>IF(A31="","",COUNTIFS($H$5:$H$204,"&gt;"&amp;H31)+1)</f>
        <v>0</v>
      </c>
      <c r="AT31" s="8">
        <f>IF(A31="","",COUNTIFS($I$5:$I$204,"&gt;"&amp;I31)+1)</f>
        <v>0</v>
      </c>
      <c r="AU31" s="8">
        <f>IF(A31="","",COUNTIFS($L$5:$L$204,"&gt;"&amp;L31)+1)</f>
        <v>0</v>
      </c>
      <c r="AV31" s="8">
        <f>IF(OR(A31="",Q31=""),"",COUNTIFS($Q$5:$Q$204,"&lt;"&amp;Q31)+1)</f>
        <v>0</v>
      </c>
      <c r="AW31" s="8">
        <f>IF(A31="","",COUNTIFS($V$5:$V$204,"&gt;"&amp;V31)+1)</f>
        <v>0</v>
      </c>
      <c r="AX31" s="8">
        <f>IF(A31="","",COUNTIFS($Y$5:$Y$204,"&lt;"&amp;Y31)+1)</f>
        <v>0</v>
      </c>
      <c r="AY31" s="8">
        <f>IF(A31="","",COUNTIFS($W$5:$W$204,"&gt;"&amp;W31)+1)</f>
        <v>0</v>
      </c>
    </row>
    <row r="32" spans="1:51">
      <c r="A32" s="7"/>
      <c r="B32" s="27"/>
      <c r="C32" s="27"/>
      <c r="D32" s="26"/>
      <c r="E32" s="26"/>
      <c r="F32" s="26"/>
      <c r="G32" s="8">
        <f>IF(A32="","",E32+F32)</f>
        <v>0</v>
      </c>
      <c r="H32" s="26"/>
      <c r="I32" s="26"/>
      <c r="J32" s="26"/>
      <c r="K32" s="26"/>
      <c r="L32" s="26"/>
      <c r="M32" s="26"/>
      <c r="N32" s="26"/>
      <c r="O32" s="8">
        <f>IF(A32="","",COUNTIFS('Recipe Ingredients'!$A$5:$A$1204,A32))</f>
        <v>0</v>
      </c>
      <c r="P32" s="8">
        <f>IF(A32="","",SUMIFS('Recipe Ingredients'!$H$5:$H$1204,'Recipe Ingredients'!$A$5:$A$1204,A32))</f>
        <v>0</v>
      </c>
      <c r="Q32" s="8">
        <f>IF(OR(A32="",D32=0,D32=""),"",P32/D32)</f>
        <v>0</v>
      </c>
      <c r="R32" s="8">
        <f>IF(OR(A32="",H32=0,H32=""),"",IFERROR(Q32/H32*1000,""))</f>
        <v>0</v>
      </c>
      <c r="S32" s="8">
        <f>IF(OR(A32="",Q32="",Q32=0),"",IFERROR(H32/Q32,""))</f>
        <v>0</v>
      </c>
      <c r="T32" s="8">
        <f>IF(OR(A32="",Q32="",Q32=0),"",IFERROR(I32/Q32,""))</f>
        <v>0</v>
      </c>
      <c r="U32" s="8">
        <f>IF(OR(A32="",G32="",G32=0),"",IFERROR(H32/G32*10,""))</f>
        <v>0</v>
      </c>
      <c r="V32" s="8">
        <f>IF(A32="","",(AC32="Yes")*1+(AD32="Yes")*1+(AE32="Yes")*1+(AF32="Yes")*1+(AG32="Yes")*1+(AH32="Yes")*1)</f>
        <v>0</v>
      </c>
      <c r="W32" s="8">
        <f>IF(A32="","",COUNTIFS('Meal Plan'!$G$5:$G$504,A32,'Meal Plan'!$S$5:$S$504,"Cooked")+COUNTIFS('Meal Plan'!$G$5:$G$504,A32,'Meal Plan'!$S$5:$S$504,"Eaten"))</f>
        <v>0</v>
      </c>
      <c r="X32" s="8">
        <f>IF(A32="","",IF(SUMPRODUCT(MAX(('Meal Plan'!$G$5:$G$504=A32)*'Meal Plan'!$B$5:$B$504))=0,"",SUMPRODUCT(MAX(('Meal Plan'!$G$5:$G$504=A32)*'Meal Plan'!$B$5:$B$504))))</f>
        <v>0</v>
      </c>
      <c r="Y32" s="8">
        <f>IF(OR(A32="",X32=""),"",TODAY()-X32)</f>
        <v>0</v>
      </c>
      <c r="Z32" s="8">
        <f>IF(A32="","",IF(Y32="","Yes",IF(Y32&gt;=Rotation_Gap_Days,"Yes","No")))</f>
        <v>0</v>
      </c>
      <c r="AA32" s="8">
        <f>IF(A32="","",IF(Z32="No","Too soon",IF(AND(AN32&lt;&gt;"",AN32&gt;=4),"Plan it","Available")))</f>
        <v>0</v>
      </c>
      <c r="AB32" s="27"/>
      <c r="AC32" s="27"/>
      <c r="AD32" s="27"/>
      <c r="AE32" s="27"/>
      <c r="AF32" s="27"/>
      <c r="AG32" s="27"/>
      <c r="AH32" s="27"/>
      <c r="AI32" s="27"/>
      <c r="AJ32" s="27"/>
      <c r="AK32" s="8">
        <f>IF(A32="","",IF(G32&lt;=30,"Yes","No"))</f>
        <v>0</v>
      </c>
      <c r="AL32" s="27"/>
      <c r="AM32" s="30"/>
      <c r="AN32" s="26"/>
      <c r="AO32" s="7"/>
      <c r="AP32" s="7"/>
      <c r="AQ32" s="7"/>
      <c r="AR32" s="25"/>
      <c r="AS32" s="8">
        <f>IF(A32="","",COUNTIFS($H$5:$H$204,"&gt;"&amp;H32)+1)</f>
        <v>0</v>
      </c>
      <c r="AT32" s="8">
        <f>IF(A32="","",COUNTIFS($I$5:$I$204,"&gt;"&amp;I32)+1)</f>
        <v>0</v>
      </c>
      <c r="AU32" s="8">
        <f>IF(A32="","",COUNTIFS($L$5:$L$204,"&gt;"&amp;L32)+1)</f>
        <v>0</v>
      </c>
      <c r="AV32" s="8">
        <f>IF(OR(A32="",Q32=""),"",COUNTIFS($Q$5:$Q$204,"&lt;"&amp;Q32)+1)</f>
        <v>0</v>
      </c>
      <c r="AW32" s="8">
        <f>IF(A32="","",COUNTIFS($V$5:$V$204,"&gt;"&amp;V32)+1)</f>
        <v>0</v>
      </c>
      <c r="AX32" s="8">
        <f>IF(A32="","",COUNTIFS($Y$5:$Y$204,"&lt;"&amp;Y32)+1)</f>
        <v>0</v>
      </c>
      <c r="AY32" s="8">
        <f>IF(A32="","",COUNTIFS($W$5:$W$204,"&gt;"&amp;W32)+1)</f>
        <v>0</v>
      </c>
    </row>
    <row r="33" spans="1:51">
      <c r="A33" s="7"/>
      <c r="B33" s="27"/>
      <c r="C33" s="27"/>
      <c r="D33" s="26"/>
      <c r="E33" s="26"/>
      <c r="F33" s="26"/>
      <c r="G33" s="8">
        <f>IF(A33="","",E33+F33)</f>
        <v>0</v>
      </c>
      <c r="H33" s="26"/>
      <c r="I33" s="26"/>
      <c r="J33" s="26"/>
      <c r="K33" s="26"/>
      <c r="L33" s="26"/>
      <c r="M33" s="26"/>
      <c r="N33" s="26"/>
      <c r="O33" s="8">
        <f>IF(A33="","",COUNTIFS('Recipe Ingredients'!$A$5:$A$1204,A33))</f>
        <v>0</v>
      </c>
      <c r="P33" s="8">
        <f>IF(A33="","",SUMIFS('Recipe Ingredients'!$H$5:$H$1204,'Recipe Ingredients'!$A$5:$A$1204,A33))</f>
        <v>0</v>
      </c>
      <c r="Q33" s="8">
        <f>IF(OR(A33="",D33=0,D33=""),"",P33/D33)</f>
        <v>0</v>
      </c>
      <c r="R33" s="8">
        <f>IF(OR(A33="",H33=0,H33=""),"",IFERROR(Q33/H33*1000,""))</f>
        <v>0</v>
      </c>
      <c r="S33" s="8">
        <f>IF(OR(A33="",Q33="",Q33=0),"",IFERROR(H33/Q33,""))</f>
        <v>0</v>
      </c>
      <c r="T33" s="8">
        <f>IF(OR(A33="",Q33="",Q33=0),"",IFERROR(I33/Q33,""))</f>
        <v>0</v>
      </c>
      <c r="U33" s="8">
        <f>IF(OR(A33="",G33="",G33=0),"",IFERROR(H33/G33*10,""))</f>
        <v>0</v>
      </c>
      <c r="V33" s="8">
        <f>IF(A33="","",(AC33="Yes")*1+(AD33="Yes")*1+(AE33="Yes")*1+(AF33="Yes")*1+(AG33="Yes")*1+(AH33="Yes")*1)</f>
        <v>0</v>
      </c>
      <c r="W33" s="8">
        <f>IF(A33="","",COUNTIFS('Meal Plan'!$G$5:$G$504,A33,'Meal Plan'!$S$5:$S$504,"Cooked")+COUNTIFS('Meal Plan'!$G$5:$G$504,A33,'Meal Plan'!$S$5:$S$504,"Eaten"))</f>
        <v>0</v>
      </c>
      <c r="X33" s="8">
        <f>IF(A33="","",IF(SUMPRODUCT(MAX(('Meal Plan'!$G$5:$G$504=A33)*'Meal Plan'!$B$5:$B$504))=0,"",SUMPRODUCT(MAX(('Meal Plan'!$G$5:$G$504=A33)*'Meal Plan'!$B$5:$B$504))))</f>
        <v>0</v>
      </c>
      <c r="Y33" s="8">
        <f>IF(OR(A33="",X33=""),"",TODAY()-X33)</f>
        <v>0</v>
      </c>
      <c r="Z33" s="8">
        <f>IF(A33="","",IF(Y33="","Yes",IF(Y33&gt;=Rotation_Gap_Days,"Yes","No")))</f>
        <v>0</v>
      </c>
      <c r="AA33" s="8">
        <f>IF(A33="","",IF(Z33="No","Too soon",IF(AND(AN33&lt;&gt;"",AN33&gt;=4),"Plan it","Available")))</f>
        <v>0</v>
      </c>
      <c r="AB33" s="27"/>
      <c r="AC33" s="27"/>
      <c r="AD33" s="27"/>
      <c r="AE33" s="27"/>
      <c r="AF33" s="27"/>
      <c r="AG33" s="27"/>
      <c r="AH33" s="27"/>
      <c r="AI33" s="27"/>
      <c r="AJ33" s="27"/>
      <c r="AK33" s="8">
        <f>IF(A33="","",IF(G33&lt;=30,"Yes","No"))</f>
        <v>0</v>
      </c>
      <c r="AL33" s="27"/>
      <c r="AM33" s="30"/>
      <c r="AN33" s="26"/>
      <c r="AO33" s="7"/>
      <c r="AP33" s="7"/>
      <c r="AQ33" s="7"/>
      <c r="AR33" s="25"/>
      <c r="AS33" s="8">
        <f>IF(A33="","",COUNTIFS($H$5:$H$204,"&gt;"&amp;H33)+1)</f>
        <v>0</v>
      </c>
      <c r="AT33" s="8">
        <f>IF(A33="","",COUNTIFS($I$5:$I$204,"&gt;"&amp;I33)+1)</f>
        <v>0</v>
      </c>
      <c r="AU33" s="8">
        <f>IF(A33="","",COUNTIFS($L$5:$L$204,"&gt;"&amp;L33)+1)</f>
        <v>0</v>
      </c>
      <c r="AV33" s="8">
        <f>IF(OR(A33="",Q33=""),"",COUNTIFS($Q$5:$Q$204,"&lt;"&amp;Q33)+1)</f>
        <v>0</v>
      </c>
      <c r="AW33" s="8">
        <f>IF(A33="","",COUNTIFS($V$5:$V$204,"&gt;"&amp;V33)+1)</f>
        <v>0</v>
      </c>
      <c r="AX33" s="8">
        <f>IF(A33="","",COUNTIFS($Y$5:$Y$204,"&lt;"&amp;Y33)+1)</f>
        <v>0</v>
      </c>
      <c r="AY33" s="8">
        <f>IF(A33="","",COUNTIFS($W$5:$W$204,"&gt;"&amp;W33)+1)</f>
        <v>0</v>
      </c>
    </row>
    <row r="34" spans="1:51">
      <c r="A34" s="7"/>
      <c r="B34" s="27"/>
      <c r="C34" s="27"/>
      <c r="D34" s="26"/>
      <c r="E34" s="26"/>
      <c r="F34" s="26"/>
      <c r="G34" s="8">
        <f>IF(A34="","",E34+F34)</f>
        <v>0</v>
      </c>
      <c r="H34" s="26"/>
      <c r="I34" s="26"/>
      <c r="J34" s="26"/>
      <c r="K34" s="26"/>
      <c r="L34" s="26"/>
      <c r="M34" s="26"/>
      <c r="N34" s="26"/>
      <c r="O34" s="8">
        <f>IF(A34="","",COUNTIFS('Recipe Ingredients'!$A$5:$A$1204,A34))</f>
        <v>0</v>
      </c>
      <c r="P34" s="8">
        <f>IF(A34="","",SUMIFS('Recipe Ingredients'!$H$5:$H$1204,'Recipe Ingredients'!$A$5:$A$1204,A34))</f>
        <v>0</v>
      </c>
      <c r="Q34" s="8">
        <f>IF(OR(A34="",D34=0,D34=""),"",P34/D34)</f>
        <v>0</v>
      </c>
      <c r="R34" s="8">
        <f>IF(OR(A34="",H34=0,H34=""),"",IFERROR(Q34/H34*1000,""))</f>
        <v>0</v>
      </c>
      <c r="S34" s="8">
        <f>IF(OR(A34="",Q34="",Q34=0),"",IFERROR(H34/Q34,""))</f>
        <v>0</v>
      </c>
      <c r="T34" s="8">
        <f>IF(OR(A34="",Q34="",Q34=0),"",IFERROR(I34/Q34,""))</f>
        <v>0</v>
      </c>
      <c r="U34" s="8">
        <f>IF(OR(A34="",G34="",G34=0),"",IFERROR(H34/G34*10,""))</f>
        <v>0</v>
      </c>
      <c r="V34" s="8">
        <f>IF(A34="","",(AC34="Yes")*1+(AD34="Yes")*1+(AE34="Yes")*1+(AF34="Yes")*1+(AG34="Yes")*1+(AH34="Yes")*1)</f>
        <v>0</v>
      </c>
      <c r="W34" s="8">
        <f>IF(A34="","",COUNTIFS('Meal Plan'!$G$5:$G$504,A34,'Meal Plan'!$S$5:$S$504,"Cooked")+COUNTIFS('Meal Plan'!$G$5:$G$504,A34,'Meal Plan'!$S$5:$S$504,"Eaten"))</f>
        <v>0</v>
      </c>
      <c r="X34" s="8">
        <f>IF(A34="","",IF(SUMPRODUCT(MAX(('Meal Plan'!$G$5:$G$504=A34)*'Meal Plan'!$B$5:$B$504))=0,"",SUMPRODUCT(MAX(('Meal Plan'!$G$5:$G$504=A34)*'Meal Plan'!$B$5:$B$504))))</f>
        <v>0</v>
      </c>
      <c r="Y34" s="8">
        <f>IF(OR(A34="",X34=""),"",TODAY()-X34)</f>
        <v>0</v>
      </c>
      <c r="Z34" s="8">
        <f>IF(A34="","",IF(Y34="","Yes",IF(Y34&gt;=Rotation_Gap_Days,"Yes","No")))</f>
        <v>0</v>
      </c>
      <c r="AA34" s="8">
        <f>IF(A34="","",IF(Z34="No","Too soon",IF(AND(AN34&lt;&gt;"",AN34&gt;=4),"Plan it","Available")))</f>
        <v>0</v>
      </c>
      <c r="AB34" s="27"/>
      <c r="AC34" s="27"/>
      <c r="AD34" s="27"/>
      <c r="AE34" s="27"/>
      <c r="AF34" s="27"/>
      <c r="AG34" s="27"/>
      <c r="AH34" s="27"/>
      <c r="AI34" s="27"/>
      <c r="AJ34" s="27"/>
      <c r="AK34" s="8">
        <f>IF(A34="","",IF(G34&lt;=30,"Yes","No"))</f>
        <v>0</v>
      </c>
      <c r="AL34" s="27"/>
      <c r="AM34" s="30"/>
      <c r="AN34" s="26"/>
      <c r="AO34" s="7"/>
      <c r="AP34" s="7"/>
      <c r="AQ34" s="7"/>
      <c r="AR34" s="25"/>
      <c r="AS34" s="8">
        <f>IF(A34="","",COUNTIFS($H$5:$H$204,"&gt;"&amp;H34)+1)</f>
        <v>0</v>
      </c>
      <c r="AT34" s="8">
        <f>IF(A34="","",COUNTIFS($I$5:$I$204,"&gt;"&amp;I34)+1)</f>
        <v>0</v>
      </c>
      <c r="AU34" s="8">
        <f>IF(A34="","",COUNTIFS($L$5:$L$204,"&gt;"&amp;L34)+1)</f>
        <v>0</v>
      </c>
      <c r="AV34" s="8">
        <f>IF(OR(A34="",Q34=""),"",COUNTIFS($Q$5:$Q$204,"&lt;"&amp;Q34)+1)</f>
        <v>0</v>
      </c>
      <c r="AW34" s="8">
        <f>IF(A34="","",COUNTIFS($V$5:$V$204,"&gt;"&amp;V34)+1)</f>
        <v>0</v>
      </c>
      <c r="AX34" s="8">
        <f>IF(A34="","",COUNTIFS($Y$5:$Y$204,"&lt;"&amp;Y34)+1)</f>
        <v>0</v>
      </c>
      <c r="AY34" s="8">
        <f>IF(A34="","",COUNTIFS($W$5:$W$204,"&gt;"&amp;W34)+1)</f>
        <v>0</v>
      </c>
    </row>
    <row r="35" spans="1:51">
      <c r="A35" s="7"/>
      <c r="B35" s="27"/>
      <c r="C35" s="27"/>
      <c r="D35" s="26"/>
      <c r="E35" s="26"/>
      <c r="F35" s="26"/>
      <c r="G35" s="8">
        <f>IF(A35="","",E35+F35)</f>
        <v>0</v>
      </c>
      <c r="H35" s="26"/>
      <c r="I35" s="26"/>
      <c r="J35" s="26"/>
      <c r="K35" s="26"/>
      <c r="L35" s="26"/>
      <c r="M35" s="26"/>
      <c r="N35" s="26"/>
      <c r="O35" s="8">
        <f>IF(A35="","",COUNTIFS('Recipe Ingredients'!$A$5:$A$1204,A35))</f>
        <v>0</v>
      </c>
      <c r="P35" s="8">
        <f>IF(A35="","",SUMIFS('Recipe Ingredients'!$H$5:$H$1204,'Recipe Ingredients'!$A$5:$A$1204,A35))</f>
        <v>0</v>
      </c>
      <c r="Q35" s="8">
        <f>IF(OR(A35="",D35=0,D35=""),"",P35/D35)</f>
        <v>0</v>
      </c>
      <c r="R35" s="8">
        <f>IF(OR(A35="",H35=0,H35=""),"",IFERROR(Q35/H35*1000,""))</f>
        <v>0</v>
      </c>
      <c r="S35" s="8">
        <f>IF(OR(A35="",Q35="",Q35=0),"",IFERROR(H35/Q35,""))</f>
        <v>0</v>
      </c>
      <c r="T35" s="8">
        <f>IF(OR(A35="",Q35="",Q35=0),"",IFERROR(I35/Q35,""))</f>
        <v>0</v>
      </c>
      <c r="U35" s="8">
        <f>IF(OR(A35="",G35="",G35=0),"",IFERROR(H35/G35*10,""))</f>
        <v>0</v>
      </c>
      <c r="V35" s="8">
        <f>IF(A35="","",(AC35="Yes")*1+(AD35="Yes")*1+(AE35="Yes")*1+(AF35="Yes")*1+(AG35="Yes")*1+(AH35="Yes")*1)</f>
        <v>0</v>
      </c>
      <c r="W35" s="8">
        <f>IF(A35="","",COUNTIFS('Meal Plan'!$G$5:$G$504,A35,'Meal Plan'!$S$5:$S$504,"Cooked")+COUNTIFS('Meal Plan'!$G$5:$G$504,A35,'Meal Plan'!$S$5:$S$504,"Eaten"))</f>
        <v>0</v>
      </c>
      <c r="X35" s="8">
        <f>IF(A35="","",IF(SUMPRODUCT(MAX(('Meal Plan'!$G$5:$G$504=A35)*'Meal Plan'!$B$5:$B$504))=0,"",SUMPRODUCT(MAX(('Meal Plan'!$G$5:$G$504=A35)*'Meal Plan'!$B$5:$B$504))))</f>
        <v>0</v>
      </c>
      <c r="Y35" s="8">
        <f>IF(OR(A35="",X35=""),"",TODAY()-X35)</f>
        <v>0</v>
      </c>
      <c r="Z35" s="8">
        <f>IF(A35="","",IF(Y35="","Yes",IF(Y35&gt;=Rotation_Gap_Days,"Yes","No")))</f>
        <v>0</v>
      </c>
      <c r="AA35" s="8">
        <f>IF(A35="","",IF(Z35="No","Too soon",IF(AND(AN35&lt;&gt;"",AN35&gt;=4),"Plan it","Available")))</f>
        <v>0</v>
      </c>
      <c r="AB35" s="27"/>
      <c r="AC35" s="27"/>
      <c r="AD35" s="27"/>
      <c r="AE35" s="27"/>
      <c r="AF35" s="27"/>
      <c r="AG35" s="27"/>
      <c r="AH35" s="27"/>
      <c r="AI35" s="27"/>
      <c r="AJ35" s="27"/>
      <c r="AK35" s="8">
        <f>IF(A35="","",IF(G35&lt;=30,"Yes","No"))</f>
        <v>0</v>
      </c>
      <c r="AL35" s="27"/>
      <c r="AM35" s="30"/>
      <c r="AN35" s="26"/>
      <c r="AO35" s="7"/>
      <c r="AP35" s="7"/>
      <c r="AQ35" s="7"/>
      <c r="AR35" s="25"/>
      <c r="AS35" s="8">
        <f>IF(A35="","",COUNTIFS($H$5:$H$204,"&gt;"&amp;H35)+1)</f>
        <v>0</v>
      </c>
      <c r="AT35" s="8">
        <f>IF(A35="","",COUNTIFS($I$5:$I$204,"&gt;"&amp;I35)+1)</f>
        <v>0</v>
      </c>
      <c r="AU35" s="8">
        <f>IF(A35="","",COUNTIFS($L$5:$L$204,"&gt;"&amp;L35)+1)</f>
        <v>0</v>
      </c>
      <c r="AV35" s="8">
        <f>IF(OR(A35="",Q35=""),"",COUNTIFS($Q$5:$Q$204,"&lt;"&amp;Q35)+1)</f>
        <v>0</v>
      </c>
      <c r="AW35" s="8">
        <f>IF(A35="","",COUNTIFS($V$5:$V$204,"&gt;"&amp;V35)+1)</f>
        <v>0</v>
      </c>
      <c r="AX35" s="8">
        <f>IF(A35="","",COUNTIFS($Y$5:$Y$204,"&lt;"&amp;Y35)+1)</f>
        <v>0</v>
      </c>
      <c r="AY35" s="8">
        <f>IF(A35="","",COUNTIFS($W$5:$W$204,"&gt;"&amp;W35)+1)</f>
        <v>0</v>
      </c>
    </row>
    <row r="36" spans="1:51">
      <c r="A36" s="7"/>
      <c r="B36" s="27"/>
      <c r="C36" s="27"/>
      <c r="D36" s="26"/>
      <c r="E36" s="26"/>
      <c r="F36" s="26"/>
      <c r="G36" s="8">
        <f>IF(A36="","",E36+F36)</f>
        <v>0</v>
      </c>
      <c r="H36" s="26"/>
      <c r="I36" s="26"/>
      <c r="J36" s="26"/>
      <c r="K36" s="26"/>
      <c r="L36" s="26"/>
      <c r="M36" s="26"/>
      <c r="N36" s="26"/>
      <c r="O36" s="8">
        <f>IF(A36="","",COUNTIFS('Recipe Ingredients'!$A$5:$A$1204,A36))</f>
        <v>0</v>
      </c>
      <c r="P36" s="8">
        <f>IF(A36="","",SUMIFS('Recipe Ingredients'!$H$5:$H$1204,'Recipe Ingredients'!$A$5:$A$1204,A36))</f>
        <v>0</v>
      </c>
      <c r="Q36" s="8">
        <f>IF(OR(A36="",D36=0,D36=""),"",P36/D36)</f>
        <v>0</v>
      </c>
      <c r="R36" s="8">
        <f>IF(OR(A36="",H36=0,H36=""),"",IFERROR(Q36/H36*1000,""))</f>
        <v>0</v>
      </c>
      <c r="S36" s="8">
        <f>IF(OR(A36="",Q36="",Q36=0),"",IFERROR(H36/Q36,""))</f>
        <v>0</v>
      </c>
      <c r="T36" s="8">
        <f>IF(OR(A36="",Q36="",Q36=0),"",IFERROR(I36/Q36,""))</f>
        <v>0</v>
      </c>
      <c r="U36" s="8">
        <f>IF(OR(A36="",G36="",G36=0),"",IFERROR(H36/G36*10,""))</f>
        <v>0</v>
      </c>
      <c r="V36" s="8">
        <f>IF(A36="","",(AC36="Yes")*1+(AD36="Yes")*1+(AE36="Yes")*1+(AF36="Yes")*1+(AG36="Yes")*1+(AH36="Yes")*1)</f>
        <v>0</v>
      </c>
      <c r="W36" s="8">
        <f>IF(A36="","",COUNTIFS('Meal Plan'!$G$5:$G$504,A36,'Meal Plan'!$S$5:$S$504,"Cooked")+COUNTIFS('Meal Plan'!$G$5:$G$504,A36,'Meal Plan'!$S$5:$S$504,"Eaten"))</f>
        <v>0</v>
      </c>
      <c r="X36" s="8">
        <f>IF(A36="","",IF(SUMPRODUCT(MAX(('Meal Plan'!$G$5:$G$504=A36)*'Meal Plan'!$B$5:$B$504))=0,"",SUMPRODUCT(MAX(('Meal Plan'!$G$5:$G$504=A36)*'Meal Plan'!$B$5:$B$504))))</f>
        <v>0</v>
      </c>
      <c r="Y36" s="8">
        <f>IF(OR(A36="",X36=""),"",TODAY()-X36)</f>
        <v>0</v>
      </c>
      <c r="Z36" s="8">
        <f>IF(A36="","",IF(Y36="","Yes",IF(Y36&gt;=Rotation_Gap_Days,"Yes","No")))</f>
        <v>0</v>
      </c>
      <c r="AA36" s="8">
        <f>IF(A36="","",IF(Z36="No","Too soon",IF(AND(AN36&lt;&gt;"",AN36&gt;=4),"Plan it","Available")))</f>
        <v>0</v>
      </c>
      <c r="AB36" s="27"/>
      <c r="AC36" s="27"/>
      <c r="AD36" s="27"/>
      <c r="AE36" s="27"/>
      <c r="AF36" s="27"/>
      <c r="AG36" s="27"/>
      <c r="AH36" s="27"/>
      <c r="AI36" s="27"/>
      <c r="AJ36" s="27"/>
      <c r="AK36" s="8">
        <f>IF(A36="","",IF(G36&lt;=30,"Yes","No"))</f>
        <v>0</v>
      </c>
      <c r="AL36" s="27"/>
      <c r="AM36" s="30"/>
      <c r="AN36" s="26"/>
      <c r="AO36" s="7"/>
      <c r="AP36" s="7"/>
      <c r="AQ36" s="7"/>
      <c r="AR36" s="25"/>
      <c r="AS36" s="8">
        <f>IF(A36="","",COUNTIFS($H$5:$H$204,"&gt;"&amp;H36)+1)</f>
        <v>0</v>
      </c>
      <c r="AT36" s="8">
        <f>IF(A36="","",COUNTIFS($I$5:$I$204,"&gt;"&amp;I36)+1)</f>
        <v>0</v>
      </c>
      <c r="AU36" s="8">
        <f>IF(A36="","",COUNTIFS($L$5:$L$204,"&gt;"&amp;L36)+1)</f>
        <v>0</v>
      </c>
      <c r="AV36" s="8">
        <f>IF(OR(A36="",Q36=""),"",COUNTIFS($Q$5:$Q$204,"&lt;"&amp;Q36)+1)</f>
        <v>0</v>
      </c>
      <c r="AW36" s="8">
        <f>IF(A36="","",COUNTIFS($V$5:$V$204,"&gt;"&amp;V36)+1)</f>
        <v>0</v>
      </c>
      <c r="AX36" s="8">
        <f>IF(A36="","",COUNTIFS($Y$5:$Y$204,"&lt;"&amp;Y36)+1)</f>
        <v>0</v>
      </c>
      <c r="AY36" s="8">
        <f>IF(A36="","",COUNTIFS($W$5:$W$204,"&gt;"&amp;W36)+1)</f>
        <v>0</v>
      </c>
    </row>
    <row r="37" spans="1:51">
      <c r="A37" s="7"/>
      <c r="B37" s="27"/>
      <c r="C37" s="27"/>
      <c r="D37" s="26"/>
      <c r="E37" s="26"/>
      <c r="F37" s="26"/>
      <c r="G37" s="8">
        <f>IF(A37="","",E37+F37)</f>
        <v>0</v>
      </c>
      <c r="H37" s="26"/>
      <c r="I37" s="26"/>
      <c r="J37" s="26"/>
      <c r="K37" s="26"/>
      <c r="L37" s="26"/>
      <c r="M37" s="26"/>
      <c r="N37" s="26"/>
      <c r="O37" s="8">
        <f>IF(A37="","",COUNTIFS('Recipe Ingredients'!$A$5:$A$1204,A37))</f>
        <v>0</v>
      </c>
      <c r="P37" s="8">
        <f>IF(A37="","",SUMIFS('Recipe Ingredients'!$H$5:$H$1204,'Recipe Ingredients'!$A$5:$A$1204,A37))</f>
        <v>0</v>
      </c>
      <c r="Q37" s="8">
        <f>IF(OR(A37="",D37=0,D37=""),"",P37/D37)</f>
        <v>0</v>
      </c>
      <c r="R37" s="8">
        <f>IF(OR(A37="",H37=0,H37=""),"",IFERROR(Q37/H37*1000,""))</f>
        <v>0</v>
      </c>
      <c r="S37" s="8">
        <f>IF(OR(A37="",Q37="",Q37=0),"",IFERROR(H37/Q37,""))</f>
        <v>0</v>
      </c>
      <c r="T37" s="8">
        <f>IF(OR(A37="",Q37="",Q37=0),"",IFERROR(I37/Q37,""))</f>
        <v>0</v>
      </c>
      <c r="U37" s="8">
        <f>IF(OR(A37="",G37="",G37=0),"",IFERROR(H37/G37*10,""))</f>
        <v>0</v>
      </c>
      <c r="V37" s="8">
        <f>IF(A37="","",(AC37="Yes")*1+(AD37="Yes")*1+(AE37="Yes")*1+(AF37="Yes")*1+(AG37="Yes")*1+(AH37="Yes")*1)</f>
        <v>0</v>
      </c>
      <c r="W37" s="8">
        <f>IF(A37="","",COUNTIFS('Meal Plan'!$G$5:$G$504,A37,'Meal Plan'!$S$5:$S$504,"Cooked")+COUNTIFS('Meal Plan'!$G$5:$G$504,A37,'Meal Plan'!$S$5:$S$504,"Eaten"))</f>
        <v>0</v>
      </c>
      <c r="X37" s="8">
        <f>IF(A37="","",IF(SUMPRODUCT(MAX(('Meal Plan'!$G$5:$G$504=A37)*'Meal Plan'!$B$5:$B$504))=0,"",SUMPRODUCT(MAX(('Meal Plan'!$G$5:$G$504=A37)*'Meal Plan'!$B$5:$B$504))))</f>
        <v>0</v>
      </c>
      <c r="Y37" s="8">
        <f>IF(OR(A37="",X37=""),"",TODAY()-X37)</f>
        <v>0</v>
      </c>
      <c r="Z37" s="8">
        <f>IF(A37="","",IF(Y37="","Yes",IF(Y37&gt;=Rotation_Gap_Days,"Yes","No")))</f>
        <v>0</v>
      </c>
      <c r="AA37" s="8">
        <f>IF(A37="","",IF(Z37="No","Too soon",IF(AND(AN37&lt;&gt;"",AN37&gt;=4),"Plan it","Available")))</f>
        <v>0</v>
      </c>
      <c r="AB37" s="27"/>
      <c r="AC37" s="27"/>
      <c r="AD37" s="27"/>
      <c r="AE37" s="27"/>
      <c r="AF37" s="27"/>
      <c r="AG37" s="27"/>
      <c r="AH37" s="27"/>
      <c r="AI37" s="27"/>
      <c r="AJ37" s="27"/>
      <c r="AK37" s="8">
        <f>IF(A37="","",IF(G37&lt;=30,"Yes","No"))</f>
        <v>0</v>
      </c>
      <c r="AL37" s="27"/>
      <c r="AM37" s="30"/>
      <c r="AN37" s="26"/>
      <c r="AO37" s="7"/>
      <c r="AP37" s="7"/>
      <c r="AQ37" s="7"/>
      <c r="AR37" s="25"/>
      <c r="AS37" s="8">
        <f>IF(A37="","",COUNTIFS($H$5:$H$204,"&gt;"&amp;H37)+1)</f>
        <v>0</v>
      </c>
      <c r="AT37" s="8">
        <f>IF(A37="","",COUNTIFS($I$5:$I$204,"&gt;"&amp;I37)+1)</f>
        <v>0</v>
      </c>
      <c r="AU37" s="8">
        <f>IF(A37="","",COUNTIFS($L$5:$L$204,"&gt;"&amp;L37)+1)</f>
        <v>0</v>
      </c>
      <c r="AV37" s="8">
        <f>IF(OR(A37="",Q37=""),"",COUNTIFS($Q$5:$Q$204,"&lt;"&amp;Q37)+1)</f>
        <v>0</v>
      </c>
      <c r="AW37" s="8">
        <f>IF(A37="","",COUNTIFS($V$5:$V$204,"&gt;"&amp;V37)+1)</f>
        <v>0</v>
      </c>
      <c r="AX37" s="8">
        <f>IF(A37="","",COUNTIFS($Y$5:$Y$204,"&lt;"&amp;Y37)+1)</f>
        <v>0</v>
      </c>
      <c r="AY37" s="8">
        <f>IF(A37="","",COUNTIFS($W$5:$W$204,"&gt;"&amp;W37)+1)</f>
        <v>0</v>
      </c>
    </row>
    <row r="38" spans="1:51">
      <c r="A38" s="7"/>
      <c r="B38" s="27"/>
      <c r="C38" s="27"/>
      <c r="D38" s="26"/>
      <c r="E38" s="26"/>
      <c r="F38" s="26"/>
      <c r="G38" s="8">
        <f>IF(A38="","",E38+F38)</f>
        <v>0</v>
      </c>
      <c r="H38" s="26"/>
      <c r="I38" s="26"/>
      <c r="J38" s="26"/>
      <c r="K38" s="26"/>
      <c r="L38" s="26"/>
      <c r="M38" s="26"/>
      <c r="N38" s="26"/>
      <c r="O38" s="8">
        <f>IF(A38="","",COUNTIFS('Recipe Ingredients'!$A$5:$A$1204,A38))</f>
        <v>0</v>
      </c>
      <c r="P38" s="8">
        <f>IF(A38="","",SUMIFS('Recipe Ingredients'!$H$5:$H$1204,'Recipe Ingredients'!$A$5:$A$1204,A38))</f>
        <v>0</v>
      </c>
      <c r="Q38" s="8">
        <f>IF(OR(A38="",D38=0,D38=""),"",P38/D38)</f>
        <v>0</v>
      </c>
      <c r="R38" s="8">
        <f>IF(OR(A38="",H38=0,H38=""),"",IFERROR(Q38/H38*1000,""))</f>
        <v>0</v>
      </c>
      <c r="S38" s="8">
        <f>IF(OR(A38="",Q38="",Q38=0),"",IFERROR(H38/Q38,""))</f>
        <v>0</v>
      </c>
      <c r="T38" s="8">
        <f>IF(OR(A38="",Q38="",Q38=0),"",IFERROR(I38/Q38,""))</f>
        <v>0</v>
      </c>
      <c r="U38" s="8">
        <f>IF(OR(A38="",G38="",G38=0),"",IFERROR(H38/G38*10,""))</f>
        <v>0</v>
      </c>
      <c r="V38" s="8">
        <f>IF(A38="","",(AC38="Yes")*1+(AD38="Yes")*1+(AE38="Yes")*1+(AF38="Yes")*1+(AG38="Yes")*1+(AH38="Yes")*1)</f>
        <v>0</v>
      </c>
      <c r="W38" s="8">
        <f>IF(A38="","",COUNTIFS('Meal Plan'!$G$5:$G$504,A38,'Meal Plan'!$S$5:$S$504,"Cooked")+COUNTIFS('Meal Plan'!$G$5:$G$504,A38,'Meal Plan'!$S$5:$S$504,"Eaten"))</f>
        <v>0</v>
      </c>
      <c r="X38" s="8">
        <f>IF(A38="","",IF(SUMPRODUCT(MAX(('Meal Plan'!$G$5:$G$504=A38)*'Meal Plan'!$B$5:$B$504))=0,"",SUMPRODUCT(MAX(('Meal Plan'!$G$5:$G$504=A38)*'Meal Plan'!$B$5:$B$504))))</f>
        <v>0</v>
      </c>
      <c r="Y38" s="8">
        <f>IF(OR(A38="",X38=""),"",TODAY()-X38)</f>
        <v>0</v>
      </c>
      <c r="Z38" s="8">
        <f>IF(A38="","",IF(Y38="","Yes",IF(Y38&gt;=Rotation_Gap_Days,"Yes","No")))</f>
        <v>0</v>
      </c>
      <c r="AA38" s="8">
        <f>IF(A38="","",IF(Z38="No","Too soon",IF(AND(AN38&lt;&gt;"",AN38&gt;=4),"Plan it","Available")))</f>
        <v>0</v>
      </c>
      <c r="AB38" s="27"/>
      <c r="AC38" s="27"/>
      <c r="AD38" s="27"/>
      <c r="AE38" s="27"/>
      <c r="AF38" s="27"/>
      <c r="AG38" s="27"/>
      <c r="AH38" s="27"/>
      <c r="AI38" s="27"/>
      <c r="AJ38" s="27"/>
      <c r="AK38" s="8">
        <f>IF(A38="","",IF(G38&lt;=30,"Yes","No"))</f>
        <v>0</v>
      </c>
      <c r="AL38" s="27"/>
      <c r="AM38" s="30"/>
      <c r="AN38" s="26"/>
      <c r="AO38" s="7"/>
      <c r="AP38" s="7"/>
      <c r="AQ38" s="7"/>
      <c r="AR38" s="25"/>
      <c r="AS38" s="8">
        <f>IF(A38="","",COUNTIFS($H$5:$H$204,"&gt;"&amp;H38)+1)</f>
        <v>0</v>
      </c>
      <c r="AT38" s="8">
        <f>IF(A38="","",COUNTIFS($I$5:$I$204,"&gt;"&amp;I38)+1)</f>
        <v>0</v>
      </c>
      <c r="AU38" s="8">
        <f>IF(A38="","",COUNTIFS($L$5:$L$204,"&gt;"&amp;L38)+1)</f>
        <v>0</v>
      </c>
      <c r="AV38" s="8">
        <f>IF(OR(A38="",Q38=""),"",COUNTIFS($Q$5:$Q$204,"&lt;"&amp;Q38)+1)</f>
        <v>0</v>
      </c>
      <c r="AW38" s="8">
        <f>IF(A38="","",COUNTIFS($V$5:$V$204,"&gt;"&amp;V38)+1)</f>
        <v>0</v>
      </c>
      <c r="AX38" s="8">
        <f>IF(A38="","",COUNTIFS($Y$5:$Y$204,"&lt;"&amp;Y38)+1)</f>
        <v>0</v>
      </c>
      <c r="AY38" s="8">
        <f>IF(A38="","",COUNTIFS($W$5:$W$204,"&gt;"&amp;W38)+1)</f>
        <v>0</v>
      </c>
    </row>
    <row r="39" spans="1:51">
      <c r="A39" s="7"/>
      <c r="B39" s="27"/>
      <c r="C39" s="27"/>
      <c r="D39" s="26"/>
      <c r="E39" s="26"/>
      <c r="F39" s="26"/>
      <c r="G39" s="8">
        <f>IF(A39="","",E39+F39)</f>
        <v>0</v>
      </c>
      <c r="H39" s="26"/>
      <c r="I39" s="26"/>
      <c r="J39" s="26"/>
      <c r="K39" s="26"/>
      <c r="L39" s="26"/>
      <c r="M39" s="26"/>
      <c r="N39" s="26"/>
      <c r="O39" s="8">
        <f>IF(A39="","",COUNTIFS('Recipe Ingredients'!$A$5:$A$1204,A39))</f>
        <v>0</v>
      </c>
      <c r="P39" s="8">
        <f>IF(A39="","",SUMIFS('Recipe Ingredients'!$H$5:$H$1204,'Recipe Ingredients'!$A$5:$A$1204,A39))</f>
        <v>0</v>
      </c>
      <c r="Q39" s="8">
        <f>IF(OR(A39="",D39=0,D39=""),"",P39/D39)</f>
        <v>0</v>
      </c>
      <c r="R39" s="8">
        <f>IF(OR(A39="",H39=0,H39=""),"",IFERROR(Q39/H39*1000,""))</f>
        <v>0</v>
      </c>
      <c r="S39" s="8">
        <f>IF(OR(A39="",Q39="",Q39=0),"",IFERROR(H39/Q39,""))</f>
        <v>0</v>
      </c>
      <c r="T39" s="8">
        <f>IF(OR(A39="",Q39="",Q39=0),"",IFERROR(I39/Q39,""))</f>
        <v>0</v>
      </c>
      <c r="U39" s="8">
        <f>IF(OR(A39="",G39="",G39=0),"",IFERROR(H39/G39*10,""))</f>
        <v>0</v>
      </c>
      <c r="V39" s="8">
        <f>IF(A39="","",(AC39="Yes")*1+(AD39="Yes")*1+(AE39="Yes")*1+(AF39="Yes")*1+(AG39="Yes")*1+(AH39="Yes")*1)</f>
        <v>0</v>
      </c>
      <c r="W39" s="8">
        <f>IF(A39="","",COUNTIFS('Meal Plan'!$G$5:$G$504,A39,'Meal Plan'!$S$5:$S$504,"Cooked")+COUNTIFS('Meal Plan'!$G$5:$G$504,A39,'Meal Plan'!$S$5:$S$504,"Eaten"))</f>
        <v>0</v>
      </c>
      <c r="X39" s="8">
        <f>IF(A39="","",IF(SUMPRODUCT(MAX(('Meal Plan'!$G$5:$G$504=A39)*'Meal Plan'!$B$5:$B$504))=0,"",SUMPRODUCT(MAX(('Meal Plan'!$G$5:$G$504=A39)*'Meal Plan'!$B$5:$B$504))))</f>
        <v>0</v>
      </c>
      <c r="Y39" s="8">
        <f>IF(OR(A39="",X39=""),"",TODAY()-X39)</f>
        <v>0</v>
      </c>
      <c r="Z39" s="8">
        <f>IF(A39="","",IF(Y39="","Yes",IF(Y39&gt;=Rotation_Gap_Days,"Yes","No")))</f>
        <v>0</v>
      </c>
      <c r="AA39" s="8">
        <f>IF(A39="","",IF(Z39="No","Too soon",IF(AND(AN39&lt;&gt;"",AN39&gt;=4),"Plan it","Available")))</f>
        <v>0</v>
      </c>
      <c r="AB39" s="27"/>
      <c r="AC39" s="27"/>
      <c r="AD39" s="27"/>
      <c r="AE39" s="27"/>
      <c r="AF39" s="27"/>
      <c r="AG39" s="27"/>
      <c r="AH39" s="27"/>
      <c r="AI39" s="27"/>
      <c r="AJ39" s="27"/>
      <c r="AK39" s="8">
        <f>IF(A39="","",IF(G39&lt;=30,"Yes","No"))</f>
        <v>0</v>
      </c>
      <c r="AL39" s="27"/>
      <c r="AM39" s="30"/>
      <c r="AN39" s="26"/>
      <c r="AO39" s="7"/>
      <c r="AP39" s="7"/>
      <c r="AQ39" s="7"/>
      <c r="AR39" s="25"/>
      <c r="AS39" s="8">
        <f>IF(A39="","",COUNTIFS($H$5:$H$204,"&gt;"&amp;H39)+1)</f>
        <v>0</v>
      </c>
      <c r="AT39" s="8">
        <f>IF(A39="","",COUNTIFS($I$5:$I$204,"&gt;"&amp;I39)+1)</f>
        <v>0</v>
      </c>
      <c r="AU39" s="8">
        <f>IF(A39="","",COUNTIFS($L$5:$L$204,"&gt;"&amp;L39)+1)</f>
        <v>0</v>
      </c>
      <c r="AV39" s="8">
        <f>IF(OR(A39="",Q39=""),"",COUNTIFS($Q$5:$Q$204,"&lt;"&amp;Q39)+1)</f>
        <v>0</v>
      </c>
      <c r="AW39" s="8">
        <f>IF(A39="","",COUNTIFS($V$5:$V$204,"&gt;"&amp;V39)+1)</f>
        <v>0</v>
      </c>
      <c r="AX39" s="8">
        <f>IF(A39="","",COUNTIFS($Y$5:$Y$204,"&lt;"&amp;Y39)+1)</f>
        <v>0</v>
      </c>
      <c r="AY39" s="8">
        <f>IF(A39="","",COUNTIFS($W$5:$W$204,"&gt;"&amp;W39)+1)</f>
        <v>0</v>
      </c>
    </row>
    <row r="40" spans="1:51">
      <c r="A40" s="7"/>
      <c r="B40" s="27"/>
      <c r="C40" s="27"/>
      <c r="D40" s="26"/>
      <c r="E40" s="26"/>
      <c r="F40" s="26"/>
      <c r="G40" s="8">
        <f>IF(A40="","",E40+F40)</f>
        <v>0</v>
      </c>
      <c r="H40" s="26"/>
      <c r="I40" s="26"/>
      <c r="J40" s="26"/>
      <c r="K40" s="26"/>
      <c r="L40" s="26"/>
      <c r="M40" s="26"/>
      <c r="N40" s="26"/>
      <c r="O40" s="8">
        <f>IF(A40="","",COUNTIFS('Recipe Ingredients'!$A$5:$A$1204,A40))</f>
        <v>0</v>
      </c>
      <c r="P40" s="8">
        <f>IF(A40="","",SUMIFS('Recipe Ingredients'!$H$5:$H$1204,'Recipe Ingredients'!$A$5:$A$1204,A40))</f>
        <v>0</v>
      </c>
      <c r="Q40" s="8">
        <f>IF(OR(A40="",D40=0,D40=""),"",P40/D40)</f>
        <v>0</v>
      </c>
      <c r="R40" s="8">
        <f>IF(OR(A40="",H40=0,H40=""),"",IFERROR(Q40/H40*1000,""))</f>
        <v>0</v>
      </c>
      <c r="S40" s="8">
        <f>IF(OR(A40="",Q40="",Q40=0),"",IFERROR(H40/Q40,""))</f>
        <v>0</v>
      </c>
      <c r="T40" s="8">
        <f>IF(OR(A40="",Q40="",Q40=0),"",IFERROR(I40/Q40,""))</f>
        <v>0</v>
      </c>
      <c r="U40" s="8">
        <f>IF(OR(A40="",G40="",G40=0),"",IFERROR(H40/G40*10,""))</f>
        <v>0</v>
      </c>
      <c r="V40" s="8">
        <f>IF(A40="","",(AC40="Yes")*1+(AD40="Yes")*1+(AE40="Yes")*1+(AF40="Yes")*1+(AG40="Yes")*1+(AH40="Yes")*1)</f>
        <v>0</v>
      </c>
      <c r="W40" s="8">
        <f>IF(A40="","",COUNTIFS('Meal Plan'!$G$5:$G$504,A40,'Meal Plan'!$S$5:$S$504,"Cooked")+COUNTIFS('Meal Plan'!$G$5:$G$504,A40,'Meal Plan'!$S$5:$S$504,"Eaten"))</f>
        <v>0</v>
      </c>
      <c r="X40" s="8">
        <f>IF(A40="","",IF(SUMPRODUCT(MAX(('Meal Plan'!$G$5:$G$504=A40)*'Meal Plan'!$B$5:$B$504))=0,"",SUMPRODUCT(MAX(('Meal Plan'!$G$5:$G$504=A40)*'Meal Plan'!$B$5:$B$504))))</f>
        <v>0</v>
      </c>
      <c r="Y40" s="8">
        <f>IF(OR(A40="",X40=""),"",TODAY()-X40)</f>
        <v>0</v>
      </c>
      <c r="Z40" s="8">
        <f>IF(A40="","",IF(Y40="","Yes",IF(Y40&gt;=Rotation_Gap_Days,"Yes","No")))</f>
        <v>0</v>
      </c>
      <c r="AA40" s="8">
        <f>IF(A40="","",IF(Z40="No","Too soon",IF(AND(AN40&lt;&gt;"",AN40&gt;=4),"Plan it","Available")))</f>
        <v>0</v>
      </c>
      <c r="AB40" s="27"/>
      <c r="AC40" s="27"/>
      <c r="AD40" s="27"/>
      <c r="AE40" s="27"/>
      <c r="AF40" s="27"/>
      <c r="AG40" s="27"/>
      <c r="AH40" s="27"/>
      <c r="AI40" s="27"/>
      <c r="AJ40" s="27"/>
      <c r="AK40" s="8">
        <f>IF(A40="","",IF(G40&lt;=30,"Yes","No"))</f>
        <v>0</v>
      </c>
      <c r="AL40" s="27"/>
      <c r="AM40" s="30"/>
      <c r="AN40" s="26"/>
      <c r="AO40" s="7"/>
      <c r="AP40" s="7"/>
      <c r="AQ40" s="7"/>
      <c r="AR40" s="25"/>
      <c r="AS40" s="8">
        <f>IF(A40="","",COUNTIFS($H$5:$H$204,"&gt;"&amp;H40)+1)</f>
        <v>0</v>
      </c>
      <c r="AT40" s="8">
        <f>IF(A40="","",COUNTIFS($I$5:$I$204,"&gt;"&amp;I40)+1)</f>
        <v>0</v>
      </c>
      <c r="AU40" s="8">
        <f>IF(A40="","",COUNTIFS($L$5:$L$204,"&gt;"&amp;L40)+1)</f>
        <v>0</v>
      </c>
      <c r="AV40" s="8">
        <f>IF(OR(A40="",Q40=""),"",COUNTIFS($Q$5:$Q$204,"&lt;"&amp;Q40)+1)</f>
        <v>0</v>
      </c>
      <c r="AW40" s="8">
        <f>IF(A40="","",COUNTIFS($V$5:$V$204,"&gt;"&amp;V40)+1)</f>
        <v>0</v>
      </c>
      <c r="AX40" s="8">
        <f>IF(A40="","",COUNTIFS($Y$5:$Y$204,"&lt;"&amp;Y40)+1)</f>
        <v>0</v>
      </c>
      <c r="AY40" s="8">
        <f>IF(A40="","",COUNTIFS($W$5:$W$204,"&gt;"&amp;W40)+1)</f>
        <v>0</v>
      </c>
    </row>
    <row r="41" spans="1:51">
      <c r="A41" s="7"/>
      <c r="B41" s="27"/>
      <c r="C41" s="27"/>
      <c r="D41" s="26"/>
      <c r="E41" s="26"/>
      <c r="F41" s="26"/>
      <c r="G41" s="8">
        <f>IF(A41="","",E41+F41)</f>
        <v>0</v>
      </c>
      <c r="H41" s="26"/>
      <c r="I41" s="26"/>
      <c r="J41" s="26"/>
      <c r="K41" s="26"/>
      <c r="L41" s="26"/>
      <c r="M41" s="26"/>
      <c r="N41" s="26"/>
      <c r="O41" s="8">
        <f>IF(A41="","",COUNTIFS('Recipe Ingredients'!$A$5:$A$1204,A41))</f>
        <v>0</v>
      </c>
      <c r="P41" s="8">
        <f>IF(A41="","",SUMIFS('Recipe Ingredients'!$H$5:$H$1204,'Recipe Ingredients'!$A$5:$A$1204,A41))</f>
        <v>0</v>
      </c>
      <c r="Q41" s="8">
        <f>IF(OR(A41="",D41=0,D41=""),"",P41/D41)</f>
        <v>0</v>
      </c>
      <c r="R41" s="8">
        <f>IF(OR(A41="",H41=0,H41=""),"",IFERROR(Q41/H41*1000,""))</f>
        <v>0</v>
      </c>
      <c r="S41" s="8">
        <f>IF(OR(A41="",Q41="",Q41=0),"",IFERROR(H41/Q41,""))</f>
        <v>0</v>
      </c>
      <c r="T41" s="8">
        <f>IF(OR(A41="",Q41="",Q41=0),"",IFERROR(I41/Q41,""))</f>
        <v>0</v>
      </c>
      <c r="U41" s="8">
        <f>IF(OR(A41="",G41="",G41=0),"",IFERROR(H41/G41*10,""))</f>
        <v>0</v>
      </c>
      <c r="V41" s="8">
        <f>IF(A41="","",(AC41="Yes")*1+(AD41="Yes")*1+(AE41="Yes")*1+(AF41="Yes")*1+(AG41="Yes")*1+(AH41="Yes")*1)</f>
        <v>0</v>
      </c>
      <c r="W41" s="8">
        <f>IF(A41="","",COUNTIFS('Meal Plan'!$G$5:$G$504,A41,'Meal Plan'!$S$5:$S$504,"Cooked")+COUNTIFS('Meal Plan'!$G$5:$G$504,A41,'Meal Plan'!$S$5:$S$504,"Eaten"))</f>
        <v>0</v>
      </c>
      <c r="X41" s="8">
        <f>IF(A41="","",IF(SUMPRODUCT(MAX(('Meal Plan'!$G$5:$G$504=A41)*'Meal Plan'!$B$5:$B$504))=0,"",SUMPRODUCT(MAX(('Meal Plan'!$G$5:$G$504=A41)*'Meal Plan'!$B$5:$B$504))))</f>
        <v>0</v>
      </c>
      <c r="Y41" s="8">
        <f>IF(OR(A41="",X41=""),"",TODAY()-X41)</f>
        <v>0</v>
      </c>
      <c r="Z41" s="8">
        <f>IF(A41="","",IF(Y41="","Yes",IF(Y41&gt;=Rotation_Gap_Days,"Yes","No")))</f>
        <v>0</v>
      </c>
      <c r="AA41" s="8">
        <f>IF(A41="","",IF(Z41="No","Too soon",IF(AND(AN41&lt;&gt;"",AN41&gt;=4),"Plan it","Available")))</f>
        <v>0</v>
      </c>
      <c r="AB41" s="27"/>
      <c r="AC41" s="27"/>
      <c r="AD41" s="27"/>
      <c r="AE41" s="27"/>
      <c r="AF41" s="27"/>
      <c r="AG41" s="27"/>
      <c r="AH41" s="27"/>
      <c r="AI41" s="27"/>
      <c r="AJ41" s="27"/>
      <c r="AK41" s="8">
        <f>IF(A41="","",IF(G41&lt;=30,"Yes","No"))</f>
        <v>0</v>
      </c>
      <c r="AL41" s="27"/>
      <c r="AM41" s="30"/>
      <c r="AN41" s="26"/>
      <c r="AO41" s="7"/>
      <c r="AP41" s="7"/>
      <c r="AQ41" s="7"/>
      <c r="AR41" s="25"/>
      <c r="AS41" s="8">
        <f>IF(A41="","",COUNTIFS($H$5:$H$204,"&gt;"&amp;H41)+1)</f>
        <v>0</v>
      </c>
      <c r="AT41" s="8">
        <f>IF(A41="","",COUNTIFS($I$5:$I$204,"&gt;"&amp;I41)+1)</f>
        <v>0</v>
      </c>
      <c r="AU41" s="8">
        <f>IF(A41="","",COUNTIFS($L$5:$L$204,"&gt;"&amp;L41)+1)</f>
        <v>0</v>
      </c>
      <c r="AV41" s="8">
        <f>IF(OR(A41="",Q41=""),"",COUNTIFS($Q$5:$Q$204,"&lt;"&amp;Q41)+1)</f>
        <v>0</v>
      </c>
      <c r="AW41" s="8">
        <f>IF(A41="","",COUNTIFS($V$5:$V$204,"&gt;"&amp;V41)+1)</f>
        <v>0</v>
      </c>
      <c r="AX41" s="8">
        <f>IF(A41="","",COUNTIFS($Y$5:$Y$204,"&lt;"&amp;Y41)+1)</f>
        <v>0</v>
      </c>
      <c r="AY41" s="8">
        <f>IF(A41="","",COUNTIFS($W$5:$W$204,"&gt;"&amp;W41)+1)</f>
        <v>0</v>
      </c>
    </row>
    <row r="42" spans="1:51">
      <c r="A42" s="7"/>
      <c r="B42" s="27"/>
      <c r="C42" s="27"/>
      <c r="D42" s="26"/>
      <c r="E42" s="26"/>
      <c r="F42" s="26"/>
      <c r="G42" s="8">
        <f>IF(A42="","",E42+F42)</f>
        <v>0</v>
      </c>
      <c r="H42" s="26"/>
      <c r="I42" s="26"/>
      <c r="J42" s="26"/>
      <c r="K42" s="26"/>
      <c r="L42" s="26"/>
      <c r="M42" s="26"/>
      <c r="N42" s="26"/>
      <c r="O42" s="8">
        <f>IF(A42="","",COUNTIFS('Recipe Ingredients'!$A$5:$A$1204,A42))</f>
        <v>0</v>
      </c>
      <c r="P42" s="8">
        <f>IF(A42="","",SUMIFS('Recipe Ingredients'!$H$5:$H$1204,'Recipe Ingredients'!$A$5:$A$1204,A42))</f>
        <v>0</v>
      </c>
      <c r="Q42" s="8">
        <f>IF(OR(A42="",D42=0,D42=""),"",P42/D42)</f>
        <v>0</v>
      </c>
      <c r="R42" s="8">
        <f>IF(OR(A42="",H42=0,H42=""),"",IFERROR(Q42/H42*1000,""))</f>
        <v>0</v>
      </c>
      <c r="S42" s="8">
        <f>IF(OR(A42="",Q42="",Q42=0),"",IFERROR(H42/Q42,""))</f>
        <v>0</v>
      </c>
      <c r="T42" s="8">
        <f>IF(OR(A42="",Q42="",Q42=0),"",IFERROR(I42/Q42,""))</f>
        <v>0</v>
      </c>
      <c r="U42" s="8">
        <f>IF(OR(A42="",G42="",G42=0),"",IFERROR(H42/G42*10,""))</f>
        <v>0</v>
      </c>
      <c r="V42" s="8">
        <f>IF(A42="","",(AC42="Yes")*1+(AD42="Yes")*1+(AE42="Yes")*1+(AF42="Yes")*1+(AG42="Yes")*1+(AH42="Yes")*1)</f>
        <v>0</v>
      </c>
      <c r="W42" s="8">
        <f>IF(A42="","",COUNTIFS('Meal Plan'!$G$5:$G$504,A42,'Meal Plan'!$S$5:$S$504,"Cooked")+COUNTIFS('Meal Plan'!$G$5:$G$504,A42,'Meal Plan'!$S$5:$S$504,"Eaten"))</f>
        <v>0</v>
      </c>
      <c r="X42" s="8">
        <f>IF(A42="","",IF(SUMPRODUCT(MAX(('Meal Plan'!$G$5:$G$504=A42)*'Meal Plan'!$B$5:$B$504))=0,"",SUMPRODUCT(MAX(('Meal Plan'!$G$5:$G$504=A42)*'Meal Plan'!$B$5:$B$504))))</f>
        <v>0</v>
      </c>
      <c r="Y42" s="8">
        <f>IF(OR(A42="",X42=""),"",TODAY()-X42)</f>
        <v>0</v>
      </c>
      <c r="Z42" s="8">
        <f>IF(A42="","",IF(Y42="","Yes",IF(Y42&gt;=Rotation_Gap_Days,"Yes","No")))</f>
        <v>0</v>
      </c>
      <c r="AA42" s="8">
        <f>IF(A42="","",IF(Z42="No","Too soon",IF(AND(AN42&lt;&gt;"",AN42&gt;=4),"Plan it","Available")))</f>
        <v>0</v>
      </c>
      <c r="AB42" s="27"/>
      <c r="AC42" s="27"/>
      <c r="AD42" s="27"/>
      <c r="AE42" s="27"/>
      <c r="AF42" s="27"/>
      <c r="AG42" s="27"/>
      <c r="AH42" s="27"/>
      <c r="AI42" s="27"/>
      <c r="AJ42" s="27"/>
      <c r="AK42" s="8">
        <f>IF(A42="","",IF(G42&lt;=30,"Yes","No"))</f>
        <v>0</v>
      </c>
      <c r="AL42" s="27"/>
      <c r="AM42" s="30"/>
      <c r="AN42" s="26"/>
      <c r="AO42" s="7"/>
      <c r="AP42" s="7"/>
      <c r="AQ42" s="7"/>
      <c r="AR42" s="25"/>
      <c r="AS42" s="8">
        <f>IF(A42="","",COUNTIFS($H$5:$H$204,"&gt;"&amp;H42)+1)</f>
        <v>0</v>
      </c>
      <c r="AT42" s="8">
        <f>IF(A42="","",COUNTIFS($I$5:$I$204,"&gt;"&amp;I42)+1)</f>
        <v>0</v>
      </c>
      <c r="AU42" s="8">
        <f>IF(A42="","",COUNTIFS($L$5:$L$204,"&gt;"&amp;L42)+1)</f>
        <v>0</v>
      </c>
      <c r="AV42" s="8">
        <f>IF(OR(A42="",Q42=""),"",COUNTIFS($Q$5:$Q$204,"&lt;"&amp;Q42)+1)</f>
        <v>0</v>
      </c>
      <c r="AW42" s="8">
        <f>IF(A42="","",COUNTIFS($V$5:$V$204,"&gt;"&amp;V42)+1)</f>
        <v>0</v>
      </c>
      <c r="AX42" s="8">
        <f>IF(A42="","",COUNTIFS($Y$5:$Y$204,"&lt;"&amp;Y42)+1)</f>
        <v>0</v>
      </c>
      <c r="AY42" s="8">
        <f>IF(A42="","",COUNTIFS($W$5:$W$204,"&gt;"&amp;W42)+1)</f>
        <v>0</v>
      </c>
    </row>
    <row r="43" spans="1:51">
      <c r="A43" s="7"/>
      <c r="B43" s="27"/>
      <c r="C43" s="27"/>
      <c r="D43" s="26"/>
      <c r="E43" s="26"/>
      <c r="F43" s="26"/>
      <c r="G43" s="8">
        <f>IF(A43="","",E43+F43)</f>
        <v>0</v>
      </c>
      <c r="H43" s="26"/>
      <c r="I43" s="26"/>
      <c r="J43" s="26"/>
      <c r="K43" s="26"/>
      <c r="L43" s="26"/>
      <c r="M43" s="26"/>
      <c r="N43" s="26"/>
      <c r="O43" s="8">
        <f>IF(A43="","",COUNTIFS('Recipe Ingredients'!$A$5:$A$1204,A43))</f>
        <v>0</v>
      </c>
      <c r="P43" s="8">
        <f>IF(A43="","",SUMIFS('Recipe Ingredients'!$H$5:$H$1204,'Recipe Ingredients'!$A$5:$A$1204,A43))</f>
        <v>0</v>
      </c>
      <c r="Q43" s="8">
        <f>IF(OR(A43="",D43=0,D43=""),"",P43/D43)</f>
        <v>0</v>
      </c>
      <c r="R43" s="8">
        <f>IF(OR(A43="",H43=0,H43=""),"",IFERROR(Q43/H43*1000,""))</f>
        <v>0</v>
      </c>
      <c r="S43" s="8">
        <f>IF(OR(A43="",Q43="",Q43=0),"",IFERROR(H43/Q43,""))</f>
        <v>0</v>
      </c>
      <c r="T43" s="8">
        <f>IF(OR(A43="",Q43="",Q43=0),"",IFERROR(I43/Q43,""))</f>
        <v>0</v>
      </c>
      <c r="U43" s="8">
        <f>IF(OR(A43="",G43="",G43=0),"",IFERROR(H43/G43*10,""))</f>
        <v>0</v>
      </c>
      <c r="V43" s="8">
        <f>IF(A43="","",(AC43="Yes")*1+(AD43="Yes")*1+(AE43="Yes")*1+(AF43="Yes")*1+(AG43="Yes")*1+(AH43="Yes")*1)</f>
        <v>0</v>
      </c>
      <c r="W43" s="8">
        <f>IF(A43="","",COUNTIFS('Meal Plan'!$G$5:$G$504,A43,'Meal Plan'!$S$5:$S$504,"Cooked")+COUNTIFS('Meal Plan'!$G$5:$G$504,A43,'Meal Plan'!$S$5:$S$504,"Eaten"))</f>
        <v>0</v>
      </c>
      <c r="X43" s="8">
        <f>IF(A43="","",IF(SUMPRODUCT(MAX(('Meal Plan'!$G$5:$G$504=A43)*'Meal Plan'!$B$5:$B$504))=0,"",SUMPRODUCT(MAX(('Meal Plan'!$G$5:$G$504=A43)*'Meal Plan'!$B$5:$B$504))))</f>
        <v>0</v>
      </c>
      <c r="Y43" s="8">
        <f>IF(OR(A43="",X43=""),"",TODAY()-X43)</f>
        <v>0</v>
      </c>
      <c r="Z43" s="8">
        <f>IF(A43="","",IF(Y43="","Yes",IF(Y43&gt;=Rotation_Gap_Days,"Yes","No")))</f>
        <v>0</v>
      </c>
      <c r="AA43" s="8">
        <f>IF(A43="","",IF(Z43="No","Too soon",IF(AND(AN43&lt;&gt;"",AN43&gt;=4),"Plan it","Available")))</f>
        <v>0</v>
      </c>
      <c r="AB43" s="27"/>
      <c r="AC43" s="27"/>
      <c r="AD43" s="27"/>
      <c r="AE43" s="27"/>
      <c r="AF43" s="27"/>
      <c r="AG43" s="27"/>
      <c r="AH43" s="27"/>
      <c r="AI43" s="27"/>
      <c r="AJ43" s="27"/>
      <c r="AK43" s="8">
        <f>IF(A43="","",IF(G43&lt;=30,"Yes","No"))</f>
        <v>0</v>
      </c>
      <c r="AL43" s="27"/>
      <c r="AM43" s="30"/>
      <c r="AN43" s="26"/>
      <c r="AO43" s="7"/>
      <c r="AP43" s="7"/>
      <c r="AQ43" s="7"/>
      <c r="AR43" s="25"/>
      <c r="AS43" s="8">
        <f>IF(A43="","",COUNTIFS($H$5:$H$204,"&gt;"&amp;H43)+1)</f>
        <v>0</v>
      </c>
      <c r="AT43" s="8">
        <f>IF(A43="","",COUNTIFS($I$5:$I$204,"&gt;"&amp;I43)+1)</f>
        <v>0</v>
      </c>
      <c r="AU43" s="8">
        <f>IF(A43="","",COUNTIFS($L$5:$L$204,"&gt;"&amp;L43)+1)</f>
        <v>0</v>
      </c>
      <c r="AV43" s="8">
        <f>IF(OR(A43="",Q43=""),"",COUNTIFS($Q$5:$Q$204,"&lt;"&amp;Q43)+1)</f>
        <v>0</v>
      </c>
      <c r="AW43" s="8">
        <f>IF(A43="","",COUNTIFS($V$5:$V$204,"&gt;"&amp;V43)+1)</f>
        <v>0</v>
      </c>
      <c r="AX43" s="8">
        <f>IF(A43="","",COUNTIFS($Y$5:$Y$204,"&lt;"&amp;Y43)+1)</f>
        <v>0</v>
      </c>
      <c r="AY43" s="8">
        <f>IF(A43="","",COUNTIFS($W$5:$W$204,"&gt;"&amp;W43)+1)</f>
        <v>0</v>
      </c>
    </row>
    <row r="44" spans="1:51">
      <c r="A44" s="7"/>
      <c r="B44" s="27"/>
      <c r="C44" s="27"/>
      <c r="D44" s="26"/>
      <c r="E44" s="26"/>
      <c r="F44" s="26"/>
      <c r="G44" s="8">
        <f>IF(A44="","",E44+F44)</f>
        <v>0</v>
      </c>
      <c r="H44" s="26"/>
      <c r="I44" s="26"/>
      <c r="J44" s="26"/>
      <c r="K44" s="26"/>
      <c r="L44" s="26"/>
      <c r="M44" s="26"/>
      <c r="N44" s="26"/>
      <c r="O44" s="8">
        <f>IF(A44="","",COUNTIFS('Recipe Ingredients'!$A$5:$A$1204,A44))</f>
        <v>0</v>
      </c>
      <c r="P44" s="8">
        <f>IF(A44="","",SUMIFS('Recipe Ingredients'!$H$5:$H$1204,'Recipe Ingredients'!$A$5:$A$1204,A44))</f>
        <v>0</v>
      </c>
      <c r="Q44" s="8">
        <f>IF(OR(A44="",D44=0,D44=""),"",P44/D44)</f>
        <v>0</v>
      </c>
      <c r="R44" s="8">
        <f>IF(OR(A44="",H44=0,H44=""),"",IFERROR(Q44/H44*1000,""))</f>
        <v>0</v>
      </c>
      <c r="S44" s="8">
        <f>IF(OR(A44="",Q44="",Q44=0),"",IFERROR(H44/Q44,""))</f>
        <v>0</v>
      </c>
      <c r="T44" s="8">
        <f>IF(OR(A44="",Q44="",Q44=0),"",IFERROR(I44/Q44,""))</f>
        <v>0</v>
      </c>
      <c r="U44" s="8">
        <f>IF(OR(A44="",G44="",G44=0),"",IFERROR(H44/G44*10,""))</f>
        <v>0</v>
      </c>
      <c r="V44" s="8">
        <f>IF(A44="","",(AC44="Yes")*1+(AD44="Yes")*1+(AE44="Yes")*1+(AF44="Yes")*1+(AG44="Yes")*1+(AH44="Yes")*1)</f>
        <v>0</v>
      </c>
      <c r="W44" s="8">
        <f>IF(A44="","",COUNTIFS('Meal Plan'!$G$5:$G$504,A44,'Meal Plan'!$S$5:$S$504,"Cooked")+COUNTIFS('Meal Plan'!$G$5:$G$504,A44,'Meal Plan'!$S$5:$S$504,"Eaten"))</f>
        <v>0</v>
      </c>
      <c r="X44" s="8">
        <f>IF(A44="","",IF(SUMPRODUCT(MAX(('Meal Plan'!$G$5:$G$504=A44)*'Meal Plan'!$B$5:$B$504))=0,"",SUMPRODUCT(MAX(('Meal Plan'!$G$5:$G$504=A44)*'Meal Plan'!$B$5:$B$504))))</f>
        <v>0</v>
      </c>
      <c r="Y44" s="8">
        <f>IF(OR(A44="",X44=""),"",TODAY()-X44)</f>
        <v>0</v>
      </c>
      <c r="Z44" s="8">
        <f>IF(A44="","",IF(Y44="","Yes",IF(Y44&gt;=Rotation_Gap_Days,"Yes","No")))</f>
        <v>0</v>
      </c>
      <c r="AA44" s="8">
        <f>IF(A44="","",IF(Z44="No","Too soon",IF(AND(AN44&lt;&gt;"",AN44&gt;=4),"Plan it","Available")))</f>
        <v>0</v>
      </c>
      <c r="AB44" s="27"/>
      <c r="AC44" s="27"/>
      <c r="AD44" s="27"/>
      <c r="AE44" s="27"/>
      <c r="AF44" s="27"/>
      <c r="AG44" s="27"/>
      <c r="AH44" s="27"/>
      <c r="AI44" s="27"/>
      <c r="AJ44" s="27"/>
      <c r="AK44" s="8">
        <f>IF(A44="","",IF(G44&lt;=30,"Yes","No"))</f>
        <v>0</v>
      </c>
      <c r="AL44" s="27"/>
      <c r="AM44" s="30"/>
      <c r="AN44" s="26"/>
      <c r="AO44" s="7"/>
      <c r="AP44" s="7"/>
      <c r="AQ44" s="7"/>
      <c r="AR44" s="25"/>
      <c r="AS44" s="8">
        <f>IF(A44="","",COUNTIFS($H$5:$H$204,"&gt;"&amp;H44)+1)</f>
        <v>0</v>
      </c>
      <c r="AT44" s="8">
        <f>IF(A44="","",COUNTIFS($I$5:$I$204,"&gt;"&amp;I44)+1)</f>
        <v>0</v>
      </c>
      <c r="AU44" s="8">
        <f>IF(A44="","",COUNTIFS($L$5:$L$204,"&gt;"&amp;L44)+1)</f>
        <v>0</v>
      </c>
      <c r="AV44" s="8">
        <f>IF(OR(A44="",Q44=""),"",COUNTIFS($Q$5:$Q$204,"&lt;"&amp;Q44)+1)</f>
        <v>0</v>
      </c>
      <c r="AW44" s="8">
        <f>IF(A44="","",COUNTIFS($V$5:$V$204,"&gt;"&amp;V44)+1)</f>
        <v>0</v>
      </c>
      <c r="AX44" s="8">
        <f>IF(A44="","",COUNTIFS($Y$5:$Y$204,"&lt;"&amp;Y44)+1)</f>
        <v>0</v>
      </c>
      <c r="AY44" s="8">
        <f>IF(A44="","",COUNTIFS($W$5:$W$204,"&gt;"&amp;W44)+1)</f>
        <v>0</v>
      </c>
    </row>
    <row r="45" spans="1:51">
      <c r="A45" s="7"/>
      <c r="B45" s="27"/>
      <c r="C45" s="27"/>
      <c r="D45" s="26"/>
      <c r="E45" s="26"/>
      <c r="F45" s="26"/>
      <c r="G45" s="8">
        <f>IF(A45="","",E45+F45)</f>
        <v>0</v>
      </c>
      <c r="H45" s="26"/>
      <c r="I45" s="26"/>
      <c r="J45" s="26"/>
      <c r="K45" s="26"/>
      <c r="L45" s="26"/>
      <c r="M45" s="26"/>
      <c r="N45" s="26"/>
      <c r="O45" s="8">
        <f>IF(A45="","",COUNTIFS('Recipe Ingredients'!$A$5:$A$1204,A45))</f>
        <v>0</v>
      </c>
      <c r="P45" s="8">
        <f>IF(A45="","",SUMIFS('Recipe Ingredients'!$H$5:$H$1204,'Recipe Ingredients'!$A$5:$A$1204,A45))</f>
        <v>0</v>
      </c>
      <c r="Q45" s="8">
        <f>IF(OR(A45="",D45=0,D45=""),"",P45/D45)</f>
        <v>0</v>
      </c>
      <c r="R45" s="8">
        <f>IF(OR(A45="",H45=0,H45=""),"",IFERROR(Q45/H45*1000,""))</f>
        <v>0</v>
      </c>
      <c r="S45" s="8">
        <f>IF(OR(A45="",Q45="",Q45=0),"",IFERROR(H45/Q45,""))</f>
        <v>0</v>
      </c>
      <c r="T45" s="8">
        <f>IF(OR(A45="",Q45="",Q45=0),"",IFERROR(I45/Q45,""))</f>
        <v>0</v>
      </c>
      <c r="U45" s="8">
        <f>IF(OR(A45="",G45="",G45=0),"",IFERROR(H45/G45*10,""))</f>
        <v>0</v>
      </c>
      <c r="V45" s="8">
        <f>IF(A45="","",(AC45="Yes")*1+(AD45="Yes")*1+(AE45="Yes")*1+(AF45="Yes")*1+(AG45="Yes")*1+(AH45="Yes")*1)</f>
        <v>0</v>
      </c>
      <c r="W45" s="8">
        <f>IF(A45="","",COUNTIFS('Meal Plan'!$G$5:$G$504,A45,'Meal Plan'!$S$5:$S$504,"Cooked")+COUNTIFS('Meal Plan'!$G$5:$G$504,A45,'Meal Plan'!$S$5:$S$504,"Eaten"))</f>
        <v>0</v>
      </c>
      <c r="X45" s="8">
        <f>IF(A45="","",IF(SUMPRODUCT(MAX(('Meal Plan'!$G$5:$G$504=A45)*'Meal Plan'!$B$5:$B$504))=0,"",SUMPRODUCT(MAX(('Meal Plan'!$G$5:$G$504=A45)*'Meal Plan'!$B$5:$B$504))))</f>
        <v>0</v>
      </c>
      <c r="Y45" s="8">
        <f>IF(OR(A45="",X45=""),"",TODAY()-X45)</f>
        <v>0</v>
      </c>
      <c r="Z45" s="8">
        <f>IF(A45="","",IF(Y45="","Yes",IF(Y45&gt;=Rotation_Gap_Days,"Yes","No")))</f>
        <v>0</v>
      </c>
      <c r="AA45" s="8">
        <f>IF(A45="","",IF(Z45="No","Too soon",IF(AND(AN45&lt;&gt;"",AN45&gt;=4),"Plan it","Available")))</f>
        <v>0</v>
      </c>
      <c r="AB45" s="27"/>
      <c r="AC45" s="27"/>
      <c r="AD45" s="27"/>
      <c r="AE45" s="27"/>
      <c r="AF45" s="27"/>
      <c r="AG45" s="27"/>
      <c r="AH45" s="27"/>
      <c r="AI45" s="27"/>
      <c r="AJ45" s="27"/>
      <c r="AK45" s="8">
        <f>IF(A45="","",IF(G45&lt;=30,"Yes","No"))</f>
        <v>0</v>
      </c>
      <c r="AL45" s="27"/>
      <c r="AM45" s="30"/>
      <c r="AN45" s="26"/>
      <c r="AO45" s="7"/>
      <c r="AP45" s="7"/>
      <c r="AQ45" s="7"/>
      <c r="AR45" s="25"/>
      <c r="AS45" s="8">
        <f>IF(A45="","",COUNTIFS($H$5:$H$204,"&gt;"&amp;H45)+1)</f>
        <v>0</v>
      </c>
      <c r="AT45" s="8">
        <f>IF(A45="","",COUNTIFS($I$5:$I$204,"&gt;"&amp;I45)+1)</f>
        <v>0</v>
      </c>
      <c r="AU45" s="8">
        <f>IF(A45="","",COUNTIFS($L$5:$L$204,"&gt;"&amp;L45)+1)</f>
        <v>0</v>
      </c>
      <c r="AV45" s="8">
        <f>IF(OR(A45="",Q45=""),"",COUNTIFS($Q$5:$Q$204,"&lt;"&amp;Q45)+1)</f>
        <v>0</v>
      </c>
      <c r="AW45" s="8">
        <f>IF(A45="","",COUNTIFS($V$5:$V$204,"&gt;"&amp;V45)+1)</f>
        <v>0</v>
      </c>
      <c r="AX45" s="8">
        <f>IF(A45="","",COUNTIFS($Y$5:$Y$204,"&lt;"&amp;Y45)+1)</f>
        <v>0</v>
      </c>
      <c r="AY45" s="8">
        <f>IF(A45="","",COUNTIFS($W$5:$W$204,"&gt;"&amp;W45)+1)</f>
        <v>0</v>
      </c>
    </row>
    <row r="46" spans="1:51">
      <c r="A46" s="7"/>
      <c r="B46" s="27"/>
      <c r="C46" s="27"/>
      <c r="D46" s="26"/>
      <c r="E46" s="26"/>
      <c r="F46" s="26"/>
      <c r="G46" s="8">
        <f>IF(A46="","",E46+F46)</f>
        <v>0</v>
      </c>
      <c r="H46" s="26"/>
      <c r="I46" s="26"/>
      <c r="J46" s="26"/>
      <c r="K46" s="26"/>
      <c r="L46" s="26"/>
      <c r="M46" s="26"/>
      <c r="N46" s="26"/>
      <c r="O46" s="8">
        <f>IF(A46="","",COUNTIFS('Recipe Ingredients'!$A$5:$A$1204,A46))</f>
        <v>0</v>
      </c>
      <c r="P46" s="8">
        <f>IF(A46="","",SUMIFS('Recipe Ingredients'!$H$5:$H$1204,'Recipe Ingredients'!$A$5:$A$1204,A46))</f>
        <v>0</v>
      </c>
      <c r="Q46" s="8">
        <f>IF(OR(A46="",D46=0,D46=""),"",P46/D46)</f>
        <v>0</v>
      </c>
      <c r="R46" s="8">
        <f>IF(OR(A46="",H46=0,H46=""),"",IFERROR(Q46/H46*1000,""))</f>
        <v>0</v>
      </c>
      <c r="S46" s="8">
        <f>IF(OR(A46="",Q46="",Q46=0),"",IFERROR(H46/Q46,""))</f>
        <v>0</v>
      </c>
      <c r="T46" s="8">
        <f>IF(OR(A46="",Q46="",Q46=0),"",IFERROR(I46/Q46,""))</f>
        <v>0</v>
      </c>
      <c r="U46" s="8">
        <f>IF(OR(A46="",G46="",G46=0),"",IFERROR(H46/G46*10,""))</f>
        <v>0</v>
      </c>
      <c r="V46" s="8">
        <f>IF(A46="","",(AC46="Yes")*1+(AD46="Yes")*1+(AE46="Yes")*1+(AF46="Yes")*1+(AG46="Yes")*1+(AH46="Yes")*1)</f>
        <v>0</v>
      </c>
      <c r="W46" s="8">
        <f>IF(A46="","",COUNTIFS('Meal Plan'!$G$5:$G$504,A46,'Meal Plan'!$S$5:$S$504,"Cooked")+COUNTIFS('Meal Plan'!$G$5:$G$504,A46,'Meal Plan'!$S$5:$S$504,"Eaten"))</f>
        <v>0</v>
      </c>
      <c r="X46" s="8">
        <f>IF(A46="","",IF(SUMPRODUCT(MAX(('Meal Plan'!$G$5:$G$504=A46)*'Meal Plan'!$B$5:$B$504))=0,"",SUMPRODUCT(MAX(('Meal Plan'!$G$5:$G$504=A46)*'Meal Plan'!$B$5:$B$504))))</f>
        <v>0</v>
      </c>
      <c r="Y46" s="8">
        <f>IF(OR(A46="",X46=""),"",TODAY()-X46)</f>
        <v>0</v>
      </c>
      <c r="Z46" s="8">
        <f>IF(A46="","",IF(Y46="","Yes",IF(Y46&gt;=Rotation_Gap_Days,"Yes","No")))</f>
        <v>0</v>
      </c>
      <c r="AA46" s="8">
        <f>IF(A46="","",IF(Z46="No","Too soon",IF(AND(AN46&lt;&gt;"",AN46&gt;=4),"Plan it","Available")))</f>
        <v>0</v>
      </c>
      <c r="AB46" s="27"/>
      <c r="AC46" s="27"/>
      <c r="AD46" s="27"/>
      <c r="AE46" s="27"/>
      <c r="AF46" s="27"/>
      <c r="AG46" s="27"/>
      <c r="AH46" s="27"/>
      <c r="AI46" s="27"/>
      <c r="AJ46" s="27"/>
      <c r="AK46" s="8">
        <f>IF(A46="","",IF(G46&lt;=30,"Yes","No"))</f>
        <v>0</v>
      </c>
      <c r="AL46" s="27"/>
      <c r="AM46" s="30"/>
      <c r="AN46" s="26"/>
      <c r="AO46" s="7"/>
      <c r="AP46" s="7"/>
      <c r="AQ46" s="7"/>
      <c r="AR46" s="25"/>
      <c r="AS46" s="8">
        <f>IF(A46="","",COUNTIFS($H$5:$H$204,"&gt;"&amp;H46)+1)</f>
        <v>0</v>
      </c>
      <c r="AT46" s="8">
        <f>IF(A46="","",COUNTIFS($I$5:$I$204,"&gt;"&amp;I46)+1)</f>
        <v>0</v>
      </c>
      <c r="AU46" s="8">
        <f>IF(A46="","",COUNTIFS($L$5:$L$204,"&gt;"&amp;L46)+1)</f>
        <v>0</v>
      </c>
      <c r="AV46" s="8">
        <f>IF(OR(A46="",Q46=""),"",COUNTIFS($Q$5:$Q$204,"&lt;"&amp;Q46)+1)</f>
        <v>0</v>
      </c>
      <c r="AW46" s="8">
        <f>IF(A46="","",COUNTIFS($V$5:$V$204,"&gt;"&amp;V46)+1)</f>
        <v>0</v>
      </c>
      <c r="AX46" s="8">
        <f>IF(A46="","",COUNTIFS($Y$5:$Y$204,"&lt;"&amp;Y46)+1)</f>
        <v>0</v>
      </c>
      <c r="AY46" s="8">
        <f>IF(A46="","",COUNTIFS($W$5:$W$204,"&gt;"&amp;W46)+1)</f>
        <v>0</v>
      </c>
    </row>
    <row r="47" spans="1:51">
      <c r="A47" s="7"/>
      <c r="B47" s="27"/>
      <c r="C47" s="27"/>
      <c r="D47" s="26"/>
      <c r="E47" s="26"/>
      <c r="F47" s="26"/>
      <c r="G47" s="8">
        <f>IF(A47="","",E47+F47)</f>
        <v>0</v>
      </c>
      <c r="H47" s="26"/>
      <c r="I47" s="26"/>
      <c r="J47" s="26"/>
      <c r="K47" s="26"/>
      <c r="L47" s="26"/>
      <c r="M47" s="26"/>
      <c r="N47" s="26"/>
      <c r="O47" s="8">
        <f>IF(A47="","",COUNTIFS('Recipe Ingredients'!$A$5:$A$1204,A47))</f>
        <v>0</v>
      </c>
      <c r="P47" s="8">
        <f>IF(A47="","",SUMIFS('Recipe Ingredients'!$H$5:$H$1204,'Recipe Ingredients'!$A$5:$A$1204,A47))</f>
        <v>0</v>
      </c>
      <c r="Q47" s="8">
        <f>IF(OR(A47="",D47=0,D47=""),"",P47/D47)</f>
        <v>0</v>
      </c>
      <c r="R47" s="8">
        <f>IF(OR(A47="",H47=0,H47=""),"",IFERROR(Q47/H47*1000,""))</f>
        <v>0</v>
      </c>
      <c r="S47" s="8">
        <f>IF(OR(A47="",Q47="",Q47=0),"",IFERROR(H47/Q47,""))</f>
        <v>0</v>
      </c>
      <c r="T47" s="8">
        <f>IF(OR(A47="",Q47="",Q47=0),"",IFERROR(I47/Q47,""))</f>
        <v>0</v>
      </c>
      <c r="U47" s="8">
        <f>IF(OR(A47="",G47="",G47=0),"",IFERROR(H47/G47*10,""))</f>
        <v>0</v>
      </c>
      <c r="V47" s="8">
        <f>IF(A47="","",(AC47="Yes")*1+(AD47="Yes")*1+(AE47="Yes")*1+(AF47="Yes")*1+(AG47="Yes")*1+(AH47="Yes")*1)</f>
        <v>0</v>
      </c>
      <c r="W47" s="8">
        <f>IF(A47="","",COUNTIFS('Meal Plan'!$G$5:$G$504,A47,'Meal Plan'!$S$5:$S$504,"Cooked")+COUNTIFS('Meal Plan'!$G$5:$G$504,A47,'Meal Plan'!$S$5:$S$504,"Eaten"))</f>
        <v>0</v>
      </c>
      <c r="X47" s="8">
        <f>IF(A47="","",IF(SUMPRODUCT(MAX(('Meal Plan'!$G$5:$G$504=A47)*'Meal Plan'!$B$5:$B$504))=0,"",SUMPRODUCT(MAX(('Meal Plan'!$G$5:$G$504=A47)*'Meal Plan'!$B$5:$B$504))))</f>
        <v>0</v>
      </c>
      <c r="Y47" s="8">
        <f>IF(OR(A47="",X47=""),"",TODAY()-X47)</f>
        <v>0</v>
      </c>
      <c r="Z47" s="8">
        <f>IF(A47="","",IF(Y47="","Yes",IF(Y47&gt;=Rotation_Gap_Days,"Yes","No")))</f>
        <v>0</v>
      </c>
      <c r="AA47" s="8">
        <f>IF(A47="","",IF(Z47="No","Too soon",IF(AND(AN47&lt;&gt;"",AN47&gt;=4),"Plan it","Available")))</f>
        <v>0</v>
      </c>
      <c r="AB47" s="27"/>
      <c r="AC47" s="27"/>
      <c r="AD47" s="27"/>
      <c r="AE47" s="27"/>
      <c r="AF47" s="27"/>
      <c r="AG47" s="27"/>
      <c r="AH47" s="27"/>
      <c r="AI47" s="27"/>
      <c r="AJ47" s="27"/>
      <c r="AK47" s="8">
        <f>IF(A47="","",IF(G47&lt;=30,"Yes","No"))</f>
        <v>0</v>
      </c>
      <c r="AL47" s="27"/>
      <c r="AM47" s="30"/>
      <c r="AN47" s="26"/>
      <c r="AO47" s="7"/>
      <c r="AP47" s="7"/>
      <c r="AQ47" s="7"/>
      <c r="AR47" s="25"/>
      <c r="AS47" s="8">
        <f>IF(A47="","",COUNTIFS($H$5:$H$204,"&gt;"&amp;H47)+1)</f>
        <v>0</v>
      </c>
      <c r="AT47" s="8">
        <f>IF(A47="","",COUNTIFS($I$5:$I$204,"&gt;"&amp;I47)+1)</f>
        <v>0</v>
      </c>
      <c r="AU47" s="8">
        <f>IF(A47="","",COUNTIFS($L$5:$L$204,"&gt;"&amp;L47)+1)</f>
        <v>0</v>
      </c>
      <c r="AV47" s="8">
        <f>IF(OR(A47="",Q47=""),"",COUNTIFS($Q$5:$Q$204,"&lt;"&amp;Q47)+1)</f>
        <v>0</v>
      </c>
      <c r="AW47" s="8">
        <f>IF(A47="","",COUNTIFS($V$5:$V$204,"&gt;"&amp;V47)+1)</f>
        <v>0</v>
      </c>
      <c r="AX47" s="8">
        <f>IF(A47="","",COUNTIFS($Y$5:$Y$204,"&lt;"&amp;Y47)+1)</f>
        <v>0</v>
      </c>
      <c r="AY47" s="8">
        <f>IF(A47="","",COUNTIFS($W$5:$W$204,"&gt;"&amp;W47)+1)</f>
        <v>0</v>
      </c>
    </row>
    <row r="48" spans="1:51">
      <c r="A48" s="7"/>
      <c r="B48" s="27"/>
      <c r="C48" s="27"/>
      <c r="D48" s="26"/>
      <c r="E48" s="26"/>
      <c r="F48" s="26"/>
      <c r="G48" s="8">
        <f>IF(A48="","",E48+F48)</f>
        <v>0</v>
      </c>
      <c r="H48" s="26"/>
      <c r="I48" s="26"/>
      <c r="J48" s="26"/>
      <c r="K48" s="26"/>
      <c r="L48" s="26"/>
      <c r="M48" s="26"/>
      <c r="N48" s="26"/>
      <c r="O48" s="8">
        <f>IF(A48="","",COUNTIFS('Recipe Ingredients'!$A$5:$A$1204,A48))</f>
        <v>0</v>
      </c>
      <c r="P48" s="8">
        <f>IF(A48="","",SUMIFS('Recipe Ingredients'!$H$5:$H$1204,'Recipe Ingredients'!$A$5:$A$1204,A48))</f>
        <v>0</v>
      </c>
      <c r="Q48" s="8">
        <f>IF(OR(A48="",D48=0,D48=""),"",P48/D48)</f>
        <v>0</v>
      </c>
      <c r="R48" s="8">
        <f>IF(OR(A48="",H48=0,H48=""),"",IFERROR(Q48/H48*1000,""))</f>
        <v>0</v>
      </c>
      <c r="S48" s="8">
        <f>IF(OR(A48="",Q48="",Q48=0),"",IFERROR(H48/Q48,""))</f>
        <v>0</v>
      </c>
      <c r="T48" s="8">
        <f>IF(OR(A48="",Q48="",Q48=0),"",IFERROR(I48/Q48,""))</f>
        <v>0</v>
      </c>
      <c r="U48" s="8">
        <f>IF(OR(A48="",G48="",G48=0),"",IFERROR(H48/G48*10,""))</f>
        <v>0</v>
      </c>
      <c r="V48" s="8">
        <f>IF(A48="","",(AC48="Yes")*1+(AD48="Yes")*1+(AE48="Yes")*1+(AF48="Yes")*1+(AG48="Yes")*1+(AH48="Yes")*1)</f>
        <v>0</v>
      </c>
      <c r="W48" s="8">
        <f>IF(A48="","",COUNTIFS('Meal Plan'!$G$5:$G$504,A48,'Meal Plan'!$S$5:$S$504,"Cooked")+COUNTIFS('Meal Plan'!$G$5:$G$504,A48,'Meal Plan'!$S$5:$S$504,"Eaten"))</f>
        <v>0</v>
      </c>
      <c r="X48" s="8">
        <f>IF(A48="","",IF(SUMPRODUCT(MAX(('Meal Plan'!$G$5:$G$504=A48)*'Meal Plan'!$B$5:$B$504))=0,"",SUMPRODUCT(MAX(('Meal Plan'!$G$5:$G$504=A48)*'Meal Plan'!$B$5:$B$504))))</f>
        <v>0</v>
      </c>
      <c r="Y48" s="8">
        <f>IF(OR(A48="",X48=""),"",TODAY()-X48)</f>
        <v>0</v>
      </c>
      <c r="Z48" s="8">
        <f>IF(A48="","",IF(Y48="","Yes",IF(Y48&gt;=Rotation_Gap_Days,"Yes","No")))</f>
        <v>0</v>
      </c>
      <c r="AA48" s="8">
        <f>IF(A48="","",IF(Z48="No","Too soon",IF(AND(AN48&lt;&gt;"",AN48&gt;=4),"Plan it","Available")))</f>
        <v>0</v>
      </c>
      <c r="AB48" s="27"/>
      <c r="AC48" s="27"/>
      <c r="AD48" s="27"/>
      <c r="AE48" s="27"/>
      <c r="AF48" s="27"/>
      <c r="AG48" s="27"/>
      <c r="AH48" s="27"/>
      <c r="AI48" s="27"/>
      <c r="AJ48" s="27"/>
      <c r="AK48" s="8">
        <f>IF(A48="","",IF(G48&lt;=30,"Yes","No"))</f>
        <v>0</v>
      </c>
      <c r="AL48" s="27"/>
      <c r="AM48" s="30"/>
      <c r="AN48" s="26"/>
      <c r="AO48" s="7"/>
      <c r="AP48" s="7"/>
      <c r="AQ48" s="7"/>
      <c r="AR48" s="25"/>
      <c r="AS48" s="8">
        <f>IF(A48="","",COUNTIFS($H$5:$H$204,"&gt;"&amp;H48)+1)</f>
        <v>0</v>
      </c>
      <c r="AT48" s="8">
        <f>IF(A48="","",COUNTIFS($I$5:$I$204,"&gt;"&amp;I48)+1)</f>
        <v>0</v>
      </c>
      <c r="AU48" s="8">
        <f>IF(A48="","",COUNTIFS($L$5:$L$204,"&gt;"&amp;L48)+1)</f>
        <v>0</v>
      </c>
      <c r="AV48" s="8">
        <f>IF(OR(A48="",Q48=""),"",COUNTIFS($Q$5:$Q$204,"&lt;"&amp;Q48)+1)</f>
        <v>0</v>
      </c>
      <c r="AW48" s="8">
        <f>IF(A48="","",COUNTIFS($V$5:$V$204,"&gt;"&amp;V48)+1)</f>
        <v>0</v>
      </c>
      <c r="AX48" s="8">
        <f>IF(A48="","",COUNTIFS($Y$5:$Y$204,"&lt;"&amp;Y48)+1)</f>
        <v>0</v>
      </c>
      <c r="AY48" s="8">
        <f>IF(A48="","",COUNTIFS($W$5:$W$204,"&gt;"&amp;W48)+1)</f>
        <v>0</v>
      </c>
    </row>
    <row r="49" spans="1:51">
      <c r="A49" s="7"/>
      <c r="B49" s="27"/>
      <c r="C49" s="27"/>
      <c r="D49" s="26"/>
      <c r="E49" s="26"/>
      <c r="F49" s="26"/>
      <c r="G49" s="8">
        <f>IF(A49="","",E49+F49)</f>
        <v>0</v>
      </c>
      <c r="H49" s="26"/>
      <c r="I49" s="26"/>
      <c r="J49" s="26"/>
      <c r="K49" s="26"/>
      <c r="L49" s="26"/>
      <c r="M49" s="26"/>
      <c r="N49" s="26"/>
      <c r="O49" s="8">
        <f>IF(A49="","",COUNTIFS('Recipe Ingredients'!$A$5:$A$1204,A49))</f>
        <v>0</v>
      </c>
      <c r="P49" s="8">
        <f>IF(A49="","",SUMIFS('Recipe Ingredients'!$H$5:$H$1204,'Recipe Ingredients'!$A$5:$A$1204,A49))</f>
        <v>0</v>
      </c>
      <c r="Q49" s="8">
        <f>IF(OR(A49="",D49=0,D49=""),"",P49/D49)</f>
        <v>0</v>
      </c>
      <c r="R49" s="8">
        <f>IF(OR(A49="",H49=0,H49=""),"",IFERROR(Q49/H49*1000,""))</f>
        <v>0</v>
      </c>
      <c r="S49" s="8">
        <f>IF(OR(A49="",Q49="",Q49=0),"",IFERROR(H49/Q49,""))</f>
        <v>0</v>
      </c>
      <c r="T49" s="8">
        <f>IF(OR(A49="",Q49="",Q49=0),"",IFERROR(I49/Q49,""))</f>
        <v>0</v>
      </c>
      <c r="U49" s="8">
        <f>IF(OR(A49="",G49="",G49=0),"",IFERROR(H49/G49*10,""))</f>
        <v>0</v>
      </c>
      <c r="V49" s="8">
        <f>IF(A49="","",(AC49="Yes")*1+(AD49="Yes")*1+(AE49="Yes")*1+(AF49="Yes")*1+(AG49="Yes")*1+(AH49="Yes")*1)</f>
        <v>0</v>
      </c>
      <c r="W49" s="8">
        <f>IF(A49="","",COUNTIFS('Meal Plan'!$G$5:$G$504,A49,'Meal Plan'!$S$5:$S$504,"Cooked")+COUNTIFS('Meal Plan'!$G$5:$G$504,A49,'Meal Plan'!$S$5:$S$504,"Eaten"))</f>
        <v>0</v>
      </c>
      <c r="X49" s="8">
        <f>IF(A49="","",IF(SUMPRODUCT(MAX(('Meal Plan'!$G$5:$G$504=A49)*'Meal Plan'!$B$5:$B$504))=0,"",SUMPRODUCT(MAX(('Meal Plan'!$G$5:$G$504=A49)*'Meal Plan'!$B$5:$B$504))))</f>
        <v>0</v>
      </c>
      <c r="Y49" s="8">
        <f>IF(OR(A49="",X49=""),"",TODAY()-X49)</f>
        <v>0</v>
      </c>
      <c r="Z49" s="8">
        <f>IF(A49="","",IF(Y49="","Yes",IF(Y49&gt;=Rotation_Gap_Days,"Yes","No")))</f>
        <v>0</v>
      </c>
      <c r="AA49" s="8">
        <f>IF(A49="","",IF(Z49="No","Too soon",IF(AND(AN49&lt;&gt;"",AN49&gt;=4),"Plan it","Available")))</f>
        <v>0</v>
      </c>
      <c r="AB49" s="27"/>
      <c r="AC49" s="27"/>
      <c r="AD49" s="27"/>
      <c r="AE49" s="27"/>
      <c r="AF49" s="27"/>
      <c r="AG49" s="27"/>
      <c r="AH49" s="27"/>
      <c r="AI49" s="27"/>
      <c r="AJ49" s="27"/>
      <c r="AK49" s="8">
        <f>IF(A49="","",IF(G49&lt;=30,"Yes","No"))</f>
        <v>0</v>
      </c>
      <c r="AL49" s="27"/>
      <c r="AM49" s="30"/>
      <c r="AN49" s="26"/>
      <c r="AO49" s="7"/>
      <c r="AP49" s="7"/>
      <c r="AQ49" s="7"/>
      <c r="AR49" s="25"/>
      <c r="AS49" s="8">
        <f>IF(A49="","",COUNTIFS($H$5:$H$204,"&gt;"&amp;H49)+1)</f>
        <v>0</v>
      </c>
      <c r="AT49" s="8">
        <f>IF(A49="","",COUNTIFS($I$5:$I$204,"&gt;"&amp;I49)+1)</f>
        <v>0</v>
      </c>
      <c r="AU49" s="8">
        <f>IF(A49="","",COUNTIFS($L$5:$L$204,"&gt;"&amp;L49)+1)</f>
        <v>0</v>
      </c>
      <c r="AV49" s="8">
        <f>IF(OR(A49="",Q49=""),"",COUNTIFS($Q$5:$Q$204,"&lt;"&amp;Q49)+1)</f>
        <v>0</v>
      </c>
      <c r="AW49" s="8">
        <f>IF(A49="","",COUNTIFS($V$5:$V$204,"&gt;"&amp;V49)+1)</f>
        <v>0</v>
      </c>
      <c r="AX49" s="8">
        <f>IF(A49="","",COUNTIFS($Y$5:$Y$204,"&lt;"&amp;Y49)+1)</f>
        <v>0</v>
      </c>
      <c r="AY49" s="8">
        <f>IF(A49="","",COUNTIFS($W$5:$W$204,"&gt;"&amp;W49)+1)</f>
        <v>0</v>
      </c>
    </row>
    <row r="50" spans="1:51">
      <c r="A50" s="7"/>
      <c r="B50" s="27"/>
      <c r="C50" s="27"/>
      <c r="D50" s="26"/>
      <c r="E50" s="26"/>
      <c r="F50" s="26"/>
      <c r="G50" s="8">
        <f>IF(A50="","",E50+F50)</f>
        <v>0</v>
      </c>
      <c r="H50" s="26"/>
      <c r="I50" s="26"/>
      <c r="J50" s="26"/>
      <c r="K50" s="26"/>
      <c r="L50" s="26"/>
      <c r="M50" s="26"/>
      <c r="N50" s="26"/>
      <c r="O50" s="8">
        <f>IF(A50="","",COUNTIFS('Recipe Ingredients'!$A$5:$A$1204,A50))</f>
        <v>0</v>
      </c>
      <c r="P50" s="8">
        <f>IF(A50="","",SUMIFS('Recipe Ingredients'!$H$5:$H$1204,'Recipe Ingredients'!$A$5:$A$1204,A50))</f>
        <v>0</v>
      </c>
      <c r="Q50" s="8">
        <f>IF(OR(A50="",D50=0,D50=""),"",P50/D50)</f>
        <v>0</v>
      </c>
      <c r="R50" s="8">
        <f>IF(OR(A50="",H50=0,H50=""),"",IFERROR(Q50/H50*1000,""))</f>
        <v>0</v>
      </c>
      <c r="S50" s="8">
        <f>IF(OR(A50="",Q50="",Q50=0),"",IFERROR(H50/Q50,""))</f>
        <v>0</v>
      </c>
      <c r="T50" s="8">
        <f>IF(OR(A50="",Q50="",Q50=0),"",IFERROR(I50/Q50,""))</f>
        <v>0</v>
      </c>
      <c r="U50" s="8">
        <f>IF(OR(A50="",G50="",G50=0),"",IFERROR(H50/G50*10,""))</f>
        <v>0</v>
      </c>
      <c r="V50" s="8">
        <f>IF(A50="","",(AC50="Yes")*1+(AD50="Yes")*1+(AE50="Yes")*1+(AF50="Yes")*1+(AG50="Yes")*1+(AH50="Yes")*1)</f>
        <v>0</v>
      </c>
      <c r="W50" s="8">
        <f>IF(A50="","",COUNTIFS('Meal Plan'!$G$5:$G$504,A50,'Meal Plan'!$S$5:$S$504,"Cooked")+COUNTIFS('Meal Plan'!$G$5:$G$504,A50,'Meal Plan'!$S$5:$S$504,"Eaten"))</f>
        <v>0</v>
      </c>
      <c r="X50" s="8">
        <f>IF(A50="","",IF(SUMPRODUCT(MAX(('Meal Plan'!$G$5:$G$504=A50)*'Meal Plan'!$B$5:$B$504))=0,"",SUMPRODUCT(MAX(('Meal Plan'!$G$5:$G$504=A50)*'Meal Plan'!$B$5:$B$504))))</f>
        <v>0</v>
      </c>
      <c r="Y50" s="8">
        <f>IF(OR(A50="",X50=""),"",TODAY()-X50)</f>
        <v>0</v>
      </c>
      <c r="Z50" s="8">
        <f>IF(A50="","",IF(Y50="","Yes",IF(Y50&gt;=Rotation_Gap_Days,"Yes","No")))</f>
        <v>0</v>
      </c>
      <c r="AA50" s="8">
        <f>IF(A50="","",IF(Z50="No","Too soon",IF(AND(AN50&lt;&gt;"",AN50&gt;=4),"Plan it","Available")))</f>
        <v>0</v>
      </c>
      <c r="AB50" s="27"/>
      <c r="AC50" s="27"/>
      <c r="AD50" s="27"/>
      <c r="AE50" s="27"/>
      <c r="AF50" s="27"/>
      <c r="AG50" s="27"/>
      <c r="AH50" s="27"/>
      <c r="AI50" s="27"/>
      <c r="AJ50" s="27"/>
      <c r="AK50" s="8">
        <f>IF(A50="","",IF(G50&lt;=30,"Yes","No"))</f>
        <v>0</v>
      </c>
      <c r="AL50" s="27"/>
      <c r="AM50" s="30"/>
      <c r="AN50" s="26"/>
      <c r="AO50" s="7"/>
      <c r="AP50" s="7"/>
      <c r="AQ50" s="7"/>
      <c r="AR50" s="25"/>
      <c r="AS50" s="8">
        <f>IF(A50="","",COUNTIFS($H$5:$H$204,"&gt;"&amp;H50)+1)</f>
        <v>0</v>
      </c>
      <c r="AT50" s="8">
        <f>IF(A50="","",COUNTIFS($I$5:$I$204,"&gt;"&amp;I50)+1)</f>
        <v>0</v>
      </c>
      <c r="AU50" s="8">
        <f>IF(A50="","",COUNTIFS($L$5:$L$204,"&gt;"&amp;L50)+1)</f>
        <v>0</v>
      </c>
      <c r="AV50" s="8">
        <f>IF(OR(A50="",Q50=""),"",COUNTIFS($Q$5:$Q$204,"&lt;"&amp;Q50)+1)</f>
        <v>0</v>
      </c>
      <c r="AW50" s="8">
        <f>IF(A50="","",COUNTIFS($V$5:$V$204,"&gt;"&amp;V50)+1)</f>
        <v>0</v>
      </c>
      <c r="AX50" s="8">
        <f>IF(A50="","",COUNTIFS($Y$5:$Y$204,"&lt;"&amp;Y50)+1)</f>
        <v>0</v>
      </c>
      <c r="AY50" s="8">
        <f>IF(A50="","",COUNTIFS($W$5:$W$204,"&gt;"&amp;W50)+1)</f>
        <v>0</v>
      </c>
    </row>
    <row r="51" spans="1:51">
      <c r="A51" s="7"/>
      <c r="B51" s="27"/>
      <c r="C51" s="27"/>
      <c r="D51" s="26"/>
      <c r="E51" s="26"/>
      <c r="F51" s="26"/>
      <c r="G51" s="8">
        <f>IF(A51="","",E51+F51)</f>
        <v>0</v>
      </c>
      <c r="H51" s="26"/>
      <c r="I51" s="26"/>
      <c r="J51" s="26"/>
      <c r="K51" s="26"/>
      <c r="L51" s="26"/>
      <c r="M51" s="26"/>
      <c r="N51" s="26"/>
      <c r="O51" s="8">
        <f>IF(A51="","",COUNTIFS('Recipe Ingredients'!$A$5:$A$1204,A51))</f>
        <v>0</v>
      </c>
      <c r="P51" s="8">
        <f>IF(A51="","",SUMIFS('Recipe Ingredients'!$H$5:$H$1204,'Recipe Ingredients'!$A$5:$A$1204,A51))</f>
        <v>0</v>
      </c>
      <c r="Q51" s="8">
        <f>IF(OR(A51="",D51=0,D51=""),"",P51/D51)</f>
        <v>0</v>
      </c>
      <c r="R51" s="8">
        <f>IF(OR(A51="",H51=0,H51=""),"",IFERROR(Q51/H51*1000,""))</f>
        <v>0</v>
      </c>
      <c r="S51" s="8">
        <f>IF(OR(A51="",Q51="",Q51=0),"",IFERROR(H51/Q51,""))</f>
        <v>0</v>
      </c>
      <c r="T51" s="8">
        <f>IF(OR(A51="",Q51="",Q51=0),"",IFERROR(I51/Q51,""))</f>
        <v>0</v>
      </c>
      <c r="U51" s="8">
        <f>IF(OR(A51="",G51="",G51=0),"",IFERROR(H51/G51*10,""))</f>
        <v>0</v>
      </c>
      <c r="V51" s="8">
        <f>IF(A51="","",(AC51="Yes")*1+(AD51="Yes")*1+(AE51="Yes")*1+(AF51="Yes")*1+(AG51="Yes")*1+(AH51="Yes")*1)</f>
        <v>0</v>
      </c>
      <c r="W51" s="8">
        <f>IF(A51="","",COUNTIFS('Meal Plan'!$G$5:$G$504,A51,'Meal Plan'!$S$5:$S$504,"Cooked")+COUNTIFS('Meal Plan'!$G$5:$G$504,A51,'Meal Plan'!$S$5:$S$504,"Eaten"))</f>
        <v>0</v>
      </c>
      <c r="X51" s="8">
        <f>IF(A51="","",IF(SUMPRODUCT(MAX(('Meal Plan'!$G$5:$G$504=A51)*'Meal Plan'!$B$5:$B$504))=0,"",SUMPRODUCT(MAX(('Meal Plan'!$G$5:$G$504=A51)*'Meal Plan'!$B$5:$B$504))))</f>
        <v>0</v>
      </c>
      <c r="Y51" s="8">
        <f>IF(OR(A51="",X51=""),"",TODAY()-X51)</f>
        <v>0</v>
      </c>
      <c r="Z51" s="8">
        <f>IF(A51="","",IF(Y51="","Yes",IF(Y51&gt;=Rotation_Gap_Days,"Yes","No")))</f>
        <v>0</v>
      </c>
      <c r="AA51" s="8">
        <f>IF(A51="","",IF(Z51="No","Too soon",IF(AND(AN51&lt;&gt;"",AN51&gt;=4),"Plan it","Available")))</f>
        <v>0</v>
      </c>
      <c r="AB51" s="27"/>
      <c r="AC51" s="27"/>
      <c r="AD51" s="27"/>
      <c r="AE51" s="27"/>
      <c r="AF51" s="27"/>
      <c r="AG51" s="27"/>
      <c r="AH51" s="27"/>
      <c r="AI51" s="27"/>
      <c r="AJ51" s="27"/>
      <c r="AK51" s="8">
        <f>IF(A51="","",IF(G51&lt;=30,"Yes","No"))</f>
        <v>0</v>
      </c>
      <c r="AL51" s="27"/>
      <c r="AM51" s="30"/>
      <c r="AN51" s="26"/>
      <c r="AO51" s="7"/>
      <c r="AP51" s="7"/>
      <c r="AQ51" s="7"/>
      <c r="AR51" s="25"/>
      <c r="AS51" s="8">
        <f>IF(A51="","",COUNTIFS($H$5:$H$204,"&gt;"&amp;H51)+1)</f>
        <v>0</v>
      </c>
      <c r="AT51" s="8">
        <f>IF(A51="","",COUNTIFS($I$5:$I$204,"&gt;"&amp;I51)+1)</f>
        <v>0</v>
      </c>
      <c r="AU51" s="8">
        <f>IF(A51="","",COUNTIFS($L$5:$L$204,"&gt;"&amp;L51)+1)</f>
        <v>0</v>
      </c>
      <c r="AV51" s="8">
        <f>IF(OR(A51="",Q51=""),"",COUNTIFS($Q$5:$Q$204,"&lt;"&amp;Q51)+1)</f>
        <v>0</v>
      </c>
      <c r="AW51" s="8">
        <f>IF(A51="","",COUNTIFS($V$5:$V$204,"&gt;"&amp;V51)+1)</f>
        <v>0</v>
      </c>
      <c r="AX51" s="8">
        <f>IF(A51="","",COUNTIFS($Y$5:$Y$204,"&lt;"&amp;Y51)+1)</f>
        <v>0</v>
      </c>
      <c r="AY51" s="8">
        <f>IF(A51="","",COUNTIFS($W$5:$W$204,"&gt;"&amp;W51)+1)</f>
        <v>0</v>
      </c>
    </row>
    <row r="52" spans="1:51">
      <c r="A52" s="7"/>
      <c r="B52" s="27"/>
      <c r="C52" s="27"/>
      <c r="D52" s="26"/>
      <c r="E52" s="26"/>
      <c r="F52" s="26"/>
      <c r="G52" s="8">
        <f>IF(A52="","",E52+F52)</f>
        <v>0</v>
      </c>
      <c r="H52" s="26"/>
      <c r="I52" s="26"/>
      <c r="J52" s="26"/>
      <c r="K52" s="26"/>
      <c r="L52" s="26"/>
      <c r="M52" s="26"/>
      <c r="N52" s="26"/>
      <c r="O52" s="8">
        <f>IF(A52="","",COUNTIFS('Recipe Ingredients'!$A$5:$A$1204,A52))</f>
        <v>0</v>
      </c>
      <c r="P52" s="8">
        <f>IF(A52="","",SUMIFS('Recipe Ingredients'!$H$5:$H$1204,'Recipe Ingredients'!$A$5:$A$1204,A52))</f>
        <v>0</v>
      </c>
      <c r="Q52" s="8">
        <f>IF(OR(A52="",D52=0,D52=""),"",P52/D52)</f>
        <v>0</v>
      </c>
      <c r="R52" s="8">
        <f>IF(OR(A52="",H52=0,H52=""),"",IFERROR(Q52/H52*1000,""))</f>
        <v>0</v>
      </c>
      <c r="S52" s="8">
        <f>IF(OR(A52="",Q52="",Q52=0),"",IFERROR(H52/Q52,""))</f>
        <v>0</v>
      </c>
      <c r="T52" s="8">
        <f>IF(OR(A52="",Q52="",Q52=0),"",IFERROR(I52/Q52,""))</f>
        <v>0</v>
      </c>
      <c r="U52" s="8">
        <f>IF(OR(A52="",G52="",G52=0),"",IFERROR(H52/G52*10,""))</f>
        <v>0</v>
      </c>
      <c r="V52" s="8">
        <f>IF(A52="","",(AC52="Yes")*1+(AD52="Yes")*1+(AE52="Yes")*1+(AF52="Yes")*1+(AG52="Yes")*1+(AH52="Yes")*1)</f>
        <v>0</v>
      </c>
      <c r="W52" s="8">
        <f>IF(A52="","",COUNTIFS('Meal Plan'!$G$5:$G$504,A52,'Meal Plan'!$S$5:$S$504,"Cooked")+COUNTIFS('Meal Plan'!$G$5:$G$504,A52,'Meal Plan'!$S$5:$S$504,"Eaten"))</f>
        <v>0</v>
      </c>
      <c r="X52" s="8">
        <f>IF(A52="","",IF(SUMPRODUCT(MAX(('Meal Plan'!$G$5:$G$504=A52)*'Meal Plan'!$B$5:$B$504))=0,"",SUMPRODUCT(MAX(('Meal Plan'!$G$5:$G$504=A52)*'Meal Plan'!$B$5:$B$504))))</f>
        <v>0</v>
      </c>
      <c r="Y52" s="8">
        <f>IF(OR(A52="",X52=""),"",TODAY()-X52)</f>
        <v>0</v>
      </c>
      <c r="Z52" s="8">
        <f>IF(A52="","",IF(Y52="","Yes",IF(Y52&gt;=Rotation_Gap_Days,"Yes","No")))</f>
        <v>0</v>
      </c>
      <c r="AA52" s="8">
        <f>IF(A52="","",IF(Z52="No","Too soon",IF(AND(AN52&lt;&gt;"",AN52&gt;=4),"Plan it","Available")))</f>
        <v>0</v>
      </c>
      <c r="AB52" s="27"/>
      <c r="AC52" s="27"/>
      <c r="AD52" s="27"/>
      <c r="AE52" s="27"/>
      <c r="AF52" s="27"/>
      <c r="AG52" s="27"/>
      <c r="AH52" s="27"/>
      <c r="AI52" s="27"/>
      <c r="AJ52" s="27"/>
      <c r="AK52" s="8">
        <f>IF(A52="","",IF(G52&lt;=30,"Yes","No"))</f>
        <v>0</v>
      </c>
      <c r="AL52" s="27"/>
      <c r="AM52" s="30"/>
      <c r="AN52" s="26"/>
      <c r="AO52" s="7"/>
      <c r="AP52" s="7"/>
      <c r="AQ52" s="7"/>
      <c r="AR52" s="25"/>
      <c r="AS52" s="8">
        <f>IF(A52="","",COUNTIFS($H$5:$H$204,"&gt;"&amp;H52)+1)</f>
        <v>0</v>
      </c>
      <c r="AT52" s="8">
        <f>IF(A52="","",COUNTIFS($I$5:$I$204,"&gt;"&amp;I52)+1)</f>
        <v>0</v>
      </c>
      <c r="AU52" s="8">
        <f>IF(A52="","",COUNTIFS($L$5:$L$204,"&gt;"&amp;L52)+1)</f>
        <v>0</v>
      </c>
      <c r="AV52" s="8">
        <f>IF(OR(A52="",Q52=""),"",COUNTIFS($Q$5:$Q$204,"&lt;"&amp;Q52)+1)</f>
        <v>0</v>
      </c>
      <c r="AW52" s="8">
        <f>IF(A52="","",COUNTIFS($V$5:$V$204,"&gt;"&amp;V52)+1)</f>
        <v>0</v>
      </c>
      <c r="AX52" s="8">
        <f>IF(A52="","",COUNTIFS($Y$5:$Y$204,"&lt;"&amp;Y52)+1)</f>
        <v>0</v>
      </c>
      <c r="AY52" s="8">
        <f>IF(A52="","",COUNTIFS($W$5:$W$204,"&gt;"&amp;W52)+1)</f>
        <v>0</v>
      </c>
    </row>
    <row r="53" spans="1:51">
      <c r="A53" s="7"/>
      <c r="B53" s="27"/>
      <c r="C53" s="27"/>
      <c r="D53" s="26"/>
      <c r="E53" s="26"/>
      <c r="F53" s="26"/>
      <c r="G53" s="8">
        <f>IF(A53="","",E53+F53)</f>
        <v>0</v>
      </c>
      <c r="H53" s="26"/>
      <c r="I53" s="26"/>
      <c r="J53" s="26"/>
      <c r="K53" s="26"/>
      <c r="L53" s="26"/>
      <c r="M53" s="26"/>
      <c r="N53" s="26"/>
      <c r="O53" s="8">
        <f>IF(A53="","",COUNTIFS('Recipe Ingredients'!$A$5:$A$1204,A53))</f>
        <v>0</v>
      </c>
      <c r="P53" s="8">
        <f>IF(A53="","",SUMIFS('Recipe Ingredients'!$H$5:$H$1204,'Recipe Ingredients'!$A$5:$A$1204,A53))</f>
        <v>0</v>
      </c>
      <c r="Q53" s="8">
        <f>IF(OR(A53="",D53=0,D53=""),"",P53/D53)</f>
        <v>0</v>
      </c>
      <c r="R53" s="8">
        <f>IF(OR(A53="",H53=0,H53=""),"",IFERROR(Q53/H53*1000,""))</f>
        <v>0</v>
      </c>
      <c r="S53" s="8">
        <f>IF(OR(A53="",Q53="",Q53=0),"",IFERROR(H53/Q53,""))</f>
        <v>0</v>
      </c>
      <c r="T53" s="8">
        <f>IF(OR(A53="",Q53="",Q53=0),"",IFERROR(I53/Q53,""))</f>
        <v>0</v>
      </c>
      <c r="U53" s="8">
        <f>IF(OR(A53="",G53="",G53=0),"",IFERROR(H53/G53*10,""))</f>
        <v>0</v>
      </c>
      <c r="V53" s="8">
        <f>IF(A53="","",(AC53="Yes")*1+(AD53="Yes")*1+(AE53="Yes")*1+(AF53="Yes")*1+(AG53="Yes")*1+(AH53="Yes")*1)</f>
        <v>0</v>
      </c>
      <c r="W53" s="8">
        <f>IF(A53="","",COUNTIFS('Meal Plan'!$G$5:$G$504,A53,'Meal Plan'!$S$5:$S$504,"Cooked")+COUNTIFS('Meal Plan'!$G$5:$G$504,A53,'Meal Plan'!$S$5:$S$504,"Eaten"))</f>
        <v>0</v>
      </c>
      <c r="X53" s="8">
        <f>IF(A53="","",IF(SUMPRODUCT(MAX(('Meal Plan'!$G$5:$G$504=A53)*'Meal Plan'!$B$5:$B$504))=0,"",SUMPRODUCT(MAX(('Meal Plan'!$G$5:$G$504=A53)*'Meal Plan'!$B$5:$B$504))))</f>
        <v>0</v>
      </c>
      <c r="Y53" s="8">
        <f>IF(OR(A53="",X53=""),"",TODAY()-X53)</f>
        <v>0</v>
      </c>
      <c r="Z53" s="8">
        <f>IF(A53="","",IF(Y53="","Yes",IF(Y53&gt;=Rotation_Gap_Days,"Yes","No")))</f>
        <v>0</v>
      </c>
      <c r="AA53" s="8">
        <f>IF(A53="","",IF(Z53="No","Too soon",IF(AND(AN53&lt;&gt;"",AN53&gt;=4),"Plan it","Available")))</f>
        <v>0</v>
      </c>
      <c r="AB53" s="27"/>
      <c r="AC53" s="27"/>
      <c r="AD53" s="27"/>
      <c r="AE53" s="27"/>
      <c r="AF53" s="27"/>
      <c r="AG53" s="27"/>
      <c r="AH53" s="27"/>
      <c r="AI53" s="27"/>
      <c r="AJ53" s="27"/>
      <c r="AK53" s="8">
        <f>IF(A53="","",IF(G53&lt;=30,"Yes","No"))</f>
        <v>0</v>
      </c>
      <c r="AL53" s="27"/>
      <c r="AM53" s="30"/>
      <c r="AN53" s="26"/>
      <c r="AO53" s="7"/>
      <c r="AP53" s="7"/>
      <c r="AQ53" s="7"/>
      <c r="AR53" s="25"/>
      <c r="AS53" s="8">
        <f>IF(A53="","",COUNTIFS($H$5:$H$204,"&gt;"&amp;H53)+1)</f>
        <v>0</v>
      </c>
      <c r="AT53" s="8">
        <f>IF(A53="","",COUNTIFS($I$5:$I$204,"&gt;"&amp;I53)+1)</f>
        <v>0</v>
      </c>
      <c r="AU53" s="8">
        <f>IF(A53="","",COUNTIFS($L$5:$L$204,"&gt;"&amp;L53)+1)</f>
        <v>0</v>
      </c>
      <c r="AV53" s="8">
        <f>IF(OR(A53="",Q53=""),"",COUNTIFS($Q$5:$Q$204,"&lt;"&amp;Q53)+1)</f>
        <v>0</v>
      </c>
      <c r="AW53" s="8">
        <f>IF(A53="","",COUNTIFS($V$5:$V$204,"&gt;"&amp;V53)+1)</f>
        <v>0</v>
      </c>
      <c r="AX53" s="8">
        <f>IF(A53="","",COUNTIFS($Y$5:$Y$204,"&lt;"&amp;Y53)+1)</f>
        <v>0</v>
      </c>
      <c r="AY53" s="8">
        <f>IF(A53="","",COUNTIFS($W$5:$W$204,"&gt;"&amp;W53)+1)</f>
        <v>0</v>
      </c>
    </row>
    <row r="54" spans="1:51">
      <c r="A54" s="7"/>
      <c r="B54" s="27"/>
      <c r="C54" s="27"/>
      <c r="D54" s="26"/>
      <c r="E54" s="26"/>
      <c r="F54" s="26"/>
      <c r="G54" s="8">
        <f>IF(A54="","",E54+F54)</f>
        <v>0</v>
      </c>
      <c r="H54" s="26"/>
      <c r="I54" s="26"/>
      <c r="J54" s="26"/>
      <c r="K54" s="26"/>
      <c r="L54" s="26"/>
      <c r="M54" s="26"/>
      <c r="N54" s="26"/>
      <c r="O54" s="8">
        <f>IF(A54="","",COUNTIFS('Recipe Ingredients'!$A$5:$A$1204,A54))</f>
        <v>0</v>
      </c>
      <c r="P54" s="8">
        <f>IF(A54="","",SUMIFS('Recipe Ingredients'!$H$5:$H$1204,'Recipe Ingredients'!$A$5:$A$1204,A54))</f>
        <v>0</v>
      </c>
      <c r="Q54" s="8">
        <f>IF(OR(A54="",D54=0,D54=""),"",P54/D54)</f>
        <v>0</v>
      </c>
      <c r="R54" s="8">
        <f>IF(OR(A54="",H54=0,H54=""),"",IFERROR(Q54/H54*1000,""))</f>
        <v>0</v>
      </c>
      <c r="S54" s="8">
        <f>IF(OR(A54="",Q54="",Q54=0),"",IFERROR(H54/Q54,""))</f>
        <v>0</v>
      </c>
      <c r="T54" s="8">
        <f>IF(OR(A54="",Q54="",Q54=0),"",IFERROR(I54/Q54,""))</f>
        <v>0</v>
      </c>
      <c r="U54" s="8">
        <f>IF(OR(A54="",G54="",G54=0),"",IFERROR(H54/G54*10,""))</f>
        <v>0</v>
      </c>
      <c r="V54" s="8">
        <f>IF(A54="","",(AC54="Yes")*1+(AD54="Yes")*1+(AE54="Yes")*1+(AF54="Yes")*1+(AG54="Yes")*1+(AH54="Yes")*1)</f>
        <v>0</v>
      </c>
      <c r="W54" s="8">
        <f>IF(A54="","",COUNTIFS('Meal Plan'!$G$5:$G$504,A54,'Meal Plan'!$S$5:$S$504,"Cooked")+COUNTIFS('Meal Plan'!$G$5:$G$504,A54,'Meal Plan'!$S$5:$S$504,"Eaten"))</f>
        <v>0</v>
      </c>
      <c r="X54" s="8">
        <f>IF(A54="","",IF(SUMPRODUCT(MAX(('Meal Plan'!$G$5:$G$504=A54)*'Meal Plan'!$B$5:$B$504))=0,"",SUMPRODUCT(MAX(('Meal Plan'!$G$5:$G$504=A54)*'Meal Plan'!$B$5:$B$504))))</f>
        <v>0</v>
      </c>
      <c r="Y54" s="8">
        <f>IF(OR(A54="",X54=""),"",TODAY()-X54)</f>
        <v>0</v>
      </c>
      <c r="Z54" s="8">
        <f>IF(A54="","",IF(Y54="","Yes",IF(Y54&gt;=Rotation_Gap_Days,"Yes","No")))</f>
        <v>0</v>
      </c>
      <c r="AA54" s="8">
        <f>IF(A54="","",IF(Z54="No","Too soon",IF(AND(AN54&lt;&gt;"",AN54&gt;=4),"Plan it","Available")))</f>
        <v>0</v>
      </c>
      <c r="AB54" s="27"/>
      <c r="AC54" s="27"/>
      <c r="AD54" s="27"/>
      <c r="AE54" s="27"/>
      <c r="AF54" s="27"/>
      <c r="AG54" s="27"/>
      <c r="AH54" s="27"/>
      <c r="AI54" s="27"/>
      <c r="AJ54" s="27"/>
      <c r="AK54" s="8">
        <f>IF(A54="","",IF(G54&lt;=30,"Yes","No"))</f>
        <v>0</v>
      </c>
      <c r="AL54" s="27"/>
      <c r="AM54" s="30"/>
      <c r="AN54" s="26"/>
      <c r="AO54" s="7"/>
      <c r="AP54" s="7"/>
      <c r="AQ54" s="7"/>
      <c r="AR54" s="25"/>
      <c r="AS54" s="8">
        <f>IF(A54="","",COUNTIFS($H$5:$H$204,"&gt;"&amp;H54)+1)</f>
        <v>0</v>
      </c>
      <c r="AT54" s="8">
        <f>IF(A54="","",COUNTIFS($I$5:$I$204,"&gt;"&amp;I54)+1)</f>
        <v>0</v>
      </c>
      <c r="AU54" s="8">
        <f>IF(A54="","",COUNTIFS($L$5:$L$204,"&gt;"&amp;L54)+1)</f>
        <v>0</v>
      </c>
      <c r="AV54" s="8">
        <f>IF(OR(A54="",Q54=""),"",COUNTIFS($Q$5:$Q$204,"&lt;"&amp;Q54)+1)</f>
        <v>0</v>
      </c>
      <c r="AW54" s="8">
        <f>IF(A54="","",COUNTIFS($V$5:$V$204,"&gt;"&amp;V54)+1)</f>
        <v>0</v>
      </c>
      <c r="AX54" s="8">
        <f>IF(A54="","",COUNTIFS($Y$5:$Y$204,"&lt;"&amp;Y54)+1)</f>
        <v>0</v>
      </c>
      <c r="AY54" s="8">
        <f>IF(A54="","",COUNTIFS($W$5:$W$204,"&gt;"&amp;W54)+1)</f>
        <v>0</v>
      </c>
    </row>
    <row r="55" spans="1:51">
      <c r="A55" s="7"/>
      <c r="B55" s="27"/>
      <c r="C55" s="27"/>
      <c r="D55" s="26"/>
      <c r="E55" s="26"/>
      <c r="F55" s="26"/>
      <c r="G55" s="8">
        <f>IF(A55="","",E55+F55)</f>
        <v>0</v>
      </c>
      <c r="H55" s="26"/>
      <c r="I55" s="26"/>
      <c r="J55" s="26"/>
      <c r="K55" s="26"/>
      <c r="L55" s="26"/>
      <c r="M55" s="26"/>
      <c r="N55" s="26"/>
      <c r="O55" s="8">
        <f>IF(A55="","",COUNTIFS('Recipe Ingredients'!$A$5:$A$1204,A55))</f>
        <v>0</v>
      </c>
      <c r="P55" s="8">
        <f>IF(A55="","",SUMIFS('Recipe Ingredients'!$H$5:$H$1204,'Recipe Ingredients'!$A$5:$A$1204,A55))</f>
        <v>0</v>
      </c>
      <c r="Q55" s="8">
        <f>IF(OR(A55="",D55=0,D55=""),"",P55/D55)</f>
        <v>0</v>
      </c>
      <c r="R55" s="8">
        <f>IF(OR(A55="",H55=0,H55=""),"",IFERROR(Q55/H55*1000,""))</f>
        <v>0</v>
      </c>
      <c r="S55" s="8">
        <f>IF(OR(A55="",Q55="",Q55=0),"",IFERROR(H55/Q55,""))</f>
        <v>0</v>
      </c>
      <c r="T55" s="8">
        <f>IF(OR(A55="",Q55="",Q55=0),"",IFERROR(I55/Q55,""))</f>
        <v>0</v>
      </c>
      <c r="U55" s="8">
        <f>IF(OR(A55="",G55="",G55=0),"",IFERROR(H55/G55*10,""))</f>
        <v>0</v>
      </c>
      <c r="V55" s="8">
        <f>IF(A55="","",(AC55="Yes")*1+(AD55="Yes")*1+(AE55="Yes")*1+(AF55="Yes")*1+(AG55="Yes")*1+(AH55="Yes")*1)</f>
        <v>0</v>
      </c>
      <c r="W55" s="8">
        <f>IF(A55="","",COUNTIFS('Meal Plan'!$G$5:$G$504,A55,'Meal Plan'!$S$5:$S$504,"Cooked")+COUNTIFS('Meal Plan'!$G$5:$G$504,A55,'Meal Plan'!$S$5:$S$504,"Eaten"))</f>
        <v>0</v>
      </c>
      <c r="X55" s="8">
        <f>IF(A55="","",IF(SUMPRODUCT(MAX(('Meal Plan'!$G$5:$G$504=A55)*'Meal Plan'!$B$5:$B$504))=0,"",SUMPRODUCT(MAX(('Meal Plan'!$G$5:$G$504=A55)*'Meal Plan'!$B$5:$B$504))))</f>
        <v>0</v>
      </c>
      <c r="Y55" s="8">
        <f>IF(OR(A55="",X55=""),"",TODAY()-X55)</f>
        <v>0</v>
      </c>
      <c r="Z55" s="8">
        <f>IF(A55="","",IF(Y55="","Yes",IF(Y55&gt;=Rotation_Gap_Days,"Yes","No")))</f>
        <v>0</v>
      </c>
      <c r="AA55" s="8">
        <f>IF(A55="","",IF(Z55="No","Too soon",IF(AND(AN55&lt;&gt;"",AN55&gt;=4),"Plan it","Available")))</f>
        <v>0</v>
      </c>
      <c r="AB55" s="27"/>
      <c r="AC55" s="27"/>
      <c r="AD55" s="27"/>
      <c r="AE55" s="27"/>
      <c r="AF55" s="27"/>
      <c r="AG55" s="27"/>
      <c r="AH55" s="27"/>
      <c r="AI55" s="27"/>
      <c r="AJ55" s="27"/>
      <c r="AK55" s="8">
        <f>IF(A55="","",IF(G55&lt;=30,"Yes","No"))</f>
        <v>0</v>
      </c>
      <c r="AL55" s="27"/>
      <c r="AM55" s="30"/>
      <c r="AN55" s="26"/>
      <c r="AO55" s="7"/>
      <c r="AP55" s="7"/>
      <c r="AQ55" s="7"/>
      <c r="AR55" s="25"/>
      <c r="AS55" s="8">
        <f>IF(A55="","",COUNTIFS($H$5:$H$204,"&gt;"&amp;H55)+1)</f>
        <v>0</v>
      </c>
      <c r="AT55" s="8">
        <f>IF(A55="","",COUNTIFS($I$5:$I$204,"&gt;"&amp;I55)+1)</f>
        <v>0</v>
      </c>
      <c r="AU55" s="8">
        <f>IF(A55="","",COUNTIFS($L$5:$L$204,"&gt;"&amp;L55)+1)</f>
        <v>0</v>
      </c>
      <c r="AV55" s="8">
        <f>IF(OR(A55="",Q55=""),"",COUNTIFS($Q$5:$Q$204,"&lt;"&amp;Q55)+1)</f>
        <v>0</v>
      </c>
      <c r="AW55" s="8">
        <f>IF(A55="","",COUNTIFS($V$5:$V$204,"&gt;"&amp;V55)+1)</f>
        <v>0</v>
      </c>
      <c r="AX55" s="8">
        <f>IF(A55="","",COUNTIFS($Y$5:$Y$204,"&lt;"&amp;Y55)+1)</f>
        <v>0</v>
      </c>
      <c r="AY55" s="8">
        <f>IF(A55="","",COUNTIFS($W$5:$W$204,"&gt;"&amp;W55)+1)</f>
        <v>0</v>
      </c>
    </row>
    <row r="56" spans="1:51">
      <c r="A56" s="7"/>
      <c r="B56" s="27"/>
      <c r="C56" s="27"/>
      <c r="D56" s="26"/>
      <c r="E56" s="26"/>
      <c r="F56" s="26"/>
      <c r="G56" s="8">
        <f>IF(A56="","",E56+F56)</f>
        <v>0</v>
      </c>
      <c r="H56" s="26"/>
      <c r="I56" s="26"/>
      <c r="J56" s="26"/>
      <c r="K56" s="26"/>
      <c r="L56" s="26"/>
      <c r="M56" s="26"/>
      <c r="N56" s="26"/>
      <c r="O56" s="8">
        <f>IF(A56="","",COUNTIFS('Recipe Ingredients'!$A$5:$A$1204,A56))</f>
        <v>0</v>
      </c>
      <c r="P56" s="8">
        <f>IF(A56="","",SUMIFS('Recipe Ingredients'!$H$5:$H$1204,'Recipe Ingredients'!$A$5:$A$1204,A56))</f>
        <v>0</v>
      </c>
      <c r="Q56" s="8">
        <f>IF(OR(A56="",D56=0,D56=""),"",P56/D56)</f>
        <v>0</v>
      </c>
      <c r="R56" s="8">
        <f>IF(OR(A56="",H56=0,H56=""),"",IFERROR(Q56/H56*1000,""))</f>
        <v>0</v>
      </c>
      <c r="S56" s="8">
        <f>IF(OR(A56="",Q56="",Q56=0),"",IFERROR(H56/Q56,""))</f>
        <v>0</v>
      </c>
      <c r="T56" s="8">
        <f>IF(OR(A56="",Q56="",Q56=0),"",IFERROR(I56/Q56,""))</f>
        <v>0</v>
      </c>
      <c r="U56" s="8">
        <f>IF(OR(A56="",G56="",G56=0),"",IFERROR(H56/G56*10,""))</f>
        <v>0</v>
      </c>
      <c r="V56" s="8">
        <f>IF(A56="","",(AC56="Yes")*1+(AD56="Yes")*1+(AE56="Yes")*1+(AF56="Yes")*1+(AG56="Yes")*1+(AH56="Yes")*1)</f>
        <v>0</v>
      </c>
      <c r="W56" s="8">
        <f>IF(A56="","",COUNTIFS('Meal Plan'!$G$5:$G$504,A56,'Meal Plan'!$S$5:$S$504,"Cooked")+COUNTIFS('Meal Plan'!$G$5:$G$504,A56,'Meal Plan'!$S$5:$S$504,"Eaten"))</f>
        <v>0</v>
      </c>
      <c r="X56" s="8">
        <f>IF(A56="","",IF(SUMPRODUCT(MAX(('Meal Plan'!$G$5:$G$504=A56)*'Meal Plan'!$B$5:$B$504))=0,"",SUMPRODUCT(MAX(('Meal Plan'!$G$5:$G$504=A56)*'Meal Plan'!$B$5:$B$504))))</f>
        <v>0</v>
      </c>
      <c r="Y56" s="8">
        <f>IF(OR(A56="",X56=""),"",TODAY()-X56)</f>
        <v>0</v>
      </c>
      <c r="Z56" s="8">
        <f>IF(A56="","",IF(Y56="","Yes",IF(Y56&gt;=Rotation_Gap_Days,"Yes","No")))</f>
        <v>0</v>
      </c>
      <c r="AA56" s="8">
        <f>IF(A56="","",IF(Z56="No","Too soon",IF(AND(AN56&lt;&gt;"",AN56&gt;=4),"Plan it","Available")))</f>
        <v>0</v>
      </c>
      <c r="AB56" s="27"/>
      <c r="AC56" s="27"/>
      <c r="AD56" s="27"/>
      <c r="AE56" s="27"/>
      <c r="AF56" s="27"/>
      <c r="AG56" s="27"/>
      <c r="AH56" s="27"/>
      <c r="AI56" s="27"/>
      <c r="AJ56" s="27"/>
      <c r="AK56" s="8">
        <f>IF(A56="","",IF(G56&lt;=30,"Yes","No"))</f>
        <v>0</v>
      </c>
      <c r="AL56" s="27"/>
      <c r="AM56" s="30"/>
      <c r="AN56" s="26"/>
      <c r="AO56" s="7"/>
      <c r="AP56" s="7"/>
      <c r="AQ56" s="7"/>
      <c r="AR56" s="25"/>
      <c r="AS56" s="8">
        <f>IF(A56="","",COUNTIFS($H$5:$H$204,"&gt;"&amp;H56)+1)</f>
        <v>0</v>
      </c>
      <c r="AT56" s="8">
        <f>IF(A56="","",COUNTIFS($I$5:$I$204,"&gt;"&amp;I56)+1)</f>
        <v>0</v>
      </c>
      <c r="AU56" s="8">
        <f>IF(A56="","",COUNTIFS($L$5:$L$204,"&gt;"&amp;L56)+1)</f>
        <v>0</v>
      </c>
      <c r="AV56" s="8">
        <f>IF(OR(A56="",Q56=""),"",COUNTIFS($Q$5:$Q$204,"&lt;"&amp;Q56)+1)</f>
        <v>0</v>
      </c>
      <c r="AW56" s="8">
        <f>IF(A56="","",COUNTIFS($V$5:$V$204,"&gt;"&amp;V56)+1)</f>
        <v>0</v>
      </c>
      <c r="AX56" s="8">
        <f>IF(A56="","",COUNTIFS($Y$5:$Y$204,"&lt;"&amp;Y56)+1)</f>
        <v>0</v>
      </c>
      <c r="AY56" s="8">
        <f>IF(A56="","",COUNTIFS($W$5:$W$204,"&gt;"&amp;W56)+1)</f>
        <v>0</v>
      </c>
    </row>
    <row r="57" spans="1:51">
      <c r="A57" s="7"/>
      <c r="B57" s="27"/>
      <c r="C57" s="27"/>
      <c r="D57" s="26"/>
      <c r="E57" s="26"/>
      <c r="F57" s="26"/>
      <c r="G57" s="8">
        <f>IF(A57="","",E57+F57)</f>
        <v>0</v>
      </c>
      <c r="H57" s="26"/>
      <c r="I57" s="26"/>
      <c r="J57" s="26"/>
      <c r="K57" s="26"/>
      <c r="L57" s="26"/>
      <c r="M57" s="26"/>
      <c r="N57" s="26"/>
      <c r="O57" s="8">
        <f>IF(A57="","",COUNTIFS('Recipe Ingredients'!$A$5:$A$1204,A57))</f>
        <v>0</v>
      </c>
      <c r="P57" s="8">
        <f>IF(A57="","",SUMIFS('Recipe Ingredients'!$H$5:$H$1204,'Recipe Ingredients'!$A$5:$A$1204,A57))</f>
        <v>0</v>
      </c>
      <c r="Q57" s="8">
        <f>IF(OR(A57="",D57=0,D57=""),"",P57/D57)</f>
        <v>0</v>
      </c>
      <c r="R57" s="8">
        <f>IF(OR(A57="",H57=0,H57=""),"",IFERROR(Q57/H57*1000,""))</f>
        <v>0</v>
      </c>
      <c r="S57" s="8">
        <f>IF(OR(A57="",Q57="",Q57=0),"",IFERROR(H57/Q57,""))</f>
        <v>0</v>
      </c>
      <c r="T57" s="8">
        <f>IF(OR(A57="",Q57="",Q57=0),"",IFERROR(I57/Q57,""))</f>
        <v>0</v>
      </c>
      <c r="U57" s="8">
        <f>IF(OR(A57="",G57="",G57=0),"",IFERROR(H57/G57*10,""))</f>
        <v>0</v>
      </c>
      <c r="V57" s="8">
        <f>IF(A57="","",(AC57="Yes")*1+(AD57="Yes")*1+(AE57="Yes")*1+(AF57="Yes")*1+(AG57="Yes")*1+(AH57="Yes")*1)</f>
        <v>0</v>
      </c>
      <c r="W57" s="8">
        <f>IF(A57="","",COUNTIFS('Meal Plan'!$G$5:$G$504,A57,'Meal Plan'!$S$5:$S$504,"Cooked")+COUNTIFS('Meal Plan'!$G$5:$G$504,A57,'Meal Plan'!$S$5:$S$504,"Eaten"))</f>
        <v>0</v>
      </c>
      <c r="X57" s="8">
        <f>IF(A57="","",IF(SUMPRODUCT(MAX(('Meal Plan'!$G$5:$G$504=A57)*'Meal Plan'!$B$5:$B$504))=0,"",SUMPRODUCT(MAX(('Meal Plan'!$G$5:$G$504=A57)*'Meal Plan'!$B$5:$B$504))))</f>
        <v>0</v>
      </c>
      <c r="Y57" s="8">
        <f>IF(OR(A57="",X57=""),"",TODAY()-X57)</f>
        <v>0</v>
      </c>
      <c r="Z57" s="8">
        <f>IF(A57="","",IF(Y57="","Yes",IF(Y57&gt;=Rotation_Gap_Days,"Yes","No")))</f>
        <v>0</v>
      </c>
      <c r="AA57" s="8">
        <f>IF(A57="","",IF(Z57="No","Too soon",IF(AND(AN57&lt;&gt;"",AN57&gt;=4),"Plan it","Available")))</f>
        <v>0</v>
      </c>
      <c r="AB57" s="27"/>
      <c r="AC57" s="27"/>
      <c r="AD57" s="27"/>
      <c r="AE57" s="27"/>
      <c r="AF57" s="27"/>
      <c r="AG57" s="27"/>
      <c r="AH57" s="27"/>
      <c r="AI57" s="27"/>
      <c r="AJ57" s="27"/>
      <c r="AK57" s="8">
        <f>IF(A57="","",IF(G57&lt;=30,"Yes","No"))</f>
        <v>0</v>
      </c>
      <c r="AL57" s="27"/>
      <c r="AM57" s="30"/>
      <c r="AN57" s="26"/>
      <c r="AO57" s="7"/>
      <c r="AP57" s="7"/>
      <c r="AQ57" s="7"/>
      <c r="AR57" s="25"/>
      <c r="AS57" s="8">
        <f>IF(A57="","",COUNTIFS($H$5:$H$204,"&gt;"&amp;H57)+1)</f>
        <v>0</v>
      </c>
      <c r="AT57" s="8">
        <f>IF(A57="","",COUNTIFS($I$5:$I$204,"&gt;"&amp;I57)+1)</f>
        <v>0</v>
      </c>
      <c r="AU57" s="8">
        <f>IF(A57="","",COUNTIFS($L$5:$L$204,"&gt;"&amp;L57)+1)</f>
        <v>0</v>
      </c>
      <c r="AV57" s="8">
        <f>IF(OR(A57="",Q57=""),"",COUNTIFS($Q$5:$Q$204,"&lt;"&amp;Q57)+1)</f>
        <v>0</v>
      </c>
      <c r="AW57" s="8">
        <f>IF(A57="","",COUNTIFS($V$5:$V$204,"&gt;"&amp;V57)+1)</f>
        <v>0</v>
      </c>
      <c r="AX57" s="8">
        <f>IF(A57="","",COUNTIFS($Y$5:$Y$204,"&lt;"&amp;Y57)+1)</f>
        <v>0</v>
      </c>
      <c r="AY57" s="8">
        <f>IF(A57="","",COUNTIFS($W$5:$W$204,"&gt;"&amp;W57)+1)</f>
        <v>0</v>
      </c>
    </row>
    <row r="58" spans="1:51">
      <c r="A58" s="7"/>
      <c r="B58" s="27"/>
      <c r="C58" s="27"/>
      <c r="D58" s="26"/>
      <c r="E58" s="26"/>
      <c r="F58" s="26"/>
      <c r="G58" s="8">
        <f>IF(A58="","",E58+F58)</f>
        <v>0</v>
      </c>
      <c r="H58" s="26"/>
      <c r="I58" s="26"/>
      <c r="J58" s="26"/>
      <c r="K58" s="26"/>
      <c r="L58" s="26"/>
      <c r="M58" s="26"/>
      <c r="N58" s="26"/>
      <c r="O58" s="8">
        <f>IF(A58="","",COUNTIFS('Recipe Ingredients'!$A$5:$A$1204,A58))</f>
        <v>0</v>
      </c>
      <c r="P58" s="8">
        <f>IF(A58="","",SUMIFS('Recipe Ingredients'!$H$5:$H$1204,'Recipe Ingredients'!$A$5:$A$1204,A58))</f>
        <v>0</v>
      </c>
      <c r="Q58" s="8">
        <f>IF(OR(A58="",D58=0,D58=""),"",P58/D58)</f>
        <v>0</v>
      </c>
      <c r="R58" s="8">
        <f>IF(OR(A58="",H58=0,H58=""),"",IFERROR(Q58/H58*1000,""))</f>
        <v>0</v>
      </c>
      <c r="S58" s="8">
        <f>IF(OR(A58="",Q58="",Q58=0),"",IFERROR(H58/Q58,""))</f>
        <v>0</v>
      </c>
      <c r="T58" s="8">
        <f>IF(OR(A58="",Q58="",Q58=0),"",IFERROR(I58/Q58,""))</f>
        <v>0</v>
      </c>
      <c r="U58" s="8">
        <f>IF(OR(A58="",G58="",G58=0),"",IFERROR(H58/G58*10,""))</f>
        <v>0</v>
      </c>
      <c r="V58" s="8">
        <f>IF(A58="","",(AC58="Yes")*1+(AD58="Yes")*1+(AE58="Yes")*1+(AF58="Yes")*1+(AG58="Yes")*1+(AH58="Yes")*1)</f>
        <v>0</v>
      </c>
      <c r="W58" s="8">
        <f>IF(A58="","",COUNTIFS('Meal Plan'!$G$5:$G$504,A58,'Meal Plan'!$S$5:$S$504,"Cooked")+COUNTIFS('Meal Plan'!$G$5:$G$504,A58,'Meal Plan'!$S$5:$S$504,"Eaten"))</f>
        <v>0</v>
      </c>
      <c r="X58" s="8">
        <f>IF(A58="","",IF(SUMPRODUCT(MAX(('Meal Plan'!$G$5:$G$504=A58)*'Meal Plan'!$B$5:$B$504))=0,"",SUMPRODUCT(MAX(('Meal Plan'!$G$5:$G$504=A58)*'Meal Plan'!$B$5:$B$504))))</f>
        <v>0</v>
      </c>
      <c r="Y58" s="8">
        <f>IF(OR(A58="",X58=""),"",TODAY()-X58)</f>
        <v>0</v>
      </c>
      <c r="Z58" s="8">
        <f>IF(A58="","",IF(Y58="","Yes",IF(Y58&gt;=Rotation_Gap_Days,"Yes","No")))</f>
        <v>0</v>
      </c>
      <c r="AA58" s="8">
        <f>IF(A58="","",IF(Z58="No","Too soon",IF(AND(AN58&lt;&gt;"",AN58&gt;=4),"Plan it","Available")))</f>
        <v>0</v>
      </c>
      <c r="AB58" s="27"/>
      <c r="AC58" s="27"/>
      <c r="AD58" s="27"/>
      <c r="AE58" s="27"/>
      <c r="AF58" s="27"/>
      <c r="AG58" s="27"/>
      <c r="AH58" s="27"/>
      <c r="AI58" s="27"/>
      <c r="AJ58" s="27"/>
      <c r="AK58" s="8">
        <f>IF(A58="","",IF(G58&lt;=30,"Yes","No"))</f>
        <v>0</v>
      </c>
      <c r="AL58" s="27"/>
      <c r="AM58" s="30"/>
      <c r="AN58" s="26"/>
      <c r="AO58" s="7"/>
      <c r="AP58" s="7"/>
      <c r="AQ58" s="7"/>
      <c r="AR58" s="25"/>
      <c r="AS58" s="8">
        <f>IF(A58="","",COUNTIFS($H$5:$H$204,"&gt;"&amp;H58)+1)</f>
        <v>0</v>
      </c>
      <c r="AT58" s="8">
        <f>IF(A58="","",COUNTIFS($I$5:$I$204,"&gt;"&amp;I58)+1)</f>
        <v>0</v>
      </c>
      <c r="AU58" s="8">
        <f>IF(A58="","",COUNTIFS($L$5:$L$204,"&gt;"&amp;L58)+1)</f>
        <v>0</v>
      </c>
      <c r="AV58" s="8">
        <f>IF(OR(A58="",Q58=""),"",COUNTIFS($Q$5:$Q$204,"&lt;"&amp;Q58)+1)</f>
        <v>0</v>
      </c>
      <c r="AW58" s="8">
        <f>IF(A58="","",COUNTIFS($V$5:$V$204,"&gt;"&amp;V58)+1)</f>
        <v>0</v>
      </c>
      <c r="AX58" s="8">
        <f>IF(A58="","",COUNTIFS($Y$5:$Y$204,"&lt;"&amp;Y58)+1)</f>
        <v>0</v>
      </c>
      <c r="AY58" s="8">
        <f>IF(A58="","",COUNTIFS($W$5:$W$204,"&gt;"&amp;W58)+1)</f>
        <v>0</v>
      </c>
    </row>
    <row r="59" spans="1:51">
      <c r="A59" s="7"/>
      <c r="B59" s="27"/>
      <c r="C59" s="27"/>
      <c r="D59" s="26"/>
      <c r="E59" s="26"/>
      <c r="F59" s="26"/>
      <c r="G59" s="8">
        <f>IF(A59="","",E59+F59)</f>
        <v>0</v>
      </c>
      <c r="H59" s="26"/>
      <c r="I59" s="26"/>
      <c r="J59" s="26"/>
      <c r="K59" s="26"/>
      <c r="L59" s="26"/>
      <c r="M59" s="26"/>
      <c r="N59" s="26"/>
      <c r="O59" s="8">
        <f>IF(A59="","",COUNTIFS('Recipe Ingredients'!$A$5:$A$1204,A59))</f>
        <v>0</v>
      </c>
      <c r="P59" s="8">
        <f>IF(A59="","",SUMIFS('Recipe Ingredients'!$H$5:$H$1204,'Recipe Ingredients'!$A$5:$A$1204,A59))</f>
        <v>0</v>
      </c>
      <c r="Q59" s="8">
        <f>IF(OR(A59="",D59=0,D59=""),"",P59/D59)</f>
        <v>0</v>
      </c>
      <c r="R59" s="8">
        <f>IF(OR(A59="",H59=0,H59=""),"",IFERROR(Q59/H59*1000,""))</f>
        <v>0</v>
      </c>
      <c r="S59" s="8">
        <f>IF(OR(A59="",Q59="",Q59=0),"",IFERROR(H59/Q59,""))</f>
        <v>0</v>
      </c>
      <c r="T59" s="8">
        <f>IF(OR(A59="",Q59="",Q59=0),"",IFERROR(I59/Q59,""))</f>
        <v>0</v>
      </c>
      <c r="U59" s="8">
        <f>IF(OR(A59="",G59="",G59=0),"",IFERROR(H59/G59*10,""))</f>
        <v>0</v>
      </c>
      <c r="V59" s="8">
        <f>IF(A59="","",(AC59="Yes")*1+(AD59="Yes")*1+(AE59="Yes")*1+(AF59="Yes")*1+(AG59="Yes")*1+(AH59="Yes")*1)</f>
        <v>0</v>
      </c>
      <c r="W59" s="8">
        <f>IF(A59="","",COUNTIFS('Meal Plan'!$G$5:$G$504,A59,'Meal Plan'!$S$5:$S$504,"Cooked")+COUNTIFS('Meal Plan'!$G$5:$G$504,A59,'Meal Plan'!$S$5:$S$504,"Eaten"))</f>
        <v>0</v>
      </c>
      <c r="X59" s="8">
        <f>IF(A59="","",IF(SUMPRODUCT(MAX(('Meal Plan'!$G$5:$G$504=A59)*'Meal Plan'!$B$5:$B$504))=0,"",SUMPRODUCT(MAX(('Meal Plan'!$G$5:$G$504=A59)*'Meal Plan'!$B$5:$B$504))))</f>
        <v>0</v>
      </c>
      <c r="Y59" s="8">
        <f>IF(OR(A59="",X59=""),"",TODAY()-X59)</f>
        <v>0</v>
      </c>
      <c r="Z59" s="8">
        <f>IF(A59="","",IF(Y59="","Yes",IF(Y59&gt;=Rotation_Gap_Days,"Yes","No")))</f>
        <v>0</v>
      </c>
      <c r="AA59" s="8">
        <f>IF(A59="","",IF(Z59="No","Too soon",IF(AND(AN59&lt;&gt;"",AN59&gt;=4),"Plan it","Available")))</f>
        <v>0</v>
      </c>
      <c r="AB59" s="27"/>
      <c r="AC59" s="27"/>
      <c r="AD59" s="27"/>
      <c r="AE59" s="27"/>
      <c r="AF59" s="27"/>
      <c r="AG59" s="27"/>
      <c r="AH59" s="27"/>
      <c r="AI59" s="27"/>
      <c r="AJ59" s="27"/>
      <c r="AK59" s="8">
        <f>IF(A59="","",IF(G59&lt;=30,"Yes","No"))</f>
        <v>0</v>
      </c>
      <c r="AL59" s="27"/>
      <c r="AM59" s="30"/>
      <c r="AN59" s="26"/>
      <c r="AO59" s="7"/>
      <c r="AP59" s="7"/>
      <c r="AQ59" s="7"/>
      <c r="AR59" s="25"/>
      <c r="AS59" s="8">
        <f>IF(A59="","",COUNTIFS($H$5:$H$204,"&gt;"&amp;H59)+1)</f>
        <v>0</v>
      </c>
      <c r="AT59" s="8">
        <f>IF(A59="","",COUNTIFS($I$5:$I$204,"&gt;"&amp;I59)+1)</f>
        <v>0</v>
      </c>
      <c r="AU59" s="8">
        <f>IF(A59="","",COUNTIFS($L$5:$L$204,"&gt;"&amp;L59)+1)</f>
        <v>0</v>
      </c>
      <c r="AV59" s="8">
        <f>IF(OR(A59="",Q59=""),"",COUNTIFS($Q$5:$Q$204,"&lt;"&amp;Q59)+1)</f>
        <v>0</v>
      </c>
      <c r="AW59" s="8">
        <f>IF(A59="","",COUNTIFS($V$5:$V$204,"&gt;"&amp;V59)+1)</f>
        <v>0</v>
      </c>
      <c r="AX59" s="8">
        <f>IF(A59="","",COUNTIFS($Y$5:$Y$204,"&lt;"&amp;Y59)+1)</f>
        <v>0</v>
      </c>
      <c r="AY59" s="8">
        <f>IF(A59="","",COUNTIFS($W$5:$W$204,"&gt;"&amp;W59)+1)</f>
        <v>0</v>
      </c>
    </row>
    <row r="60" spans="1:51">
      <c r="A60" s="7"/>
      <c r="B60" s="27"/>
      <c r="C60" s="27"/>
      <c r="D60" s="26"/>
      <c r="E60" s="26"/>
      <c r="F60" s="26"/>
      <c r="G60" s="8">
        <f>IF(A60="","",E60+F60)</f>
        <v>0</v>
      </c>
      <c r="H60" s="26"/>
      <c r="I60" s="26"/>
      <c r="J60" s="26"/>
      <c r="K60" s="26"/>
      <c r="L60" s="26"/>
      <c r="M60" s="26"/>
      <c r="N60" s="26"/>
      <c r="O60" s="8">
        <f>IF(A60="","",COUNTIFS('Recipe Ingredients'!$A$5:$A$1204,A60))</f>
        <v>0</v>
      </c>
      <c r="P60" s="8">
        <f>IF(A60="","",SUMIFS('Recipe Ingredients'!$H$5:$H$1204,'Recipe Ingredients'!$A$5:$A$1204,A60))</f>
        <v>0</v>
      </c>
      <c r="Q60" s="8">
        <f>IF(OR(A60="",D60=0,D60=""),"",P60/D60)</f>
        <v>0</v>
      </c>
      <c r="R60" s="8">
        <f>IF(OR(A60="",H60=0,H60=""),"",IFERROR(Q60/H60*1000,""))</f>
        <v>0</v>
      </c>
      <c r="S60" s="8">
        <f>IF(OR(A60="",Q60="",Q60=0),"",IFERROR(H60/Q60,""))</f>
        <v>0</v>
      </c>
      <c r="T60" s="8">
        <f>IF(OR(A60="",Q60="",Q60=0),"",IFERROR(I60/Q60,""))</f>
        <v>0</v>
      </c>
      <c r="U60" s="8">
        <f>IF(OR(A60="",G60="",G60=0),"",IFERROR(H60/G60*10,""))</f>
        <v>0</v>
      </c>
      <c r="V60" s="8">
        <f>IF(A60="","",(AC60="Yes")*1+(AD60="Yes")*1+(AE60="Yes")*1+(AF60="Yes")*1+(AG60="Yes")*1+(AH60="Yes")*1)</f>
        <v>0</v>
      </c>
      <c r="W60" s="8">
        <f>IF(A60="","",COUNTIFS('Meal Plan'!$G$5:$G$504,A60,'Meal Plan'!$S$5:$S$504,"Cooked")+COUNTIFS('Meal Plan'!$G$5:$G$504,A60,'Meal Plan'!$S$5:$S$504,"Eaten"))</f>
        <v>0</v>
      </c>
      <c r="X60" s="8">
        <f>IF(A60="","",IF(SUMPRODUCT(MAX(('Meal Plan'!$G$5:$G$504=A60)*'Meal Plan'!$B$5:$B$504))=0,"",SUMPRODUCT(MAX(('Meal Plan'!$G$5:$G$504=A60)*'Meal Plan'!$B$5:$B$504))))</f>
        <v>0</v>
      </c>
      <c r="Y60" s="8">
        <f>IF(OR(A60="",X60=""),"",TODAY()-X60)</f>
        <v>0</v>
      </c>
      <c r="Z60" s="8">
        <f>IF(A60="","",IF(Y60="","Yes",IF(Y60&gt;=Rotation_Gap_Days,"Yes","No")))</f>
        <v>0</v>
      </c>
      <c r="AA60" s="8">
        <f>IF(A60="","",IF(Z60="No","Too soon",IF(AND(AN60&lt;&gt;"",AN60&gt;=4),"Plan it","Available")))</f>
        <v>0</v>
      </c>
      <c r="AB60" s="27"/>
      <c r="AC60" s="27"/>
      <c r="AD60" s="27"/>
      <c r="AE60" s="27"/>
      <c r="AF60" s="27"/>
      <c r="AG60" s="27"/>
      <c r="AH60" s="27"/>
      <c r="AI60" s="27"/>
      <c r="AJ60" s="27"/>
      <c r="AK60" s="8">
        <f>IF(A60="","",IF(G60&lt;=30,"Yes","No"))</f>
        <v>0</v>
      </c>
      <c r="AL60" s="27"/>
      <c r="AM60" s="30"/>
      <c r="AN60" s="26"/>
      <c r="AO60" s="7"/>
      <c r="AP60" s="7"/>
      <c r="AQ60" s="7"/>
      <c r="AR60" s="25"/>
      <c r="AS60" s="8">
        <f>IF(A60="","",COUNTIFS($H$5:$H$204,"&gt;"&amp;H60)+1)</f>
        <v>0</v>
      </c>
      <c r="AT60" s="8">
        <f>IF(A60="","",COUNTIFS($I$5:$I$204,"&gt;"&amp;I60)+1)</f>
        <v>0</v>
      </c>
      <c r="AU60" s="8">
        <f>IF(A60="","",COUNTIFS($L$5:$L$204,"&gt;"&amp;L60)+1)</f>
        <v>0</v>
      </c>
      <c r="AV60" s="8">
        <f>IF(OR(A60="",Q60=""),"",COUNTIFS($Q$5:$Q$204,"&lt;"&amp;Q60)+1)</f>
        <v>0</v>
      </c>
      <c r="AW60" s="8">
        <f>IF(A60="","",COUNTIFS($V$5:$V$204,"&gt;"&amp;V60)+1)</f>
        <v>0</v>
      </c>
      <c r="AX60" s="8">
        <f>IF(A60="","",COUNTIFS($Y$5:$Y$204,"&lt;"&amp;Y60)+1)</f>
        <v>0</v>
      </c>
      <c r="AY60" s="8">
        <f>IF(A60="","",COUNTIFS($W$5:$W$204,"&gt;"&amp;W60)+1)</f>
        <v>0</v>
      </c>
    </row>
    <row r="61" spans="1:51">
      <c r="A61" s="7"/>
      <c r="B61" s="27"/>
      <c r="C61" s="27"/>
      <c r="D61" s="26"/>
      <c r="E61" s="26"/>
      <c r="F61" s="26"/>
      <c r="G61" s="8">
        <f>IF(A61="","",E61+F61)</f>
        <v>0</v>
      </c>
      <c r="H61" s="26"/>
      <c r="I61" s="26"/>
      <c r="J61" s="26"/>
      <c r="K61" s="26"/>
      <c r="L61" s="26"/>
      <c r="M61" s="26"/>
      <c r="N61" s="26"/>
      <c r="O61" s="8">
        <f>IF(A61="","",COUNTIFS('Recipe Ingredients'!$A$5:$A$1204,A61))</f>
        <v>0</v>
      </c>
      <c r="P61" s="8">
        <f>IF(A61="","",SUMIFS('Recipe Ingredients'!$H$5:$H$1204,'Recipe Ingredients'!$A$5:$A$1204,A61))</f>
        <v>0</v>
      </c>
      <c r="Q61" s="8">
        <f>IF(OR(A61="",D61=0,D61=""),"",P61/D61)</f>
        <v>0</v>
      </c>
      <c r="R61" s="8">
        <f>IF(OR(A61="",H61=0,H61=""),"",IFERROR(Q61/H61*1000,""))</f>
        <v>0</v>
      </c>
      <c r="S61" s="8">
        <f>IF(OR(A61="",Q61="",Q61=0),"",IFERROR(H61/Q61,""))</f>
        <v>0</v>
      </c>
      <c r="T61" s="8">
        <f>IF(OR(A61="",Q61="",Q61=0),"",IFERROR(I61/Q61,""))</f>
        <v>0</v>
      </c>
      <c r="U61" s="8">
        <f>IF(OR(A61="",G61="",G61=0),"",IFERROR(H61/G61*10,""))</f>
        <v>0</v>
      </c>
      <c r="V61" s="8">
        <f>IF(A61="","",(AC61="Yes")*1+(AD61="Yes")*1+(AE61="Yes")*1+(AF61="Yes")*1+(AG61="Yes")*1+(AH61="Yes")*1)</f>
        <v>0</v>
      </c>
      <c r="W61" s="8">
        <f>IF(A61="","",COUNTIFS('Meal Plan'!$G$5:$G$504,A61,'Meal Plan'!$S$5:$S$504,"Cooked")+COUNTIFS('Meal Plan'!$G$5:$G$504,A61,'Meal Plan'!$S$5:$S$504,"Eaten"))</f>
        <v>0</v>
      </c>
      <c r="X61" s="8">
        <f>IF(A61="","",IF(SUMPRODUCT(MAX(('Meal Plan'!$G$5:$G$504=A61)*'Meal Plan'!$B$5:$B$504))=0,"",SUMPRODUCT(MAX(('Meal Plan'!$G$5:$G$504=A61)*'Meal Plan'!$B$5:$B$504))))</f>
        <v>0</v>
      </c>
      <c r="Y61" s="8">
        <f>IF(OR(A61="",X61=""),"",TODAY()-X61)</f>
        <v>0</v>
      </c>
      <c r="Z61" s="8">
        <f>IF(A61="","",IF(Y61="","Yes",IF(Y61&gt;=Rotation_Gap_Days,"Yes","No")))</f>
        <v>0</v>
      </c>
      <c r="AA61" s="8">
        <f>IF(A61="","",IF(Z61="No","Too soon",IF(AND(AN61&lt;&gt;"",AN61&gt;=4),"Plan it","Available")))</f>
        <v>0</v>
      </c>
      <c r="AB61" s="27"/>
      <c r="AC61" s="27"/>
      <c r="AD61" s="27"/>
      <c r="AE61" s="27"/>
      <c r="AF61" s="27"/>
      <c r="AG61" s="27"/>
      <c r="AH61" s="27"/>
      <c r="AI61" s="27"/>
      <c r="AJ61" s="27"/>
      <c r="AK61" s="8">
        <f>IF(A61="","",IF(G61&lt;=30,"Yes","No"))</f>
        <v>0</v>
      </c>
      <c r="AL61" s="27"/>
      <c r="AM61" s="30"/>
      <c r="AN61" s="26"/>
      <c r="AO61" s="7"/>
      <c r="AP61" s="7"/>
      <c r="AQ61" s="7"/>
      <c r="AR61" s="25"/>
      <c r="AS61" s="8">
        <f>IF(A61="","",COUNTIFS($H$5:$H$204,"&gt;"&amp;H61)+1)</f>
        <v>0</v>
      </c>
      <c r="AT61" s="8">
        <f>IF(A61="","",COUNTIFS($I$5:$I$204,"&gt;"&amp;I61)+1)</f>
        <v>0</v>
      </c>
      <c r="AU61" s="8">
        <f>IF(A61="","",COUNTIFS($L$5:$L$204,"&gt;"&amp;L61)+1)</f>
        <v>0</v>
      </c>
      <c r="AV61" s="8">
        <f>IF(OR(A61="",Q61=""),"",COUNTIFS($Q$5:$Q$204,"&lt;"&amp;Q61)+1)</f>
        <v>0</v>
      </c>
      <c r="AW61" s="8">
        <f>IF(A61="","",COUNTIFS($V$5:$V$204,"&gt;"&amp;V61)+1)</f>
        <v>0</v>
      </c>
      <c r="AX61" s="8">
        <f>IF(A61="","",COUNTIFS($Y$5:$Y$204,"&lt;"&amp;Y61)+1)</f>
        <v>0</v>
      </c>
      <c r="AY61" s="8">
        <f>IF(A61="","",COUNTIFS($W$5:$W$204,"&gt;"&amp;W61)+1)</f>
        <v>0</v>
      </c>
    </row>
    <row r="62" spans="1:51">
      <c r="A62" s="7"/>
      <c r="B62" s="27"/>
      <c r="C62" s="27"/>
      <c r="D62" s="26"/>
      <c r="E62" s="26"/>
      <c r="F62" s="26"/>
      <c r="G62" s="8">
        <f>IF(A62="","",E62+F62)</f>
        <v>0</v>
      </c>
      <c r="H62" s="26"/>
      <c r="I62" s="26"/>
      <c r="J62" s="26"/>
      <c r="K62" s="26"/>
      <c r="L62" s="26"/>
      <c r="M62" s="26"/>
      <c r="N62" s="26"/>
      <c r="O62" s="8">
        <f>IF(A62="","",COUNTIFS('Recipe Ingredients'!$A$5:$A$1204,A62))</f>
        <v>0</v>
      </c>
      <c r="P62" s="8">
        <f>IF(A62="","",SUMIFS('Recipe Ingredients'!$H$5:$H$1204,'Recipe Ingredients'!$A$5:$A$1204,A62))</f>
        <v>0</v>
      </c>
      <c r="Q62" s="8">
        <f>IF(OR(A62="",D62=0,D62=""),"",P62/D62)</f>
        <v>0</v>
      </c>
      <c r="R62" s="8">
        <f>IF(OR(A62="",H62=0,H62=""),"",IFERROR(Q62/H62*1000,""))</f>
        <v>0</v>
      </c>
      <c r="S62" s="8">
        <f>IF(OR(A62="",Q62="",Q62=0),"",IFERROR(H62/Q62,""))</f>
        <v>0</v>
      </c>
      <c r="T62" s="8">
        <f>IF(OR(A62="",Q62="",Q62=0),"",IFERROR(I62/Q62,""))</f>
        <v>0</v>
      </c>
      <c r="U62" s="8">
        <f>IF(OR(A62="",G62="",G62=0),"",IFERROR(H62/G62*10,""))</f>
        <v>0</v>
      </c>
      <c r="V62" s="8">
        <f>IF(A62="","",(AC62="Yes")*1+(AD62="Yes")*1+(AE62="Yes")*1+(AF62="Yes")*1+(AG62="Yes")*1+(AH62="Yes")*1)</f>
        <v>0</v>
      </c>
      <c r="W62" s="8">
        <f>IF(A62="","",COUNTIFS('Meal Plan'!$G$5:$G$504,A62,'Meal Plan'!$S$5:$S$504,"Cooked")+COUNTIFS('Meal Plan'!$G$5:$G$504,A62,'Meal Plan'!$S$5:$S$504,"Eaten"))</f>
        <v>0</v>
      </c>
      <c r="X62" s="8">
        <f>IF(A62="","",IF(SUMPRODUCT(MAX(('Meal Plan'!$G$5:$G$504=A62)*'Meal Plan'!$B$5:$B$504))=0,"",SUMPRODUCT(MAX(('Meal Plan'!$G$5:$G$504=A62)*'Meal Plan'!$B$5:$B$504))))</f>
        <v>0</v>
      </c>
      <c r="Y62" s="8">
        <f>IF(OR(A62="",X62=""),"",TODAY()-X62)</f>
        <v>0</v>
      </c>
      <c r="Z62" s="8">
        <f>IF(A62="","",IF(Y62="","Yes",IF(Y62&gt;=Rotation_Gap_Days,"Yes","No")))</f>
        <v>0</v>
      </c>
      <c r="AA62" s="8">
        <f>IF(A62="","",IF(Z62="No","Too soon",IF(AND(AN62&lt;&gt;"",AN62&gt;=4),"Plan it","Available")))</f>
        <v>0</v>
      </c>
      <c r="AB62" s="27"/>
      <c r="AC62" s="27"/>
      <c r="AD62" s="27"/>
      <c r="AE62" s="27"/>
      <c r="AF62" s="27"/>
      <c r="AG62" s="27"/>
      <c r="AH62" s="27"/>
      <c r="AI62" s="27"/>
      <c r="AJ62" s="27"/>
      <c r="AK62" s="8">
        <f>IF(A62="","",IF(G62&lt;=30,"Yes","No"))</f>
        <v>0</v>
      </c>
      <c r="AL62" s="27"/>
      <c r="AM62" s="30"/>
      <c r="AN62" s="26"/>
      <c r="AO62" s="7"/>
      <c r="AP62" s="7"/>
      <c r="AQ62" s="7"/>
      <c r="AR62" s="25"/>
      <c r="AS62" s="8">
        <f>IF(A62="","",COUNTIFS($H$5:$H$204,"&gt;"&amp;H62)+1)</f>
        <v>0</v>
      </c>
      <c r="AT62" s="8">
        <f>IF(A62="","",COUNTIFS($I$5:$I$204,"&gt;"&amp;I62)+1)</f>
        <v>0</v>
      </c>
      <c r="AU62" s="8">
        <f>IF(A62="","",COUNTIFS($L$5:$L$204,"&gt;"&amp;L62)+1)</f>
        <v>0</v>
      </c>
      <c r="AV62" s="8">
        <f>IF(OR(A62="",Q62=""),"",COUNTIFS($Q$5:$Q$204,"&lt;"&amp;Q62)+1)</f>
        <v>0</v>
      </c>
      <c r="AW62" s="8">
        <f>IF(A62="","",COUNTIFS($V$5:$V$204,"&gt;"&amp;V62)+1)</f>
        <v>0</v>
      </c>
      <c r="AX62" s="8">
        <f>IF(A62="","",COUNTIFS($Y$5:$Y$204,"&lt;"&amp;Y62)+1)</f>
        <v>0</v>
      </c>
      <c r="AY62" s="8">
        <f>IF(A62="","",COUNTIFS($W$5:$W$204,"&gt;"&amp;W62)+1)</f>
        <v>0</v>
      </c>
    </row>
    <row r="63" spans="1:51">
      <c r="A63" s="7"/>
      <c r="B63" s="27"/>
      <c r="C63" s="27"/>
      <c r="D63" s="26"/>
      <c r="E63" s="26"/>
      <c r="F63" s="26"/>
      <c r="G63" s="8">
        <f>IF(A63="","",E63+F63)</f>
        <v>0</v>
      </c>
      <c r="H63" s="26"/>
      <c r="I63" s="26"/>
      <c r="J63" s="26"/>
      <c r="K63" s="26"/>
      <c r="L63" s="26"/>
      <c r="M63" s="26"/>
      <c r="N63" s="26"/>
      <c r="O63" s="8">
        <f>IF(A63="","",COUNTIFS('Recipe Ingredients'!$A$5:$A$1204,A63))</f>
        <v>0</v>
      </c>
      <c r="P63" s="8">
        <f>IF(A63="","",SUMIFS('Recipe Ingredients'!$H$5:$H$1204,'Recipe Ingredients'!$A$5:$A$1204,A63))</f>
        <v>0</v>
      </c>
      <c r="Q63" s="8">
        <f>IF(OR(A63="",D63=0,D63=""),"",P63/D63)</f>
        <v>0</v>
      </c>
      <c r="R63" s="8">
        <f>IF(OR(A63="",H63=0,H63=""),"",IFERROR(Q63/H63*1000,""))</f>
        <v>0</v>
      </c>
      <c r="S63" s="8">
        <f>IF(OR(A63="",Q63="",Q63=0),"",IFERROR(H63/Q63,""))</f>
        <v>0</v>
      </c>
      <c r="T63" s="8">
        <f>IF(OR(A63="",Q63="",Q63=0),"",IFERROR(I63/Q63,""))</f>
        <v>0</v>
      </c>
      <c r="U63" s="8">
        <f>IF(OR(A63="",G63="",G63=0),"",IFERROR(H63/G63*10,""))</f>
        <v>0</v>
      </c>
      <c r="V63" s="8">
        <f>IF(A63="","",(AC63="Yes")*1+(AD63="Yes")*1+(AE63="Yes")*1+(AF63="Yes")*1+(AG63="Yes")*1+(AH63="Yes")*1)</f>
        <v>0</v>
      </c>
      <c r="W63" s="8">
        <f>IF(A63="","",COUNTIFS('Meal Plan'!$G$5:$G$504,A63,'Meal Plan'!$S$5:$S$504,"Cooked")+COUNTIFS('Meal Plan'!$G$5:$G$504,A63,'Meal Plan'!$S$5:$S$504,"Eaten"))</f>
        <v>0</v>
      </c>
      <c r="X63" s="8">
        <f>IF(A63="","",IF(SUMPRODUCT(MAX(('Meal Plan'!$G$5:$G$504=A63)*'Meal Plan'!$B$5:$B$504))=0,"",SUMPRODUCT(MAX(('Meal Plan'!$G$5:$G$504=A63)*'Meal Plan'!$B$5:$B$504))))</f>
        <v>0</v>
      </c>
      <c r="Y63" s="8">
        <f>IF(OR(A63="",X63=""),"",TODAY()-X63)</f>
        <v>0</v>
      </c>
      <c r="Z63" s="8">
        <f>IF(A63="","",IF(Y63="","Yes",IF(Y63&gt;=Rotation_Gap_Days,"Yes","No")))</f>
        <v>0</v>
      </c>
      <c r="AA63" s="8">
        <f>IF(A63="","",IF(Z63="No","Too soon",IF(AND(AN63&lt;&gt;"",AN63&gt;=4),"Plan it","Available")))</f>
        <v>0</v>
      </c>
      <c r="AB63" s="27"/>
      <c r="AC63" s="27"/>
      <c r="AD63" s="27"/>
      <c r="AE63" s="27"/>
      <c r="AF63" s="27"/>
      <c r="AG63" s="27"/>
      <c r="AH63" s="27"/>
      <c r="AI63" s="27"/>
      <c r="AJ63" s="27"/>
      <c r="AK63" s="8">
        <f>IF(A63="","",IF(G63&lt;=30,"Yes","No"))</f>
        <v>0</v>
      </c>
      <c r="AL63" s="27"/>
      <c r="AM63" s="30"/>
      <c r="AN63" s="26"/>
      <c r="AO63" s="7"/>
      <c r="AP63" s="7"/>
      <c r="AQ63" s="7"/>
      <c r="AR63" s="25"/>
      <c r="AS63" s="8">
        <f>IF(A63="","",COUNTIFS($H$5:$H$204,"&gt;"&amp;H63)+1)</f>
        <v>0</v>
      </c>
      <c r="AT63" s="8">
        <f>IF(A63="","",COUNTIFS($I$5:$I$204,"&gt;"&amp;I63)+1)</f>
        <v>0</v>
      </c>
      <c r="AU63" s="8">
        <f>IF(A63="","",COUNTIFS($L$5:$L$204,"&gt;"&amp;L63)+1)</f>
        <v>0</v>
      </c>
      <c r="AV63" s="8">
        <f>IF(OR(A63="",Q63=""),"",COUNTIFS($Q$5:$Q$204,"&lt;"&amp;Q63)+1)</f>
        <v>0</v>
      </c>
      <c r="AW63" s="8">
        <f>IF(A63="","",COUNTIFS($V$5:$V$204,"&gt;"&amp;V63)+1)</f>
        <v>0</v>
      </c>
      <c r="AX63" s="8">
        <f>IF(A63="","",COUNTIFS($Y$5:$Y$204,"&lt;"&amp;Y63)+1)</f>
        <v>0</v>
      </c>
      <c r="AY63" s="8">
        <f>IF(A63="","",COUNTIFS($W$5:$W$204,"&gt;"&amp;W63)+1)</f>
        <v>0</v>
      </c>
    </row>
    <row r="64" spans="1:51">
      <c r="A64" s="7"/>
      <c r="B64" s="27"/>
      <c r="C64" s="27"/>
      <c r="D64" s="26"/>
      <c r="E64" s="26"/>
      <c r="F64" s="26"/>
      <c r="G64" s="8">
        <f>IF(A64="","",E64+F64)</f>
        <v>0</v>
      </c>
      <c r="H64" s="26"/>
      <c r="I64" s="26"/>
      <c r="J64" s="26"/>
      <c r="K64" s="26"/>
      <c r="L64" s="26"/>
      <c r="M64" s="26"/>
      <c r="N64" s="26"/>
      <c r="O64" s="8">
        <f>IF(A64="","",COUNTIFS('Recipe Ingredients'!$A$5:$A$1204,A64))</f>
        <v>0</v>
      </c>
      <c r="P64" s="8">
        <f>IF(A64="","",SUMIFS('Recipe Ingredients'!$H$5:$H$1204,'Recipe Ingredients'!$A$5:$A$1204,A64))</f>
        <v>0</v>
      </c>
      <c r="Q64" s="8">
        <f>IF(OR(A64="",D64=0,D64=""),"",P64/D64)</f>
        <v>0</v>
      </c>
      <c r="R64" s="8">
        <f>IF(OR(A64="",H64=0,H64=""),"",IFERROR(Q64/H64*1000,""))</f>
        <v>0</v>
      </c>
      <c r="S64" s="8">
        <f>IF(OR(A64="",Q64="",Q64=0),"",IFERROR(H64/Q64,""))</f>
        <v>0</v>
      </c>
      <c r="T64" s="8">
        <f>IF(OR(A64="",Q64="",Q64=0),"",IFERROR(I64/Q64,""))</f>
        <v>0</v>
      </c>
      <c r="U64" s="8">
        <f>IF(OR(A64="",G64="",G64=0),"",IFERROR(H64/G64*10,""))</f>
        <v>0</v>
      </c>
      <c r="V64" s="8">
        <f>IF(A64="","",(AC64="Yes")*1+(AD64="Yes")*1+(AE64="Yes")*1+(AF64="Yes")*1+(AG64="Yes")*1+(AH64="Yes")*1)</f>
        <v>0</v>
      </c>
      <c r="W64" s="8">
        <f>IF(A64="","",COUNTIFS('Meal Plan'!$G$5:$G$504,A64,'Meal Plan'!$S$5:$S$504,"Cooked")+COUNTIFS('Meal Plan'!$G$5:$G$504,A64,'Meal Plan'!$S$5:$S$504,"Eaten"))</f>
        <v>0</v>
      </c>
      <c r="X64" s="8">
        <f>IF(A64="","",IF(SUMPRODUCT(MAX(('Meal Plan'!$G$5:$G$504=A64)*'Meal Plan'!$B$5:$B$504))=0,"",SUMPRODUCT(MAX(('Meal Plan'!$G$5:$G$504=A64)*'Meal Plan'!$B$5:$B$504))))</f>
        <v>0</v>
      </c>
      <c r="Y64" s="8">
        <f>IF(OR(A64="",X64=""),"",TODAY()-X64)</f>
        <v>0</v>
      </c>
      <c r="Z64" s="8">
        <f>IF(A64="","",IF(Y64="","Yes",IF(Y64&gt;=Rotation_Gap_Days,"Yes","No")))</f>
        <v>0</v>
      </c>
      <c r="AA64" s="8">
        <f>IF(A64="","",IF(Z64="No","Too soon",IF(AND(AN64&lt;&gt;"",AN64&gt;=4),"Plan it","Available")))</f>
        <v>0</v>
      </c>
      <c r="AB64" s="27"/>
      <c r="AC64" s="27"/>
      <c r="AD64" s="27"/>
      <c r="AE64" s="27"/>
      <c r="AF64" s="27"/>
      <c r="AG64" s="27"/>
      <c r="AH64" s="27"/>
      <c r="AI64" s="27"/>
      <c r="AJ64" s="27"/>
      <c r="AK64" s="8">
        <f>IF(A64="","",IF(G64&lt;=30,"Yes","No"))</f>
        <v>0</v>
      </c>
      <c r="AL64" s="27"/>
      <c r="AM64" s="30"/>
      <c r="AN64" s="26"/>
      <c r="AO64" s="7"/>
      <c r="AP64" s="7"/>
      <c r="AQ64" s="7"/>
      <c r="AR64" s="25"/>
      <c r="AS64" s="8">
        <f>IF(A64="","",COUNTIFS($H$5:$H$204,"&gt;"&amp;H64)+1)</f>
        <v>0</v>
      </c>
      <c r="AT64" s="8">
        <f>IF(A64="","",COUNTIFS($I$5:$I$204,"&gt;"&amp;I64)+1)</f>
        <v>0</v>
      </c>
      <c r="AU64" s="8">
        <f>IF(A64="","",COUNTIFS($L$5:$L$204,"&gt;"&amp;L64)+1)</f>
        <v>0</v>
      </c>
      <c r="AV64" s="8">
        <f>IF(OR(A64="",Q64=""),"",COUNTIFS($Q$5:$Q$204,"&lt;"&amp;Q64)+1)</f>
        <v>0</v>
      </c>
      <c r="AW64" s="8">
        <f>IF(A64="","",COUNTIFS($V$5:$V$204,"&gt;"&amp;V64)+1)</f>
        <v>0</v>
      </c>
      <c r="AX64" s="8">
        <f>IF(A64="","",COUNTIFS($Y$5:$Y$204,"&lt;"&amp;Y64)+1)</f>
        <v>0</v>
      </c>
      <c r="AY64" s="8">
        <f>IF(A64="","",COUNTIFS($W$5:$W$204,"&gt;"&amp;W64)+1)</f>
        <v>0</v>
      </c>
    </row>
    <row r="65" spans="1:51">
      <c r="A65" s="7"/>
      <c r="B65" s="27"/>
      <c r="C65" s="27"/>
      <c r="D65" s="26"/>
      <c r="E65" s="26"/>
      <c r="F65" s="26"/>
      <c r="G65" s="8">
        <f>IF(A65="","",E65+F65)</f>
        <v>0</v>
      </c>
      <c r="H65" s="26"/>
      <c r="I65" s="26"/>
      <c r="J65" s="26"/>
      <c r="K65" s="26"/>
      <c r="L65" s="26"/>
      <c r="M65" s="26"/>
      <c r="N65" s="26"/>
      <c r="O65" s="8">
        <f>IF(A65="","",COUNTIFS('Recipe Ingredients'!$A$5:$A$1204,A65))</f>
        <v>0</v>
      </c>
      <c r="P65" s="8">
        <f>IF(A65="","",SUMIFS('Recipe Ingredients'!$H$5:$H$1204,'Recipe Ingredients'!$A$5:$A$1204,A65))</f>
        <v>0</v>
      </c>
      <c r="Q65" s="8">
        <f>IF(OR(A65="",D65=0,D65=""),"",P65/D65)</f>
        <v>0</v>
      </c>
      <c r="R65" s="8">
        <f>IF(OR(A65="",H65=0,H65=""),"",IFERROR(Q65/H65*1000,""))</f>
        <v>0</v>
      </c>
      <c r="S65" s="8">
        <f>IF(OR(A65="",Q65="",Q65=0),"",IFERROR(H65/Q65,""))</f>
        <v>0</v>
      </c>
      <c r="T65" s="8">
        <f>IF(OR(A65="",Q65="",Q65=0),"",IFERROR(I65/Q65,""))</f>
        <v>0</v>
      </c>
      <c r="U65" s="8">
        <f>IF(OR(A65="",G65="",G65=0),"",IFERROR(H65/G65*10,""))</f>
        <v>0</v>
      </c>
      <c r="V65" s="8">
        <f>IF(A65="","",(AC65="Yes")*1+(AD65="Yes")*1+(AE65="Yes")*1+(AF65="Yes")*1+(AG65="Yes")*1+(AH65="Yes")*1)</f>
        <v>0</v>
      </c>
      <c r="W65" s="8">
        <f>IF(A65="","",COUNTIFS('Meal Plan'!$G$5:$G$504,A65,'Meal Plan'!$S$5:$S$504,"Cooked")+COUNTIFS('Meal Plan'!$G$5:$G$504,A65,'Meal Plan'!$S$5:$S$504,"Eaten"))</f>
        <v>0</v>
      </c>
      <c r="X65" s="8">
        <f>IF(A65="","",IF(SUMPRODUCT(MAX(('Meal Plan'!$G$5:$G$504=A65)*'Meal Plan'!$B$5:$B$504))=0,"",SUMPRODUCT(MAX(('Meal Plan'!$G$5:$G$504=A65)*'Meal Plan'!$B$5:$B$504))))</f>
        <v>0</v>
      </c>
      <c r="Y65" s="8">
        <f>IF(OR(A65="",X65=""),"",TODAY()-X65)</f>
        <v>0</v>
      </c>
      <c r="Z65" s="8">
        <f>IF(A65="","",IF(Y65="","Yes",IF(Y65&gt;=Rotation_Gap_Days,"Yes","No")))</f>
        <v>0</v>
      </c>
      <c r="AA65" s="8">
        <f>IF(A65="","",IF(Z65="No","Too soon",IF(AND(AN65&lt;&gt;"",AN65&gt;=4),"Plan it","Available")))</f>
        <v>0</v>
      </c>
      <c r="AB65" s="27"/>
      <c r="AC65" s="27"/>
      <c r="AD65" s="27"/>
      <c r="AE65" s="27"/>
      <c r="AF65" s="27"/>
      <c r="AG65" s="27"/>
      <c r="AH65" s="27"/>
      <c r="AI65" s="27"/>
      <c r="AJ65" s="27"/>
      <c r="AK65" s="8">
        <f>IF(A65="","",IF(G65&lt;=30,"Yes","No"))</f>
        <v>0</v>
      </c>
      <c r="AL65" s="27"/>
      <c r="AM65" s="30"/>
      <c r="AN65" s="26"/>
      <c r="AO65" s="7"/>
      <c r="AP65" s="7"/>
      <c r="AQ65" s="7"/>
      <c r="AR65" s="25"/>
      <c r="AS65" s="8">
        <f>IF(A65="","",COUNTIFS($H$5:$H$204,"&gt;"&amp;H65)+1)</f>
        <v>0</v>
      </c>
      <c r="AT65" s="8">
        <f>IF(A65="","",COUNTIFS($I$5:$I$204,"&gt;"&amp;I65)+1)</f>
        <v>0</v>
      </c>
      <c r="AU65" s="8">
        <f>IF(A65="","",COUNTIFS($L$5:$L$204,"&gt;"&amp;L65)+1)</f>
        <v>0</v>
      </c>
      <c r="AV65" s="8">
        <f>IF(OR(A65="",Q65=""),"",COUNTIFS($Q$5:$Q$204,"&lt;"&amp;Q65)+1)</f>
        <v>0</v>
      </c>
      <c r="AW65" s="8">
        <f>IF(A65="","",COUNTIFS($V$5:$V$204,"&gt;"&amp;V65)+1)</f>
        <v>0</v>
      </c>
      <c r="AX65" s="8">
        <f>IF(A65="","",COUNTIFS($Y$5:$Y$204,"&lt;"&amp;Y65)+1)</f>
        <v>0</v>
      </c>
      <c r="AY65" s="8">
        <f>IF(A65="","",COUNTIFS($W$5:$W$204,"&gt;"&amp;W65)+1)</f>
        <v>0</v>
      </c>
    </row>
    <row r="66" spans="1:51">
      <c r="A66" s="7"/>
      <c r="B66" s="27"/>
      <c r="C66" s="27"/>
      <c r="D66" s="26"/>
      <c r="E66" s="26"/>
      <c r="F66" s="26"/>
      <c r="G66" s="8">
        <f>IF(A66="","",E66+F66)</f>
        <v>0</v>
      </c>
      <c r="H66" s="26"/>
      <c r="I66" s="26"/>
      <c r="J66" s="26"/>
      <c r="K66" s="26"/>
      <c r="L66" s="26"/>
      <c r="M66" s="26"/>
      <c r="N66" s="26"/>
      <c r="O66" s="8">
        <f>IF(A66="","",COUNTIFS('Recipe Ingredients'!$A$5:$A$1204,A66))</f>
        <v>0</v>
      </c>
      <c r="P66" s="8">
        <f>IF(A66="","",SUMIFS('Recipe Ingredients'!$H$5:$H$1204,'Recipe Ingredients'!$A$5:$A$1204,A66))</f>
        <v>0</v>
      </c>
      <c r="Q66" s="8">
        <f>IF(OR(A66="",D66=0,D66=""),"",P66/D66)</f>
        <v>0</v>
      </c>
      <c r="R66" s="8">
        <f>IF(OR(A66="",H66=0,H66=""),"",IFERROR(Q66/H66*1000,""))</f>
        <v>0</v>
      </c>
      <c r="S66" s="8">
        <f>IF(OR(A66="",Q66="",Q66=0),"",IFERROR(H66/Q66,""))</f>
        <v>0</v>
      </c>
      <c r="T66" s="8">
        <f>IF(OR(A66="",Q66="",Q66=0),"",IFERROR(I66/Q66,""))</f>
        <v>0</v>
      </c>
      <c r="U66" s="8">
        <f>IF(OR(A66="",G66="",G66=0),"",IFERROR(H66/G66*10,""))</f>
        <v>0</v>
      </c>
      <c r="V66" s="8">
        <f>IF(A66="","",(AC66="Yes")*1+(AD66="Yes")*1+(AE66="Yes")*1+(AF66="Yes")*1+(AG66="Yes")*1+(AH66="Yes")*1)</f>
        <v>0</v>
      </c>
      <c r="W66" s="8">
        <f>IF(A66="","",COUNTIFS('Meal Plan'!$G$5:$G$504,A66,'Meal Plan'!$S$5:$S$504,"Cooked")+COUNTIFS('Meal Plan'!$G$5:$G$504,A66,'Meal Plan'!$S$5:$S$504,"Eaten"))</f>
        <v>0</v>
      </c>
      <c r="X66" s="8">
        <f>IF(A66="","",IF(SUMPRODUCT(MAX(('Meal Plan'!$G$5:$G$504=A66)*'Meal Plan'!$B$5:$B$504))=0,"",SUMPRODUCT(MAX(('Meal Plan'!$G$5:$G$504=A66)*'Meal Plan'!$B$5:$B$504))))</f>
        <v>0</v>
      </c>
      <c r="Y66" s="8">
        <f>IF(OR(A66="",X66=""),"",TODAY()-X66)</f>
        <v>0</v>
      </c>
      <c r="Z66" s="8">
        <f>IF(A66="","",IF(Y66="","Yes",IF(Y66&gt;=Rotation_Gap_Days,"Yes","No")))</f>
        <v>0</v>
      </c>
      <c r="AA66" s="8">
        <f>IF(A66="","",IF(Z66="No","Too soon",IF(AND(AN66&lt;&gt;"",AN66&gt;=4),"Plan it","Available")))</f>
        <v>0</v>
      </c>
      <c r="AB66" s="27"/>
      <c r="AC66" s="27"/>
      <c r="AD66" s="27"/>
      <c r="AE66" s="27"/>
      <c r="AF66" s="27"/>
      <c r="AG66" s="27"/>
      <c r="AH66" s="27"/>
      <c r="AI66" s="27"/>
      <c r="AJ66" s="27"/>
      <c r="AK66" s="8">
        <f>IF(A66="","",IF(G66&lt;=30,"Yes","No"))</f>
        <v>0</v>
      </c>
      <c r="AL66" s="27"/>
      <c r="AM66" s="30"/>
      <c r="AN66" s="26"/>
      <c r="AO66" s="7"/>
      <c r="AP66" s="7"/>
      <c r="AQ66" s="7"/>
      <c r="AR66" s="25"/>
      <c r="AS66" s="8">
        <f>IF(A66="","",COUNTIFS($H$5:$H$204,"&gt;"&amp;H66)+1)</f>
        <v>0</v>
      </c>
      <c r="AT66" s="8">
        <f>IF(A66="","",COUNTIFS($I$5:$I$204,"&gt;"&amp;I66)+1)</f>
        <v>0</v>
      </c>
      <c r="AU66" s="8">
        <f>IF(A66="","",COUNTIFS($L$5:$L$204,"&gt;"&amp;L66)+1)</f>
        <v>0</v>
      </c>
      <c r="AV66" s="8">
        <f>IF(OR(A66="",Q66=""),"",COUNTIFS($Q$5:$Q$204,"&lt;"&amp;Q66)+1)</f>
        <v>0</v>
      </c>
      <c r="AW66" s="8">
        <f>IF(A66="","",COUNTIFS($V$5:$V$204,"&gt;"&amp;V66)+1)</f>
        <v>0</v>
      </c>
      <c r="AX66" s="8">
        <f>IF(A66="","",COUNTIFS($Y$5:$Y$204,"&lt;"&amp;Y66)+1)</f>
        <v>0</v>
      </c>
      <c r="AY66" s="8">
        <f>IF(A66="","",COUNTIFS($W$5:$W$204,"&gt;"&amp;W66)+1)</f>
        <v>0</v>
      </c>
    </row>
    <row r="67" spans="1:51">
      <c r="A67" s="7"/>
      <c r="B67" s="27"/>
      <c r="C67" s="27"/>
      <c r="D67" s="26"/>
      <c r="E67" s="26"/>
      <c r="F67" s="26"/>
      <c r="G67" s="8">
        <f>IF(A67="","",E67+F67)</f>
        <v>0</v>
      </c>
      <c r="H67" s="26"/>
      <c r="I67" s="26"/>
      <c r="J67" s="26"/>
      <c r="K67" s="26"/>
      <c r="L67" s="26"/>
      <c r="M67" s="26"/>
      <c r="N67" s="26"/>
      <c r="O67" s="8">
        <f>IF(A67="","",COUNTIFS('Recipe Ingredients'!$A$5:$A$1204,A67))</f>
        <v>0</v>
      </c>
      <c r="P67" s="8">
        <f>IF(A67="","",SUMIFS('Recipe Ingredients'!$H$5:$H$1204,'Recipe Ingredients'!$A$5:$A$1204,A67))</f>
        <v>0</v>
      </c>
      <c r="Q67" s="8">
        <f>IF(OR(A67="",D67=0,D67=""),"",P67/D67)</f>
        <v>0</v>
      </c>
      <c r="R67" s="8">
        <f>IF(OR(A67="",H67=0,H67=""),"",IFERROR(Q67/H67*1000,""))</f>
        <v>0</v>
      </c>
      <c r="S67" s="8">
        <f>IF(OR(A67="",Q67="",Q67=0),"",IFERROR(H67/Q67,""))</f>
        <v>0</v>
      </c>
      <c r="T67" s="8">
        <f>IF(OR(A67="",Q67="",Q67=0),"",IFERROR(I67/Q67,""))</f>
        <v>0</v>
      </c>
      <c r="U67" s="8">
        <f>IF(OR(A67="",G67="",G67=0),"",IFERROR(H67/G67*10,""))</f>
        <v>0</v>
      </c>
      <c r="V67" s="8">
        <f>IF(A67="","",(AC67="Yes")*1+(AD67="Yes")*1+(AE67="Yes")*1+(AF67="Yes")*1+(AG67="Yes")*1+(AH67="Yes")*1)</f>
        <v>0</v>
      </c>
      <c r="W67" s="8">
        <f>IF(A67="","",COUNTIFS('Meal Plan'!$G$5:$G$504,A67,'Meal Plan'!$S$5:$S$504,"Cooked")+COUNTIFS('Meal Plan'!$G$5:$G$504,A67,'Meal Plan'!$S$5:$S$504,"Eaten"))</f>
        <v>0</v>
      </c>
      <c r="X67" s="8">
        <f>IF(A67="","",IF(SUMPRODUCT(MAX(('Meal Plan'!$G$5:$G$504=A67)*'Meal Plan'!$B$5:$B$504))=0,"",SUMPRODUCT(MAX(('Meal Plan'!$G$5:$G$504=A67)*'Meal Plan'!$B$5:$B$504))))</f>
        <v>0</v>
      </c>
      <c r="Y67" s="8">
        <f>IF(OR(A67="",X67=""),"",TODAY()-X67)</f>
        <v>0</v>
      </c>
      <c r="Z67" s="8">
        <f>IF(A67="","",IF(Y67="","Yes",IF(Y67&gt;=Rotation_Gap_Days,"Yes","No")))</f>
        <v>0</v>
      </c>
      <c r="AA67" s="8">
        <f>IF(A67="","",IF(Z67="No","Too soon",IF(AND(AN67&lt;&gt;"",AN67&gt;=4),"Plan it","Available")))</f>
        <v>0</v>
      </c>
      <c r="AB67" s="27"/>
      <c r="AC67" s="27"/>
      <c r="AD67" s="27"/>
      <c r="AE67" s="27"/>
      <c r="AF67" s="27"/>
      <c r="AG67" s="27"/>
      <c r="AH67" s="27"/>
      <c r="AI67" s="27"/>
      <c r="AJ67" s="27"/>
      <c r="AK67" s="8">
        <f>IF(A67="","",IF(G67&lt;=30,"Yes","No"))</f>
        <v>0</v>
      </c>
      <c r="AL67" s="27"/>
      <c r="AM67" s="30"/>
      <c r="AN67" s="26"/>
      <c r="AO67" s="7"/>
      <c r="AP67" s="7"/>
      <c r="AQ67" s="7"/>
      <c r="AR67" s="25"/>
      <c r="AS67" s="8">
        <f>IF(A67="","",COUNTIFS($H$5:$H$204,"&gt;"&amp;H67)+1)</f>
        <v>0</v>
      </c>
      <c r="AT67" s="8">
        <f>IF(A67="","",COUNTIFS($I$5:$I$204,"&gt;"&amp;I67)+1)</f>
        <v>0</v>
      </c>
      <c r="AU67" s="8">
        <f>IF(A67="","",COUNTIFS($L$5:$L$204,"&gt;"&amp;L67)+1)</f>
        <v>0</v>
      </c>
      <c r="AV67" s="8">
        <f>IF(OR(A67="",Q67=""),"",COUNTIFS($Q$5:$Q$204,"&lt;"&amp;Q67)+1)</f>
        <v>0</v>
      </c>
      <c r="AW67" s="8">
        <f>IF(A67="","",COUNTIFS($V$5:$V$204,"&gt;"&amp;V67)+1)</f>
        <v>0</v>
      </c>
      <c r="AX67" s="8">
        <f>IF(A67="","",COUNTIFS($Y$5:$Y$204,"&lt;"&amp;Y67)+1)</f>
        <v>0</v>
      </c>
      <c r="AY67" s="8">
        <f>IF(A67="","",COUNTIFS($W$5:$W$204,"&gt;"&amp;W67)+1)</f>
        <v>0</v>
      </c>
    </row>
    <row r="68" spans="1:51">
      <c r="A68" s="7"/>
      <c r="B68" s="27"/>
      <c r="C68" s="27"/>
      <c r="D68" s="26"/>
      <c r="E68" s="26"/>
      <c r="F68" s="26"/>
      <c r="G68" s="8">
        <f>IF(A68="","",E68+F68)</f>
        <v>0</v>
      </c>
      <c r="H68" s="26"/>
      <c r="I68" s="26"/>
      <c r="J68" s="26"/>
      <c r="K68" s="26"/>
      <c r="L68" s="26"/>
      <c r="M68" s="26"/>
      <c r="N68" s="26"/>
      <c r="O68" s="8">
        <f>IF(A68="","",COUNTIFS('Recipe Ingredients'!$A$5:$A$1204,A68))</f>
        <v>0</v>
      </c>
      <c r="P68" s="8">
        <f>IF(A68="","",SUMIFS('Recipe Ingredients'!$H$5:$H$1204,'Recipe Ingredients'!$A$5:$A$1204,A68))</f>
        <v>0</v>
      </c>
      <c r="Q68" s="8">
        <f>IF(OR(A68="",D68=0,D68=""),"",P68/D68)</f>
        <v>0</v>
      </c>
      <c r="R68" s="8">
        <f>IF(OR(A68="",H68=0,H68=""),"",IFERROR(Q68/H68*1000,""))</f>
        <v>0</v>
      </c>
      <c r="S68" s="8">
        <f>IF(OR(A68="",Q68="",Q68=0),"",IFERROR(H68/Q68,""))</f>
        <v>0</v>
      </c>
      <c r="T68" s="8">
        <f>IF(OR(A68="",Q68="",Q68=0),"",IFERROR(I68/Q68,""))</f>
        <v>0</v>
      </c>
      <c r="U68" s="8">
        <f>IF(OR(A68="",G68="",G68=0),"",IFERROR(H68/G68*10,""))</f>
        <v>0</v>
      </c>
      <c r="V68" s="8">
        <f>IF(A68="","",(AC68="Yes")*1+(AD68="Yes")*1+(AE68="Yes")*1+(AF68="Yes")*1+(AG68="Yes")*1+(AH68="Yes")*1)</f>
        <v>0</v>
      </c>
      <c r="W68" s="8">
        <f>IF(A68="","",COUNTIFS('Meal Plan'!$G$5:$G$504,A68,'Meal Plan'!$S$5:$S$504,"Cooked")+COUNTIFS('Meal Plan'!$G$5:$G$504,A68,'Meal Plan'!$S$5:$S$504,"Eaten"))</f>
        <v>0</v>
      </c>
      <c r="X68" s="8">
        <f>IF(A68="","",IF(SUMPRODUCT(MAX(('Meal Plan'!$G$5:$G$504=A68)*'Meal Plan'!$B$5:$B$504))=0,"",SUMPRODUCT(MAX(('Meal Plan'!$G$5:$G$504=A68)*'Meal Plan'!$B$5:$B$504))))</f>
        <v>0</v>
      </c>
      <c r="Y68" s="8">
        <f>IF(OR(A68="",X68=""),"",TODAY()-X68)</f>
        <v>0</v>
      </c>
      <c r="Z68" s="8">
        <f>IF(A68="","",IF(Y68="","Yes",IF(Y68&gt;=Rotation_Gap_Days,"Yes","No")))</f>
        <v>0</v>
      </c>
      <c r="AA68" s="8">
        <f>IF(A68="","",IF(Z68="No","Too soon",IF(AND(AN68&lt;&gt;"",AN68&gt;=4),"Plan it","Available")))</f>
        <v>0</v>
      </c>
      <c r="AB68" s="27"/>
      <c r="AC68" s="27"/>
      <c r="AD68" s="27"/>
      <c r="AE68" s="27"/>
      <c r="AF68" s="27"/>
      <c r="AG68" s="27"/>
      <c r="AH68" s="27"/>
      <c r="AI68" s="27"/>
      <c r="AJ68" s="27"/>
      <c r="AK68" s="8">
        <f>IF(A68="","",IF(G68&lt;=30,"Yes","No"))</f>
        <v>0</v>
      </c>
      <c r="AL68" s="27"/>
      <c r="AM68" s="30"/>
      <c r="AN68" s="26"/>
      <c r="AO68" s="7"/>
      <c r="AP68" s="7"/>
      <c r="AQ68" s="7"/>
      <c r="AR68" s="25"/>
      <c r="AS68" s="8">
        <f>IF(A68="","",COUNTIFS($H$5:$H$204,"&gt;"&amp;H68)+1)</f>
        <v>0</v>
      </c>
      <c r="AT68" s="8">
        <f>IF(A68="","",COUNTIFS($I$5:$I$204,"&gt;"&amp;I68)+1)</f>
        <v>0</v>
      </c>
      <c r="AU68" s="8">
        <f>IF(A68="","",COUNTIFS($L$5:$L$204,"&gt;"&amp;L68)+1)</f>
        <v>0</v>
      </c>
      <c r="AV68" s="8">
        <f>IF(OR(A68="",Q68=""),"",COUNTIFS($Q$5:$Q$204,"&lt;"&amp;Q68)+1)</f>
        <v>0</v>
      </c>
      <c r="AW68" s="8">
        <f>IF(A68="","",COUNTIFS($V$5:$V$204,"&gt;"&amp;V68)+1)</f>
        <v>0</v>
      </c>
      <c r="AX68" s="8">
        <f>IF(A68="","",COUNTIFS($Y$5:$Y$204,"&lt;"&amp;Y68)+1)</f>
        <v>0</v>
      </c>
      <c r="AY68" s="8">
        <f>IF(A68="","",COUNTIFS($W$5:$W$204,"&gt;"&amp;W68)+1)</f>
        <v>0</v>
      </c>
    </row>
    <row r="69" spans="1:51">
      <c r="A69" s="7"/>
      <c r="B69" s="27"/>
      <c r="C69" s="27"/>
      <c r="D69" s="26"/>
      <c r="E69" s="26"/>
      <c r="F69" s="26"/>
      <c r="G69" s="8">
        <f>IF(A69="","",E69+F69)</f>
        <v>0</v>
      </c>
      <c r="H69" s="26"/>
      <c r="I69" s="26"/>
      <c r="J69" s="26"/>
      <c r="K69" s="26"/>
      <c r="L69" s="26"/>
      <c r="M69" s="26"/>
      <c r="N69" s="26"/>
      <c r="O69" s="8">
        <f>IF(A69="","",COUNTIFS('Recipe Ingredients'!$A$5:$A$1204,A69))</f>
        <v>0</v>
      </c>
      <c r="P69" s="8">
        <f>IF(A69="","",SUMIFS('Recipe Ingredients'!$H$5:$H$1204,'Recipe Ingredients'!$A$5:$A$1204,A69))</f>
        <v>0</v>
      </c>
      <c r="Q69" s="8">
        <f>IF(OR(A69="",D69=0,D69=""),"",P69/D69)</f>
        <v>0</v>
      </c>
      <c r="R69" s="8">
        <f>IF(OR(A69="",H69=0,H69=""),"",IFERROR(Q69/H69*1000,""))</f>
        <v>0</v>
      </c>
      <c r="S69" s="8">
        <f>IF(OR(A69="",Q69="",Q69=0),"",IFERROR(H69/Q69,""))</f>
        <v>0</v>
      </c>
      <c r="T69" s="8">
        <f>IF(OR(A69="",Q69="",Q69=0),"",IFERROR(I69/Q69,""))</f>
        <v>0</v>
      </c>
      <c r="U69" s="8">
        <f>IF(OR(A69="",G69="",G69=0),"",IFERROR(H69/G69*10,""))</f>
        <v>0</v>
      </c>
      <c r="V69" s="8">
        <f>IF(A69="","",(AC69="Yes")*1+(AD69="Yes")*1+(AE69="Yes")*1+(AF69="Yes")*1+(AG69="Yes")*1+(AH69="Yes")*1)</f>
        <v>0</v>
      </c>
      <c r="W69" s="8">
        <f>IF(A69="","",COUNTIFS('Meal Plan'!$G$5:$G$504,A69,'Meal Plan'!$S$5:$S$504,"Cooked")+COUNTIFS('Meal Plan'!$G$5:$G$504,A69,'Meal Plan'!$S$5:$S$504,"Eaten"))</f>
        <v>0</v>
      </c>
      <c r="X69" s="8">
        <f>IF(A69="","",IF(SUMPRODUCT(MAX(('Meal Plan'!$G$5:$G$504=A69)*'Meal Plan'!$B$5:$B$504))=0,"",SUMPRODUCT(MAX(('Meal Plan'!$G$5:$G$504=A69)*'Meal Plan'!$B$5:$B$504))))</f>
        <v>0</v>
      </c>
      <c r="Y69" s="8">
        <f>IF(OR(A69="",X69=""),"",TODAY()-X69)</f>
        <v>0</v>
      </c>
      <c r="Z69" s="8">
        <f>IF(A69="","",IF(Y69="","Yes",IF(Y69&gt;=Rotation_Gap_Days,"Yes","No")))</f>
        <v>0</v>
      </c>
      <c r="AA69" s="8">
        <f>IF(A69="","",IF(Z69="No","Too soon",IF(AND(AN69&lt;&gt;"",AN69&gt;=4),"Plan it","Available")))</f>
        <v>0</v>
      </c>
      <c r="AB69" s="27"/>
      <c r="AC69" s="27"/>
      <c r="AD69" s="27"/>
      <c r="AE69" s="27"/>
      <c r="AF69" s="27"/>
      <c r="AG69" s="27"/>
      <c r="AH69" s="27"/>
      <c r="AI69" s="27"/>
      <c r="AJ69" s="27"/>
      <c r="AK69" s="8">
        <f>IF(A69="","",IF(G69&lt;=30,"Yes","No"))</f>
        <v>0</v>
      </c>
      <c r="AL69" s="27"/>
      <c r="AM69" s="30"/>
      <c r="AN69" s="26"/>
      <c r="AO69" s="7"/>
      <c r="AP69" s="7"/>
      <c r="AQ69" s="7"/>
      <c r="AR69" s="25"/>
      <c r="AS69" s="8">
        <f>IF(A69="","",COUNTIFS($H$5:$H$204,"&gt;"&amp;H69)+1)</f>
        <v>0</v>
      </c>
      <c r="AT69" s="8">
        <f>IF(A69="","",COUNTIFS($I$5:$I$204,"&gt;"&amp;I69)+1)</f>
        <v>0</v>
      </c>
      <c r="AU69" s="8">
        <f>IF(A69="","",COUNTIFS($L$5:$L$204,"&gt;"&amp;L69)+1)</f>
        <v>0</v>
      </c>
      <c r="AV69" s="8">
        <f>IF(OR(A69="",Q69=""),"",COUNTIFS($Q$5:$Q$204,"&lt;"&amp;Q69)+1)</f>
        <v>0</v>
      </c>
      <c r="AW69" s="8">
        <f>IF(A69="","",COUNTIFS($V$5:$V$204,"&gt;"&amp;V69)+1)</f>
        <v>0</v>
      </c>
      <c r="AX69" s="8">
        <f>IF(A69="","",COUNTIFS($Y$5:$Y$204,"&lt;"&amp;Y69)+1)</f>
        <v>0</v>
      </c>
      <c r="AY69" s="8">
        <f>IF(A69="","",COUNTIFS($W$5:$W$204,"&gt;"&amp;W69)+1)</f>
        <v>0</v>
      </c>
    </row>
    <row r="70" spans="1:51">
      <c r="A70" s="7"/>
      <c r="B70" s="27"/>
      <c r="C70" s="27"/>
      <c r="D70" s="26"/>
      <c r="E70" s="26"/>
      <c r="F70" s="26"/>
      <c r="G70" s="8">
        <f>IF(A70="","",E70+F70)</f>
        <v>0</v>
      </c>
      <c r="H70" s="26"/>
      <c r="I70" s="26"/>
      <c r="J70" s="26"/>
      <c r="K70" s="26"/>
      <c r="L70" s="26"/>
      <c r="M70" s="26"/>
      <c r="N70" s="26"/>
      <c r="O70" s="8">
        <f>IF(A70="","",COUNTIFS('Recipe Ingredients'!$A$5:$A$1204,A70))</f>
        <v>0</v>
      </c>
      <c r="P70" s="8">
        <f>IF(A70="","",SUMIFS('Recipe Ingredients'!$H$5:$H$1204,'Recipe Ingredients'!$A$5:$A$1204,A70))</f>
        <v>0</v>
      </c>
      <c r="Q70" s="8">
        <f>IF(OR(A70="",D70=0,D70=""),"",P70/D70)</f>
        <v>0</v>
      </c>
      <c r="R70" s="8">
        <f>IF(OR(A70="",H70=0,H70=""),"",IFERROR(Q70/H70*1000,""))</f>
        <v>0</v>
      </c>
      <c r="S70" s="8">
        <f>IF(OR(A70="",Q70="",Q70=0),"",IFERROR(H70/Q70,""))</f>
        <v>0</v>
      </c>
      <c r="T70" s="8">
        <f>IF(OR(A70="",Q70="",Q70=0),"",IFERROR(I70/Q70,""))</f>
        <v>0</v>
      </c>
      <c r="U70" s="8">
        <f>IF(OR(A70="",G70="",G70=0),"",IFERROR(H70/G70*10,""))</f>
        <v>0</v>
      </c>
      <c r="V70" s="8">
        <f>IF(A70="","",(AC70="Yes")*1+(AD70="Yes")*1+(AE70="Yes")*1+(AF70="Yes")*1+(AG70="Yes")*1+(AH70="Yes")*1)</f>
        <v>0</v>
      </c>
      <c r="W70" s="8">
        <f>IF(A70="","",COUNTIFS('Meal Plan'!$G$5:$G$504,A70,'Meal Plan'!$S$5:$S$504,"Cooked")+COUNTIFS('Meal Plan'!$G$5:$G$504,A70,'Meal Plan'!$S$5:$S$504,"Eaten"))</f>
        <v>0</v>
      </c>
      <c r="X70" s="8">
        <f>IF(A70="","",IF(SUMPRODUCT(MAX(('Meal Plan'!$G$5:$G$504=A70)*'Meal Plan'!$B$5:$B$504))=0,"",SUMPRODUCT(MAX(('Meal Plan'!$G$5:$G$504=A70)*'Meal Plan'!$B$5:$B$504))))</f>
        <v>0</v>
      </c>
      <c r="Y70" s="8">
        <f>IF(OR(A70="",X70=""),"",TODAY()-X70)</f>
        <v>0</v>
      </c>
      <c r="Z70" s="8">
        <f>IF(A70="","",IF(Y70="","Yes",IF(Y70&gt;=Rotation_Gap_Days,"Yes","No")))</f>
        <v>0</v>
      </c>
      <c r="AA70" s="8">
        <f>IF(A70="","",IF(Z70="No","Too soon",IF(AND(AN70&lt;&gt;"",AN70&gt;=4),"Plan it","Available")))</f>
        <v>0</v>
      </c>
      <c r="AB70" s="27"/>
      <c r="AC70" s="27"/>
      <c r="AD70" s="27"/>
      <c r="AE70" s="27"/>
      <c r="AF70" s="27"/>
      <c r="AG70" s="27"/>
      <c r="AH70" s="27"/>
      <c r="AI70" s="27"/>
      <c r="AJ70" s="27"/>
      <c r="AK70" s="8">
        <f>IF(A70="","",IF(G70&lt;=30,"Yes","No"))</f>
        <v>0</v>
      </c>
      <c r="AL70" s="27"/>
      <c r="AM70" s="30"/>
      <c r="AN70" s="26"/>
      <c r="AO70" s="7"/>
      <c r="AP70" s="7"/>
      <c r="AQ70" s="7"/>
      <c r="AR70" s="25"/>
      <c r="AS70" s="8">
        <f>IF(A70="","",COUNTIFS($H$5:$H$204,"&gt;"&amp;H70)+1)</f>
        <v>0</v>
      </c>
      <c r="AT70" s="8">
        <f>IF(A70="","",COUNTIFS($I$5:$I$204,"&gt;"&amp;I70)+1)</f>
        <v>0</v>
      </c>
      <c r="AU70" s="8">
        <f>IF(A70="","",COUNTIFS($L$5:$L$204,"&gt;"&amp;L70)+1)</f>
        <v>0</v>
      </c>
      <c r="AV70" s="8">
        <f>IF(OR(A70="",Q70=""),"",COUNTIFS($Q$5:$Q$204,"&lt;"&amp;Q70)+1)</f>
        <v>0</v>
      </c>
      <c r="AW70" s="8">
        <f>IF(A70="","",COUNTIFS($V$5:$V$204,"&gt;"&amp;V70)+1)</f>
        <v>0</v>
      </c>
      <c r="AX70" s="8">
        <f>IF(A70="","",COUNTIFS($Y$5:$Y$204,"&lt;"&amp;Y70)+1)</f>
        <v>0</v>
      </c>
      <c r="AY70" s="8">
        <f>IF(A70="","",COUNTIFS($W$5:$W$204,"&gt;"&amp;W70)+1)</f>
        <v>0</v>
      </c>
    </row>
    <row r="71" spans="1:51">
      <c r="A71" s="7"/>
      <c r="B71" s="27"/>
      <c r="C71" s="27"/>
      <c r="D71" s="26"/>
      <c r="E71" s="26"/>
      <c r="F71" s="26"/>
      <c r="G71" s="8">
        <f>IF(A71="","",E71+F71)</f>
        <v>0</v>
      </c>
      <c r="H71" s="26"/>
      <c r="I71" s="26"/>
      <c r="J71" s="26"/>
      <c r="K71" s="26"/>
      <c r="L71" s="26"/>
      <c r="M71" s="26"/>
      <c r="N71" s="26"/>
      <c r="O71" s="8">
        <f>IF(A71="","",COUNTIFS('Recipe Ingredients'!$A$5:$A$1204,A71))</f>
        <v>0</v>
      </c>
      <c r="P71" s="8">
        <f>IF(A71="","",SUMIFS('Recipe Ingredients'!$H$5:$H$1204,'Recipe Ingredients'!$A$5:$A$1204,A71))</f>
        <v>0</v>
      </c>
      <c r="Q71" s="8">
        <f>IF(OR(A71="",D71=0,D71=""),"",P71/D71)</f>
        <v>0</v>
      </c>
      <c r="R71" s="8">
        <f>IF(OR(A71="",H71=0,H71=""),"",IFERROR(Q71/H71*1000,""))</f>
        <v>0</v>
      </c>
      <c r="S71" s="8">
        <f>IF(OR(A71="",Q71="",Q71=0),"",IFERROR(H71/Q71,""))</f>
        <v>0</v>
      </c>
      <c r="T71" s="8">
        <f>IF(OR(A71="",Q71="",Q71=0),"",IFERROR(I71/Q71,""))</f>
        <v>0</v>
      </c>
      <c r="U71" s="8">
        <f>IF(OR(A71="",G71="",G71=0),"",IFERROR(H71/G71*10,""))</f>
        <v>0</v>
      </c>
      <c r="V71" s="8">
        <f>IF(A71="","",(AC71="Yes")*1+(AD71="Yes")*1+(AE71="Yes")*1+(AF71="Yes")*1+(AG71="Yes")*1+(AH71="Yes")*1)</f>
        <v>0</v>
      </c>
      <c r="W71" s="8">
        <f>IF(A71="","",COUNTIFS('Meal Plan'!$G$5:$G$504,A71,'Meal Plan'!$S$5:$S$504,"Cooked")+COUNTIFS('Meal Plan'!$G$5:$G$504,A71,'Meal Plan'!$S$5:$S$504,"Eaten"))</f>
        <v>0</v>
      </c>
      <c r="X71" s="8">
        <f>IF(A71="","",IF(SUMPRODUCT(MAX(('Meal Plan'!$G$5:$G$504=A71)*'Meal Plan'!$B$5:$B$504))=0,"",SUMPRODUCT(MAX(('Meal Plan'!$G$5:$G$504=A71)*'Meal Plan'!$B$5:$B$504))))</f>
        <v>0</v>
      </c>
      <c r="Y71" s="8">
        <f>IF(OR(A71="",X71=""),"",TODAY()-X71)</f>
        <v>0</v>
      </c>
      <c r="Z71" s="8">
        <f>IF(A71="","",IF(Y71="","Yes",IF(Y71&gt;=Rotation_Gap_Days,"Yes","No")))</f>
        <v>0</v>
      </c>
      <c r="AA71" s="8">
        <f>IF(A71="","",IF(Z71="No","Too soon",IF(AND(AN71&lt;&gt;"",AN71&gt;=4),"Plan it","Available")))</f>
        <v>0</v>
      </c>
      <c r="AB71" s="27"/>
      <c r="AC71" s="27"/>
      <c r="AD71" s="27"/>
      <c r="AE71" s="27"/>
      <c r="AF71" s="27"/>
      <c r="AG71" s="27"/>
      <c r="AH71" s="27"/>
      <c r="AI71" s="27"/>
      <c r="AJ71" s="27"/>
      <c r="AK71" s="8">
        <f>IF(A71="","",IF(G71&lt;=30,"Yes","No"))</f>
        <v>0</v>
      </c>
      <c r="AL71" s="27"/>
      <c r="AM71" s="30"/>
      <c r="AN71" s="26"/>
      <c r="AO71" s="7"/>
      <c r="AP71" s="7"/>
      <c r="AQ71" s="7"/>
      <c r="AR71" s="25"/>
      <c r="AS71" s="8">
        <f>IF(A71="","",COUNTIFS($H$5:$H$204,"&gt;"&amp;H71)+1)</f>
        <v>0</v>
      </c>
      <c r="AT71" s="8">
        <f>IF(A71="","",COUNTIFS($I$5:$I$204,"&gt;"&amp;I71)+1)</f>
        <v>0</v>
      </c>
      <c r="AU71" s="8">
        <f>IF(A71="","",COUNTIFS($L$5:$L$204,"&gt;"&amp;L71)+1)</f>
        <v>0</v>
      </c>
      <c r="AV71" s="8">
        <f>IF(OR(A71="",Q71=""),"",COUNTIFS($Q$5:$Q$204,"&lt;"&amp;Q71)+1)</f>
        <v>0</v>
      </c>
      <c r="AW71" s="8">
        <f>IF(A71="","",COUNTIFS($V$5:$V$204,"&gt;"&amp;V71)+1)</f>
        <v>0</v>
      </c>
      <c r="AX71" s="8">
        <f>IF(A71="","",COUNTIFS($Y$5:$Y$204,"&lt;"&amp;Y71)+1)</f>
        <v>0</v>
      </c>
      <c r="AY71" s="8">
        <f>IF(A71="","",COUNTIFS($W$5:$W$204,"&gt;"&amp;W71)+1)</f>
        <v>0</v>
      </c>
    </row>
    <row r="72" spans="1:51">
      <c r="A72" s="7"/>
      <c r="B72" s="27"/>
      <c r="C72" s="27"/>
      <c r="D72" s="26"/>
      <c r="E72" s="26"/>
      <c r="F72" s="26"/>
      <c r="G72" s="8">
        <f>IF(A72="","",E72+F72)</f>
        <v>0</v>
      </c>
      <c r="H72" s="26"/>
      <c r="I72" s="26"/>
      <c r="J72" s="26"/>
      <c r="K72" s="26"/>
      <c r="L72" s="26"/>
      <c r="M72" s="26"/>
      <c r="N72" s="26"/>
      <c r="O72" s="8">
        <f>IF(A72="","",COUNTIFS('Recipe Ingredients'!$A$5:$A$1204,A72))</f>
        <v>0</v>
      </c>
      <c r="P72" s="8">
        <f>IF(A72="","",SUMIFS('Recipe Ingredients'!$H$5:$H$1204,'Recipe Ingredients'!$A$5:$A$1204,A72))</f>
        <v>0</v>
      </c>
      <c r="Q72" s="8">
        <f>IF(OR(A72="",D72=0,D72=""),"",P72/D72)</f>
        <v>0</v>
      </c>
      <c r="R72" s="8">
        <f>IF(OR(A72="",H72=0,H72=""),"",IFERROR(Q72/H72*1000,""))</f>
        <v>0</v>
      </c>
      <c r="S72" s="8">
        <f>IF(OR(A72="",Q72="",Q72=0),"",IFERROR(H72/Q72,""))</f>
        <v>0</v>
      </c>
      <c r="T72" s="8">
        <f>IF(OR(A72="",Q72="",Q72=0),"",IFERROR(I72/Q72,""))</f>
        <v>0</v>
      </c>
      <c r="U72" s="8">
        <f>IF(OR(A72="",G72="",G72=0),"",IFERROR(H72/G72*10,""))</f>
        <v>0</v>
      </c>
      <c r="V72" s="8">
        <f>IF(A72="","",(AC72="Yes")*1+(AD72="Yes")*1+(AE72="Yes")*1+(AF72="Yes")*1+(AG72="Yes")*1+(AH72="Yes")*1)</f>
        <v>0</v>
      </c>
      <c r="W72" s="8">
        <f>IF(A72="","",COUNTIFS('Meal Plan'!$G$5:$G$504,A72,'Meal Plan'!$S$5:$S$504,"Cooked")+COUNTIFS('Meal Plan'!$G$5:$G$504,A72,'Meal Plan'!$S$5:$S$504,"Eaten"))</f>
        <v>0</v>
      </c>
      <c r="X72" s="8">
        <f>IF(A72="","",IF(SUMPRODUCT(MAX(('Meal Plan'!$G$5:$G$504=A72)*'Meal Plan'!$B$5:$B$504))=0,"",SUMPRODUCT(MAX(('Meal Plan'!$G$5:$G$504=A72)*'Meal Plan'!$B$5:$B$504))))</f>
        <v>0</v>
      </c>
      <c r="Y72" s="8">
        <f>IF(OR(A72="",X72=""),"",TODAY()-X72)</f>
        <v>0</v>
      </c>
      <c r="Z72" s="8">
        <f>IF(A72="","",IF(Y72="","Yes",IF(Y72&gt;=Rotation_Gap_Days,"Yes","No")))</f>
        <v>0</v>
      </c>
      <c r="AA72" s="8">
        <f>IF(A72="","",IF(Z72="No","Too soon",IF(AND(AN72&lt;&gt;"",AN72&gt;=4),"Plan it","Available")))</f>
        <v>0</v>
      </c>
      <c r="AB72" s="27"/>
      <c r="AC72" s="27"/>
      <c r="AD72" s="27"/>
      <c r="AE72" s="27"/>
      <c r="AF72" s="27"/>
      <c r="AG72" s="27"/>
      <c r="AH72" s="27"/>
      <c r="AI72" s="27"/>
      <c r="AJ72" s="27"/>
      <c r="AK72" s="8">
        <f>IF(A72="","",IF(G72&lt;=30,"Yes","No"))</f>
        <v>0</v>
      </c>
      <c r="AL72" s="27"/>
      <c r="AM72" s="30"/>
      <c r="AN72" s="26"/>
      <c r="AO72" s="7"/>
      <c r="AP72" s="7"/>
      <c r="AQ72" s="7"/>
      <c r="AR72" s="25"/>
      <c r="AS72" s="8">
        <f>IF(A72="","",COUNTIFS($H$5:$H$204,"&gt;"&amp;H72)+1)</f>
        <v>0</v>
      </c>
      <c r="AT72" s="8">
        <f>IF(A72="","",COUNTIFS($I$5:$I$204,"&gt;"&amp;I72)+1)</f>
        <v>0</v>
      </c>
      <c r="AU72" s="8">
        <f>IF(A72="","",COUNTIFS($L$5:$L$204,"&gt;"&amp;L72)+1)</f>
        <v>0</v>
      </c>
      <c r="AV72" s="8">
        <f>IF(OR(A72="",Q72=""),"",COUNTIFS($Q$5:$Q$204,"&lt;"&amp;Q72)+1)</f>
        <v>0</v>
      </c>
      <c r="AW72" s="8">
        <f>IF(A72="","",COUNTIFS($V$5:$V$204,"&gt;"&amp;V72)+1)</f>
        <v>0</v>
      </c>
      <c r="AX72" s="8">
        <f>IF(A72="","",COUNTIFS($Y$5:$Y$204,"&lt;"&amp;Y72)+1)</f>
        <v>0</v>
      </c>
      <c r="AY72" s="8">
        <f>IF(A72="","",COUNTIFS($W$5:$W$204,"&gt;"&amp;W72)+1)</f>
        <v>0</v>
      </c>
    </row>
    <row r="73" spans="1:51">
      <c r="A73" s="7"/>
      <c r="B73" s="27"/>
      <c r="C73" s="27"/>
      <c r="D73" s="26"/>
      <c r="E73" s="26"/>
      <c r="F73" s="26"/>
      <c r="G73" s="8">
        <f>IF(A73="","",E73+F73)</f>
        <v>0</v>
      </c>
      <c r="H73" s="26"/>
      <c r="I73" s="26"/>
      <c r="J73" s="26"/>
      <c r="K73" s="26"/>
      <c r="L73" s="26"/>
      <c r="M73" s="26"/>
      <c r="N73" s="26"/>
      <c r="O73" s="8">
        <f>IF(A73="","",COUNTIFS('Recipe Ingredients'!$A$5:$A$1204,A73))</f>
        <v>0</v>
      </c>
      <c r="P73" s="8">
        <f>IF(A73="","",SUMIFS('Recipe Ingredients'!$H$5:$H$1204,'Recipe Ingredients'!$A$5:$A$1204,A73))</f>
        <v>0</v>
      </c>
      <c r="Q73" s="8">
        <f>IF(OR(A73="",D73=0,D73=""),"",P73/D73)</f>
        <v>0</v>
      </c>
      <c r="R73" s="8">
        <f>IF(OR(A73="",H73=0,H73=""),"",IFERROR(Q73/H73*1000,""))</f>
        <v>0</v>
      </c>
      <c r="S73" s="8">
        <f>IF(OR(A73="",Q73="",Q73=0),"",IFERROR(H73/Q73,""))</f>
        <v>0</v>
      </c>
      <c r="T73" s="8">
        <f>IF(OR(A73="",Q73="",Q73=0),"",IFERROR(I73/Q73,""))</f>
        <v>0</v>
      </c>
      <c r="U73" s="8">
        <f>IF(OR(A73="",G73="",G73=0),"",IFERROR(H73/G73*10,""))</f>
        <v>0</v>
      </c>
      <c r="V73" s="8">
        <f>IF(A73="","",(AC73="Yes")*1+(AD73="Yes")*1+(AE73="Yes")*1+(AF73="Yes")*1+(AG73="Yes")*1+(AH73="Yes")*1)</f>
        <v>0</v>
      </c>
      <c r="W73" s="8">
        <f>IF(A73="","",COUNTIFS('Meal Plan'!$G$5:$G$504,A73,'Meal Plan'!$S$5:$S$504,"Cooked")+COUNTIFS('Meal Plan'!$G$5:$G$504,A73,'Meal Plan'!$S$5:$S$504,"Eaten"))</f>
        <v>0</v>
      </c>
      <c r="X73" s="8">
        <f>IF(A73="","",IF(SUMPRODUCT(MAX(('Meal Plan'!$G$5:$G$504=A73)*'Meal Plan'!$B$5:$B$504))=0,"",SUMPRODUCT(MAX(('Meal Plan'!$G$5:$G$504=A73)*'Meal Plan'!$B$5:$B$504))))</f>
        <v>0</v>
      </c>
      <c r="Y73" s="8">
        <f>IF(OR(A73="",X73=""),"",TODAY()-X73)</f>
        <v>0</v>
      </c>
      <c r="Z73" s="8">
        <f>IF(A73="","",IF(Y73="","Yes",IF(Y73&gt;=Rotation_Gap_Days,"Yes","No")))</f>
        <v>0</v>
      </c>
      <c r="AA73" s="8">
        <f>IF(A73="","",IF(Z73="No","Too soon",IF(AND(AN73&lt;&gt;"",AN73&gt;=4),"Plan it","Available")))</f>
        <v>0</v>
      </c>
      <c r="AB73" s="27"/>
      <c r="AC73" s="27"/>
      <c r="AD73" s="27"/>
      <c r="AE73" s="27"/>
      <c r="AF73" s="27"/>
      <c r="AG73" s="27"/>
      <c r="AH73" s="27"/>
      <c r="AI73" s="27"/>
      <c r="AJ73" s="27"/>
      <c r="AK73" s="8">
        <f>IF(A73="","",IF(G73&lt;=30,"Yes","No"))</f>
        <v>0</v>
      </c>
      <c r="AL73" s="27"/>
      <c r="AM73" s="30"/>
      <c r="AN73" s="26"/>
      <c r="AO73" s="7"/>
      <c r="AP73" s="7"/>
      <c r="AQ73" s="7"/>
      <c r="AR73" s="25"/>
      <c r="AS73" s="8">
        <f>IF(A73="","",COUNTIFS($H$5:$H$204,"&gt;"&amp;H73)+1)</f>
        <v>0</v>
      </c>
      <c r="AT73" s="8">
        <f>IF(A73="","",COUNTIFS($I$5:$I$204,"&gt;"&amp;I73)+1)</f>
        <v>0</v>
      </c>
      <c r="AU73" s="8">
        <f>IF(A73="","",COUNTIFS($L$5:$L$204,"&gt;"&amp;L73)+1)</f>
        <v>0</v>
      </c>
      <c r="AV73" s="8">
        <f>IF(OR(A73="",Q73=""),"",COUNTIFS($Q$5:$Q$204,"&lt;"&amp;Q73)+1)</f>
        <v>0</v>
      </c>
      <c r="AW73" s="8">
        <f>IF(A73="","",COUNTIFS($V$5:$V$204,"&gt;"&amp;V73)+1)</f>
        <v>0</v>
      </c>
      <c r="AX73" s="8">
        <f>IF(A73="","",COUNTIFS($Y$5:$Y$204,"&lt;"&amp;Y73)+1)</f>
        <v>0</v>
      </c>
      <c r="AY73" s="8">
        <f>IF(A73="","",COUNTIFS($W$5:$W$204,"&gt;"&amp;W73)+1)</f>
        <v>0</v>
      </c>
    </row>
    <row r="74" spans="1:51">
      <c r="A74" s="7"/>
      <c r="B74" s="27"/>
      <c r="C74" s="27"/>
      <c r="D74" s="26"/>
      <c r="E74" s="26"/>
      <c r="F74" s="26"/>
      <c r="G74" s="8">
        <f>IF(A74="","",E74+F74)</f>
        <v>0</v>
      </c>
      <c r="H74" s="26"/>
      <c r="I74" s="26"/>
      <c r="J74" s="26"/>
      <c r="K74" s="26"/>
      <c r="L74" s="26"/>
      <c r="M74" s="26"/>
      <c r="N74" s="26"/>
      <c r="O74" s="8">
        <f>IF(A74="","",COUNTIFS('Recipe Ingredients'!$A$5:$A$1204,A74))</f>
        <v>0</v>
      </c>
      <c r="P74" s="8">
        <f>IF(A74="","",SUMIFS('Recipe Ingredients'!$H$5:$H$1204,'Recipe Ingredients'!$A$5:$A$1204,A74))</f>
        <v>0</v>
      </c>
      <c r="Q74" s="8">
        <f>IF(OR(A74="",D74=0,D74=""),"",P74/D74)</f>
        <v>0</v>
      </c>
      <c r="R74" s="8">
        <f>IF(OR(A74="",H74=0,H74=""),"",IFERROR(Q74/H74*1000,""))</f>
        <v>0</v>
      </c>
      <c r="S74" s="8">
        <f>IF(OR(A74="",Q74="",Q74=0),"",IFERROR(H74/Q74,""))</f>
        <v>0</v>
      </c>
      <c r="T74" s="8">
        <f>IF(OR(A74="",Q74="",Q74=0),"",IFERROR(I74/Q74,""))</f>
        <v>0</v>
      </c>
      <c r="U74" s="8">
        <f>IF(OR(A74="",G74="",G74=0),"",IFERROR(H74/G74*10,""))</f>
        <v>0</v>
      </c>
      <c r="V74" s="8">
        <f>IF(A74="","",(AC74="Yes")*1+(AD74="Yes")*1+(AE74="Yes")*1+(AF74="Yes")*1+(AG74="Yes")*1+(AH74="Yes")*1)</f>
        <v>0</v>
      </c>
      <c r="W74" s="8">
        <f>IF(A74="","",COUNTIFS('Meal Plan'!$G$5:$G$504,A74,'Meal Plan'!$S$5:$S$504,"Cooked")+COUNTIFS('Meal Plan'!$G$5:$G$504,A74,'Meal Plan'!$S$5:$S$504,"Eaten"))</f>
        <v>0</v>
      </c>
      <c r="X74" s="8">
        <f>IF(A74="","",IF(SUMPRODUCT(MAX(('Meal Plan'!$G$5:$G$504=A74)*'Meal Plan'!$B$5:$B$504))=0,"",SUMPRODUCT(MAX(('Meal Plan'!$G$5:$G$504=A74)*'Meal Plan'!$B$5:$B$504))))</f>
        <v>0</v>
      </c>
      <c r="Y74" s="8">
        <f>IF(OR(A74="",X74=""),"",TODAY()-X74)</f>
        <v>0</v>
      </c>
      <c r="Z74" s="8">
        <f>IF(A74="","",IF(Y74="","Yes",IF(Y74&gt;=Rotation_Gap_Days,"Yes","No")))</f>
        <v>0</v>
      </c>
      <c r="AA74" s="8">
        <f>IF(A74="","",IF(Z74="No","Too soon",IF(AND(AN74&lt;&gt;"",AN74&gt;=4),"Plan it","Available")))</f>
        <v>0</v>
      </c>
      <c r="AB74" s="27"/>
      <c r="AC74" s="27"/>
      <c r="AD74" s="27"/>
      <c r="AE74" s="27"/>
      <c r="AF74" s="27"/>
      <c r="AG74" s="27"/>
      <c r="AH74" s="27"/>
      <c r="AI74" s="27"/>
      <c r="AJ74" s="27"/>
      <c r="AK74" s="8">
        <f>IF(A74="","",IF(G74&lt;=30,"Yes","No"))</f>
        <v>0</v>
      </c>
      <c r="AL74" s="27"/>
      <c r="AM74" s="30"/>
      <c r="AN74" s="26"/>
      <c r="AO74" s="7"/>
      <c r="AP74" s="7"/>
      <c r="AQ74" s="7"/>
      <c r="AR74" s="25"/>
      <c r="AS74" s="8">
        <f>IF(A74="","",COUNTIFS($H$5:$H$204,"&gt;"&amp;H74)+1)</f>
        <v>0</v>
      </c>
      <c r="AT74" s="8">
        <f>IF(A74="","",COUNTIFS($I$5:$I$204,"&gt;"&amp;I74)+1)</f>
        <v>0</v>
      </c>
      <c r="AU74" s="8">
        <f>IF(A74="","",COUNTIFS($L$5:$L$204,"&gt;"&amp;L74)+1)</f>
        <v>0</v>
      </c>
      <c r="AV74" s="8">
        <f>IF(OR(A74="",Q74=""),"",COUNTIFS($Q$5:$Q$204,"&lt;"&amp;Q74)+1)</f>
        <v>0</v>
      </c>
      <c r="AW74" s="8">
        <f>IF(A74="","",COUNTIFS($V$5:$V$204,"&gt;"&amp;V74)+1)</f>
        <v>0</v>
      </c>
      <c r="AX74" s="8">
        <f>IF(A74="","",COUNTIFS($Y$5:$Y$204,"&lt;"&amp;Y74)+1)</f>
        <v>0</v>
      </c>
      <c r="AY74" s="8">
        <f>IF(A74="","",COUNTIFS($W$5:$W$204,"&gt;"&amp;W74)+1)</f>
        <v>0</v>
      </c>
    </row>
    <row r="75" spans="1:51">
      <c r="A75" s="7"/>
      <c r="B75" s="27"/>
      <c r="C75" s="27"/>
      <c r="D75" s="26"/>
      <c r="E75" s="26"/>
      <c r="F75" s="26"/>
      <c r="G75" s="8">
        <f>IF(A75="","",E75+F75)</f>
        <v>0</v>
      </c>
      <c r="H75" s="26"/>
      <c r="I75" s="26"/>
      <c r="J75" s="26"/>
      <c r="K75" s="26"/>
      <c r="L75" s="26"/>
      <c r="M75" s="26"/>
      <c r="N75" s="26"/>
      <c r="O75" s="8">
        <f>IF(A75="","",COUNTIFS('Recipe Ingredients'!$A$5:$A$1204,A75))</f>
        <v>0</v>
      </c>
      <c r="P75" s="8">
        <f>IF(A75="","",SUMIFS('Recipe Ingredients'!$H$5:$H$1204,'Recipe Ingredients'!$A$5:$A$1204,A75))</f>
        <v>0</v>
      </c>
      <c r="Q75" s="8">
        <f>IF(OR(A75="",D75=0,D75=""),"",P75/D75)</f>
        <v>0</v>
      </c>
      <c r="R75" s="8">
        <f>IF(OR(A75="",H75=0,H75=""),"",IFERROR(Q75/H75*1000,""))</f>
        <v>0</v>
      </c>
      <c r="S75" s="8">
        <f>IF(OR(A75="",Q75="",Q75=0),"",IFERROR(H75/Q75,""))</f>
        <v>0</v>
      </c>
      <c r="T75" s="8">
        <f>IF(OR(A75="",Q75="",Q75=0),"",IFERROR(I75/Q75,""))</f>
        <v>0</v>
      </c>
      <c r="U75" s="8">
        <f>IF(OR(A75="",G75="",G75=0),"",IFERROR(H75/G75*10,""))</f>
        <v>0</v>
      </c>
      <c r="V75" s="8">
        <f>IF(A75="","",(AC75="Yes")*1+(AD75="Yes")*1+(AE75="Yes")*1+(AF75="Yes")*1+(AG75="Yes")*1+(AH75="Yes")*1)</f>
        <v>0</v>
      </c>
      <c r="W75" s="8">
        <f>IF(A75="","",COUNTIFS('Meal Plan'!$G$5:$G$504,A75,'Meal Plan'!$S$5:$S$504,"Cooked")+COUNTIFS('Meal Plan'!$G$5:$G$504,A75,'Meal Plan'!$S$5:$S$504,"Eaten"))</f>
        <v>0</v>
      </c>
      <c r="X75" s="8">
        <f>IF(A75="","",IF(SUMPRODUCT(MAX(('Meal Plan'!$G$5:$G$504=A75)*'Meal Plan'!$B$5:$B$504))=0,"",SUMPRODUCT(MAX(('Meal Plan'!$G$5:$G$504=A75)*'Meal Plan'!$B$5:$B$504))))</f>
        <v>0</v>
      </c>
      <c r="Y75" s="8">
        <f>IF(OR(A75="",X75=""),"",TODAY()-X75)</f>
        <v>0</v>
      </c>
      <c r="Z75" s="8">
        <f>IF(A75="","",IF(Y75="","Yes",IF(Y75&gt;=Rotation_Gap_Days,"Yes","No")))</f>
        <v>0</v>
      </c>
      <c r="AA75" s="8">
        <f>IF(A75="","",IF(Z75="No","Too soon",IF(AND(AN75&lt;&gt;"",AN75&gt;=4),"Plan it","Available")))</f>
        <v>0</v>
      </c>
      <c r="AB75" s="27"/>
      <c r="AC75" s="27"/>
      <c r="AD75" s="27"/>
      <c r="AE75" s="27"/>
      <c r="AF75" s="27"/>
      <c r="AG75" s="27"/>
      <c r="AH75" s="27"/>
      <c r="AI75" s="27"/>
      <c r="AJ75" s="27"/>
      <c r="AK75" s="8">
        <f>IF(A75="","",IF(G75&lt;=30,"Yes","No"))</f>
        <v>0</v>
      </c>
      <c r="AL75" s="27"/>
      <c r="AM75" s="30"/>
      <c r="AN75" s="26"/>
      <c r="AO75" s="7"/>
      <c r="AP75" s="7"/>
      <c r="AQ75" s="7"/>
      <c r="AR75" s="25"/>
      <c r="AS75" s="8">
        <f>IF(A75="","",COUNTIFS($H$5:$H$204,"&gt;"&amp;H75)+1)</f>
        <v>0</v>
      </c>
      <c r="AT75" s="8">
        <f>IF(A75="","",COUNTIFS($I$5:$I$204,"&gt;"&amp;I75)+1)</f>
        <v>0</v>
      </c>
      <c r="AU75" s="8">
        <f>IF(A75="","",COUNTIFS($L$5:$L$204,"&gt;"&amp;L75)+1)</f>
        <v>0</v>
      </c>
      <c r="AV75" s="8">
        <f>IF(OR(A75="",Q75=""),"",COUNTIFS($Q$5:$Q$204,"&lt;"&amp;Q75)+1)</f>
        <v>0</v>
      </c>
      <c r="AW75" s="8">
        <f>IF(A75="","",COUNTIFS($V$5:$V$204,"&gt;"&amp;V75)+1)</f>
        <v>0</v>
      </c>
      <c r="AX75" s="8">
        <f>IF(A75="","",COUNTIFS($Y$5:$Y$204,"&lt;"&amp;Y75)+1)</f>
        <v>0</v>
      </c>
      <c r="AY75" s="8">
        <f>IF(A75="","",COUNTIFS($W$5:$W$204,"&gt;"&amp;W75)+1)</f>
        <v>0</v>
      </c>
    </row>
    <row r="76" spans="1:51">
      <c r="A76" s="7"/>
      <c r="B76" s="27"/>
      <c r="C76" s="27"/>
      <c r="D76" s="26"/>
      <c r="E76" s="26"/>
      <c r="F76" s="26"/>
      <c r="G76" s="8">
        <f>IF(A76="","",E76+F76)</f>
        <v>0</v>
      </c>
      <c r="H76" s="26"/>
      <c r="I76" s="26"/>
      <c r="J76" s="26"/>
      <c r="K76" s="26"/>
      <c r="L76" s="26"/>
      <c r="M76" s="26"/>
      <c r="N76" s="26"/>
      <c r="O76" s="8">
        <f>IF(A76="","",COUNTIFS('Recipe Ingredients'!$A$5:$A$1204,A76))</f>
        <v>0</v>
      </c>
      <c r="P76" s="8">
        <f>IF(A76="","",SUMIFS('Recipe Ingredients'!$H$5:$H$1204,'Recipe Ingredients'!$A$5:$A$1204,A76))</f>
        <v>0</v>
      </c>
      <c r="Q76" s="8">
        <f>IF(OR(A76="",D76=0,D76=""),"",P76/D76)</f>
        <v>0</v>
      </c>
      <c r="R76" s="8">
        <f>IF(OR(A76="",H76=0,H76=""),"",IFERROR(Q76/H76*1000,""))</f>
        <v>0</v>
      </c>
      <c r="S76" s="8">
        <f>IF(OR(A76="",Q76="",Q76=0),"",IFERROR(H76/Q76,""))</f>
        <v>0</v>
      </c>
      <c r="T76" s="8">
        <f>IF(OR(A76="",Q76="",Q76=0),"",IFERROR(I76/Q76,""))</f>
        <v>0</v>
      </c>
      <c r="U76" s="8">
        <f>IF(OR(A76="",G76="",G76=0),"",IFERROR(H76/G76*10,""))</f>
        <v>0</v>
      </c>
      <c r="V76" s="8">
        <f>IF(A76="","",(AC76="Yes")*1+(AD76="Yes")*1+(AE76="Yes")*1+(AF76="Yes")*1+(AG76="Yes")*1+(AH76="Yes")*1)</f>
        <v>0</v>
      </c>
      <c r="W76" s="8">
        <f>IF(A76="","",COUNTIFS('Meal Plan'!$G$5:$G$504,A76,'Meal Plan'!$S$5:$S$504,"Cooked")+COUNTIFS('Meal Plan'!$G$5:$G$504,A76,'Meal Plan'!$S$5:$S$504,"Eaten"))</f>
        <v>0</v>
      </c>
      <c r="X76" s="8">
        <f>IF(A76="","",IF(SUMPRODUCT(MAX(('Meal Plan'!$G$5:$G$504=A76)*'Meal Plan'!$B$5:$B$504))=0,"",SUMPRODUCT(MAX(('Meal Plan'!$G$5:$G$504=A76)*'Meal Plan'!$B$5:$B$504))))</f>
        <v>0</v>
      </c>
      <c r="Y76" s="8">
        <f>IF(OR(A76="",X76=""),"",TODAY()-X76)</f>
        <v>0</v>
      </c>
      <c r="Z76" s="8">
        <f>IF(A76="","",IF(Y76="","Yes",IF(Y76&gt;=Rotation_Gap_Days,"Yes","No")))</f>
        <v>0</v>
      </c>
      <c r="AA76" s="8">
        <f>IF(A76="","",IF(Z76="No","Too soon",IF(AND(AN76&lt;&gt;"",AN76&gt;=4),"Plan it","Available")))</f>
        <v>0</v>
      </c>
      <c r="AB76" s="27"/>
      <c r="AC76" s="27"/>
      <c r="AD76" s="27"/>
      <c r="AE76" s="27"/>
      <c r="AF76" s="27"/>
      <c r="AG76" s="27"/>
      <c r="AH76" s="27"/>
      <c r="AI76" s="27"/>
      <c r="AJ76" s="27"/>
      <c r="AK76" s="8">
        <f>IF(A76="","",IF(G76&lt;=30,"Yes","No"))</f>
        <v>0</v>
      </c>
      <c r="AL76" s="27"/>
      <c r="AM76" s="30"/>
      <c r="AN76" s="26"/>
      <c r="AO76" s="7"/>
      <c r="AP76" s="7"/>
      <c r="AQ76" s="7"/>
      <c r="AR76" s="25"/>
      <c r="AS76" s="8">
        <f>IF(A76="","",COUNTIFS($H$5:$H$204,"&gt;"&amp;H76)+1)</f>
        <v>0</v>
      </c>
      <c r="AT76" s="8">
        <f>IF(A76="","",COUNTIFS($I$5:$I$204,"&gt;"&amp;I76)+1)</f>
        <v>0</v>
      </c>
      <c r="AU76" s="8">
        <f>IF(A76="","",COUNTIFS($L$5:$L$204,"&gt;"&amp;L76)+1)</f>
        <v>0</v>
      </c>
      <c r="AV76" s="8">
        <f>IF(OR(A76="",Q76=""),"",COUNTIFS($Q$5:$Q$204,"&lt;"&amp;Q76)+1)</f>
        <v>0</v>
      </c>
      <c r="AW76" s="8">
        <f>IF(A76="","",COUNTIFS($V$5:$V$204,"&gt;"&amp;V76)+1)</f>
        <v>0</v>
      </c>
      <c r="AX76" s="8">
        <f>IF(A76="","",COUNTIFS($Y$5:$Y$204,"&lt;"&amp;Y76)+1)</f>
        <v>0</v>
      </c>
      <c r="AY76" s="8">
        <f>IF(A76="","",COUNTIFS($W$5:$W$204,"&gt;"&amp;W76)+1)</f>
        <v>0</v>
      </c>
    </row>
    <row r="77" spans="1:51">
      <c r="A77" s="7"/>
      <c r="B77" s="27"/>
      <c r="C77" s="27"/>
      <c r="D77" s="26"/>
      <c r="E77" s="26"/>
      <c r="F77" s="26"/>
      <c r="G77" s="8">
        <f>IF(A77="","",E77+F77)</f>
        <v>0</v>
      </c>
      <c r="H77" s="26"/>
      <c r="I77" s="26"/>
      <c r="J77" s="26"/>
      <c r="K77" s="26"/>
      <c r="L77" s="26"/>
      <c r="M77" s="26"/>
      <c r="N77" s="26"/>
      <c r="O77" s="8">
        <f>IF(A77="","",COUNTIFS('Recipe Ingredients'!$A$5:$A$1204,A77))</f>
        <v>0</v>
      </c>
      <c r="P77" s="8">
        <f>IF(A77="","",SUMIFS('Recipe Ingredients'!$H$5:$H$1204,'Recipe Ingredients'!$A$5:$A$1204,A77))</f>
        <v>0</v>
      </c>
      <c r="Q77" s="8">
        <f>IF(OR(A77="",D77=0,D77=""),"",P77/D77)</f>
        <v>0</v>
      </c>
      <c r="R77" s="8">
        <f>IF(OR(A77="",H77=0,H77=""),"",IFERROR(Q77/H77*1000,""))</f>
        <v>0</v>
      </c>
      <c r="S77" s="8">
        <f>IF(OR(A77="",Q77="",Q77=0),"",IFERROR(H77/Q77,""))</f>
        <v>0</v>
      </c>
      <c r="T77" s="8">
        <f>IF(OR(A77="",Q77="",Q77=0),"",IFERROR(I77/Q77,""))</f>
        <v>0</v>
      </c>
      <c r="U77" s="8">
        <f>IF(OR(A77="",G77="",G77=0),"",IFERROR(H77/G77*10,""))</f>
        <v>0</v>
      </c>
      <c r="V77" s="8">
        <f>IF(A77="","",(AC77="Yes")*1+(AD77="Yes")*1+(AE77="Yes")*1+(AF77="Yes")*1+(AG77="Yes")*1+(AH77="Yes")*1)</f>
        <v>0</v>
      </c>
      <c r="W77" s="8">
        <f>IF(A77="","",COUNTIFS('Meal Plan'!$G$5:$G$504,A77,'Meal Plan'!$S$5:$S$504,"Cooked")+COUNTIFS('Meal Plan'!$G$5:$G$504,A77,'Meal Plan'!$S$5:$S$504,"Eaten"))</f>
        <v>0</v>
      </c>
      <c r="X77" s="8">
        <f>IF(A77="","",IF(SUMPRODUCT(MAX(('Meal Plan'!$G$5:$G$504=A77)*'Meal Plan'!$B$5:$B$504))=0,"",SUMPRODUCT(MAX(('Meal Plan'!$G$5:$G$504=A77)*'Meal Plan'!$B$5:$B$504))))</f>
        <v>0</v>
      </c>
      <c r="Y77" s="8">
        <f>IF(OR(A77="",X77=""),"",TODAY()-X77)</f>
        <v>0</v>
      </c>
      <c r="Z77" s="8">
        <f>IF(A77="","",IF(Y77="","Yes",IF(Y77&gt;=Rotation_Gap_Days,"Yes","No")))</f>
        <v>0</v>
      </c>
      <c r="AA77" s="8">
        <f>IF(A77="","",IF(Z77="No","Too soon",IF(AND(AN77&lt;&gt;"",AN77&gt;=4),"Plan it","Available")))</f>
        <v>0</v>
      </c>
      <c r="AB77" s="27"/>
      <c r="AC77" s="27"/>
      <c r="AD77" s="27"/>
      <c r="AE77" s="27"/>
      <c r="AF77" s="27"/>
      <c r="AG77" s="27"/>
      <c r="AH77" s="27"/>
      <c r="AI77" s="27"/>
      <c r="AJ77" s="27"/>
      <c r="AK77" s="8">
        <f>IF(A77="","",IF(G77&lt;=30,"Yes","No"))</f>
        <v>0</v>
      </c>
      <c r="AL77" s="27"/>
      <c r="AM77" s="30"/>
      <c r="AN77" s="26"/>
      <c r="AO77" s="7"/>
      <c r="AP77" s="7"/>
      <c r="AQ77" s="7"/>
      <c r="AR77" s="25"/>
      <c r="AS77" s="8">
        <f>IF(A77="","",COUNTIFS($H$5:$H$204,"&gt;"&amp;H77)+1)</f>
        <v>0</v>
      </c>
      <c r="AT77" s="8">
        <f>IF(A77="","",COUNTIFS($I$5:$I$204,"&gt;"&amp;I77)+1)</f>
        <v>0</v>
      </c>
      <c r="AU77" s="8">
        <f>IF(A77="","",COUNTIFS($L$5:$L$204,"&gt;"&amp;L77)+1)</f>
        <v>0</v>
      </c>
      <c r="AV77" s="8">
        <f>IF(OR(A77="",Q77=""),"",COUNTIFS($Q$5:$Q$204,"&lt;"&amp;Q77)+1)</f>
        <v>0</v>
      </c>
      <c r="AW77" s="8">
        <f>IF(A77="","",COUNTIFS($V$5:$V$204,"&gt;"&amp;V77)+1)</f>
        <v>0</v>
      </c>
      <c r="AX77" s="8">
        <f>IF(A77="","",COUNTIFS($Y$5:$Y$204,"&lt;"&amp;Y77)+1)</f>
        <v>0</v>
      </c>
      <c r="AY77" s="8">
        <f>IF(A77="","",COUNTIFS($W$5:$W$204,"&gt;"&amp;W77)+1)</f>
        <v>0</v>
      </c>
    </row>
    <row r="78" spans="1:51">
      <c r="A78" s="7"/>
      <c r="B78" s="27"/>
      <c r="C78" s="27"/>
      <c r="D78" s="26"/>
      <c r="E78" s="26"/>
      <c r="F78" s="26"/>
      <c r="G78" s="8">
        <f>IF(A78="","",E78+F78)</f>
        <v>0</v>
      </c>
      <c r="H78" s="26"/>
      <c r="I78" s="26"/>
      <c r="J78" s="26"/>
      <c r="K78" s="26"/>
      <c r="L78" s="26"/>
      <c r="M78" s="26"/>
      <c r="N78" s="26"/>
      <c r="O78" s="8">
        <f>IF(A78="","",COUNTIFS('Recipe Ingredients'!$A$5:$A$1204,A78))</f>
        <v>0</v>
      </c>
      <c r="P78" s="8">
        <f>IF(A78="","",SUMIFS('Recipe Ingredients'!$H$5:$H$1204,'Recipe Ingredients'!$A$5:$A$1204,A78))</f>
        <v>0</v>
      </c>
      <c r="Q78" s="8">
        <f>IF(OR(A78="",D78=0,D78=""),"",P78/D78)</f>
        <v>0</v>
      </c>
      <c r="R78" s="8">
        <f>IF(OR(A78="",H78=0,H78=""),"",IFERROR(Q78/H78*1000,""))</f>
        <v>0</v>
      </c>
      <c r="S78" s="8">
        <f>IF(OR(A78="",Q78="",Q78=0),"",IFERROR(H78/Q78,""))</f>
        <v>0</v>
      </c>
      <c r="T78" s="8">
        <f>IF(OR(A78="",Q78="",Q78=0),"",IFERROR(I78/Q78,""))</f>
        <v>0</v>
      </c>
      <c r="U78" s="8">
        <f>IF(OR(A78="",G78="",G78=0),"",IFERROR(H78/G78*10,""))</f>
        <v>0</v>
      </c>
      <c r="V78" s="8">
        <f>IF(A78="","",(AC78="Yes")*1+(AD78="Yes")*1+(AE78="Yes")*1+(AF78="Yes")*1+(AG78="Yes")*1+(AH78="Yes")*1)</f>
        <v>0</v>
      </c>
      <c r="W78" s="8">
        <f>IF(A78="","",COUNTIFS('Meal Plan'!$G$5:$G$504,A78,'Meal Plan'!$S$5:$S$504,"Cooked")+COUNTIFS('Meal Plan'!$G$5:$G$504,A78,'Meal Plan'!$S$5:$S$504,"Eaten"))</f>
        <v>0</v>
      </c>
      <c r="X78" s="8">
        <f>IF(A78="","",IF(SUMPRODUCT(MAX(('Meal Plan'!$G$5:$G$504=A78)*'Meal Plan'!$B$5:$B$504))=0,"",SUMPRODUCT(MAX(('Meal Plan'!$G$5:$G$504=A78)*'Meal Plan'!$B$5:$B$504))))</f>
        <v>0</v>
      </c>
      <c r="Y78" s="8">
        <f>IF(OR(A78="",X78=""),"",TODAY()-X78)</f>
        <v>0</v>
      </c>
      <c r="Z78" s="8">
        <f>IF(A78="","",IF(Y78="","Yes",IF(Y78&gt;=Rotation_Gap_Days,"Yes","No")))</f>
        <v>0</v>
      </c>
      <c r="AA78" s="8">
        <f>IF(A78="","",IF(Z78="No","Too soon",IF(AND(AN78&lt;&gt;"",AN78&gt;=4),"Plan it","Available")))</f>
        <v>0</v>
      </c>
      <c r="AB78" s="27"/>
      <c r="AC78" s="27"/>
      <c r="AD78" s="27"/>
      <c r="AE78" s="27"/>
      <c r="AF78" s="27"/>
      <c r="AG78" s="27"/>
      <c r="AH78" s="27"/>
      <c r="AI78" s="27"/>
      <c r="AJ78" s="27"/>
      <c r="AK78" s="8">
        <f>IF(A78="","",IF(G78&lt;=30,"Yes","No"))</f>
        <v>0</v>
      </c>
      <c r="AL78" s="27"/>
      <c r="AM78" s="30"/>
      <c r="AN78" s="26"/>
      <c r="AO78" s="7"/>
      <c r="AP78" s="7"/>
      <c r="AQ78" s="7"/>
      <c r="AR78" s="25"/>
      <c r="AS78" s="8">
        <f>IF(A78="","",COUNTIFS($H$5:$H$204,"&gt;"&amp;H78)+1)</f>
        <v>0</v>
      </c>
      <c r="AT78" s="8">
        <f>IF(A78="","",COUNTIFS($I$5:$I$204,"&gt;"&amp;I78)+1)</f>
        <v>0</v>
      </c>
      <c r="AU78" s="8">
        <f>IF(A78="","",COUNTIFS($L$5:$L$204,"&gt;"&amp;L78)+1)</f>
        <v>0</v>
      </c>
      <c r="AV78" s="8">
        <f>IF(OR(A78="",Q78=""),"",COUNTIFS($Q$5:$Q$204,"&lt;"&amp;Q78)+1)</f>
        <v>0</v>
      </c>
      <c r="AW78" s="8">
        <f>IF(A78="","",COUNTIFS($V$5:$V$204,"&gt;"&amp;V78)+1)</f>
        <v>0</v>
      </c>
      <c r="AX78" s="8">
        <f>IF(A78="","",COUNTIFS($Y$5:$Y$204,"&lt;"&amp;Y78)+1)</f>
        <v>0</v>
      </c>
      <c r="AY78" s="8">
        <f>IF(A78="","",COUNTIFS($W$5:$W$204,"&gt;"&amp;W78)+1)</f>
        <v>0</v>
      </c>
    </row>
    <row r="79" spans="1:51">
      <c r="A79" s="7"/>
      <c r="B79" s="27"/>
      <c r="C79" s="27"/>
      <c r="D79" s="26"/>
      <c r="E79" s="26"/>
      <c r="F79" s="26"/>
      <c r="G79" s="8">
        <f>IF(A79="","",E79+F79)</f>
        <v>0</v>
      </c>
      <c r="H79" s="26"/>
      <c r="I79" s="26"/>
      <c r="J79" s="26"/>
      <c r="K79" s="26"/>
      <c r="L79" s="26"/>
      <c r="M79" s="26"/>
      <c r="N79" s="26"/>
      <c r="O79" s="8">
        <f>IF(A79="","",COUNTIFS('Recipe Ingredients'!$A$5:$A$1204,A79))</f>
        <v>0</v>
      </c>
      <c r="P79" s="8">
        <f>IF(A79="","",SUMIFS('Recipe Ingredients'!$H$5:$H$1204,'Recipe Ingredients'!$A$5:$A$1204,A79))</f>
        <v>0</v>
      </c>
      <c r="Q79" s="8">
        <f>IF(OR(A79="",D79=0,D79=""),"",P79/D79)</f>
        <v>0</v>
      </c>
      <c r="R79" s="8">
        <f>IF(OR(A79="",H79=0,H79=""),"",IFERROR(Q79/H79*1000,""))</f>
        <v>0</v>
      </c>
      <c r="S79" s="8">
        <f>IF(OR(A79="",Q79="",Q79=0),"",IFERROR(H79/Q79,""))</f>
        <v>0</v>
      </c>
      <c r="T79" s="8">
        <f>IF(OR(A79="",Q79="",Q79=0),"",IFERROR(I79/Q79,""))</f>
        <v>0</v>
      </c>
      <c r="U79" s="8">
        <f>IF(OR(A79="",G79="",G79=0),"",IFERROR(H79/G79*10,""))</f>
        <v>0</v>
      </c>
      <c r="V79" s="8">
        <f>IF(A79="","",(AC79="Yes")*1+(AD79="Yes")*1+(AE79="Yes")*1+(AF79="Yes")*1+(AG79="Yes")*1+(AH79="Yes")*1)</f>
        <v>0</v>
      </c>
      <c r="W79" s="8">
        <f>IF(A79="","",COUNTIFS('Meal Plan'!$G$5:$G$504,A79,'Meal Plan'!$S$5:$S$504,"Cooked")+COUNTIFS('Meal Plan'!$G$5:$G$504,A79,'Meal Plan'!$S$5:$S$504,"Eaten"))</f>
        <v>0</v>
      </c>
      <c r="X79" s="8">
        <f>IF(A79="","",IF(SUMPRODUCT(MAX(('Meal Plan'!$G$5:$G$504=A79)*'Meal Plan'!$B$5:$B$504))=0,"",SUMPRODUCT(MAX(('Meal Plan'!$G$5:$G$504=A79)*'Meal Plan'!$B$5:$B$504))))</f>
        <v>0</v>
      </c>
      <c r="Y79" s="8">
        <f>IF(OR(A79="",X79=""),"",TODAY()-X79)</f>
        <v>0</v>
      </c>
      <c r="Z79" s="8">
        <f>IF(A79="","",IF(Y79="","Yes",IF(Y79&gt;=Rotation_Gap_Days,"Yes","No")))</f>
        <v>0</v>
      </c>
      <c r="AA79" s="8">
        <f>IF(A79="","",IF(Z79="No","Too soon",IF(AND(AN79&lt;&gt;"",AN79&gt;=4),"Plan it","Available")))</f>
        <v>0</v>
      </c>
      <c r="AB79" s="27"/>
      <c r="AC79" s="27"/>
      <c r="AD79" s="27"/>
      <c r="AE79" s="27"/>
      <c r="AF79" s="27"/>
      <c r="AG79" s="27"/>
      <c r="AH79" s="27"/>
      <c r="AI79" s="27"/>
      <c r="AJ79" s="27"/>
      <c r="AK79" s="8">
        <f>IF(A79="","",IF(G79&lt;=30,"Yes","No"))</f>
        <v>0</v>
      </c>
      <c r="AL79" s="27"/>
      <c r="AM79" s="30"/>
      <c r="AN79" s="26"/>
      <c r="AO79" s="7"/>
      <c r="AP79" s="7"/>
      <c r="AQ79" s="7"/>
      <c r="AR79" s="25"/>
      <c r="AS79" s="8">
        <f>IF(A79="","",COUNTIFS($H$5:$H$204,"&gt;"&amp;H79)+1)</f>
        <v>0</v>
      </c>
      <c r="AT79" s="8">
        <f>IF(A79="","",COUNTIFS($I$5:$I$204,"&gt;"&amp;I79)+1)</f>
        <v>0</v>
      </c>
      <c r="AU79" s="8">
        <f>IF(A79="","",COUNTIFS($L$5:$L$204,"&gt;"&amp;L79)+1)</f>
        <v>0</v>
      </c>
      <c r="AV79" s="8">
        <f>IF(OR(A79="",Q79=""),"",COUNTIFS($Q$5:$Q$204,"&lt;"&amp;Q79)+1)</f>
        <v>0</v>
      </c>
      <c r="AW79" s="8">
        <f>IF(A79="","",COUNTIFS($V$5:$V$204,"&gt;"&amp;V79)+1)</f>
        <v>0</v>
      </c>
      <c r="AX79" s="8">
        <f>IF(A79="","",COUNTIFS($Y$5:$Y$204,"&lt;"&amp;Y79)+1)</f>
        <v>0</v>
      </c>
      <c r="AY79" s="8">
        <f>IF(A79="","",COUNTIFS($W$5:$W$204,"&gt;"&amp;W79)+1)</f>
        <v>0</v>
      </c>
    </row>
    <row r="80" spans="1:51">
      <c r="A80" s="7"/>
      <c r="B80" s="27"/>
      <c r="C80" s="27"/>
      <c r="D80" s="26"/>
      <c r="E80" s="26"/>
      <c r="F80" s="26"/>
      <c r="G80" s="8">
        <f>IF(A80="","",E80+F80)</f>
        <v>0</v>
      </c>
      <c r="H80" s="26"/>
      <c r="I80" s="26"/>
      <c r="J80" s="26"/>
      <c r="K80" s="26"/>
      <c r="L80" s="26"/>
      <c r="M80" s="26"/>
      <c r="N80" s="26"/>
      <c r="O80" s="8">
        <f>IF(A80="","",COUNTIFS('Recipe Ingredients'!$A$5:$A$1204,A80))</f>
        <v>0</v>
      </c>
      <c r="P80" s="8">
        <f>IF(A80="","",SUMIFS('Recipe Ingredients'!$H$5:$H$1204,'Recipe Ingredients'!$A$5:$A$1204,A80))</f>
        <v>0</v>
      </c>
      <c r="Q80" s="8">
        <f>IF(OR(A80="",D80=0,D80=""),"",P80/D80)</f>
        <v>0</v>
      </c>
      <c r="R80" s="8">
        <f>IF(OR(A80="",H80=0,H80=""),"",IFERROR(Q80/H80*1000,""))</f>
        <v>0</v>
      </c>
      <c r="S80" s="8">
        <f>IF(OR(A80="",Q80="",Q80=0),"",IFERROR(H80/Q80,""))</f>
        <v>0</v>
      </c>
      <c r="T80" s="8">
        <f>IF(OR(A80="",Q80="",Q80=0),"",IFERROR(I80/Q80,""))</f>
        <v>0</v>
      </c>
      <c r="U80" s="8">
        <f>IF(OR(A80="",G80="",G80=0),"",IFERROR(H80/G80*10,""))</f>
        <v>0</v>
      </c>
      <c r="V80" s="8">
        <f>IF(A80="","",(AC80="Yes")*1+(AD80="Yes")*1+(AE80="Yes")*1+(AF80="Yes")*1+(AG80="Yes")*1+(AH80="Yes")*1)</f>
        <v>0</v>
      </c>
      <c r="W80" s="8">
        <f>IF(A80="","",COUNTIFS('Meal Plan'!$G$5:$G$504,A80,'Meal Plan'!$S$5:$S$504,"Cooked")+COUNTIFS('Meal Plan'!$G$5:$G$504,A80,'Meal Plan'!$S$5:$S$504,"Eaten"))</f>
        <v>0</v>
      </c>
      <c r="X80" s="8">
        <f>IF(A80="","",IF(SUMPRODUCT(MAX(('Meal Plan'!$G$5:$G$504=A80)*'Meal Plan'!$B$5:$B$504))=0,"",SUMPRODUCT(MAX(('Meal Plan'!$G$5:$G$504=A80)*'Meal Plan'!$B$5:$B$504))))</f>
        <v>0</v>
      </c>
      <c r="Y80" s="8">
        <f>IF(OR(A80="",X80=""),"",TODAY()-X80)</f>
        <v>0</v>
      </c>
      <c r="Z80" s="8">
        <f>IF(A80="","",IF(Y80="","Yes",IF(Y80&gt;=Rotation_Gap_Days,"Yes","No")))</f>
        <v>0</v>
      </c>
      <c r="AA80" s="8">
        <f>IF(A80="","",IF(Z80="No","Too soon",IF(AND(AN80&lt;&gt;"",AN80&gt;=4),"Plan it","Available")))</f>
        <v>0</v>
      </c>
      <c r="AB80" s="27"/>
      <c r="AC80" s="27"/>
      <c r="AD80" s="27"/>
      <c r="AE80" s="27"/>
      <c r="AF80" s="27"/>
      <c r="AG80" s="27"/>
      <c r="AH80" s="27"/>
      <c r="AI80" s="27"/>
      <c r="AJ80" s="27"/>
      <c r="AK80" s="8">
        <f>IF(A80="","",IF(G80&lt;=30,"Yes","No"))</f>
        <v>0</v>
      </c>
      <c r="AL80" s="27"/>
      <c r="AM80" s="30"/>
      <c r="AN80" s="26"/>
      <c r="AO80" s="7"/>
      <c r="AP80" s="7"/>
      <c r="AQ80" s="7"/>
      <c r="AR80" s="25"/>
      <c r="AS80" s="8">
        <f>IF(A80="","",COUNTIFS($H$5:$H$204,"&gt;"&amp;H80)+1)</f>
        <v>0</v>
      </c>
      <c r="AT80" s="8">
        <f>IF(A80="","",COUNTIFS($I$5:$I$204,"&gt;"&amp;I80)+1)</f>
        <v>0</v>
      </c>
      <c r="AU80" s="8">
        <f>IF(A80="","",COUNTIFS($L$5:$L$204,"&gt;"&amp;L80)+1)</f>
        <v>0</v>
      </c>
      <c r="AV80" s="8">
        <f>IF(OR(A80="",Q80=""),"",COUNTIFS($Q$5:$Q$204,"&lt;"&amp;Q80)+1)</f>
        <v>0</v>
      </c>
      <c r="AW80" s="8">
        <f>IF(A80="","",COUNTIFS($V$5:$V$204,"&gt;"&amp;V80)+1)</f>
        <v>0</v>
      </c>
      <c r="AX80" s="8">
        <f>IF(A80="","",COUNTIFS($Y$5:$Y$204,"&lt;"&amp;Y80)+1)</f>
        <v>0</v>
      </c>
      <c r="AY80" s="8">
        <f>IF(A80="","",COUNTIFS($W$5:$W$204,"&gt;"&amp;W80)+1)</f>
        <v>0</v>
      </c>
    </row>
    <row r="81" spans="1:51">
      <c r="A81" s="7"/>
      <c r="B81" s="27"/>
      <c r="C81" s="27"/>
      <c r="D81" s="26"/>
      <c r="E81" s="26"/>
      <c r="F81" s="26"/>
      <c r="G81" s="8">
        <f>IF(A81="","",E81+F81)</f>
        <v>0</v>
      </c>
      <c r="H81" s="26"/>
      <c r="I81" s="26"/>
      <c r="J81" s="26"/>
      <c r="K81" s="26"/>
      <c r="L81" s="26"/>
      <c r="M81" s="26"/>
      <c r="N81" s="26"/>
      <c r="O81" s="8">
        <f>IF(A81="","",COUNTIFS('Recipe Ingredients'!$A$5:$A$1204,A81))</f>
        <v>0</v>
      </c>
      <c r="P81" s="8">
        <f>IF(A81="","",SUMIFS('Recipe Ingredients'!$H$5:$H$1204,'Recipe Ingredients'!$A$5:$A$1204,A81))</f>
        <v>0</v>
      </c>
      <c r="Q81" s="8">
        <f>IF(OR(A81="",D81=0,D81=""),"",P81/D81)</f>
        <v>0</v>
      </c>
      <c r="R81" s="8">
        <f>IF(OR(A81="",H81=0,H81=""),"",IFERROR(Q81/H81*1000,""))</f>
        <v>0</v>
      </c>
      <c r="S81" s="8">
        <f>IF(OR(A81="",Q81="",Q81=0),"",IFERROR(H81/Q81,""))</f>
        <v>0</v>
      </c>
      <c r="T81" s="8">
        <f>IF(OR(A81="",Q81="",Q81=0),"",IFERROR(I81/Q81,""))</f>
        <v>0</v>
      </c>
      <c r="U81" s="8">
        <f>IF(OR(A81="",G81="",G81=0),"",IFERROR(H81/G81*10,""))</f>
        <v>0</v>
      </c>
      <c r="V81" s="8">
        <f>IF(A81="","",(AC81="Yes")*1+(AD81="Yes")*1+(AE81="Yes")*1+(AF81="Yes")*1+(AG81="Yes")*1+(AH81="Yes")*1)</f>
        <v>0</v>
      </c>
      <c r="W81" s="8">
        <f>IF(A81="","",COUNTIFS('Meal Plan'!$G$5:$G$504,A81,'Meal Plan'!$S$5:$S$504,"Cooked")+COUNTIFS('Meal Plan'!$G$5:$G$504,A81,'Meal Plan'!$S$5:$S$504,"Eaten"))</f>
        <v>0</v>
      </c>
      <c r="X81" s="8">
        <f>IF(A81="","",IF(SUMPRODUCT(MAX(('Meal Plan'!$G$5:$G$504=A81)*'Meal Plan'!$B$5:$B$504))=0,"",SUMPRODUCT(MAX(('Meal Plan'!$G$5:$G$504=A81)*'Meal Plan'!$B$5:$B$504))))</f>
        <v>0</v>
      </c>
      <c r="Y81" s="8">
        <f>IF(OR(A81="",X81=""),"",TODAY()-X81)</f>
        <v>0</v>
      </c>
      <c r="Z81" s="8">
        <f>IF(A81="","",IF(Y81="","Yes",IF(Y81&gt;=Rotation_Gap_Days,"Yes","No")))</f>
        <v>0</v>
      </c>
      <c r="AA81" s="8">
        <f>IF(A81="","",IF(Z81="No","Too soon",IF(AND(AN81&lt;&gt;"",AN81&gt;=4),"Plan it","Available")))</f>
        <v>0</v>
      </c>
      <c r="AB81" s="27"/>
      <c r="AC81" s="27"/>
      <c r="AD81" s="27"/>
      <c r="AE81" s="27"/>
      <c r="AF81" s="27"/>
      <c r="AG81" s="27"/>
      <c r="AH81" s="27"/>
      <c r="AI81" s="27"/>
      <c r="AJ81" s="27"/>
      <c r="AK81" s="8">
        <f>IF(A81="","",IF(G81&lt;=30,"Yes","No"))</f>
        <v>0</v>
      </c>
      <c r="AL81" s="27"/>
      <c r="AM81" s="30"/>
      <c r="AN81" s="26"/>
      <c r="AO81" s="7"/>
      <c r="AP81" s="7"/>
      <c r="AQ81" s="7"/>
      <c r="AR81" s="25"/>
      <c r="AS81" s="8">
        <f>IF(A81="","",COUNTIFS($H$5:$H$204,"&gt;"&amp;H81)+1)</f>
        <v>0</v>
      </c>
      <c r="AT81" s="8">
        <f>IF(A81="","",COUNTIFS($I$5:$I$204,"&gt;"&amp;I81)+1)</f>
        <v>0</v>
      </c>
      <c r="AU81" s="8">
        <f>IF(A81="","",COUNTIFS($L$5:$L$204,"&gt;"&amp;L81)+1)</f>
        <v>0</v>
      </c>
      <c r="AV81" s="8">
        <f>IF(OR(A81="",Q81=""),"",COUNTIFS($Q$5:$Q$204,"&lt;"&amp;Q81)+1)</f>
        <v>0</v>
      </c>
      <c r="AW81" s="8">
        <f>IF(A81="","",COUNTIFS($V$5:$V$204,"&gt;"&amp;V81)+1)</f>
        <v>0</v>
      </c>
      <c r="AX81" s="8">
        <f>IF(A81="","",COUNTIFS($Y$5:$Y$204,"&lt;"&amp;Y81)+1)</f>
        <v>0</v>
      </c>
      <c r="AY81" s="8">
        <f>IF(A81="","",COUNTIFS($W$5:$W$204,"&gt;"&amp;W81)+1)</f>
        <v>0</v>
      </c>
    </row>
    <row r="82" spans="1:51">
      <c r="A82" s="7"/>
      <c r="B82" s="27"/>
      <c r="C82" s="27"/>
      <c r="D82" s="26"/>
      <c r="E82" s="26"/>
      <c r="F82" s="26"/>
      <c r="G82" s="8">
        <f>IF(A82="","",E82+F82)</f>
        <v>0</v>
      </c>
      <c r="H82" s="26"/>
      <c r="I82" s="26"/>
      <c r="J82" s="26"/>
      <c r="K82" s="26"/>
      <c r="L82" s="26"/>
      <c r="M82" s="26"/>
      <c r="N82" s="26"/>
      <c r="O82" s="8">
        <f>IF(A82="","",COUNTIFS('Recipe Ingredients'!$A$5:$A$1204,A82))</f>
        <v>0</v>
      </c>
      <c r="P82" s="8">
        <f>IF(A82="","",SUMIFS('Recipe Ingredients'!$H$5:$H$1204,'Recipe Ingredients'!$A$5:$A$1204,A82))</f>
        <v>0</v>
      </c>
      <c r="Q82" s="8">
        <f>IF(OR(A82="",D82=0,D82=""),"",P82/D82)</f>
        <v>0</v>
      </c>
      <c r="R82" s="8">
        <f>IF(OR(A82="",H82=0,H82=""),"",IFERROR(Q82/H82*1000,""))</f>
        <v>0</v>
      </c>
      <c r="S82" s="8">
        <f>IF(OR(A82="",Q82="",Q82=0),"",IFERROR(H82/Q82,""))</f>
        <v>0</v>
      </c>
      <c r="T82" s="8">
        <f>IF(OR(A82="",Q82="",Q82=0),"",IFERROR(I82/Q82,""))</f>
        <v>0</v>
      </c>
      <c r="U82" s="8">
        <f>IF(OR(A82="",G82="",G82=0),"",IFERROR(H82/G82*10,""))</f>
        <v>0</v>
      </c>
      <c r="V82" s="8">
        <f>IF(A82="","",(AC82="Yes")*1+(AD82="Yes")*1+(AE82="Yes")*1+(AF82="Yes")*1+(AG82="Yes")*1+(AH82="Yes")*1)</f>
        <v>0</v>
      </c>
      <c r="W82" s="8">
        <f>IF(A82="","",COUNTIFS('Meal Plan'!$G$5:$G$504,A82,'Meal Plan'!$S$5:$S$504,"Cooked")+COUNTIFS('Meal Plan'!$G$5:$G$504,A82,'Meal Plan'!$S$5:$S$504,"Eaten"))</f>
        <v>0</v>
      </c>
      <c r="X82" s="8">
        <f>IF(A82="","",IF(SUMPRODUCT(MAX(('Meal Plan'!$G$5:$G$504=A82)*'Meal Plan'!$B$5:$B$504))=0,"",SUMPRODUCT(MAX(('Meal Plan'!$G$5:$G$504=A82)*'Meal Plan'!$B$5:$B$504))))</f>
        <v>0</v>
      </c>
      <c r="Y82" s="8">
        <f>IF(OR(A82="",X82=""),"",TODAY()-X82)</f>
        <v>0</v>
      </c>
      <c r="Z82" s="8">
        <f>IF(A82="","",IF(Y82="","Yes",IF(Y82&gt;=Rotation_Gap_Days,"Yes","No")))</f>
        <v>0</v>
      </c>
      <c r="AA82" s="8">
        <f>IF(A82="","",IF(Z82="No","Too soon",IF(AND(AN82&lt;&gt;"",AN82&gt;=4),"Plan it","Available")))</f>
        <v>0</v>
      </c>
      <c r="AB82" s="27"/>
      <c r="AC82" s="27"/>
      <c r="AD82" s="27"/>
      <c r="AE82" s="27"/>
      <c r="AF82" s="27"/>
      <c r="AG82" s="27"/>
      <c r="AH82" s="27"/>
      <c r="AI82" s="27"/>
      <c r="AJ82" s="27"/>
      <c r="AK82" s="8">
        <f>IF(A82="","",IF(G82&lt;=30,"Yes","No"))</f>
        <v>0</v>
      </c>
      <c r="AL82" s="27"/>
      <c r="AM82" s="30"/>
      <c r="AN82" s="26"/>
      <c r="AO82" s="7"/>
      <c r="AP82" s="7"/>
      <c r="AQ82" s="7"/>
      <c r="AR82" s="25"/>
      <c r="AS82" s="8">
        <f>IF(A82="","",COUNTIFS($H$5:$H$204,"&gt;"&amp;H82)+1)</f>
        <v>0</v>
      </c>
      <c r="AT82" s="8">
        <f>IF(A82="","",COUNTIFS($I$5:$I$204,"&gt;"&amp;I82)+1)</f>
        <v>0</v>
      </c>
      <c r="AU82" s="8">
        <f>IF(A82="","",COUNTIFS($L$5:$L$204,"&gt;"&amp;L82)+1)</f>
        <v>0</v>
      </c>
      <c r="AV82" s="8">
        <f>IF(OR(A82="",Q82=""),"",COUNTIFS($Q$5:$Q$204,"&lt;"&amp;Q82)+1)</f>
        <v>0</v>
      </c>
      <c r="AW82" s="8">
        <f>IF(A82="","",COUNTIFS($V$5:$V$204,"&gt;"&amp;V82)+1)</f>
        <v>0</v>
      </c>
      <c r="AX82" s="8">
        <f>IF(A82="","",COUNTIFS($Y$5:$Y$204,"&lt;"&amp;Y82)+1)</f>
        <v>0</v>
      </c>
      <c r="AY82" s="8">
        <f>IF(A82="","",COUNTIFS($W$5:$W$204,"&gt;"&amp;W82)+1)</f>
        <v>0</v>
      </c>
    </row>
    <row r="83" spans="1:51">
      <c r="A83" s="7"/>
      <c r="B83" s="27"/>
      <c r="C83" s="27"/>
      <c r="D83" s="26"/>
      <c r="E83" s="26"/>
      <c r="F83" s="26"/>
      <c r="G83" s="8">
        <f>IF(A83="","",E83+F83)</f>
        <v>0</v>
      </c>
      <c r="H83" s="26"/>
      <c r="I83" s="26"/>
      <c r="J83" s="26"/>
      <c r="K83" s="26"/>
      <c r="L83" s="26"/>
      <c r="M83" s="26"/>
      <c r="N83" s="26"/>
      <c r="O83" s="8">
        <f>IF(A83="","",COUNTIFS('Recipe Ingredients'!$A$5:$A$1204,A83))</f>
        <v>0</v>
      </c>
      <c r="P83" s="8">
        <f>IF(A83="","",SUMIFS('Recipe Ingredients'!$H$5:$H$1204,'Recipe Ingredients'!$A$5:$A$1204,A83))</f>
        <v>0</v>
      </c>
      <c r="Q83" s="8">
        <f>IF(OR(A83="",D83=0,D83=""),"",P83/D83)</f>
        <v>0</v>
      </c>
      <c r="R83" s="8">
        <f>IF(OR(A83="",H83=0,H83=""),"",IFERROR(Q83/H83*1000,""))</f>
        <v>0</v>
      </c>
      <c r="S83" s="8">
        <f>IF(OR(A83="",Q83="",Q83=0),"",IFERROR(H83/Q83,""))</f>
        <v>0</v>
      </c>
      <c r="T83" s="8">
        <f>IF(OR(A83="",Q83="",Q83=0),"",IFERROR(I83/Q83,""))</f>
        <v>0</v>
      </c>
      <c r="U83" s="8">
        <f>IF(OR(A83="",G83="",G83=0),"",IFERROR(H83/G83*10,""))</f>
        <v>0</v>
      </c>
      <c r="V83" s="8">
        <f>IF(A83="","",(AC83="Yes")*1+(AD83="Yes")*1+(AE83="Yes")*1+(AF83="Yes")*1+(AG83="Yes")*1+(AH83="Yes")*1)</f>
        <v>0</v>
      </c>
      <c r="W83" s="8">
        <f>IF(A83="","",COUNTIFS('Meal Plan'!$G$5:$G$504,A83,'Meal Plan'!$S$5:$S$504,"Cooked")+COUNTIFS('Meal Plan'!$G$5:$G$504,A83,'Meal Plan'!$S$5:$S$504,"Eaten"))</f>
        <v>0</v>
      </c>
      <c r="X83" s="8">
        <f>IF(A83="","",IF(SUMPRODUCT(MAX(('Meal Plan'!$G$5:$G$504=A83)*'Meal Plan'!$B$5:$B$504))=0,"",SUMPRODUCT(MAX(('Meal Plan'!$G$5:$G$504=A83)*'Meal Plan'!$B$5:$B$504))))</f>
        <v>0</v>
      </c>
      <c r="Y83" s="8">
        <f>IF(OR(A83="",X83=""),"",TODAY()-X83)</f>
        <v>0</v>
      </c>
      <c r="Z83" s="8">
        <f>IF(A83="","",IF(Y83="","Yes",IF(Y83&gt;=Rotation_Gap_Days,"Yes","No")))</f>
        <v>0</v>
      </c>
      <c r="AA83" s="8">
        <f>IF(A83="","",IF(Z83="No","Too soon",IF(AND(AN83&lt;&gt;"",AN83&gt;=4),"Plan it","Available")))</f>
        <v>0</v>
      </c>
      <c r="AB83" s="27"/>
      <c r="AC83" s="27"/>
      <c r="AD83" s="27"/>
      <c r="AE83" s="27"/>
      <c r="AF83" s="27"/>
      <c r="AG83" s="27"/>
      <c r="AH83" s="27"/>
      <c r="AI83" s="27"/>
      <c r="AJ83" s="27"/>
      <c r="AK83" s="8">
        <f>IF(A83="","",IF(G83&lt;=30,"Yes","No"))</f>
        <v>0</v>
      </c>
      <c r="AL83" s="27"/>
      <c r="AM83" s="30"/>
      <c r="AN83" s="26"/>
      <c r="AO83" s="7"/>
      <c r="AP83" s="7"/>
      <c r="AQ83" s="7"/>
      <c r="AR83" s="25"/>
      <c r="AS83" s="8">
        <f>IF(A83="","",COUNTIFS($H$5:$H$204,"&gt;"&amp;H83)+1)</f>
        <v>0</v>
      </c>
      <c r="AT83" s="8">
        <f>IF(A83="","",COUNTIFS($I$5:$I$204,"&gt;"&amp;I83)+1)</f>
        <v>0</v>
      </c>
      <c r="AU83" s="8">
        <f>IF(A83="","",COUNTIFS($L$5:$L$204,"&gt;"&amp;L83)+1)</f>
        <v>0</v>
      </c>
      <c r="AV83" s="8">
        <f>IF(OR(A83="",Q83=""),"",COUNTIFS($Q$5:$Q$204,"&lt;"&amp;Q83)+1)</f>
        <v>0</v>
      </c>
      <c r="AW83" s="8">
        <f>IF(A83="","",COUNTIFS($V$5:$V$204,"&gt;"&amp;V83)+1)</f>
        <v>0</v>
      </c>
      <c r="AX83" s="8">
        <f>IF(A83="","",COUNTIFS($Y$5:$Y$204,"&lt;"&amp;Y83)+1)</f>
        <v>0</v>
      </c>
      <c r="AY83" s="8">
        <f>IF(A83="","",COUNTIFS($W$5:$W$204,"&gt;"&amp;W83)+1)</f>
        <v>0</v>
      </c>
    </row>
    <row r="84" spans="1:51">
      <c r="A84" s="7"/>
      <c r="B84" s="27"/>
      <c r="C84" s="27"/>
      <c r="D84" s="26"/>
      <c r="E84" s="26"/>
      <c r="F84" s="26"/>
      <c r="G84" s="8">
        <f>IF(A84="","",E84+F84)</f>
        <v>0</v>
      </c>
      <c r="H84" s="26"/>
      <c r="I84" s="26"/>
      <c r="J84" s="26"/>
      <c r="K84" s="26"/>
      <c r="L84" s="26"/>
      <c r="M84" s="26"/>
      <c r="N84" s="26"/>
      <c r="O84" s="8">
        <f>IF(A84="","",COUNTIFS('Recipe Ingredients'!$A$5:$A$1204,A84))</f>
        <v>0</v>
      </c>
      <c r="P84" s="8">
        <f>IF(A84="","",SUMIFS('Recipe Ingredients'!$H$5:$H$1204,'Recipe Ingredients'!$A$5:$A$1204,A84))</f>
        <v>0</v>
      </c>
      <c r="Q84" s="8">
        <f>IF(OR(A84="",D84=0,D84=""),"",P84/D84)</f>
        <v>0</v>
      </c>
      <c r="R84" s="8">
        <f>IF(OR(A84="",H84=0,H84=""),"",IFERROR(Q84/H84*1000,""))</f>
        <v>0</v>
      </c>
      <c r="S84" s="8">
        <f>IF(OR(A84="",Q84="",Q84=0),"",IFERROR(H84/Q84,""))</f>
        <v>0</v>
      </c>
      <c r="T84" s="8">
        <f>IF(OR(A84="",Q84="",Q84=0),"",IFERROR(I84/Q84,""))</f>
        <v>0</v>
      </c>
      <c r="U84" s="8">
        <f>IF(OR(A84="",G84="",G84=0),"",IFERROR(H84/G84*10,""))</f>
        <v>0</v>
      </c>
      <c r="V84" s="8">
        <f>IF(A84="","",(AC84="Yes")*1+(AD84="Yes")*1+(AE84="Yes")*1+(AF84="Yes")*1+(AG84="Yes")*1+(AH84="Yes")*1)</f>
        <v>0</v>
      </c>
      <c r="W84" s="8">
        <f>IF(A84="","",COUNTIFS('Meal Plan'!$G$5:$G$504,A84,'Meal Plan'!$S$5:$S$504,"Cooked")+COUNTIFS('Meal Plan'!$G$5:$G$504,A84,'Meal Plan'!$S$5:$S$504,"Eaten"))</f>
        <v>0</v>
      </c>
      <c r="X84" s="8">
        <f>IF(A84="","",IF(SUMPRODUCT(MAX(('Meal Plan'!$G$5:$G$504=A84)*'Meal Plan'!$B$5:$B$504))=0,"",SUMPRODUCT(MAX(('Meal Plan'!$G$5:$G$504=A84)*'Meal Plan'!$B$5:$B$504))))</f>
        <v>0</v>
      </c>
      <c r="Y84" s="8">
        <f>IF(OR(A84="",X84=""),"",TODAY()-X84)</f>
        <v>0</v>
      </c>
      <c r="Z84" s="8">
        <f>IF(A84="","",IF(Y84="","Yes",IF(Y84&gt;=Rotation_Gap_Days,"Yes","No")))</f>
        <v>0</v>
      </c>
      <c r="AA84" s="8">
        <f>IF(A84="","",IF(Z84="No","Too soon",IF(AND(AN84&lt;&gt;"",AN84&gt;=4),"Plan it","Available")))</f>
        <v>0</v>
      </c>
      <c r="AB84" s="27"/>
      <c r="AC84" s="27"/>
      <c r="AD84" s="27"/>
      <c r="AE84" s="27"/>
      <c r="AF84" s="27"/>
      <c r="AG84" s="27"/>
      <c r="AH84" s="27"/>
      <c r="AI84" s="27"/>
      <c r="AJ84" s="27"/>
      <c r="AK84" s="8">
        <f>IF(A84="","",IF(G84&lt;=30,"Yes","No"))</f>
        <v>0</v>
      </c>
      <c r="AL84" s="27"/>
      <c r="AM84" s="30"/>
      <c r="AN84" s="26"/>
      <c r="AO84" s="7"/>
      <c r="AP84" s="7"/>
      <c r="AQ84" s="7"/>
      <c r="AR84" s="25"/>
      <c r="AS84" s="8">
        <f>IF(A84="","",COUNTIFS($H$5:$H$204,"&gt;"&amp;H84)+1)</f>
        <v>0</v>
      </c>
      <c r="AT84" s="8">
        <f>IF(A84="","",COUNTIFS($I$5:$I$204,"&gt;"&amp;I84)+1)</f>
        <v>0</v>
      </c>
      <c r="AU84" s="8">
        <f>IF(A84="","",COUNTIFS($L$5:$L$204,"&gt;"&amp;L84)+1)</f>
        <v>0</v>
      </c>
      <c r="AV84" s="8">
        <f>IF(OR(A84="",Q84=""),"",COUNTIFS($Q$5:$Q$204,"&lt;"&amp;Q84)+1)</f>
        <v>0</v>
      </c>
      <c r="AW84" s="8">
        <f>IF(A84="","",COUNTIFS($V$5:$V$204,"&gt;"&amp;V84)+1)</f>
        <v>0</v>
      </c>
      <c r="AX84" s="8">
        <f>IF(A84="","",COUNTIFS($Y$5:$Y$204,"&lt;"&amp;Y84)+1)</f>
        <v>0</v>
      </c>
      <c r="AY84" s="8">
        <f>IF(A84="","",COUNTIFS($W$5:$W$204,"&gt;"&amp;W84)+1)</f>
        <v>0</v>
      </c>
    </row>
    <row r="85" spans="1:51">
      <c r="A85" s="7"/>
      <c r="B85" s="27"/>
      <c r="C85" s="27"/>
      <c r="D85" s="26"/>
      <c r="E85" s="26"/>
      <c r="F85" s="26"/>
      <c r="G85" s="8">
        <f>IF(A85="","",E85+F85)</f>
        <v>0</v>
      </c>
      <c r="H85" s="26"/>
      <c r="I85" s="26"/>
      <c r="J85" s="26"/>
      <c r="K85" s="26"/>
      <c r="L85" s="26"/>
      <c r="M85" s="26"/>
      <c r="N85" s="26"/>
      <c r="O85" s="8">
        <f>IF(A85="","",COUNTIFS('Recipe Ingredients'!$A$5:$A$1204,A85))</f>
        <v>0</v>
      </c>
      <c r="P85" s="8">
        <f>IF(A85="","",SUMIFS('Recipe Ingredients'!$H$5:$H$1204,'Recipe Ingredients'!$A$5:$A$1204,A85))</f>
        <v>0</v>
      </c>
      <c r="Q85" s="8">
        <f>IF(OR(A85="",D85=0,D85=""),"",P85/D85)</f>
        <v>0</v>
      </c>
      <c r="R85" s="8">
        <f>IF(OR(A85="",H85=0,H85=""),"",IFERROR(Q85/H85*1000,""))</f>
        <v>0</v>
      </c>
      <c r="S85" s="8">
        <f>IF(OR(A85="",Q85="",Q85=0),"",IFERROR(H85/Q85,""))</f>
        <v>0</v>
      </c>
      <c r="T85" s="8">
        <f>IF(OR(A85="",Q85="",Q85=0),"",IFERROR(I85/Q85,""))</f>
        <v>0</v>
      </c>
      <c r="U85" s="8">
        <f>IF(OR(A85="",G85="",G85=0),"",IFERROR(H85/G85*10,""))</f>
        <v>0</v>
      </c>
      <c r="V85" s="8">
        <f>IF(A85="","",(AC85="Yes")*1+(AD85="Yes")*1+(AE85="Yes")*1+(AF85="Yes")*1+(AG85="Yes")*1+(AH85="Yes")*1)</f>
        <v>0</v>
      </c>
      <c r="W85" s="8">
        <f>IF(A85="","",COUNTIFS('Meal Plan'!$G$5:$G$504,A85,'Meal Plan'!$S$5:$S$504,"Cooked")+COUNTIFS('Meal Plan'!$G$5:$G$504,A85,'Meal Plan'!$S$5:$S$504,"Eaten"))</f>
        <v>0</v>
      </c>
      <c r="X85" s="8">
        <f>IF(A85="","",IF(SUMPRODUCT(MAX(('Meal Plan'!$G$5:$G$504=A85)*'Meal Plan'!$B$5:$B$504))=0,"",SUMPRODUCT(MAX(('Meal Plan'!$G$5:$G$504=A85)*'Meal Plan'!$B$5:$B$504))))</f>
        <v>0</v>
      </c>
      <c r="Y85" s="8">
        <f>IF(OR(A85="",X85=""),"",TODAY()-X85)</f>
        <v>0</v>
      </c>
      <c r="Z85" s="8">
        <f>IF(A85="","",IF(Y85="","Yes",IF(Y85&gt;=Rotation_Gap_Days,"Yes","No")))</f>
        <v>0</v>
      </c>
      <c r="AA85" s="8">
        <f>IF(A85="","",IF(Z85="No","Too soon",IF(AND(AN85&lt;&gt;"",AN85&gt;=4),"Plan it","Available")))</f>
        <v>0</v>
      </c>
      <c r="AB85" s="27"/>
      <c r="AC85" s="27"/>
      <c r="AD85" s="27"/>
      <c r="AE85" s="27"/>
      <c r="AF85" s="27"/>
      <c r="AG85" s="27"/>
      <c r="AH85" s="27"/>
      <c r="AI85" s="27"/>
      <c r="AJ85" s="27"/>
      <c r="AK85" s="8">
        <f>IF(A85="","",IF(G85&lt;=30,"Yes","No"))</f>
        <v>0</v>
      </c>
      <c r="AL85" s="27"/>
      <c r="AM85" s="30"/>
      <c r="AN85" s="26"/>
      <c r="AO85" s="7"/>
      <c r="AP85" s="7"/>
      <c r="AQ85" s="7"/>
      <c r="AR85" s="25"/>
      <c r="AS85" s="8">
        <f>IF(A85="","",COUNTIFS($H$5:$H$204,"&gt;"&amp;H85)+1)</f>
        <v>0</v>
      </c>
      <c r="AT85" s="8">
        <f>IF(A85="","",COUNTIFS($I$5:$I$204,"&gt;"&amp;I85)+1)</f>
        <v>0</v>
      </c>
      <c r="AU85" s="8">
        <f>IF(A85="","",COUNTIFS($L$5:$L$204,"&gt;"&amp;L85)+1)</f>
        <v>0</v>
      </c>
      <c r="AV85" s="8">
        <f>IF(OR(A85="",Q85=""),"",COUNTIFS($Q$5:$Q$204,"&lt;"&amp;Q85)+1)</f>
        <v>0</v>
      </c>
      <c r="AW85" s="8">
        <f>IF(A85="","",COUNTIFS($V$5:$V$204,"&gt;"&amp;V85)+1)</f>
        <v>0</v>
      </c>
      <c r="AX85" s="8">
        <f>IF(A85="","",COUNTIFS($Y$5:$Y$204,"&lt;"&amp;Y85)+1)</f>
        <v>0</v>
      </c>
      <c r="AY85" s="8">
        <f>IF(A85="","",COUNTIFS($W$5:$W$204,"&gt;"&amp;W85)+1)</f>
        <v>0</v>
      </c>
    </row>
    <row r="86" spans="1:51">
      <c r="A86" s="7"/>
      <c r="B86" s="27"/>
      <c r="C86" s="27"/>
      <c r="D86" s="26"/>
      <c r="E86" s="26"/>
      <c r="F86" s="26"/>
      <c r="G86" s="8">
        <f>IF(A86="","",E86+F86)</f>
        <v>0</v>
      </c>
      <c r="H86" s="26"/>
      <c r="I86" s="26"/>
      <c r="J86" s="26"/>
      <c r="K86" s="26"/>
      <c r="L86" s="26"/>
      <c r="M86" s="26"/>
      <c r="N86" s="26"/>
      <c r="O86" s="8">
        <f>IF(A86="","",COUNTIFS('Recipe Ingredients'!$A$5:$A$1204,A86))</f>
        <v>0</v>
      </c>
      <c r="P86" s="8">
        <f>IF(A86="","",SUMIFS('Recipe Ingredients'!$H$5:$H$1204,'Recipe Ingredients'!$A$5:$A$1204,A86))</f>
        <v>0</v>
      </c>
      <c r="Q86" s="8">
        <f>IF(OR(A86="",D86=0,D86=""),"",P86/D86)</f>
        <v>0</v>
      </c>
      <c r="R86" s="8">
        <f>IF(OR(A86="",H86=0,H86=""),"",IFERROR(Q86/H86*1000,""))</f>
        <v>0</v>
      </c>
      <c r="S86" s="8">
        <f>IF(OR(A86="",Q86="",Q86=0),"",IFERROR(H86/Q86,""))</f>
        <v>0</v>
      </c>
      <c r="T86" s="8">
        <f>IF(OR(A86="",Q86="",Q86=0),"",IFERROR(I86/Q86,""))</f>
        <v>0</v>
      </c>
      <c r="U86" s="8">
        <f>IF(OR(A86="",G86="",G86=0),"",IFERROR(H86/G86*10,""))</f>
        <v>0</v>
      </c>
      <c r="V86" s="8">
        <f>IF(A86="","",(AC86="Yes")*1+(AD86="Yes")*1+(AE86="Yes")*1+(AF86="Yes")*1+(AG86="Yes")*1+(AH86="Yes")*1)</f>
        <v>0</v>
      </c>
      <c r="W86" s="8">
        <f>IF(A86="","",COUNTIFS('Meal Plan'!$G$5:$G$504,A86,'Meal Plan'!$S$5:$S$504,"Cooked")+COUNTIFS('Meal Plan'!$G$5:$G$504,A86,'Meal Plan'!$S$5:$S$504,"Eaten"))</f>
        <v>0</v>
      </c>
      <c r="X86" s="8">
        <f>IF(A86="","",IF(SUMPRODUCT(MAX(('Meal Plan'!$G$5:$G$504=A86)*'Meal Plan'!$B$5:$B$504))=0,"",SUMPRODUCT(MAX(('Meal Plan'!$G$5:$G$504=A86)*'Meal Plan'!$B$5:$B$504))))</f>
        <v>0</v>
      </c>
      <c r="Y86" s="8">
        <f>IF(OR(A86="",X86=""),"",TODAY()-X86)</f>
        <v>0</v>
      </c>
      <c r="Z86" s="8">
        <f>IF(A86="","",IF(Y86="","Yes",IF(Y86&gt;=Rotation_Gap_Days,"Yes","No")))</f>
        <v>0</v>
      </c>
      <c r="AA86" s="8">
        <f>IF(A86="","",IF(Z86="No","Too soon",IF(AND(AN86&lt;&gt;"",AN86&gt;=4),"Plan it","Available")))</f>
        <v>0</v>
      </c>
      <c r="AB86" s="27"/>
      <c r="AC86" s="27"/>
      <c r="AD86" s="27"/>
      <c r="AE86" s="27"/>
      <c r="AF86" s="27"/>
      <c r="AG86" s="27"/>
      <c r="AH86" s="27"/>
      <c r="AI86" s="27"/>
      <c r="AJ86" s="27"/>
      <c r="AK86" s="8">
        <f>IF(A86="","",IF(G86&lt;=30,"Yes","No"))</f>
        <v>0</v>
      </c>
      <c r="AL86" s="27"/>
      <c r="AM86" s="30"/>
      <c r="AN86" s="26"/>
      <c r="AO86" s="7"/>
      <c r="AP86" s="7"/>
      <c r="AQ86" s="7"/>
      <c r="AR86" s="25"/>
      <c r="AS86" s="8">
        <f>IF(A86="","",COUNTIFS($H$5:$H$204,"&gt;"&amp;H86)+1)</f>
        <v>0</v>
      </c>
      <c r="AT86" s="8">
        <f>IF(A86="","",COUNTIFS($I$5:$I$204,"&gt;"&amp;I86)+1)</f>
        <v>0</v>
      </c>
      <c r="AU86" s="8">
        <f>IF(A86="","",COUNTIFS($L$5:$L$204,"&gt;"&amp;L86)+1)</f>
        <v>0</v>
      </c>
      <c r="AV86" s="8">
        <f>IF(OR(A86="",Q86=""),"",COUNTIFS($Q$5:$Q$204,"&lt;"&amp;Q86)+1)</f>
        <v>0</v>
      </c>
      <c r="AW86" s="8">
        <f>IF(A86="","",COUNTIFS($V$5:$V$204,"&gt;"&amp;V86)+1)</f>
        <v>0</v>
      </c>
      <c r="AX86" s="8">
        <f>IF(A86="","",COUNTIFS($Y$5:$Y$204,"&lt;"&amp;Y86)+1)</f>
        <v>0</v>
      </c>
      <c r="AY86" s="8">
        <f>IF(A86="","",COUNTIFS($W$5:$W$204,"&gt;"&amp;W86)+1)</f>
        <v>0</v>
      </c>
    </row>
    <row r="87" spans="1:51">
      <c r="A87" s="7"/>
      <c r="B87" s="27"/>
      <c r="C87" s="27"/>
      <c r="D87" s="26"/>
      <c r="E87" s="26"/>
      <c r="F87" s="26"/>
      <c r="G87" s="8">
        <f>IF(A87="","",E87+F87)</f>
        <v>0</v>
      </c>
      <c r="H87" s="26"/>
      <c r="I87" s="26"/>
      <c r="J87" s="26"/>
      <c r="K87" s="26"/>
      <c r="L87" s="26"/>
      <c r="M87" s="26"/>
      <c r="N87" s="26"/>
      <c r="O87" s="8">
        <f>IF(A87="","",COUNTIFS('Recipe Ingredients'!$A$5:$A$1204,A87))</f>
        <v>0</v>
      </c>
      <c r="P87" s="8">
        <f>IF(A87="","",SUMIFS('Recipe Ingredients'!$H$5:$H$1204,'Recipe Ingredients'!$A$5:$A$1204,A87))</f>
        <v>0</v>
      </c>
      <c r="Q87" s="8">
        <f>IF(OR(A87="",D87=0,D87=""),"",P87/D87)</f>
        <v>0</v>
      </c>
      <c r="R87" s="8">
        <f>IF(OR(A87="",H87=0,H87=""),"",IFERROR(Q87/H87*1000,""))</f>
        <v>0</v>
      </c>
      <c r="S87" s="8">
        <f>IF(OR(A87="",Q87="",Q87=0),"",IFERROR(H87/Q87,""))</f>
        <v>0</v>
      </c>
      <c r="T87" s="8">
        <f>IF(OR(A87="",Q87="",Q87=0),"",IFERROR(I87/Q87,""))</f>
        <v>0</v>
      </c>
      <c r="U87" s="8">
        <f>IF(OR(A87="",G87="",G87=0),"",IFERROR(H87/G87*10,""))</f>
        <v>0</v>
      </c>
      <c r="V87" s="8">
        <f>IF(A87="","",(AC87="Yes")*1+(AD87="Yes")*1+(AE87="Yes")*1+(AF87="Yes")*1+(AG87="Yes")*1+(AH87="Yes")*1)</f>
        <v>0</v>
      </c>
      <c r="W87" s="8">
        <f>IF(A87="","",COUNTIFS('Meal Plan'!$G$5:$G$504,A87,'Meal Plan'!$S$5:$S$504,"Cooked")+COUNTIFS('Meal Plan'!$G$5:$G$504,A87,'Meal Plan'!$S$5:$S$504,"Eaten"))</f>
        <v>0</v>
      </c>
      <c r="X87" s="8">
        <f>IF(A87="","",IF(SUMPRODUCT(MAX(('Meal Plan'!$G$5:$G$504=A87)*'Meal Plan'!$B$5:$B$504))=0,"",SUMPRODUCT(MAX(('Meal Plan'!$G$5:$G$504=A87)*'Meal Plan'!$B$5:$B$504))))</f>
        <v>0</v>
      </c>
      <c r="Y87" s="8">
        <f>IF(OR(A87="",X87=""),"",TODAY()-X87)</f>
        <v>0</v>
      </c>
      <c r="Z87" s="8">
        <f>IF(A87="","",IF(Y87="","Yes",IF(Y87&gt;=Rotation_Gap_Days,"Yes","No")))</f>
        <v>0</v>
      </c>
      <c r="AA87" s="8">
        <f>IF(A87="","",IF(Z87="No","Too soon",IF(AND(AN87&lt;&gt;"",AN87&gt;=4),"Plan it","Available")))</f>
        <v>0</v>
      </c>
      <c r="AB87" s="27"/>
      <c r="AC87" s="27"/>
      <c r="AD87" s="27"/>
      <c r="AE87" s="27"/>
      <c r="AF87" s="27"/>
      <c r="AG87" s="27"/>
      <c r="AH87" s="27"/>
      <c r="AI87" s="27"/>
      <c r="AJ87" s="27"/>
      <c r="AK87" s="8">
        <f>IF(A87="","",IF(G87&lt;=30,"Yes","No"))</f>
        <v>0</v>
      </c>
      <c r="AL87" s="27"/>
      <c r="AM87" s="30"/>
      <c r="AN87" s="26"/>
      <c r="AO87" s="7"/>
      <c r="AP87" s="7"/>
      <c r="AQ87" s="7"/>
      <c r="AR87" s="25"/>
      <c r="AS87" s="8">
        <f>IF(A87="","",COUNTIFS($H$5:$H$204,"&gt;"&amp;H87)+1)</f>
        <v>0</v>
      </c>
      <c r="AT87" s="8">
        <f>IF(A87="","",COUNTIFS($I$5:$I$204,"&gt;"&amp;I87)+1)</f>
        <v>0</v>
      </c>
      <c r="AU87" s="8">
        <f>IF(A87="","",COUNTIFS($L$5:$L$204,"&gt;"&amp;L87)+1)</f>
        <v>0</v>
      </c>
      <c r="AV87" s="8">
        <f>IF(OR(A87="",Q87=""),"",COUNTIFS($Q$5:$Q$204,"&lt;"&amp;Q87)+1)</f>
        <v>0</v>
      </c>
      <c r="AW87" s="8">
        <f>IF(A87="","",COUNTIFS($V$5:$V$204,"&gt;"&amp;V87)+1)</f>
        <v>0</v>
      </c>
      <c r="AX87" s="8">
        <f>IF(A87="","",COUNTIFS($Y$5:$Y$204,"&lt;"&amp;Y87)+1)</f>
        <v>0</v>
      </c>
      <c r="AY87" s="8">
        <f>IF(A87="","",COUNTIFS($W$5:$W$204,"&gt;"&amp;W87)+1)</f>
        <v>0</v>
      </c>
    </row>
    <row r="88" spans="1:51">
      <c r="A88" s="7"/>
      <c r="B88" s="27"/>
      <c r="C88" s="27"/>
      <c r="D88" s="26"/>
      <c r="E88" s="26"/>
      <c r="F88" s="26"/>
      <c r="G88" s="8">
        <f>IF(A88="","",E88+F88)</f>
        <v>0</v>
      </c>
      <c r="H88" s="26"/>
      <c r="I88" s="26"/>
      <c r="J88" s="26"/>
      <c r="K88" s="26"/>
      <c r="L88" s="26"/>
      <c r="M88" s="26"/>
      <c r="N88" s="26"/>
      <c r="O88" s="8">
        <f>IF(A88="","",COUNTIFS('Recipe Ingredients'!$A$5:$A$1204,A88))</f>
        <v>0</v>
      </c>
      <c r="P88" s="8">
        <f>IF(A88="","",SUMIFS('Recipe Ingredients'!$H$5:$H$1204,'Recipe Ingredients'!$A$5:$A$1204,A88))</f>
        <v>0</v>
      </c>
      <c r="Q88" s="8">
        <f>IF(OR(A88="",D88=0,D88=""),"",P88/D88)</f>
        <v>0</v>
      </c>
      <c r="R88" s="8">
        <f>IF(OR(A88="",H88=0,H88=""),"",IFERROR(Q88/H88*1000,""))</f>
        <v>0</v>
      </c>
      <c r="S88" s="8">
        <f>IF(OR(A88="",Q88="",Q88=0),"",IFERROR(H88/Q88,""))</f>
        <v>0</v>
      </c>
      <c r="T88" s="8">
        <f>IF(OR(A88="",Q88="",Q88=0),"",IFERROR(I88/Q88,""))</f>
        <v>0</v>
      </c>
      <c r="U88" s="8">
        <f>IF(OR(A88="",G88="",G88=0),"",IFERROR(H88/G88*10,""))</f>
        <v>0</v>
      </c>
      <c r="V88" s="8">
        <f>IF(A88="","",(AC88="Yes")*1+(AD88="Yes")*1+(AE88="Yes")*1+(AF88="Yes")*1+(AG88="Yes")*1+(AH88="Yes")*1)</f>
        <v>0</v>
      </c>
      <c r="W88" s="8">
        <f>IF(A88="","",COUNTIFS('Meal Plan'!$G$5:$G$504,A88,'Meal Plan'!$S$5:$S$504,"Cooked")+COUNTIFS('Meal Plan'!$G$5:$G$504,A88,'Meal Plan'!$S$5:$S$504,"Eaten"))</f>
        <v>0</v>
      </c>
      <c r="X88" s="8">
        <f>IF(A88="","",IF(SUMPRODUCT(MAX(('Meal Plan'!$G$5:$G$504=A88)*'Meal Plan'!$B$5:$B$504))=0,"",SUMPRODUCT(MAX(('Meal Plan'!$G$5:$G$504=A88)*'Meal Plan'!$B$5:$B$504))))</f>
        <v>0</v>
      </c>
      <c r="Y88" s="8">
        <f>IF(OR(A88="",X88=""),"",TODAY()-X88)</f>
        <v>0</v>
      </c>
      <c r="Z88" s="8">
        <f>IF(A88="","",IF(Y88="","Yes",IF(Y88&gt;=Rotation_Gap_Days,"Yes","No")))</f>
        <v>0</v>
      </c>
      <c r="AA88" s="8">
        <f>IF(A88="","",IF(Z88="No","Too soon",IF(AND(AN88&lt;&gt;"",AN88&gt;=4),"Plan it","Available")))</f>
        <v>0</v>
      </c>
      <c r="AB88" s="27"/>
      <c r="AC88" s="27"/>
      <c r="AD88" s="27"/>
      <c r="AE88" s="27"/>
      <c r="AF88" s="27"/>
      <c r="AG88" s="27"/>
      <c r="AH88" s="27"/>
      <c r="AI88" s="27"/>
      <c r="AJ88" s="27"/>
      <c r="AK88" s="8">
        <f>IF(A88="","",IF(G88&lt;=30,"Yes","No"))</f>
        <v>0</v>
      </c>
      <c r="AL88" s="27"/>
      <c r="AM88" s="30"/>
      <c r="AN88" s="26"/>
      <c r="AO88" s="7"/>
      <c r="AP88" s="7"/>
      <c r="AQ88" s="7"/>
      <c r="AR88" s="25"/>
      <c r="AS88" s="8">
        <f>IF(A88="","",COUNTIFS($H$5:$H$204,"&gt;"&amp;H88)+1)</f>
        <v>0</v>
      </c>
      <c r="AT88" s="8">
        <f>IF(A88="","",COUNTIFS($I$5:$I$204,"&gt;"&amp;I88)+1)</f>
        <v>0</v>
      </c>
      <c r="AU88" s="8">
        <f>IF(A88="","",COUNTIFS($L$5:$L$204,"&gt;"&amp;L88)+1)</f>
        <v>0</v>
      </c>
      <c r="AV88" s="8">
        <f>IF(OR(A88="",Q88=""),"",COUNTIFS($Q$5:$Q$204,"&lt;"&amp;Q88)+1)</f>
        <v>0</v>
      </c>
      <c r="AW88" s="8">
        <f>IF(A88="","",COUNTIFS($V$5:$V$204,"&gt;"&amp;V88)+1)</f>
        <v>0</v>
      </c>
      <c r="AX88" s="8">
        <f>IF(A88="","",COUNTIFS($Y$5:$Y$204,"&lt;"&amp;Y88)+1)</f>
        <v>0</v>
      </c>
      <c r="AY88" s="8">
        <f>IF(A88="","",COUNTIFS($W$5:$W$204,"&gt;"&amp;W88)+1)</f>
        <v>0</v>
      </c>
    </row>
    <row r="89" spans="1:51">
      <c r="A89" s="7"/>
      <c r="B89" s="27"/>
      <c r="C89" s="27"/>
      <c r="D89" s="26"/>
      <c r="E89" s="26"/>
      <c r="F89" s="26"/>
      <c r="G89" s="8">
        <f>IF(A89="","",E89+F89)</f>
        <v>0</v>
      </c>
      <c r="H89" s="26"/>
      <c r="I89" s="26"/>
      <c r="J89" s="26"/>
      <c r="K89" s="26"/>
      <c r="L89" s="26"/>
      <c r="M89" s="26"/>
      <c r="N89" s="26"/>
      <c r="O89" s="8">
        <f>IF(A89="","",COUNTIFS('Recipe Ingredients'!$A$5:$A$1204,A89))</f>
        <v>0</v>
      </c>
      <c r="P89" s="8">
        <f>IF(A89="","",SUMIFS('Recipe Ingredients'!$H$5:$H$1204,'Recipe Ingredients'!$A$5:$A$1204,A89))</f>
        <v>0</v>
      </c>
      <c r="Q89" s="8">
        <f>IF(OR(A89="",D89=0,D89=""),"",P89/D89)</f>
        <v>0</v>
      </c>
      <c r="R89" s="8">
        <f>IF(OR(A89="",H89=0,H89=""),"",IFERROR(Q89/H89*1000,""))</f>
        <v>0</v>
      </c>
      <c r="S89" s="8">
        <f>IF(OR(A89="",Q89="",Q89=0),"",IFERROR(H89/Q89,""))</f>
        <v>0</v>
      </c>
      <c r="T89" s="8">
        <f>IF(OR(A89="",Q89="",Q89=0),"",IFERROR(I89/Q89,""))</f>
        <v>0</v>
      </c>
      <c r="U89" s="8">
        <f>IF(OR(A89="",G89="",G89=0),"",IFERROR(H89/G89*10,""))</f>
        <v>0</v>
      </c>
      <c r="V89" s="8">
        <f>IF(A89="","",(AC89="Yes")*1+(AD89="Yes")*1+(AE89="Yes")*1+(AF89="Yes")*1+(AG89="Yes")*1+(AH89="Yes")*1)</f>
        <v>0</v>
      </c>
      <c r="W89" s="8">
        <f>IF(A89="","",COUNTIFS('Meal Plan'!$G$5:$G$504,A89,'Meal Plan'!$S$5:$S$504,"Cooked")+COUNTIFS('Meal Plan'!$G$5:$G$504,A89,'Meal Plan'!$S$5:$S$504,"Eaten"))</f>
        <v>0</v>
      </c>
      <c r="X89" s="8">
        <f>IF(A89="","",IF(SUMPRODUCT(MAX(('Meal Plan'!$G$5:$G$504=A89)*'Meal Plan'!$B$5:$B$504))=0,"",SUMPRODUCT(MAX(('Meal Plan'!$G$5:$G$504=A89)*'Meal Plan'!$B$5:$B$504))))</f>
        <v>0</v>
      </c>
      <c r="Y89" s="8">
        <f>IF(OR(A89="",X89=""),"",TODAY()-X89)</f>
        <v>0</v>
      </c>
      <c r="Z89" s="8">
        <f>IF(A89="","",IF(Y89="","Yes",IF(Y89&gt;=Rotation_Gap_Days,"Yes","No")))</f>
        <v>0</v>
      </c>
      <c r="AA89" s="8">
        <f>IF(A89="","",IF(Z89="No","Too soon",IF(AND(AN89&lt;&gt;"",AN89&gt;=4),"Plan it","Available")))</f>
        <v>0</v>
      </c>
      <c r="AB89" s="27"/>
      <c r="AC89" s="27"/>
      <c r="AD89" s="27"/>
      <c r="AE89" s="27"/>
      <c r="AF89" s="27"/>
      <c r="AG89" s="27"/>
      <c r="AH89" s="27"/>
      <c r="AI89" s="27"/>
      <c r="AJ89" s="27"/>
      <c r="AK89" s="8">
        <f>IF(A89="","",IF(G89&lt;=30,"Yes","No"))</f>
        <v>0</v>
      </c>
      <c r="AL89" s="27"/>
      <c r="AM89" s="30"/>
      <c r="AN89" s="26"/>
      <c r="AO89" s="7"/>
      <c r="AP89" s="7"/>
      <c r="AQ89" s="7"/>
      <c r="AR89" s="25"/>
      <c r="AS89" s="8">
        <f>IF(A89="","",COUNTIFS($H$5:$H$204,"&gt;"&amp;H89)+1)</f>
        <v>0</v>
      </c>
      <c r="AT89" s="8">
        <f>IF(A89="","",COUNTIFS($I$5:$I$204,"&gt;"&amp;I89)+1)</f>
        <v>0</v>
      </c>
      <c r="AU89" s="8">
        <f>IF(A89="","",COUNTIFS($L$5:$L$204,"&gt;"&amp;L89)+1)</f>
        <v>0</v>
      </c>
      <c r="AV89" s="8">
        <f>IF(OR(A89="",Q89=""),"",COUNTIFS($Q$5:$Q$204,"&lt;"&amp;Q89)+1)</f>
        <v>0</v>
      </c>
      <c r="AW89" s="8">
        <f>IF(A89="","",COUNTIFS($V$5:$V$204,"&gt;"&amp;V89)+1)</f>
        <v>0</v>
      </c>
      <c r="AX89" s="8">
        <f>IF(A89="","",COUNTIFS($Y$5:$Y$204,"&lt;"&amp;Y89)+1)</f>
        <v>0</v>
      </c>
      <c r="AY89" s="8">
        <f>IF(A89="","",COUNTIFS($W$5:$W$204,"&gt;"&amp;W89)+1)</f>
        <v>0</v>
      </c>
    </row>
    <row r="90" spans="1:51">
      <c r="A90" s="7"/>
      <c r="B90" s="27"/>
      <c r="C90" s="27"/>
      <c r="D90" s="26"/>
      <c r="E90" s="26"/>
      <c r="F90" s="26"/>
      <c r="G90" s="8">
        <f>IF(A90="","",E90+F90)</f>
        <v>0</v>
      </c>
      <c r="H90" s="26"/>
      <c r="I90" s="26"/>
      <c r="J90" s="26"/>
      <c r="K90" s="26"/>
      <c r="L90" s="26"/>
      <c r="M90" s="26"/>
      <c r="N90" s="26"/>
      <c r="O90" s="8">
        <f>IF(A90="","",COUNTIFS('Recipe Ingredients'!$A$5:$A$1204,A90))</f>
        <v>0</v>
      </c>
      <c r="P90" s="8">
        <f>IF(A90="","",SUMIFS('Recipe Ingredients'!$H$5:$H$1204,'Recipe Ingredients'!$A$5:$A$1204,A90))</f>
        <v>0</v>
      </c>
      <c r="Q90" s="8">
        <f>IF(OR(A90="",D90=0,D90=""),"",P90/D90)</f>
        <v>0</v>
      </c>
      <c r="R90" s="8">
        <f>IF(OR(A90="",H90=0,H90=""),"",IFERROR(Q90/H90*1000,""))</f>
        <v>0</v>
      </c>
      <c r="S90" s="8">
        <f>IF(OR(A90="",Q90="",Q90=0),"",IFERROR(H90/Q90,""))</f>
        <v>0</v>
      </c>
      <c r="T90" s="8">
        <f>IF(OR(A90="",Q90="",Q90=0),"",IFERROR(I90/Q90,""))</f>
        <v>0</v>
      </c>
      <c r="U90" s="8">
        <f>IF(OR(A90="",G90="",G90=0),"",IFERROR(H90/G90*10,""))</f>
        <v>0</v>
      </c>
      <c r="V90" s="8">
        <f>IF(A90="","",(AC90="Yes")*1+(AD90="Yes")*1+(AE90="Yes")*1+(AF90="Yes")*1+(AG90="Yes")*1+(AH90="Yes")*1)</f>
        <v>0</v>
      </c>
      <c r="W90" s="8">
        <f>IF(A90="","",COUNTIFS('Meal Plan'!$G$5:$G$504,A90,'Meal Plan'!$S$5:$S$504,"Cooked")+COUNTIFS('Meal Plan'!$G$5:$G$504,A90,'Meal Plan'!$S$5:$S$504,"Eaten"))</f>
        <v>0</v>
      </c>
      <c r="X90" s="8">
        <f>IF(A90="","",IF(SUMPRODUCT(MAX(('Meal Plan'!$G$5:$G$504=A90)*'Meal Plan'!$B$5:$B$504))=0,"",SUMPRODUCT(MAX(('Meal Plan'!$G$5:$G$504=A90)*'Meal Plan'!$B$5:$B$504))))</f>
        <v>0</v>
      </c>
      <c r="Y90" s="8">
        <f>IF(OR(A90="",X90=""),"",TODAY()-X90)</f>
        <v>0</v>
      </c>
      <c r="Z90" s="8">
        <f>IF(A90="","",IF(Y90="","Yes",IF(Y90&gt;=Rotation_Gap_Days,"Yes","No")))</f>
        <v>0</v>
      </c>
      <c r="AA90" s="8">
        <f>IF(A90="","",IF(Z90="No","Too soon",IF(AND(AN90&lt;&gt;"",AN90&gt;=4),"Plan it","Available")))</f>
        <v>0</v>
      </c>
      <c r="AB90" s="27"/>
      <c r="AC90" s="27"/>
      <c r="AD90" s="27"/>
      <c r="AE90" s="27"/>
      <c r="AF90" s="27"/>
      <c r="AG90" s="27"/>
      <c r="AH90" s="27"/>
      <c r="AI90" s="27"/>
      <c r="AJ90" s="27"/>
      <c r="AK90" s="8">
        <f>IF(A90="","",IF(G90&lt;=30,"Yes","No"))</f>
        <v>0</v>
      </c>
      <c r="AL90" s="27"/>
      <c r="AM90" s="30"/>
      <c r="AN90" s="26"/>
      <c r="AO90" s="7"/>
      <c r="AP90" s="7"/>
      <c r="AQ90" s="7"/>
      <c r="AR90" s="25"/>
      <c r="AS90" s="8">
        <f>IF(A90="","",COUNTIFS($H$5:$H$204,"&gt;"&amp;H90)+1)</f>
        <v>0</v>
      </c>
      <c r="AT90" s="8">
        <f>IF(A90="","",COUNTIFS($I$5:$I$204,"&gt;"&amp;I90)+1)</f>
        <v>0</v>
      </c>
      <c r="AU90" s="8">
        <f>IF(A90="","",COUNTIFS($L$5:$L$204,"&gt;"&amp;L90)+1)</f>
        <v>0</v>
      </c>
      <c r="AV90" s="8">
        <f>IF(OR(A90="",Q90=""),"",COUNTIFS($Q$5:$Q$204,"&lt;"&amp;Q90)+1)</f>
        <v>0</v>
      </c>
      <c r="AW90" s="8">
        <f>IF(A90="","",COUNTIFS($V$5:$V$204,"&gt;"&amp;V90)+1)</f>
        <v>0</v>
      </c>
      <c r="AX90" s="8">
        <f>IF(A90="","",COUNTIFS($Y$5:$Y$204,"&lt;"&amp;Y90)+1)</f>
        <v>0</v>
      </c>
      <c r="AY90" s="8">
        <f>IF(A90="","",COUNTIFS($W$5:$W$204,"&gt;"&amp;W90)+1)</f>
        <v>0</v>
      </c>
    </row>
    <row r="91" spans="1:51">
      <c r="A91" s="7"/>
      <c r="B91" s="27"/>
      <c r="C91" s="27"/>
      <c r="D91" s="26"/>
      <c r="E91" s="26"/>
      <c r="F91" s="26"/>
      <c r="G91" s="8">
        <f>IF(A91="","",E91+F91)</f>
        <v>0</v>
      </c>
      <c r="H91" s="26"/>
      <c r="I91" s="26"/>
      <c r="J91" s="26"/>
      <c r="K91" s="26"/>
      <c r="L91" s="26"/>
      <c r="M91" s="26"/>
      <c r="N91" s="26"/>
      <c r="O91" s="8">
        <f>IF(A91="","",COUNTIFS('Recipe Ingredients'!$A$5:$A$1204,A91))</f>
        <v>0</v>
      </c>
      <c r="P91" s="8">
        <f>IF(A91="","",SUMIFS('Recipe Ingredients'!$H$5:$H$1204,'Recipe Ingredients'!$A$5:$A$1204,A91))</f>
        <v>0</v>
      </c>
      <c r="Q91" s="8">
        <f>IF(OR(A91="",D91=0,D91=""),"",P91/D91)</f>
        <v>0</v>
      </c>
      <c r="R91" s="8">
        <f>IF(OR(A91="",H91=0,H91=""),"",IFERROR(Q91/H91*1000,""))</f>
        <v>0</v>
      </c>
      <c r="S91" s="8">
        <f>IF(OR(A91="",Q91="",Q91=0),"",IFERROR(H91/Q91,""))</f>
        <v>0</v>
      </c>
      <c r="T91" s="8">
        <f>IF(OR(A91="",Q91="",Q91=0),"",IFERROR(I91/Q91,""))</f>
        <v>0</v>
      </c>
      <c r="U91" s="8">
        <f>IF(OR(A91="",G91="",G91=0),"",IFERROR(H91/G91*10,""))</f>
        <v>0</v>
      </c>
      <c r="V91" s="8">
        <f>IF(A91="","",(AC91="Yes")*1+(AD91="Yes")*1+(AE91="Yes")*1+(AF91="Yes")*1+(AG91="Yes")*1+(AH91="Yes")*1)</f>
        <v>0</v>
      </c>
      <c r="W91" s="8">
        <f>IF(A91="","",COUNTIFS('Meal Plan'!$G$5:$G$504,A91,'Meal Plan'!$S$5:$S$504,"Cooked")+COUNTIFS('Meal Plan'!$G$5:$G$504,A91,'Meal Plan'!$S$5:$S$504,"Eaten"))</f>
        <v>0</v>
      </c>
      <c r="X91" s="8">
        <f>IF(A91="","",IF(SUMPRODUCT(MAX(('Meal Plan'!$G$5:$G$504=A91)*'Meal Plan'!$B$5:$B$504))=0,"",SUMPRODUCT(MAX(('Meal Plan'!$G$5:$G$504=A91)*'Meal Plan'!$B$5:$B$504))))</f>
        <v>0</v>
      </c>
      <c r="Y91" s="8">
        <f>IF(OR(A91="",X91=""),"",TODAY()-X91)</f>
        <v>0</v>
      </c>
      <c r="Z91" s="8">
        <f>IF(A91="","",IF(Y91="","Yes",IF(Y91&gt;=Rotation_Gap_Days,"Yes","No")))</f>
        <v>0</v>
      </c>
      <c r="AA91" s="8">
        <f>IF(A91="","",IF(Z91="No","Too soon",IF(AND(AN91&lt;&gt;"",AN91&gt;=4),"Plan it","Available")))</f>
        <v>0</v>
      </c>
      <c r="AB91" s="27"/>
      <c r="AC91" s="27"/>
      <c r="AD91" s="27"/>
      <c r="AE91" s="27"/>
      <c r="AF91" s="27"/>
      <c r="AG91" s="27"/>
      <c r="AH91" s="27"/>
      <c r="AI91" s="27"/>
      <c r="AJ91" s="27"/>
      <c r="AK91" s="8">
        <f>IF(A91="","",IF(G91&lt;=30,"Yes","No"))</f>
        <v>0</v>
      </c>
      <c r="AL91" s="27"/>
      <c r="AM91" s="30"/>
      <c r="AN91" s="26"/>
      <c r="AO91" s="7"/>
      <c r="AP91" s="7"/>
      <c r="AQ91" s="7"/>
      <c r="AR91" s="25"/>
      <c r="AS91" s="8">
        <f>IF(A91="","",COUNTIFS($H$5:$H$204,"&gt;"&amp;H91)+1)</f>
        <v>0</v>
      </c>
      <c r="AT91" s="8">
        <f>IF(A91="","",COUNTIFS($I$5:$I$204,"&gt;"&amp;I91)+1)</f>
        <v>0</v>
      </c>
      <c r="AU91" s="8">
        <f>IF(A91="","",COUNTIFS($L$5:$L$204,"&gt;"&amp;L91)+1)</f>
        <v>0</v>
      </c>
      <c r="AV91" s="8">
        <f>IF(OR(A91="",Q91=""),"",COUNTIFS($Q$5:$Q$204,"&lt;"&amp;Q91)+1)</f>
        <v>0</v>
      </c>
      <c r="AW91" s="8">
        <f>IF(A91="","",COUNTIFS($V$5:$V$204,"&gt;"&amp;V91)+1)</f>
        <v>0</v>
      </c>
      <c r="AX91" s="8">
        <f>IF(A91="","",COUNTIFS($Y$5:$Y$204,"&lt;"&amp;Y91)+1)</f>
        <v>0</v>
      </c>
      <c r="AY91" s="8">
        <f>IF(A91="","",COUNTIFS($W$5:$W$204,"&gt;"&amp;W91)+1)</f>
        <v>0</v>
      </c>
    </row>
    <row r="92" spans="1:51">
      <c r="A92" s="7"/>
      <c r="B92" s="27"/>
      <c r="C92" s="27"/>
      <c r="D92" s="26"/>
      <c r="E92" s="26"/>
      <c r="F92" s="26"/>
      <c r="G92" s="8">
        <f>IF(A92="","",E92+F92)</f>
        <v>0</v>
      </c>
      <c r="H92" s="26"/>
      <c r="I92" s="26"/>
      <c r="J92" s="26"/>
      <c r="K92" s="26"/>
      <c r="L92" s="26"/>
      <c r="M92" s="26"/>
      <c r="N92" s="26"/>
      <c r="O92" s="8">
        <f>IF(A92="","",COUNTIFS('Recipe Ingredients'!$A$5:$A$1204,A92))</f>
        <v>0</v>
      </c>
      <c r="P92" s="8">
        <f>IF(A92="","",SUMIFS('Recipe Ingredients'!$H$5:$H$1204,'Recipe Ingredients'!$A$5:$A$1204,A92))</f>
        <v>0</v>
      </c>
      <c r="Q92" s="8">
        <f>IF(OR(A92="",D92=0,D92=""),"",P92/D92)</f>
        <v>0</v>
      </c>
      <c r="R92" s="8">
        <f>IF(OR(A92="",H92=0,H92=""),"",IFERROR(Q92/H92*1000,""))</f>
        <v>0</v>
      </c>
      <c r="S92" s="8">
        <f>IF(OR(A92="",Q92="",Q92=0),"",IFERROR(H92/Q92,""))</f>
        <v>0</v>
      </c>
      <c r="T92" s="8">
        <f>IF(OR(A92="",Q92="",Q92=0),"",IFERROR(I92/Q92,""))</f>
        <v>0</v>
      </c>
      <c r="U92" s="8">
        <f>IF(OR(A92="",G92="",G92=0),"",IFERROR(H92/G92*10,""))</f>
        <v>0</v>
      </c>
      <c r="V92" s="8">
        <f>IF(A92="","",(AC92="Yes")*1+(AD92="Yes")*1+(AE92="Yes")*1+(AF92="Yes")*1+(AG92="Yes")*1+(AH92="Yes")*1)</f>
        <v>0</v>
      </c>
      <c r="W92" s="8">
        <f>IF(A92="","",COUNTIFS('Meal Plan'!$G$5:$G$504,A92,'Meal Plan'!$S$5:$S$504,"Cooked")+COUNTIFS('Meal Plan'!$G$5:$G$504,A92,'Meal Plan'!$S$5:$S$504,"Eaten"))</f>
        <v>0</v>
      </c>
      <c r="X92" s="8">
        <f>IF(A92="","",IF(SUMPRODUCT(MAX(('Meal Plan'!$G$5:$G$504=A92)*'Meal Plan'!$B$5:$B$504))=0,"",SUMPRODUCT(MAX(('Meal Plan'!$G$5:$G$504=A92)*'Meal Plan'!$B$5:$B$504))))</f>
        <v>0</v>
      </c>
      <c r="Y92" s="8">
        <f>IF(OR(A92="",X92=""),"",TODAY()-X92)</f>
        <v>0</v>
      </c>
      <c r="Z92" s="8">
        <f>IF(A92="","",IF(Y92="","Yes",IF(Y92&gt;=Rotation_Gap_Days,"Yes","No")))</f>
        <v>0</v>
      </c>
      <c r="AA92" s="8">
        <f>IF(A92="","",IF(Z92="No","Too soon",IF(AND(AN92&lt;&gt;"",AN92&gt;=4),"Plan it","Available")))</f>
        <v>0</v>
      </c>
      <c r="AB92" s="27"/>
      <c r="AC92" s="27"/>
      <c r="AD92" s="27"/>
      <c r="AE92" s="27"/>
      <c r="AF92" s="27"/>
      <c r="AG92" s="27"/>
      <c r="AH92" s="27"/>
      <c r="AI92" s="27"/>
      <c r="AJ92" s="27"/>
      <c r="AK92" s="8">
        <f>IF(A92="","",IF(G92&lt;=30,"Yes","No"))</f>
        <v>0</v>
      </c>
      <c r="AL92" s="27"/>
      <c r="AM92" s="30"/>
      <c r="AN92" s="26"/>
      <c r="AO92" s="7"/>
      <c r="AP92" s="7"/>
      <c r="AQ92" s="7"/>
      <c r="AR92" s="25"/>
      <c r="AS92" s="8">
        <f>IF(A92="","",COUNTIFS($H$5:$H$204,"&gt;"&amp;H92)+1)</f>
        <v>0</v>
      </c>
      <c r="AT92" s="8">
        <f>IF(A92="","",COUNTIFS($I$5:$I$204,"&gt;"&amp;I92)+1)</f>
        <v>0</v>
      </c>
      <c r="AU92" s="8">
        <f>IF(A92="","",COUNTIFS($L$5:$L$204,"&gt;"&amp;L92)+1)</f>
        <v>0</v>
      </c>
      <c r="AV92" s="8">
        <f>IF(OR(A92="",Q92=""),"",COUNTIFS($Q$5:$Q$204,"&lt;"&amp;Q92)+1)</f>
        <v>0</v>
      </c>
      <c r="AW92" s="8">
        <f>IF(A92="","",COUNTIFS($V$5:$V$204,"&gt;"&amp;V92)+1)</f>
        <v>0</v>
      </c>
      <c r="AX92" s="8">
        <f>IF(A92="","",COUNTIFS($Y$5:$Y$204,"&lt;"&amp;Y92)+1)</f>
        <v>0</v>
      </c>
      <c r="AY92" s="8">
        <f>IF(A92="","",COUNTIFS($W$5:$W$204,"&gt;"&amp;W92)+1)</f>
        <v>0</v>
      </c>
    </row>
    <row r="93" spans="1:51">
      <c r="A93" s="7"/>
      <c r="B93" s="27"/>
      <c r="C93" s="27"/>
      <c r="D93" s="26"/>
      <c r="E93" s="26"/>
      <c r="F93" s="26"/>
      <c r="G93" s="8">
        <f>IF(A93="","",E93+F93)</f>
        <v>0</v>
      </c>
      <c r="H93" s="26"/>
      <c r="I93" s="26"/>
      <c r="J93" s="26"/>
      <c r="K93" s="26"/>
      <c r="L93" s="26"/>
      <c r="M93" s="26"/>
      <c r="N93" s="26"/>
      <c r="O93" s="8">
        <f>IF(A93="","",COUNTIFS('Recipe Ingredients'!$A$5:$A$1204,A93))</f>
        <v>0</v>
      </c>
      <c r="P93" s="8">
        <f>IF(A93="","",SUMIFS('Recipe Ingredients'!$H$5:$H$1204,'Recipe Ingredients'!$A$5:$A$1204,A93))</f>
        <v>0</v>
      </c>
      <c r="Q93" s="8">
        <f>IF(OR(A93="",D93=0,D93=""),"",P93/D93)</f>
        <v>0</v>
      </c>
      <c r="R93" s="8">
        <f>IF(OR(A93="",H93=0,H93=""),"",IFERROR(Q93/H93*1000,""))</f>
        <v>0</v>
      </c>
      <c r="S93" s="8">
        <f>IF(OR(A93="",Q93="",Q93=0),"",IFERROR(H93/Q93,""))</f>
        <v>0</v>
      </c>
      <c r="T93" s="8">
        <f>IF(OR(A93="",Q93="",Q93=0),"",IFERROR(I93/Q93,""))</f>
        <v>0</v>
      </c>
      <c r="U93" s="8">
        <f>IF(OR(A93="",G93="",G93=0),"",IFERROR(H93/G93*10,""))</f>
        <v>0</v>
      </c>
      <c r="V93" s="8">
        <f>IF(A93="","",(AC93="Yes")*1+(AD93="Yes")*1+(AE93="Yes")*1+(AF93="Yes")*1+(AG93="Yes")*1+(AH93="Yes")*1)</f>
        <v>0</v>
      </c>
      <c r="W93" s="8">
        <f>IF(A93="","",COUNTIFS('Meal Plan'!$G$5:$G$504,A93,'Meal Plan'!$S$5:$S$504,"Cooked")+COUNTIFS('Meal Plan'!$G$5:$G$504,A93,'Meal Plan'!$S$5:$S$504,"Eaten"))</f>
        <v>0</v>
      </c>
      <c r="X93" s="8">
        <f>IF(A93="","",IF(SUMPRODUCT(MAX(('Meal Plan'!$G$5:$G$504=A93)*'Meal Plan'!$B$5:$B$504))=0,"",SUMPRODUCT(MAX(('Meal Plan'!$G$5:$G$504=A93)*'Meal Plan'!$B$5:$B$504))))</f>
        <v>0</v>
      </c>
      <c r="Y93" s="8">
        <f>IF(OR(A93="",X93=""),"",TODAY()-X93)</f>
        <v>0</v>
      </c>
      <c r="Z93" s="8">
        <f>IF(A93="","",IF(Y93="","Yes",IF(Y93&gt;=Rotation_Gap_Days,"Yes","No")))</f>
        <v>0</v>
      </c>
      <c r="AA93" s="8">
        <f>IF(A93="","",IF(Z93="No","Too soon",IF(AND(AN93&lt;&gt;"",AN93&gt;=4),"Plan it","Available")))</f>
        <v>0</v>
      </c>
      <c r="AB93" s="27"/>
      <c r="AC93" s="27"/>
      <c r="AD93" s="27"/>
      <c r="AE93" s="27"/>
      <c r="AF93" s="27"/>
      <c r="AG93" s="27"/>
      <c r="AH93" s="27"/>
      <c r="AI93" s="27"/>
      <c r="AJ93" s="27"/>
      <c r="AK93" s="8">
        <f>IF(A93="","",IF(G93&lt;=30,"Yes","No"))</f>
        <v>0</v>
      </c>
      <c r="AL93" s="27"/>
      <c r="AM93" s="30"/>
      <c r="AN93" s="26"/>
      <c r="AO93" s="7"/>
      <c r="AP93" s="7"/>
      <c r="AQ93" s="7"/>
      <c r="AR93" s="25"/>
      <c r="AS93" s="8">
        <f>IF(A93="","",COUNTIFS($H$5:$H$204,"&gt;"&amp;H93)+1)</f>
        <v>0</v>
      </c>
      <c r="AT93" s="8">
        <f>IF(A93="","",COUNTIFS($I$5:$I$204,"&gt;"&amp;I93)+1)</f>
        <v>0</v>
      </c>
      <c r="AU93" s="8">
        <f>IF(A93="","",COUNTIFS($L$5:$L$204,"&gt;"&amp;L93)+1)</f>
        <v>0</v>
      </c>
      <c r="AV93" s="8">
        <f>IF(OR(A93="",Q93=""),"",COUNTIFS($Q$5:$Q$204,"&lt;"&amp;Q93)+1)</f>
        <v>0</v>
      </c>
      <c r="AW93" s="8">
        <f>IF(A93="","",COUNTIFS($V$5:$V$204,"&gt;"&amp;V93)+1)</f>
        <v>0</v>
      </c>
      <c r="AX93" s="8">
        <f>IF(A93="","",COUNTIFS($Y$5:$Y$204,"&lt;"&amp;Y93)+1)</f>
        <v>0</v>
      </c>
      <c r="AY93" s="8">
        <f>IF(A93="","",COUNTIFS($W$5:$W$204,"&gt;"&amp;W93)+1)</f>
        <v>0</v>
      </c>
    </row>
    <row r="94" spans="1:51">
      <c r="A94" s="7"/>
      <c r="B94" s="27"/>
      <c r="C94" s="27"/>
      <c r="D94" s="26"/>
      <c r="E94" s="26"/>
      <c r="F94" s="26"/>
      <c r="G94" s="8">
        <f>IF(A94="","",E94+F94)</f>
        <v>0</v>
      </c>
      <c r="H94" s="26"/>
      <c r="I94" s="26"/>
      <c r="J94" s="26"/>
      <c r="K94" s="26"/>
      <c r="L94" s="26"/>
      <c r="M94" s="26"/>
      <c r="N94" s="26"/>
      <c r="O94" s="8">
        <f>IF(A94="","",COUNTIFS('Recipe Ingredients'!$A$5:$A$1204,A94))</f>
        <v>0</v>
      </c>
      <c r="P94" s="8">
        <f>IF(A94="","",SUMIFS('Recipe Ingredients'!$H$5:$H$1204,'Recipe Ingredients'!$A$5:$A$1204,A94))</f>
        <v>0</v>
      </c>
      <c r="Q94" s="8">
        <f>IF(OR(A94="",D94=0,D94=""),"",P94/D94)</f>
        <v>0</v>
      </c>
      <c r="R94" s="8">
        <f>IF(OR(A94="",H94=0,H94=""),"",IFERROR(Q94/H94*1000,""))</f>
        <v>0</v>
      </c>
      <c r="S94" s="8">
        <f>IF(OR(A94="",Q94="",Q94=0),"",IFERROR(H94/Q94,""))</f>
        <v>0</v>
      </c>
      <c r="T94" s="8">
        <f>IF(OR(A94="",Q94="",Q94=0),"",IFERROR(I94/Q94,""))</f>
        <v>0</v>
      </c>
      <c r="U94" s="8">
        <f>IF(OR(A94="",G94="",G94=0),"",IFERROR(H94/G94*10,""))</f>
        <v>0</v>
      </c>
      <c r="V94" s="8">
        <f>IF(A94="","",(AC94="Yes")*1+(AD94="Yes")*1+(AE94="Yes")*1+(AF94="Yes")*1+(AG94="Yes")*1+(AH94="Yes")*1)</f>
        <v>0</v>
      </c>
      <c r="W94" s="8">
        <f>IF(A94="","",COUNTIFS('Meal Plan'!$G$5:$G$504,A94,'Meal Plan'!$S$5:$S$504,"Cooked")+COUNTIFS('Meal Plan'!$G$5:$G$504,A94,'Meal Plan'!$S$5:$S$504,"Eaten"))</f>
        <v>0</v>
      </c>
      <c r="X94" s="8">
        <f>IF(A94="","",IF(SUMPRODUCT(MAX(('Meal Plan'!$G$5:$G$504=A94)*'Meal Plan'!$B$5:$B$504))=0,"",SUMPRODUCT(MAX(('Meal Plan'!$G$5:$G$504=A94)*'Meal Plan'!$B$5:$B$504))))</f>
        <v>0</v>
      </c>
      <c r="Y94" s="8">
        <f>IF(OR(A94="",X94=""),"",TODAY()-X94)</f>
        <v>0</v>
      </c>
      <c r="Z94" s="8">
        <f>IF(A94="","",IF(Y94="","Yes",IF(Y94&gt;=Rotation_Gap_Days,"Yes","No")))</f>
        <v>0</v>
      </c>
      <c r="AA94" s="8">
        <f>IF(A94="","",IF(Z94="No","Too soon",IF(AND(AN94&lt;&gt;"",AN94&gt;=4),"Plan it","Available")))</f>
        <v>0</v>
      </c>
      <c r="AB94" s="27"/>
      <c r="AC94" s="27"/>
      <c r="AD94" s="27"/>
      <c r="AE94" s="27"/>
      <c r="AF94" s="27"/>
      <c r="AG94" s="27"/>
      <c r="AH94" s="27"/>
      <c r="AI94" s="27"/>
      <c r="AJ94" s="27"/>
      <c r="AK94" s="8">
        <f>IF(A94="","",IF(G94&lt;=30,"Yes","No"))</f>
        <v>0</v>
      </c>
      <c r="AL94" s="27"/>
      <c r="AM94" s="30"/>
      <c r="AN94" s="26"/>
      <c r="AO94" s="7"/>
      <c r="AP94" s="7"/>
      <c r="AQ94" s="7"/>
      <c r="AR94" s="25"/>
      <c r="AS94" s="8">
        <f>IF(A94="","",COUNTIFS($H$5:$H$204,"&gt;"&amp;H94)+1)</f>
        <v>0</v>
      </c>
      <c r="AT94" s="8">
        <f>IF(A94="","",COUNTIFS($I$5:$I$204,"&gt;"&amp;I94)+1)</f>
        <v>0</v>
      </c>
      <c r="AU94" s="8">
        <f>IF(A94="","",COUNTIFS($L$5:$L$204,"&gt;"&amp;L94)+1)</f>
        <v>0</v>
      </c>
      <c r="AV94" s="8">
        <f>IF(OR(A94="",Q94=""),"",COUNTIFS($Q$5:$Q$204,"&lt;"&amp;Q94)+1)</f>
        <v>0</v>
      </c>
      <c r="AW94" s="8">
        <f>IF(A94="","",COUNTIFS($V$5:$V$204,"&gt;"&amp;V94)+1)</f>
        <v>0</v>
      </c>
      <c r="AX94" s="8">
        <f>IF(A94="","",COUNTIFS($Y$5:$Y$204,"&lt;"&amp;Y94)+1)</f>
        <v>0</v>
      </c>
      <c r="AY94" s="8">
        <f>IF(A94="","",COUNTIFS($W$5:$W$204,"&gt;"&amp;W94)+1)</f>
        <v>0</v>
      </c>
    </row>
    <row r="95" spans="1:51">
      <c r="A95" s="7"/>
      <c r="B95" s="27"/>
      <c r="C95" s="27"/>
      <c r="D95" s="26"/>
      <c r="E95" s="26"/>
      <c r="F95" s="26"/>
      <c r="G95" s="8">
        <f>IF(A95="","",E95+F95)</f>
        <v>0</v>
      </c>
      <c r="H95" s="26"/>
      <c r="I95" s="26"/>
      <c r="J95" s="26"/>
      <c r="K95" s="26"/>
      <c r="L95" s="26"/>
      <c r="M95" s="26"/>
      <c r="N95" s="26"/>
      <c r="O95" s="8">
        <f>IF(A95="","",COUNTIFS('Recipe Ingredients'!$A$5:$A$1204,A95))</f>
        <v>0</v>
      </c>
      <c r="P95" s="8">
        <f>IF(A95="","",SUMIFS('Recipe Ingredients'!$H$5:$H$1204,'Recipe Ingredients'!$A$5:$A$1204,A95))</f>
        <v>0</v>
      </c>
      <c r="Q95" s="8">
        <f>IF(OR(A95="",D95=0,D95=""),"",P95/D95)</f>
        <v>0</v>
      </c>
      <c r="R95" s="8">
        <f>IF(OR(A95="",H95=0,H95=""),"",IFERROR(Q95/H95*1000,""))</f>
        <v>0</v>
      </c>
      <c r="S95" s="8">
        <f>IF(OR(A95="",Q95="",Q95=0),"",IFERROR(H95/Q95,""))</f>
        <v>0</v>
      </c>
      <c r="T95" s="8">
        <f>IF(OR(A95="",Q95="",Q95=0),"",IFERROR(I95/Q95,""))</f>
        <v>0</v>
      </c>
      <c r="U95" s="8">
        <f>IF(OR(A95="",G95="",G95=0),"",IFERROR(H95/G95*10,""))</f>
        <v>0</v>
      </c>
      <c r="V95" s="8">
        <f>IF(A95="","",(AC95="Yes")*1+(AD95="Yes")*1+(AE95="Yes")*1+(AF95="Yes")*1+(AG95="Yes")*1+(AH95="Yes")*1)</f>
        <v>0</v>
      </c>
      <c r="W95" s="8">
        <f>IF(A95="","",COUNTIFS('Meal Plan'!$G$5:$G$504,A95,'Meal Plan'!$S$5:$S$504,"Cooked")+COUNTIFS('Meal Plan'!$G$5:$G$504,A95,'Meal Plan'!$S$5:$S$504,"Eaten"))</f>
        <v>0</v>
      </c>
      <c r="X95" s="8">
        <f>IF(A95="","",IF(SUMPRODUCT(MAX(('Meal Plan'!$G$5:$G$504=A95)*'Meal Plan'!$B$5:$B$504))=0,"",SUMPRODUCT(MAX(('Meal Plan'!$G$5:$G$504=A95)*'Meal Plan'!$B$5:$B$504))))</f>
        <v>0</v>
      </c>
      <c r="Y95" s="8">
        <f>IF(OR(A95="",X95=""),"",TODAY()-X95)</f>
        <v>0</v>
      </c>
      <c r="Z95" s="8">
        <f>IF(A95="","",IF(Y95="","Yes",IF(Y95&gt;=Rotation_Gap_Days,"Yes","No")))</f>
        <v>0</v>
      </c>
      <c r="AA95" s="8">
        <f>IF(A95="","",IF(Z95="No","Too soon",IF(AND(AN95&lt;&gt;"",AN95&gt;=4),"Plan it","Available")))</f>
        <v>0</v>
      </c>
      <c r="AB95" s="27"/>
      <c r="AC95" s="27"/>
      <c r="AD95" s="27"/>
      <c r="AE95" s="27"/>
      <c r="AF95" s="27"/>
      <c r="AG95" s="27"/>
      <c r="AH95" s="27"/>
      <c r="AI95" s="27"/>
      <c r="AJ95" s="27"/>
      <c r="AK95" s="8">
        <f>IF(A95="","",IF(G95&lt;=30,"Yes","No"))</f>
        <v>0</v>
      </c>
      <c r="AL95" s="27"/>
      <c r="AM95" s="30"/>
      <c r="AN95" s="26"/>
      <c r="AO95" s="7"/>
      <c r="AP95" s="7"/>
      <c r="AQ95" s="7"/>
      <c r="AR95" s="25"/>
      <c r="AS95" s="8">
        <f>IF(A95="","",COUNTIFS($H$5:$H$204,"&gt;"&amp;H95)+1)</f>
        <v>0</v>
      </c>
      <c r="AT95" s="8">
        <f>IF(A95="","",COUNTIFS($I$5:$I$204,"&gt;"&amp;I95)+1)</f>
        <v>0</v>
      </c>
      <c r="AU95" s="8">
        <f>IF(A95="","",COUNTIFS($L$5:$L$204,"&gt;"&amp;L95)+1)</f>
        <v>0</v>
      </c>
      <c r="AV95" s="8">
        <f>IF(OR(A95="",Q95=""),"",COUNTIFS($Q$5:$Q$204,"&lt;"&amp;Q95)+1)</f>
        <v>0</v>
      </c>
      <c r="AW95" s="8">
        <f>IF(A95="","",COUNTIFS($V$5:$V$204,"&gt;"&amp;V95)+1)</f>
        <v>0</v>
      </c>
      <c r="AX95" s="8">
        <f>IF(A95="","",COUNTIFS($Y$5:$Y$204,"&lt;"&amp;Y95)+1)</f>
        <v>0</v>
      </c>
      <c r="AY95" s="8">
        <f>IF(A95="","",COUNTIFS($W$5:$W$204,"&gt;"&amp;W95)+1)</f>
        <v>0</v>
      </c>
    </row>
    <row r="96" spans="1:51">
      <c r="A96" s="7"/>
      <c r="B96" s="27"/>
      <c r="C96" s="27"/>
      <c r="D96" s="26"/>
      <c r="E96" s="26"/>
      <c r="F96" s="26"/>
      <c r="G96" s="8">
        <f>IF(A96="","",E96+F96)</f>
        <v>0</v>
      </c>
      <c r="H96" s="26"/>
      <c r="I96" s="26"/>
      <c r="J96" s="26"/>
      <c r="K96" s="26"/>
      <c r="L96" s="26"/>
      <c r="M96" s="26"/>
      <c r="N96" s="26"/>
      <c r="O96" s="8">
        <f>IF(A96="","",COUNTIFS('Recipe Ingredients'!$A$5:$A$1204,A96))</f>
        <v>0</v>
      </c>
      <c r="P96" s="8">
        <f>IF(A96="","",SUMIFS('Recipe Ingredients'!$H$5:$H$1204,'Recipe Ingredients'!$A$5:$A$1204,A96))</f>
        <v>0</v>
      </c>
      <c r="Q96" s="8">
        <f>IF(OR(A96="",D96=0,D96=""),"",P96/D96)</f>
        <v>0</v>
      </c>
      <c r="R96" s="8">
        <f>IF(OR(A96="",H96=0,H96=""),"",IFERROR(Q96/H96*1000,""))</f>
        <v>0</v>
      </c>
      <c r="S96" s="8">
        <f>IF(OR(A96="",Q96="",Q96=0),"",IFERROR(H96/Q96,""))</f>
        <v>0</v>
      </c>
      <c r="T96" s="8">
        <f>IF(OR(A96="",Q96="",Q96=0),"",IFERROR(I96/Q96,""))</f>
        <v>0</v>
      </c>
      <c r="U96" s="8">
        <f>IF(OR(A96="",G96="",G96=0),"",IFERROR(H96/G96*10,""))</f>
        <v>0</v>
      </c>
      <c r="V96" s="8">
        <f>IF(A96="","",(AC96="Yes")*1+(AD96="Yes")*1+(AE96="Yes")*1+(AF96="Yes")*1+(AG96="Yes")*1+(AH96="Yes")*1)</f>
        <v>0</v>
      </c>
      <c r="W96" s="8">
        <f>IF(A96="","",COUNTIFS('Meal Plan'!$G$5:$G$504,A96,'Meal Plan'!$S$5:$S$504,"Cooked")+COUNTIFS('Meal Plan'!$G$5:$G$504,A96,'Meal Plan'!$S$5:$S$504,"Eaten"))</f>
        <v>0</v>
      </c>
      <c r="X96" s="8">
        <f>IF(A96="","",IF(SUMPRODUCT(MAX(('Meal Plan'!$G$5:$G$504=A96)*'Meal Plan'!$B$5:$B$504))=0,"",SUMPRODUCT(MAX(('Meal Plan'!$G$5:$G$504=A96)*'Meal Plan'!$B$5:$B$504))))</f>
        <v>0</v>
      </c>
      <c r="Y96" s="8">
        <f>IF(OR(A96="",X96=""),"",TODAY()-X96)</f>
        <v>0</v>
      </c>
      <c r="Z96" s="8">
        <f>IF(A96="","",IF(Y96="","Yes",IF(Y96&gt;=Rotation_Gap_Days,"Yes","No")))</f>
        <v>0</v>
      </c>
      <c r="AA96" s="8">
        <f>IF(A96="","",IF(Z96="No","Too soon",IF(AND(AN96&lt;&gt;"",AN96&gt;=4),"Plan it","Available")))</f>
        <v>0</v>
      </c>
      <c r="AB96" s="27"/>
      <c r="AC96" s="27"/>
      <c r="AD96" s="27"/>
      <c r="AE96" s="27"/>
      <c r="AF96" s="27"/>
      <c r="AG96" s="27"/>
      <c r="AH96" s="27"/>
      <c r="AI96" s="27"/>
      <c r="AJ96" s="27"/>
      <c r="AK96" s="8">
        <f>IF(A96="","",IF(G96&lt;=30,"Yes","No"))</f>
        <v>0</v>
      </c>
      <c r="AL96" s="27"/>
      <c r="AM96" s="30"/>
      <c r="AN96" s="26"/>
      <c r="AO96" s="7"/>
      <c r="AP96" s="7"/>
      <c r="AQ96" s="7"/>
      <c r="AR96" s="25"/>
      <c r="AS96" s="8">
        <f>IF(A96="","",COUNTIFS($H$5:$H$204,"&gt;"&amp;H96)+1)</f>
        <v>0</v>
      </c>
      <c r="AT96" s="8">
        <f>IF(A96="","",COUNTIFS($I$5:$I$204,"&gt;"&amp;I96)+1)</f>
        <v>0</v>
      </c>
      <c r="AU96" s="8">
        <f>IF(A96="","",COUNTIFS($L$5:$L$204,"&gt;"&amp;L96)+1)</f>
        <v>0</v>
      </c>
      <c r="AV96" s="8">
        <f>IF(OR(A96="",Q96=""),"",COUNTIFS($Q$5:$Q$204,"&lt;"&amp;Q96)+1)</f>
        <v>0</v>
      </c>
      <c r="AW96" s="8">
        <f>IF(A96="","",COUNTIFS($V$5:$V$204,"&gt;"&amp;V96)+1)</f>
        <v>0</v>
      </c>
      <c r="AX96" s="8">
        <f>IF(A96="","",COUNTIFS($Y$5:$Y$204,"&lt;"&amp;Y96)+1)</f>
        <v>0</v>
      </c>
      <c r="AY96" s="8">
        <f>IF(A96="","",COUNTIFS($W$5:$W$204,"&gt;"&amp;W96)+1)</f>
        <v>0</v>
      </c>
    </row>
    <row r="97" spans="1:51">
      <c r="A97" s="7"/>
      <c r="B97" s="27"/>
      <c r="C97" s="27"/>
      <c r="D97" s="26"/>
      <c r="E97" s="26"/>
      <c r="F97" s="26"/>
      <c r="G97" s="8">
        <f>IF(A97="","",E97+F97)</f>
        <v>0</v>
      </c>
      <c r="H97" s="26"/>
      <c r="I97" s="26"/>
      <c r="J97" s="26"/>
      <c r="K97" s="26"/>
      <c r="L97" s="26"/>
      <c r="M97" s="26"/>
      <c r="N97" s="26"/>
      <c r="O97" s="8">
        <f>IF(A97="","",COUNTIFS('Recipe Ingredients'!$A$5:$A$1204,A97))</f>
        <v>0</v>
      </c>
      <c r="P97" s="8">
        <f>IF(A97="","",SUMIFS('Recipe Ingredients'!$H$5:$H$1204,'Recipe Ingredients'!$A$5:$A$1204,A97))</f>
        <v>0</v>
      </c>
      <c r="Q97" s="8">
        <f>IF(OR(A97="",D97=0,D97=""),"",P97/D97)</f>
        <v>0</v>
      </c>
      <c r="R97" s="8">
        <f>IF(OR(A97="",H97=0,H97=""),"",IFERROR(Q97/H97*1000,""))</f>
        <v>0</v>
      </c>
      <c r="S97" s="8">
        <f>IF(OR(A97="",Q97="",Q97=0),"",IFERROR(H97/Q97,""))</f>
        <v>0</v>
      </c>
      <c r="T97" s="8">
        <f>IF(OR(A97="",Q97="",Q97=0),"",IFERROR(I97/Q97,""))</f>
        <v>0</v>
      </c>
      <c r="U97" s="8">
        <f>IF(OR(A97="",G97="",G97=0),"",IFERROR(H97/G97*10,""))</f>
        <v>0</v>
      </c>
      <c r="V97" s="8">
        <f>IF(A97="","",(AC97="Yes")*1+(AD97="Yes")*1+(AE97="Yes")*1+(AF97="Yes")*1+(AG97="Yes")*1+(AH97="Yes")*1)</f>
        <v>0</v>
      </c>
      <c r="W97" s="8">
        <f>IF(A97="","",COUNTIFS('Meal Plan'!$G$5:$G$504,A97,'Meal Plan'!$S$5:$S$504,"Cooked")+COUNTIFS('Meal Plan'!$G$5:$G$504,A97,'Meal Plan'!$S$5:$S$504,"Eaten"))</f>
        <v>0</v>
      </c>
      <c r="X97" s="8">
        <f>IF(A97="","",IF(SUMPRODUCT(MAX(('Meal Plan'!$G$5:$G$504=A97)*'Meal Plan'!$B$5:$B$504))=0,"",SUMPRODUCT(MAX(('Meal Plan'!$G$5:$G$504=A97)*'Meal Plan'!$B$5:$B$504))))</f>
        <v>0</v>
      </c>
      <c r="Y97" s="8">
        <f>IF(OR(A97="",X97=""),"",TODAY()-X97)</f>
        <v>0</v>
      </c>
      <c r="Z97" s="8">
        <f>IF(A97="","",IF(Y97="","Yes",IF(Y97&gt;=Rotation_Gap_Days,"Yes","No")))</f>
        <v>0</v>
      </c>
      <c r="AA97" s="8">
        <f>IF(A97="","",IF(Z97="No","Too soon",IF(AND(AN97&lt;&gt;"",AN97&gt;=4),"Plan it","Available")))</f>
        <v>0</v>
      </c>
      <c r="AB97" s="27"/>
      <c r="AC97" s="27"/>
      <c r="AD97" s="27"/>
      <c r="AE97" s="27"/>
      <c r="AF97" s="27"/>
      <c r="AG97" s="27"/>
      <c r="AH97" s="27"/>
      <c r="AI97" s="27"/>
      <c r="AJ97" s="27"/>
      <c r="AK97" s="8">
        <f>IF(A97="","",IF(G97&lt;=30,"Yes","No"))</f>
        <v>0</v>
      </c>
      <c r="AL97" s="27"/>
      <c r="AM97" s="30"/>
      <c r="AN97" s="26"/>
      <c r="AO97" s="7"/>
      <c r="AP97" s="7"/>
      <c r="AQ97" s="7"/>
      <c r="AR97" s="25"/>
      <c r="AS97" s="8">
        <f>IF(A97="","",COUNTIFS($H$5:$H$204,"&gt;"&amp;H97)+1)</f>
        <v>0</v>
      </c>
      <c r="AT97" s="8">
        <f>IF(A97="","",COUNTIFS($I$5:$I$204,"&gt;"&amp;I97)+1)</f>
        <v>0</v>
      </c>
      <c r="AU97" s="8">
        <f>IF(A97="","",COUNTIFS($L$5:$L$204,"&gt;"&amp;L97)+1)</f>
        <v>0</v>
      </c>
      <c r="AV97" s="8">
        <f>IF(OR(A97="",Q97=""),"",COUNTIFS($Q$5:$Q$204,"&lt;"&amp;Q97)+1)</f>
        <v>0</v>
      </c>
      <c r="AW97" s="8">
        <f>IF(A97="","",COUNTIFS($V$5:$V$204,"&gt;"&amp;V97)+1)</f>
        <v>0</v>
      </c>
      <c r="AX97" s="8">
        <f>IF(A97="","",COUNTIFS($Y$5:$Y$204,"&lt;"&amp;Y97)+1)</f>
        <v>0</v>
      </c>
      <c r="AY97" s="8">
        <f>IF(A97="","",COUNTIFS($W$5:$W$204,"&gt;"&amp;W97)+1)</f>
        <v>0</v>
      </c>
    </row>
    <row r="98" spans="1:51">
      <c r="A98" s="7"/>
      <c r="B98" s="27"/>
      <c r="C98" s="27"/>
      <c r="D98" s="26"/>
      <c r="E98" s="26"/>
      <c r="F98" s="26"/>
      <c r="G98" s="8">
        <f>IF(A98="","",E98+F98)</f>
        <v>0</v>
      </c>
      <c r="H98" s="26"/>
      <c r="I98" s="26"/>
      <c r="J98" s="26"/>
      <c r="K98" s="26"/>
      <c r="L98" s="26"/>
      <c r="M98" s="26"/>
      <c r="N98" s="26"/>
      <c r="O98" s="8">
        <f>IF(A98="","",COUNTIFS('Recipe Ingredients'!$A$5:$A$1204,A98))</f>
        <v>0</v>
      </c>
      <c r="P98" s="8">
        <f>IF(A98="","",SUMIFS('Recipe Ingredients'!$H$5:$H$1204,'Recipe Ingredients'!$A$5:$A$1204,A98))</f>
        <v>0</v>
      </c>
      <c r="Q98" s="8">
        <f>IF(OR(A98="",D98=0,D98=""),"",P98/D98)</f>
        <v>0</v>
      </c>
      <c r="R98" s="8">
        <f>IF(OR(A98="",H98=0,H98=""),"",IFERROR(Q98/H98*1000,""))</f>
        <v>0</v>
      </c>
      <c r="S98" s="8">
        <f>IF(OR(A98="",Q98="",Q98=0),"",IFERROR(H98/Q98,""))</f>
        <v>0</v>
      </c>
      <c r="T98" s="8">
        <f>IF(OR(A98="",Q98="",Q98=0),"",IFERROR(I98/Q98,""))</f>
        <v>0</v>
      </c>
      <c r="U98" s="8">
        <f>IF(OR(A98="",G98="",G98=0),"",IFERROR(H98/G98*10,""))</f>
        <v>0</v>
      </c>
      <c r="V98" s="8">
        <f>IF(A98="","",(AC98="Yes")*1+(AD98="Yes")*1+(AE98="Yes")*1+(AF98="Yes")*1+(AG98="Yes")*1+(AH98="Yes")*1)</f>
        <v>0</v>
      </c>
      <c r="W98" s="8">
        <f>IF(A98="","",COUNTIFS('Meal Plan'!$G$5:$G$504,A98,'Meal Plan'!$S$5:$S$504,"Cooked")+COUNTIFS('Meal Plan'!$G$5:$G$504,A98,'Meal Plan'!$S$5:$S$504,"Eaten"))</f>
        <v>0</v>
      </c>
      <c r="X98" s="8">
        <f>IF(A98="","",IF(SUMPRODUCT(MAX(('Meal Plan'!$G$5:$G$504=A98)*'Meal Plan'!$B$5:$B$504))=0,"",SUMPRODUCT(MAX(('Meal Plan'!$G$5:$G$504=A98)*'Meal Plan'!$B$5:$B$504))))</f>
        <v>0</v>
      </c>
      <c r="Y98" s="8">
        <f>IF(OR(A98="",X98=""),"",TODAY()-X98)</f>
        <v>0</v>
      </c>
      <c r="Z98" s="8">
        <f>IF(A98="","",IF(Y98="","Yes",IF(Y98&gt;=Rotation_Gap_Days,"Yes","No")))</f>
        <v>0</v>
      </c>
      <c r="AA98" s="8">
        <f>IF(A98="","",IF(Z98="No","Too soon",IF(AND(AN98&lt;&gt;"",AN98&gt;=4),"Plan it","Available")))</f>
        <v>0</v>
      </c>
      <c r="AB98" s="27"/>
      <c r="AC98" s="27"/>
      <c r="AD98" s="27"/>
      <c r="AE98" s="27"/>
      <c r="AF98" s="27"/>
      <c r="AG98" s="27"/>
      <c r="AH98" s="27"/>
      <c r="AI98" s="27"/>
      <c r="AJ98" s="27"/>
      <c r="AK98" s="8">
        <f>IF(A98="","",IF(G98&lt;=30,"Yes","No"))</f>
        <v>0</v>
      </c>
      <c r="AL98" s="27"/>
      <c r="AM98" s="30"/>
      <c r="AN98" s="26"/>
      <c r="AO98" s="7"/>
      <c r="AP98" s="7"/>
      <c r="AQ98" s="7"/>
      <c r="AR98" s="25"/>
      <c r="AS98" s="8">
        <f>IF(A98="","",COUNTIFS($H$5:$H$204,"&gt;"&amp;H98)+1)</f>
        <v>0</v>
      </c>
      <c r="AT98" s="8">
        <f>IF(A98="","",COUNTIFS($I$5:$I$204,"&gt;"&amp;I98)+1)</f>
        <v>0</v>
      </c>
      <c r="AU98" s="8">
        <f>IF(A98="","",COUNTIFS($L$5:$L$204,"&gt;"&amp;L98)+1)</f>
        <v>0</v>
      </c>
      <c r="AV98" s="8">
        <f>IF(OR(A98="",Q98=""),"",COUNTIFS($Q$5:$Q$204,"&lt;"&amp;Q98)+1)</f>
        <v>0</v>
      </c>
      <c r="AW98" s="8">
        <f>IF(A98="","",COUNTIFS($V$5:$V$204,"&gt;"&amp;V98)+1)</f>
        <v>0</v>
      </c>
      <c r="AX98" s="8">
        <f>IF(A98="","",COUNTIFS($Y$5:$Y$204,"&lt;"&amp;Y98)+1)</f>
        <v>0</v>
      </c>
      <c r="AY98" s="8">
        <f>IF(A98="","",COUNTIFS($W$5:$W$204,"&gt;"&amp;W98)+1)</f>
        <v>0</v>
      </c>
    </row>
    <row r="99" spans="1:51">
      <c r="A99" s="7"/>
      <c r="B99" s="27"/>
      <c r="C99" s="27"/>
      <c r="D99" s="26"/>
      <c r="E99" s="26"/>
      <c r="F99" s="26"/>
      <c r="G99" s="8">
        <f>IF(A99="","",E99+F99)</f>
        <v>0</v>
      </c>
      <c r="H99" s="26"/>
      <c r="I99" s="26"/>
      <c r="J99" s="26"/>
      <c r="K99" s="26"/>
      <c r="L99" s="26"/>
      <c r="M99" s="26"/>
      <c r="N99" s="26"/>
      <c r="O99" s="8">
        <f>IF(A99="","",COUNTIFS('Recipe Ingredients'!$A$5:$A$1204,A99))</f>
        <v>0</v>
      </c>
      <c r="P99" s="8">
        <f>IF(A99="","",SUMIFS('Recipe Ingredients'!$H$5:$H$1204,'Recipe Ingredients'!$A$5:$A$1204,A99))</f>
        <v>0</v>
      </c>
      <c r="Q99" s="8">
        <f>IF(OR(A99="",D99=0,D99=""),"",P99/D99)</f>
        <v>0</v>
      </c>
      <c r="R99" s="8">
        <f>IF(OR(A99="",H99=0,H99=""),"",IFERROR(Q99/H99*1000,""))</f>
        <v>0</v>
      </c>
      <c r="S99" s="8">
        <f>IF(OR(A99="",Q99="",Q99=0),"",IFERROR(H99/Q99,""))</f>
        <v>0</v>
      </c>
      <c r="T99" s="8">
        <f>IF(OR(A99="",Q99="",Q99=0),"",IFERROR(I99/Q99,""))</f>
        <v>0</v>
      </c>
      <c r="U99" s="8">
        <f>IF(OR(A99="",G99="",G99=0),"",IFERROR(H99/G99*10,""))</f>
        <v>0</v>
      </c>
      <c r="V99" s="8">
        <f>IF(A99="","",(AC99="Yes")*1+(AD99="Yes")*1+(AE99="Yes")*1+(AF99="Yes")*1+(AG99="Yes")*1+(AH99="Yes")*1)</f>
        <v>0</v>
      </c>
      <c r="W99" s="8">
        <f>IF(A99="","",COUNTIFS('Meal Plan'!$G$5:$G$504,A99,'Meal Plan'!$S$5:$S$504,"Cooked")+COUNTIFS('Meal Plan'!$G$5:$G$504,A99,'Meal Plan'!$S$5:$S$504,"Eaten"))</f>
        <v>0</v>
      </c>
      <c r="X99" s="8">
        <f>IF(A99="","",IF(SUMPRODUCT(MAX(('Meal Plan'!$G$5:$G$504=A99)*'Meal Plan'!$B$5:$B$504))=0,"",SUMPRODUCT(MAX(('Meal Plan'!$G$5:$G$504=A99)*'Meal Plan'!$B$5:$B$504))))</f>
        <v>0</v>
      </c>
      <c r="Y99" s="8">
        <f>IF(OR(A99="",X99=""),"",TODAY()-X99)</f>
        <v>0</v>
      </c>
      <c r="Z99" s="8">
        <f>IF(A99="","",IF(Y99="","Yes",IF(Y99&gt;=Rotation_Gap_Days,"Yes","No")))</f>
        <v>0</v>
      </c>
      <c r="AA99" s="8">
        <f>IF(A99="","",IF(Z99="No","Too soon",IF(AND(AN99&lt;&gt;"",AN99&gt;=4),"Plan it","Available")))</f>
        <v>0</v>
      </c>
      <c r="AB99" s="27"/>
      <c r="AC99" s="27"/>
      <c r="AD99" s="27"/>
      <c r="AE99" s="27"/>
      <c r="AF99" s="27"/>
      <c r="AG99" s="27"/>
      <c r="AH99" s="27"/>
      <c r="AI99" s="27"/>
      <c r="AJ99" s="27"/>
      <c r="AK99" s="8">
        <f>IF(A99="","",IF(G99&lt;=30,"Yes","No"))</f>
        <v>0</v>
      </c>
      <c r="AL99" s="27"/>
      <c r="AM99" s="30"/>
      <c r="AN99" s="26"/>
      <c r="AO99" s="7"/>
      <c r="AP99" s="7"/>
      <c r="AQ99" s="7"/>
      <c r="AR99" s="25"/>
      <c r="AS99" s="8">
        <f>IF(A99="","",COUNTIFS($H$5:$H$204,"&gt;"&amp;H99)+1)</f>
        <v>0</v>
      </c>
      <c r="AT99" s="8">
        <f>IF(A99="","",COUNTIFS($I$5:$I$204,"&gt;"&amp;I99)+1)</f>
        <v>0</v>
      </c>
      <c r="AU99" s="8">
        <f>IF(A99="","",COUNTIFS($L$5:$L$204,"&gt;"&amp;L99)+1)</f>
        <v>0</v>
      </c>
      <c r="AV99" s="8">
        <f>IF(OR(A99="",Q99=""),"",COUNTIFS($Q$5:$Q$204,"&lt;"&amp;Q99)+1)</f>
        <v>0</v>
      </c>
      <c r="AW99" s="8">
        <f>IF(A99="","",COUNTIFS($V$5:$V$204,"&gt;"&amp;V99)+1)</f>
        <v>0</v>
      </c>
      <c r="AX99" s="8">
        <f>IF(A99="","",COUNTIFS($Y$5:$Y$204,"&lt;"&amp;Y99)+1)</f>
        <v>0</v>
      </c>
      <c r="AY99" s="8">
        <f>IF(A99="","",COUNTIFS($W$5:$W$204,"&gt;"&amp;W99)+1)</f>
        <v>0</v>
      </c>
    </row>
    <row r="100" spans="1:51">
      <c r="A100" s="7"/>
      <c r="B100" s="27"/>
      <c r="C100" s="27"/>
      <c r="D100" s="26"/>
      <c r="E100" s="26"/>
      <c r="F100" s="26"/>
      <c r="G100" s="8">
        <f>IF(A100="","",E100+F100)</f>
        <v>0</v>
      </c>
      <c r="H100" s="26"/>
      <c r="I100" s="26"/>
      <c r="J100" s="26"/>
      <c r="K100" s="26"/>
      <c r="L100" s="26"/>
      <c r="M100" s="26"/>
      <c r="N100" s="26"/>
      <c r="O100" s="8">
        <f>IF(A100="","",COUNTIFS('Recipe Ingredients'!$A$5:$A$1204,A100))</f>
        <v>0</v>
      </c>
      <c r="P100" s="8">
        <f>IF(A100="","",SUMIFS('Recipe Ingredients'!$H$5:$H$1204,'Recipe Ingredients'!$A$5:$A$1204,A100))</f>
        <v>0</v>
      </c>
      <c r="Q100" s="8">
        <f>IF(OR(A100="",D100=0,D100=""),"",P100/D100)</f>
        <v>0</v>
      </c>
      <c r="R100" s="8">
        <f>IF(OR(A100="",H100=0,H100=""),"",IFERROR(Q100/H100*1000,""))</f>
        <v>0</v>
      </c>
      <c r="S100" s="8">
        <f>IF(OR(A100="",Q100="",Q100=0),"",IFERROR(H100/Q100,""))</f>
        <v>0</v>
      </c>
      <c r="T100" s="8">
        <f>IF(OR(A100="",Q100="",Q100=0),"",IFERROR(I100/Q100,""))</f>
        <v>0</v>
      </c>
      <c r="U100" s="8">
        <f>IF(OR(A100="",G100="",G100=0),"",IFERROR(H100/G100*10,""))</f>
        <v>0</v>
      </c>
      <c r="V100" s="8">
        <f>IF(A100="","",(AC100="Yes")*1+(AD100="Yes")*1+(AE100="Yes")*1+(AF100="Yes")*1+(AG100="Yes")*1+(AH100="Yes")*1)</f>
        <v>0</v>
      </c>
      <c r="W100" s="8">
        <f>IF(A100="","",COUNTIFS('Meal Plan'!$G$5:$G$504,A100,'Meal Plan'!$S$5:$S$504,"Cooked")+COUNTIFS('Meal Plan'!$G$5:$G$504,A100,'Meal Plan'!$S$5:$S$504,"Eaten"))</f>
        <v>0</v>
      </c>
      <c r="X100" s="8">
        <f>IF(A100="","",IF(SUMPRODUCT(MAX(('Meal Plan'!$G$5:$G$504=A100)*'Meal Plan'!$B$5:$B$504))=0,"",SUMPRODUCT(MAX(('Meal Plan'!$G$5:$G$504=A100)*'Meal Plan'!$B$5:$B$504))))</f>
        <v>0</v>
      </c>
      <c r="Y100" s="8">
        <f>IF(OR(A100="",X100=""),"",TODAY()-X100)</f>
        <v>0</v>
      </c>
      <c r="Z100" s="8">
        <f>IF(A100="","",IF(Y100="","Yes",IF(Y100&gt;=Rotation_Gap_Days,"Yes","No")))</f>
        <v>0</v>
      </c>
      <c r="AA100" s="8">
        <f>IF(A100="","",IF(Z100="No","Too soon",IF(AND(AN100&lt;&gt;"",AN100&gt;=4),"Plan it","Available")))</f>
        <v>0</v>
      </c>
      <c r="AB100" s="27"/>
      <c r="AC100" s="27"/>
      <c r="AD100" s="27"/>
      <c r="AE100" s="27"/>
      <c r="AF100" s="27"/>
      <c r="AG100" s="27"/>
      <c r="AH100" s="27"/>
      <c r="AI100" s="27"/>
      <c r="AJ100" s="27"/>
      <c r="AK100" s="8">
        <f>IF(A100="","",IF(G100&lt;=30,"Yes","No"))</f>
        <v>0</v>
      </c>
      <c r="AL100" s="27"/>
      <c r="AM100" s="30"/>
      <c r="AN100" s="26"/>
      <c r="AO100" s="7"/>
      <c r="AP100" s="7"/>
      <c r="AQ100" s="7"/>
      <c r="AR100" s="25"/>
      <c r="AS100" s="8">
        <f>IF(A100="","",COUNTIFS($H$5:$H$204,"&gt;"&amp;H100)+1)</f>
        <v>0</v>
      </c>
      <c r="AT100" s="8">
        <f>IF(A100="","",COUNTIFS($I$5:$I$204,"&gt;"&amp;I100)+1)</f>
        <v>0</v>
      </c>
      <c r="AU100" s="8">
        <f>IF(A100="","",COUNTIFS($L$5:$L$204,"&gt;"&amp;L100)+1)</f>
        <v>0</v>
      </c>
      <c r="AV100" s="8">
        <f>IF(OR(A100="",Q100=""),"",COUNTIFS($Q$5:$Q$204,"&lt;"&amp;Q100)+1)</f>
        <v>0</v>
      </c>
      <c r="AW100" s="8">
        <f>IF(A100="","",COUNTIFS($V$5:$V$204,"&gt;"&amp;V100)+1)</f>
        <v>0</v>
      </c>
      <c r="AX100" s="8">
        <f>IF(A100="","",COUNTIFS($Y$5:$Y$204,"&lt;"&amp;Y100)+1)</f>
        <v>0</v>
      </c>
      <c r="AY100" s="8">
        <f>IF(A100="","",COUNTIFS($W$5:$W$204,"&gt;"&amp;W100)+1)</f>
        <v>0</v>
      </c>
    </row>
    <row r="101" spans="1:51">
      <c r="A101" s="7"/>
      <c r="B101" s="27"/>
      <c r="C101" s="27"/>
      <c r="D101" s="26"/>
      <c r="E101" s="26"/>
      <c r="F101" s="26"/>
      <c r="G101" s="8">
        <f>IF(A101="","",E101+F101)</f>
        <v>0</v>
      </c>
      <c r="H101" s="26"/>
      <c r="I101" s="26"/>
      <c r="J101" s="26"/>
      <c r="K101" s="26"/>
      <c r="L101" s="26"/>
      <c r="M101" s="26"/>
      <c r="N101" s="26"/>
      <c r="O101" s="8">
        <f>IF(A101="","",COUNTIFS('Recipe Ingredients'!$A$5:$A$1204,A101))</f>
        <v>0</v>
      </c>
      <c r="P101" s="8">
        <f>IF(A101="","",SUMIFS('Recipe Ingredients'!$H$5:$H$1204,'Recipe Ingredients'!$A$5:$A$1204,A101))</f>
        <v>0</v>
      </c>
      <c r="Q101" s="8">
        <f>IF(OR(A101="",D101=0,D101=""),"",P101/D101)</f>
        <v>0</v>
      </c>
      <c r="R101" s="8">
        <f>IF(OR(A101="",H101=0,H101=""),"",IFERROR(Q101/H101*1000,""))</f>
        <v>0</v>
      </c>
      <c r="S101" s="8">
        <f>IF(OR(A101="",Q101="",Q101=0),"",IFERROR(H101/Q101,""))</f>
        <v>0</v>
      </c>
      <c r="T101" s="8">
        <f>IF(OR(A101="",Q101="",Q101=0),"",IFERROR(I101/Q101,""))</f>
        <v>0</v>
      </c>
      <c r="U101" s="8">
        <f>IF(OR(A101="",G101="",G101=0),"",IFERROR(H101/G101*10,""))</f>
        <v>0</v>
      </c>
      <c r="V101" s="8">
        <f>IF(A101="","",(AC101="Yes")*1+(AD101="Yes")*1+(AE101="Yes")*1+(AF101="Yes")*1+(AG101="Yes")*1+(AH101="Yes")*1)</f>
        <v>0</v>
      </c>
      <c r="W101" s="8">
        <f>IF(A101="","",COUNTIFS('Meal Plan'!$G$5:$G$504,A101,'Meal Plan'!$S$5:$S$504,"Cooked")+COUNTIFS('Meal Plan'!$G$5:$G$504,A101,'Meal Plan'!$S$5:$S$504,"Eaten"))</f>
        <v>0</v>
      </c>
      <c r="X101" s="8">
        <f>IF(A101="","",IF(SUMPRODUCT(MAX(('Meal Plan'!$G$5:$G$504=A101)*'Meal Plan'!$B$5:$B$504))=0,"",SUMPRODUCT(MAX(('Meal Plan'!$G$5:$G$504=A101)*'Meal Plan'!$B$5:$B$504))))</f>
        <v>0</v>
      </c>
      <c r="Y101" s="8">
        <f>IF(OR(A101="",X101=""),"",TODAY()-X101)</f>
        <v>0</v>
      </c>
      <c r="Z101" s="8">
        <f>IF(A101="","",IF(Y101="","Yes",IF(Y101&gt;=Rotation_Gap_Days,"Yes","No")))</f>
        <v>0</v>
      </c>
      <c r="AA101" s="8">
        <f>IF(A101="","",IF(Z101="No","Too soon",IF(AND(AN101&lt;&gt;"",AN101&gt;=4),"Plan it","Available")))</f>
        <v>0</v>
      </c>
      <c r="AB101" s="27"/>
      <c r="AC101" s="27"/>
      <c r="AD101" s="27"/>
      <c r="AE101" s="27"/>
      <c r="AF101" s="27"/>
      <c r="AG101" s="27"/>
      <c r="AH101" s="27"/>
      <c r="AI101" s="27"/>
      <c r="AJ101" s="27"/>
      <c r="AK101" s="8">
        <f>IF(A101="","",IF(G101&lt;=30,"Yes","No"))</f>
        <v>0</v>
      </c>
      <c r="AL101" s="27"/>
      <c r="AM101" s="30"/>
      <c r="AN101" s="26"/>
      <c r="AO101" s="7"/>
      <c r="AP101" s="7"/>
      <c r="AQ101" s="7"/>
      <c r="AR101" s="25"/>
      <c r="AS101" s="8">
        <f>IF(A101="","",COUNTIFS($H$5:$H$204,"&gt;"&amp;H101)+1)</f>
        <v>0</v>
      </c>
      <c r="AT101" s="8">
        <f>IF(A101="","",COUNTIFS($I$5:$I$204,"&gt;"&amp;I101)+1)</f>
        <v>0</v>
      </c>
      <c r="AU101" s="8">
        <f>IF(A101="","",COUNTIFS($L$5:$L$204,"&gt;"&amp;L101)+1)</f>
        <v>0</v>
      </c>
      <c r="AV101" s="8">
        <f>IF(OR(A101="",Q101=""),"",COUNTIFS($Q$5:$Q$204,"&lt;"&amp;Q101)+1)</f>
        <v>0</v>
      </c>
      <c r="AW101" s="8">
        <f>IF(A101="","",COUNTIFS($V$5:$V$204,"&gt;"&amp;V101)+1)</f>
        <v>0</v>
      </c>
      <c r="AX101" s="8">
        <f>IF(A101="","",COUNTIFS($Y$5:$Y$204,"&lt;"&amp;Y101)+1)</f>
        <v>0</v>
      </c>
      <c r="AY101" s="8">
        <f>IF(A101="","",COUNTIFS($W$5:$W$204,"&gt;"&amp;W101)+1)</f>
        <v>0</v>
      </c>
    </row>
    <row r="102" spans="1:51">
      <c r="A102" s="7"/>
      <c r="B102" s="27"/>
      <c r="C102" s="27"/>
      <c r="D102" s="26"/>
      <c r="E102" s="26"/>
      <c r="F102" s="26"/>
      <c r="G102" s="8">
        <f>IF(A102="","",E102+F102)</f>
        <v>0</v>
      </c>
      <c r="H102" s="26"/>
      <c r="I102" s="26"/>
      <c r="J102" s="26"/>
      <c r="K102" s="26"/>
      <c r="L102" s="26"/>
      <c r="M102" s="26"/>
      <c r="N102" s="26"/>
      <c r="O102" s="8">
        <f>IF(A102="","",COUNTIFS('Recipe Ingredients'!$A$5:$A$1204,A102))</f>
        <v>0</v>
      </c>
      <c r="P102" s="8">
        <f>IF(A102="","",SUMIFS('Recipe Ingredients'!$H$5:$H$1204,'Recipe Ingredients'!$A$5:$A$1204,A102))</f>
        <v>0</v>
      </c>
      <c r="Q102" s="8">
        <f>IF(OR(A102="",D102=0,D102=""),"",P102/D102)</f>
        <v>0</v>
      </c>
      <c r="R102" s="8">
        <f>IF(OR(A102="",H102=0,H102=""),"",IFERROR(Q102/H102*1000,""))</f>
        <v>0</v>
      </c>
      <c r="S102" s="8">
        <f>IF(OR(A102="",Q102="",Q102=0),"",IFERROR(H102/Q102,""))</f>
        <v>0</v>
      </c>
      <c r="T102" s="8">
        <f>IF(OR(A102="",Q102="",Q102=0),"",IFERROR(I102/Q102,""))</f>
        <v>0</v>
      </c>
      <c r="U102" s="8">
        <f>IF(OR(A102="",G102="",G102=0),"",IFERROR(H102/G102*10,""))</f>
        <v>0</v>
      </c>
      <c r="V102" s="8">
        <f>IF(A102="","",(AC102="Yes")*1+(AD102="Yes")*1+(AE102="Yes")*1+(AF102="Yes")*1+(AG102="Yes")*1+(AH102="Yes")*1)</f>
        <v>0</v>
      </c>
      <c r="W102" s="8">
        <f>IF(A102="","",COUNTIFS('Meal Plan'!$G$5:$G$504,A102,'Meal Plan'!$S$5:$S$504,"Cooked")+COUNTIFS('Meal Plan'!$G$5:$G$504,A102,'Meal Plan'!$S$5:$S$504,"Eaten"))</f>
        <v>0</v>
      </c>
      <c r="X102" s="8">
        <f>IF(A102="","",IF(SUMPRODUCT(MAX(('Meal Plan'!$G$5:$G$504=A102)*'Meal Plan'!$B$5:$B$504))=0,"",SUMPRODUCT(MAX(('Meal Plan'!$G$5:$G$504=A102)*'Meal Plan'!$B$5:$B$504))))</f>
        <v>0</v>
      </c>
      <c r="Y102" s="8">
        <f>IF(OR(A102="",X102=""),"",TODAY()-X102)</f>
        <v>0</v>
      </c>
      <c r="Z102" s="8">
        <f>IF(A102="","",IF(Y102="","Yes",IF(Y102&gt;=Rotation_Gap_Days,"Yes","No")))</f>
        <v>0</v>
      </c>
      <c r="AA102" s="8">
        <f>IF(A102="","",IF(Z102="No","Too soon",IF(AND(AN102&lt;&gt;"",AN102&gt;=4),"Plan it","Available")))</f>
        <v>0</v>
      </c>
      <c r="AB102" s="27"/>
      <c r="AC102" s="27"/>
      <c r="AD102" s="27"/>
      <c r="AE102" s="27"/>
      <c r="AF102" s="27"/>
      <c r="AG102" s="27"/>
      <c r="AH102" s="27"/>
      <c r="AI102" s="27"/>
      <c r="AJ102" s="27"/>
      <c r="AK102" s="8">
        <f>IF(A102="","",IF(G102&lt;=30,"Yes","No"))</f>
        <v>0</v>
      </c>
      <c r="AL102" s="27"/>
      <c r="AM102" s="30"/>
      <c r="AN102" s="26"/>
      <c r="AO102" s="7"/>
      <c r="AP102" s="7"/>
      <c r="AQ102" s="7"/>
      <c r="AR102" s="25"/>
      <c r="AS102" s="8">
        <f>IF(A102="","",COUNTIFS($H$5:$H$204,"&gt;"&amp;H102)+1)</f>
        <v>0</v>
      </c>
      <c r="AT102" s="8">
        <f>IF(A102="","",COUNTIFS($I$5:$I$204,"&gt;"&amp;I102)+1)</f>
        <v>0</v>
      </c>
      <c r="AU102" s="8">
        <f>IF(A102="","",COUNTIFS($L$5:$L$204,"&gt;"&amp;L102)+1)</f>
        <v>0</v>
      </c>
      <c r="AV102" s="8">
        <f>IF(OR(A102="",Q102=""),"",COUNTIFS($Q$5:$Q$204,"&lt;"&amp;Q102)+1)</f>
        <v>0</v>
      </c>
      <c r="AW102" s="8">
        <f>IF(A102="","",COUNTIFS($V$5:$V$204,"&gt;"&amp;V102)+1)</f>
        <v>0</v>
      </c>
      <c r="AX102" s="8">
        <f>IF(A102="","",COUNTIFS($Y$5:$Y$204,"&lt;"&amp;Y102)+1)</f>
        <v>0</v>
      </c>
      <c r="AY102" s="8">
        <f>IF(A102="","",COUNTIFS($W$5:$W$204,"&gt;"&amp;W102)+1)</f>
        <v>0</v>
      </c>
    </row>
    <row r="103" spans="1:51">
      <c r="A103" s="7"/>
      <c r="B103" s="27"/>
      <c r="C103" s="27"/>
      <c r="D103" s="26"/>
      <c r="E103" s="26"/>
      <c r="F103" s="26"/>
      <c r="G103" s="8">
        <f>IF(A103="","",E103+F103)</f>
        <v>0</v>
      </c>
      <c r="H103" s="26"/>
      <c r="I103" s="26"/>
      <c r="J103" s="26"/>
      <c r="K103" s="26"/>
      <c r="L103" s="26"/>
      <c r="M103" s="26"/>
      <c r="N103" s="26"/>
      <c r="O103" s="8">
        <f>IF(A103="","",COUNTIFS('Recipe Ingredients'!$A$5:$A$1204,A103))</f>
        <v>0</v>
      </c>
      <c r="P103" s="8">
        <f>IF(A103="","",SUMIFS('Recipe Ingredients'!$H$5:$H$1204,'Recipe Ingredients'!$A$5:$A$1204,A103))</f>
        <v>0</v>
      </c>
      <c r="Q103" s="8">
        <f>IF(OR(A103="",D103=0,D103=""),"",P103/D103)</f>
        <v>0</v>
      </c>
      <c r="R103" s="8">
        <f>IF(OR(A103="",H103=0,H103=""),"",IFERROR(Q103/H103*1000,""))</f>
        <v>0</v>
      </c>
      <c r="S103" s="8">
        <f>IF(OR(A103="",Q103="",Q103=0),"",IFERROR(H103/Q103,""))</f>
        <v>0</v>
      </c>
      <c r="T103" s="8">
        <f>IF(OR(A103="",Q103="",Q103=0),"",IFERROR(I103/Q103,""))</f>
        <v>0</v>
      </c>
      <c r="U103" s="8">
        <f>IF(OR(A103="",G103="",G103=0),"",IFERROR(H103/G103*10,""))</f>
        <v>0</v>
      </c>
      <c r="V103" s="8">
        <f>IF(A103="","",(AC103="Yes")*1+(AD103="Yes")*1+(AE103="Yes")*1+(AF103="Yes")*1+(AG103="Yes")*1+(AH103="Yes")*1)</f>
        <v>0</v>
      </c>
      <c r="W103" s="8">
        <f>IF(A103="","",COUNTIFS('Meal Plan'!$G$5:$G$504,A103,'Meal Plan'!$S$5:$S$504,"Cooked")+COUNTIFS('Meal Plan'!$G$5:$G$504,A103,'Meal Plan'!$S$5:$S$504,"Eaten"))</f>
        <v>0</v>
      </c>
      <c r="X103" s="8">
        <f>IF(A103="","",IF(SUMPRODUCT(MAX(('Meal Plan'!$G$5:$G$504=A103)*'Meal Plan'!$B$5:$B$504))=0,"",SUMPRODUCT(MAX(('Meal Plan'!$G$5:$G$504=A103)*'Meal Plan'!$B$5:$B$504))))</f>
        <v>0</v>
      </c>
      <c r="Y103" s="8">
        <f>IF(OR(A103="",X103=""),"",TODAY()-X103)</f>
        <v>0</v>
      </c>
      <c r="Z103" s="8">
        <f>IF(A103="","",IF(Y103="","Yes",IF(Y103&gt;=Rotation_Gap_Days,"Yes","No")))</f>
        <v>0</v>
      </c>
      <c r="AA103" s="8">
        <f>IF(A103="","",IF(Z103="No","Too soon",IF(AND(AN103&lt;&gt;"",AN103&gt;=4),"Plan it","Available")))</f>
        <v>0</v>
      </c>
      <c r="AB103" s="27"/>
      <c r="AC103" s="27"/>
      <c r="AD103" s="27"/>
      <c r="AE103" s="27"/>
      <c r="AF103" s="27"/>
      <c r="AG103" s="27"/>
      <c r="AH103" s="27"/>
      <c r="AI103" s="27"/>
      <c r="AJ103" s="27"/>
      <c r="AK103" s="8">
        <f>IF(A103="","",IF(G103&lt;=30,"Yes","No"))</f>
        <v>0</v>
      </c>
      <c r="AL103" s="27"/>
      <c r="AM103" s="30"/>
      <c r="AN103" s="26"/>
      <c r="AO103" s="7"/>
      <c r="AP103" s="7"/>
      <c r="AQ103" s="7"/>
      <c r="AR103" s="25"/>
      <c r="AS103" s="8">
        <f>IF(A103="","",COUNTIFS($H$5:$H$204,"&gt;"&amp;H103)+1)</f>
        <v>0</v>
      </c>
      <c r="AT103" s="8">
        <f>IF(A103="","",COUNTIFS($I$5:$I$204,"&gt;"&amp;I103)+1)</f>
        <v>0</v>
      </c>
      <c r="AU103" s="8">
        <f>IF(A103="","",COUNTIFS($L$5:$L$204,"&gt;"&amp;L103)+1)</f>
        <v>0</v>
      </c>
      <c r="AV103" s="8">
        <f>IF(OR(A103="",Q103=""),"",COUNTIFS($Q$5:$Q$204,"&lt;"&amp;Q103)+1)</f>
        <v>0</v>
      </c>
      <c r="AW103" s="8">
        <f>IF(A103="","",COUNTIFS($V$5:$V$204,"&gt;"&amp;V103)+1)</f>
        <v>0</v>
      </c>
      <c r="AX103" s="8">
        <f>IF(A103="","",COUNTIFS($Y$5:$Y$204,"&lt;"&amp;Y103)+1)</f>
        <v>0</v>
      </c>
      <c r="AY103" s="8">
        <f>IF(A103="","",COUNTIFS($W$5:$W$204,"&gt;"&amp;W103)+1)</f>
        <v>0</v>
      </c>
    </row>
    <row r="104" spans="1:51">
      <c r="A104" s="7"/>
      <c r="B104" s="27"/>
      <c r="C104" s="27"/>
      <c r="D104" s="26"/>
      <c r="E104" s="26"/>
      <c r="F104" s="26"/>
      <c r="G104" s="8">
        <f>IF(A104="","",E104+F104)</f>
        <v>0</v>
      </c>
      <c r="H104" s="26"/>
      <c r="I104" s="26"/>
      <c r="J104" s="26"/>
      <c r="K104" s="26"/>
      <c r="L104" s="26"/>
      <c r="M104" s="26"/>
      <c r="N104" s="26"/>
      <c r="O104" s="8">
        <f>IF(A104="","",COUNTIFS('Recipe Ingredients'!$A$5:$A$1204,A104))</f>
        <v>0</v>
      </c>
      <c r="P104" s="8">
        <f>IF(A104="","",SUMIFS('Recipe Ingredients'!$H$5:$H$1204,'Recipe Ingredients'!$A$5:$A$1204,A104))</f>
        <v>0</v>
      </c>
      <c r="Q104" s="8">
        <f>IF(OR(A104="",D104=0,D104=""),"",P104/D104)</f>
        <v>0</v>
      </c>
      <c r="R104" s="8">
        <f>IF(OR(A104="",H104=0,H104=""),"",IFERROR(Q104/H104*1000,""))</f>
        <v>0</v>
      </c>
      <c r="S104" s="8">
        <f>IF(OR(A104="",Q104="",Q104=0),"",IFERROR(H104/Q104,""))</f>
        <v>0</v>
      </c>
      <c r="T104" s="8">
        <f>IF(OR(A104="",Q104="",Q104=0),"",IFERROR(I104/Q104,""))</f>
        <v>0</v>
      </c>
      <c r="U104" s="8">
        <f>IF(OR(A104="",G104="",G104=0),"",IFERROR(H104/G104*10,""))</f>
        <v>0</v>
      </c>
      <c r="V104" s="8">
        <f>IF(A104="","",(AC104="Yes")*1+(AD104="Yes")*1+(AE104="Yes")*1+(AF104="Yes")*1+(AG104="Yes")*1+(AH104="Yes")*1)</f>
        <v>0</v>
      </c>
      <c r="W104" s="8">
        <f>IF(A104="","",COUNTIFS('Meal Plan'!$G$5:$G$504,A104,'Meal Plan'!$S$5:$S$504,"Cooked")+COUNTIFS('Meal Plan'!$G$5:$G$504,A104,'Meal Plan'!$S$5:$S$504,"Eaten"))</f>
        <v>0</v>
      </c>
      <c r="X104" s="8">
        <f>IF(A104="","",IF(SUMPRODUCT(MAX(('Meal Plan'!$G$5:$G$504=A104)*'Meal Plan'!$B$5:$B$504))=0,"",SUMPRODUCT(MAX(('Meal Plan'!$G$5:$G$504=A104)*'Meal Plan'!$B$5:$B$504))))</f>
        <v>0</v>
      </c>
      <c r="Y104" s="8">
        <f>IF(OR(A104="",X104=""),"",TODAY()-X104)</f>
        <v>0</v>
      </c>
      <c r="Z104" s="8">
        <f>IF(A104="","",IF(Y104="","Yes",IF(Y104&gt;=Rotation_Gap_Days,"Yes","No")))</f>
        <v>0</v>
      </c>
      <c r="AA104" s="8">
        <f>IF(A104="","",IF(Z104="No","Too soon",IF(AND(AN104&lt;&gt;"",AN104&gt;=4),"Plan it","Available")))</f>
        <v>0</v>
      </c>
      <c r="AB104" s="27"/>
      <c r="AC104" s="27"/>
      <c r="AD104" s="27"/>
      <c r="AE104" s="27"/>
      <c r="AF104" s="27"/>
      <c r="AG104" s="27"/>
      <c r="AH104" s="27"/>
      <c r="AI104" s="27"/>
      <c r="AJ104" s="27"/>
      <c r="AK104" s="8">
        <f>IF(A104="","",IF(G104&lt;=30,"Yes","No"))</f>
        <v>0</v>
      </c>
      <c r="AL104" s="27"/>
      <c r="AM104" s="30"/>
      <c r="AN104" s="26"/>
      <c r="AO104" s="7"/>
      <c r="AP104" s="7"/>
      <c r="AQ104" s="7"/>
      <c r="AR104" s="25"/>
      <c r="AS104" s="8">
        <f>IF(A104="","",COUNTIFS($H$5:$H$204,"&gt;"&amp;H104)+1)</f>
        <v>0</v>
      </c>
      <c r="AT104" s="8">
        <f>IF(A104="","",COUNTIFS($I$5:$I$204,"&gt;"&amp;I104)+1)</f>
        <v>0</v>
      </c>
      <c r="AU104" s="8">
        <f>IF(A104="","",COUNTIFS($L$5:$L$204,"&gt;"&amp;L104)+1)</f>
        <v>0</v>
      </c>
      <c r="AV104" s="8">
        <f>IF(OR(A104="",Q104=""),"",COUNTIFS($Q$5:$Q$204,"&lt;"&amp;Q104)+1)</f>
        <v>0</v>
      </c>
      <c r="AW104" s="8">
        <f>IF(A104="","",COUNTIFS($V$5:$V$204,"&gt;"&amp;V104)+1)</f>
        <v>0</v>
      </c>
      <c r="AX104" s="8">
        <f>IF(A104="","",COUNTIFS($Y$5:$Y$204,"&lt;"&amp;Y104)+1)</f>
        <v>0</v>
      </c>
      <c r="AY104" s="8">
        <f>IF(A104="","",COUNTIFS($W$5:$W$204,"&gt;"&amp;W104)+1)</f>
        <v>0</v>
      </c>
    </row>
    <row r="105" spans="1:51">
      <c r="A105" s="7"/>
      <c r="B105" s="27"/>
      <c r="C105" s="27"/>
      <c r="D105" s="26"/>
      <c r="E105" s="26"/>
      <c r="F105" s="26"/>
      <c r="G105" s="8">
        <f>IF(A105="","",E105+F105)</f>
        <v>0</v>
      </c>
      <c r="H105" s="26"/>
      <c r="I105" s="26"/>
      <c r="J105" s="26"/>
      <c r="K105" s="26"/>
      <c r="L105" s="26"/>
      <c r="M105" s="26"/>
      <c r="N105" s="26"/>
      <c r="O105" s="8">
        <f>IF(A105="","",COUNTIFS('Recipe Ingredients'!$A$5:$A$1204,A105))</f>
        <v>0</v>
      </c>
      <c r="P105" s="8">
        <f>IF(A105="","",SUMIFS('Recipe Ingredients'!$H$5:$H$1204,'Recipe Ingredients'!$A$5:$A$1204,A105))</f>
        <v>0</v>
      </c>
      <c r="Q105" s="8">
        <f>IF(OR(A105="",D105=0,D105=""),"",P105/D105)</f>
        <v>0</v>
      </c>
      <c r="R105" s="8">
        <f>IF(OR(A105="",H105=0,H105=""),"",IFERROR(Q105/H105*1000,""))</f>
        <v>0</v>
      </c>
      <c r="S105" s="8">
        <f>IF(OR(A105="",Q105="",Q105=0),"",IFERROR(H105/Q105,""))</f>
        <v>0</v>
      </c>
      <c r="T105" s="8">
        <f>IF(OR(A105="",Q105="",Q105=0),"",IFERROR(I105/Q105,""))</f>
        <v>0</v>
      </c>
      <c r="U105" s="8">
        <f>IF(OR(A105="",G105="",G105=0),"",IFERROR(H105/G105*10,""))</f>
        <v>0</v>
      </c>
      <c r="V105" s="8">
        <f>IF(A105="","",(AC105="Yes")*1+(AD105="Yes")*1+(AE105="Yes")*1+(AF105="Yes")*1+(AG105="Yes")*1+(AH105="Yes")*1)</f>
        <v>0</v>
      </c>
      <c r="W105" s="8">
        <f>IF(A105="","",COUNTIFS('Meal Plan'!$G$5:$G$504,A105,'Meal Plan'!$S$5:$S$504,"Cooked")+COUNTIFS('Meal Plan'!$G$5:$G$504,A105,'Meal Plan'!$S$5:$S$504,"Eaten"))</f>
        <v>0</v>
      </c>
      <c r="X105" s="8">
        <f>IF(A105="","",IF(SUMPRODUCT(MAX(('Meal Plan'!$G$5:$G$504=A105)*'Meal Plan'!$B$5:$B$504))=0,"",SUMPRODUCT(MAX(('Meal Plan'!$G$5:$G$504=A105)*'Meal Plan'!$B$5:$B$504))))</f>
        <v>0</v>
      </c>
      <c r="Y105" s="8">
        <f>IF(OR(A105="",X105=""),"",TODAY()-X105)</f>
        <v>0</v>
      </c>
      <c r="Z105" s="8">
        <f>IF(A105="","",IF(Y105="","Yes",IF(Y105&gt;=Rotation_Gap_Days,"Yes","No")))</f>
        <v>0</v>
      </c>
      <c r="AA105" s="8">
        <f>IF(A105="","",IF(Z105="No","Too soon",IF(AND(AN105&lt;&gt;"",AN105&gt;=4),"Plan it","Available")))</f>
        <v>0</v>
      </c>
      <c r="AB105" s="27"/>
      <c r="AC105" s="27"/>
      <c r="AD105" s="27"/>
      <c r="AE105" s="27"/>
      <c r="AF105" s="27"/>
      <c r="AG105" s="27"/>
      <c r="AH105" s="27"/>
      <c r="AI105" s="27"/>
      <c r="AJ105" s="27"/>
      <c r="AK105" s="8">
        <f>IF(A105="","",IF(G105&lt;=30,"Yes","No"))</f>
        <v>0</v>
      </c>
      <c r="AL105" s="27"/>
      <c r="AM105" s="30"/>
      <c r="AN105" s="26"/>
      <c r="AO105" s="7"/>
      <c r="AP105" s="7"/>
      <c r="AQ105" s="7"/>
      <c r="AR105" s="25"/>
      <c r="AS105" s="8">
        <f>IF(A105="","",COUNTIFS($H$5:$H$204,"&gt;"&amp;H105)+1)</f>
        <v>0</v>
      </c>
      <c r="AT105" s="8">
        <f>IF(A105="","",COUNTIFS($I$5:$I$204,"&gt;"&amp;I105)+1)</f>
        <v>0</v>
      </c>
      <c r="AU105" s="8">
        <f>IF(A105="","",COUNTIFS($L$5:$L$204,"&gt;"&amp;L105)+1)</f>
        <v>0</v>
      </c>
      <c r="AV105" s="8">
        <f>IF(OR(A105="",Q105=""),"",COUNTIFS($Q$5:$Q$204,"&lt;"&amp;Q105)+1)</f>
        <v>0</v>
      </c>
      <c r="AW105" s="8">
        <f>IF(A105="","",COUNTIFS($V$5:$V$204,"&gt;"&amp;V105)+1)</f>
        <v>0</v>
      </c>
      <c r="AX105" s="8">
        <f>IF(A105="","",COUNTIFS($Y$5:$Y$204,"&lt;"&amp;Y105)+1)</f>
        <v>0</v>
      </c>
      <c r="AY105" s="8">
        <f>IF(A105="","",COUNTIFS($W$5:$W$204,"&gt;"&amp;W105)+1)</f>
        <v>0</v>
      </c>
    </row>
    <row r="106" spans="1:51">
      <c r="A106" s="7"/>
      <c r="B106" s="27"/>
      <c r="C106" s="27"/>
      <c r="D106" s="26"/>
      <c r="E106" s="26"/>
      <c r="F106" s="26"/>
      <c r="G106" s="8">
        <f>IF(A106="","",E106+F106)</f>
        <v>0</v>
      </c>
      <c r="H106" s="26"/>
      <c r="I106" s="26"/>
      <c r="J106" s="26"/>
      <c r="K106" s="26"/>
      <c r="L106" s="26"/>
      <c r="M106" s="26"/>
      <c r="N106" s="26"/>
      <c r="O106" s="8">
        <f>IF(A106="","",COUNTIFS('Recipe Ingredients'!$A$5:$A$1204,A106))</f>
        <v>0</v>
      </c>
      <c r="P106" s="8">
        <f>IF(A106="","",SUMIFS('Recipe Ingredients'!$H$5:$H$1204,'Recipe Ingredients'!$A$5:$A$1204,A106))</f>
        <v>0</v>
      </c>
      <c r="Q106" s="8">
        <f>IF(OR(A106="",D106=0,D106=""),"",P106/D106)</f>
        <v>0</v>
      </c>
      <c r="R106" s="8">
        <f>IF(OR(A106="",H106=0,H106=""),"",IFERROR(Q106/H106*1000,""))</f>
        <v>0</v>
      </c>
      <c r="S106" s="8">
        <f>IF(OR(A106="",Q106="",Q106=0),"",IFERROR(H106/Q106,""))</f>
        <v>0</v>
      </c>
      <c r="T106" s="8">
        <f>IF(OR(A106="",Q106="",Q106=0),"",IFERROR(I106/Q106,""))</f>
        <v>0</v>
      </c>
      <c r="U106" s="8">
        <f>IF(OR(A106="",G106="",G106=0),"",IFERROR(H106/G106*10,""))</f>
        <v>0</v>
      </c>
      <c r="V106" s="8">
        <f>IF(A106="","",(AC106="Yes")*1+(AD106="Yes")*1+(AE106="Yes")*1+(AF106="Yes")*1+(AG106="Yes")*1+(AH106="Yes")*1)</f>
        <v>0</v>
      </c>
      <c r="W106" s="8">
        <f>IF(A106="","",COUNTIFS('Meal Plan'!$G$5:$G$504,A106,'Meal Plan'!$S$5:$S$504,"Cooked")+COUNTIFS('Meal Plan'!$G$5:$G$504,A106,'Meal Plan'!$S$5:$S$504,"Eaten"))</f>
        <v>0</v>
      </c>
      <c r="X106" s="8">
        <f>IF(A106="","",IF(SUMPRODUCT(MAX(('Meal Plan'!$G$5:$G$504=A106)*'Meal Plan'!$B$5:$B$504))=0,"",SUMPRODUCT(MAX(('Meal Plan'!$G$5:$G$504=A106)*'Meal Plan'!$B$5:$B$504))))</f>
        <v>0</v>
      </c>
      <c r="Y106" s="8">
        <f>IF(OR(A106="",X106=""),"",TODAY()-X106)</f>
        <v>0</v>
      </c>
      <c r="Z106" s="8">
        <f>IF(A106="","",IF(Y106="","Yes",IF(Y106&gt;=Rotation_Gap_Days,"Yes","No")))</f>
        <v>0</v>
      </c>
      <c r="AA106" s="8">
        <f>IF(A106="","",IF(Z106="No","Too soon",IF(AND(AN106&lt;&gt;"",AN106&gt;=4),"Plan it","Available")))</f>
        <v>0</v>
      </c>
      <c r="AB106" s="27"/>
      <c r="AC106" s="27"/>
      <c r="AD106" s="27"/>
      <c r="AE106" s="27"/>
      <c r="AF106" s="27"/>
      <c r="AG106" s="27"/>
      <c r="AH106" s="27"/>
      <c r="AI106" s="27"/>
      <c r="AJ106" s="27"/>
      <c r="AK106" s="8">
        <f>IF(A106="","",IF(G106&lt;=30,"Yes","No"))</f>
        <v>0</v>
      </c>
      <c r="AL106" s="27"/>
      <c r="AM106" s="30"/>
      <c r="AN106" s="26"/>
      <c r="AO106" s="7"/>
      <c r="AP106" s="7"/>
      <c r="AQ106" s="7"/>
      <c r="AR106" s="25"/>
      <c r="AS106" s="8">
        <f>IF(A106="","",COUNTIFS($H$5:$H$204,"&gt;"&amp;H106)+1)</f>
        <v>0</v>
      </c>
      <c r="AT106" s="8">
        <f>IF(A106="","",COUNTIFS($I$5:$I$204,"&gt;"&amp;I106)+1)</f>
        <v>0</v>
      </c>
      <c r="AU106" s="8">
        <f>IF(A106="","",COUNTIFS($L$5:$L$204,"&gt;"&amp;L106)+1)</f>
        <v>0</v>
      </c>
      <c r="AV106" s="8">
        <f>IF(OR(A106="",Q106=""),"",COUNTIFS($Q$5:$Q$204,"&lt;"&amp;Q106)+1)</f>
        <v>0</v>
      </c>
      <c r="AW106" s="8">
        <f>IF(A106="","",COUNTIFS($V$5:$V$204,"&gt;"&amp;V106)+1)</f>
        <v>0</v>
      </c>
      <c r="AX106" s="8">
        <f>IF(A106="","",COUNTIFS($Y$5:$Y$204,"&lt;"&amp;Y106)+1)</f>
        <v>0</v>
      </c>
      <c r="AY106" s="8">
        <f>IF(A106="","",COUNTIFS($W$5:$W$204,"&gt;"&amp;W106)+1)</f>
        <v>0</v>
      </c>
    </row>
    <row r="107" spans="1:51">
      <c r="A107" s="7"/>
      <c r="B107" s="27"/>
      <c r="C107" s="27"/>
      <c r="D107" s="26"/>
      <c r="E107" s="26"/>
      <c r="F107" s="26"/>
      <c r="G107" s="8">
        <f>IF(A107="","",E107+F107)</f>
        <v>0</v>
      </c>
      <c r="H107" s="26"/>
      <c r="I107" s="26"/>
      <c r="J107" s="26"/>
      <c r="K107" s="26"/>
      <c r="L107" s="26"/>
      <c r="M107" s="26"/>
      <c r="N107" s="26"/>
      <c r="O107" s="8">
        <f>IF(A107="","",COUNTIFS('Recipe Ingredients'!$A$5:$A$1204,A107))</f>
        <v>0</v>
      </c>
      <c r="P107" s="8">
        <f>IF(A107="","",SUMIFS('Recipe Ingredients'!$H$5:$H$1204,'Recipe Ingredients'!$A$5:$A$1204,A107))</f>
        <v>0</v>
      </c>
      <c r="Q107" s="8">
        <f>IF(OR(A107="",D107=0,D107=""),"",P107/D107)</f>
        <v>0</v>
      </c>
      <c r="R107" s="8">
        <f>IF(OR(A107="",H107=0,H107=""),"",IFERROR(Q107/H107*1000,""))</f>
        <v>0</v>
      </c>
      <c r="S107" s="8">
        <f>IF(OR(A107="",Q107="",Q107=0),"",IFERROR(H107/Q107,""))</f>
        <v>0</v>
      </c>
      <c r="T107" s="8">
        <f>IF(OR(A107="",Q107="",Q107=0),"",IFERROR(I107/Q107,""))</f>
        <v>0</v>
      </c>
      <c r="U107" s="8">
        <f>IF(OR(A107="",G107="",G107=0),"",IFERROR(H107/G107*10,""))</f>
        <v>0</v>
      </c>
      <c r="V107" s="8">
        <f>IF(A107="","",(AC107="Yes")*1+(AD107="Yes")*1+(AE107="Yes")*1+(AF107="Yes")*1+(AG107="Yes")*1+(AH107="Yes")*1)</f>
        <v>0</v>
      </c>
      <c r="W107" s="8">
        <f>IF(A107="","",COUNTIFS('Meal Plan'!$G$5:$G$504,A107,'Meal Plan'!$S$5:$S$504,"Cooked")+COUNTIFS('Meal Plan'!$G$5:$G$504,A107,'Meal Plan'!$S$5:$S$504,"Eaten"))</f>
        <v>0</v>
      </c>
      <c r="X107" s="8">
        <f>IF(A107="","",IF(SUMPRODUCT(MAX(('Meal Plan'!$G$5:$G$504=A107)*'Meal Plan'!$B$5:$B$504))=0,"",SUMPRODUCT(MAX(('Meal Plan'!$G$5:$G$504=A107)*'Meal Plan'!$B$5:$B$504))))</f>
        <v>0</v>
      </c>
      <c r="Y107" s="8">
        <f>IF(OR(A107="",X107=""),"",TODAY()-X107)</f>
        <v>0</v>
      </c>
      <c r="Z107" s="8">
        <f>IF(A107="","",IF(Y107="","Yes",IF(Y107&gt;=Rotation_Gap_Days,"Yes","No")))</f>
        <v>0</v>
      </c>
      <c r="AA107" s="8">
        <f>IF(A107="","",IF(Z107="No","Too soon",IF(AND(AN107&lt;&gt;"",AN107&gt;=4),"Plan it","Available")))</f>
        <v>0</v>
      </c>
      <c r="AB107" s="27"/>
      <c r="AC107" s="27"/>
      <c r="AD107" s="27"/>
      <c r="AE107" s="27"/>
      <c r="AF107" s="27"/>
      <c r="AG107" s="27"/>
      <c r="AH107" s="27"/>
      <c r="AI107" s="27"/>
      <c r="AJ107" s="27"/>
      <c r="AK107" s="8">
        <f>IF(A107="","",IF(G107&lt;=30,"Yes","No"))</f>
        <v>0</v>
      </c>
      <c r="AL107" s="27"/>
      <c r="AM107" s="30"/>
      <c r="AN107" s="26"/>
      <c r="AO107" s="7"/>
      <c r="AP107" s="7"/>
      <c r="AQ107" s="7"/>
      <c r="AR107" s="25"/>
      <c r="AS107" s="8">
        <f>IF(A107="","",COUNTIFS($H$5:$H$204,"&gt;"&amp;H107)+1)</f>
        <v>0</v>
      </c>
      <c r="AT107" s="8">
        <f>IF(A107="","",COUNTIFS($I$5:$I$204,"&gt;"&amp;I107)+1)</f>
        <v>0</v>
      </c>
      <c r="AU107" s="8">
        <f>IF(A107="","",COUNTIFS($L$5:$L$204,"&gt;"&amp;L107)+1)</f>
        <v>0</v>
      </c>
      <c r="AV107" s="8">
        <f>IF(OR(A107="",Q107=""),"",COUNTIFS($Q$5:$Q$204,"&lt;"&amp;Q107)+1)</f>
        <v>0</v>
      </c>
      <c r="AW107" s="8">
        <f>IF(A107="","",COUNTIFS($V$5:$V$204,"&gt;"&amp;V107)+1)</f>
        <v>0</v>
      </c>
      <c r="AX107" s="8">
        <f>IF(A107="","",COUNTIFS($Y$5:$Y$204,"&lt;"&amp;Y107)+1)</f>
        <v>0</v>
      </c>
      <c r="AY107" s="8">
        <f>IF(A107="","",COUNTIFS($W$5:$W$204,"&gt;"&amp;W107)+1)</f>
        <v>0</v>
      </c>
    </row>
    <row r="108" spans="1:51">
      <c r="A108" s="7"/>
      <c r="B108" s="27"/>
      <c r="C108" s="27"/>
      <c r="D108" s="26"/>
      <c r="E108" s="26"/>
      <c r="F108" s="26"/>
      <c r="G108" s="8">
        <f>IF(A108="","",E108+F108)</f>
        <v>0</v>
      </c>
      <c r="H108" s="26"/>
      <c r="I108" s="26"/>
      <c r="J108" s="26"/>
      <c r="K108" s="26"/>
      <c r="L108" s="26"/>
      <c r="M108" s="26"/>
      <c r="N108" s="26"/>
      <c r="O108" s="8">
        <f>IF(A108="","",COUNTIFS('Recipe Ingredients'!$A$5:$A$1204,A108))</f>
        <v>0</v>
      </c>
      <c r="P108" s="8">
        <f>IF(A108="","",SUMIFS('Recipe Ingredients'!$H$5:$H$1204,'Recipe Ingredients'!$A$5:$A$1204,A108))</f>
        <v>0</v>
      </c>
      <c r="Q108" s="8">
        <f>IF(OR(A108="",D108=0,D108=""),"",P108/D108)</f>
        <v>0</v>
      </c>
      <c r="R108" s="8">
        <f>IF(OR(A108="",H108=0,H108=""),"",IFERROR(Q108/H108*1000,""))</f>
        <v>0</v>
      </c>
      <c r="S108" s="8">
        <f>IF(OR(A108="",Q108="",Q108=0),"",IFERROR(H108/Q108,""))</f>
        <v>0</v>
      </c>
      <c r="T108" s="8">
        <f>IF(OR(A108="",Q108="",Q108=0),"",IFERROR(I108/Q108,""))</f>
        <v>0</v>
      </c>
      <c r="U108" s="8">
        <f>IF(OR(A108="",G108="",G108=0),"",IFERROR(H108/G108*10,""))</f>
        <v>0</v>
      </c>
      <c r="V108" s="8">
        <f>IF(A108="","",(AC108="Yes")*1+(AD108="Yes")*1+(AE108="Yes")*1+(AF108="Yes")*1+(AG108="Yes")*1+(AH108="Yes")*1)</f>
        <v>0</v>
      </c>
      <c r="W108" s="8">
        <f>IF(A108="","",COUNTIFS('Meal Plan'!$G$5:$G$504,A108,'Meal Plan'!$S$5:$S$504,"Cooked")+COUNTIFS('Meal Plan'!$G$5:$G$504,A108,'Meal Plan'!$S$5:$S$504,"Eaten"))</f>
        <v>0</v>
      </c>
      <c r="X108" s="8">
        <f>IF(A108="","",IF(SUMPRODUCT(MAX(('Meal Plan'!$G$5:$G$504=A108)*'Meal Plan'!$B$5:$B$504))=0,"",SUMPRODUCT(MAX(('Meal Plan'!$G$5:$G$504=A108)*'Meal Plan'!$B$5:$B$504))))</f>
        <v>0</v>
      </c>
      <c r="Y108" s="8">
        <f>IF(OR(A108="",X108=""),"",TODAY()-X108)</f>
        <v>0</v>
      </c>
      <c r="Z108" s="8">
        <f>IF(A108="","",IF(Y108="","Yes",IF(Y108&gt;=Rotation_Gap_Days,"Yes","No")))</f>
        <v>0</v>
      </c>
      <c r="AA108" s="8">
        <f>IF(A108="","",IF(Z108="No","Too soon",IF(AND(AN108&lt;&gt;"",AN108&gt;=4),"Plan it","Available")))</f>
        <v>0</v>
      </c>
      <c r="AB108" s="27"/>
      <c r="AC108" s="27"/>
      <c r="AD108" s="27"/>
      <c r="AE108" s="27"/>
      <c r="AF108" s="27"/>
      <c r="AG108" s="27"/>
      <c r="AH108" s="27"/>
      <c r="AI108" s="27"/>
      <c r="AJ108" s="27"/>
      <c r="AK108" s="8">
        <f>IF(A108="","",IF(G108&lt;=30,"Yes","No"))</f>
        <v>0</v>
      </c>
      <c r="AL108" s="27"/>
      <c r="AM108" s="30"/>
      <c r="AN108" s="26"/>
      <c r="AO108" s="7"/>
      <c r="AP108" s="7"/>
      <c r="AQ108" s="7"/>
      <c r="AR108" s="25"/>
      <c r="AS108" s="8">
        <f>IF(A108="","",COUNTIFS($H$5:$H$204,"&gt;"&amp;H108)+1)</f>
        <v>0</v>
      </c>
      <c r="AT108" s="8">
        <f>IF(A108="","",COUNTIFS($I$5:$I$204,"&gt;"&amp;I108)+1)</f>
        <v>0</v>
      </c>
      <c r="AU108" s="8">
        <f>IF(A108="","",COUNTIFS($L$5:$L$204,"&gt;"&amp;L108)+1)</f>
        <v>0</v>
      </c>
      <c r="AV108" s="8">
        <f>IF(OR(A108="",Q108=""),"",COUNTIFS($Q$5:$Q$204,"&lt;"&amp;Q108)+1)</f>
        <v>0</v>
      </c>
      <c r="AW108" s="8">
        <f>IF(A108="","",COUNTIFS($V$5:$V$204,"&gt;"&amp;V108)+1)</f>
        <v>0</v>
      </c>
      <c r="AX108" s="8">
        <f>IF(A108="","",COUNTIFS($Y$5:$Y$204,"&lt;"&amp;Y108)+1)</f>
        <v>0</v>
      </c>
      <c r="AY108" s="8">
        <f>IF(A108="","",COUNTIFS($W$5:$W$204,"&gt;"&amp;W108)+1)</f>
        <v>0</v>
      </c>
    </row>
    <row r="109" spans="1:51">
      <c r="A109" s="7"/>
      <c r="B109" s="27"/>
      <c r="C109" s="27"/>
      <c r="D109" s="26"/>
      <c r="E109" s="26"/>
      <c r="F109" s="26"/>
      <c r="G109" s="8">
        <f>IF(A109="","",E109+F109)</f>
        <v>0</v>
      </c>
      <c r="H109" s="26"/>
      <c r="I109" s="26"/>
      <c r="J109" s="26"/>
      <c r="K109" s="26"/>
      <c r="L109" s="26"/>
      <c r="M109" s="26"/>
      <c r="N109" s="26"/>
      <c r="O109" s="8">
        <f>IF(A109="","",COUNTIFS('Recipe Ingredients'!$A$5:$A$1204,A109))</f>
        <v>0</v>
      </c>
      <c r="P109" s="8">
        <f>IF(A109="","",SUMIFS('Recipe Ingredients'!$H$5:$H$1204,'Recipe Ingredients'!$A$5:$A$1204,A109))</f>
        <v>0</v>
      </c>
      <c r="Q109" s="8">
        <f>IF(OR(A109="",D109=0,D109=""),"",P109/D109)</f>
        <v>0</v>
      </c>
      <c r="R109" s="8">
        <f>IF(OR(A109="",H109=0,H109=""),"",IFERROR(Q109/H109*1000,""))</f>
        <v>0</v>
      </c>
      <c r="S109" s="8">
        <f>IF(OR(A109="",Q109="",Q109=0),"",IFERROR(H109/Q109,""))</f>
        <v>0</v>
      </c>
      <c r="T109" s="8">
        <f>IF(OR(A109="",Q109="",Q109=0),"",IFERROR(I109/Q109,""))</f>
        <v>0</v>
      </c>
      <c r="U109" s="8">
        <f>IF(OR(A109="",G109="",G109=0),"",IFERROR(H109/G109*10,""))</f>
        <v>0</v>
      </c>
      <c r="V109" s="8">
        <f>IF(A109="","",(AC109="Yes")*1+(AD109="Yes")*1+(AE109="Yes")*1+(AF109="Yes")*1+(AG109="Yes")*1+(AH109="Yes")*1)</f>
        <v>0</v>
      </c>
      <c r="W109" s="8">
        <f>IF(A109="","",COUNTIFS('Meal Plan'!$G$5:$G$504,A109,'Meal Plan'!$S$5:$S$504,"Cooked")+COUNTIFS('Meal Plan'!$G$5:$G$504,A109,'Meal Plan'!$S$5:$S$504,"Eaten"))</f>
        <v>0</v>
      </c>
      <c r="X109" s="8">
        <f>IF(A109="","",IF(SUMPRODUCT(MAX(('Meal Plan'!$G$5:$G$504=A109)*'Meal Plan'!$B$5:$B$504))=0,"",SUMPRODUCT(MAX(('Meal Plan'!$G$5:$G$504=A109)*'Meal Plan'!$B$5:$B$504))))</f>
        <v>0</v>
      </c>
      <c r="Y109" s="8">
        <f>IF(OR(A109="",X109=""),"",TODAY()-X109)</f>
        <v>0</v>
      </c>
      <c r="Z109" s="8">
        <f>IF(A109="","",IF(Y109="","Yes",IF(Y109&gt;=Rotation_Gap_Days,"Yes","No")))</f>
        <v>0</v>
      </c>
      <c r="AA109" s="8">
        <f>IF(A109="","",IF(Z109="No","Too soon",IF(AND(AN109&lt;&gt;"",AN109&gt;=4),"Plan it","Available")))</f>
        <v>0</v>
      </c>
      <c r="AB109" s="27"/>
      <c r="AC109" s="27"/>
      <c r="AD109" s="27"/>
      <c r="AE109" s="27"/>
      <c r="AF109" s="27"/>
      <c r="AG109" s="27"/>
      <c r="AH109" s="27"/>
      <c r="AI109" s="27"/>
      <c r="AJ109" s="27"/>
      <c r="AK109" s="8">
        <f>IF(A109="","",IF(G109&lt;=30,"Yes","No"))</f>
        <v>0</v>
      </c>
      <c r="AL109" s="27"/>
      <c r="AM109" s="30"/>
      <c r="AN109" s="26"/>
      <c r="AO109" s="7"/>
      <c r="AP109" s="7"/>
      <c r="AQ109" s="7"/>
      <c r="AR109" s="25"/>
      <c r="AS109" s="8">
        <f>IF(A109="","",COUNTIFS($H$5:$H$204,"&gt;"&amp;H109)+1)</f>
        <v>0</v>
      </c>
      <c r="AT109" s="8">
        <f>IF(A109="","",COUNTIFS($I$5:$I$204,"&gt;"&amp;I109)+1)</f>
        <v>0</v>
      </c>
      <c r="AU109" s="8">
        <f>IF(A109="","",COUNTIFS($L$5:$L$204,"&gt;"&amp;L109)+1)</f>
        <v>0</v>
      </c>
      <c r="AV109" s="8">
        <f>IF(OR(A109="",Q109=""),"",COUNTIFS($Q$5:$Q$204,"&lt;"&amp;Q109)+1)</f>
        <v>0</v>
      </c>
      <c r="AW109" s="8">
        <f>IF(A109="","",COUNTIFS($V$5:$V$204,"&gt;"&amp;V109)+1)</f>
        <v>0</v>
      </c>
      <c r="AX109" s="8">
        <f>IF(A109="","",COUNTIFS($Y$5:$Y$204,"&lt;"&amp;Y109)+1)</f>
        <v>0</v>
      </c>
      <c r="AY109" s="8">
        <f>IF(A109="","",COUNTIFS($W$5:$W$204,"&gt;"&amp;W109)+1)</f>
        <v>0</v>
      </c>
    </row>
    <row r="110" spans="1:51">
      <c r="A110" s="7"/>
      <c r="B110" s="27"/>
      <c r="C110" s="27"/>
      <c r="D110" s="26"/>
      <c r="E110" s="26"/>
      <c r="F110" s="26"/>
      <c r="G110" s="8">
        <f>IF(A110="","",E110+F110)</f>
        <v>0</v>
      </c>
      <c r="H110" s="26"/>
      <c r="I110" s="26"/>
      <c r="J110" s="26"/>
      <c r="K110" s="26"/>
      <c r="L110" s="26"/>
      <c r="M110" s="26"/>
      <c r="N110" s="26"/>
      <c r="O110" s="8">
        <f>IF(A110="","",COUNTIFS('Recipe Ingredients'!$A$5:$A$1204,A110))</f>
        <v>0</v>
      </c>
      <c r="P110" s="8">
        <f>IF(A110="","",SUMIFS('Recipe Ingredients'!$H$5:$H$1204,'Recipe Ingredients'!$A$5:$A$1204,A110))</f>
        <v>0</v>
      </c>
      <c r="Q110" s="8">
        <f>IF(OR(A110="",D110=0,D110=""),"",P110/D110)</f>
        <v>0</v>
      </c>
      <c r="R110" s="8">
        <f>IF(OR(A110="",H110=0,H110=""),"",IFERROR(Q110/H110*1000,""))</f>
        <v>0</v>
      </c>
      <c r="S110" s="8">
        <f>IF(OR(A110="",Q110="",Q110=0),"",IFERROR(H110/Q110,""))</f>
        <v>0</v>
      </c>
      <c r="T110" s="8">
        <f>IF(OR(A110="",Q110="",Q110=0),"",IFERROR(I110/Q110,""))</f>
        <v>0</v>
      </c>
      <c r="U110" s="8">
        <f>IF(OR(A110="",G110="",G110=0),"",IFERROR(H110/G110*10,""))</f>
        <v>0</v>
      </c>
      <c r="V110" s="8">
        <f>IF(A110="","",(AC110="Yes")*1+(AD110="Yes")*1+(AE110="Yes")*1+(AF110="Yes")*1+(AG110="Yes")*1+(AH110="Yes")*1)</f>
        <v>0</v>
      </c>
      <c r="W110" s="8">
        <f>IF(A110="","",COUNTIFS('Meal Plan'!$G$5:$G$504,A110,'Meal Plan'!$S$5:$S$504,"Cooked")+COUNTIFS('Meal Plan'!$G$5:$G$504,A110,'Meal Plan'!$S$5:$S$504,"Eaten"))</f>
        <v>0</v>
      </c>
      <c r="X110" s="8">
        <f>IF(A110="","",IF(SUMPRODUCT(MAX(('Meal Plan'!$G$5:$G$504=A110)*'Meal Plan'!$B$5:$B$504))=0,"",SUMPRODUCT(MAX(('Meal Plan'!$G$5:$G$504=A110)*'Meal Plan'!$B$5:$B$504))))</f>
        <v>0</v>
      </c>
      <c r="Y110" s="8">
        <f>IF(OR(A110="",X110=""),"",TODAY()-X110)</f>
        <v>0</v>
      </c>
      <c r="Z110" s="8">
        <f>IF(A110="","",IF(Y110="","Yes",IF(Y110&gt;=Rotation_Gap_Days,"Yes","No")))</f>
        <v>0</v>
      </c>
      <c r="AA110" s="8">
        <f>IF(A110="","",IF(Z110="No","Too soon",IF(AND(AN110&lt;&gt;"",AN110&gt;=4),"Plan it","Available")))</f>
        <v>0</v>
      </c>
      <c r="AB110" s="27"/>
      <c r="AC110" s="27"/>
      <c r="AD110" s="27"/>
      <c r="AE110" s="27"/>
      <c r="AF110" s="27"/>
      <c r="AG110" s="27"/>
      <c r="AH110" s="27"/>
      <c r="AI110" s="27"/>
      <c r="AJ110" s="27"/>
      <c r="AK110" s="8">
        <f>IF(A110="","",IF(G110&lt;=30,"Yes","No"))</f>
        <v>0</v>
      </c>
      <c r="AL110" s="27"/>
      <c r="AM110" s="30"/>
      <c r="AN110" s="26"/>
      <c r="AO110" s="7"/>
      <c r="AP110" s="7"/>
      <c r="AQ110" s="7"/>
      <c r="AR110" s="25"/>
      <c r="AS110" s="8">
        <f>IF(A110="","",COUNTIFS($H$5:$H$204,"&gt;"&amp;H110)+1)</f>
        <v>0</v>
      </c>
      <c r="AT110" s="8">
        <f>IF(A110="","",COUNTIFS($I$5:$I$204,"&gt;"&amp;I110)+1)</f>
        <v>0</v>
      </c>
      <c r="AU110" s="8">
        <f>IF(A110="","",COUNTIFS($L$5:$L$204,"&gt;"&amp;L110)+1)</f>
        <v>0</v>
      </c>
      <c r="AV110" s="8">
        <f>IF(OR(A110="",Q110=""),"",COUNTIFS($Q$5:$Q$204,"&lt;"&amp;Q110)+1)</f>
        <v>0</v>
      </c>
      <c r="AW110" s="8">
        <f>IF(A110="","",COUNTIFS($V$5:$V$204,"&gt;"&amp;V110)+1)</f>
        <v>0</v>
      </c>
      <c r="AX110" s="8">
        <f>IF(A110="","",COUNTIFS($Y$5:$Y$204,"&lt;"&amp;Y110)+1)</f>
        <v>0</v>
      </c>
      <c r="AY110" s="8">
        <f>IF(A110="","",COUNTIFS($W$5:$W$204,"&gt;"&amp;W110)+1)</f>
        <v>0</v>
      </c>
    </row>
    <row r="111" spans="1:51">
      <c r="A111" s="7"/>
      <c r="B111" s="27"/>
      <c r="C111" s="27"/>
      <c r="D111" s="26"/>
      <c r="E111" s="26"/>
      <c r="F111" s="26"/>
      <c r="G111" s="8">
        <f>IF(A111="","",E111+F111)</f>
        <v>0</v>
      </c>
      <c r="H111" s="26"/>
      <c r="I111" s="26"/>
      <c r="J111" s="26"/>
      <c r="K111" s="26"/>
      <c r="L111" s="26"/>
      <c r="M111" s="26"/>
      <c r="N111" s="26"/>
      <c r="O111" s="8">
        <f>IF(A111="","",COUNTIFS('Recipe Ingredients'!$A$5:$A$1204,A111))</f>
        <v>0</v>
      </c>
      <c r="P111" s="8">
        <f>IF(A111="","",SUMIFS('Recipe Ingredients'!$H$5:$H$1204,'Recipe Ingredients'!$A$5:$A$1204,A111))</f>
        <v>0</v>
      </c>
      <c r="Q111" s="8">
        <f>IF(OR(A111="",D111=0,D111=""),"",P111/D111)</f>
        <v>0</v>
      </c>
      <c r="R111" s="8">
        <f>IF(OR(A111="",H111=0,H111=""),"",IFERROR(Q111/H111*1000,""))</f>
        <v>0</v>
      </c>
      <c r="S111" s="8">
        <f>IF(OR(A111="",Q111="",Q111=0),"",IFERROR(H111/Q111,""))</f>
        <v>0</v>
      </c>
      <c r="T111" s="8">
        <f>IF(OR(A111="",Q111="",Q111=0),"",IFERROR(I111/Q111,""))</f>
        <v>0</v>
      </c>
      <c r="U111" s="8">
        <f>IF(OR(A111="",G111="",G111=0),"",IFERROR(H111/G111*10,""))</f>
        <v>0</v>
      </c>
      <c r="V111" s="8">
        <f>IF(A111="","",(AC111="Yes")*1+(AD111="Yes")*1+(AE111="Yes")*1+(AF111="Yes")*1+(AG111="Yes")*1+(AH111="Yes")*1)</f>
        <v>0</v>
      </c>
      <c r="W111" s="8">
        <f>IF(A111="","",COUNTIFS('Meal Plan'!$G$5:$G$504,A111,'Meal Plan'!$S$5:$S$504,"Cooked")+COUNTIFS('Meal Plan'!$G$5:$G$504,A111,'Meal Plan'!$S$5:$S$504,"Eaten"))</f>
        <v>0</v>
      </c>
      <c r="X111" s="8">
        <f>IF(A111="","",IF(SUMPRODUCT(MAX(('Meal Plan'!$G$5:$G$504=A111)*'Meal Plan'!$B$5:$B$504))=0,"",SUMPRODUCT(MAX(('Meal Plan'!$G$5:$G$504=A111)*'Meal Plan'!$B$5:$B$504))))</f>
        <v>0</v>
      </c>
      <c r="Y111" s="8">
        <f>IF(OR(A111="",X111=""),"",TODAY()-X111)</f>
        <v>0</v>
      </c>
      <c r="Z111" s="8">
        <f>IF(A111="","",IF(Y111="","Yes",IF(Y111&gt;=Rotation_Gap_Days,"Yes","No")))</f>
        <v>0</v>
      </c>
      <c r="AA111" s="8">
        <f>IF(A111="","",IF(Z111="No","Too soon",IF(AND(AN111&lt;&gt;"",AN111&gt;=4),"Plan it","Available")))</f>
        <v>0</v>
      </c>
      <c r="AB111" s="27"/>
      <c r="AC111" s="27"/>
      <c r="AD111" s="27"/>
      <c r="AE111" s="27"/>
      <c r="AF111" s="27"/>
      <c r="AG111" s="27"/>
      <c r="AH111" s="27"/>
      <c r="AI111" s="27"/>
      <c r="AJ111" s="27"/>
      <c r="AK111" s="8">
        <f>IF(A111="","",IF(G111&lt;=30,"Yes","No"))</f>
        <v>0</v>
      </c>
      <c r="AL111" s="27"/>
      <c r="AM111" s="30"/>
      <c r="AN111" s="26"/>
      <c r="AO111" s="7"/>
      <c r="AP111" s="7"/>
      <c r="AQ111" s="7"/>
      <c r="AR111" s="25"/>
      <c r="AS111" s="8">
        <f>IF(A111="","",COUNTIFS($H$5:$H$204,"&gt;"&amp;H111)+1)</f>
        <v>0</v>
      </c>
      <c r="AT111" s="8">
        <f>IF(A111="","",COUNTIFS($I$5:$I$204,"&gt;"&amp;I111)+1)</f>
        <v>0</v>
      </c>
      <c r="AU111" s="8">
        <f>IF(A111="","",COUNTIFS($L$5:$L$204,"&gt;"&amp;L111)+1)</f>
        <v>0</v>
      </c>
      <c r="AV111" s="8">
        <f>IF(OR(A111="",Q111=""),"",COUNTIFS($Q$5:$Q$204,"&lt;"&amp;Q111)+1)</f>
        <v>0</v>
      </c>
      <c r="AW111" s="8">
        <f>IF(A111="","",COUNTIFS($V$5:$V$204,"&gt;"&amp;V111)+1)</f>
        <v>0</v>
      </c>
      <c r="AX111" s="8">
        <f>IF(A111="","",COUNTIFS($Y$5:$Y$204,"&lt;"&amp;Y111)+1)</f>
        <v>0</v>
      </c>
      <c r="AY111" s="8">
        <f>IF(A111="","",COUNTIFS($W$5:$W$204,"&gt;"&amp;W111)+1)</f>
        <v>0</v>
      </c>
    </row>
    <row r="112" spans="1:51">
      <c r="A112" s="7"/>
      <c r="B112" s="27"/>
      <c r="C112" s="27"/>
      <c r="D112" s="26"/>
      <c r="E112" s="26"/>
      <c r="F112" s="26"/>
      <c r="G112" s="8">
        <f>IF(A112="","",E112+F112)</f>
        <v>0</v>
      </c>
      <c r="H112" s="26"/>
      <c r="I112" s="26"/>
      <c r="J112" s="26"/>
      <c r="K112" s="26"/>
      <c r="L112" s="26"/>
      <c r="M112" s="26"/>
      <c r="N112" s="26"/>
      <c r="O112" s="8">
        <f>IF(A112="","",COUNTIFS('Recipe Ingredients'!$A$5:$A$1204,A112))</f>
        <v>0</v>
      </c>
      <c r="P112" s="8">
        <f>IF(A112="","",SUMIFS('Recipe Ingredients'!$H$5:$H$1204,'Recipe Ingredients'!$A$5:$A$1204,A112))</f>
        <v>0</v>
      </c>
      <c r="Q112" s="8">
        <f>IF(OR(A112="",D112=0,D112=""),"",P112/D112)</f>
        <v>0</v>
      </c>
      <c r="R112" s="8">
        <f>IF(OR(A112="",H112=0,H112=""),"",IFERROR(Q112/H112*1000,""))</f>
        <v>0</v>
      </c>
      <c r="S112" s="8">
        <f>IF(OR(A112="",Q112="",Q112=0),"",IFERROR(H112/Q112,""))</f>
        <v>0</v>
      </c>
      <c r="T112" s="8">
        <f>IF(OR(A112="",Q112="",Q112=0),"",IFERROR(I112/Q112,""))</f>
        <v>0</v>
      </c>
      <c r="U112" s="8">
        <f>IF(OR(A112="",G112="",G112=0),"",IFERROR(H112/G112*10,""))</f>
        <v>0</v>
      </c>
      <c r="V112" s="8">
        <f>IF(A112="","",(AC112="Yes")*1+(AD112="Yes")*1+(AE112="Yes")*1+(AF112="Yes")*1+(AG112="Yes")*1+(AH112="Yes")*1)</f>
        <v>0</v>
      </c>
      <c r="W112" s="8">
        <f>IF(A112="","",COUNTIFS('Meal Plan'!$G$5:$G$504,A112,'Meal Plan'!$S$5:$S$504,"Cooked")+COUNTIFS('Meal Plan'!$G$5:$G$504,A112,'Meal Plan'!$S$5:$S$504,"Eaten"))</f>
        <v>0</v>
      </c>
      <c r="X112" s="8">
        <f>IF(A112="","",IF(SUMPRODUCT(MAX(('Meal Plan'!$G$5:$G$504=A112)*'Meal Plan'!$B$5:$B$504))=0,"",SUMPRODUCT(MAX(('Meal Plan'!$G$5:$G$504=A112)*'Meal Plan'!$B$5:$B$504))))</f>
        <v>0</v>
      </c>
      <c r="Y112" s="8">
        <f>IF(OR(A112="",X112=""),"",TODAY()-X112)</f>
        <v>0</v>
      </c>
      <c r="Z112" s="8">
        <f>IF(A112="","",IF(Y112="","Yes",IF(Y112&gt;=Rotation_Gap_Days,"Yes","No")))</f>
        <v>0</v>
      </c>
      <c r="AA112" s="8">
        <f>IF(A112="","",IF(Z112="No","Too soon",IF(AND(AN112&lt;&gt;"",AN112&gt;=4),"Plan it","Available")))</f>
        <v>0</v>
      </c>
      <c r="AB112" s="27"/>
      <c r="AC112" s="27"/>
      <c r="AD112" s="27"/>
      <c r="AE112" s="27"/>
      <c r="AF112" s="27"/>
      <c r="AG112" s="27"/>
      <c r="AH112" s="27"/>
      <c r="AI112" s="27"/>
      <c r="AJ112" s="27"/>
      <c r="AK112" s="8">
        <f>IF(A112="","",IF(G112&lt;=30,"Yes","No"))</f>
        <v>0</v>
      </c>
      <c r="AL112" s="27"/>
      <c r="AM112" s="30"/>
      <c r="AN112" s="26"/>
      <c r="AO112" s="7"/>
      <c r="AP112" s="7"/>
      <c r="AQ112" s="7"/>
      <c r="AR112" s="25"/>
      <c r="AS112" s="8">
        <f>IF(A112="","",COUNTIFS($H$5:$H$204,"&gt;"&amp;H112)+1)</f>
        <v>0</v>
      </c>
      <c r="AT112" s="8">
        <f>IF(A112="","",COUNTIFS($I$5:$I$204,"&gt;"&amp;I112)+1)</f>
        <v>0</v>
      </c>
      <c r="AU112" s="8">
        <f>IF(A112="","",COUNTIFS($L$5:$L$204,"&gt;"&amp;L112)+1)</f>
        <v>0</v>
      </c>
      <c r="AV112" s="8">
        <f>IF(OR(A112="",Q112=""),"",COUNTIFS($Q$5:$Q$204,"&lt;"&amp;Q112)+1)</f>
        <v>0</v>
      </c>
      <c r="AW112" s="8">
        <f>IF(A112="","",COUNTIFS($V$5:$V$204,"&gt;"&amp;V112)+1)</f>
        <v>0</v>
      </c>
      <c r="AX112" s="8">
        <f>IF(A112="","",COUNTIFS($Y$5:$Y$204,"&lt;"&amp;Y112)+1)</f>
        <v>0</v>
      </c>
      <c r="AY112" s="8">
        <f>IF(A112="","",COUNTIFS($W$5:$W$204,"&gt;"&amp;W112)+1)</f>
        <v>0</v>
      </c>
    </row>
    <row r="113" spans="1:51">
      <c r="A113" s="7"/>
      <c r="B113" s="27"/>
      <c r="C113" s="27"/>
      <c r="D113" s="26"/>
      <c r="E113" s="26"/>
      <c r="F113" s="26"/>
      <c r="G113" s="8">
        <f>IF(A113="","",E113+F113)</f>
        <v>0</v>
      </c>
      <c r="H113" s="26"/>
      <c r="I113" s="26"/>
      <c r="J113" s="26"/>
      <c r="K113" s="26"/>
      <c r="L113" s="26"/>
      <c r="M113" s="26"/>
      <c r="N113" s="26"/>
      <c r="O113" s="8">
        <f>IF(A113="","",COUNTIFS('Recipe Ingredients'!$A$5:$A$1204,A113))</f>
        <v>0</v>
      </c>
      <c r="P113" s="8">
        <f>IF(A113="","",SUMIFS('Recipe Ingredients'!$H$5:$H$1204,'Recipe Ingredients'!$A$5:$A$1204,A113))</f>
        <v>0</v>
      </c>
      <c r="Q113" s="8">
        <f>IF(OR(A113="",D113=0,D113=""),"",P113/D113)</f>
        <v>0</v>
      </c>
      <c r="R113" s="8">
        <f>IF(OR(A113="",H113=0,H113=""),"",IFERROR(Q113/H113*1000,""))</f>
        <v>0</v>
      </c>
      <c r="S113" s="8">
        <f>IF(OR(A113="",Q113="",Q113=0),"",IFERROR(H113/Q113,""))</f>
        <v>0</v>
      </c>
      <c r="T113" s="8">
        <f>IF(OR(A113="",Q113="",Q113=0),"",IFERROR(I113/Q113,""))</f>
        <v>0</v>
      </c>
      <c r="U113" s="8">
        <f>IF(OR(A113="",G113="",G113=0),"",IFERROR(H113/G113*10,""))</f>
        <v>0</v>
      </c>
      <c r="V113" s="8">
        <f>IF(A113="","",(AC113="Yes")*1+(AD113="Yes")*1+(AE113="Yes")*1+(AF113="Yes")*1+(AG113="Yes")*1+(AH113="Yes")*1)</f>
        <v>0</v>
      </c>
      <c r="W113" s="8">
        <f>IF(A113="","",COUNTIFS('Meal Plan'!$G$5:$G$504,A113,'Meal Plan'!$S$5:$S$504,"Cooked")+COUNTIFS('Meal Plan'!$G$5:$G$504,A113,'Meal Plan'!$S$5:$S$504,"Eaten"))</f>
        <v>0</v>
      </c>
      <c r="X113" s="8">
        <f>IF(A113="","",IF(SUMPRODUCT(MAX(('Meal Plan'!$G$5:$G$504=A113)*'Meal Plan'!$B$5:$B$504))=0,"",SUMPRODUCT(MAX(('Meal Plan'!$G$5:$G$504=A113)*'Meal Plan'!$B$5:$B$504))))</f>
        <v>0</v>
      </c>
      <c r="Y113" s="8">
        <f>IF(OR(A113="",X113=""),"",TODAY()-X113)</f>
        <v>0</v>
      </c>
      <c r="Z113" s="8">
        <f>IF(A113="","",IF(Y113="","Yes",IF(Y113&gt;=Rotation_Gap_Days,"Yes","No")))</f>
        <v>0</v>
      </c>
      <c r="AA113" s="8">
        <f>IF(A113="","",IF(Z113="No","Too soon",IF(AND(AN113&lt;&gt;"",AN113&gt;=4),"Plan it","Available")))</f>
        <v>0</v>
      </c>
      <c r="AB113" s="27"/>
      <c r="AC113" s="27"/>
      <c r="AD113" s="27"/>
      <c r="AE113" s="27"/>
      <c r="AF113" s="27"/>
      <c r="AG113" s="27"/>
      <c r="AH113" s="27"/>
      <c r="AI113" s="27"/>
      <c r="AJ113" s="27"/>
      <c r="AK113" s="8">
        <f>IF(A113="","",IF(G113&lt;=30,"Yes","No"))</f>
        <v>0</v>
      </c>
      <c r="AL113" s="27"/>
      <c r="AM113" s="30"/>
      <c r="AN113" s="26"/>
      <c r="AO113" s="7"/>
      <c r="AP113" s="7"/>
      <c r="AQ113" s="7"/>
      <c r="AR113" s="25"/>
      <c r="AS113" s="8">
        <f>IF(A113="","",COUNTIFS($H$5:$H$204,"&gt;"&amp;H113)+1)</f>
        <v>0</v>
      </c>
      <c r="AT113" s="8">
        <f>IF(A113="","",COUNTIFS($I$5:$I$204,"&gt;"&amp;I113)+1)</f>
        <v>0</v>
      </c>
      <c r="AU113" s="8">
        <f>IF(A113="","",COUNTIFS($L$5:$L$204,"&gt;"&amp;L113)+1)</f>
        <v>0</v>
      </c>
      <c r="AV113" s="8">
        <f>IF(OR(A113="",Q113=""),"",COUNTIFS($Q$5:$Q$204,"&lt;"&amp;Q113)+1)</f>
        <v>0</v>
      </c>
      <c r="AW113" s="8">
        <f>IF(A113="","",COUNTIFS($V$5:$V$204,"&gt;"&amp;V113)+1)</f>
        <v>0</v>
      </c>
      <c r="AX113" s="8">
        <f>IF(A113="","",COUNTIFS($Y$5:$Y$204,"&lt;"&amp;Y113)+1)</f>
        <v>0</v>
      </c>
      <c r="AY113" s="8">
        <f>IF(A113="","",COUNTIFS($W$5:$W$204,"&gt;"&amp;W113)+1)</f>
        <v>0</v>
      </c>
    </row>
    <row r="114" spans="1:51">
      <c r="A114" s="7"/>
      <c r="B114" s="27"/>
      <c r="C114" s="27"/>
      <c r="D114" s="26"/>
      <c r="E114" s="26"/>
      <c r="F114" s="26"/>
      <c r="G114" s="8">
        <f>IF(A114="","",E114+F114)</f>
        <v>0</v>
      </c>
      <c r="H114" s="26"/>
      <c r="I114" s="26"/>
      <c r="J114" s="26"/>
      <c r="K114" s="26"/>
      <c r="L114" s="26"/>
      <c r="M114" s="26"/>
      <c r="N114" s="26"/>
      <c r="O114" s="8">
        <f>IF(A114="","",COUNTIFS('Recipe Ingredients'!$A$5:$A$1204,A114))</f>
        <v>0</v>
      </c>
      <c r="P114" s="8">
        <f>IF(A114="","",SUMIFS('Recipe Ingredients'!$H$5:$H$1204,'Recipe Ingredients'!$A$5:$A$1204,A114))</f>
        <v>0</v>
      </c>
      <c r="Q114" s="8">
        <f>IF(OR(A114="",D114=0,D114=""),"",P114/D114)</f>
        <v>0</v>
      </c>
      <c r="R114" s="8">
        <f>IF(OR(A114="",H114=0,H114=""),"",IFERROR(Q114/H114*1000,""))</f>
        <v>0</v>
      </c>
      <c r="S114" s="8">
        <f>IF(OR(A114="",Q114="",Q114=0),"",IFERROR(H114/Q114,""))</f>
        <v>0</v>
      </c>
      <c r="T114" s="8">
        <f>IF(OR(A114="",Q114="",Q114=0),"",IFERROR(I114/Q114,""))</f>
        <v>0</v>
      </c>
      <c r="U114" s="8">
        <f>IF(OR(A114="",G114="",G114=0),"",IFERROR(H114/G114*10,""))</f>
        <v>0</v>
      </c>
      <c r="V114" s="8">
        <f>IF(A114="","",(AC114="Yes")*1+(AD114="Yes")*1+(AE114="Yes")*1+(AF114="Yes")*1+(AG114="Yes")*1+(AH114="Yes")*1)</f>
        <v>0</v>
      </c>
      <c r="W114" s="8">
        <f>IF(A114="","",COUNTIFS('Meal Plan'!$G$5:$G$504,A114,'Meal Plan'!$S$5:$S$504,"Cooked")+COUNTIFS('Meal Plan'!$G$5:$G$504,A114,'Meal Plan'!$S$5:$S$504,"Eaten"))</f>
        <v>0</v>
      </c>
      <c r="X114" s="8">
        <f>IF(A114="","",IF(SUMPRODUCT(MAX(('Meal Plan'!$G$5:$G$504=A114)*'Meal Plan'!$B$5:$B$504))=0,"",SUMPRODUCT(MAX(('Meal Plan'!$G$5:$G$504=A114)*'Meal Plan'!$B$5:$B$504))))</f>
        <v>0</v>
      </c>
      <c r="Y114" s="8">
        <f>IF(OR(A114="",X114=""),"",TODAY()-X114)</f>
        <v>0</v>
      </c>
      <c r="Z114" s="8">
        <f>IF(A114="","",IF(Y114="","Yes",IF(Y114&gt;=Rotation_Gap_Days,"Yes","No")))</f>
        <v>0</v>
      </c>
      <c r="AA114" s="8">
        <f>IF(A114="","",IF(Z114="No","Too soon",IF(AND(AN114&lt;&gt;"",AN114&gt;=4),"Plan it","Available")))</f>
        <v>0</v>
      </c>
      <c r="AB114" s="27"/>
      <c r="AC114" s="27"/>
      <c r="AD114" s="27"/>
      <c r="AE114" s="27"/>
      <c r="AF114" s="27"/>
      <c r="AG114" s="27"/>
      <c r="AH114" s="27"/>
      <c r="AI114" s="27"/>
      <c r="AJ114" s="27"/>
      <c r="AK114" s="8">
        <f>IF(A114="","",IF(G114&lt;=30,"Yes","No"))</f>
        <v>0</v>
      </c>
      <c r="AL114" s="27"/>
      <c r="AM114" s="30"/>
      <c r="AN114" s="26"/>
      <c r="AO114" s="7"/>
      <c r="AP114" s="7"/>
      <c r="AQ114" s="7"/>
      <c r="AR114" s="25"/>
      <c r="AS114" s="8">
        <f>IF(A114="","",COUNTIFS($H$5:$H$204,"&gt;"&amp;H114)+1)</f>
        <v>0</v>
      </c>
      <c r="AT114" s="8">
        <f>IF(A114="","",COUNTIFS($I$5:$I$204,"&gt;"&amp;I114)+1)</f>
        <v>0</v>
      </c>
      <c r="AU114" s="8">
        <f>IF(A114="","",COUNTIFS($L$5:$L$204,"&gt;"&amp;L114)+1)</f>
        <v>0</v>
      </c>
      <c r="AV114" s="8">
        <f>IF(OR(A114="",Q114=""),"",COUNTIFS($Q$5:$Q$204,"&lt;"&amp;Q114)+1)</f>
        <v>0</v>
      </c>
      <c r="AW114" s="8">
        <f>IF(A114="","",COUNTIFS($V$5:$V$204,"&gt;"&amp;V114)+1)</f>
        <v>0</v>
      </c>
      <c r="AX114" s="8">
        <f>IF(A114="","",COUNTIFS($Y$5:$Y$204,"&lt;"&amp;Y114)+1)</f>
        <v>0</v>
      </c>
      <c r="AY114" s="8">
        <f>IF(A114="","",COUNTIFS($W$5:$W$204,"&gt;"&amp;W114)+1)</f>
        <v>0</v>
      </c>
    </row>
    <row r="115" spans="1:51">
      <c r="A115" s="7"/>
      <c r="B115" s="27"/>
      <c r="C115" s="27"/>
      <c r="D115" s="26"/>
      <c r="E115" s="26"/>
      <c r="F115" s="26"/>
      <c r="G115" s="8">
        <f>IF(A115="","",E115+F115)</f>
        <v>0</v>
      </c>
      <c r="H115" s="26"/>
      <c r="I115" s="26"/>
      <c r="J115" s="26"/>
      <c r="K115" s="26"/>
      <c r="L115" s="26"/>
      <c r="M115" s="26"/>
      <c r="N115" s="26"/>
      <c r="O115" s="8">
        <f>IF(A115="","",COUNTIFS('Recipe Ingredients'!$A$5:$A$1204,A115))</f>
        <v>0</v>
      </c>
      <c r="P115" s="8">
        <f>IF(A115="","",SUMIFS('Recipe Ingredients'!$H$5:$H$1204,'Recipe Ingredients'!$A$5:$A$1204,A115))</f>
        <v>0</v>
      </c>
      <c r="Q115" s="8">
        <f>IF(OR(A115="",D115=0,D115=""),"",P115/D115)</f>
        <v>0</v>
      </c>
      <c r="R115" s="8">
        <f>IF(OR(A115="",H115=0,H115=""),"",IFERROR(Q115/H115*1000,""))</f>
        <v>0</v>
      </c>
      <c r="S115" s="8">
        <f>IF(OR(A115="",Q115="",Q115=0),"",IFERROR(H115/Q115,""))</f>
        <v>0</v>
      </c>
      <c r="T115" s="8">
        <f>IF(OR(A115="",Q115="",Q115=0),"",IFERROR(I115/Q115,""))</f>
        <v>0</v>
      </c>
      <c r="U115" s="8">
        <f>IF(OR(A115="",G115="",G115=0),"",IFERROR(H115/G115*10,""))</f>
        <v>0</v>
      </c>
      <c r="V115" s="8">
        <f>IF(A115="","",(AC115="Yes")*1+(AD115="Yes")*1+(AE115="Yes")*1+(AF115="Yes")*1+(AG115="Yes")*1+(AH115="Yes")*1)</f>
        <v>0</v>
      </c>
      <c r="W115" s="8">
        <f>IF(A115="","",COUNTIFS('Meal Plan'!$G$5:$G$504,A115,'Meal Plan'!$S$5:$S$504,"Cooked")+COUNTIFS('Meal Plan'!$G$5:$G$504,A115,'Meal Plan'!$S$5:$S$504,"Eaten"))</f>
        <v>0</v>
      </c>
      <c r="X115" s="8">
        <f>IF(A115="","",IF(SUMPRODUCT(MAX(('Meal Plan'!$G$5:$G$504=A115)*'Meal Plan'!$B$5:$B$504))=0,"",SUMPRODUCT(MAX(('Meal Plan'!$G$5:$G$504=A115)*'Meal Plan'!$B$5:$B$504))))</f>
        <v>0</v>
      </c>
      <c r="Y115" s="8">
        <f>IF(OR(A115="",X115=""),"",TODAY()-X115)</f>
        <v>0</v>
      </c>
      <c r="Z115" s="8">
        <f>IF(A115="","",IF(Y115="","Yes",IF(Y115&gt;=Rotation_Gap_Days,"Yes","No")))</f>
        <v>0</v>
      </c>
      <c r="AA115" s="8">
        <f>IF(A115="","",IF(Z115="No","Too soon",IF(AND(AN115&lt;&gt;"",AN115&gt;=4),"Plan it","Available")))</f>
        <v>0</v>
      </c>
      <c r="AB115" s="27"/>
      <c r="AC115" s="27"/>
      <c r="AD115" s="27"/>
      <c r="AE115" s="27"/>
      <c r="AF115" s="27"/>
      <c r="AG115" s="27"/>
      <c r="AH115" s="27"/>
      <c r="AI115" s="27"/>
      <c r="AJ115" s="27"/>
      <c r="AK115" s="8">
        <f>IF(A115="","",IF(G115&lt;=30,"Yes","No"))</f>
        <v>0</v>
      </c>
      <c r="AL115" s="27"/>
      <c r="AM115" s="30"/>
      <c r="AN115" s="26"/>
      <c r="AO115" s="7"/>
      <c r="AP115" s="7"/>
      <c r="AQ115" s="7"/>
      <c r="AR115" s="25"/>
      <c r="AS115" s="8">
        <f>IF(A115="","",COUNTIFS($H$5:$H$204,"&gt;"&amp;H115)+1)</f>
        <v>0</v>
      </c>
      <c r="AT115" s="8">
        <f>IF(A115="","",COUNTIFS($I$5:$I$204,"&gt;"&amp;I115)+1)</f>
        <v>0</v>
      </c>
      <c r="AU115" s="8">
        <f>IF(A115="","",COUNTIFS($L$5:$L$204,"&gt;"&amp;L115)+1)</f>
        <v>0</v>
      </c>
      <c r="AV115" s="8">
        <f>IF(OR(A115="",Q115=""),"",COUNTIFS($Q$5:$Q$204,"&lt;"&amp;Q115)+1)</f>
        <v>0</v>
      </c>
      <c r="AW115" s="8">
        <f>IF(A115="","",COUNTIFS($V$5:$V$204,"&gt;"&amp;V115)+1)</f>
        <v>0</v>
      </c>
      <c r="AX115" s="8">
        <f>IF(A115="","",COUNTIFS($Y$5:$Y$204,"&lt;"&amp;Y115)+1)</f>
        <v>0</v>
      </c>
      <c r="AY115" s="8">
        <f>IF(A115="","",COUNTIFS($W$5:$W$204,"&gt;"&amp;W115)+1)</f>
        <v>0</v>
      </c>
    </row>
    <row r="116" spans="1:51">
      <c r="A116" s="7"/>
      <c r="B116" s="27"/>
      <c r="C116" s="27"/>
      <c r="D116" s="26"/>
      <c r="E116" s="26"/>
      <c r="F116" s="26"/>
      <c r="G116" s="8">
        <f>IF(A116="","",E116+F116)</f>
        <v>0</v>
      </c>
      <c r="H116" s="26"/>
      <c r="I116" s="26"/>
      <c r="J116" s="26"/>
      <c r="K116" s="26"/>
      <c r="L116" s="26"/>
      <c r="M116" s="26"/>
      <c r="N116" s="26"/>
      <c r="O116" s="8">
        <f>IF(A116="","",COUNTIFS('Recipe Ingredients'!$A$5:$A$1204,A116))</f>
        <v>0</v>
      </c>
      <c r="P116" s="8">
        <f>IF(A116="","",SUMIFS('Recipe Ingredients'!$H$5:$H$1204,'Recipe Ingredients'!$A$5:$A$1204,A116))</f>
        <v>0</v>
      </c>
      <c r="Q116" s="8">
        <f>IF(OR(A116="",D116=0,D116=""),"",P116/D116)</f>
        <v>0</v>
      </c>
      <c r="R116" s="8">
        <f>IF(OR(A116="",H116=0,H116=""),"",IFERROR(Q116/H116*1000,""))</f>
        <v>0</v>
      </c>
      <c r="S116" s="8">
        <f>IF(OR(A116="",Q116="",Q116=0),"",IFERROR(H116/Q116,""))</f>
        <v>0</v>
      </c>
      <c r="T116" s="8">
        <f>IF(OR(A116="",Q116="",Q116=0),"",IFERROR(I116/Q116,""))</f>
        <v>0</v>
      </c>
      <c r="U116" s="8">
        <f>IF(OR(A116="",G116="",G116=0),"",IFERROR(H116/G116*10,""))</f>
        <v>0</v>
      </c>
      <c r="V116" s="8">
        <f>IF(A116="","",(AC116="Yes")*1+(AD116="Yes")*1+(AE116="Yes")*1+(AF116="Yes")*1+(AG116="Yes")*1+(AH116="Yes")*1)</f>
        <v>0</v>
      </c>
      <c r="W116" s="8">
        <f>IF(A116="","",COUNTIFS('Meal Plan'!$G$5:$G$504,A116,'Meal Plan'!$S$5:$S$504,"Cooked")+COUNTIFS('Meal Plan'!$G$5:$G$504,A116,'Meal Plan'!$S$5:$S$504,"Eaten"))</f>
        <v>0</v>
      </c>
      <c r="X116" s="8">
        <f>IF(A116="","",IF(SUMPRODUCT(MAX(('Meal Plan'!$G$5:$G$504=A116)*'Meal Plan'!$B$5:$B$504))=0,"",SUMPRODUCT(MAX(('Meal Plan'!$G$5:$G$504=A116)*'Meal Plan'!$B$5:$B$504))))</f>
        <v>0</v>
      </c>
      <c r="Y116" s="8">
        <f>IF(OR(A116="",X116=""),"",TODAY()-X116)</f>
        <v>0</v>
      </c>
      <c r="Z116" s="8">
        <f>IF(A116="","",IF(Y116="","Yes",IF(Y116&gt;=Rotation_Gap_Days,"Yes","No")))</f>
        <v>0</v>
      </c>
      <c r="AA116" s="8">
        <f>IF(A116="","",IF(Z116="No","Too soon",IF(AND(AN116&lt;&gt;"",AN116&gt;=4),"Plan it","Available")))</f>
        <v>0</v>
      </c>
      <c r="AB116" s="27"/>
      <c r="AC116" s="27"/>
      <c r="AD116" s="27"/>
      <c r="AE116" s="27"/>
      <c r="AF116" s="27"/>
      <c r="AG116" s="27"/>
      <c r="AH116" s="27"/>
      <c r="AI116" s="27"/>
      <c r="AJ116" s="27"/>
      <c r="AK116" s="8">
        <f>IF(A116="","",IF(G116&lt;=30,"Yes","No"))</f>
        <v>0</v>
      </c>
      <c r="AL116" s="27"/>
      <c r="AM116" s="30"/>
      <c r="AN116" s="26"/>
      <c r="AO116" s="7"/>
      <c r="AP116" s="7"/>
      <c r="AQ116" s="7"/>
      <c r="AR116" s="25"/>
      <c r="AS116" s="8">
        <f>IF(A116="","",COUNTIFS($H$5:$H$204,"&gt;"&amp;H116)+1)</f>
        <v>0</v>
      </c>
      <c r="AT116" s="8">
        <f>IF(A116="","",COUNTIFS($I$5:$I$204,"&gt;"&amp;I116)+1)</f>
        <v>0</v>
      </c>
      <c r="AU116" s="8">
        <f>IF(A116="","",COUNTIFS($L$5:$L$204,"&gt;"&amp;L116)+1)</f>
        <v>0</v>
      </c>
      <c r="AV116" s="8">
        <f>IF(OR(A116="",Q116=""),"",COUNTIFS($Q$5:$Q$204,"&lt;"&amp;Q116)+1)</f>
        <v>0</v>
      </c>
      <c r="AW116" s="8">
        <f>IF(A116="","",COUNTIFS($V$5:$V$204,"&gt;"&amp;V116)+1)</f>
        <v>0</v>
      </c>
      <c r="AX116" s="8">
        <f>IF(A116="","",COUNTIFS($Y$5:$Y$204,"&lt;"&amp;Y116)+1)</f>
        <v>0</v>
      </c>
      <c r="AY116" s="8">
        <f>IF(A116="","",COUNTIFS($W$5:$W$204,"&gt;"&amp;W116)+1)</f>
        <v>0</v>
      </c>
    </row>
    <row r="117" spans="1:51">
      <c r="A117" s="7"/>
      <c r="B117" s="27"/>
      <c r="C117" s="27"/>
      <c r="D117" s="26"/>
      <c r="E117" s="26"/>
      <c r="F117" s="26"/>
      <c r="G117" s="8">
        <f>IF(A117="","",E117+F117)</f>
        <v>0</v>
      </c>
      <c r="H117" s="26"/>
      <c r="I117" s="26"/>
      <c r="J117" s="26"/>
      <c r="K117" s="26"/>
      <c r="L117" s="26"/>
      <c r="M117" s="26"/>
      <c r="N117" s="26"/>
      <c r="O117" s="8">
        <f>IF(A117="","",COUNTIFS('Recipe Ingredients'!$A$5:$A$1204,A117))</f>
        <v>0</v>
      </c>
      <c r="P117" s="8">
        <f>IF(A117="","",SUMIFS('Recipe Ingredients'!$H$5:$H$1204,'Recipe Ingredients'!$A$5:$A$1204,A117))</f>
        <v>0</v>
      </c>
      <c r="Q117" s="8">
        <f>IF(OR(A117="",D117=0,D117=""),"",P117/D117)</f>
        <v>0</v>
      </c>
      <c r="R117" s="8">
        <f>IF(OR(A117="",H117=0,H117=""),"",IFERROR(Q117/H117*1000,""))</f>
        <v>0</v>
      </c>
      <c r="S117" s="8">
        <f>IF(OR(A117="",Q117="",Q117=0),"",IFERROR(H117/Q117,""))</f>
        <v>0</v>
      </c>
      <c r="T117" s="8">
        <f>IF(OR(A117="",Q117="",Q117=0),"",IFERROR(I117/Q117,""))</f>
        <v>0</v>
      </c>
      <c r="U117" s="8">
        <f>IF(OR(A117="",G117="",G117=0),"",IFERROR(H117/G117*10,""))</f>
        <v>0</v>
      </c>
      <c r="V117" s="8">
        <f>IF(A117="","",(AC117="Yes")*1+(AD117="Yes")*1+(AE117="Yes")*1+(AF117="Yes")*1+(AG117="Yes")*1+(AH117="Yes")*1)</f>
        <v>0</v>
      </c>
      <c r="W117" s="8">
        <f>IF(A117="","",COUNTIFS('Meal Plan'!$G$5:$G$504,A117,'Meal Plan'!$S$5:$S$504,"Cooked")+COUNTIFS('Meal Plan'!$G$5:$G$504,A117,'Meal Plan'!$S$5:$S$504,"Eaten"))</f>
        <v>0</v>
      </c>
      <c r="X117" s="8">
        <f>IF(A117="","",IF(SUMPRODUCT(MAX(('Meal Plan'!$G$5:$G$504=A117)*'Meal Plan'!$B$5:$B$504))=0,"",SUMPRODUCT(MAX(('Meal Plan'!$G$5:$G$504=A117)*'Meal Plan'!$B$5:$B$504))))</f>
        <v>0</v>
      </c>
      <c r="Y117" s="8">
        <f>IF(OR(A117="",X117=""),"",TODAY()-X117)</f>
        <v>0</v>
      </c>
      <c r="Z117" s="8">
        <f>IF(A117="","",IF(Y117="","Yes",IF(Y117&gt;=Rotation_Gap_Days,"Yes","No")))</f>
        <v>0</v>
      </c>
      <c r="AA117" s="8">
        <f>IF(A117="","",IF(Z117="No","Too soon",IF(AND(AN117&lt;&gt;"",AN117&gt;=4),"Plan it","Available")))</f>
        <v>0</v>
      </c>
      <c r="AB117" s="27"/>
      <c r="AC117" s="27"/>
      <c r="AD117" s="27"/>
      <c r="AE117" s="27"/>
      <c r="AF117" s="27"/>
      <c r="AG117" s="27"/>
      <c r="AH117" s="27"/>
      <c r="AI117" s="27"/>
      <c r="AJ117" s="27"/>
      <c r="AK117" s="8">
        <f>IF(A117="","",IF(G117&lt;=30,"Yes","No"))</f>
        <v>0</v>
      </c>
      <c r="AL117" s="27"/>
      <c r="AM117" s="30"/>
      <c r="AN117" s="26"/>
      <c r="AO117" s="7"/>
      <c r="AP117" s="7"/>
      <c r="AQ117" s="7"/>
      <c r="AR117" s="25"/>
      <c r="AS117" s="8">
        <f>IF(A117="","",COUNTIFS($H$5:$H$204,"&gt;"&amp;H117)+1)</f>
        <v>0</v>
      </c>
      <c r="AT117" s="8">
        <f>IF(A117="","",COUNTIFS($I$5:$I$204,"&gt;"&amp;I117)+1)</f>
        <v>0</v>
      </c>
      <c r="AU117" s="8">
        <f>IF(A117="","",COUNTIFS($L$5:$L$204,"&gt;"&amp;L117)+1)</f>
        <v>0</v>
      </c>
      <c r="AV117" s="8">
        <f>IF(OR(A117="",Q117=""),"",COUNTIFS($Q$5:$Q$204,"&lt;"&amp;Q117)+1)</f>
        <v>0</v>
      </c>
      <c r="AW117" s="8">
        <f>IF(A117="","",COUNTIFS($V$5:$V$204,"&gt;"&amp;V117)+1)</f>
        <v>0</v>
      </c>
      <c r="AX117" s="8">
        <f>IF(A117="","",COUNTIFS($Y$5:$Y$204,"&lt;"&amp;Y117)+1)</f>
        <v>0</v>
      </c>
      <c r="AY117" s="8">
        <f>IF(A117="","",COUNTIFS($W$5:$W$204,"&gt;"&amp;W117)+1)</f>
        <v>0</v>
      </c>
    </row>
    <row r="118" spans="1:51">
      <c r="A118" s="7"/>
      <c r="B118" s="27"/>
      <c r="C118" s="27"/>
      <c r="D118" s="26"/>
      <c r="E118" s="26"/>
      <c r="F118" s="26"/>
      <c r="G118" s="8">
        <f>IF(A118="","",E118+F118)</f>
        <v>0</v>
      </c>
      <c r="H118" s="26"/>
      <c r="I118" s="26"/>
      <c r="J118" s="26"/>
      <c r="K118" s="26"/>
      <c r="L118" s="26"/>
      <c r="M118" s="26"/>
      <c r="N118" s="26"/>
      <c r="O118" s="8">
        <f>IF(A118="","",COUNTIFS('Recipe Ingredients'!$A$5:$A$1204,A118))</f>
        <v>0</v>
      </c>
      <c r="P118" s="8">
        <f>IF(A118="","",SUMIFS('Recipe Ingredients'!$H$5:$H$1204,'Recipe Ingredients'!$A$5:$A$1204,A118))</f>
        <v>0</v>
      </c>
      <c r="Q118" s="8">
        <f>IF(OR(A118="",D118=0,D118=""),"",P118/D118)</f>
        <v>0</v>
      </c>
      <c r="R118" s="8">
        <f>IF(OR(A118="",H118=0,H118=""),"",IFERROR(Q118/H118*1000,""))</f>
        <v>0</v>
      </c>
      <c r="S118" s="8">
        <f>IF(OR(A118="",Q118="",Q118=0),"",IFERROR(H118/Q118,""))</f>
        <v>0</v>
      </c>
      <c r="T118" s="8">
        <f>IF(OR(A118="",Q118="",Q118=0),"",IFERROR(I118/Q118,""))</f>
        <v>0</v>
      </c>
      <c r="U118" s="8">
        <f>IF(OR(A118="",G118="",G118=0),"",IFERROR(H118/G118*10,""))</f>
        <v>0</v>
      </c>
      <c r="V118" s="8">
        <f>IF(A118="","",(AC118="Yes")*1+(AD118="Yes")*1+(AE118="Yes")*1+(AF118="Yes")*1+(AG118="Yes")*1+(AH118="Yes")*1)</f>
        <v>0</v>
      </c>
      <c r="W118" s="8">
        <f>IF(A118="","",COUNTIFS('Meal Plan'!$G$5:$G$504,A118,'Meal Plan'!$S$5:$S$504,"Cooked")+COUNTIFS('Meal Plan'!$G$5:$G$504,A118,'Meal Plan'!$S$5:$S$504,"Eaten"))</f>
        <v>0</v>
      </c>
      <c r="X118" s="8">
        <f>IF(A118="","",IF(SUMPRODUCT(MAX(('Meal Plan'!$G$5:$G$504=A118)*'Meal Plan'!$B$5:$B$504))=0,"",SUMPRODUCT(MAX(('Meal Plan'!$G$5:$G$504=A118)*'Meal Plan'!$B$5:$B$504))))</f>
        <v>0</v>
      </c>
      <c r="Y118" s="8">
        <f>IF(OR(A118="",X118=""),"",TODAY()-X118)</f>
        <v>0</v>
      </c>
      <c r="Z118" s="8">
        <f>IF(A118="","",IF(Y118="","Yes",IF(Y118&gt;=Rotation_Gap_Days,"Yes","No")))</f>
        <v>0</v>
      </c>
      <c r="AA118" s="8">
        <f>IF(A118="","",IF(Z118="No","Too soon",IF(AND(AN118&lt;&gt;"",AN118&gt;=4),"Plan it","Available")))</f>
        <v>0</v>
      </c>
      <c r="AB118" s="27"/>
      <c r="AC118" s="27"/>
      <c r="AD118" s="27"/>
      <c r="AE118" s="27"/>
      <c r="AF118" s="27"/>
      <c r="AG118" s="27"/>
      <c r="AH118" s="27"/>
      <c r="AI118" s="27"/>
      <c r="AJ118" s="27"/>
      <c r="AK118" s="8">
        <f>IF(A118="","",IF(G118&lt;=30,"Yes","No"))</f>
        <v>0</v>
      </c>
      <c r="AL118" s="27"/>
      <c r="AM118" s="30"/>
      <c r="AN118" s="26"/>
      <c r="AO118" s="7"/>
      <c r="AP118" s="7"/>
      <c r="AQ118" s="7"/>
      <c r="AR118" s="25"/>
      <c r="AS118" s="8">
        <f>IF(A118="","",COUNTIFS($H$5:$H$204,"&gt;"&amp;H118)+1)</f>
        <v>0</v>
      </c>
      <c r="AT118" s="8">
        <f>IF(A118="","",COUNTIFS($I$5:$I$204,"&gt;"&amp;I118)+1)</f>
        <v>0</v>
      </c>
      <c r="AU118" s="8">
        <f>IF(A118="","",COUNTIFS($L$5:$L$204,"&gt;"&amp;L118)+1)</f>
        <v>0</v>
      </c>
      <c r="AV118" s="8">
        <f>IF(OR(A118="",Q118=""),"",COUNTIFS($Q$5:$Q$204,"&lt;"&amp;Q118)+1)</f>
        <v>0</v>
      </c>
      <c r="AW118" s="8">
        <f>IF(A118="","",COUNTIFS($V$5:$V$204,"&gt;"&amp;V118)+1)</f>
        <v>0</v>
      </c>
      <c r="AX118" s="8">
        <f>IF(A118="","",COUNTIFS($Y$5:$Y$204,"&lt;"&amp;Y118)+1)</f>
        <v>0</v>
      </c>
      <c r="AY118" s="8">
        <f>IF(A118="","",COUNTIFS($W$5:$W$204,"&gt;"&amp;W118)+1)</f>
        <v>0</v>
      </c>
    </row>
    <row r="119" spans="1:51">
      <c r="A119" s="7"/>
      <c r="B119" s="27"/>
      <c r="C119" s="27"/>
      <c r="D119" s="26"/>
      <c r="E119" s="26"/>
      <c r="F119" s="26"/>
      <c r="G119" s="8">
        <f>IF(A119="","",E119+F119)</f>
        <v>0</v>
      </c>
      <c r="H119" s="26"/>
      <c r="I119" s="26"/>
      <c r="J119" s="26"/>
      <c r="K119" s="26"/>
      <c r="L119" s="26"/>
      <c r="M119" s="26"/>
      <c r="N119" s="26"/>
      <c r="O119" s="8">
        <f>IF(A119="","",COUNTIFS('Recipe Ingredients'!$A$5:$A$1204,A119))</f>
        <v>0</v>
      </c>
      <c r="P119" s="8">
        <f>IF(A119="","",SUMIFS('Recipe Ingredients'!$H$5:$H$1204,'Recipe Ingredients'!$A$5:$A$1204,A119))</f>
        <v>0</v>
      </c>
      <c r="Q119" s="8">
        <f>IF(OR(A119="",D119=0,D119=""),"",P119/D119)</f>
        <v>0</v>
      </c>
      <c r="R119" s="8">
        <f>IF(OR(A119="",H119=0,H119=""),"",IFERROR(Q119/H119*1000,""))</f>
        <v>0</v>
      </c>
      <c r="S119" s="8">
        <f>IF(OR(A119="",Q119="",Q119=0),"",IFERROR(H119/Q119,""))</f>
        <v>0</v>
      </c>
      <c r="T119" s="8">
        <f>IF(OR(A119="",Q119="",Q119=0),"",IFERROR(I119/Q119,""))</f>
        <v>0</v>
      </c>
      <c r="U119" s="8">
        <f>IF(OR(A119="",G119="",G119=0),"",IFERROR(H119/G119*10,""))</f>
        <v>0</v>
      </c>
      <c r="V119" s="8">
        <f>IF(A119="","",(AC119="Yes")*1+(AD119="Yes")*1+(AE119="Yes")*1+(AF119="Yes")*1+(AG119="Yes")*1+(AH119="Yes")*1)</f>
        <v>0</v>
      </c>
      <c r="W119" s="8">
        <f>IF(A119="","",COUNTIFS('Meal Plan'!$G$5:$G$504,A119,'Meal Plan'!$S$5:$S$504,"Cooked")+COUNTIFS('Meal Plan'!$G$5:$G$504,A119,'Meal Plan'!$S$5:$S$504,"Eaten"))</f>
        <v>0</v>
      </c>
      <c r="X119" s="8">
        <f>IF(A119="","",IF(SUMPRODUCT(MAX(('Meal Plan'!$G$5:$G$504=A119)*'Meal Plan'!$B$5:$B$504))=0,"",SUMPRODUCT(MAX(('Meal Plan'!$G$5:$G$504=A119)*'Meal Plan'!$B$5:$B$504))))</f>
        <v>0</v>
      </c>
      <c r="Y119" s="8">
        <f>IF(OR(A119="",X119=""),"",TODAY()-X119)</f>
        <v>0</v>
      </c>
      <c r="Z119" s="8">
        <f>IF(A119="","",IF(Y119="","Yes",IF(Y119&gt;=Rotation_Gap_Days,"Yes","No")))</f>
        <v>0</v>
      </c>
      <c r="AA119" s="8">
        <f>IF(A119="","",IF(Z119="No","Too soon",IF(AND(AN119&lt;&gt;"",AN119&gt;=4),"Plan it","Available")))</f>
        <v>0</v>
      </c>
      <c r="AB119" s="27"/>
      <c r="AC119" s="27"/>
      <c r="AD119" s="27"/>
      <c r="AE119" s="27"/>
      <c r="AF119" s="27"/>
      <c r="AG119" s="27"/>
      <c r="AH119" s="27"/>
      <c r="AI119" s="27"/>
      <c r="AJ119" s="27"/>
      <c r="AK119" s="8">
        <f>IF(A119="","",IF(G119&lt;=30,"Yes","No"))</f>
        <v>0</v>
      </c>
      <c r="AL119" s="27"/>
      <c r="AM119" s="30"/>
      <c r="AN119" s="26"/>
      <c r="AO119" s="7"/>
      <c r="AP119" s="7"/>
      <c r="AQ119" s="7"/>
      <c r="AR119" s="25"/>
      <c r="AS119" s="8">
        <f>IF(A119="","",COUNTIFS($H$5:$H$204,"&gt;"&amp;H119)+1)</f>
        <v>0</v>
      </c>
      <c r="AT119" s="8">
        <f>IF(A119="","",COUNTIFS($I$5:$I$204,"&gt;"&amp;I119)+1)</f>
        <v>0</v>
      </c>
      <c r="AU119" s="8">
        <f>IF(A119="","",COUNTIFS($L$5:$L$204,"&gt;"&amp;L119)+1)</f>
        <v>0</v>
      </c>
      <c r="AV119" s="8">
        <f>IF(OR(A119="",Q119=""),"",COUNTIFS($Q$5:$Q$204,"&lt;"&amp;Q119)+1)</f>
        <v>0</v>
      </c>
      <c r="AW119" s="8">
        <f>IF(A119="","",COUNTIFS($V$5:$V$204,"&gt;"&amp;V119)+1)</f>
        <v>0</v>
      </c>
      <c r="AX119" s="8">
        <f>IF(A119="","",COUNTIFS($Y$5:$Y$204,"&lt;"&amp;Y119)+1)</f>
        <v>0</v>
      </c>
      <c r="AY119" s="8">
        <f>IF(A119="","",COUNTIFS($W$5:$W$204,"&gt;"&amp;W119)+1)</f>
        <v>0</v>
      </c>
    </row>
    <row r="120" spans="1:51">
      <c r="A120" s="7"/>
      <c r="B120" s="27"/>
      <c r="C120" s="27"/>
      <c r="D120" s="26"/>
      <c r="E120" s="26"/>
      <c r="F120" s="26"/>
      <c r="G120" s="8">
        <f>IF(A120="","",E120+F120)</f>
        <v>0</v>
      </c>
      <c r="H120" s="26"/>
      <c r="I120" s="26"/>
      <c r="J120" s="26"/>
      <c r="K120" s="26"/>
      <c r="L120" s="26"/>
      <c r="M120" s="26"/>
      <c r="N120" s="26"/>
      <c r="O120" s="8">
        <f>IF(A120="","",COUNTIFS('Recipe Ingredients'!$A$5:$A$1204,A120))</f>
        <v>0</v>
      </c>
      <c r="P120" s="8">
        <f>IF(A120="","",SUMIFS('Recipe Ingredients'!$H$5:$H$1204,'Recipe Ingredients'!$A$5:$A$1204,A120))</f>
        <v>0</v>
      </c>
      <c r="Q120" s="8">
        <f>IF(OR(A120="",D120=0,D120=""),"",P120/D120)</f>
        <v>0</v>
      </c>
      <c r="R120" s="8">
        <f>IF(OR(A120="",H120=0,H120=""),"",IFERROR(Q120/H120*1000,""))</f>
        <v>0</v>
      </c>
      <c r="S120" s="8">
        <f>IF(OR(A120="",Q120="",Q120=0),"",IFERROR(H120/Q120,""))</f>
        <v>0</v>
      </c>
      <c r="T120" s="8">
        <f>IF(OR(A120="",Q120="",Q120=0),"",IFERROR(I120/Q120,""))</f>
        <v>0</v>
      </c>
      <c r="U120" s="8">
        <f>IF(OR(A120="",G120="",G120=0),"",IFERROR(H120/G120*10,""))</f>
        <v>0</v>
      </c>
      <c r="V120" s="8">
        <f>IF(A120="","",(AC120="Yes")*1+(AD120="Yes")*1+(AE120="Yes")*1+(AF120="Yes")*1+(AG120="Yes")*1+(AH120="Yes")*1)</f>
        <v>0</v>
      </c>
      <c r="W120" s="8">
        <f>IF(A120="","",COUNTIFS('Meal Plan'!$G$5:$G$504,A120,'Meal Plan'!$S$5:$S$504,"Cooked")+COUNTIFS('Meal Plan'!$G$5:$G$504,A120,'Meal Plan'!$S$5:$S$504,"Eaten"))</f>
        <v>0</v>
      </c>
      <c r="X120" s="8">
        <f>IF(A120="","",IF(SUMPRODUCT(MAX(('Meal Plan'!$G$5:$G$504=A120)*'Meal Plan'!$B$5:$B$504))=0,"",SUMPRODUCT(MAX(('Meal Plan'!$G$5:$G$504=A120)*'Meal Plan'!$B$5:$B$504))))</f>
        <v>0</v>
      </c>
      <c r="Y120" s="8">
        <f>IF(OR(A120="",X120=""),"",TODAY()-X120)</f>
        <v>0</v>
      </c>
      <c r="Z120" s="8">
        <f>IF(A120="","",IF(Y120="","Yes",IF(Y120&gt;=Rotation_Gap_Days,"Yes","No")))</f>
        <v>0</v>
      </c>
      <c r="AA120" s="8">
        <f>IF(A120="","",IF(Z120="No","Too soon",IF(AND(AN120&lt;&gt;"",AN120&gt;=4),"Plan it","Available")))</f>
        <v>0</v>
      </c>
      <c r="AB120" s="27"/>
      <c r="AC120" s="27"/>
      <c r="AD120" s="27"/>
      <c r="AE120" s="27"/>
      <c r="AF120" s="27"/>
      <c r="AG120" s="27"/>
      <c r="AH120" s="27"/>
      <c r="AI120" s="27"/>
      <c r="AJ120" s="27"/>
      <c r="AK120" s="8">
        <f>IF(A120="","",IF(G120&lt;=30,"Yes","No"))</f>
        <v>0</v>
      </c>
      <c r="AL120" s="27"/>
      <c r="AM120" s="30"/>
      <c r="AN120" s="26"/>
      <c r="AO120" s="7"/>
      <c r="AP120" s="7"/>
      <c r="AQ120" s="7"/>
      <c r="AR120" s="25"/>
      <c r="AS120" s="8">
        <f>IF(A120="","",COUNTIFS($H$5:$H$204,"&gt;"&amp;H120)+1)</f>
        <v>0</v>
      </c>
      <c r="AT120" s="8">
        <f>IF(A120="","",COUNTIFS($I$5:$I$204,"&gt;"&amp;I120)+1)</f>
        <v>0</v>
      </c>
      <c r="AU120" s="8">
        <f>IF(A120="","",COUNTIFS($L$5:$L$204,"&gt;"&amp;L120)+1)</f>
        <v>0</v>
      </c>
      <c r="AV120" s="8">
        <f>IF(OR(A120="",Q120=""),"",COUNTIFS($Q$5:$Q$204,"&lt;"&amp;Q120)+1)</f>
        <v>0</v>
      </c>
      <c r="AW120" s="8">
        <f>IF(A120="","",COUNTIFS($V$5:$V$204,"&gt;"&amp;V120)+1)</f>
        <v>0</v>
      </c>
      <c r="AX120" s="8">
        <f>IF(A120="","",COUNTIFS($Y$5:$Y$204,"&lt;"&amp;Y120)+1)</f>
        <v>0</v>
      </c>
      <c r="AY120" s="8">
        <f>IF(A120="","",COUNTIFS($W$5:$W$204,"&gt;"&amp;W120)+1)</f>
        <v>0</v>
      </c>
    </row>
    <row r="121" spans="1:51">
      <c r="A121" s="7"/>
      <c r="B121" s="27"/>
      <c r="C121" s="27"/>
      <c r="D121" s="26"/>
      <c r="E121" s="26"/>
      <c r="F121" s="26"/>
      <c r="G121" s="8">
        <f>IF(A121="","",E121+F121)</f>
        <v>0</v>
      </c>
      <c r="H121" s="26"/>
      <c r="I121" s="26"/>
      <c r="J121" s="26"/>
      <c r="K121" s="26"/>
      <c r="L121" s="26"/>
      <c r="M121" s="26"/>
      <c r="N121" s="26"/>
      <c r="O121" s="8">
        <f>IF(A121="","",COUNTIFS('Recipe Ingredients'!$A$5:$A$1204,A121))</f>
        <v>0</v>
      </c>
      <c r="P121" s="8">
        <f>IF(A121="","",SUMIFS('Recipe Ingredients'!$H$5:$H$1204,'Recipe Ingredients'!$A$5:$A$1204,A121))</f>
        <v>0</v>
      </c>
      <c r="Q121" s="8">
        <f>IF(OR(A121="",D121=0,D121=""),"",P121/D121)</f>
        <v>0</v>
      </c>
      <c r="R121" s="8">
        <f>IF(OR(A121="",H121=0,H121=""),"",IFERROR(Q121/H121*1000,""))</f>
        <v>0</v>
      </c>
      <c r="S121" s="8">
        <f>IF(OR(A121="",Q121="",Q121=0),"",IFERROR(H121/Q121,""))</f>
        <v>0</v>
      </c>
      <c r="T121" s="8">
        <f>IF(OR(A121="",Q121="",Q121=0),"",IFERROR(I121/Q121,""))</f>
        <v>0</v>
      </c>
      <c r="U121" s="8">
        <f>IF(OR(A121="",G121="",G121=0),"",IFERROR(H121/G121*10,""))</f>
        <v>0</v>
      </c>
      <c r="V121" s="8">
        <f>IF(A121="","",(AC121="Yes")*1+(AD121="Yes")*1+(AE121="Yes")*1+(AF121="Yes")*1+(AG121="Yes")*1+(AH121="Yes")*1)</f>
        <v>0</v>
      </c>
      <c r="W121" s="8">
        <f>IF(A121="","",COUNTIFS('Meal Plan'!$G$5:$G$504,A121,'Meal Plan'!$S$5:$S$504,"Cooked")+COUNTIFS('Meal Plan'!$G$5:$G$504,A121,'Meal Plan'!$S$5:$S$504,"Eaten"))</f>
        <v>0</v>
      </c>
      <c r="X121" s="8">
        <f>IF(A121="","",IF(SUMPRODUCT(MAX(('Meal Plan'!$G$5:$G$504=A121)*'Meal Plan'!$B$5:$B$504))=0,"",SUMPRODUCT(MAX(('Meal Plan'!$G$5:$G$504=A121)*'Meal Plan'!$B$5:$B$504))))</f>
        <v>0</v>
      </c>
      <c r="Y121" s="8">
        <f>IF(OR(A121="",X121=""),"",TODAY()-X121)</f>
        <v>0</v>
      </c>
      <c r="Z121" s="8">
        <f>IF(A121="","",IF(Y121="","Yes",IF(Y121&gt;=Rotation_Gap_Days,"Yes","No")))</f>
        <v>0</v>
      </c>
      <c r="AA121" s="8">
        <f>IF(A121="","",IF(Z121="No","Too soon",IF(AND(AN121&lt;&gt;"",AN121&gt;=4),"Plan it","Available")))</f>
        <v>0</v>
      </c>
      <c r="AB121" s="27"/>
      <c r="AC121" s="27"/>
      <c r="AD121" s="27"/>
      <c r="AE121" s="27"/>
      <c r="AF121" s="27"/>
      <c r="AG121" s="27"/>
      <c r="AH121" s="27"/>
      <c r="AI121" s="27"/>
      <c r="AJ121" s="27"/>
      <c r="AK121" s="8">
        <f>IF(A121="","",IF(G121&lt;=30,"Yes","No"))</f>
        <v>0</v>
      </c>
      <c r="AL121" s="27"/>
      <c r="AM121" s="30"/>
      <c r="AN121" s="26"/>
      <c r="AO121" s="7"/>
      <c r="AP121" s="7"/>
      <c r="AQ121" s="7"/>
      <c r="AR121" s="25"/>
      <c r="AS121" s="8">
        <f>IF(A121="","",COUNTIFS($H$5:$H$204,"&gt;"&amp;H121)+1)</f>
        <v>0</v>
      </c>
      <c r="AT121" s="8">
        <f>IF(A121="","",COUNTIFS($I$5:$I$204,"&gt;"&amp;I121)+1)</f>
        <v>0</v>
      </c>
      <c r="AU121" s="8">
        <f>IF(A121="","",COUNTIFS($L$5:$L$204,"&gt;"&amp;L121)+1)</f>
        <v>0</v>
      </c>
      <c r="AV121" s="8">
        <f>IF(OR(A121="",Q121=""),"",COUNTIFS($Q$5:$Q$204,"&lt;"&amp;Q121)+1)</f>
        <v>0</v>
      </c>
      <c r="AW121" s="8">
        <f>IF(A121="","",COUNTIFS($V$5:$V$204,"&gt;"&amp;V121)+1)</f>
        <v>0</v>
      </c>
      <c r="AX121" s="8">
        <f>IF(A121="","",COUNTIFS($Y$5:$Y$204,"&lt;"&amp;Y121)+1)</f>
        <v>0</v>
      </c>
      <c r="AY121" s="8">
        <f>IF(A121="","",COUNTIFS($W$5:$W$204,"&gt;"&amp;W121)+1)</f>
        <v>0</v>
      </c>
    </row>
    <row r="122" spans="1:51">
      <c r="A122" s="7"/>
      <c r="B122" s="27"/>
      <c r="C122" s="27"/>
      <c r="D122" s="26"/>
      <c r="E122" s="26"/>
      <c r="F122" s="26"/>
      <c r="G122" s="8">
        <f>IF(A122="","",E122+F122)</f>
        <v>0</v>
      </c>
      <c r="H122" s="26"/>
      <c r="I122" s="26"/>
      <c r="J122" s="26"/>
      <c r="K122" s="26"/>
      <c r="L122" s="26"/>
      <c r="M122" s="26"/>
      <c r="N122" s="26"/>
      <c r="O122" s="8">
        <f>IF(A122="","",COUNTIFS('Recipe Ingredients'!$A$5:$A$1204,A122))</f>
        <v>0</v>
      </c>
      <c r="P122" s="8">
        <f>IF(A122="","",SUMIFS('Recipe Ingredients'!$H$5:$H$1204,'Recipe Ingredients'!$A$5:$A$1204,A122))</f>
        <v>0</v>
      </c>
      <c r="Q122" s="8">
        <f>IF(OR(A122="",D122=0,D122=""),"",P122/D122)</f>
        <v>0</v>
      </c>
      <c r="R122" s="8">
        <f>IF(OR(A122="",H122=0,H122=""),"",IFERROR(Q122/H122*1000,""))</f>
        <v>0</v>
      </c>
      <c r="S122" s="8">
        <f>IF(OR(A122="",Q122="",Q122=0),"",IFERROR(H122/Q122,""))</f>
        <v>0</v>
      </c>
      <c r="T122" s="8">
        <f>IF(OR(A122="",Q122="",Q122=0),"",IFERROR(I122/Q122,""))</f>
        <v>0</v>
      </c>
      <c r="U122" s="8">
        <f>IF(OR(A122="",G122="",G122=0),"",IFERROR(H122/G122*10,""))</f>
        <v>0</v>
      </c>
      <c r="V122" s="8">
        <f>IF(A122="","",(AC122="Yes")*1+(AD122="Yes")*1+(AE122="Yes")*1+(AF122="Yes")*1+(AG122="Yes")*1+(AH122="Yes")*1)</f>
        <v>0</v>
      </c>
      <c r="W122" s="8">
        <f>IF(A122="","",COUNTIFS('Meal Plan'!$G$5:$G$504,A122,'Meal Plan'!$S$5:$S$504,"Cooked")+COUNTIFS('Meal Plan'!$G$5:$G$504,A122,'Meal Plan'!$S$5:$S$504,"Eaten"))</f>
        <v>0</v>
      </c>
      <c r="X122" s="8">
        <f>IF(A122="","",IF(SUMPRODUCT(MAX(('Meal Plan'!$G$5:$G$504=A122)*'Meal Plan'!$B$5:$B$504))=0,"",SUMPRODUCT(MAX(('Meal Plan'!$G$5:$G$504=A122)*'Meal Plan'!$B$5:$B$504))))</f>
        <v>0</v>
      </c>
      <c r="Y122" s="8">
        <f>IF(OR(A122="",X122=""),"",TODAY()-X122)</f>
        <v>0</v>
      </c>
      <c r="Z122" s="8">
        <f>IF(A122="","",IF(Y122="","Yes",IF(Y122&gt;=Rotation_Gap_Days,"Yes","No")))</f>
        <v>0</v>
      </c>
      <c r="AA122" s="8">
        <f>IF(A122="","",IF(Z122="No","Too soon",IF(AND(AN122&lt;&gt;"",AN122&gt;=4),"Plan it","Available")))</f>
        <v>0</v>
      </c>
      <c r="AB122" s="27"/>
      <c r="AC122" s="27"/>
      <c r="AD122" s="27"/>
      <c r="AE122" s="27"/>
      <c r="AF122" s="27"/>
      <c r="AG122" s="27"/>
      <c r="AH122" s="27"/>
      <c r="AI122" s="27"/>
      <c r="AJ122" s="27"/>
      <c r="AK122" s="8">
        <f>IF(A122="","",IF(G122&lt;=30,"Yes","No"))</f>
        <v>0</v>
      </c>
      <c r="AL122" s="27"/>
      <c r="AM122" s="30"/>
      <c r="AN122" s="26"/>
      <c r="AO122" s="7"/>
      <c r="AP122" s="7"/>
      <c r="AQ122" s="7"/>
      <c r="AR122" s="25"/>
      <c r="AS122" s="8">
        <f>IF(A122="","",COUNTIFS($H$5:$H$204,"&gt;"&amp;H122)+1)</f>
        <v>0</v>
      </c>
      <c r="AT122" s="8">
        <f>IF(A122="","",COUNTIFS($I$5:$I$204,"&gt;"&amp;I122)+1)</f>
        <v>0</v>
      </c>
      <c r="AU122" s="8">
        <f>IF(A122="","",COUNTIFS($L$5:$L$204,"&gt;"&amp;L122)+1)</f>
        <v>0</v>
      </c>
      <c r="AV122" s="8">
        <f>IF(OR(A122="",Q122=""),"",COUNTIFS($Q$5:$Q$204,"&lt;"&amp;Q122)+1)</f>
        <v>0</v>
      </c>
      <c r="AW122" s="8">
        <f>IF(A122="","",COUNTIFS($V$5:$V$204,"&gt;"&amp;V122)+1)</f>
        <v>0</v>
      </c>
      <c r="AX122" s="8">
        <f>IF(A122="","",COUNTIFS($Y$5:$Y$204,"&lt;"&amp;Y122)+1)</f>
        <v>0</v>
      </c>
      <c r="AY122" s="8">
        <f>IF(A122="","",COUNTIFS($W$5:$W$204,"&gt;"&amp;W122)+1)</f>
        <v>0</v>
      </c>
    </row>
    <row r="123" spans="1:51">
      <c r="A123" s="7"/>
      <c r="B123" s="27"/>
      <c r="C123" s="27"/>
      <c r="D123" s="26"/>
      <c r="E123" s="26"/>
      <c r="F123" s="26"/>
      <c r="G123" s="8">
        <f>IF(A123="","",E123+F123)</f>
        <v>0</v>
      </c>
      <c r="H123" s="26"/>
      <c r="I123" s="26"/>
      <c r="J123" s="26"/>
      <c r="K123" s="26"/>
      <c r="L123" s="26"/>
      <c r="M123" s="26"/>
      <c r="N123" s="26"/>
      <c r="O123" s="8">
        <f>IF(A123="","",COUNTIFS('Recipe Ingredients'!$A$5:$A$1204,A123))</f>
        <v>0</v>
      </c>
      <c r="P123" s="8">
        <f>IF(A123="","",SUMIFS('Recipe Ingredients'!$H$5:$H$1204,'Recipe Ingredients'!$A$5:$A$1204,A123))</f>
        <v>0</v>
      </c>
      <c r="Q123" s="8">
        <f>IF(OR(A123="",D123=0,D123=""),"",P123/D123)</f>
        <v>0</v>
      </c>
      <c r="R123" s="8">
        <f>IF(OR(A123="",H123=0,H123=""),"",IFERROR(Q123/H123*1000,""))</f>
        <v>0</v>
      </c>
      <c r="S123" s="8">
        <f>IF(OR(A123="",Q123="",Q123=0),"",IFERROR(H123/Q123,""))</f>
        <v>0</v>
      </c>
      <c r="T123" s="8">
        <f>IF(OR(A123="",Q123="",Q123=0),"",IFERROR(I123/Q123,""))</f>
        <v>0</v>
      </c>
      <c r="U123" s="8">
        <f>IF(OR(A123="",G123="",G123=0),"",IFERROR(H123/G123*10,""))</f>
        <v>0</v>
      </c>
      <c r="V123" s="8">
        <f>IF(A123="","",(AC123="Yes")*1+(AD123="Yes")*1+(AE123="Yes")*1+(AF123="Yes")*1+(AG123="Yes")*1+(AH123="Yes")*1)</f>
        <v>0</v>
      </c>
      <c r="W123" s="8">
        <f>IF(A123="","",COUNTIFS('Meal Plan'!$G$5:$G$504,A123,'Meal Plan'!$S$5:$S$504,"Cooked")+COUNTIFS('Meal Plan'!$G$5:$G$504,A123,'Meal Plan'!$S$5:$S$504,"Eaten"))</f>
        <v>0</v>
      </c>
      <c r="X123" s="8">
        <f>IF(A123="","",IF(SUMPRODUCT(MAX(('Meal Plan'!$G$5:$G$504=A123)*'Meal Plan'!$B$5:$B$504))=0,"",SUMPRODUCT(MAX(('Meal Plan'!$G$5:$G$504=A123)*'Meal Plan'!$B$5:$B$504))))</f>
        <v>0</v>
      </c>
      <c r="Y123" s="8">
        <f>IF(OR(A123="",X123=""),"",TODAY()-X123)</f>
        <v>0</v>
      </c>
      <c r="Z123" s="8">
        <f>IF(A123="","",IF(Y123="","Yes",IF(Y123&gt;=Rotation_Gap_Days,"Yes","No")))</f>
        <v>0</v>
      </c>
      <c r="AA123" s="8">
        <f>IF(A123="","",IF(Z123="No","Too soon",IF(AND(AN123&lt;&gt;"",AN123&gt;=4),"Plan it","Available")))</f>
        <v>0</v>
      </c>
      <c r="AB123" s="27"/>
      <c r="AC123" s="27"/>
      <c r="AD123" s="27"/>
      <c r="AE123" s="27"/>
      <c r="AF123" s="27"/>
      <c r="AG123" s="27"/>
      <c r="AH123" s="27"/>
      <c r="AI123" s="27"/>
      <c r="AJ123" s="27"/>
      <c r="AK123" s="8">
        <f>IF(A123="","",IF(G123&lt;=30,"Yes","No"))</f>
        <v>0</v>
      </c>
      <c r="AL123" s="27"/>
      <c r="AM123" s="30"/>
      <c r="AN123" s="26"/>
      <c r="AO123" s="7"/>
      <c r="AP123" s="7"/>
      <c r="AQ123" s="7"/>
      <c r="AR123" s="25"/>
      <c r="AS123" s="8">
        <f>IF(A123="","",COUNTIFS($H$5:$H$204,"&gt;"&amp;H123)+1)</f>
        <v>0</v>
      </c>
      <c r="AT123" s="8">
        <f>IF(A123="","",COUNTIFS($I$5:$I$204,"&gt;"&amp;I123)+1)</f>
        <v>0</v>
      </c>
      <c r="AU123" s="8">
        <f>IF(A123="","",COUNTIFS($L$5:$L$204,"&gt;"&amp;L123)+1)</f>
        <v>0</v>
      </c>
      <c r="AV123" s="8">
        <f>IF(OR(A123="",Q123=""),"",COUNTIFS($Q$5:$Q$204,"&lt;"&amp;Q123)+1)</f>
        <v>0</v>
      </c>
      <c r="AW123" s="8">
        <f>IF(A123="","",COUNTIFS($V$5:$V$204,"&gt;"&amp;V123)+1)</f>
        <v>0</v>
      </c>
      <c r="AX123" s="8">
        <f>IF(A123="","",COUNTIFS($Y$5:$Y$204,"&lt;"&amp;Y123)+1)</f>
        <v>0</v>
      </c>
      <c r="AY123" s="8">
        <f>IF(A123="","",COUNTIFS($W$5:$W$204,"&gt;"&amp;W123)+1)</f>
        <v>0</v>
      </c>
    </row>
    <row r="124" spans="1:51">
      <c r="A124" s="7"/>
      <c r="B124" s="27"/>
      <c r="C124" s="27"/>
      <c r="D124" s="26"/>
      <c r="E124" s="26"/>
      <c r="F124" s="26"/>
      <c r="G124" s="8">
        <f>IF(A124="","",E124+F124)</f>
        <v>0</v>
      </c>
      <c r="H124" s="26"/>
      <c r="I124" s="26"/>
      <c r="J124" s="26"/>
      <c r="K124" s="26"/>
      <c r="L124" s="26"/>
      <c r="M124" s="26"/>
      <c r="N124" s="26"/>
      <c r="O124" s="8">
        <f>IF(A124="","",COUNTIFS('Recipe Ingredients'!$A$5:$A$1204,A124))</f>
        <v>0</v>
      </c>
      <c r="P124" s="8">
        <f>IF(A124="","",SUMIFS('Recipe Ingredients'!$H$5:$H$1204,'Recipe Ingredients'!$A$5:$A$1204,A124))</f>
        <v>0</v>
      </c>
      <c r="Q124" s="8">
        <f>IF(OR(A124="",D124=0,D124=""),"",P124/D124)</f>
        <v>0</v>
      </c>
      <c r="R124" s="8">
        <f>IF(OR(A124="",H124=0,H124=""),"",IFERROR(Q124/H124*1000,""))</f>
        <v>0</v>
      </c>
      <c r="S124" s="8">
        <f>IF(OR(A124="",Q124="",Q124=0),"",IFERROR(H124/Q124,""))</f>
        <v>0</v>
      </c>
      <c r="T124" s="8">
        <f>IF(OR(A124="",Q124="",Q124=0),"",IFERROR(I124/Q124,""))</f>
        <v>0</v>
      </c>
      <c r="U124" s="8">
        <f>IF(OR(A124="",G124="",G124=0),"",IFERROR(H124/G124*10,""))</f>
        <v>0</v>
      </c>
      <c r="V124" s="8">
        <f>IF(A124="","",(AC124="Yes")*1+(AD124="Yes")*1+(AE124="Yes")*1+(AF124="Yes")*1+(AG124="Yes")*1+(AH124="Yes")*1)</f>
        <v>0</v>
      </c>
      <c r="W124" s="8">
        <f>IF(A124="","",COUNTIFS('Meal Plan'!$G$5:$G$504,A124,'Meal Plan'!$S$5:$S$504,"Cooked")+COUNTIFS('Meal Plan'!$G$5:$G$504,A124,'Meal Plan'!$S$5:$S$504,"Eaten"))</f>
        <v>0</v>
      </c>
      <c r="X124" s="8">
        <f>IF(A124="","",IF(SUMPRODUCT(MAX(('Meal Plan'!$G$5:$G$504=A124)*'Meal Plan'!$B$5:$B$504))=0,"",SUMPRODUCT(MAX(('Meal Plan'!$G$5:$G$504=A124)*'Meal Plan'!$B$5:$B$504))))</f>
        <v>0</v>
      </c>
      <c r="Y124" s="8">
        <f>IF(OR(A124="",X124=""),"",TODAY()-X124)</f>
        <v>0</v>
      </c>
      <c r="Z124" s="8">
        <f>IF(A124="","",IF(Y124="","Yes",IF(Y124&gt;=Rotation_Gap_Days,"Yes","No")))</f>
        <v>0</v>
      </c>
      <c r="AA124" s="8">
        <f>IF(A124="","",IF(Z124="No","Too soon",IF(AND(AN124&lt;&gt;"",AN124&gt;=4),"Plan it","Available")))</f>
        <v>0</v>
      </c>
      <c r="AB124" s="27"/>
      <c r="AC124" s="27"/>
      <c r="AD124" s="27"/>
      <c r="AE124" s="27"/>
      <c r="AF124" s="27"/>
      <c r="AG124" s="27"/>
      <c r="AH124" s="27"/>
      <c r="AI124" s="27"/>
      <c r="AJ124" s="27"/>
      <c r="AK124" s="8">
        <f>IF(A124="","",IF(G124&lt;=30,"Yes","No"))</f>
        <v>0</v>
      </c>
      <c r="AL124" s="27"/>
      <c r="AM124" s="30"/>
      <c r="AN124" s="26"/>
      <c r="AO124" s="7"/>
      <c r="AP124" s="7"/>
      <c r="AQ124" s="7"/>
      <c r="AR124" s="25"/>
      <c r="AS124" s="8">
        <f>IF(A124="","",COUNTIFS($H$5:$H$204,"&gt;"&amp;H124)+1)</f>
        <v>0</v>
      </c>
      <c r="AT124" s="8">
        <f>IF(A124="","",COUNTIFS($I$5:$I$204,"&gt;"&amp;I124)+1)</f>
        <v>0</v>
      </c>
      <c r="AU124" s="8">
        <f>IF(A124="","",COUNTIFS($L$5:$L$204,"&gt;"&amp;L124)+1)</f>
        <v>0</v>
      </c>
      <c r="AV124" s="8">
        <f>IF(OR(A124="",Q124=""),"",COUNTIFS($Q$5:$Q$204,"&lt;"&amp;Q124)+1)</f>
        <v>0</v>
      </c>
      <c r="AW124" s="8">
        <f>IF(A124="","",COUNTIFS($V$5:$V$204,"&gt;"&amp;V124)+1)</f>
        <v>0</v>
      </c>
      <c r="AX124" s="8">
        <f>IF(A124="","",COUNTIFS($Y$5:$Y$204,"&lt;"&amp;Y124)+1)</f>
        <v>0</v>
      </c>
      <c r="AY124" s="8">
        <f>IF(A124="","",COUNTIFS($W$5:$W$204,"&gt;"&amp;W124)+1)</f>
        <v>0</v>
      </c>
    </row>
    <row r="125" spans="1:51">
      <c r="A125" s="7"/>
      <c r="B125" s="27"/>
      <c r="C125" s="27"/>
      <c r="D125" s="26"/>
      <c r="E125" s="26"/>
      <c r="F125" s="26"/>
      <c r="G125" s="8">
        <f>IF(A125="","",E125+F125)</f>
        <v>0</v>
      </c>
      <c r="H125" s="26"/>
      <c r="I125" s="26"/>
      <c r="J125" s="26"/>
      <c r="K125" s="26"/>
      <c r="L125" s="26"/>
      <c r="M125" s="26"/>
      <c r="N125" s="26"/>
      <c r="O125" s="8">
        <f>IF(A125="","",COUNTIFS('Recipe Ingredients'!$A$5:$A$1204,A125))</f>
        <v>0</v>
      </c>
      <c r="P125" s="8">
        <f>IF(A125="","",SUMIFS('Recipe Ingredients'!$H$5:$H$1204,'Recipe Ingredients'!$A$5:$A$1204,A125))</f>
        <v>0</v>
      </c>
      <c r="Q125" s="8">
        <f>IF(OR(A125="",D125=0,D125=""),"",P125/D125)</f>
        <v>0</v>
      </c>
      <c r="R125" s="8">
        <f>IF(OR(A125="",H125=0,H125=""),"",IFERROR(Q125/H125*1000,""))</f>
        <v>0</v>
      </c>
      <c r="S125" s="8">
        <f>IF(OR(A125="",Q125="",Q125=0),"",IFERROR(H125/Q125,""))</f>
        <v>0</v>
      </c>
      <c r="T125" s="8">
        <f>IF(OR(A125="",Q125="",Q125=0),"",IFERROR(I125/Q125,""))</f>
        <v>0</v>
      </c>
      <c r="U125" s="8">
        <f>IF(OR(A125="",G125="",G125=0),"",IFERROR(H125/G125*10,""))</f>
        <v>0</v>
      </c>
      <c r="V125" s="8">
        <f>IF(A125="","",(AC125="Yes")*1+(AD125="Yes")*1+(AE125="Yes")*1+(AF125="Yes")*1+(AG125="Yes")*1+(AH125="Yes")*1)</f>
        <v>0</v>
      </c>
      <c r="W125" s="8">
        <f>IF(A125="","",COUNTIFS('Meal Plan'!$G$5:$G$504,A125,'Meal Plan'!$S$5:$S$504,"Cooked")+COUNTIFS('Meal Plan'!$G$5:$G$504,A125,'Meal Plan'!$S$5:$S$504,"Eaten"))</f>
        <v>0</v>
      </c>
      <c r="X125" s="8">
        <f>IF(A125="","",IF(SUMPRODUCT(MAX(('Meal Plan'!$G$5:$G$504=A125)*'Meal Plan'!$B$5:$B$504))=0,"",SUMPRODUCT(MAX(('Meal Plan'!$G$5:$G$504=A125)*'Meal Plan'!$B$5:$B$504))))</f>
        <v>0</v>
      </c>
      <c r="Y125" s="8">
        <f>IF(OR(A125="",X125=""),"",TODAY()-X125)</f>
        <v>0</v>
      </c>
      <c r="Z125" s="8">
        <f>IF(A125="","",IF(Y125="","Yes",IF(Y125&gt;=Rotation_Gap_Days,"Yes","No")))</f>
        <v>0</v>
      </c>
      <c r="AA125" s="8">
        <f>IF(A125="","",IF(Z125="No","Too soon",IF(AND(AN125&lt;&gt;"",AN125&gt;=4),"Plan it","Available")))</f>
        <v>0</v>
      </c>
      <c r="AB125" s="27"/>
      <c r="AC125" s="27"/>
      <c r="AD125" s="27"/>
      <c r="AE125" s="27"/>
      <c r="AF125" s="27"/>
      <c r="AG125" s="27"/>
      <c r="AH125" s="27"/>
      <c r="AI125" s="27"/>
      <c r="AJ125" s="27"/>
      <c r="AK125" s="8">
        <f>IF(A125="","",IF(G125&lt;=30,"Yes","No"))</f>
        <v>0</v>
      </c>
      <c r="AL125" s="27"/>
      <c r="AM125" s="30"/>
      <c r="AN125" s="26"/>
      <c r="AO125" s="7"/>
      <c r="AP125" s="7"/>
      <c r="AQ125" s="7"/>
      <c r="AR125" s="25"/>
      <c r="AS125" s="8">
        <f>IF(A125="","",COUNTIFS($H$5:$H$204,"&gt;"&amp;H125)+1)</f>
        <v>0</v>
      </c>
      <c r="AT125" s="8">
        <f>IF(A125="","",COUNTIFS($I$5:$I$204,"&gt;"&amp;I125)+1)</f>
        <v>0</v>
      </c>
      <c r="AU125" s="8">
        <f>IF(A125="","",COUNTIFS($L$5:$L$204,"&gt;"&amp;L125)+1)</f>
        <v>0</v>
      </c>
      <c r="AV125" s="8">
        <f>IF(OR(A125="",Q125=""),"",COUNTIFS($Q$5:$Q$204,"&lt;"&amp;Q125)+1)</f>
        <v>0</v>
      </c>
      <c r="AW125" s="8">
        <f>IF(A125="","",COUNTIFS($V$5:$V$204,"&gt;"&amp;V125)+1)</f>
        <v>0</v>
      </c>
      <c r="AX125" s="8">
        <f>IF(A125="","",COUNTIFS($Y$5:$Y$204,"&lt;"&amp;Y125)+1)</f>
        <v>0</v>
      </c>
      <c r="AY125" s="8">
        <f>IF(A125="","",COUNTIFS($W$5:$W$204,"&gt;"&amp;W125)+1)</f>
        <v>0</v>
      </c>
    </row>
    <row r="126" spans="1:51">
      <c r="A126" s="7"/>
      <c r="B126" s="27"/>
      <c r="C126" s="27"/>
      <c r="D126" s="26"/>
      <c r="E126" s="26"/>
      <c r="F126" s="26"/>
      <c r="G126" s="8">
        <f>IF(A126="","",E126+F126)</f>
        <v>0</v>
      </c>
      <c r="H126" s="26"/>
      <c r="I126" s="26"/>
      <c r="J126" s="26"/>
      <c r="K126" s="26"/>
      <c r="L126" s="26"/>
      <c r="M126" s="26"/>
      <c r="N126" s="26"/>
      <c r="O126" s="8">
        <f>IF(A126="","",COUNTIFS('Recipe Ingredients'!$A$5:$A$1204,A126))</f>
        <v>0</v>
      </c>
      <c r="P126" s="8">
        <f>IF(A126="","",SUMIFS('Recipe Ingredients'!$H$5:$H$1204,'Recipe Ingredients'!$A$5:$A$1204,A126))</f>
        <v>0</v>
      </c>
      <c r="Q126" s="8">
        <f>IF(OR(A126="",D126=0,D126=""),"",P126/D126)</f>
        <v>0</v>
      </c>
      <c r="R126" s="8">
        <f>IF(OR(A126="",H126=0,H126=""),"",IFERROR(Q126/H126*1000,""))</f>
        <v>0</v>
      </c>
      <c r="S126" s="8">
        <f>IF(OR(A126="",Q126="",Q126=0),"",IFERROR(H126/Q126,""))</f>
        <v>0</v>
      </c>
      <c r="T126" s="8">
        <f>IF(OR(A126="",Q126="",Q126=0),"",IFERROR(I126/Q126,""))</f>
        <v>0</v>
      </c>
      <c r="U126" s="8">
        <f>IF(OR(A126="",G126="",G126=0),"",IFERROR(H126/G126*10,""))</f>
        <v>0</v>
      </c>
      <c r="V126" s="8">
        <f>IF(A126="","",(AC126="Yes")*1+(AD126="Yes")*1+(AE126="Yes")*1+(AF126="Yes")*1+(AG126="Yes")*1+(AH126="Yes")*1)</f>
        <v>0</v>
      </c>
      <c r="W126" s="8">
        <f>IF(A126="","",COUNTIFS('Meal Plan'!$G$5:$G$504,A126,'Meal Plan'!$S$5:$S$504,"Cooked")+COUNTIFS('Meal Plan'!$G$5:$G$504,A126,'Meal Plan'!$S$5:$S$504,"Eaten"))</f>
        <v>0</v>
      </c>
      <c r="X126" s="8">
        <f>IF(A126="","",IF(SUMPRODUCT(MAX(('Meal Plan'!$G$5:$G$504=A126)*'Meal Plan'!$B$5:$B$504))=0,"",SUMPRODUCT(MAX(('Meal Plan'!$G$5:$G$504=A126)*'Meal Plan'!$B$5:$B$504))))</f>
        <v>0</v>
      </c>
      <c r="Y126" s="8">
        <f>IF(OR(A126="",X126=""),"",TODAY()-X126)</f>
        <v>0</v>
      </c>
      <c r="Z126" s="8">
        <f>IF(A126="","",IF(Y126="","Yes",IF(Y126&gt;=Rotation_Gap_Days,"Yes","No")))</f>
        <v>0</v>
      </c>
      <c r="AA126" s="8">
        <f>IF(A126="","",IF(Z126="No","Too soon",IF(AND(AN126&lt;&gt;"",AN126&gt;=4),"Plan it","Available")))</f>
        <v>0</v>
      </c>
      <c r="AB126" s="27"/>
      <c r="AC126" s="27"/>
      <c r="AD126" s="27"/>
      <c r="AE126" s="27"/>
      <c r="AF126" s="27"/>
      <c r="AG126" s="27"/>
      <c r="AH126" s="27"/>
      <c r="AI126" s="27"/>
      <c r="AJ126" s="27"/>
      <c r="AK126" s="8">
        <f>IF(A126="","",IF(G126&lt;=30,"Yes","No"))</f>
        <v>0</v>
      </c>
      <c r="AL126" s="27"/>
      <c r="AM126" s="30"/>
      <c r="AN126" s="26"/>
      <c r="AO126" s="7"/>
      <c r="AP126" s="7"/>
      <c r="AQ126" s="7"/>
      <c r="AR126" s="25"/>
      <c r="AS126" s="8">
        <f>IF(A126="","",COUNTIFS($H$5:$H$204,"&gt;"&amp;H126)+1)</f>
        <v>0</v>
      </c>
      <c r="AT126" s="8">
        <f>IF(A126="","",COUNTIFS($I$5:$I$204,"&gt;"&amp;I126)+1)</f>
        <v>0</v>
      </c>
      <c r="AU126" s="8">
        <f>IF(A126="","",COUNTIFS($L$5:$L$204,"&gt;"&amp;L126)+1)</f>
        <v>0</v>
      </c>
      <c r="AV126" s="8">
        <f>IF(OR(A126="",Q126=""),"",COUNTIFS($Q$5:$Q$204,"&lt;"&amp;Q126)+1)</f>
        <v>0</v>
      </c>
      <c r="AW126" s="8">
        <f>IF(A126="","",COUNTIFS($V$5:$V$204,"&gt;"&amp;V126)+1)</f>
        <v>0</v>
      </c>
      <c r="AX126" s="8">
        <f>IF(A126="","",COUNTIFS($Y$5:$Y$204,"&lt;"&amp;Y126)+1)</f>
        <v>0</v>
      </c>
      <c r="AY126" s="8">
        <f>IF(A126="","",COUNTIFS($W$5:$W$204,"&gt;"&amp;W126)+1)</f>
        <v>0</v>
      </c>
    </row>
    <row r="127" spans="1:51">
      <c r="A127" s="7"/>
      <c r="B127" s="27"/>
      <c r="C127" s="27"/>
      <c r="D127" s="26"/>
      <c r="E127" s="26"/>
      <c r="F127" s="26"/>
      <c r="G127" s="8">
        <f>IF(A127="","",E127+F127)</f>
        <v>0</v>
      </c>
      <c r="H127" s="26"/>
      <c r="I127" s="26"/>
      <c r="J127" s="26"/>
      <c r="K127" s="26"/>
      <c r="L127" s="26"/>
      <c r="M127" s="26"/>
      <c r="N127" s="26"/>
      <c r="O127" s="8">
        <f>IF(A127="","",COUNTIFS('Recipe Ingredients'!$A$5:$A$1204,A127))</f>
        <v>0</v>
      </c>
      <c r="P127" s="8">
        <f>IF(A127="","",SUMIFS('Recipe Ingredients'!$H$5:$H$1204,'Recipe Ingredients'!$A$5:$A$1204,A127))</f>
        <v>0</v>
      </c>
      <c r="Q127" s="8">
        <f>IF(OR(A127="",D127=0,D127=""),"",P127/D127)</f>
        <v>0</v>
      </c>
      <c r="R127" s="8">
        <f>IF(OR(A127="",H127=0,H127=""),"",IFERROR(Q127/H127*1000,""))</f>
        <v>0</v>
      </c>
      <c r="S127" s="8">
        <f>IF(OR(A127="",Q127="",Q127=0),"",IFERROR(H127/Q127,""))</f>
        <v>0</v>
      </c>
      <c r="T127" s="8">
        <f>IF(OR(A127="",Q127="",Q127=0),"",IFERROR(I127/Q127,""))</f>
        <v>0</v>
      </c>
      <c r="U127" s="8">
        <f>IF(OR(A127="",G127="",G127=0),"",IFERROR(H127/G127*10,""))</f>
        <v>0</v>
      </c>
      <c r="V127" s="8">
        <f>IF(A127="","",(AC127="Yes")*1+(AD127="Yes")*1+(AE127="Yes")*1+(AF127="Yes")*1+(AG127="Yes")*1+(AH127="Yes")*1)</f>
        <v>0</v>
      </c>
      <c r="W127" s="8">
        <f>IF(A127="","",COUNTIFS('Meal Plan'!$G$5:$G$504,A127,'Meal Plan'!$S$5:$S$504,"Cooked")+COUNTIFS('Meal Plan'!$G$5:$G$504,A127,'Meal Plan'!$S$5:$S$504,"Eaten"))</f>
        <v>0</v>
      </c>
      <c r="X127" s="8">
        <f>IF(A127="","",IF(SUMPRODUCT(MAX(('Meal Plan'!$G$5:$G$504=A127)*'Meal Plan'!$B$5:$B$504))=0,"",SUMPRODUCT(MAX(('Meal Plan'!$G$5:$G$504=A127)*'Meal Plan'!$B$5:$B$504))))</f>
        <v>0</v>
      </c>
      <c r="Y127" s="8">
        <f>IF(OR(A127="",X127=""),"",TODAY()-X127)</f>
        <v>0</v>
      </c>
      <c r="Z127" s="8">
        <f>IF(A127="","",IF(Y127="","Yes",IF(Y127&gt;=Rotation_Gap_Days,"Yes","No")))</f>
        <v>0</v>
      </c>
      <c r="AA127" s="8">
        <f>IF(A127="","",IF(Z127="No","Too soon",IF(AND(AN127&lt;&gt;"",AN127&gt;=4),"Plan it","Available")))</f>
        <v>0</v>
      </c>
      <c r="AB127" s="27"/>
      <c r="AC127" s="27"/>
      <c r="AD127" s="27"/>
      <c r="AE127" s="27"/>
      <c r="AF127" s="27"/>
      <c r="AG127" s="27"/>
      <c r="AH127" s="27"/>
      <c r="AI127" s="27"/>
      <c r="AJ127" s="27"/>
      <c r="AK127" s="8">
        <f>IF(A127="","",IF(G127&lt;=30,"Yes","No"))</f>
        <v>0</v>
      </c>
      <c r="AL127" s="27"/>
      <c r="AM127" s="30"/>
      <c r="AN127" s="26"/>
      <c r="AO127" s="7"/>
      <c r="AP127" s="7"/>
      <c r="AQ127" s="7"/>
      <c r="AR127" s="25"/>
      <c r="AS127" s="8">
        <f>IF(A127="","",COUNTIFS($H$5:$H$204,"&gt;"&amp;H127)+1)</f>
        <v>0</v>
      </c>
      <c r="AT127" s="8">
        <f>IF(A127="","",COUNTIFS($I$5:$I$204,"&gt;"&amp;I127)+1)</f>
        <v>0</v>
      </c>
      <c r="AU127" s="8">
        <f>IF(A127="","",COUNTIFS($L$5:$L$204,"&gt;"&amp;L127)+1)</f>
        <v>0</v>
      </c>
      <c r="AV127" s="8">
        <f>IF(OR(A127="",Q127=""),"",COUNTIFS($Q$5:$Q$204,"&lt;"&amp;Q127)+1)</f>
        <v>0</v>
      </c>
      <c r="AW127" s="8">
        <f>IF(A127="","",COUNTIFS($V$5:$V$204,"&gt;"&amp;V127)+1)</f>
        <v>0</v>
      </c>
      <c r="AX127" s="8">
        <f>IF(A127="","",COUNTIFS($Y$5:$Y$204,"&lt;"&amp;Y127)+1)</f>
        <v>0</v>
      </c>
      <c r="AY127" s="8">
        <f>IF(A127="","",COUNTIFS($W$5:$W$204,"&gt;"&amp;W127)+1)</f>
        <v>0</v>
      </c>
    </row>
    <row r="128" spans="1:51">
      <c r="A128" s="7"/>
      <c r="B128" s="27"/>
      <c r="C128" s="27"/>
      <c r="D128" s="26"/>
      <c r="E128" s="26"/>
      <c r="F128" s="26"/>
      <c r="G128" s="8">
        <f>IF(A128="","",E128+F128)</f>
        <v>0</v>
      </c>
      <c r="H128" s="26"/>
      <c r="I128" s="26"/>
      <c r="J128" s="26"/>
      <c r="K128" s="26"/>
      <c r="L128" s="26"/>
      <c r="M128" s="26"/>
      <c r="N128" s="26"/>
      <c r="O128" s="8">
        <f>IF(A128="","",COUNTIFS('Recipe Ingredients'!$A$5:$A$1204,A128))</f>
        <v>0</v>
      </c>
      <c r="P128" s="8">
        <f>IF(A128="","",SUMIFS('Recipe Ingredients'!$H$5:$H$1204,'Recipe Ingredients'!$A$5:$A$1204,A128))</f>
        <v>0</v>
      </c>
      <c r="Q128" s="8">
        <f>IF(OR(A128="",D128=0,D128=""),"",P128/D128)</f>
        <v>0</v>
      </c>
      <c r="R128" s="8">
        <f>IF(OR(A128="",H128=0,H128=""),"",IFERROR(Q128/H128*1000,""))</f>
        <v>0</v>
      </c>
      <c r="S128" s="8">
        <f>IF(OR(A128="",Q128="",Q128=0),"",IFERROR(H128/Q128,""))</f>
        <v>0</v>
      </c>
      <c r="T128" s="8">
        <f>IF(OR(A128="",Q128="",Q128=0),"",IFERROR(I128/Q128,""))</f>
        <v>0</v>
      </c>
      <c r="U128" s="8">
        <f>IF(OR(A128="",G128="",G128=0),"",IFERROR(H128/G128*10,""))</f>
        <v>0</v>
      </c>
      <c r="V128" s="8">
        <f>IF(A128="","",(AC128="Yes")*1+(AD128="Yes")*1+(AE128="Yes")*1+(AF128="Yes")*1+(AG128="Yes")*1+(AH128="Yes")*1)</f>
        <v>0</v>
      </c>
      <c r="W128" s="8">
        <f>IF(A128="","",COUNTIFS('Meal Plan'!$G$5:$G$504,A128,'Meal Plan'!$S$5:$S$504,"Cooked")+COUNTIFS('Meal Plan'!$G$5:$G$504,A128,'Meal Plan'!$S$5:$S$504,"Eaten"))</f>
        <v>0</v>
      </c>
      <c r="X128" s="8">
        <f>IF(A128="","",IF(SUMPRODUCT(MAX(('Meal Plan'!$G$5:$G$504=A128)*'Meal Plan'!$B$5:$B$504))=0,"",SUMPRODUCT(MAX(('Meal Plan'!$G$5:$G$504=A128)*'Meal Plan'!$B$5:$B$504))))</f>
        <v>0</v>
      </c>
      <c r="Y128" s="8">
        <f>IF(OR(A128="",X128=""),"",TODAY()-X128)</f>
        <v>0</v>
      </c>
      <c r="Z128" s="8">
        <f>IF(A128="","",IF(Y128="","Yes",IF(Y128&gt;=Rotation_Gap_Days,"Yes","No")))</f>
        <v>0</v>
      </c>
      <c r="AA128" s="8">
        <f>IF(A128="","",IF(Z128="No","Too soon",IF(AND(AN128&lt;&gt;"",AN128&gt;=4),"Plan it","Available")))</f>
        <v>0</v>
      </c>
      <c r="AB128" s="27"/>
      <c r="AC128" s="27"/>
      <c r="AD128" s="27"/>
      <c r="AE128" s="27"/>
      <c r="AF128" s="27"/>
      <c r="AG128" s="27"/>
      <c r="AH128" s="27"/>
      <c r="AI128" s="27"/>
      <c r="AJ128" s="27"/>
      <c r="AK128" s="8">
        <f>IF(A128="","",IF(G128&lt;=30,"Yes","No"))</f>
        <v>0</v>
      </c>
      <c r="AL128" s="27"/>
      <c r="AM128" s="30"/>
      <c r="AN128" s="26"/>
      <c r="AO128" s="7"/>
      <c r="AP128" s="7"/>
      <c r="AQ128" s="7"/>
      <c r="AR128" s="25"/>
      <c r="AS128" s="8">
        <f>IF(A128="","",COUNTIFS($H$5:$H$204,"&gt;"&amp;H128)+1)</f>
        <v>0</v>
      </c>
      <c r="AT128" s="8">
        <f>IF(A128="","",COUNTIFS($I$5:$I$204,"&gt;"&amp;I128)+1)</f>
        <v>0</v>
      </c>
      <c r="AU128" s="8">
        <f>IF(A128="","",COUNTIFS($L$5:$L$204,"&gt;"&amp;L128)+1)</f>
        <v>0</v>
      </c>
      <c r="AV128" s="8">
        <f>IF(OR(A128="",Q128=""),"",COUNTIFS($Q$5:$Q$204,"&lt;"&amp;Q128)+1)</f>
        <v>0</v>
      </c>
      <c r="AW128" s="8">
        <f>IF(A128="","",COUNTIFS($V$5:$V$204,"&gt;"&amp;V128)+1)</f>
        <v>0</v>
      </c>
      <c r="AX128" s="8">
        <f>IF(A128="","",COUNTIFS($Y$5:$Y$204,"&lt;"&amp;Y128)+1)</f>
        <v>0</v>
      </c>
      <c r="AY128" s="8">
        <f>IF(A128="","",COUNTIFS($W$5:$W$204,"&gt;"&amp;W128)+1)</f>
        <v>0</v>
      </c>
    </row>
    <row r="129" spans="1:51">
      <c r="A129" s="7"/>
      <c r="B129" s="27"/>
      <c r="C129" s="27"/>
      <c r="D129" s="26"/>
      <c r="E129" s="26"/>
      <c r="F129" s="26"/>
      <c r="G129" s="8">
        <f>IF(A129="","",E129+F129)</f>
        <v>0</v>
      </c>
      <c r="H129" s="26"/>
      <c r="I129" s="26"/>
      <c r="J129" s="26"/>
      <c r="K129" s="26"/>
      <c r="L129" s="26"/>
      <c r="M129" s="26"/>
      <c r="N129" s="26"/>
      <c r="O129" s="8">
        <f>IF(A129="","",COUNTIFS('Recipe Ingredients'!$A$5:$A$1204,A129))</f>
        <v>0</v>
      </c>
      <c r="P129" s="8">
        <f>IF(A129="","",SUMIFS('Recipe Ingredients'!$H$5:$H$1204,'Recipe Ingredients'!$A$5:$A$1204,A129))</f>
        <v>0</v>
      </c>
      <c r="Q129" s="8">
        <f>IF(OR(A129="",D129=0,D129=""),"",P129/D129)</f>
        <v>0</v>
      </c>
      <c r="R129" s="8">
        <f>IF(OR(A129="",H129=0,H129=""),"",IFERROR(Q129/H129*1000,""))</f>
        <v>0</v>
      </c>
      <c r="S129" s="8">
        <f>IF(OR(A129="",Q129="",Q129=0),"",IFERROR(H129/Q129,""))</f>
        <v>0</v>
      </c>
      <c r="T129" s="8">
        <f>IF(OR(A129="",Q129="",Q129=0),"",IFERROR(I129/Q129,""))</f>
        <v>0</v>
      </c>
      <c r="U129" s="8">
        <f>IF(OR(A129="",G129="",G129=0),"",IFERROR(H129/G129*10,""))</f>
        <v>0</v>
      </c>
      <c r="V129" s="8">
        <f>IF(A129="","",(AC129="Yes")*1+(AD129="Yes")*1+(AE129="Yes")*1+(AF129="Yes")*1+(AG129="Yes")*1+(AH129="Yes")*1)</f>
        <v>0</v>
      </c>
      <c r="W129" s="8">
        <f>IF(A129="","",COUNTIFS('Meal Plan'!$G$5:$G$504,A129,'Meal Plan'!$S$5:$S$504,"Cooked")+COUNTIFS('Meal Plan'!$G$5:$G$504,A129,'Meal Plan'!$S$5:$S$504,"Eaten"))</f>
        <v>0</v>
      </c>
      <c r="X129" s="8">
        <f>IF(A129="","",IF(SUMPRODUCT(MAX(('Meal Plan'!$G$5:$G$504=A129)*'Meal Plan'!$B$5:$B$504))=0,"",SUMPRODUCT(MAX(('Meal Plan'!$G$5:$G$504=A129)*'Meal Plan'!$B$5:$B$504))))</f>
        <v>0</v>
      </c>
      <c r="Y129" s="8">
        <f>IF(OR(A129="",X129=""),"",TODAY()-X129)</f>
        <v>0</v>
      </c>
      <c r="Z129" s="8">
        <f>IF(A129="","",IF(Y129="","Yes",IF(Y129&gt;=Rotation_Gap_Days,"Yes","No")))</f>
        <v>0</v>
      </c>
      <c r="AA129" s="8">
        <f>IF(A129="","",IF(Z129="No","Too soon",IF(AND(AN129&lt;&gt;"",AN129&gt;=4),"Plan it","Available")))</f>
        <v>0</v>
      </c>
      <c r="AB129" s="27"/>
      <c r="AC129" s="27"/>
      <c r="AD129" s="27"/>
      <c r="AE129" s="27"/>
      <c r="AF129" s="27"/>
      <c r="AG129" s="27"/>
      <c r="AH129" s="27"/>
      <c r="AI129" s="27"/>
      <c r="AJ129" s="27"/>
      <c r="AK129" s="8">
        <f>IF(A129="","",IF(G129&lt;=30,"Yes","No"))</f>
        <v>0</v>
      </c>
      <c r="AL129" s="27"/>
      <c r="AM129" s="30"/>
      <c r="AN129" s="26"/>
      <c r="AO129" s="7"/>
      <c r="AP129" s="7"/>
      <c r="AQ129" s="7"/>
      <c r="AR129" s="25"/>
      <c r="AS129" s="8">
        <f>IF(A129="","",COUNTIFS($H$5:$H$204,"&gt;"&amp;H129)+1)</f>
        <v>0</v>
      </c>
      <c r="AT129" s="8">
        <f>IF(A129="","",COUNTIFS($I$5:$I$204,"&gt;"&amp;I129)+1)</f>
        <v>0</v>
      </c>
      <c r="AU129" s="8">
        <f>IF(A129="","",COUNTIFS($L$5:$L$204,"&gt;"&amp;L129)+1)</f>
        <v>0</v>
      </c>
      <c r="AV129" s="8">
        <f>IF(OR(A129="",Q129=""),"",COUNTIFS($Q$5:$Q$204,"&lt;"&amp;Q129)+1)</f>
        <v>0</v>
      </c>
      <c r="AW129" s="8">
        <f>IF(A129="","",COUNTIFS($V$5:$V$204,"&gt;"&amp;V129)+1)</f>
        <v>0</v>
      </c>
      <c r="AX129" s="8">
        <f>IF(A129="","",COUNTIFS($Y$5:$Y$204,"&lt;"&amp;Y129)+1)</f>
        <v>0</v>
      </c>
      <c r="AY129" s="8">
        <f>IF(A129="","",COUNTIFS($W$5:$W$204,"&gt;"&amp;W129)+1)</f>
        <v>0</v>
      </c>
    </row>
    <row r="130" spans="1:51">
      <c r="A130" s="7"/>
      <c r="B130" s="27"/>
      <c r="C130" s="27"/>
      <c r="D130" s="26"/>
      <c r="E130" s="26"/>
      <c r="F130" s="26"/>
      <c r="G130" s="8">
        <f>IF(A130="","",E130+F130)</f>
        <v>0</v>
      </c>
      <c r="H130" s="26"/>
      <c r="I130" s="26"/>
      <c r="J130" s="26"/>
      <c r="K130" s="26"/>
      <c r="L130" s="26"/>
      <c r="M130" s="26"/>
      <c r="N130" s="26"/>
      <c r="O130" s="8">
        <f>IF(A130="","",COUNTIFS('Recipe Ingredients'!$A$5:$A$1204,A130))</f>
        <v>0</v>
      </c>
      <c r="P130" s="8">
        <f>IF(A130="","",SUMIFS('Recipe Ingredients'!$H$5:$H$1204,'Recipe Ingredients'!$A$5:$A$1204,A130))</f>
        <v>0</v>
      </c>
      <c r="Q130" s="8">
        <f>IF(OR(A130="",D130=0,D130=""),"",P130/D130)</f>
        <v>0</v>
      </c>
      <c r="R130" s="8">
        <f>IF(OR(A130="",H130=0,H130=""),"",IFERROR(Q130/H130*1000,""))</f>
        <v>0</v>
      </c>
      <c r="S130" s="8">
        <f>IF(OR(A130="",Q130="",Q130=0),"",IFERROR(H130/Q130,""))</f>
        <v>0</v>
      </c>
      <c r="T130" s="8">
        <f>IF(OR(A130="",Q130="",Q130=0),"",IFERROR(I130/Q130,""))</f>
        <v>0</v>
      </c>
      <c r="U130" s="8">
        <f>IF(OR(A130="",G130="",G130=0),"",IFERROR(H130/G130*10,""))</f>
        <v>0</v>
      </c>
      <c r="V130" s="8">
        <f>IF(A130="","",(AC130="Yes")*1+(AD130="Yes")*1+(AE130="Yes")*1+(AF130="Yes")*1+(AG130="Yes")*1+(AH130="Yes")*1)</f>
        <v>0</v>
      </c>
      <c r="W130" s="8">
        <f>IF(A130="","",COUNTIFS('Meal Plan'!$G$5:$G$504,A130,'Meal Plan'!$S$5:$S$504,"Cooked")+COUNTIFS('Meal Plan'!$G$5:$G$504,A130,'Meal Plan'!$S$5:$S$504,"Eaten"))</f>
        <v>0</v>
      </c>
      <c r="X130" s="8">
        <f>IF(A130="","",IF(SUMPRODUCT(MAX(('Meal Plan'!$G$5:$G$504=A130)*'Meal Plan'!$B$5:$B$504))=0,"",SUMPRODUCT(MAX(('Meal Plan'!$G$5:$G$504=A130)*'Meal Plan'!$B$5:$B$504))))</f>
        <v>0</v>
      </c>
      <c r="Y130" s="8">
        <f>IF(OR(A130="",X130=""),"",TODAY()-X130)</f>
        <v>0</v>
      </c>
      <c r="Z130" s="8">
        <f>IF(A130="","",IF(Y130="","Yes",IF(Y130&gt;=Rotation_Gap_Days,"Yes","No")))</f>
        <v>0</v>
      </c>
      <c r="AA130" s="8">
        <f>IF(A130="","",IF(Z130="No","Too soon",IF(AND(AN130&lt;&gt;"",AN130&gt;=4),"Plan it","Available")))</f>
        <v>0</v>
      </c>
      <c r="AB130" s="27"/>
      <c r="AC130" s="27"/>
      <c r="AD130" s="27"/>
      <c r="AE130" s="27"/>
      <c r="AF130" s="27"/>
      <c r="AG130" s="27"/>
      <c r="AH130" s="27"/>
      <c r="AI130" s="27"/>
      <c r="AJ130" s="27"/>
      <c r="AK130" s="8">
        <f>IF(A130="","",IF(G130&lt;=30,"Yes","No"))</f>
        <v>0</v>
      </c>
      <c r="AL130" s="27"/>
      <c r="AM130" s="30"/>
      <c r="AN130" s="26"/>
      <c r="AO130" s="7"/>
      <c r="AP130" s="7"/>
      <c r="AQ130" s="7"/>
      <c r="AR130" s="25"/>
      <c r="AS130" s="8">
        <f>IF(A130="","",COUNTIFS($H$5:$H$204,"&gt;"&amp;H130)+1)</f>
        <v>0</v>
      </c>
      <c r="AT130" s="8">
        <f>IF(A130="","",COUNTIFS($I$5:$I$204,"&gt;"&amp;I130)+1)</f>
        <v>0</v>
      </c>
      <c r="AU130" s="8">
        <f>IF(A130="","",COUNTIFS($L$5:$L$204,"&gt;"&amp;L130)+1)</f>
        <v>0</v>
      </c>
      <c r="AV130" s="8">
        <f>IF(OR(A130="",Q130=""),"",COUNTIFS($Q$5:$Q$204,"&lt;"&amp;Q130)+1)</f>
        <v>0</v>
      </c>
      <c r="AW130" s="8">
        <f>IF(A130="","",COUNTIFS($V$5:$V$204,"&gt;"&amp;V130)+1)</f>
        <v>0</v>
      </c>
      <c r="AX130" s="8">
        <f>IF(A130="","",COUNTIFS($Y$5:$Y$204,"&lt;"&amp;Y130)+1)</f>
        <v>0</v>
      </c>
      <c r="AY130" s="8">
        <f>IF(A130="","",COUNTIFS($W$5:$W$204,"&gt;"&amp;W130)+1)</f>
        <v>0</v>
      </c>
    </row>
    <row r="131" spans="1:51">
      <c r="A131" s="7"/>
      <c r="B131" s="27"/>
      <c r="C131" s="27"/>
      <c r="D131" s="26"/>
      <c r="E131" s="26"/>
      <c r="F131" s="26"/>
      <c r="G131" s="8">
        <f>IF(A131="","",E131+F131)</f>
        <v>0</v>
      </c>
      <c r="H131" s="26"/>
      <c r="I131" s="26"/>
      <c r="J131" s="26"/>
      <c r="K131" s="26"/>
      <c r="L131" s="26"/>
      <c r="M131" s="26"/>
      <c r="N131" s="26"/>
      <c r="O131" s="8">
        <f>IF(A131="","",COUNTIFS('Recipe Ingredients'!$A$5:$A$1204,A131))</f>
        <v>0</v>
      </c>
      <c r="P131" s="8">
        <f>IF(A131="","",SUMIFS('Recipe Ingredients'!$H$5:$H$1204,'Recipe Ingredients'!$A$5:$A$1204,A131))</f>
        <v>0</v>
      </c>
      <c r="Q131" s="8">
        <f>IF(OR(A131="",D131=0,D131=""),"",P131/D131)</f>
        <v>0</v>
      </c>
      <c r="R131" s="8">
        <f>IF(OR(A131="",H131=0,H131=""),"",IFERROR(Q131/H131*1000,""))</f>
        <v>0</v>
      </c>
      <c r="S131" s="8">
        <f>IF(OR(A131="",Q131="",Q131=0),"",IFERROR(H131/Q131,""))</f>
        <v>0</v>
      </c>
      <c r="T131" s="8">
        <f>IF(OR(A131="",Q131="",Q131=0),"",IFERROR(I131/Q131,""))</f>
        <v>0</v>
      </c>
      <c r="U131" s="8">
        <f>IF(OR(A131="",G131="",G131=0),"",IFERROR(H131/G131*10,""))</f>
        <v>0</v>
      </c>
      <c r="V131" s="8">
        <f>IF(A131="","",(AC131="Yes")*1+(AD131="Yes")*1+(AE131="Yes")*1+(AF131="Yes")*1+(AG131="Yes")*1+(AH131="Yes")*1)</f>
        <v>0</v>
      </c>
      <c r="W131" s="8">
        <f>IF(A131="","",COUNTIFS('Meal Plan'!$G$5:$G$504,A131,'Meal Plan'!$S$5:$S$504,"Cooked")+COUNTIFS('Meal Plan'!$G$5:$G$504,A131,'Meal Plan'!$S$5:$S$504,"Eaten"))</f>
        <v>0</v>
      </c>
      <c r="X131" s="8">
        <f>IF(A131="","",IF(SUMPRODUCT(MAX(('Meal Plan'!$G$5:$G$504=A131)*'Meal Plan'!$B$5:$B$504))=0,"",SUMPRODUCT(MAX(('Meal Plan'!$G$5:$G$504=A131)*'Meal Plan'!$B$5:$B$504))))</f>
        <v>0</v>
      </c>
      <c r="Y131" s="8">
        <f>IF(OR(A131="",X131=""),"",TODAY()-X131)</f>
        <v>0</v>
      </c>
      <c r="Z131" s="8">
        <f>IF(A131="","",IF(Y131="","Yes",IF(Y131&gt;=Rotation_Gap_Days,"Yes","No")))</f>
        <v>0</v>
      </c>
      <c r="AA131" s="8">
        <f>IF(A131="","",IF(Z131="No","Too soon",IF(AND(AN131&lt;&gt;"",AN131&gt;=4),"Plan it","Available")))</f>
        <v>0</v>
      </c>
      <c r="AB131" s="27"/>
      <c r="AC131" s="27"/>
      <c r="AD131" s="27"/>
      <c r="AE131" s="27"/>
      <c r="AF131" s="27"/>
      <c r="AG131" s="27"/>
      <c r="AH131" s="27"/>
      <c r="AI131" s="27"/>
      <c r="AJ131" s="27"/>
      <c r="AK131" s="8">
        <f>IF(A131="","",IF(G131&lt;=30,"Yes","No"))</f>
        <v>0</v>
      </c>
      <c r="AL131" s="27"/>
      <c r="AM131" s="30"/>
      <c r="AN131" s="26"/>
      <c r="AO131" s="7"/>
      <c r="AP131" s="7"/>
      <c r="AQ131" s="7"/>
      <c r="AR131" s="25"/>
      <c r="AS131" s="8">
        <f>IF(A131="","",COUNTIFS($H$5:$H$204,"&gt;"&amp;H131)+1)</f>
        <v>0</v>
      </c>
      <c r="AT131" s="8">
        <f>IF(A131="","",COUNTIFS($I$5:$I$204,"&gt;"&amp;I131)+1)</f>
        <v>0</v>
      </c>
      <c r="AU131" s="8">
        <f>IF(A131="","",COUNTIFS($L$5:$L$204,"&gt;"&amp;L131)+1)</f>
        <v>0</v>
      </c>
      <c r="AV131" s="8">
        <f>IF(OR(A131="",Q131=""),"",COUNTIFS($Q$5:$Q$204,"&lt;"&amp;Q131)+1)</f>
        <v>0</v>
      </c>
      <c r="AW131" s="8">
        <f>IF(A131="","",COUNTIFS($V$5:$V$204,"&gt;"&amp;V131)+1)</f>
        <v>0</v>
      </c>
      <c r="AX131" s="8">
        <f>IF(A131="","",COUNTIFS($Y$5:$Y$204,"&lt;"&amp;Y131)+1)</f>
        <v>0</v>
      </c>
      <c r="AY131" s="8">
        <f>IF(A131="","",COUNTIFS($W$5:$W$204,"&gt;"&amp;W131)+1)</f>
        <v>0</v>
      </c>
    </row>
    <row r="132" spans="1:51">
      <c r="A132" s="7"/>
      <c r="B132" s="27"/>
      <c r="C132" s="27"/>
      <c r="D132" s="26"/>
      <c r="E132" s="26"/>
      <c r="F132" s="26"/>
      <c r="G132" s="8">
        <f>IF(A132="","",E132+F132)</f>
        <v>0</v>
      </c>
      <c r="H132" s="26"/>
      <c r="I132" s="26"/>
      <c r="J132" s="26"/>
      <c r="K132" s="26"/>
      <c r="L132" s="26"/>
      <c r="M132" s="26"/>
      <c r="N132" s="26"/>
      <c r="O132" s="8">
        <f>IF(A132="","",COUNTIFS('Recipe Ingredients'!$A$5:$A$1204,A132))</f>
        <v>0</v>
      </c>
      <c r="P132" s="8">
        <f>IF(A132="","",SUMIFS('Recipe Ingredients'!$H$5:$H$1204,'Recipe Ingredients'!$A$5:$A$1204,A132))</f>
        <v>0</v>
      </c>
      <c r="Q132" s="8">
        <f>IF(OR(A132="",D132=0,D132=""),"",P132/D132)</f>
        <v>0</v>
      </c>
      <c r="R132" s="8">
        <f>IF(OR(A132="",H132=0,H132=""),"",IFERROR(Q132/H132*1000,""))</f>
        <v>0</v>
      </c>
      <c r="S132" s="8">
        <f>IF(OR(A132="",Q132="",Q132=0),"",IFERROR(H132/Q132,""))</f>
        <v>0</v>
      </c>
      <c r="T132" s="8">
        <f>IF(OR(A132="",Q132="",Q132=0),"",IFERROR(I132/Q132,""))</f>
        <v>0</v>
      </c>
      <c r="U132" s="8">
        <f>IF(OR(A132="",G132="",G132=0),"",IFERROR(H132/G132*10,""))</f>
        <v>0</v>
      </c>
      <c r="V132" s="8">
        <f>IF(A132="","",(AC132="Yes")*1+(AD132="Yes")*1+(AE132="Yes")*1+(AF132="Yes")*1+(AG132="Yes")*1+(AH132="Yes")*1)</f>
        <v>0</v>
      </c>
      <c r="W132" s="8">
        <f>IF(A132="","",COUNTIFS('Meal Plan'!$G$5:$G$504,A132,'Meal Plan'!$S$5:$S$504,"Cooked")+COUNTIFS('Meal Plan'!$G$5:$G$504,A132,'Meal Plan'!$S$5:$S$504,"Eaten"))</f>
        <v>0</v>
      </c>
      <c r="X132" s="8">
        <f>IF(A132="","",IF(SUMPRODUCT(MAX(('Meal Plan'!$G$5:$G$504=A132)*'Meal Plan'!$B$5:$B$504))=0,"",SUMPRODUCT(MAX(('Meal Plan'!$G$5:$G$504=A132)*'Meal Plan'!$B$5:$B$504))))</f>
        <v>0</v>
      </c>
      <c r="Y132" s="8">
        <f>IF(OR(A132="",X132=""),"",TODAY()-X132)</f>
        <v>0</v>
      </c>
      <c r="Z132" s="8">
        <f>IF(A132="","",IF(Y132="","Yes",IF(Y132&gt;=Rotation_Gap_Days,"Yes","No")))</f>
        <v>0</v>
      </c>
      <c r="AA132" s="8">
        <f>IF(A132="","",IF(Z132="No","Too soon",IF(AND(AN132&lt;&gt;"",AN132&gt;=4),"Plan it","Available")))</f>
        <v>0</v>
      </c>
      <c r="AB132" s="27"/>
      <c r="AC132" s="27"/>
      <c r="AD132" s="27"/>
      <c r="AE132" s="27"/>
      <c r="AF132" s="27"/>
      <c r="AG132" s="27"/>
      <c r="AH132" s="27"/>
      <c r="AI132" s="27"/>
      <c r="AJ132" s="27"/>
      <c r="AK132" s="8">
        <f>IF(A132="","",IF(G132&lt;=30,"Yes","No"))</f>
        <v>0</v>
      </c>
      <c r="AL132" s="27"/>
      <c r="AM132" s="30"/>
      <c r="AN132" s="26"/>
      <c r="AO132" s="7"/>
      <c r="AP132" s="7"/>
      <c r="AQ132" s="7"/>
      <c r="AR132" s="25"/>
      <c r="AS132" s="8">
        <f>IF(A132="","",COUNTIFS($H$5:$H$204,"&gt;"&amp;H132)+1)</f>
        <v>0</v>
      </c>
      <c r="AT132" s="8">
        <f>IF(A132="","",COUNTIFS($I$5:$I$204,"&gt;"&amp;I132)+1)</f>
        <v>0</v>
      </c>
      <c r="AU132" s="8">
        <f>IF(A132="","",COUNTIFS($L$5:$L$204,"&gt;"&amp;L132)+1)</f>
        <v>0</v>
      </c>
      <c r="AV132" s="8">
        <f>IF(OR(A132="",Q132=""),"",COUNTIFS($Q$5:$Q$204,"&lt;"&amp;Q132)+1)</f>
        <v>0</v>
      </c>
      <c r="AW132" s="8">
        <f>IF(A132="","",COUNTIFS($V$5:$V$204,"&gt;"&amp;V132)+1)</f>
        <v>0</v>
      </c>
      <c r="AX132" s="8">
        <f>IF(A132="","",COUNTIFS($Y$5:$Y$204,"&lt;"&amp;Y132)+1)</f>
        <v>0</v>
      </c>
      <c r="AY132" s="8">
        <f>IF(A132="","",COUNTIFS($W$5:$W$204,"&gt;"&amp;W132)+1)</f>
        <v>0</v>
      </c>
    </row>
    <row r="133" spans="1:51">
      <c r="A133" s="7"/>
      <c r="B133" s="27"/>
      <c r="C133" s="27"/>
      <c r="D133" s="26"/>
      <c r="E133" s="26"/>
      <c r="F133" s="26"/>
      <c r="G133" s="8">
        <f>IF(A133="","",E133+F133)</f>
        <v>0</v>
      </c>
      <c r="H133" s="26"/>
      <c r="I133" s="26"/>
      <c r="J133" s="26"/>
      <c r="K133" s="26"/>
      <c r="L133" s="26"/>
      <c r="M133" s="26"/>
      <c r="N133" s="26"/>
      <c r="O133" s="8">
        <f>IF(A133="","",COUNTIFS('Recipe Ingredients'!$A$5:$A$1204,A133))</f>
        <v>0</v>
      </c>
      <c r="P133" s="8">
        <f>IF(A133="","",SUMIFS('Recipe Ingredients'!$H$5:$H$1204,'Recipe Ingredients'!$A$5:$A$1204,A133))</f>
        <v>0</v>
      </c>
      <c r="Q133" s="8">
        <f>IF(OR(A133="",D133=0,D133=""),"",P133/D133)</f>
        <v>0</v>
      </c>
      <c r="R133" s="8">
        <f>IF(OR(A133="",H133=0,H133=""),"",IFERROR(Q133/H133*1000,""))</f>
        <v>0</v>
      </c>
      <c r="S133" s="8">
        <f>IF(OR(A133="",Q133="",Q133=0),"",IFERROR(H133/Q133,""))</f>
        <v>0</v>
      </c>
      <c r="T133" s="8">
        <f>IF(OR(A133="",Q133="",Q133=0),"",IFERROR(I133/Q133,""))</f>
        <v>0</v>
      </c>
      <c r="U133" s="8">
        <f>IF(OR(A133="",G133="",G133=0),"",IFERROR(H133/G133*10,""))</f>
        <v>0</v>
      </c>
      <c r="V133" s="8">
        <f>IF(A133="","",(AC133="Yes")*1+(AD133="Yes")*1+(AE133="Yes")*1+(AF133="Yes")*1+(AG133="Yes")*1+(AH133="Yes")*1)</f>
        <v>0</v>
      </c>
      <c r="W133" s="8">
        <f>IF(A133="","",COUNTIFS('Meal Plan'!$G$5:$G$504,A133,'Meal Plan'!$S$5:$S$504,"Cooked")+COUNTIFS('Meal Plan'!$G$5:$G$504,A133,'Meal Plan'!$S$5:$S$504,"Eaten"))</f>
        <v>0</v>
      </c>
      <c r="X133" s="8">
        <f>IF(A133="","",IF(SUMPRODUCT(MAX(('Meal Plan'!$G$5:$G$504=A133)*'Meal Plan'!$B$5:$B$504))=0,"",SUMPRODUCT(MAX(('Meal Plan'!$G$5:$G$504=A133)*'Meal Plan'!$B$5:$B$504))))</f>
        <v>0</v>
      </c>
      <c r="Y133" s="8">
        <f>IF(OR(A133="",X133=""),"",TODAY()-X133)</f>
        <v>0</v>
      </c>
      <c r="Z133" s="8">
        <f>IF(A133="","",IF(Y133="","Yes",IF(Y133&gt;=Rotation_Gap_Days,"Yes","No")))</f>
        <v>0</v>
      </c>
      <c r="AA133" s="8">
        <f>IF(A133="","",IF(Z133="No","Too soon",IF(AND(AN133&lt;&gt;"",AN133&gt;=4),"Plan it","Available")))</f>
        <v>0</v>
      </c>
      <c r="AB133" s="27"/>
      <c r="AC133" s="27"/>
      <c r="AD133" s="27"/>
      <c r="AE133" s="27"/>
      <c r="AF133" s="27"/>
      <c r="AG133" s="27"/>
      <c r="AH133" s="27"/>
      <c r="AI133" s="27"/>
      <c r="AJ133" s="27"/>
      <c r="AK133" s="8">
        <f>IF(A133="","",IF(G133&lt;=30,"Yes","No"))</f>
        <v>0</v>
      </c>
      <c r="AL133" s="27"/>
      <c r="AM133" s="30"/>
      <c r="AN133" s="26"/>
      <c r="AO133" s="7"/>
      <c r="AP133" s="7"/>
      <c r="AQ133" s="7"/>
      <c r="AR133" s="25"/>
      <c r="AS133" s="8">
        <f>IF(A133="","",COUNTIFS($H$5:$H$204,"&gt;"&amp;H133)+1)</f>
        <v>0</v>
      </c>
      <c r="AT133" s="8">
        <f>IF(A133="","",COUNTIFS($I$5:$I$204,"&gt;"&amp;I133)+1)</f>
        <v>0</v>
      </c>
      <c r="AU133" s="8">
        <f>IF(A133="","",COUNTIFS($L$5:$L$204,"&gt;"&amp;L133)+1)</f>
        <v>0</v>
      </c>
      <c r="AV133" s="8">
        <f>IF(OR(A133="",Q133=""),"",COUNTIFS($Q$5:$Q$204,"&lt;"&amp;Q133)+1)</f>
        <v>0</v>
      </c>
      <c r="AW133" s="8">
        <f>IF(A133="","",COUNTIFS($V$5:$V$204,"&gt;"&amp;V133)+1)</f>
        <v>0</v>
      </c>
      <c r="AX133" s="8">
        <f>IF(A133="","",COUNTIFS($Y$5:$Y$204,"&lt;"&amp;Y133)+1)</f>
        <v>0</v>
      </c>
      <c r="AY133" s="8">
        <f>IF(A133="","",COUNTIFS($W$5:$W$204,"&gt;"&amp;W133)+1)</f>
        <v>0</v>
      </c>
    </row>
    <row r="134" spans="1:51">
      <c r="A134" s="7"/>
      <c r="B134" s="27"/>
      <c r="C134" s="27"/>
      <c r="D134" s="26"/>
      <c r="E134" s="26"/>
      <c r="F134" s="26"/>
      <c r="G134" s="8">
        <f>IF(A134="","",E134+F134)</f>
        <v>0</v>
      </c>
      <c r="H134" s="26"/>
      <c r="I134" s="26"/>
      <c r="J134" s="26"/>
      <c r="K134" s="26"/>
      <c r="L134" s="26"/>
      <c r="M134" s="26"/>
      <c r="N134" s="26"/>
      <c r="O134" s="8">
        <f>IF(A134="","",COUNTIFS('Recipe Ingredients'!$A$5:$A$1204,A134))</f>
        <v>0</v>
      </c>
      <c r="P134" s="8">
        <f>IF(A134="","",SUMIFS('Recipe Ingredients'!$H$5:$H$1204,'Recipe Ingredients'!$A$5:$A$1204,A134))</f>
        <v>0</v>
      </c>
      <c r="Q134" s="8">
        <f>IF(OR(A134="",D134=0,D134=""),"",P134/D134)</f>
        <v>0</v>
      </c>
      <c r="R134" s="8">
        <f>IF(OR(A134="",H134=0,H134=""),"",IFERROR(Q134/H134*1000,""))</f>
        <v>0</v>
      </c>
      <c r="S134" s="8">
        <f>IF(OR(A134="",Q134="",Q134=0),"",IFERROR(H134/Q134,""))</f>
        <v>0</v>
      </c>
      <c r="T134" s="8">
        <f>IF(OR(A134="",Q134="",Q134=0),"",IFERROR(I134/Q134,""))</f>
        <v>0</v>
      </c>
      <c r="U134" s="8">
        <f>IF(OR(A134="",G134="",G134=0),"",IFERROR(H134/G134*10,""))</f>
        <v>0</v>
      </c>
      <c r="V134" s="8">
        <f>IF(A134="","",(AC134="Yes")*1+(AD134="Yes")*1+(AE134="Yes")*1+(AF134="Yes")*1+(AG134="Yes")*1+(AH134="Yes")*1)</f>
        <v>0</v>
      </c>
      <c r="W134" s="8">
        <f>IF(A134="","",COUNTIFS('Meal Plan'!$G$5:$G$504,A134,'Meal Plan'!$S$5:$S$504,"Cooked")+COUNTIFS('Meal Plan'!$G$5:$G$504,A134,'Meal Plan'!$S$5:$S$504,"Eaten"))</f>
        <v>0</v>
      </c>
      <c r="X134" s="8">
        <f>IF(A134="","",IF(SUMPRODUCT(MAX(('Meal Plan'!$G$5:$G$504=A134)*'Meal Plan'!$B$5:$B$504))=0,"",SUMPRODUCT(MAX(('Meal Plan'!$G$5:$G$504=A134)*'Meal Plan'!$B$5:$B$504))))</f>
        <v>0</v>
      </c>
      <c r="Y134" s="8">
        <f>IF(OR(A134="",X134=""),"",TODAY()-X134)</f>
        <v>0</v>
      </c>
      <c r="Z134" s="8">
        <f>IF(A134="","",IF(Y134="","Yes",IF(Y134&gt;=Rotation_Gap_Days,"Yes","No")))</f>
        <v>0</v>
      </c>
      <c r="AA134" s="8">
        <f>IF(A134="","",IF(Z134="No","Too soon",IF(AND(AN134&lt;&gt;"",AN134&gt;=4),"Plan it","Available")))</f>
        <v>0</v>
      </c>
      <c r="AB134" s="27"/>
      <c r="AC134" s="27"/>
      <c r="AD134" s="27"/>
      <c r="AE134" s="27"/>
      <c r="AF134" s="27"/>
      <c r="AG134" s="27"/>
      <c r="AH134" s="27"/>
      <c r="AI134" s="27"/>
      <c r="AJ134" s="27"/>
      <c r="AK134" s="8">
        <f>IF(A134="","",IF(G134&lt;=30,"Yes","No"))</f>
        <v>0</v>
      </c>
      <c r="AL134" s="27"/>
      <c r="AM134" s="30"/>
      <c r="AN134" s="26"/>
      <c r="AO134" s="7"/>
      <c r="AP134" s="7"/>
      <c r="AQ134" s="7"/>
      <c r="AR134" s="25"/>
      <c r="AS134" s="8">
        <f>IF(A134="","",COUNTIFS($H$5:$H$204,"&gt;"&amp;H134)+1)</f>
        <v>0</v>
      </c>
      <c r="AT134" s="8">
        <f>IF(A134="","",COUNTIFS($I$5:$I$204,"&gt;"&amp;I134)+1)</f>
        <v>0</v>
      </c>
      <c r="AU134" s="8">
        <f>IF(A134="","",COUNTIFS($L$5:$L$204,"&gt;"&amp;L134)+1)</f>
        <v>0</v>
      </c>
      <c r="AV134" s="8">
        <f>IF(OR(A134="",Q134=""),"",COUNTIFS($Q$5:$Q$204,"&lt;"&amp;Q134)+1)</f>
        <v>0</v>
      </c>
      <c r="AW134" s="8">
        <f>IF(A134="","",COUNTIFS($V$5:$V$204,"&gt;"&amp;V134)+1)</f>
        <v>0</v>
      </c>
      <c r="AX134" s="8">
        <f>IF(A134="","",COUNTIFS($Y$5:$Y$204,"&lt;"&amp;Y134)+1)</f>
        <v>0</v>
      </c>
      <c r="AY134" s="8">
        <f>IF(A134="","",COUNTIFS($W$5:$W$204,"&gt;"&amp;W134)+1)</f>
        <v>0</v>
      </c>
    </row>
    <row r="135" spans="1:51">
      <c r="A135" s="7"/>
      <c r="B135" s="27"/>
      <c r="C135" s="27"/>
      <c r="D135" s="26"/>
      <c r="E135" s="26"/>
      <c r="F135" s="26"/>
      <c r="G135" s="8">
        <f>IF(A135="","",E135+F135)</f>
        <v>0</v>
      </c>
      <c r="H135" s="26"/>
      <c r="I135" s="26"/>
      <c r="J135" s="26"/>
      <c r="K135" s="26"/>
      <c r="L135" s="26"/>
      <c r="M135" s="26"/>
      <c r="N135" s="26"/>
      <c r="O135" s="8">
        <f>IF(A135="","",COUNTIFS('Recipe Ingredients'!$A$5:$A$1204,A135))</f>
        <v>0</v>
      </c>
      <c r="P135" s="8">
        <f>IF(A135="","",SUMIFS('Recipe Ingredients'!$H$5:$H$1204,'Recipe Ingredients'!$A$5:$A$1204,A135))</f>
        <v>0</v>
      </c>
      <c r="Q135" s="8">
        <f>IF(OR(A135="",D135=0,D135=""),"",P135/D135)</f>
        <v>0</v>
      </c>
      <c r="R135" s="8">
        <f>IF(OR(A135="",H135=0,H135=""),"",IFERROR(Q135/H135*1000,""))</f>
        <v>0</v>
      </c>
      <c r="S135" s="8">
        <f>IF(OR(A135="",Q135="",Q135=0),"",IFERROR(H135/Q135,""))</f>
        <v>0</v>
      </c>
      <c r="T135" s="8">
        <f>IF(OR(A135="",Q135="",Q135=0),"",IFERROR(I135/Q135,""))</f>
        <v>0</v>
      </c>
      <c r="U135" s="8">
        <f>IF(OR(A135="",G135="",G135=0),"",IFERROR(H135/G135*10,""))</f>
        <v>0</v>
      </c>
      <c r="V135" s="8">
        <f>IF(A135="","",(AC135="Yes")*1+(AD135="Yes")*1+(AE135="Yes")*1+(AF135="Yes")*1+(AG135="Yes")*1+(AH135="Yes")*1)</f>
        <v>0</v>
      </c>
      <c r="W135" s="8">
        <f>IF(A135="","",COUNTIFS('Meal Plan'!$G$5:$G$504,A135,'Meal Plan'!$S$5:$S$504,"Cooked")+COUNTIFS('Meal Plan'!$G$5:$G$504,A135,'Meal Plan'!$S$5:$S$504,"Eaten"))</f>
        <v>0</v>
      </c>
      <c r="X135" s="8">
        <f>IF(A135="","",IF(SUMPRODUCT(MAX(('Meal Plan'!$G$5:$G$504=A135)*'Meal Plan'!$B$5:$B$504))=0,"",SUMPRODUCT(MAX(('Meal Plan'!$G$5:$G$504=A135)*'Meal Plan'!$B$5:$B$504))))</f>
        <v>0</v>
      </c>
      <c r="Y135" s="8">
        <f>IF(OR(A135="",X135=""),"",TODAY()-X135)</f>
        <v>0</v>
      </c>
      <c r="Z135" s="8">
        <f>IF(A135="","",IF(Y135="","Yes",IF(Y135&gt;=Rotation_Gap_Days,"Yes","No")))</f>
        <v>0</v>
      </c>
      <c r="AA135" s="8">
        <f>IF(A135="","",IF(Z135="No","Too soon",IF(AND(AN135&lt;&gt;"",AN135&gt;=4),"Plan it","Available")))</f>
        <v>0</v>
      </c>
      <c r="AB135" s="27"/>
      <c r="AC135" s="27"/>
      <c r="AD135" s="27"/>
      <c r="AE135" s="27"/>
      <c r="AF135" s="27"/>
      <c r="AG135" s="27"/>
      <c r="AH135" s="27"/>
      <c r="AI135" s="27"/>
      <c r="AJ135" s="27"/>
      <c r="AK135" s="8">
        <f>IF(A135="","",IF(G135&lt;=30,"Yes","No"))</f>
        <v>0</v>
      </c>
      <c r="AL135" s="27"/>
      <c r="AM135" s="30"/>
      <c r="AN135" s="26"/>
      <c r="AO135" s="7"/>
      <c r="AP135" s="7"/>
      <c r="AQ135" s="7"/>
      <c r="AR135" s="25"/>
      <c r="AS135" s="8">
        <f>IF(A135="","",COUNTIFS($H$5:$H$204,"&gt;"&amp;H135)+1)</f>
        <v>0</v>
      </c>
      <c r="AT135" s="8">
        <f>IF(A135="","",COUNTIFS($I$5:$I$204,"&gt;"&amp;I135)+1)</f>
        <v>0</v>
      </c>
      <c r="AU135" s="8">
        <f>IF(A135="","",COUNTIFS($L$5:$L$204,"&gt;"&amp;L135)+1)</f>
        <v>0</v>
      </c>
      <c r="AV135" s="8">
        <f>IF(OR(A135="",Q135=""),"",COUNTIFS($Q$5:$Q$204,"&lt;"&amp;Q135)+1)</f>
        <v>0</v>
      </c>
      <c r="AW135" s="8">
        <f>IF(A135="","",COUNTIFS($V$5:$V$204,"&gt;"&amp;V135)+1)</f>
        <v>0</v>
      </c>
      <c r="AX135" s="8">
        <f>IF(A135="","",COUNTIFS($Y$5:$Y$204,"&lt;"&amp;Y135)+1)</f>
        <v>0</v>
      </c>
      <c r="AY135" s="8">
        <f>IF(A135="","",COUNTIFS($W$5:$W$204,"&gt;"&amp;W135)+1)</f>
        <v>0</v>
      </c>
    </row>
    <row r="136" spans="1:51">
      <c r="A136" s="7"/>
      <c r="B136" s="27"/>
      <c r="C136" s="27"/>
      <c r="D136" s="26"/>
      <c r="E136" s="26"/>
      <c r="F136" s="26"/>
      <c r="G136" s="8">
        <f>IF(A136="","",E136+F136)</f>
        <v>0</v>
      </c>
      <c r="H136" s="26"/>
      <c r="I136" s="26"/>
      <c r="J136" s="26"/>
      <c r="K136" s="26"/>
      <c r="L136" s="26"/>
      <c r="M136" s="26"/>
      <c r="N136" s="26"/>
      <c r="O136" s="8">
        <f>IF(A136="","",COUNTIFS('Recipe Ingredients'!$A$5:$A$1204,A136))</f>
        <v>0</v>
      </c>
      <c r="P136" s="8">
        <f>IF(A136="","",SUMIFS('Recipe Ingredients'!$H$5:$H$1204,'Recipe Ingredients'!$A$5:$A$1204,A136))</f>
        <v>0</v>
      </c>
      <c r="Q136" s="8">
        <f>IF(OR(A136="",D136=0,D136=""),"",P136/D136)</f>
        <v>0</v>
      </c>
      <c r="R136" s="8">
        <f>IF(OR(A136="",H136=0,H136=""),"",IFERROR(Q136/H136*1000,""))</f>
        <v>0</v>
      </c>
      <c r="S136" s="8">
        <f>IF(OR(A136="",Q136="",Q136=0),"",IFERROR(H136/Q136,""))</f>
        <v>0</v>
      </c>
      <c r="T136" s="8">
        <f>IF(OR(A136="",Q136="",Q136=0),"",IFERROR(I136/Q136,""))</f>
        <v>0</v>
      </c>
      <c r="U136" s="8">
        <f>IF(OR(A136="",G136="",G136=0),"",IFERROR(H136/G136*10,""))</f>
        <v>0</v>
      </c>
      <c r="V136" s="8">
        <f>IF(A136="","",(AC136="Yes")*1+(AD136="Yes")*1+(AE136="Yes")*1+(AF136="Yes")*1+(AG136="Yes")*1+(AH136="Yes")*1)</f>
        <v>0</v>
      </c>
      <c r="W136" s="8">
        <f>IF(A136="","",COUNTIFS('Meal Plan'!$G$5:$G$504,A136,'Meal Plan'!$S$5:$S$504,"Cooked")+COUNTIFS('Meal Plan'!$G$5:$G$504,A136,'Meal Plan'!$S$5:$S$504,"Eaten"))</f>
        <v>0</v>
      </c>
      <c r="X136" s="8">
        <f>IF(A136="","",IF(SUMPRODUCT(MAX(('Meal Plan'!$G$5:$G$504=A136)*'Meal Plan'!$B$5:$B$504))=0,"",SUMPRODUCT(MAX(('Meal Plan'!$G$5:$G$504=A136)*'Meal Plan'!$B$5:$B$504))))</f>
        <v>0</v>
      </c>
      <c r="Y136" s="8">
        <f>IF(OR(A136="",X136=""),"",TODAY()-X136)</f>
        <v>0</v>
      </c>
      <c r="Z136" s="8">
        <f>IF(A136="","",IF(Y136="","Yes",IF(Y136&gt;=Rotation_Gap_Days,"Yes","No")))</f>
        <v>0</v>
      </c>
      <c r="AA136" s="8">
        <f>IF(A136="","",IF(Z136="No","Too soon",IF(AND(AN136&lt;&gt;"",AN136&gt;=4),"Plan it","Available")))</f>
        <v>0</v>
      </c>
      <c r="AB136" s="27"/>
      <c r="AC136" s="27"/>
      <c r="AD136" s="27"/>
      <c r="AE136" s="27"/>
      <c r="AF136" s="27"/>
      <c r="AG136" s="27"/>
      <c r="AH136" s="27"/>
      <c r="AI136" s="27"/>
      <c r="AJ136" s="27"/>
      <c r="AK136" s="8">
        <f>IF(A136="","",IF(G136&lt;=30,"Yes","No"))</f>
        <v>0</v>
      </c>
      <c r="AL136" s="27"/>
      <c r="AM136" s="30"/>
      <c r="AN136" s="26"/>
      <c r="AO136" s="7"/>
      <c r="AP136" s="7"/>
      <c r="AQ136" s="7"/>
      <c r="AR136" s="25"/>
      <c r="AS136" s="8">
        <f>IF(A136="","",COUNTIFS($H$5:$H$204,"&gt;"&amp;H136)+1)</f>
        <v>0</v>
      </c>
      <c r="AT136" s="8">
        <f>IF(A136="","",COUNTIFS($I$5:$I$204,"&gt;"&amp;I136)+1)</f>
        <v>0</v>
      </c>
      <c r="AU136" s="8">
        <f>IF(A136="","",COUNTIFS($L$5:$L$204,"&gt;"&amp;L136)+1)</f>
        <v>0</v>
      </c>
      <c r="AV136" s="8">
        <f>IF(OR(A136="",Q136=""),"",COUNTIFS($Q$5:$Q$204,"&lt;"&amp;Q136)+1)</f>
        <v>0</v>
      </c>
      <c r="AW136" s="8">
        <f>IF(A136="","",COUNTIFS($V$5:$V$204,"&gt;"&amp;V136)+1)</f>
        <v>0</v>
      </c>
      <c r="AX136" s="8">
        <f>IF(A136="","",COUNTIFS($Y$5:$Y$204,"&lt;"&amp;Y136)+1)</f>
        <v>0</v>
      </c>
      <c r="AY136" s="8">
        <f>IF(A136="","",COUNTIFS($W$5:$W$204,"&gt;"&amp;W136)+1)</f>
        <v>0</v>
      </c>
    </row>
    <row r="137" spans="1:51">
      <c r="A137" s="7"/>
      <c r="B137" s="27"/>
      <c r="C137" s="27"/>
      <c r="D137" s="26"/>
      <c r="E137" s="26"/>
      <c r="F137" s="26"/>
      <c r="G137" s="8">
        <f>IF(A137="","",E137+F137)</f>
        <v>0</v>
      </c>
      <c r="H137" s="26"/>
      <c r="I137" s="26"/>
      <c r="J137" s="26"/>
      <c r="K137" s="26"/>
      <c r="L137" s="26"/>
      <c r="M137" s="26"/>
      <c r="N137" s="26"/>
      <c r="O137" s="8">
        <f>IF(A137="","",COUNTIFS('Recipe Ingredients'!$A$5:$A$1204,A137))</f>
        <v>0</v>
      </c>
      <c r="P137" s="8">
        <f>IF(A137="","",SUMIFS('Recipe Ingredients'!$H$5:$H$1204,'Recipe Ingredients'!$A$5:$A$1204,A137))</f>
        <v>0</v>
      </c>
      <c r="Q137" s="8">
        <f>IF(OR(A137="",D137=0,D137=""),"",P137/D137)</f>
        <v>0</v>
      </c>
      <c r="R137" s="8">
        <f>IF(OR(A137="",H137=0,H137=""),"",IFERROR(Q137/H137*1000,""))</f>
        <v>0</v>
      </c>
      <c r="S137" s="8">
        <f>IF(OR(A137="",Q137="",Q137=0),"",IFERROR(H137/Q137,""))</f>
        <v>0</v>
      </c>
      <c r="T137" s="8">
        <f>IF(OR(A137="",Q137="",Q137=0),"",IFERROR(I137/Q137,""))</f>
        <v>0</v>
      </c>
      <c r="U137" s="8">
        <f>IF(OR(A137="",G137="",G137=0),"",IFERROR(H137/G137*10,""))</f>
        <v>0</v>
      </c>
      <c r="V137" s="8">
        <f>IF(A137="","",(AC137="Yes")*1+(AD137="Yes")*1+(AE137="Yes")*1+(AF137="Yes")*1+(AG137="Yes")*1+(AH137="Yes")*1)</f>
        <v>0</v>
      </c>
      <c r="W137" s="8">
        <f>IF(A137="","",COUNTIFS('Meal Plan'!$G$5:$G$504,A137,'Meal Plan'!$S$5:$S$504,"Cooked")+COUNTIFS('Meal Plan'!$G$5:$G$504,A137,'Meal Plan'!$S$5:$S$504,"Eaten"))</f>
        <v>0</v>
      </c>
      <c r="X137" s="8">
        <f>IF(A137="","",IF(SUMPRODUCT(MAX(('Meal Plan'!$G$5:$G$504=A137)*'Meal Plan'!$B$5:$B$504))=0,"",SUMPRODUCT(MAX(('Meal Plan'!$G$5:$G$504=A137)*'Meal Plan'!$B$5:$B$504))))</f>
        <v>0</v>
      </c>
      <c r="Y137" s="8">
        <f>IF(OR(A137="",X137=""),"",TODAY()-X137)</f>
        <v>0</v>
      </c>
      <c r="Z137" s="8">
        <f>IF(A137="","",IF(Y137="","Yes",IF(Y137&gt;=Rotation_Gap_Days,"Yes","No")))</f>
        <v>0</v>
      </c>
      <c r="AA137" s="8">
        <f>IF(A137="","",IF(Z137="No","Too soon",IF(AND(AN137&lt;&gt;"",AN137&gt;=4),"Plan it","Available")))</f>
        <v>0</v>
      </c>
      <c r="AB137" s="27"/>
      <c r="AC137" s="27"/>
      <c r="AD137" s="27"/>
      <c r="AE137" s="27"/>
      <c r="AF137" s="27"/>
      <c r="AG137" s="27"/>
      <c r="AH137" s="27"/>
      <c r="AI137" s="27"/>
      <c r="AJ137" s="27"/>
      <c r="AK137" s="8">
        <f>IF(A137="","",IF(G137&lt;=30,"Yes","No"))</f>
        <v>0</v>
      </c>
      <c r="AL137" s="27"/>
      <c r="AM137" s="30"/>
      <c r="AN137" s="26"/>
      <c r="AO137" s="7"/>
      <c r="AP137" s="7"/>
      <c r="AQ137" s="7"/>
      <c r="AR137" s="25"/>
      <c r="AS137" s="8">
        <f>IF(A137="","",COUNTIFS($H$5:$H$204,"&gt;"&amp;H137)+1)</f>
        <v>0</v>
      </c>
      <c r="AT137" s="8">
        <f>IF(A137="","",COUNTIFS($I$5:$I$204,"&gt;"&amp;I137)+1)</f>
        <v>0</v>
      </c>
      <c r="AU137" s="8">
        <f>IF(A137="","",COUNTIFS($L$5:$L$204,"&gt;"&amp;L137)+1)</f>
        <v>0</v>
      </c>
      <c r="AV137" s="8">
        <f>IF(OR(A137="",Q137=""),"",COUNTIFS($Q$5:$Q$204,"&lt;"&amp;Q137)+1)</f>
        <v>0</v>
      </c>
      <c r="AW137" s="8">
        <f>IF(A137="","",COUNTIFS($V$5:$V$204,"&gt;"&amp;V137)+1)</f>
        <v>0</v>
      </c>
      <c r="AX137" s="8">
        <f>IF(A137="","",COUNTIFS($Y$5:$Y$204,"&lt;"&amp;Y137)+1)</f>
        <v>0</v>
      </c>
      <c r="AY137" s="8">
        <f>IF(A137="","",COUNTIFS($W$5:$W$204,"&gt;"&amp;W137)+1)</f>
        <v>0</v>
      </c>
    </row>
    <row r="138" spans="1:51">
      <c r="A138" s="7"/>
      <c r="B138" s="27"/>
      <c r="C138" s="27"/>
      <c r="D138" s="26"/>
      <c r="E138" s="26"/>
      <c r="F138" s="26"/>
      <c r="G138" s="8">
        <f>IF(A138="","",E138+F138)</f>
        <v>0</v>
      </c>
      <c r="H138" s="26"/>
      <c r="I138" s="26"/>
      <c r="J138" s="26"/>
      <c r="K138" s="26"/>
      <c r="L138" s="26"/>
      <c r="M138" s="26"/>
      <c r="N138" s="26"/>
      <c r="O138" s="8">
        <f>IF(A138="","",COUNTIFS('Recipe Ingredients'!$A$5:$A$1204,A138))</f>
        <v>0</v>
      </c>
      <c r="P138" s="8">
        <f>IF(A138="","",SUMIFS('Recipe Ingredients'!$H$5:$H$1204,'Recipe Ingredients'!$A$5:$A$1204,A138))</f>
        <v>0</v>
      </c>
      <c r="Q138" s="8">
        <f>IF(OR(A138="",D138=0,D138=""),"",P138/D138)</f>
        <v>0</v>
      </c>
      <c r="R138" s="8">
        <f>IF(OR(A138="",H138=0,H138=""),"",IFERROR(Q138/H138*1000,""))</f>
        <v>0</v>
      </c>
      <c r="S138" s="8">
        <f>IF(OR(A138="",Q138="",Q138=0),"",IFERROR(H138/Q138,""))</f>
        <v>0</v>
      </c>
      <c r="T138" s="8">
        <f>IF(OR(A138="",Q138="",Q138=0),"",IFERROR(I138/Q138,""))</f>
        <v>0</v>
      </c>
      <c r="U138" s="8">
        <f>IF(OR(A138="",G138="",G138=0),"",IFERROR(H138/G138*10,""))</f>
        <v>0</v>
      </c>
      <c r="V138" s="8">
        <f>IF(A138="","",(AC138="Yes")*1+(AD138="Yes")*1+(AE138="Yes")*1+(AF138="Yes")*1+(AG138="Yes")*1+(AH138="Yes")*1)</f>
        <v>0</v>
      </c>
      <c r="W138" s="8">
        <f>IF(A138="","",COUNTIFS('Meal Plan'!$G$5:$G$504,A138,'Meal Plan'!$S$5:$S$504,"Cooked")+COUNTIFS('Meal Plan'!$G$5:$G$504,A138,'Meal Plan'!$S$5:$S$504,"Eaten"))</f>
        <v>0</v>
      </c>
      <c r="X138" s="8">
        <f>IF(A138="","",IF(SUMPRODUCT(MAX(('Meal Plan'!$G$5:$G$504=A138)*'Meal Plan'!$B$5:$B$504))=0,"",SUMPRODUCT(MAX(('Meal Plan'!$G$5:$G$504=A138)*'Meal Plan'!$B$5:$B$504))))</f>
        <v>0</v>
      </c>
      <c r="Y138" s="8">
        <f>IF(OR(A138="",X138=""),"",TODAY()-X138)</f>
        <v>0</v>
      </c>
      <c r="Z138" s="8">
        <f>IF(A138="","",IF(Y138="","Yes",IF(Y138&gt;=Rotation_Gap_Days,"Yes","No")))</f>
        <v>0</v>
      </c>
      <c r="AA138" s="8">
        <f>IF(A138="","",IF(Z138="No","Too soon",IF(AND(AN138&lt;&gt;"",AN138&gt;=4),"Plan it","Available")))</f>
        <v>0</v>
      </c>
      <c r="AB138" s="27"/>
      <c r="AC138" s="27"/>
      <c r="AD138" s="27"/>
      <c r="AE138" s="27"/>
      <c r="AF138" s="27"/>
      <c r="AG138" s="27"/>
      <c r="AH138" s="27"/>
      <c r="AI138" s="27"/>
      <c r="AJ138" s="27"/>
      <c r="AK138" s="8">
        <f>IF(A138="","",IF(G138&lt;=30,"Yes","No"))</f>
        <v>0</v>
      </c>
      <c r="AL138" s="27"/>
      <c r="AM138" s="30"/>
      <c r="AN138" s="26"/>
      <c r="AO138" s="7"/>
      <c r="AP138" s="7"/>
      <c r="AQ138" s="7"/>
      <c r="AR138" s="25"/>
      <c r="AS138" s="8">
        <f>IF(A138="","",COUNTIFS($H$5:$H$204,"&gt;"&amp;H138)+1)</f>
        <v>0</v>
      </c>
      <c r="AT138" s="8">
        <f>IF(A138="","",COUNTIFS($I$5:$I$204,"&gt;"&amp;I138)+1)</f>
        <v>0</v>
      </c>
      <c r="AU138" s="8">
        <f>IF(A138="","",COUNTIFS($L$5:$L$204,"&gt;"&amp;L138)+1)</f>
        <v>0</v>
      </c>
      <c r="AV138" s="8">
        <f>IF(OR(A138="",Q138=""),"",COUNTIFS($Q$5:$Q$204,"&lt;"&amp;Q138)+1)</f>
        <v>0</v>
      </c>
      <c r="AW138" s="8">
        <f>IF(A138="","",COUNTIFS($V$5:$V$204,"&gt;"&amp;V138)+1)</f>
        <v>0</v>
      </c>
      <c r="AX138" s="8">
        <f>IF(A138="","",COUNTIFS($Y$5:$Y$204,"&lt;"&amp;Y138)+1)</f>
        <v>0</v>
      </c>
      <c r="AY138" s="8">
        <f>IF(A138="","",COUNTIFS($W$5:$W$204,"&gt;"&amp;W138)+1)</f>
        <v>0</v>
      </c>
    </row>
    <row r="139" spans="1:51">
      <c r="A139" s="7"/>
      <c r="B139" s="27"/>
      <c r="C139" s="27"/>
      <c r="D139" s="26"/>
      <c r="E139" s="26"/>
      <c r="F139" s="26"/>
      <c r="G139" s="8">
        <f>IF(A139="","",E139+F139)</f>
        <v>0</v>
      </c>
      <c r="H139" s="26"/>
      <c r="I139" s="26"/>
      <c r="J139" s="26"/>
      <c r="K139" s="26"/>
      <c r="L139" s="26"/>
      <c r="M139" s="26"/>
      <c r="N139" s="26"/>
      <c r="O139" s="8">
        <f>IF(A139="","",COUNTIFS('Recipe Ingredients'!$A$5:$A$1204,A139))</f>
        <v>0</v>
      </c>
      <c r="P139" s="8">
        <f>IF(A139="","",SUMIFS('Recipe Ingredients'!$H$5:$H$1204,'Recipe Ingredients'!$A$5:$A$1204,A139))</f>
        <v>0</v>
      </c>
      <c r="Q139" s="8">
        <f>IF(OR(A139="",D139=0,D139=""),"",P139/D139)</f>
        <v>0</v>
      </c>
      <c r="R139" s="8">
        <f>IF(OR(A139="",H139=0,H139=""),"",IFERROR(Q139/H139*1000,""))</f>
        <v>0</v>
      </c>
      <c r="S139" s="8">
        <f>IF(OR(A139="",Q139="",Q139=0),"",IFERROR(H139/Q139,""))</f>
        <v>0</v>
      </c>
      <c r="T139" s="8">
        <f>IF(OR(A139="",Q139="",Q139=0),"",IFERROR(I139/Q139,""))</f>
        <v>0</v>
      </c>
      <c r="U139" s="8">
        <f>IF(OR(A139="",G139="",G139=0),"",IFERROR(H139/G139*10,""))</f>
        <v>0</v>
      </c>
      <c r="V139" s="8">
        <f>IF(A139="","",(AC139="Yes")*1+(AD139="Yes")*1+(AE139="Yes")*1+(AF139="Yes")*1+(AG139="Yes")*1+(AH139="Yes")*1)</f>
        <v>0</v>
      </c>
      <c r="W139" s="8">
        <f>IF(A139="","",COUNTIFS('Meal Plan'!$G$5:$G$504,A139,'Meal Plan'!$S$5:$S$504,"Cooked")+COUNTIFS('Meal Plan'!$G$5:$G$504,A139,'Meal Plan'!$S$5:$S$504,"Eaten"))</f>
        <v>0</v>
      </c>
      <c r="X139" s="8">
        <f>IF(A139="","",IF(SUMPRODUCT(MAX(('Meal Plan'!$G$5:$G$504=A139)*'Meal Plan'!$B$5:$B$504))=0,"",SUMPRODUCT(MAX(('Meal Plan'!$G$5:$G$504=A139)*'Meal Plan'!$B$5:$B$504))))</f>
        <v>0</v>
      </c>
      <c r="Y139" s="8">
        <f>IF(OR(A139="",X139=""),"",TODAY()-X139)</f>
        <v>0</v>
      </c>
      <c r="Z139" s="8">
        <f>IF(A139="","",IF(Y139="","Yes",IF(Y139&gt;=Rotation_Gap_Days,"Yes","No")))</f>
        <v>0</v>
      </c>
      <c r="AA139" s="8">
        <f>IF(A139="","",IF(Z139="No","Too soon",IF(AND(AN139&lt;&gt;"",AN139&gt;=4),"Plan it","Available")))</f>
        <v>0</v>
      </c>
      <c r="AB139" s="27"/>
      <c r="AC139" s="27"/>
      <c r="AD139" s="27"/>
      <c r="AE139" s="27"/>
      <c r="AF139" s="27"/>
      <c r="AG139" s="27"/>
      <c r="AH139" s="27"/>
      <c r="AI139" s="27"/>
      <c r="AJ139" s="27"/>
      <c r="AK139" s="8">
        <f>IF(A139="","",IF(G139&lt;=30,"Yes","No"))</f>
        <v>0</v>
      </c>
      <c r="AL139" s="27"/>
      <c r="AM139" s="30"/>
      <c r="AN139" s="26"/>
      <c r="AO139" s="7"/>
      <c r="AP139" s="7"/>
      <c r="AQ139" s="7"/>
      <c r="AR139" s="25"/>
      <c r="AS139" s="8">
        <f>IF(A139="","",COUNTIFS($H$5:$H$204,"&gt;"&amp;H139)+1)</f>
        <v>0</v>
      </c>
      <c r="AT139" s="8">
        <f>IF(A139="","",COUNTIFS($I$5:$I$204,"&gt;"&amp;I139)+1)</f>
        <v>0</v>
      </c>
      <c r="AU139" s="8">
        <f>IF(A139="","",COUNTIFS($L$5:$L$204,"&gt;"&amp;L139)+1)</f>
        <v>0</v>
      </c>
      <c r="AV139" s="8">
        <f>IF(OR(A139="",Q139=""),"",COUNTIFS($Q$5:$Q$204,"&lt;"&amp;Q139)+1)</f>
        <v>0</v>
      </c>
      <c r="AW139" s="8">
        <f>IF(A139="","",COUNTIFS($V$5:$V$204,"&gt;"&amp;V139)+1)</f>
        <v>0</v>
      </c>
      <c r="AX139" s="8">
        <f>IF(A139="","",COUNTIFS($Y$5:$Y$204,"&lt;"&amp;Y139)+1)</f>
        <v>0</v>
      </c>
      <c r="AY139" s="8">
        <f>IF(A139="","",COUNTIFS($W$5:$W$204,"&gt;"&amp;W139)+1)</f>
        <v>0</v>
      </c>
    </row>
    <row r="140" spans="1:51">
      <c r="A140" s="7"/>
      <c r="B140" s="27"/>
      <c r="C140" s="27"/>
      <c r="D140" s="26"/>
      <c r="E140" s="26"/>
      <c r="F140" s="26"/>
      <c r="G140" s="8">
        <f>IF(A140="","",E140+F140)</f>
        <v>0</v>
      </c>
      <c r="H140" s="26"/>
      <c r="I140" s="26"/>
      <c r="J140" s="26"/>
      <c r="K140" s="26"/>
      <c r="L140" s="26"/>
      <c r="M140" s="26"/>
      <c r="N140" s="26"/>
      <c r="O140" s="8">
        <f>IF(A140="","",COUNTIFS('Recipe Ingredients'!$A$5:$A$1204,A140))</f>
        <v>0</v>
      </c>
      <c r="P140" s="8">
        <f>IF(A140="","",SUMIFS('Recipe Ingredients'!$H$5:$H$1204,'Recipe Ingredients'!$A$5:$A$1204,A140))</f>
        <v>0</v>
      </c>
      <c r="Q140" s="8">
        <f>IF(OR(A140="",D140=0,D140=""),"",P140/D140)</f>
        <v>0</v>
      </c>
      <c r="R140" s="8">
        <f>IF(OR(A140="",H140=0,H140=""),"",IFERROR(Q140/H140*1000,""))</f>
        <v>0</v>
      </c>
      <c r="S140" s="8">
        <f>IF(OR(A140="",Q140="",Q140=0),"",IFERROR(H140/Q140,""))</f>
        <v>0</v>
      </c>
      <c r="T140" s="8">
        <f>IF(OR(A140="",Q140="",Q140=0),"",IFERROR(I140/Q140,""))</f>
        <v>0</v>
      </c>
      <c r="U140" s="8">
        <f>IF(OR(A140="",G140="",G140=0),"",IFERROR(H140/G140*10,""))</f>
        <v>0</v>
      </c>
      <c r="V140" s="8">
        <f>IF(A140="","",(AC140="Yes")*1+(AD140="Yes")*1+(AE140="Yes")*1+(AF140="Yes")*1+(AG140="Yes")*1+(AH140="Yes")*1)</f>
        <v>0</v>
      </c>
      <c r="W140" s="8">
        <f>IF(A140="","",COUNTIFS('Meal Plan'!$G$5:$G$504,A140,'Meal Plan'!$S$5:$S$504,"Cooked")+COUNTIFS('Meal Plan'!$G$5:$G$504,A140,'Meal Plan'!$S$5:$S$504,"Eaten"))</f>
        <v>0</v>
      </c>
      <c r="X140" s="8">
        <f>IF(A140="","",IF(SUMPRODUCT(MAX(('Meal Plan'!$G$5:$G$504=A140)*'Meal Plan'!$B$5:$B$504))=0,"",SUMPRODUCT(MAX(('Meal Plan'!$G$5:$G$504=A140)*'Meal Plan'!$B$5:$B$504))))</f>
        <v>0</v>
      </c>
      <c r="Y140" s="8">
        <f>IF(OR(A140="",X140=""),"",TODAY()-X140)</f>
        <v>0</v>
      </c>
      <c r="Z140" s="8">
        <f>IF(A140="","",IF(Y140="","Yes",IF(Y140&gt;=Rotation_Gap_Days,"Yes","No")))</f>
        <v>0</v>
      </c>
      <c r="AA140" s="8">
        <f>IF(A140="","",IF(Z140="No","Too soon",IF(AND(AN140&lt;&gt;"",AN140&gt;=4),"Plan it","Available")))</f>
        <v>0</v>
      </c>
      <c r="AB140" s="27"/>
      <c r="AC140" s="27"/>
      <c r="AD140" s="27"/>
      <c r="AE140" s="27"/>
      <c r="AF140" s="27"/>
      <c r="AG140" s="27"/>
      <c r="AH140" s="27"/>
      <c r="AI140" s="27"/>
      <c r="AJ140" s="27"/>
      <c r="AK140" s="8">
        <f>IF(A140="","",IF(G140&lt;=30,"Yes","No"))</f>
        <v>0</v>
      </c>
      <c r="AL140" s="27"/>
      <c r="AM140" s="30"/>
      <c r="AN140" s="26"/>
      <c r="AO140" s="7"/>
      <c r="AP140" s="7"/>
      <c r="AQ140" s="7"/>
      <c r="AR140" s="25"/>
      <c r="AS140" s="8">
        <f>IF(A140="","",COUNTIFS($H$5:$H$204,"&gt;"&amp;H140)+1)</f>
        <v>0</v>
      </c>
      <c r="AT140" s="8">
        <f>IF(A140="","",COUNTIFS($I$5:$I$204,"&gt;"&amp;I140)+1)</f>
        <v>0</v>
      </c>
      <c r="AU140" s="8">
        <f>IF(A140="","",COUNTIFS($L$5:$L$204,"&gt;"&amp;L140)+1)</f>
        <v>0</v>
      </c>
      <c r="AV140" s="8">
        <f>IF(OR(A140="",Q140=""),"",COUNTIFS($Q$5:$Q$204,"&lt;"&amp;Q140)+1)</f>
        <v>0</v>
      </c>
      <c r="AW140" s="8">
        <f>IF(A140="","",COUNTIFS($V$5:$V$204,"&gt;"&amp;V140)+1)</f>
        <v>0</v>
      </c>
      <c r="AX140" s="8">
        <f>IF(A140="","",COUNTIFS($Y$5:$Y$204,"&lt;"&amp;Y140)+1)</f>
        <v>0</v>
      </c>
      <c r="AY140" s="8">
        <f>IF(A140="","",COUNTIFS($W$5:$W$204,"&gt;"&amp;W140)+1)</f>
        <v>0</v>
      </c>
    </row>
    <row r="141" spans="1:51">
      <c r="A141" s="7"/>
      <c r="B141" s="27"/>
      <c r="C141" s="27"/>
      <c r="D141" s="26"/>
      <c r="E141" s="26"/>
      <c r="F141" s="26"/>
      <c r="G141" s="8">
        <f>IF(A141="","",E141+F141)</f>
        <v>0</v>
      </c>
      <c r="H141" s="26"/>
      <c r="I141" s="26"/>
      <c r="J141" s="26"/>
      <c r="K141" s="26"/>
      <c r="L141" s="26"/>
      <c r="M141" s="26"/>
      <c r="N141" s="26"/>
      <c r="O141" s="8">
        <f>IF(A141="","",COUNTIFS('Recipe Ingredients'!$A$5:$A$1204,A141))</f>
        <v>0</v>
      </c>
      <c r="P141" s="8">
        <f>IF(A141="","",SUMIFS('Recipe Ingredients'!$H$5:$H$1204,'Recipe Ingredients'!$A$5:$A$1204,A141))</f>
        <v>0</v>
      </c>
      <c r="Q141" s="8">
        <f>IF(OR(A141="",D141=0,D141=""),"",P141/D141)</f>
        <v>0</v>
      </c>
      <c r="R141" s="8">
        <f>IF(OR(A141="",H141=0,H141=""),"",IFERROR(Q141/H141*1000,""))</f>
        <v>0</v>
      </c>
      <c r="S141" s="8">
        <f>IF(OR(A141="",Q141="",Q141=0),"",IFERROR(H141/Q141,""))</f>
        <v>0</v>
      </c>
      <c r="T141" s="8">
        <f>IF(OR(A141="",Q141="",Q141=0),"",IFERROR(I141/Q141,""))</f>
        <v>0</v>
      </c>
      <c r="U141" s="8">
        <f>IF(OR(A141="",G141="",G141=0),"",IFERROR(H141/G141*10,""))</f>
        <v>0</v>
      </c>
      <c r="V141" s="8">
        <f>IF(A141="","",(AC141="Yes")*1+(AD141="Yes")*1+(AE141="Yes")*1+(AF141="Yes")*1+(AG141="Yes")*1+(AH141="Yes")*1)</f>
        <v>0</v>
      </c>
      <c r="W141" s="8">
        <f>IF(A141="","",COUNTIFS('Meal Plan'!$G$5:$G$504,A141,'Meal Plan'!$S$5:$S$504,"Cooked")+COUNTIFS('Meal Plan'!$G$5:$G$504,A141,'Meal Plan'!$S$5:$S$504,"Eaten"))</f>
        <v>0</v>
      </c>
      <c r="X141" s="8">
        <f>IF(A141="","",IF(SUMPRODUCT(MAX(('Meal Plan'!$G$5:$G$504=A141)*'Meal Plan'!$B$5:$B$504))=0,"",SUMPRODUCT(MAX(('Meal Plan'!$G$5:$G$504=A141)*'Meal Plan'!$B$5:$B$504))))</f>
        <v>0</v>
      </c>
      <c r="Y141" s="8">
        <f>IF(OR(A141="",X141=""),"",TODAY()-X141)</f>
        <v>0</v>
      </c>
      <c r="Z141" s="8">
        <f>IF(A141="","",IF(Y141="","Yes",IF(Y141&gt;=Rotation_Gap_Days,"Yes","No")))</f>
        <v>0</v>
      </c>
      <c r="AA141" s="8">
        <f>IF(A141="","",IF(Z141="No","Too soon",IF(AND(AN141&lt;&gt;"",AN141&gt;=4),"Plan it","Available")))</f>
        <v>0</v>
      </c>
      <c r="AB141" s="27"/>
      <c r="AC141" s="27"/>
      <c r="AD141" s="27"/>
      <c r="AE141" s="27"/>
      <c r="AF141" s="27"/>
      <c r="AG141" s="27"/>
      <c r="AH141" s="27"/>
      <c r="AI141" s="27"/>
      <c r="AJ141" s="27"/>
      <c r="AK141" s="8">
        <f>IF(A141="","",IF(G141&lt;=30,"Yes","No"))</f>
        <v>0</v>
      </c>
      <c r="AL141" s="27"/>
      <c r="AM141" s="30"/>
      <c r="AN141" s="26"/>
      <c r="AO141" s="7"/>
      <c r="AP141" s="7"/>
      <c r="AQ141" s="7"/>
      <c r="AR141" s="25"/>
      <c r="AS141" s="8">
        <f>IF(A141="","",COUNTIFS($H$5:$H$204,"&gt;"&amp;H141)+1)</f>
        <v>0</v>
      </c>
      <c r="AT141" s="8">
        <f>IF(A141="","",COUNTIFS($I$5:$I$204,"&gt;"&amp;I141)+1)</f>
        <v>0</v>
      </c>
      <c r="AU141" s="8">
        <f>IF(A141="","",COUNTIFS($L$5:$L$204,"&gt;"&amp;L141)+1)</f>
        <v>0</v>
      </c>
      <c r="AV141" s="8">
        <f>IF(OR(A141="",Q141=""),"",COUNTIFS($Q$5:$Q$204,"&lt;"&amp;Q141)+1)</f>
        <v>0</v>
      </c>
      <c r="AW141" s="8">
        <f>IF(A141="","",COUNTIFS($V$5:$V$204,"&gt;"&amp;V141)+1)</f>
        <v>0</v>
      </c>
      <c r="AX141" s="8">
        <f>IF(A141="","",COUNTIFS($Y$5:$Y$204,"&lt;"&amp;Y141)+1)</f>
        <v>0</v>
      </c>
      <c r="AY141" s="8">
        <f>IF(A141="","",COUNTIFS($W$5:$W$204,"&gt;"&amp;W141)+1)</f>
        <v>0</v>
      </c>
    </row>
    <row r="142" spans="1:51">
      <c r="A142" s="7"/>
      <c r="B142" s="27"/>
      <c r="C142" s="27"/>
      <c r="D142" s="26"/>
      <c r="E142" s="26"/>
      <c r="F142" s="26"/>
      <c r="G142" s="8">
        <f>IF(A142="","",E142+F142)</f>
        <v>0</v>
      </c>
      <c r="H142" s="26"/>
      <c r="I142" s="26"/>
      <c r="J142" s="26"/>
      <c r="K142" s="26"/>
      <c r="L142" s="26"/>
      <c r="M142" s="26"/>
      <c r="N142" s="26"/>
      <c r="O142" s="8">
        <f>IF(A142="","",COUNTIFS('Recipe Ingredients'!$A$5:$A$1204,A142))</f>
        <v>0</v>
      </c>
      <c r="P142" s="8">
        <f>IF(A142="","",SUMIFS('Recipe Ingredients'!$H$5:$H$1204,'Recipe Ingredients'!$A$5:$A$1204,A142))</f>
        <v>0</v>
      </c>
      <c r="Q142" s="8">
        <f>IF(OR(A142="",D142=0,D142=""),"",P142/D142)</f>
        <v>0</v>
      </c>
      <c r="R142" s="8">
        <f>IF(OR(A142="",H142=0,H142=""),"",IFERROR(Q142/H142*1000,""))</f>
        <v>0</v>
      </c>
      <c r="S142" s="8">
        <f>IF(OR(A142="",Q142="",Q142=0),"",IFERROR(H142/Q142,""))</f>
        <v>0</v>
      </c>
      <c r="T142" s="8">
        <f>IF(OR(A142="",Q142="",Q142=0),"",IFERROR(I142/Q142,""))</f>
        <v>0</v>
      </c>
      <c r="U142" s="8">
        <f>IF(OR(A142="",G142="",G142=0),"",IFERROR(H142/G142*10,""))</f>
        <v>0</v>
      </c>
      <c r="V142" s="8">
        <f>IF(A142="","",(AC142="Yes")*1+(AD142="Yes")*1+(AE142="Yes")*1+(AF142="Yes")*1+(AG142="Yes")*1+(AH142="Yes")*1)</f>
        <v>0</v>
      </c>
      <c r="W142" s="8">
        <f>IF(A142="","",COUNTIFS('Meal Plan'!$G$5:$G$504,A142,'Meal Plan'!$S$5:$S$504,"Cooked")+COUNTIFS('Meal Plan'!$G$5:$G$504,A142,'Meal Plan'!$S$5:$S$504,"Eaten"))</f>
        <v>0</v>
      </c>
      <c r="X142" s="8">
        <f>IF(A142="","",IF(SUMPRODUCT(MAX(('Meal Plan'!$G$5:$G$504=A142)*'Meal Plan'!$B$5:$B$504))=0,"",SUMPRODUCT(MAX(('Meal Plan'!$G$5:$G$504=A142)*'Meal Plan'!$B$5:$B$504))))</f>
        <v>0</v>
      </c>
      <c r="Y142" s="8">
        <f>IF(OR(A142="",X142=""),"",TODAY()-X142)</f>
        <v>0</v>
      </c>
      <c r="Z142" s="8">
        <f>IF(A142="","",IF(Y142="","Yes",IF(Y142&gt;=Rotation_Gap_Days,"Yes","No")))</f>
        <v>0</v>
      </c>
      <c r="AA142" s="8">
        <f>IF(A142="","",IF(Z142="No","Too soon",IF(AND(AN142&lt;&gt;"",AN142&gt;=4),"Plan it","Available")))</f>
        <v>0</v>
      </c>
      <c r="AB142" s="27"/>
      <c r="AC142" s="27"/>
      <c r="AD142" s="27"/>
      <c r="AE142" s="27"/>
      <c r="AF142" s="27"/>
      <c r="AG142" s="27"/>
      <c r="AH142" s="27"/>
      <c r="AI142" s="27"/>
      <c r="AJ142" s="27"/>
      <c r="AK142" s="8">
        <f>IF(A142="","",IF(G142&lt;=30,"Yes","No"))</f>
        <v>0</v>
      </c>
      <c r="AL142" s="27"/>
      <c r="AM142" s="30"/>
      <c r="AN142" s="26"/>
      <c r="AO142" s="7"/>
      <c r="AP142" s="7"/>
      <c r="AQ142" s="7"/>
      <c r="AR142" s="25"/>
      <c r="AS142" s="8">
        <f>IF(A142="","",COUNTIFS($H$5:$H$204,"&gt;"&amp;H142)+1)</f>
        <v>0</v>
      </c>
      <c r="AT142" s="8">
        <f>IF(A142="","",COUNTIFS($I$5:$I$204,"&gt;"&amp;I142)+1)</f>
        <v>0</v>
      </c>
      <c r="AU142" s="8">
        <f>IF(A142="","",COUNTIFS($L$5:$L$204,"&gt;"&amp;L142)+1)</f>
        <v>0</v>
      </c>
      <c r="AV142" s="8">
        <f>IF(OR(A142="",Q142=""),"",COUNTIFS($Q$5:$Q$204,"&lt;"&amp;Q142)+1)</f>
        <v>0</v>
      </c>
      <c r="AW142" s="8">
        <f>IF(A142="","",COUNTIFS($V$5:$V$204,"&gt;"&amp;V142)+1)</f>
        <v>0</v>
      </c>
      <c r="AX142" s="8">
        <f>IF(A142="","",COUNTIFS($Y$5:$Y$204,"&lt;"&amp;Y142)+1)</f>
        <v>0</v>
      </c>
      <c r="AY142" s="8">
        <f>IF(A142="","",COUNTIFS($W$5:$W$204,"&gt;"&amp;W142)+1)</f>
        <v>0</v>
      </c>
    </row>
    <row r="143" spans="1:51">
      <c r="A143" s="7"/>
      <c r="B143" s="27"/>
      <c r="C143" s="27"/>
      <c r="D143" s="26"/>
      <c r="E143" s="26"/>
      <c r="F143" s="26"/>
      <c r="G143" s="8">
        <f>IF(A143="","",E143+F143)</f>
        <v>0</v>
      </c>
      <c r="H143" s="26"/>
      <c r="I143" s="26"/>
      <c r="J143" s="26"/>
      <c r="K143" s="26"/>
      <c r="L143" s="26"/>
      <c r="M143" s="26"/>
      <c r="N143" s="26"/>
      <c r="O143" s="8">
        <f>IF(A143="","",COUNTIFS('Recipe Ingredients'!$A$5:$A$1204,A143))</f>
        <v>0</v>
      </c>
      <c r="P143" s="8">
        <f>IF(A143="","",SUMIFS('Recipe Ingredients'!$H$5:$H$1204,'Recipe Ingredients'!$A$5:$A$1204,A143))</f>
        <v>0</v>
      </c>
      <c r="Q143" s="8">
        <f>IF(OR(A143="",D143=0,D143=""),"",P143/D143)</f>
        <v>0</v>
      </c>
      <c r="R143" s="8">
        <f>IF(OR(A143="",H143=0,H143=""),"",IFERROR(Q143/H143*1000,""))</f>
        <v>0</v>
      </c>
      <c r="S143" s="8">
        <f>IF(OR(A143="",Q143="",Q143=0),"",IFERROR(H143/Q143,""))</f>
        <v>0</v>
      </c>
      <c r="T143" s="8">
        <f>IF(OR(A143="",Q143="",Q143=0),"",IFERROR(I143/Q143,""))</f>
        <v>0</v>
      </c>
      <c r="U143" s="8">
        <f>IF(OR(A143="",G143="",G143=0),"",IFERROR(H143/G143*10,""))</f>
        <v>0</v>
      </c>
      <c r="V143" s="8">
        <f>IF(A143="","",(AC143="Yes")*1+(AD143="Yes")*1+(AE143="Yes")*1+(AF143="Yes")*1+(AG143="Yes")*1+(AH143="Yes")*1)</f>
        <v>0</v>
      </c>
      <c r="W143" s="8">
        <f>IF(A143="","",COUNTIFS('Meal Plan'!$G$5:$G$504,A143,'Meal Plan'!$S$5:$S$504,"Cooked")+COUNTIFS('Meal Plan'!$G$5:$G$504,A143,'Meal Plan'!$S$5:$S$504,"Eaten"))</f>
        <v>0</v>
      </c>
      <c r="X143" s="8">
        <f>IF(A143="","",IF(SUMPRODUCT(MAX(('Meal Plan'!$G$5:$G$504=A143)*'Meal Plan'!$B$5:$B$504))=0,"",SUMPRODUCT(MAX(('Meal Plan'!$G$5:$G$504=A143)*'Meal Plan'!$B$5:$B$504))))</f>
        <v>0</v>
      </c>
      <c r="Y143" s="8">
        <f>IF(OR(A143="",X143=""),"",TODAY()-X143)</f>
        <v>0</v>
      </c>
      <c r="Z143" s="8">
        <f>IF(A143="","",IF(Y143="","Yes",IF(Y143&gt;=Rotation_Gap_Days,"Yes","No")))</f>
        <v>0</v>
      </c>
      <c r="AA143" s="8">
        <f>IF(A143="","",IF(Z143="No","Too soon",IF(AND(AN143&lt;&gt;"",AN143&gt;=4),"Plan it","Available")))</f>
        <v>0</v>
      </c>
      <c r="AB143" s="27"/>
      <c r="AC143" s="27"/>
      <c r="AD143" s="27"/>
      <c r="AE143" s="27"/>
      <c r="AF143" s="27"/>
      <c r="AG143" s="27"/>
      <c r="AH143" s="27"/>
      <c r="AI143" s="27"/>
      <c r="AJ143" s="27"/>
      <c r="AK143" s="8">
        <f>IF(A143="","",IF(G143&lt;=30,"Yes","No"))</f>
        <v>0</v>
      </c>
      <c r="AL143" s="27"/>
      <c r="AM143" s="30"/>
      <c r="AN143" s="26"/>
      <c r="AO143" s="7"/>
      <c r="AP143" s="7"/>
      <c r="AQ143" s="7"/>
      <c r="AR143" s="25"/>
      <c r="AS143" s="8">
        <f>IF(A143="","",COUNTIFS($H$5:$H$204,"&gt;"&amp;H143)+1)</f>
        <v>0</v>
      </c>
      <c r="AT143" s="8">
        <f>IF(A143="","",COUNTIFS($I$5:$I$204,"&gt;"&amp;I143)+1)</f>
        <v>0</v>
      </c>
      <c r="AU143" s="8">
        <f>IF(A143="","",COUNTIFS($L$5:$L$204,"&gt;"&amp;L143)+1)</f>
        <v>0</v>
      </c>
      <c r="AV143" s="8">
        <f>IF(OR(A143="",Q143=""),"",COUNTIFS($Q$5:$Q$204,"&lt;"&amp;Q143)+1)</f>
        <v>0</v>
      </c>
      <c r="AW143" s="8">
        <f>IF(A143="","",COUNTIFS($V$5:$V$204,"&gt;"&amp;V143)+1)</f>
        <v>0</v>
      </c>
      <c r="AX143" s="8">
        <f>IF(A143="","",COUNTIFS($Y$5:$Y$204,"&lt;"&amp;Y143)+1)</f>
        <v>0</v>
      </c>
      <c r="AY143" s="8">
        <f>IF(A143="","",COUNTIFS($W$5:$W$204,"&gt;"&amp;W143)+1)</f>
        <v>0</v>
      </c>
    </row>
    <row r="144" spans="1:51">
      <c r="A144" s="7"/>
      <c r="B144" s="27"/>
      <c r="C144" s="27"/>
      <c r="D144" s="26"/>
      <c r="E144" s="26"/>
      <c r="F144" s="26"/>
      <c r="G144" s="8">
        <f>IF(A144="","",E144+F144)</f>
        <v>0</v>
      </c>
      <c r="H144" s="26"/>
      <c r="I144" s="26"/>
      <c r="J144" s="26"/>
      <c r="K144" s="26"/>
      <c r="L144" s="26"/>
      <c r="M144" s="26"/>
      <c r="N144" s="26"/>
      <c r="O144" s="8">
        <f>IF(A144="","",COUNTIFS('Recipe Ingredients'!$A$5:$A$1204,A144))</f>
        <v>0</v>
      </c>
      <c r="P144" s="8">
        <f>IF(A144="","",SUMIFS('Recipe Ingredients'!$H$5:$H$1204,'Recipe Ingredients'!$A$5:$A$1204,A144))</f>
        <v>0</v>
      </c>
      <c r="Q144" s="8">
        <f>IF(OR(A144="",D144=0,D144=""),"",P144/D144)</f>
        <v>0</v>
      </c>
      <c r="R144" s="8">
        <f>IF(OR(A144="",H144=0,H144=""),"",IFERROR(Q144/H144*1000,""))</f>
        <v>0</v>
      </c>
      <c r="S144" s="8">
        <f>IF(OR(A144="",Q144="",Q144=0),"",IFERROR(H144/Q144,""))</f>
        <v>0</v>
      </c>
      <c r="T144" s="8">
        <f>IF(OR(A144="",Q144="",Q144=0),"",IFERROR(I144/Q144,""))</f>
        <v>0</v>
      </c>
      <c r="U144" s="8">
        <f>IF(OR(A144="",G144="",G144=0),"",IFERROR(H144/G144*10,""))</f>
        <v>0</v>
      </c>
      <c r="V144" s="8">
        <f>IF(A144="","",(AC144="Yes")*1+(AD144="Yes")*1+(AE144="Yes")*1+(AF144="Yes")*1+(AG144="Yes")*1+(AH144="Yes")*1)</f>
        <v>0</v>
      </c>
      <c r="W144" s="8">
        <f>IF(A144="","",COUNTIFS('Meal Plan'!$G$5:$G$504,A144,'Meal Plan'!$S$5:$S$504,"Cooked")+COUNTIFS('Meal Plan'!$G$5:$G$504,A144,'Meal Plan'!$S$5:$S$504,"Eaten"))</f>
        <v>0</v>
      </c>
      <c r="X144" s="8">
        <f>IF(A144="","",IF(SUMPRODUCT(MAX(('Meal Plan'!$G$5:$G$504=A144)*'Meal Plan'!$B$5:$B$504))=0,"",SUMPRODUCT(MAX(('Meal Plan'!$G$5:$G$504=A144)*'Meal Plan'!$B$5:$B$504))))</f>
        <v>0</v>
      </c>
      <c r="Y144" s="8">
        <f>IF(OR(A144="",X144=""),"",TODAY()-X144)</f>
        <v>0</v>
      </c>
      <c r="Z144" s="8">
        <f>IF(A144="","",IF(Y144="","Yes",IF(Y144&gt;=Rotation_Gap_Days,"Yes","No")))</f>
        <v>0</v>
      </c>
      <c r="AA144" s="8">
        <f>IF(A144="","",IF(Z144="No","Too soon",IF(AND(AN144&lt;&gt;"",AN144&gt;=4),"Plan it","Available")))</f>
        <v>0</v>
      </c>
      <c r="AB144" s="27"/>
      <c r="AC144" s="27"/>
      <c r="AD144" s="27"/>
      <c r="AE144" s="27"/>
      <c r="AF144" s="27"/>
      <c r="AG144" s="27"/>
      <c r="AH144" s="27"/>
      <c r="AI144" s="27"/>
      <c r="AJ144" s="27"/>
      <c r="AK144" s="8">
        <f>IF(A144="","",IF(G144&lt;=30,"Yes","No"))</f>
        <v>0</v>
      </c>
      <c r="AL144" s="27"/>
      <c r="AM144" s="30"/>
      <c r="AN144" s="26"/>
      <c r="AO144" s="7"/>
      <c r="AP144" s="7"/>
      <c r="AQ144" s="7"/>
      <c r="AR144" s="25"/>
      <c r="AS144" s="8">
        <f>IF(A144="","",COUNTIFS($H$5:$H$204,"&gt;"&amp;H144)+1)</f>
        <v>0</v>
      </c>
      <c r="AT144" s="8">
        <f>IF(A144="","",COUNTIFS($I$5:$I$204,"&gt;"&amp;I144)+1)</f>
        <v>0</v>
      </c>
      <c r="AU144" s="8">
        <f>IF(A144="","",COUNTIFS($L$5:$L$204,"&gt;"&amp;L144)+1)</f>
        <v>0</v>
      </c>
      <c r="AV144" s="8">
        <f>IF(OR(A144="",Q144=""),"",COUNTIFS($Q$5:$Q$204,"&lt;"&amp;Q144)+1)</f>
        <v>0</v>
      </c>
      <c r="AW144" s="8">
        <f>IF(A144="","",COUNTIFS($V$5:$V$204,"&gt;"&amp;V144)+1)</f>
        <v>0</v>
      </c>
      <c r="AX144" s="8">
        <f>IF(A144="","",COUNTIFS($Y$5:$Y$204,"&lt;"&amp;Y144)+1)</f>
        <v>0</v>
      </c>
      <c r="AY144" s="8">
        <f>IF(A144="","",COUNTIFS($W$5:$W$204,"&gt;"&amp;W144)+1)</f>
        <v>0</v>
      </c>
    </row>
    <row r="145" spans="1:51">
      <c r="A145" s="7"/>
      <c r="B145" s="27"/>
      <c r="C145" s="27"/>
      <c r="D145" s="26"/>
      <c r="E145" s="26"/>
      <c r="F145" s="26"/>
      <c r="G145" s="8">
        <f>IF(A145="","",E145+F145)</f>
        <v>0</v>
      </c>
      <c r="H145" s="26"/>
      <c r="I145" s="26"/>
      <c r="J145" s="26"/>
      <c r="K145" s="26"/>
      <c r="L145" s="26"/>
      <c r="M145" s="26"/>
      <c r="N145" s="26"/>
      <c r="O145" s="8">
        <f>IF(A145="","",COUNTIFS('Recipe Ingredients'!$A$5:$A$1204,A145))</f>
        <v>0</v>
      </c>
      <c r="P145" s="8">
        <f>IF(A145="","",SUMIFS('Recipe Ingredients'!$H$5:$H$1204,'Recipe Ingredients'!$A$5:$A$1204,A145))</f>
        <v>0</v>
      </c>
      <c r="Q145" s="8">
        <f>IF(OR(A145="",D145=0,D145=""),"",P145/D145)</f>
        <v>0</v>
      </c>
      <c r="R145" s="8">
        <f>IF(OR(A145="",H145=0,H145=""),"",IFERROR(Q145/H145*1000,""))</f>
        <v>0</v>
      </c>
      <c r="S145" s="8">
        <f>IF(OR(A145="",Q145="",Q145=0),"",IFERROR(H145/Q145,""))</f>
        <v>0</v>
      </c>
      <c r="T145" s="8">
        <f>IF(OR(A145="",Q145="",Q145=0),"",IFERROR(I145/Q145,""))</f>
        <v>0</v>
      </c>
      <c r="U145" s="8">
        <f>IF(OR(A145="",G145="",G145=0),"",IFERROR(H145/G145*10,""))</f>
        <v>0</v>
      </c>
      <c r="V145" s="8">
        <f>IF(A145="","",(AC145="Yes")*1+(AD145="Yes")*1+(AE145="Yes")*1+(AF145="Yes")*1+(AG145="Yes")*1+(AH145="Yes")*1)</f>
        <v>0</v>
      </c>
      <c r="W145" s="8">
        <f>IF(A145="","",COUNTIFS('Meal Plan'!$G$5:$G$504,A145,'Meal Plan'!$S$5:$S$504,"Cooked")+COUNTIFS('Meal Plan'!$G$5:$G$504,A145,'Meal Plan'!$S$5:$S$504,"Eaten"))</f>
        <v>0</v>
      </c>
      <c r="X145" s="8">
        <f>IF(A145="","",IF(SUMPRODUCT(MAX(('Meal Plan'!$G$5:$G$504=A145)*'Meal Plan'!$B$5:$B$504))=0,"",SUMPRODUCT(MAX(('Meal Plan'!$G$5:$G$504=A145)*'Meal Plan'!$B$5:$B$504))))</f>
        <v>0</v>
      </c>
      <c r="Y145" s="8">
        <f>IF(OR(A145="",X145=""),"",TODAY()-X145)</f>
        <v>0</v>
      </c>
      <c r="Z145" s="8">
        <f>IF(A145="","",IF(Y145="","Yes",IF(Y145&gt;=Rotation_Gap_Days,"Yes","No")))</f>
        <v>0</v>
      </c>
      <c r="AA145" s="8">
        <f>IF(A145="","",IF(Z145="No","Too soon",IF(AND(AN145&lt;&gt;"",AN145&gt;=4),"Plan it","Available")))</f>
        <v>0</v>
      </c>
      <c r="AB145" s="27"/>
      <c r="AC145" s="27"/>
      <c r="AD145" s="27"/>
      <c r="AE145" s="27"/>
      <c r="AF145" s="27"/>
      <c r="AG145" s="27"/>
      <c r="AH145" s="27"/>
      <c r="AI145" s="27"/>
      <c r="AJ145" s="27"/>
      <c r="AK145" s="8">
        <f>IF(A145="","",IF(G145&lt;=30,"Yes","No"))</f>
        <v>0</v>
      </c>
      <c r="AL145" s="27"/>
      <c r="AM145" s="30"/>
      <c r="AN145" s="26"/>
      <c r="AO145" s="7"/>
      <c r="AP145" s="7"/>
      <c r="AQ145" s="7"/>
      <c r="AR145" s="25"/>
      <c r="AS145" s="8">
        <f>IF(A145="","",COUNTIFS($H$5:$H$204,"&gt;"&amp;H145)+1)</f>
        <v>0</v>
      </c>
      <c r="AT145" s="8">
        <f>IF(A145="","",COUNTIFS($I$5:$I$204,"&gt;"&amp;I145)+1)</f>
        <v>0</v>
      </c>
      <c r="AU145" s="8">
        <f>IF(A145="","",COUNTIFS($L$5:$L$204,"&gt;"&amp;L145)+1)</f>
        <v>0</v>
      </c>
      <c r="AV145" s="8">
        <f>IF(OR(A145="",Q145=""),"",COUNTIFS($Q$5:$Q$204,"&lt;"&amp;Q145)+1)</f>
        <v>0</v>
      </c>
      <c r="AW145" s="8">
        <f>IF(A145="","",COUNTIFS($V$5:$V$204,"&gt;"&amp;V145)+1)</f>
        <v>0</v>
      </c>
      <c r="AX145" s="8">
        <f>IF(A145="","",COUNTIFS($Y$5:$Y$204,"&lt;"&amp;Y145)+1)</f>
        <v>0</v>
      </c>
      <c r="AY145" s="8">
        <f>IF(A145="","",COUNTIFS($W$5:$W$204,"&gt;"&amp;W145)+1)</f>
        <v>0</v>
      </c>
    </row>
    <row r="146" spans="1:51">
      <c r="A146" s="7"/>
      <c r="B146" s="27"/>
      <c r="C146" s="27"/>
      <c r="D146" s="26"/>
      <c r="E146" s="26"/>
      <c r="F146" s="26"/>
      <c r="G146" s="8">
        <f>IF(A146="","",E146+F146)</f>
        <v>0</v>
      </c>
      <c r="H146" s="26"/>
      <c r="I146" s="26"/>
      <c r="J146" s="26"/>
      <c r="K146" s="26"/>
      <c r="L146" s="26"/>
      <c r="M146" s="26"/>
      <c r="N146" s="26"/>
      <c r="O146" s="8">
        <f>IF(A146="","",COUNTIFS('Recipe Ingredients'!$A$5:$A$1204,A146))</f>
        <v>0</v>
      </c>
      <c r="P146" s="8">
        <f>IF(A146="","",SUMIFS('Recipe Ingredients'!$H$5:$H$1204,'Recipe Ingredients'!$A$5:$A$1204,A146))</f>
        <v>0</v>
      </c>
      <c r="Q146" s="8">
        <f>IF(OR(A146="",D146=0,D146=""),"",P146/D146)</f>
        <v>0</v>
      </c>
      <c r="R146" s="8">
        <f>IF(OR(A146="",H146=0,H146=""),"",IFERROR(Q146/H146*1000,""))</f>
        <v>0</v>
      </c>
      <c r="S146" s="8">
        <f>IF(OR(A146="",Q146="",Q146=0),"",IFERROR(H146/Q146,""))</f>
        <v>0</v>
      </c>
      <c r="T146" s="8">
        <f>IF(OR(A146="",Q146="",Q146=0),"",IFERROR(I146/Q146,""))</f>
        <v>0</v>
      </c>
      <c r="U146" s="8">
        <f>IF(OR(A146="",G146="",G146=0),"",IFERROR(H146/G146*10,""))</f>
        <v>0</v>
      </c>
      <c r="V146" s="8">
        <f>IF(A146="","",(AC146="Yes")*1+(AD146="Yes")*1+(AE146="Yes")*1+(AF146="Yes")*1+(AG146="Yes")*1+(AH146="Yes")*1)</f>
        <v>0</v>
      </c>
      <c r="W146" s="8">
        <f>IF(A146="","",COUNTIFS('Meal Plan'!$G$5:$G$504,A146,'Meal Plan'!$S$5:$S$504,"Cooked")+COUNTIFS('Meal Plan'!$G$5:$G$504,A146,'Meal Plan'!$S$5:$S$504,"Eaten"))</f>
        <v>0</v>
      </c>
      <c r="X146" s="8">
        <f>IF(A146="","",IF(SUMPRODUCT(MAX(('Meal Plan'!$G$5:$G$504=A146)*'Meal Plan'!$B$5:$B$504))=0,"",SUMPRODUCT(MAX(('Meal Plan'!$G$5:$G$504=A146)*'Meal Plan'!$B$5:$B$504))))</f>
        <v>0</v>
      </c>
      <c r="Y146" s="8">
        <f>IF(OR(A146="",X146=""),"",TODAY()-X146)</f>
        <v>0</v>
      </c>
      <c r="Z146" s="8">
        <f>IF(A146="","",IF(Y146="","Yes",IF(Y146&gt;=Rotation_Gap_Days,"Yes","No")))</f>
        <v>0</v>
      </c>
      <c r="AA146" s="8">
        <f>IF(A146="","",IF(Z146="No","Too soon",IF(AND(AN146&lt;&gt;"",AN146&gt;=4),"Plan it","Available")))</f>
        <v>0</v>
      </c>
      <c r="AB146" s="27"/>
      <c r="AC146" s="27"/>
      <c r="AD146" s="27"/>
      <c r="AE146" s="27"/>
      <c r="AF146" s="27"/>
      <c r="AG146" s="27"/>
      <c r="AH146" s="27"/>
      <c r="AI146" s="27"/>
      <c r="AJ146" s="27"/>
      <c r="AK146" s="8">
        <f>IF(A146="","",IF(G146&lt;=30,"Yes","No"))</f>
        <v>0</v>
      </c>
      <c r="AL146" s="27"/>
      <c r="AM146" s="30"/>
      <c r="AN146" s="26"/>
      <c r="AO146" s="7"/>
      <c r="AP146" s="7"/>
      <c r="AQ146" s="7"/>
      <c r="AR146" s="25"/>
      <c r="AS146" s="8">
        <f>IF(A146="","",COUNTIFS($H$5:$H$204,"&gt;"&amp;H146)+1)</f>
        <v>0</v>
      </c>
      <c r="AT146" s="8">
        <f>IF(A146="","",COUNTIFS($I$5:$I$204,"&gt;"&amp;I146)+1)</f>
        <v>0</v>
      </c>
      <c r="AU146" s="8">
        <f>IF(A146="","",COUNTIFS($L$5:$L$204,"&gt;"&amp;L146)+1)</f>
        <v>0</v>
      </c>
      <c r="AV146" s="8">
        <f>IF(OR(A146="",Q146=""),"",COUNTIFS($Q$5:$Q$204,"&lt;"&amp;Q146)+1)</f>
        <v>0</v>
      </c>
      <c r="AW146" s="8">
        <f>IF(A146="","",COUNTIFS($V$5:$V$204,"&gt;"&amp;V146)+1)</f>
        <v>0</v>
      </c>
      <c r="AX146" s="8">
        <f>IF(A146="","",COUNTIFS($Y$5:$Y$204,"&lt;"&amp;Y146)+1)</f>
        <v>0</v>
      </c>
      <c r="AY146" s="8">
        <f>IF(A146="","",COUNTIFS($W$5:$W$204,"&gt;"&amp;W146)+1)</f>
        <v>0</v>
      </c>
    </row>
    <row r="147" spans="1:51">
      <c r="A147" s="7"/>
      <c r="B147" s="27"/>
      <c r="C147" s="27"/>
      <c r="D147" s="26"/>
      <c r="E147" s="26"/>
      <c r="F147" s="26"/>
      <c r="G147" s="8">
        <f>IF(A147="","",E147+F147)</f>
        <v>0</v>
      </c>
      <c r="H147" s="26"/>
      <c r="I147" s="26"/>
      <c r="J147" s="26"/>
      <c r="K147" s="26"/>
      <c r="L147" s="26"/>
      <c r="M147" s="26"/>
      <c r="N147" s="26"/>
      <c r="O147" s="8">
        <f>IF(A147="","",COUNTIFS('Recipe Ingredients'!$A$5:$A$1204,A147))</f>
        <v>0</v>
      </c>
      <c r="P147" s="8">
        <f>IF(A147="","",SUMIFS('Recipe Ingredients'!$H$5:$H$1204,'Recipe Ingredients'!$A$5:$A$1204,A147))</f>
        <v>0</v>
      </c>
      <c r="Q147" s="8">
        <f>IF(OR(A147="",D147=0,D147=""),"",P147/D147)</f>
        <v>0</v>
      </c>
      <c r="R147" s="8">
        <f>IF(OR(A147="",H147=0,H147=""),"",IFERROR(Q147/H147*1000,""))</f>
        <v>0</v>
      </c>
      <c r="S147" s="8">
        <f>IF(OR(A147="",Q147="",Q147=0),"",IFERROR(H147/Q147,""))</f>
        <v>0</v>
      </c>
      <c r="T147" s="8">
        <f>IF(OR(A147="",Q147="",Q147=0),"",IFERROR(I147/Q147,""))</f>
        <v>0</v>
      </c>
      <c r="U147" s="8">
        <f>IF(OR(A147="",G147="",G147=0),"",IFERROR(H147/G147*10,""))</f>
        <v>0</v>
      </c>
      <c r="V147" s="8">
        <f>IF(A147="","",(AC147="Yes")*1+(AD147="Yes")*1+(AE147="Yes")*1+(AF147="Yes")*1+(AG147="Yes")*1+(AH147="Yes")*1)</f>
        <v>0</v>
      </c>
      <c r="W147" s="8">
        <f>IF(A147="","",COUNTIFS('Meal Plan'!$G$5:$G$504,A147,'Meal Plan'!$S$5:$S$504,"Cooked")+COUNTIFS('Meal Plan'!$G$5:$G$504,A147,'Meal Plan'!$S$5:$S$504,"Eaten"))</f>
        <v>0</v>
      </c>
      <c r="X147" s="8">
        <f>IF(A147="","",IF(SUMPRODUCT(MAX(('Meal Plan'!$G$5:$G$504=A147)*'Meal Plan'!$B$5:$B$504))=0,"",SUMPRODUCT(MAX(('Meal Plan'!$G$5:$G$504=A147)*'Meal Plan'!$B$5:$B$504))))</f>
        <v>0</v>
      </c>
      <c r="Y147" s="8">
        <f>IF(OR(A147="",X147=""),"",TODAY()-X147)</f>
        <v>0</v>
      </c>
      <c r="Z147" s="8">
        <f>IF(A147="","",IF(Y147="","Yes",IF(Y147&gt;=Rotation_Gap_Days,"Yes","No")))</f>
        <v>0</v>
      </c>
      <c r="AA147" s="8">
        <f>IF(A147="","",IF(Z147="No","Too soon",IF(AND(AN147&lt;&gt;"",AN147&gt;=4),"Plan it","Available")))</f>
        <v>0</v>
      </c>
      <c r="AB147" s="27"/>
      <c r="AC147" s="27"/>
      <c r="AD147" s="27"/>
      <c r="AE147" s="27"/>
      <c r="AF147" s="27"/>
      <c r="AG147" s="27"/>
      <c r="AH147" s="27"/>
      <c r="AI147" s="27"/>
      <c r="AJ147" s="27"/>
      <c r="AK147" s="8">
        <f>IF(A147="","",IF(G147&lt;=30,"Yes","No"))</f>
        <v>0</v>
      </c>
      <c r="AL147" s="27"/>
      <c r="AM147" s="30"/>
      <c r="AN147" s="26"/>
      <c r="AO147" s="7"/>
      <c r="AP147" s="7"/>
      <c r="AQ147" s="7"/>
      <c r="AR147" s="25"/>
      <c r="AS147" s="8">
        <f>IF(A147="","",COUNTIFS($H$5:$H$204,"&gt;"&amp;H147)+1)</f>
        <v>0</v>
      </c>
      <c r="AT147" s="8">
        <f>IF(A147="","",COUNTIFS($I$5:$I$204,"&gt;"&amp;I147)+1)</f>
        <v>0</v>
      </c>
      <c r="AU147" s="8">
        <f>IF(A147="","",COUNTIFS($L$5:$L$204,"&gt;"&amp;L147)+1)</f>
        <v>0</v>
      </c>
      <c r="AV147" s="8">
        <f>IF(OR(A147="",Q147=""),"",COUNTIFS($Q$5:$Q$204,"&lt;"&amp;Q147)+1)</f>
        <v>0</v>
      </c>
      <c r="AW147" s="8">
        <f>IF(A147="","",COUNTIFS($V$5:$V$204,"&gt;"&amp;V147)+1)</f>
        <v>0</v>
      </c>
      <c r="AX147" s="8">
        <f>IF(A147="","",COUNTIFS($Y$5:$Y$204,"&lt;"&amp;Y147)+1)</f>
        <v>0</v>
      </c>
      <c r="AY147" s="8">
        <f>IF(A147="","",COUNTIFS($W$5:$W$204,"&gt;"&amp;W147)+1)</f>
        <v>0</v>
      </c>
    </row>
    <row r="148" spans="1:51">
      <c r="A148" s="7"/>
      <c r="B148" s="27"/>
      <c r="C148" s="27"/>
      <c r="D148" s="26"/>
      <c r="E148" s="26"/>
      <c r="F148" s="26"/>
      <c r="G148" s="8">
        <f>IF(A148="","",E148+F148)</f>
        <v>0</v>
      </c>
      <c r="H148" s="26"/>
      <c r="I148" s="26"/>
      <c r="J148" s="26"/>
      <c r="K148" s="26"/>
      <c r="L148" s="26"/>
      <c r="M148" s="26"/>
      <c r="N148" s="26"/>
      <c r="O148" s="8">
        <f>IF(A148="","",COUNTIFS('Recipe Ingredients'!$A$5:$A$1204,A148))</f>
        <v>0</v>
      </c>
      <c r="P148" s="8">
        <f>IF(A148="","",SUMIFS('Recipe Ingredients'!$H$5:$H$1204,'Recipe Ingredients'!$A$5:$A$1204,A148))</f>
        <v>0</v>
      </c>
      <c r="Q148" s="8">
        <f>IF(OR(A148="",D148=0,D148=""),"",P148/D148)</f>
        <v>0</v>
      </c>
      <c r="R148" s="8">
        <f>IF(OR(A148="",H148=0,H148=""),"",IFERROR(Q148/H148*1000,""))</f>
        <v>0</v>
      </c>
      <c r="S148" s="8">
        <f>IF(OR(A148="",Q148="",Q148=0),"",IFERROR(H148/Q148,""))</f>
        <v>0</v>
      </c>
      <c r="T148" s="8">
        <f>IF(OR(A148="",Q148="",Q148=0),"",IFERROR(I148/Q148,""))</f>
        <v>0</v>
      </c>
      <c r="U148" s="8">
        <f>IF(OR(A148="",G148="",G148=0),"",IFERROR(H148/G148*10,""))</f>
        <v>0</v>
      </c>
      <c r="V148" s="8">
        <f>IF(A148="","",(AC148="Yes")*1+(AD148="Yes")*1+(AE148="Yes")*1+(AF148="Yes")*1+(AG148="Yes")*1+(AH148="Yes")*1)</f>
        <v>0</v>
      </c>
      <c r="W148" s="8">
        <f>IF(A148="","",COUNTIFS('Meal Plan'!$G$5:$G$504,A148,'Meal Plan'!$S$5:$S$504,"Cooked")+COUNTIFS('Meal Plan'!$G$5:$G$504,A148,'Meal Plan'!$S$5:$S$504,"Eaten"))</f>
        <v>0</v>
      </c>
      <c r="X148" s="8">
        <f>IF(A148="","",IF(SUMPRODUCT(MAX(('Meal Plan'!$G$5:$G$504=A148)*'Meal Plan'!$B$5:$B$504))=0,"",SUMPRODUCT(MAX(('Meal Plan'!$G$5:$G$504=A148)*'Meal Plan'!$B$5:$B$504))))</f>
        <v>0</v>
      </c>
      <c r="Y148" s="8">
        <f>IF(OR(A148="",X148=""),"",TODAY()-X148)</f>
        <v>0</v>
      </c>
      <c r="Z148" s="8">
        <f>IF(A148="","",IF(Y148="","Yes",IF(Y148&gt;=Rotation_Gap_Days,"Yes","No")))</f>
        <v>0</v>
      </c>
      <c r="AA148" s="8">
        <f>IF(A148="","",IF(Z148="No","Too soon",IF(AND(AN148&lt;&gt;"",AN148&gt;=4),"Plan it","Available")))</f>
        <v>0</v>
      </c>
      <c r="AB148" s="27"/>
      <c r="AC148" s="27"/>
      <c r="AD148" s="27"/>
      <c r="AE148" s="27"/>
      <c r="AF148" s="27"/>
      <c r="AG148" s="27"/>
      <c r="AH148" s="27"/>
      <c r="AI148" s="27"/>
      <c r="AJ148" s="27"/>
      <c r="AK148" s="8">
        <f>IF(A148="","",IF(G148&lt;=30,"Yes","No"))</f>
        <v>0</v>
      </c>
      <c r="AL148" s="27"/>
      <c r="AM148" s="30"/>
      <c r="AN148" s="26"/>
      <c r="AO148" s="7"/>
      <c r="AP148" s="7"/>
      <c r="AQ148" s="7"/>
      <c r="AR148" s="25"/>
      <c r="AS148" s="8">
        <f>IF(A148="","",COUNTIFS($H$5:$H$204,"&gt;"&amp;H148)+1)</f>
        <v>0</v>
      </c>
      <c r="AT148" s="8">
        <f>IF(A148="","",COUNTIFS($I$5:$I$204,"&gt;"&amp;I148)+1)</f>
        <v>0</v>
      </c>
      <c r="AU148" s="8">
        <f>IF(A148="","",COUNTIFS($L$5:$L$204,"&gt;"&amp;L148)+1)</f>
        <v>0</v>
      </c>
      <c r="AV148" s="8">
        <f>IF(OR(A148="",Q148=""),"",COUNTIFS($Q$5:$Q$204,"&lt;"&amp;Q148)+1)</f>
        <v>0</v>
      </c>
      <c r="AW148" s="8">
        <f>IF(A148="","",COUNTIFS($V$5:$V$204,"&gt;"&amp;V148)+1)</f>
        <v>0</v>
      </c>
      <c r="AX148" s="8">
        <f>IF(A148="","",COUNTIFS($Y$5:$Y$204,"&lt;"&amp;Y148)+1)</f>
        <v>0</v>
      </c>
      <c r="AY148" s="8">
        <f>IF(A148="","",COUNTIFS($W$5:$W$204,"&gt;"&amp;W148)+1)</f>
        <v>0</v>
      </c>
    </row>
    <row r="149" spans="1:51">
      <c r="A149" s="7"/>
      <c r="B149" s="27"/>
      <c r="C149" s="27"/>
      <c r="D149" s="26"/>
      <c r="E149" s="26"/>
      <c r="F149" s="26"/>
      <c r="G149" s="8">
        <f>IF(A149="","",E149+F149)</f>
        <v>0</v>
      </c>
      <c r="H149" s="26"/>
      <c r="I149" s="26"/>
      <c r="J149" s="26"/>
      <c r="K149" s="26"/>
      <c r="L149" s="26"/>
      <c r="M149" s="26"/>
      <c r="N149" s="26"/>
      <c r="O149" s="8">
        <f>IF(A149="","",COUNTIFS('Recipe Ingredients'!$A$5:$A$1204,A149))</f>
        <v>0</v>
      </c>
      <c r="P149" s="8">
        <f>IF(A149="","",SUMIFS('Recipe Ingredients'!$H$5:$H$1204,'Recipe Ingredients'!$A$5:$A$1204,A149))</f>
        <v>0</v>
      </c>
      <c r="Q149" s="8">
        <f>IF(OR(A149="",D149=0,D149=""),"",P149/D149)</f>
        <v>0</v>
      </c>
      <c r="R149" s="8">
        <f>IF(OR(A149="",H149=0,H149=""),"",IFERROR(Q149/H149*1000,""))</f>
        <v>0</v>
      </c>
      <c r="S149" s="8">
        <f>IF(OR(A149="",Q149="",Q149=0),"",IFERROR(H149/Q149,""))</f>
        <v>0</v>
      </c>
      <c r="T149" s="8">
        <f>IF(OR(A149="",Q149="",Q149=0),"",IFERROR(I149/Q149,""))</f>
        <v>0</v>
      </c>
      <c r="U149" s="8">
        <f>IF(OR(A149="",G149="",G149=0),"",IFERROR(H149/G149*10,""))</f>
        <v>0</v>
      </c>
      <c r="V149" s="8">
        <f>IF(A149="","",(AC149="Yes")*1+(AD149="Yes")*1+(AE149="Yes")*1+(AF149="Yes")*1+(AG149="Yes")*1+(AH149="Yes")*1)</f>
        <v>0</v>
      </c>
      <c r="W149" s="8">
        <f>IF(A149="","",COUNTIFS('Meal Plan'!$G$5:$G$504,A149,'Meal Plan'!$S$5:$S$504,"Cooked")+COUNTIFS('Meal Plan'!$G$5:$G$504,A149,'Meal Plan'!$S$5:$S$504,"Eaten"))</f>
        <v>0</v>
      </c>
      <c r="X149" s="8">
        <f>IF(A149="","",IF(SUMPRODUCT(MAX(('Meal Plan'!$G$5:$G$504=A149)*'Meal Plan'!$B$5:$B$504))=0,"",SUMPRODUCT(MAX(('Meal Plan'!$G$5:$G$504=A149)*'Meal Plan'!$B$5:$B$504))))</f>
        <v>0</v>
      </c>
      <c r="Y149" s="8">
        <f>IF(OR(A149="",X149=""),"",TODAY()-X149)</f>
        <v>0</v>
      </c>
      <c r="Z149" s="8">
        <f>IF(A149="","",IF(Y149="","Yes",IF(Y149&gt;=Rotation_Gap_Days,"Yes","No")))</f>
        <v>0</v>
      </c>
      <c r="AA149" s="8">
        <f>IF(A149="","",IF(Z149="No","Too soon",IF(AND(AN149&lt;&gt;"",AN149&gt;=4),"Plan it","Available")))</f>
        <v>0</v>
      </c>
      <c r="AB149" s="27"/>
      <c r="AC149" s="27"/>
      <c r="AD149" s="27"/>
      <c r="AE149" s="27"/>
      <c r="AF149" s="27"/>
      <c r="AG149" s="27"/>
      <c r="AH149" s="27"/>
      <c r="AI149" s="27"/>
      <c r="AJ149" s="27"/>
      <c r="AK149" s="8">
        <f>IF(A149="","",IF(G149&lt;=30,"Yes","No"))</f>
        <v>0</v>
      </c>
      <c r="AL149" s="27"/>
      <c r="AM149" s="30"/>
      <c r="AN149" s="26"/>
      <c r="AO149" s="7"/>
      <c r="AP149" s="7"/>
      <c r="AQ149" s="7"/>
      <c r="AR149" s="25"/>
      <c r="AS149" s="8">
        <f>IF(A149="","",COUNTIFS($H$5:$H$204,"&gt;"&amp;H149)+1)</f>
        <v>0</v>
      </c>
      <c r="AT149" s="8">
        <f>IF(A149="","",COUNTIFS($I$5:$I$204,"&gt;"&amp;I149)+1)</f>
        <v>0</v>
      </c>
      <c r="AU149" s="8">
        <f>IF(A149="","",COUNTIFS($L$5:$L$204,"&gt;"&amp;L149)+1)</f>
        <v>0</v>
      </c>
      <c r="AV149" s="8">
        <f>IF(OR(A149="",Q149=""),"",COUNTIFS($Q$5:$Q$204,"&lt;"&amp;Q149)+1)</f>
        <v>0</v>
      </c>
      <c r="AW149" s="8">
        <f>IF(A149="","",COUNTIFS($V$5:$V$204,"&gt;"&amp;V149)+1)</f>
        <v>0</v>
      </c>
      <c r="AX149" s="8">
        <f>IF(A149="","",COUNTIFS($Y$5:$Y$204,"&lt;"&amp;Y149)+1)</f>
        <v>0</v>
      </c>
      <c r="AY149" s="8">
        <f>IF(A149="","",COUNTIFS($W$5:$W$204,"&gt;"&amp;W149)+1)</f>
        <v>0</v>
      </c>
    </row>
    <row r="150" spans="1:51">
      <c r="A150" s="7"/>
      <c r="B150" s="27"/>
      <c r="C150" s="27"/>
      <c r="D150" s="26"/>
      <c r="E150" s="26"/>
      <c r="F150" s="26"/>
      <c r="G150" s="8">
        <f>IF(A150="","",E150+F150)</f>
        <v>0</v>
      </c>
      <c r="H150" s="26"/>
      <c r="I150" s="26"/>
      <c r="J150" s="26"/>
      <c r="K150" s="26"/>
      <c r="L150" s="26"/>
      <c r="M150" s="26"/>
      <c r="N150" s="26"/>
      <c r="O150" s="8">
        <f>IF(A150="","",COUNTIFS('Recipe Ingredients'!$A$5:$A$1204,A150))</f>
        <v>0</v>
      </c>
      <c r="P150" s="8">
        <f>IF(A150="","",SUMIFS('Recipe Ingredients'!$H$5:$H$1204,'Recipe Ingredients'!$A$5:$A$1204,A150))</f>
        <v>0</v>
      </c>
      <c r="Q150" s="8">
        <f>IF(OR(A150="",D150=0,D150=""),"",P150/D150)</f>
        <v>0</v>
      </c>
      <c r="R150" s="8">
        <f>IF(OR(A150="",H150=0,H150=""),"",IFERROR(Q150/H150*1000,""))</f>
        <v>0</v>
      </c>
      <c r="S150" s="8">
        <f>IF(OR(A150="",Q150="",Q150=0),"",IFERROR(H150/Q150,""))</f>
        <v>0</v>
      </c>
      <c r="T150" s="8">
        <f>IF(OR(A150="",Q150="",Q150=0),"",IFERROR(I150/Q150,""))</f>
        <v>0</v>
      </c>
      <c r="U150" s="8">
        <f>IF(OR(A150="",G150="",G150=0),"",IFERROR(H150/G150*10,""))</f>
        <v>0</v>
      </c>
      <c r="V150" s="8">
        <f>IF(A150="","",(AC150="Yes")*1+(AD150="Yes")*1+(AE150="Yes")*1+(AF150="Yes")*1+(AG150="Yes")*1+(AH150="Yes")*1)</f>
        <v>0</v>
      </c>
      <c r="W150" s="8">
        <f>IF(A150="","",COUNTIFS('Meal Plan'!$G$5:$G$504,A150,'Meal Plan'!$S$5:$S$504,"Cooked")+COUNTIFS('Meal Plan'!$G$5:$G$504,A150,'Meal Plan'!$S$5:$S$504,"Eaten"))</f>
        <v>0</v>
      </c>
      <c r="X150" s="8">
        <f>IF(A150="","",IF(SUMPRODUCT(MAX(('Meal Plan'!$G$5:$G$504=A150)*'Meal Plan'!$B$5:$B$504))=0,"",SUMPRODUCT(MAX(('Meal Plan'!$G$5:$G$504=A150)*'Meal Plan'!$B$5:$B$504))))</f>
        <v>0</v>
      </c>
      <c r="Y150" s="8">
        <f>IF(OR(A150="",X150=""),"",TODAY()-X150)</f>
        <v>0</v>
      </c>
      <c r="Z150" s="8">
        <f>IF(A150="","",IF(Y150="","Yes",IF(Y150&gt;=Rotation_Gap_Days,"Yes","No")))</f>
        <v>0</v>
      </c>
      <c r="AA150" s="8">
        <f>IF(A150="","",IF(Z150="No","Too soon",IF(AND(AN150&lt;&gt;"",AN150&gt;=4),"Plan it","Available")))</f>
        <v>0</v>
      </c>
      <c r="AB150" s="27"/>
      <c r="AC150" s="27"/>
      <c r="AD150" s="27"/>
      <c r="AE150" s="27"/>
      <c r="AF150" s="27"/>
      <c r="AG150" s="27"/>
      <c r="AH150" s="27"/>
      <c r="AI150" s="27"/>
      <c r="AJ150" s="27"/>
      <c r="AK150" s="8">
        <f>IF(A150="","",IF(G150&lt;=30,"Yes","No"))</f>
        <v>0</v>
      </c>
      <c r="AL150" s="27"/>
      <c r="AM150" s="30"/>
      <c r="AN150" s="26"/>
      <c r="AO150" s="7"/>
      <c r="AP150" s="7"/>
      <c r="AQ150" s="7"/>
      <c r="AR150" s="25"/>
      <c r="AS150" s="8">
        <f>IF(A150="","",COUNTIFS($H$5:$H$204,"&gt;"&amp;H150)+1)</f>
        <v>0</v>
      </c>
      <c r="AT150" s="8">
        <f>IF(A150="","",COUNTIFS($I$5:$I$204,"&gt;"&amp;I150)+1)</f>
        <v>0</v>
      </c>
      <c r="AU150" s="8">
        <f>IF(A150="","",COUNTIFS($L$5:$L$204,"&gt;"&amp;L150)+1)</f>
        <v>0</v>
      </c>
      <c r="AV150" s="8">
        <f>IF(OR(A150="",Q150=""),"",COUNTIFS($Q$5:$Q$204,"&lt;"&amp;Q150)+1)</f>
        <v>0</v>
      </c>
      <c r="AW150" s="8">
        <f>IF(A150="","",COUNTIFS($V$5:$V$204,"&gt;"&amp;V150)+1)</f>
        <v>0</v>
      </c>
      <c r="AX150" s="8">
        <f>IF(A150="","",COUNTIFS($Y$5:$Y$204,"&lt;"&amp;Y150)+1)</f>
        <v>0</v>
      </c>
      <c r="AY150" s="8">
        <f>IF(A150="","",COUNTIFS($W$5:$W$204,"&gt;"&amp;W150)+1)</f>
        <v>0</v>
      </c>
    </row>
    <row r="151" spans="1:51">
      <c r="A151" s="7"/>
      <c r="B151" s="27"/>
      <c r="C151" s="27"/>
      <c r="D151" s="26"/>
      <c r="E151" s="26"/>
      <c r="F151" s="26"/>
      <c r="G151" s="8">
        <f>IF(A151="","",E151+F151)</f>
        <v>0</v>
      </c>
      <c r="H151" s="26"/>
      <c r="I151" s="26"/>
      <c r="J151" s="26"/>
      <c r="K151" s="26"/>
      <c r="L151" s="26"/>
      <c r="M151" s="26"/>
      <c r="N151" s="26"/>
      <c r="O151" s="8">
        <f>IF(A151="","",COUNTIFS('Recipe Ingredients'!$A$5:$A$1204,A151))</f>
        <v>0</v>
      </c>
      <c r="P151" s="8">
        <f>IF(A151="","",SUMIFS('Recipe Ingredients'!$H$5:$H$1204,'Recipe Ingredients'!$A$5:$A$1204,A151))</f>
        <v>0</v>
      </c>
      <c r="Q151" s="8">
        <f>IF(OR(A151="",D151=0,D151=""),"",P151/D151)</f>
        <v>0</v>
      </c>
      <c r="R151" s="8">
        <f>IF(OR(A151="",H151=0,H151=""),"",IFERROR(Q151/H151*1000,""))</f>
        <v>0</v>
      </c>
      <c r="S151" s="8">
        <f>IF(OR(A151="",Q151="",Q151=0),"",IFERROR(H151/Q151,""))</f>
        <v>0</v>
      </c>
      <c r="T151" s="8">
        <f>IF(OR(A151="",Q151="",Q151=0),"",IFERROR(I151/Q151,""))</f>
        <v>0</v>
      </c>
      <c r="U151" s="8">
        <f>IF(OR(A151="",G151="",G151=0),"",IFERROR(H151/G151*10,""))</f>
        <v>0</v>
      </c>
      <c r="V151" s="8">
        <f>IF(A151="","",(AC151="Yes")*1+(AD151="Yes")*1+(AE151="Yes")*1+(AF151="Yes")*1+(AG151="Yes")*1+(AH151="Yes")*1)</f>
        <v>0</v>
      </c>
      <c r="W151" s="8">
        <f>IF(A151="","",COUNTIFS('Meal Plan'!$G$5:$G$504,A151,'Meal Plan'!$S$5:$S$504,"Cooked")+COUNTIFS('Meal Plan'!$G$5:$G$504,A151,'Meal Plan'!$S$5:$S$504,"Eaten"))</f>
        <v>0</v>
      </c>
      <c r="X151" s="8">
        <f>IF(A151="","",IF(SUMPRODUCT(MAX(('Meal Plan'!$G$5:$G$504=A151)*'Meal Plan'!$B$5:$B$504))=0,"",SUMPRODUCT(MAX(('Meal Plan'!$G$5:$G$504=A151)*'Meal Plan'!$B$5:$B$504))))</f>
        <v>0</v>
      </c>
      <c r="Y151" s="8">
        <f>IF(OR(A151="",X151=""),"",TODAY()-X151)</f>
        <v>0</v>
      </c>
      <c r="Z151" s="8">
        <f>IF(A151="","",IF(Y151="","Yes",IF(Y151&gt;=Rotation_Gap_Days,"Yes","No")))</f>
        <v>0</v>
      </c>
      <c r="AA151" s="8">
        <f>IF(A151="","",IF(Z151="No","Too soon",IF(AND(AN151&lt;&gt;"",AN151&gt;=4),"Plan it","Available")))</f>
        <v>0</v>
      </c>
      <c r="AB151" s="27"/>
      <c r="AC151" s="27"/>
      <c r="AD151" s="27"/>
      <c r="AE151" s="27"/>
      <c r="AF151" s="27"/>
      <c r="AG151" s="27"/>
      <c r="AH151" s="27"/>
      <c r="AI151" s="27"/>
      <c r="AJ151" s="27"/>
      <c r="AK151" s="8">
        <f>IF(A151="","",IF(G151&lt;=30,"Yes","No"))</f>
        <v>0</v>
      </c>
      <c r="AL151" s="27"/>
      <c r="AM151" s="30"/>
      <c r="AN151" s="26"/>
      <c r="AO151" s="7"/>
      <c r="AP151" s="7"/>
      <c r="AQ151" s="7"/>
      <c r="AR151" s="25"/>
      <c r="AS151" s="8">
        <f>IF(A151="","",COUNTIFS($H$5:$H$204,"&gt;"&amp;H151)+1)</f>
        <v>0</v>
      </c>
      <c r="AT151" s="8">
        <f>IF(A151="","",COUNTIFS($I$5:$I$204,"&gt;"&amp;I151)+1)</f>
        <v>0</v>
      </c>
      <c r="AU151" s="8">
        <f>IF(A151="","",COUNTIFS($L$5:$L$204,"&gt;"&amp;L151)+1)</f>
        <v>0</v>
      </c>
      <c r="AV151" s="8">
        <f>IF(OR(A151="",Q151=""),"",COUNTIFS($Q$5:$Q$204,"&lt;"&amp;Q151)+1)</f>
        <v>0</v>
      </c>
      <c r="AW151" s="8">
        <f>IF(A151="","",COUNTIFS($V$5:$V$204,"&gt;"&amp;V151)+1)</f>
        <v>0</v>
      </c>
      <c r="AX151" s="8">
        <f>IF(A151="","",COUNTIFS($Y$5:$Y$204,"&lt;"&amp;Y151)+1)</f>
        <v>0</v>
      </c>
      <c r="AY151" s="8">
        <f>IF(A151="","",COUNTIFS($W$5:$W$204,"&gt;"&amp;W151)+1)</f>
        <v>0</v>
      </c>
    </row>
    <row r="152" spans="1:51">
      <c r="A152" s="7"/>
      <c r="B152" s="27"/>
      <c r="C152" s="27"/>
      <c r="D152" s="26"/>
      <c r="E152" s="26"/>
      <c r="F152" s="26"/>
      <c r="G152" s="8">
        <f>IF(A152="","",E152+F152)</f>
        <v>0</v>
      </c>
      <c r="H152" s="26"/>
      <c r="I152" s="26"/>
      <c r="J152" s="26"/>
      <c r="K152" s="26"/>
      <c r="L152" s="26"/>
      <c r="M152" s="26"/>
      <c r="N152" s="26"/>
      <c r="O152" s="8">
        <f>IF(A152="","",COUNTIFS('Recipe Ingredients'!$A$5:$A$1204,A152))</f>
        <v>0</v>
      </c>
      <c r="P152" s="8">
        <f>IF(A152="","",SUMIFS('Recipe Ingredients'!$H$5:$H$1204,'Recipe Ingredients'!$A$5:$A$1204,A152))</f>
        <v>0</v>
      </c>
      <c r="Q152" s="8">
        <f>IF(OR(A152="",D152=0,D152=""),"",P152/D152)</f>
        <v>0</v>
      </c>
      <c r="R152" s="8">
        <f>IF(OR(A152="",H152=0,H152=""),"",IFERROR(Q152/H152*1000,""))</f>
        <v>0</v>
      </c>
      <c r="S152" s="8">
        <f>IF(OR(A152="",Q152="",Q152=0),"",IFERROR(H152/Q152,""))</f>
        <v>0</v>
      </c>
      <c r="T152" s="8">
        <f>IF(OR(A152="",Q152="",Q152=0),"",IFERROR(I152/Q152,""))</f>
        <v>0</v>
      </c>
      <c r="U152" s="8">
        <f>IF(OR(A152="",G152="",G152=0),"",IFERROR(H152/G152*10,""))</f>
        <v>0</v>
      </c>
      <c r="V152" s="8">
        <f>IF(A152="","",(AC152="Yes")*1+(AD152="Yes")*1+(AE152="Yes")*1+(AF152="Yes")*1+(AG152="Yes")*1+(AH152="Yes")*1)</f>
        <v>0</v>
      </c>
      <c r="W152" s="8">
        <f>IF(A152="","",COUNTIFS('Meal Plan'!$G$5:$G$504,A152,'Meal Plan'!$S$5:$S$504,"Cooked")+COUNTIFS('Meal Plan'!$G$5:$G$504,A152,'Meal Plan'!$S$5:$S$504,"Eaten"))</f>
        <v>0</v>
      </c>
      <c r="X152" s="8">
        <f>IF(A152="","",IF(SUMPRODUCT(MAX(('Meal Plan'!$G$5:$G$504=A152)*'Meal Plan'!$B$5:$B$504))=0,"",SUMPRODUCT(MAX(('Meal Plan'!$G$5:$G$504=A152)*'Meal Plan'!$B$5:$B$504))))</f>
        <v>0</v>
      </c>
      <c r="Y152" s="8">
        <f>IF(OR(A152="",X152=""),"",TODAY()-X152)</f>
        <v>0</v>
      </c>
      <c r="Z152" s="8">
        <f>IF(A152="","",IF(Y152="","Yes",IF(Y152&gt;=Rotation_Gap_Days,"Yes","No")))</f>
        <v>0</v>
      </c>
      <c r="AA152" s="8">
        <f>IF(A152="","",IF(Z152="No","Too soon",IF(AND(AN152&lt;&gt;"",AN152&gt;=4),"Plan it","Available")))</f>
        <v>0</v>
      </c>
      <c r="AB152" s="27"/>
      <c r="AC152" s="27"/>
      <c r="AD152" s="27"/>
      <c r="AE152" s="27"/>
      <c r="AF152" s="27"/>
      <c r="AG152" s="27"/>
      <c r="AH152" s="27"/>
      <c r="AI152" s="27"/>
      <c r="AJ152" s="27"/>
      <c r="AK152" s="8">
        <f>IF(A152="","",IF(G152&lt;=30,"Yes","No"))</f>
        <v>0</v>
      </c>
      <c r="AL152" s="27"/>
      <c r="AM152" s="30"/>
      <c r="AN152" s="26"/>
      <c r="AO152" s="7"/>
      <c r="AP152" s="7"/>
      <c r="AQ152" s="7"/>
      <c r="AR152" s="25"/>
      <c r="AS152" s="8">
        <f>IF(A152="","",COUNTIFS($H$5:$H$204,"&gt;"&amp;H152)+1)</f>
        <v>0</v>
      </c>
      <c r="AT152" s="8">
        <f>IF(A152="","",COUNTIFS($I$5:$I$204,"&gt;"&amp;I152)+1)</f>
        <v>0</v>
      </c>
      <c r="AU152" s="8">
        <f>IF(A152="","",COUNTIFS($L$5:$L$204,"&gt;"&amp;L152)+1)</f>
        <v>0</v>
      </c>
      <c r="AV152" s="8">
        <f>IF(OR(A152="",Q152=""),"",COUNTIFS($Q$5:$Q$204,"&lt;"&amp;Q152)+1)</f>
        <v>0</v>
      </c>
      <c r="AW152" s="8">
        <f>IF(A152="","",COUNTIFS($V$5:$V$204,"&gt;"&amp;V152)+1)</f>
        <v>0</v>
      </c>
      <c r="AX152" s="8">
        <f>IF(A152="","",COUNTIFS($Y$5:$Y$204,"&lt;"&amp;Y152)+1)</f>
        <v>0</v>
      </c>
      <c r="AY152" s="8">
        <f>IF(A152="","",COUNTIFS($W$5:$W$204,"&gt;"&amp;W152)+1)</f>
        <v>0</v>
      </c>
    </row>
    <row r="153" spans="1:51">
      <c r="A153" s="7"/>
      <c r="B153" s="27"/>
      <c r="C153" s="27"/>
      <c r="D153" s="26"/>
      <c r="E153" s="26"/>
      <c r="F153" s="26"/>
      <c r="G153" s="8">
        <f>IF(A153="","",E153+F153)</f>
        <v>0</v>
      </c>
      <c r="H153" s="26"/>
      <c r="I153" s="26"/>
      <c r="J153" s="26"/>
      <c r="K153" s="26"/>
      <c r="L153" s="26"/>
      <c r="M153" s="26"/>
      <c r="N153" s="26"/>
      <c r="O153" s="8">
        <f>IF(A153="","",COUNTIFS('Recipe Ingredients'!$A$5:$A$1204,A153))</f>
        <v>0</v>
      </c>
      <c r="P153" s="8">
        <f>IF(A153="","",SUMIFS('Recipe Ingredients'!$H$5:$H$1204,'Recipe Ingredients'!$A$5:$A$1204,A153))</f>
        <v>0</v>
      </c>
      <c r="Q153" s="8">
        <f>IF(OR(A153="",D153=0,D153=""),"",P153/D153)</f>
        <v>0</v>
      </c>
      <c r="R153" s="8">
        <f>IF(OR(A153="",H153=0,H153=""),"",IFERROR(Q153/H153*1000,""))</f>
        <v>0</v>
      </c>
      <c r="S153" s="8">
        <f>IF(OR(A153="",Q153="",Q153=0),"",IFERROR(H153/Q153,""))</f>
        <v>0</v>
      </c>
      <c r="T153" s="8">
        <f>IF(OR(A153="",Q153="",Q153=0),"",IFERROR(I153/Q153,""))</f>
        <v>0</v>
      </c>
      <c r="U153" s="8">
        <f>IF(OR(A153="",G153="",G153=0),"",IFERROR(H153/G153*10,""))</f>
        <v>0</v>
      </c>
      <c r="V153" s="8">
        <f>IF(A153="","",(AC153="Yes")*1+(AD153="Yes")*1+(AE153="Yes")*1+(AF153="Yes")*1+(AG153="Yes")*1+(AH153="Yes")*1)</f>
        <v>0</v>
      </c>
      <c r="W153" s="8">
        <f>IF(A153="","",COUNTIFS('Meal Plan'!$G$5:$G$504,A153,'Meal Plan'!$S$5:$S$504,"Cooked")+COUNTIFS('Meal Plan'!$G$5:$G$504,A153,'Meal Plan'!$S$5:$S$504,"Eaten"))</f>
        <v>0</v>
      </c>
      <c r="X153" s="8">
        <f>IF(A153="","",IF(SUMPRODUCT(MAX(('Meal Plan'!$G$5:$G$504=A153)*'Meal Plan'!$B$5:$B$504))=0,"",SUMPRODUCT(MAX(('Meal Plan'!$G$5:$G$504=A153)*'Meal Plan'!$B$5:$B$504))))</f>
        <v>0</v>
      </c>
      <c r="Y153" s="8">
        <f>IF(OR(A153="",X153=""),"",TODAY()-X153)</f>
        <v>0</v>
      </c>
      <c r="Z153" s="8">
        <f>IF(A153="","",IF(Y153="","Yes",IF(Y153&gt;=Rotation_Gap_Days,"Yes","No")))</f>
        <v>0</v>
      </c>
      <c r="AA153" s="8">
        <f>IF(A153="","",IF(Z153="No","Too soon",IF(AND(AN153&lt;&gt;"",AN153&gt;=4),"Plan it","Available")))</f>
        <v>0</v>
      </c>
      <c r="AB153" s="27"/>
      <c r="AC153" s="27"/>
      <c r="AD153" s="27"/>
      <c r="AE153" s="27"/>
      <c r="AF153" s="27"/>
      <c r="AG153" s="27"/>
      <c r="AH153" s="27"/>
      <c r="AI153" s="27"/>
      <c r="AJ153" s="27"/>
      <c r="AK153" s="8">
        <f>IF(A153="","",IF(G153&lt;=30,"Yes","No"))</f>
        <v>0</v>
      </c>
      <c r="AL153" s="27"/>
      <c r="AM153" s="30"/>
      <c r="AN153" s="26"/>
      <c r="AO153" s="7"/>
      <c r="AP153" s="7"/>
      <c r="AQ153" s="7"/>
      <c r="AR153" s="25"/>
      <c r="AS153" s="8">
        <f>IF(A153="","",COUNTIFS($H$5:$H$204,"&gt;"&amp;H153)+1)</f>
        <v>0</v>
      </c>
      <c r="AT153" s="8">
        <f>IF(A153="","",COUNTIFS($I$5:$I$204,"&gt;"&amp;I153)+1)</f>
        <v>0</v>
      </c>
      <c r="AU153" s="8">
        <f>IF(A153="","",COUNTIFS($L$5:$L$204,"&gt;"&amp;L153)+1)</f>
        <v>0</v>
      </c>
      <c r="AV153" s="8">
        <f>IF(OR(A153="",Q153=""),"",COUNTIFS($Q$5:$Q$204,"&lt;"&amp;Q153)+1)</f>
        <v>0</v>
      </c>
      <c r="AW153" s="8">
        <f>IF(A153="","",COUNTIFS($V$5:$V$204,"&gt;"&amp;V153)+1)</f>
        <v>0</v>
      </c>
      <c r="AX153" s="8">
        <f>IF(A153="","",COUNTIFS($Y$5:$Y$204,"&lt;"&amp;Y153)+1)</f>
        <v>0</v>
      </c>
      <c r="AY153" s="8">
        <f>IF(A153="","",COUNTIFS($W$5:$W$204,"&gt;"&amp;W153)+1)</f>
        <v>0</v>
      </c>
    </row>
    <row r="154" spans="1:51">
      <c r="A154" s="7"/>
      <c r="B154" s="27"/>
      <c r="C154" s="27"/>
      <c r="D154" s="26"/>
      <c r="E154" s="26"/>
      <c r="F154" s="26"/>
      <c r="G154" s="8">
        <f>IF(A154="","",E154+F154)</f>
        <v>0</v>
      </c>
      <c r="H154" s="26"/>
      <c r="I154" s="26"/>
      <c r="J154" s="26"/>
      <c r="K154" s="26"/>
      <c r="L154" s="26"/>
      <c r="M154" s="26"/>
      <c r="N154" s="26"/>
      <c r="O154" s="8">
        <f>IF(A154="","",COUNTIFS('Recipe Ingredients'!$A$5:$A$1204,A154))</f>
        <v>0</v>
      </c>
      <c r="P154" s="8">
        <f>IF(A154="","",SUMIFS('Recipe Ingredients'!$H$5:$H$1204,'Recipe Ingredients'!$A$5:$A$1204,A154))</f>
        <v>0</v>
      </c>
      <c r="Q154" s="8">
        <f>IF(OR(A154="",D154=0,D154=""),"",P154/D154)</f>
        <v>0</v>
      </c>
      <c r="R154" s="8">
        <f>IF(OR(A154="",H154=0,H154=""),"",IFERROR(Q154/H154*1000,""))</f>
        <v>0</v>
      </c>
      <c r="S154" s="8">
        <f>IF(OR(A154="",Q154="",Q154=0),"",IFERROR(H154/Q154,""))</f>
        <v>0</v>
      </c>
      <c r="T154" s="8">
        <f>IF(OR(A154="",Q154="",Q154=0),"",IFERROR(I154/Q154,""))</f>
        <v>0</v>
      </c>
      <c r="U154" s="8">
        <f>IF(OR(A154="",G154="",G154=0),"",IFERROR(H154/G154*10,""))</f>
        <v>0</v>
      </c>
      <c r="V154" s="8">
        <f>IF(A154="","",(AC154="Yes")*1+(AD154="Yes")*1+(AE154="Yes")*1+(AF154="Yes")*1+(AG154="Yes")*1+(AH154="Yes")*1)</f>
        <v>0</v>
      </c>
      <c r="W154" s="8">
        <f>IF(A154="","",COUNTIFS('Meal Plan'!$G$5:$G$504,A154,'Meal Plan'!$S$5:$S$504,"Cooked")+COUNTIFS('Meal Plan'!$G$5:$G$504,A154,'Meal Plan'!$S$5:$S$504,"Eaten"))</f>
        <v>0</v>
      </c>
      <c r="X154" s="8">
        <f>IF(A154="","",IF(SUMPRODUCT(MAX(('Meal Plan'!$G$5:$G$504=A154)*'Meal Plan'!$B$5:$B$504))=0,"",SUMPRODUCT(MAX(('Meal Plan'!$G$5:$G$504=A154)*'Meal Plan'!$B$5:$B$504))))</f>
        <v>0</v>
      </c>
      <c r="Y154" s="8">
        <f>IF(OR(A154="",X154=""),"",TODAY()-X154)</f>
        <v>0</v>
      </c>
      <c r="Z154" s="8">
        <f>IF(A154="","",IF(Y154="","Yes",IF(Y154&gt;=Rotation_Gap_Days,"Yes","No")))</f>
        <v>0</v>
      </c>
      <c r="AA154" s="8">
        <f>IF(A154="","",IF(Z154="No","Too soon",IF(AND(AN154&lt;&gt;"",AN154&gt;=4),"Plan it","Available")))</f>
        <v>0</v>
      </c>
      <c r="AB154" s="27"/>
      <c r="AC154" s="27"/>
      <c r="AD154" s="27"/>
      <c r="AE154" s="27"/>
      <c r="AF154" s="27"/>
      <c r="AG154" s="27"/>
      <c r="AH154" s="27"/>
      <c r="AI154" s="27"/>
      <c r="AJ154" s="27"/>
      <c r="AK154" s="8">
        <f>IF(A154="","",IF(G154&lt;=30,"Yes","No"))</f>
        <v>0</v>
      </c>
      <c r="AL154" s="27"/>
      <c r="AM154" s="30"/>
      <c r="AN154" s="26"/>
      <c r="AO154" s="7"/>
      <c r="AP154" s="7"/>
      <c r="AQ154" s="7"/>
      <c r="AR154" s="25"/>
      <c r="AS154" s="8">
        <f>IF(A154="","",COUNTIFS($H$5:$H$204,"&gt;"&amp;H154)+1)</f>
        <v>0</v>
      </c>
      <c r="AT154" s="8">
        <f>IF(A154="","",COUNTIFS($I$5:$I$204,"&gt;"&amp;I154)+1)</f>
        <v>0</v>
      </c>
      <c r="AU154" s="8">
        <f>IF(A154="","",COUNTIFS($L$5:$L$204,"&gt;"&amp;L154)+1)</f>
        <v>0</v>
      </c>
      <c r="AV154" s="8">
        <f>IF(OR(A154="",Q154=""),"",COUNTIFS($Q$5:$Q$204,"&lt;"&amp;Q154)+1)</f>
        <v>0</v>
      </c>
      <c r="AW154" s="8">
        <f>IF(A154="","",COUNTIFS($V$5:$V$204,"&gt;"&amp;V154)+1)</f>
        <v>0</v>
      </c>
      <c r="AX154" s="8">
        <f>IF(A154="","",COUNTIFS($Y$5:$Y$204,"&lt;"&amp;Y154)+1)</f>
        <v>0</v>
      </c>
      <c r="AY154" s="8">
        <f>IF(A154="","",COUNTIFS($W$5:$W$204,"&gt;"&amp;W154)+1)</f>
        <v>0</v>
      </c>
    </row>
    <row r="155" spans="1:51">
      <c r="A155" s="7"/>
      <c r="B155" s="27"/>
      <c r="C155" s="27"/>
      <c r="D155" s="26"/>
      <c r="E155" s="26"/>
      <c r="F155" s="26"/>
      <c r="G155" s="8">
        <f>IF(A155="","",E155+F155)</f>
        <v>0</v>
      </c>
      <c r="H155" s="26"/>
      <c r="I155" s="26"/>
      <c r="J155" s="26"/>
      <c r="K155" s="26"/>
      <c r="L155" s="26"/>
      <c r="M155" s="26"/>
      <c r="N155" s="26"/>
      <c r="O155" s="8">
        <f>IF(A155="","",COUNTIFS('Recipe Ingredients'!$A$5:$A$1204,A155))</f>
        <v>0</v>
      </c>
      <c r="P155" s="8">
        <f>IF(A155="","",SUMIFS('Recipe Ingredients'!$H$5:$H$1204,'Recipe Ingredients'!$A$5:$A$1204,A155))</f>
        <v>0</v>
      </c>
      <c r="Q155" s="8">
        <f>IF(OR(A155="",D155=0,D155=""),"",P155/D155)</f>
        <v>0</v>
      </c>
      <c r="R155" s="8">
        <f>IF(OR(A155="",H155=0,H155=""),"",IFERROR(Q155/H155*1000,""))</f>
        <v>0</v>
      </c>
      <c r="S155" s="8">
        <f>IF(OR(A155="",Q155="",Q155=0),"",IFERROR(H155/Q155,""))</f>
        <v>0</v>
      </c>
      <c r="T155" s="8">
        <f>IF(OR(A155="",Q155="",Q155=0),"",IFERROR(I155/Q155,""))</f>
        <v>0</v>
      </c>
      <c r="U155" s="8">
        <f>IF(OR(A155="",G155="",G155=0),"",IFERROR(H155/G155*10,""))</f>
        <v>0</v>
      </c>
      <c r="V155" s="8">
        <f>IF(A155="","",(AC155="Yes")*1+(AD155="Yes")*1+(AE155="Yes")*1+(AF155="Yes")*1+(AG155="Yes")*1+(AH155="Yes")*1)</f>
        <v>0</v>
      </c>
      <c r="W155" s="8">
        <f>IF(A155="","",COUNTIFS('Meal Plan'!$G$5:$G$504,A155,'Meal Plan'!$S$5:$S$504,"Cooked")+COUNTIFS('Meal Plan'!$G$5:$G$504,A155,'Meal Plan'!$S$5:$S$504,"Eaten"))</f>
        <v>0</v>
      </c>
      <c r="X155" s="8">
        <f>IF(A155="","",IF(SUMPRODUCT(MAX(('Meal Plan'!$G$5:$G$504=A155)*'Meal Plan'!$B$5:$B$504))=0,"",SUMPRODUCT(MAX(('Meal Plan'!$G$5:$G$504=A155)*'Meal Plan'!$B$5:$B$504))))</f>
        <v>0</v>
      </c>
      <c r="Y155" s="8">
        <f>IF(OR(A155="",X155=""),"",TODAY()-X155)</f>
        <v>0</v>
      </c>
      <c r="Z155" s="8">
        <f>IF(A155="","",IF(Y155="","Yes",IF(Y155&gt;=Rotation_Gap_Days,"Yes","No")))</f>
        <v>0</v>
      </c>
      <c r="AA155" s="8">
        <f>IF(A155="","",IF(Z155="No","Too soon",IF(AND(AN155&lt;&gt;"",AN155&gt;=4),"Plan it","Available")))</f>
        <v>0</v>
      </c>
      <c r="AB155" s="27"/>
      <c r="AC155" s="27"/>
      <c r="AD155" s="27"/>
      <c r="AE155" s="27"/>
      <c r="AF155" s="27"/>
      <c r="AG155" s="27"/>
      <c r="AH155" s="27"/>
      <c r="AI155" s="27"/>
      <c r="AJ155" s="27"/>
      <c r="AK155" s="8">
        <f>IF(A155="","",IF(G155&lt;=30,"Yes","No"))</f>
        <v>0</v>
      </c>
      <c r="AL155" s="27"/>
      <c r="AM155" s="30"/>
      <c r="AN155" s="26"/>
      <c r="AO155" s="7"/>
      <c r="AP155" s="7"/>
      <c r="AQ155" s="7"/>
      <c r="AR155" s="25"/>
      <c r="AS155" s="8">
        <f>IF(A155="","",COUNTIFS($H$5:$H$204,"&gt;"&amp;H155)+1)</f>
        <v>0</v>
      </c>
      <c r="AT155" s="8">
        <f>IF(A155="","",COUNTIFS($I$5:$I$204,"&gt;"&amp;I155)+1)</f>
        <v>0</v>
      </c>
      <c r="AU155" s="8">
        <f>IF(A155="","",COUNTIFS($L$5:$L$204,"&gt;"&amp;L155)+1)</f>
        <v>0</v>
      </c>
      <c r="AV155" s="8">
        <f>IF(OR(A155="",Q155=""),"",COUNTIFS($Q$5:$Q$204,"&lt;"&amp;Q155)+1)</f>
        <v>0</v>
      </c>
      <c r="AW155" s="8">
        <f>IF(A155="","",COUNTIFS($V$5:$V$204,"&gt;"&amp;V155)+1)</f>
        <v>0</v>
      </c>
      <c r="AX155" s="8">
        <f>IF(A155="","",COUNTIFS($Y$5:$Y$204,"&lt;"&amp;Y155)+1)</f>
        <v>0</v>
      </c>
      <c r="AY155" s="8">
        <f>IF(A155="","",COUNTIFS($W$5:$W$204,"&gt;"&amp;W155)+1)</f>
        <v>0</v>
      </c>
    </row>
    <row r="156" spans="1:51">
      <c r="A156" s="7"/>
      <c r="B156" s="27"/>
      <c r="C156" s="27"/>
      <c r="D156" s="26"/>
      <c r="E156" s="26"/>
      <c r="F156" s="26"/>
      <c r="G156" s="8">
        <f>IF(A156="","",E156+F156)</f>
        <v>0</v>
      </c>
      <c r="H156" s="26"/>
      <c r="I156" s="26"/>
      <c r="J156" s="26"/>
      <c r="K156" s="26"/>
      <c r="L156" s="26"/>
      <c r="M156" s="26"/>
      <c r="N156" s="26"/>
      <c r="O156" s="8">
        <f>IF(A156="","",COUNTIFS('Recipe Ingredients'!$A$5:$A$1204,A156))</f>
        <v>0</v>
      </c>
      <c r="P156" s="8">
        <f>IF(A156="","",SUMIFS('Recipe Ingredients'!$H$5:$H$1204,'Recipe Ingredients'!$A$5:$A$1204,A156))</f>
        <v>0</v>
      </c>
      <c r="Q156" s="8">
        <f>IF(OR(A156="",D156=0,D156=""),"",P156/D156)</f>
        <v>0</v>
      </c>
      <c r="R156" s="8">
        <f>IF(OR(A156="",H156=0,H156=""),"",IFERROR(Q156/H156*1000,""))</f>
        <v>0</v>
      </c>
      <c r="S156" s="8">
        <f>IF(OR(A156="",Q156="",Q156=0),"",IFERROR(H156/Q156,""))</f>
        <v>0</v>
      </c>
      <c r="T156" s="8">
        <f>IF(OR(A156="",Q156="",Q156=0),"",IFERROR(I156/Q156,""))</f>
        <v>0</v>
      </c>
      <c r="U156" s="8">
        <f>IF(OR(A156="",G156="",G156=0),"",IFERROR(H156/G156*10,""))</f>
        <v>0</v>
      </c>
      <c r="V156" s="8">
        <f>IF(A156="","",(AC156="Yes")*1+(AD156="Yes")*1+(AE156="Yes")*1+(AF156="Yes")*1+(AG156="Yes")*1+(AH156="Yes")*1)</f>
        <v>0</v>
      </c>
      <c r="W156" s="8">
        <f>IF(A156="","",COUNTIFS('Meal Plan'!$G$5:$G$504,A156,'Meal Plan'!$S$5:$S$504,"Cooked")+COUNTIFS('Meal Plan'!$G$5:$G$504,A156,'Meal Plan'!$S$5:$S$504,"Eaten"))</f>
        <v>0</v>
      </c>
      <c r="X156" s="8">
        <f>IF(A156="","",IF(SUMPRODUCT(MAX(('Meal Plan'!$G$5:$G$504=A156)*'Meal Plan'!$B$5:$B$504))=0,"",SUMPRODUCT(MAX(('Meal Plan'!$G$5:$G$504=A156)*'Meal Plan'!$B$5:$B$504))))</f>
        <v>0</v>
      </c>
      <c r="Y156" s="8">
        <f>IF(OR(A156="",X156=""),"",TODAY()-X156)</f>
        <v>0</v>
      </c>
      <c r="Z156" s="8">
        <f>IF(A156="","",IF(Y156="","Yes",IF(Y156&gt;=Rotation_Gap_Days,"Yes","No")))</f>
        <v>0</v>
      </c>
      <c r="AA156" s="8">
        <f>IF(A156="","",IF(Z156="No","Too soon",IF(AND(AN156&lt;&gt;"",AN156&gt;=4),"Plan it","Available")))</f>
        <v>0</v>
      </c>
      <c r="AB156" s="27"/>
      <c r="AC156" s="27"/>
      <c r="AD156" s="27"/>
      <c r="AE156" s="27"/>
      <c r="AF156" s="27"/>
      <c r="AG156" s="27"/>
      <c r="AH156" s="27"/>
      <c r="AI156" s="27"/>
      <c r="AJ156" s="27"/>
      <c r="AK156" s="8">
        <f>IF(A156="","",IF(G156&lt;=30,"Yes","No"))</f>
        <v>0</v>
      </c>
      <c r="AL156" s="27"/>
      <c r="AM156" s="30"/>
      <c r="AN156" s="26"/>
      <c r="AO156" s="7"/>
      <c r="AP156" s="7"/>
      <c r="AQ156" s="7"/>
      <c r="AR156" s="25"/>
      <c r="AS156" s="8">
        <f>IF(A156="","",COUNTIFS($H$5:$H$204,"&gt;"&amp;H156)+1)</f>
        <v>0</v>
      </c>
      <c r="AT156" s="8">
        <f>IF(A156="","",COUNTIFS($I$5:$I$204,"&gt;"&amp;I156)+1)</f>
        <v>0</v>
      </c>
      <c r="AU156" s="8">
        <f>IF(A156="","",COUNTIFS($L$5:$L$204,"&gt;"&amp;L156)+1)</f>
        <v>0</v>
      </c>
      <c r="AV156" s="8">
        <f>IF(OR(A156="",Q156=""),"",COUNTIFS($Q$5:$Q$204,"&lt;"&amp;Q156)+1)</f>
        <v>0</v>
      </c>
      <c r="AW156" s="8">
        <f>IF(A156="","",COUNTIFS($V$5:$V$204,"&gt;"&amp;V156)+1)</f>
        <v>0</v>
      </c>
      <c r="AX156" s="8">
        <f>IF(A156="","",COUNTIFS($Y$5:$Y$204,"&lt;"&amp;Y156)+1)</f>
        <v>0</v>
      </c>
      <c r="AY156" s="8">
        <f>IF(A156="","",COUNTIFS($W$5:$W$204,"&gt;"&amp;W156)+1)</f>
        <v>0</v>
      </c>
    </row>
    <row r="157" spans="1:51">
      <c r="A157" s="7"/>
      <c r="B157" s="27"/>
      <c r="C157" s="27"/>
      <c r="D157" s="26"/>
      <c r="E157" s="26"/>
      <c r="F157" s="26"/>
      <c r="G157" s="8">
        <f>IF(A157="","",E157+F157)</f>
        <v>0</v>
      </c>
      <c r="H157" s="26"/>
      <c r="I157" s="26"/>
      <c r="J157" s="26"/>
      <c r="K157" s="26"/>
      <c r="L157" s="26"/>
      <c r="M157" s="26"/>
      <c r="N157" s="26"/>
      <c r="O157" s="8">
        <f>IF(A157="","",COUNTIFS('Recipe Ingredients'!$A$5:$A$1204,A157))</f>
        <v>0</v>
      </c>
      <c r="P157" s="8">
        <f>IF(A157="","",SUMIFS('Recipe Ingredients'!$H$5:$H$1204,'Recipe Ingredients'!$A$5:$A$1204,A157))</f>
        <v>0</v>
      </c>
      <c r="Q157" s="8">
        <f>IF(OR(A157="",D157=0,D157=""),"",P157/D157)</f>
        <v>0</v>
      </c>
      <c r="R157" s="8">
        <f>IF(OR(A157="",H157=0,H157=""),"",IFERROR(Q157/H157*1000,""))</f>
        <v>0</v>
      </c>
      <c r="S157" s="8">
        <f>IF(OR(A157="",Q157="",Q157=0),"",IFERROR(H157/Q157,""))</f>
        <v>0</v>
      </c>
      <c r="T157" s="8">
        <f>IF(OR(A157="",Q157="",Q157=0),"",IFERROR(I157/Q157,""))</f>
        <v>0</v>
      </c>
      <c r="U157" s="8">
        <f>IF(OR(A157="",G157="",G157=0),"",IFERROR(H157/G157*10,""))</f>
        <v>0</v>
      </c>
      <c r="V157" s="8">
        <f>IF(A157="","",(AC157="Yes")*1+(AD157="Yes")*1+(AE157="Yes")*1+(AF157="Yes")*1+(AG157="Yes")*1+(AH157="Yes")*1)</f>
        <v>0</v>
      </c>
      <c r="W157" s="8">
        <f>IF(A157="","",COUNTIFS('Meal Plan'!$G$5:$G$504,A157,'Meal Plan'!$S$5:$S$504,"Cooked")+COUNTIFS('Meal Plan'!$G$5:$G$504,A157,'Meal Plan'!$S$5:$S$504,"Eaten"))</f>
        <v>0</v>
      </c>
      <c r="X157" s="8">
        <f>IF(A157="","",IF(SUMPRODUCT(MAX(('Meal Plan'!$G$5:$G$504=A157)*'Meal Plan'!$B$5:$B$504))=0,"",SUMPRODUCT(MAX(('Meal Plan'!$G$5:$G$504=A157)*'Meal Plan'!$B$5:$B$504))))</f>
        <v>0</v>
      </c>
      <c r="Y157" s="8">
        <f>IF(OR(A157="",X157=""),"",TODAY()-X157)</f>
        <v>0</v>
      </c>
      <c r="Z157" s="8">
        <f>IF(A157="","",IF(Y157="","Yes",IF(Y157&gt;=Rotation_Gap_Days,"Yes","No")))</f>
        <v>0</v>
      </c>
      <c r="AA157" s="8">
        <f>IF(A157="","",IF(Z157="No","Too soon",IF(AND(AN157&lt;&gt;"",AN157&gt;=4),"Plan it","Available")))</f>
        <v>0</v>
      </c>
      <c r="AB157" s="27"/>
      <c r="AC157" s="27"/>
      <c r="AD157" s="27"/>
      <c r="AE157" s="27"/>
      <c r="AF157" s="27"/>
      <c r="AG157" s="27"/>
      <c r="AH157" s="27"/>
      <c r="AI157" s="27"/>
      <c r="AJ157" s="27"/>
      <c r="AK157" s="8">
        <f>IF(A157="","",IF(G157&lt;=30,"Yes","No"))</f>
        <v>0</v>
      </c>
      <c r="AL157" s="27"/>
      <c r="AM157" s="30"/>
      <c r="AN157" s="26"/>
      <c r="AO157" s="7"/>
      <c r="AP157" s="7"/>
      <c r="AQ157" s="7"/>
      <c r="AR157" s="25"/>
      <c r="AS157" s="8">
        <f>IF(A157="","",COUNTIFS($H$5:$H$204,"&gt;"&amp;H157)+1)</f>
        <v>0</v>
      </c>
      <c r="AT157" s="8">
        <f>IF(A157="","",COUNTIFS($I$5:$I$204,"&gt;"&amp;I157)+1)</f>
        <v>0</v>
      </c>
      <c r="AU157" s="8">
        <f>IF(A157="","",COUNTIFS($L$5:$L$204,"&gt;"&amp;L157)+1)</f>
        <v>0</v>
      </c>
      <c r="AV157" s="8">
        <f>IF(OR(A157="",Q157=""),"",COUNTIFS($Q$5:$Q$204,"&lt;"&amp;Q157)+1)</f>
        <v>0</v>
      </c>
      <c r="AW157" s="8">
        <f>IF(A157="","",COUNTIFS($V$5:$V$204,"&gt;"&amp;V157)+1)</f>
        <v>0</v>
      </c>
      <c r="AX157" s="8">
        <f>IF(A157="","",COUNTIFS($Y$5:$Y$204,"&lt;"&amp;Y157)+1)</f>
        <v>0</v>
      </c>
      <c r="AY157" s="8">
        <f>IF(A157="","",COUNTIFS($W$5:$W$204,"&gt;"&amp;W157)+1)</f>
        <v>0</v>
      </c>
    </row>
    <row r="158" spans="1:51">
      <c r="A158" s="7"/>
      <c r="B158" s="27"/>
      <c r="C158" s="27"/>
      <c r="D158" s="26"/>
      <c r="E158" s="26"/>
      <c r="F158" s="26"/>
      <c r="G158" s="8">
        <f>IF(A158="","",E158+F158)</f>
        <v>0</v>
      </c>
      <c r="H158" s="26"/>
      <c r="I158" s="26"/>
      <c r="J158" s="26"/>
      <c r="K158" s="26"/>
      <c r="L158" s="26"/>
      <c r="M158" s="26"/>
      <c r="N158" s="26"/>
      <c r="O158" s="8">
        <f>IF(A158="","",COUNTIFS('Recipe Ingredients'!$A$5:$A$1204,A158))</f>
        <v>0</v>
      </c>
      <c r="P158" s="8">
        <f>IF(A158="","",SUMIFS('Recipe Ingredients'!$H$5:$H$1204,'Recipe Ingredients'!$A$5:$A$1204,A158))</f>
        <v>0</v>
      </c>
      <c r="Q158" s="8">
        <f>IF(OR(A158="",D158=0,D158=""),"",P158/D158)</f>
        <v>0</v>
      </c>
      <c r="R158" s="8">
        <f>IF(OR(A158="",H158=0,H158=""),"",IFERROR(Q158/H158*1000,""))</f>
        <v>0</v>
      </c>
      <c r="S158" s="8">
        <f>IF(OR(A158="",Q158="",Q158=0),"",IFERROR(H158/Q158,""))</f>
        <v>0</v>
      </c>
      <c r="T158" s="8">
        <f>IF(OR(A158="",Q158="",Q158=0),"",IFERROR(I158/Q158,""))</f>
        <v>0</v>
      </c>
      <c r="U158" s="8">
        <f>IF(OR(A158="",G158="",G158=0),"",IFERROR(H158/G158*10,""))</f>
        <v>0</v>
      </c>
      <c r="V158" s="8">
        <f>IF(A158="","",(AC158="Yes")*1+(AD158="Yes")*1+(AE158="Yes")*1+(AF158="Yes")*1+(AG158="Yes")*1+(AH158="Yes")*1)</f>
        <v>0</v>
      </c>
      <c r="W158" s="8">
        <f>IF(A158="","",COUNTIFS('Meal Plan'!$G$5:$G$504,A158,'Meal Plan'!$S$5:$S$504,"Cooked")+COUNTIFS('Meal Plan'!$G$5:$G$504,A158,'Meal Plan'!$S$5:$S$504,"Eaten"))</f>
        <v>0</v>
      </c>
      <c r="X158" s="8">
        <f>IF(A158="","",IF(SUMPRODUCT(MAX(('Meal Plan'!$G$5:$G$504=A158)*'Meal Plan'!$B$5:$B$504))=0,"",SUMPRODUCT(MAX(('Meal Plan'!$G$5:$G$504=A158)*'Meal Plan'!$B$5:$B$504))))</f>
        <v>0</v>
      </c>
      <c r="Y158" s="8">
        <f>IF(OR(A158="",X158=""),"",TODAY()-X158)</f>
        <v>0</v>
      </c>
      <c r="Z158" s="8">
        <f>IF(A158="","",IF(Y158="","Yes",IF(Y158&gt;=Rotation_Gap_Days,"Yes","No")))</f>
        <v>0</v>
      </c>
      <c r="AA158" s="8">
        <f>IF(A158="","",IF(Z158="No","Too soon",IF(AND(AN158&lt;&gt;"",AN158&gt;=4),"Plan it","Available")))</f>
        <v>0</v>
      </c>
      <c r="AB158" s="27"/>
      <c r="AC158" s="27"/>
      <c r="AD158" s="27"/>
      <c r="AE158" s="27"/>
      <c r="AF158" s="27"/>
      <c r="AG158" s="27"/>
      <c r="AH158" s="27"/>
      <c r="AI158" s="27"/>
      <c r="AJ158" s="27"/>
      <c r="AK158" s="8">
        <f>IF(A158="","",IF(G158&lt;=30,"Yes","No"))</f>
        <v>0</v>
      </c>
      <c r="AL158" s="27"/>
      <c r="AM158" s="30"/>
      <c r="AN158" s="26"/>
      <c r="AO158" s="7"/>
      <c r="AP158" s="7"/>
      <c r="AQ158" s="7"/>
      <c r="AR158" s="25"/>
      <c r="AS158" s="8">
        <f>IF(A158="","",COUNTIFS($H$5:$H$204,"&gt;"&amp;H158)+1)</f>
        <v>0</v>
      </c>
      <c r="AT158" s="8">
        <f>IF(A158="","",COUNTIFS($I$5:$I$204,"&gt;"&amp;I158)+1)</f>
        <v>0</v>
      </c>
      <c r="AU158" s="8">
        <f>IF(A158="","",COUNTIFS($L$5:$L$204,"&gt;"&amp;L158)+1)</f>
        <v>0</v>
      </c>
      <c r="AV158" s="8">
        <f>IF(OR(A158="",Q158=""),"",COUNTIFS($Q$5:$Q$204,"&lt;"&amp;Q158)+1)</f>
        <v>0</v>
      </c>
      <c r="AW158" s="8">
        <f>IF(A158="","",COUNTIFS($V$5:$V$204,"&gt;"&amp;V158)+1)</f>
        <v>0</v>
      </c>
      <c r="AX158" s="8">
        <f>IF(A158="","",COUNTIFS($Y$5:$Y$204,"&lt;"&amp;Y158)+1)</f>
        <v>0</v>
      </c>
      <c r="AY158" s="8">
        <f>IF(A158="","",COUNTIFS($W$5:$W$204,"&gt;"&amp;W158)+1)</f>
        <v>0</v>
      </c>
    </row>
    <row r="159" spans="1:51">
      <c r="A159" s="7"/>
      <c r="B159" s="27"/>
      <c r="C159" s="27"/>
      <c r="D159" s="26"/>
      <c r="E159" s="26"/>
      <c r="F159" s="26"/>
      <c r="G159" s="8">
        <f>IF(A159="","",E159+F159)</f>
        <v>0</v>
      </c>
      <c r="H159" s="26"/>
      <c r="I159" s="26"/>
      <c r="J159" s="26"/>
      <c r="K159" s="26"/>
      <c r="L159" s="26"/>
      <c r="M159" s="26"/>
      <c r="N159" s="26"/>
      <c r="O159" s="8">
        <f>IF(A159="","",COUNTIFS('Recipe Ingredients'!$A$5:$A$1204,A159))</f>
        <v>0</v>
      </c>
      <c r="P159" s="8">
        <f>IF(A159="","",SUMIFS('Recipe Ingredients'!$H$5:$H$1204,'Recipe Ingredients'!$A$5:$A$1204,A159))</f>
        <v>0</v>
      </c>
      <c r="Q159" s="8">
        <f>IF(OR(A159="",D159=0,D159=""),"",P159/D159)</f>
        <v>0</v>
      </c>
      <c r="R159" s="8">
        <f>IF(OR(A159="",H159=0,H159=""),"",IFERROR(Q159/H159*1000,""))</f>
        <v>0</v>
      </c>
      <c r="S159" s="8">
        <f>IF(OR(A159="",Q159="",Q159=0),"",IFERROR(H159/Q159,""))</f>
        <v>0</v>
      </c>
      <c r="T159" s="8">
        <f>IF(OR(A159="",Q159="",Q159=0),"",IFERROR(I159/Q159,""))</f>
        <v>0</v>
      </c>
      <c r="U159" s="8">
        <f>IF(OR(A159="",G159="",G159=0),"",IFERROR(H159/G159*10,""))</f>
        <v>0</v>
      </c>
      <c r="V159" s="8">
        <f>IF(A159="","",(AC159="Yes")*1+(AD159="Yes")*1+(AE159="Yes")*1+(AF159="Yes")*1+(AG159="Yes")*1+(AH159="Yes")*1)</f>
        <v>0</v>
      </c>
      <c r="W159" s="8">
        <f>IF(A159="","",COUNTIFS('Meal Plan'!$G$5:$G$504,A159,'Meal Plan'!$S$5:$S$504,"Cooked")+COUNTIFS('Meal Plan'!$G$5:$G$504,A159,'Meal Plan'!$S$5:$S$504,"Eaten"))</f>
        <v>0</v>
      </c>
      <c r="X159" s="8">
        <f>IF(A159="","",IF(SUMPRODUCT(MAX(('Meal Plan'!$G$5:$G$504=A159)*'Meal Plan'!$B$5:$B$504))=0,"",SUMPRODUCT(MAX(('Meal Plan'!$G$5:$G$504=A159)*'Meal Plan'!$B$5:$B$504))))</f>
        <v>0</v>
      </c>
      <c r="Y159" s="8">
        <f>IF(OR(A159="",X159=""),"",TODAY()-X159)</f>
        <v>0</v>
      </c>
      <c r="Z159" s="8">
        <f>IF(A159="","",IF(Y159="","Yes",IF(Y159&gt;=Rotation_Gap_Days,"Yes","No")))</f>
        <v>0</v>
      </c>
      <c r="AA159" s="8">
        <f>IF(A159="","",IF(Z159="No","Too soon",IF(AND(AN159&lt;&gt;"",AN159&gt;=4),"Plan it","Available")))</f>
        <v>0</v>
      </c>
      <c r="AB159" s="27"/>
      <c r="AC159" s="27"/>
      <c r="AD159" s="27"/>
      <c r="AE159" s="27"/>
      <c r="AF159" s="27"/>
      <c r="AG159" s="27"/>
      <c r="AH159" s="27"/>
      <c r="AI159" s="27"/>
      <c r="AJ159" s="27"/>
      <c r="AK159" s="8">
        <f>IF(A159="","",IF(G159&lt;=30,"Yes","No"))</f>
        <v>0</v>
      </c>
      <c r="AL159" s="27"/>
      <c r="AM159" s="30"/>
      <c r="AN159" s="26"/>
      <c r="AO159" s="7"/>
      <c r="AP159" s="7"/>
      <c r="AQ159" s="7"/>
      <c r="AR159" s="25"/>
      <c r="AS159" s="8">
        <f>IF(A159="","",COUNTIFS($H$5:$H$204,"&gt;"&amp;H159)+1)</f>
        <v>0</v>
      </c>
      <c r="AT159" s="8">
        <f>IF(A159="","",COUNTIFS($I$5:$I$204,"&gt;"&amp;I159)+1)</f>
        <v>0</v>
      </c>
      <c r="AU159" s="8">
        <f>IF(A159="","",COUNTIFS($L$5:$L$204,"&gt;"&amp;L159)+1)</f>
        <v>0</v>
      </c>
      <c r="AV159" s="8">
        <f>IF(OR(A159="",Q159=""),"",COUNTIFS($Q$5:$Q$204,"&lt;"&amp;Q159)+1)</f>
        <v>0</v>
      </c>
      <c r="AW159" s="8">
        <f>IF(A159="","",COUNTIFS($V$5:$V$204,"&gt;"&amp;V159)+1)</f>
        <v>0</v>
      </c>
      <c r="AX159" s="8">
        <f>IF(A159="","",COUNTIFS($Y$5:$Y$204,"&lt;"&amp;Y159)+1)</f>
        <v>0</v>
      </c>
      <c r="AY159" s="8">
        <f>IF(A159="","",COUNTIFS($W$5:$W$204,"&gt;"&amp;W159)+1)</f>
        <v>0</v>
      </c>
    </row>
    <row r="160" spans="1:51">
      <c r="A160" s="7"/>
      <c r="B160" s="27"/>
      <c r="C160" s="27"/>
      <c r="D160" s="26"/>
      <c r="E160" s="26"/>
      <c r="F160" s="26"/>
      <c r="G160" s="8">
        <f>IF(A160="","",E160+F160)</f>
        <v>0</v>
      </c>
      <c r="H160" s="26"/>
      <c r="I160" s="26"/>
      <c r="J160" s="26"/>
      <c r="K160" s="26"/>
      <c r="L160" s="26"/>
      <c r="M160" s="26"/>
      <c r="N160" s="26"/>
      <c r="O160" s="8">
        <f>IF(A160="","",COUNTIFS('Recipe Ingredients'!$A$5:$A$1204,A160))</f>
        <v>0</v>
      </c>
      <c r="P160" s="8">
        <f>IF(A160="","",SUMIFS('Recipe Ingredients'!$H$5:$H$1204,'Recipe Ingredients'!$A$5:$A$1204,A160))</f>
        <v>0</v>
      </c>
      <c r="Q160" s="8">
        <f>IF(OR(A160="",D160=0,D160=""),"",P160/D160)</f>
        <v>0</v>
      </c>
      <c r="R160" s="8">
        <f>IF(OR(A160="",H160=0,H160=""),"",IFERROR(Q160/H160*1000,""))</f>
        <v>0</v>
      </c>
      <c r="S160" s="8">
        <f>IF(OR(A160="",Q160="",Q160=0),"",IFERROR(H160/Q160,""))</f>
        <v>0</v>
      </c>
      <c r="T160" s="8">
        <f>IF(OR(A160="",Q160="",Q160=0),"",IFERROR(I160/Q160,""))</f>
        <v>0</v>
      </c>
      <c r="U160" s="8">
        <f>IF(OR(A160="",G160="",G160=0),"",IFERROR(H160/G160*10,""))</f>
        <v>0</v>
      </c>
      <c r="V160" s="8">
        <f>IF(A160="","",(AC160="Yes")*1+(AD160="Yes")*1+(AE160="Yes")*1+(AF160="Yes")*1+(AG160="Yes")*1+(AH160="Yes")*1)</f>
        <v>0</v>
      </c>
      <c r="W160" s="8">
        <f>IF(A160="","",COUNTIFS('Meal Plan'!$G$5:$G$504,A160,'Meal Plan'!$S$5:$S$504,"Cooked")+COUNTIFS('Meal Plan'!$G$5:$G$504,A160,'Meal Plan'!$S$5:$S$504,"Eaten"))</f>
        <v>0</v>
      </c>
      <c r="X160" s="8">
        <f>IF(A160="","",IF(SUMPRODUCT(MAX(('Meal Plan'!$G$5:$G$504=A160)*'Meal Plan'!$B$5:$B$504))=0,"",SUMPRODUCT(MAX(('Meal Plan'!$G$5:$G$504=A160)*'Meal Plan'!$B$5:$B$504))))</f>
        <v>0</v>
      </c>
      <c r="Y160" s="8">
        <f>IF(OR(A160="",X160=""),"",TODAY()-X160)</f>
        <v>0</v>
      </c>
      <c r="Z160" s="8">
        <f>IF(A160="","",IF(Y160="","Yes",IF(Y160&gt;=Rotation_Gap_Days,"Yes","No")))</f>
        <v>0</v>
      </c>
      <c r="AA160" s="8">
        <f>IF(A160="","",IF(Z160="No","Too soon",IF(AND(AN160&lt;&gt;"",AN160&gt;=4),"Plan it","Available")))</f>
        <v>0</v>
      </c>
      <c r="AB160" s="27"/>
      <c r="AC160" s="27"/>
      <c r="AD160" s="27"/>
      <c r="AE160" s="27"/>
      <c r="AF160" s="27"/>
      <c r="AG160" s="27"/>
      <c r="AH160" s="27"/>
      <c r="AI160" s="27"/>
      <c r="AJ160" s="27"/>
      <c r="AK160" s="8">
        <f>IF(A160="","",IF(G160&lt;=30,"Yes","No"))</f>
        <v>0</v>
      </c>
      <c r="AL160" s="27"/>
      <c r="AM160" s="30"/>
      <c r="AN160" s="26"/>
      <c r="AO160" s="7"/>
      <c r="AP160" s="7"/>
      <c r="AQ160" s="7"/>
      <c r="AR160" s="25"/>
      <c r="AS160" s="8">
        <f>IF(A160="","",COUNTIFS($H$5:$H$204,"&gt;"&amp;H160)+1)</f>
        <v>0</v>
      </c>
      <c r="AT160" s="8">
        <f>IF(A160="","",COUNTIFS($I$5:$I$204,"&gt;"&amp;I160)+1)</f>
        <v>0</v>
      </c>
      <c r="AU160" s="8">
        <f>IF(A160="","",COUNTIFS($L$5:$L$204,"&gt;"&amp;L160)+1)</f>
        <v>0</v>
      </c>
      <c r="AV160" s="8">
        <f>IF(OR(A160="",Q160=""),"",COUNTIFS($Q$5:$Q$204,"&lt;"&amp;Q160)+1)</f>
        <v>0</v>
      </c>
      <c r="AW160" s="8">
        <f>IF(A160="","",COUNTIFS($V$5:$V$204,"&gt;"&amp;V160)+1)</f>
        <v>0</v>
      </c>
      <c r="AX160" s="8">
        <f>IF(A160="","",COUNTIFS($Y$5:$Y$204,"&lt;"&amp;Y160)+1)</f>
        <v>0</v>
      </c>
      <c r="AY160" s="8">
        <f>IF(A160="","",COUNTIFS($W$5:$W$204,"&gt;"&amp;W160)+1)</f>
        <v>0</v>
      </c>
    </row>
    <row r="161" spans="1:51">
      <c r="A161" s="7"/>
      <c r="B161" s="27"/>
      <c r="C161" s="27"/>
      <c r="D161" s="26"/>
      <c r="E161" s="26"/>
      <c r="F161" s="26"/>
      <c r="G161" s="8">
        <f>IF(A161="","",E161+F161)</f>
        <v>0</v>
      </c>
      <c r="H161" s="26"/>
      <c r="I161" s="26"/>
      <c r="J161" s="26"/>
      <c r="K161" s="26"/>
      <c r="L161" s="26"/>
      <c r="M161" s="26"/>
      <c r="N161" s="26"/>
      <c r="O161" s="8">
        <f>IF(A161="","",COUNTIFS('Recipe Ingredients'!$A$5:$A$1204,A161))</f>
        <v>0</v>
      </c>
      <c r="P161" s="8">
        <f>IF(A161="","",SUMIFS('Recipe Ingredients'!$H$5:$H$1204,'Recipe Ingredients'!$A$5:$A$1204,A161))</f>
        <v>0</v>
      </c>
      <c r="Q161" s="8">
        <f>IF(OR(A161="",D161=0,D161=""),"",P161/D161)</f>
        <v>0</v>
      </c>
      <c r="R161" s="8">
        <f>IF(OR(A161="",H161=0,H161=""),"",IFERROR(Q161/H161*1000,""))</f>
        <v>0</v>
      </c>
      <c r="S161" s="8">
        <f>IF(OR(A161="",Q161="",Q161=0),"",IFERROR(H161/Q161,""))</f>
        <v>0</v>
      </c>
      <c r="T161" s="8">
        <f>IF(OR(A161="",Q161="",Q161=0),"",IFERROR(I161/Q161,""))</f>
        <v>0</v>
      </c>
      <c r="U161" s="8">
        <f>IF(OR(A161="",G161="",G161=0),"",IFERROR(H161/G161*10,""))</f>
        <v>0</v>
      </c>
      <c r="V161" s="8">
        <f>IF(A161="","",(AC161="Yes")*1+(AD161="Yes")*1+(AE161="Yes")*1+(AF161="Yes")*1+(AG161="Yes")*1+(AH161="Yes")*1)</f>
        <v>0</v>
      </c>
      <c r="W161" s="8">
        <f>IF(A161="","",COUNTIFS('Meal Plan'!$G$5:$G$504,A161,'Meal Plan'!$S$5:$S$504,"Cooked")+COUNTIFS('Meal Plan'!$G$5:$G$504,A161,'Meal Plan'!$S$5:$S$504,"Eaten"))</f>
        <v>0</v>
      </c>
      <c r="X161" s="8">
        <f>IF(A161="","",IF(SUMPRODUCT(MAX(('Meal Plan'!$G$5:$G$504=A161)*'Meal Plan'!$B$5:$B$504))=0,"",SUMPRODUCT(MAX(('Meal Plan'!$G$5:$G$504=A161)*'Meal Plan'!$B$5:$B$504))))</f>
        <v>0</v>
      </c>
      <c r="Y161" s="8">
        <f>IF(OR(A161="",X161=""),"",TODAY()-X161)</f>
        <v>0</v>
      </c>
      <c r="Z161" s="8">
        <f>IF(A161="","",IF(Y161="","Yes",IF(Y161&gt;=Rotation_Gap_Days,"Yes","No")))</f>
        <v>0</v>
      </c>
      <c r="AA161" s="8">
        <f>IF(A161="","",IF(Z161="No","Too soon",IF(AND(AN161&lt;&gt;"",AN161&gt;=4),"Plan it","Available")))</f>
        <v>0</v>
      </c>
      <c r="AB161" s="27"/>
      <c r="AC161" s="27"/>
      <c r="AD161" s="27"/>
      <c r="AE161" s="27"/>
      <c r="AF161" s="27"/>
      <c r="AG161" s="27"/>
      <c r="AH161" s="27"/>
      <c r="AI161" s="27"/>
      <c r="AJ161" s="27"/>
      <c r="AK161" s="8">
        <f>IF(A161="","",IF(G161&lt;=30,"Yes","No"))</f>
        <v>0</v>
      </c>
      <c r="AL161" s="27"/>
      <c r="AM161" s="30"/>
      <c r="AN161" s="26"/>
      <c r="AO161" s="7"/>
      <c r="AP161" s="7"/>
      <c r="AQ161" s="7"/>
      <c r="AR161" s="25"/>
      <c r="AS161" s="8">
        <f>IF(A161="","",COUNTIFS($H$5:$H$204,"&gt;"&amp;H161)+1)</f>
        <v>0</v>
      </c>
      <c r="AT161" s="8">
        <f>IF(A161="","",COUNTIFS($I$5:$I$204,"&gt;"&amp;I161)+1)</f>
        <v>0</v>
      </c>
      <c r="AU161" s="8">
        <f>IF(A161="","",COUNTIFS($L$5:$L$204,"&gt;"&amp;L161)+1)</f>
        <v>0</v>
      </c>
      <c r="AV161" s="8">
        <f>IF(OR(A161="",Q161=""),"",COUNTIFS($Q$5:$Q$204,"&lt;"&amp;Q161)+1)</f>
        <v>0</v>
      </c>
      <c r="AW161" s="8">
        <f>IF(A161="","",COUNTIFS($V$5:$V$204,"&gt;"&amp;V161)+1)</f>
        <v>0</v>
      </c>
      <c r="AX161" s="8">
        <f>IF(A161="","",COUNTIFS($Y$5:$Y$204,"&lt;"&amp;Y161)+1)</f>
        <v>0</v>
      </c>
      <c r="AY161" s="8">
        <f>IF(A161="","",COUNTIFS($W$5:$W$204,"&gt;"&amp;W161)+1)</f>
        <v>0</v>
      </c>
    </row>
    <row r="162" spans="1:51">
      <c r="A162" s="7"/>
      <c r="B162" s="27"/>
      <c r="C162" s="27"/>
      <c r="D162" s="26"/>
      <c r="E162" s="26"/>
      <c r="F162" s="26"/>
      <c r="G162" s="8">
        <f>IF(A162="","",E162+F162)</f>
        <v>0</v>
      </c>
      <c r="H162" s="26"/>
      <c r="I162" s="26"/>
      <c r="J162" s="26"/>
      <c r="K162" s="26"/>
      <c r="L162" s="26"/>
      <c r="M162" s="26"/>
      <c r="N162" s="26"/>
      <c r="O162" s="8">
        <f>IF(A162="","",COUNTIFS('Recipe Ingredients'!$A$5:$A$1204,A162))</f>
        <v>0</v>
      </c>
      <c r="P162" s="8">
        <f>IF(A162="","",SUMIFS('Recipe Ingredients'!$H$5:$H$1204,'Recipe Ingredients'!$A$5:$A$1204,A162))</f>
        <v>0</v>
      </c>
      <c r="Q162" s="8">
        <f>IF(OR(A162="",D162=0,D162=""),"",P162/D162)</f>
        <v>0</v>
      </c>
      <c r="R162" s="8">
        <f>IF(OR(A162="",H162=0,H162=""),"",IFERROR(Q162/H162*1000,""))</f>
        <v>0</v>
      </c>
      <c r="S162" s="8">
        <f>IF(OR(A162="",Q162="",Q162=0),"",IFERROR(H162/Q162,""))</f>
        <v>0</v>
      </c>
      <c r="T162" s="8">
        <f>IF(OR(A162="",Q162="",Q162=0),"",IFERROR(I162/Q162,""))</f>
        <v>0</v>
      </c>
      <c r="U162" s="8">
        <f>IF(OR(A162="",G162="",G162=0),"",IFERROR(H162/G162*10,""))</f>
        <v>0</v>
      </c>
      <c r="V162" s="8">
        <f>IF(A162="","",(AC162="Yes")*1+(AD162="Yes")*1+(AE162="Yes")*1+(AF162="Yes")*1+(AG162="Yes")*1+(AH162="Yes")*1)</f>
        <v>0</v>
      </c>
      <c r="W162" s="8">
        <f>IF(A162="","",COUNTIFS('Meal Plan'!$G$5:$G$504,A162,'Meal Plan'!$S$5:$S$504,"Cooked")+COUNTIFS('Meal Plan'!$G$5:$G$504,A162,'Meal Plan'!$S$5:$S$504,"Eaten"))</f>
        <v>0</v>
      </c>
      <c r="X162" s="8">
        <f>IF(A162="","",IF(SUMPRODUCT(MAX(('Meal Plan'!$G$5:$G$504=A162)*'Meal Plan'!$B$5:$B$504))=0,"",SUMPRODUCT(MAX(('Meal Plan'!$G$5:$G$504=A162)*'Meal Plan'!$B$5:$B$504))))</f>
        <v>0</v>
      </c>
      <c r="Y162" s="8">
        <f>IF(OR(A162="",X162=""),"",TODAY()-X162)</f>
        <v>0</v>
      </c>
      <c r="Z162" s="8">
        <f>IF(A162="","",IF(Y162="","Yes",IF(Y162&gt;=Rotation_Gap_Days,"Yes","No")))</f>
        <v>0</v>
      </c>
      <c r="AA162" s="8">
        <f>IF(A162="","",IF(Z162="No","Too soon",IF(AND(AN162&lt;&gt;"",AN162&gt;=4),"Plan it","Available")))</f>
        <v>0</v>
      </c>
      <c r="AB162" s="27"/>
      <c r="AC162" s="27"/>
      <c r="AD162" s="27"/>
      <c r="AE162" s="27"/>
      <c r="AF162" s="27"/>
      <c r="AG162" s="27"/>
      <c r="AH162" s="27"/>
      <c r="AI162" s="27"/>
      <c r="AJ162" s="27"/>
      <c r="AK162" s="8">
        <f>IF(A162="","",IF(G162&lt;=30,"Yes","No"))</f>
        <v>0</v>
      </c>
      <c r="AL162" s="27"/>
      <c r="AM162" s="30"/>
      <c r="AN162" s="26"/>
      <c r="AO162" s="7"/>
      <c r="AP162" s="7"/>
      <c r="AQ162" s="7"/>
      <c r="AR162" s="25"/>
      <c r="AS162" s="8">
        <f>IF(A162="","",COUNTIFS($H$5:$H$204,"&gt;"&amp;H162)+1)</f>
        <v>0</v>
      </c>
      <c r="AT162" s="8">
        <f>IF(A162="","",COUNTIFS($I$5:$I$204,"&gt;"&amp;I162)+1)</f>
        <v>0</v>
      </c>
      <c r="AU162" s="8">
        <f>IF(A162="","",COUNTIFS($L$5:$L$204,"&gt;"&amp;L162)+1)</f>
        <v>0</v>
      </c>
      <c r="AV162" s="8">
        <f>IF(OR(A162="",Q162=""),"",COUNTIFS($Q$5:$Q$204,"&lt;"&amp;Q162)+1)</f>
        <v>0</v>
      </c>
      <c r="AW162" s="8">
        <f>IF(A162="","",COUNTIFS($V$5:$V$204,"&gt;"&amp;V162)+1)</f>
        <v>0</v>
      </c>
      <c r="AX162" s="8">
        <f>IF(A162="","",COUNTIFS($Y$5:$Y$204,"&lt;"&amp;Y162)+1)</f>
        <v>0</v>
      </c>
      <c r="AY162" s="8">
        <f>IF(A162="","",COUNTIFS($W$5:$W$204,"&gt;"&amp;W162)+1)</f>
        <v>0</v>
      </c>
    </row>
    <row r="163" spans="1:51">
      <c r="A163" s="7"/>
      <c r="B163" s="27"/>
      <c r="C163" s="27"/>
      <c r="D163" s="26"/>
      <c r="E163" s="26"/>
      <c r="F163" s="26"/>
      <c r="G163" s="8">
        <f>IF(A163="","",E163+F163)</f>
        <v>0</v>
      </c>
      <c r="H163" s="26"/>
      <c r="I163" s="26"/>
      <c r="J163" s="26"/>
      <c r="K163" s="26"/>
      <c r="L163" s="26"/>
      <c r="M163" s="26"/>
      <c r="N163" s="26"/>
      <c r="O163" s="8">
        <f>IF(A163="","",COUNTIFS('Recipe Ingredients'!$A$5:$A$1204,A163))</f>
        <v>0</v>
      </c>
      <c r="P163" s="8">
        <f>IF(A163="","",SUMIFS('Recipe Ingredients'!$H$5:$H$1204,'Recipe Ingredients'!$A$5:$A$1204,A163))</f>
        <v>0</v>
      </c>
      <c r="Q163" s="8">
        <f>IF(OR(A163="",D163=0,D163=""),"",P163/D163)</f>
        <v>0</v>
      </c>
      <c r="R163" s="8">
        <f>IF(OR(A163="",H163=0,H163=""),"",IFERROR(Q163/H163*1000,""))</f>
        <v>0</v>
      </c>
      <c r="S163" s="8">
        <f>IF(OR(A163="",Q163="",Q163=0),"",IFERROR(H163/Q163,""))</f>
        <v>0</v>
      </c>
      <c r="T163" s="8">
        <f>IF(OR(A163="",Q163="",Q163=0),"",IFERROR(I163/Q163,""))</f>
        <v>0</v>
      </c>
      <c r="U163" s="8">
        <f>IF(OR(A163="",G163="",G163=0),"",IFERROR(H163/G163*10,""))</f>
        <v>0</v>
      </c>
      <c r="V163" s="8">
        <f>IF(A163="","",(AC163="Yes")*1+(AD163="Yes")*1+(AE163="Yes")*1+(AF163="Yes")*1+(AG163="Yes")*1+(AH163="Yes")*1)</f>
        <v>0</v>
      </c>
      <c r="W163" s="8">
        <f>IF(A163="","",COUNTIFS('Meal Plan'!$G$5:$G$504,A163,'Meal Plan'!$S$5:$S$504,"Cooked")+COUNTIFS('Meal Plan'!$G$5:$G$504,A163,'Meal Plan'!$S$5:$S$504,"Eaten"))</f>
        <v>0</v>
      </c>
      <c r="X163" s="8">
        <f>IF(A163="","",IF(SUMPRODUCT(MAX(('Meal Plan'!$G$5:$G$504=A163)*'Meal Plan'!$B$5:$B$504))=0,"",SUMPRODUCT(MAX(('Meal Plan'!$G$5:$G$504=A163)*'Meal Plan'!$B$5:$B$504))))</f>
        <v>0</v>
      </c>
      <c r="Y163" s="8">
        <f>IF(OR(A163="",X163=""),"",TODAY()-X163)</f>
        <v>0</v>
      </c>
      <c r="Z163" s="8">
        <f>IF(A163="","",IF(Y163="","Yes",IF(Y163&gt;=Rotation_Gap_Days,"Yes","No")))</f>
        <v>0</v>
      </c>
      <c r="AA163" s="8">
        <f>IF(A163="","",IF(Z163="No","Too soon",IF(AND(AN163&lt;&gt;"",AN163&gt;=4),"Plan it","Available")))</f>
        <v>0</v>
      </c>
      <c r="AB163" s="27"/>
      <c r="AC163" s="27"/>
      <c r="AD163" s="27"/>
      <c r="AE163" s="27"/>
      <c r="AF163" s="27"/>
      <c r="AG163" s="27"/>
      <c r="AH163" s="27"/>
      <c r="AI163" s="27"/>
      <c r="AJ163" s="27"/>
      <c r="AK163" s="8">
        <f>IF(A163="","",IF(G163&lt;=30,"Yes","No"))</f>
        <v>0</v>
      </c>
      <c r="AL163" s="27"/>
      <c r="AM163" s="30"/>
      <c r="AN163" s="26"/>
      <c r="AO163" s="7"/>
      <c r="AP163" s="7"/>
      <c r="AQ163" s="7"/>
      <c r="AR163" s="25"/>
      <c r="AS163" s="8">
        <f>IF(A163="","",COUNTIFS($H$5:$H$204,"&gt;"&amp;H163)+1)</f>
        <v>0</v>
      </c>
      <c r="AT163" s="8">
        <f>IF(A163="","",COUNTIFS($I$5:$I$204,"&gt;"&amp;I163)+1)</f>
        <v>0</v>
      </c>
      <c r="AU163" s="8">
        <f>IF(A163="","",COUNTIFS($L$5:$L$204,"&gt;"&amp;L163)+1)</f>
        <v>0</v>
      </c>
      <c r="AV163" s="8">
        <f>IF(OR(A163="",Q163=""),"",COUNTIFS($Q$5:$Q$204,"&lt;"&amp;Q163)+1)</f>
        <v>0</v>
      </c>
      <c r="AW163" s="8">
        <f>IF(A163="","",COUNTIFS($V$5:$V$204,"&gt;"&amp;V163)+1)</f>
        <v>0</v>
      </c>
      <c r="AX163" s="8">
        <f>IF(A163="","",COUNTIFS($Y$5:$Y$204,"&lt;"&amp;Y163)+1)</f>
        <v>0</v>
      </c>
      <c r="AY163" s="8">
        <f>IF(A163="","",COUNTIFS($W$5:$W$204,"&gt;"&amp;W163)+1)</f>
        <v>0</v>
      </c>
    </row>
    <row r="164" spans="1:51">
      <c r="A164" s="7"/>
      <c r="B164" s="27"/>
      <c r="C164" s="27"/>
      <c r="D164" s="26"/>
      <c r="E164" s="26"/>
      <c r="F164" s="26"/>
      <c r="G164" s="8">
        <f>IF(A164="","",E164+F164)</f>
        <v>0</v>
      </c>
      <c r="H164" s="26"/>
      <c r="I164" s="26"/>
      <c r="J164" s="26"/>
      <c r="K164" s="26"/>
      <c r="L164" s="26"/>
      <c r="M164" s="26"/>
      <c r="N164" s="26"/>
      <c r="O164" s="8">
        <f>IF(A164="","",COUNTIFS('Recipe Ingredients'!$A$5:$A$1204,A164))</f>
        <v>0</v>
      </c>
      <c r="P164" s="8">
        <f>IF(A164="","",SUMIFS('Recipe Ingredients'!$H$5:$H$1204,'Recipe Ingredients'!$A$5:$A$1204,A164))</f>
        <v>0</v>
      </c>
      <c r="Q164" s="8">
        <f>IF(OR(A164="",D164=0,D164=""),"",P164/D164)</f>
        <v>0</v>
      </c>
      <c r="R164" s="8">
        <f>IF(OR(A164="",H164=0,H164=""),"",IFERROR(Q164/H164*1000,""))</f>
        <v>0</v>
      </c>
      <c r="S164" s="8">
        <f>IF(OR(A164="",Q164="",Q164=0),"",IFERROR(H164/Q164,""))</f>
        <v>0</v>
      </c>
      <c r="T164" s="8">
        <f>IF(OR(A164="",Q164="",Q164=0),"",IFERROR(I164/Q164,""))</f>
        <v>0</v>
      </c>
      <c r="U164" s="8">
        <f>IF(OR(A164="",G164="",G164=0),"",IFERROR(H164/G164*10,""))</f>
        <v>0</v>
      </c>
      <c r="V164" s="8">
        <f>IF(A164="","",(AC164="Yes")*1+(AD164="Yes")*1+(AE164="Yes")*1+(AF164="Yes")*1+(AG164="Yes")*1+(AH164="Yes")*1)</f>
        <v>0</v>
      </c>
      <c r="W164" s="8">
        <f>IF(A164="","",COUNTIFS('Meal Plan'!$G$5:$G$504,A164,'Meal Plan'!$S$5:$S$504,"Cooked")+COUNTIFS('Meal Plan'!$G$5:$G$504,A164,'Meal Plan'!$S$5:$S$504,"Eaten"))</f>
        <v>0</v>
      </c>
      <c r="X164" s="8">
        <f>IF(A164="","",IF(SUMPRODUCT(MAX(('Meal Plan'!$G$5:$G$504=A164)*'Meal Plan'!$B$5:$B$504))=0,"",SUMPRODUCT(MAX(('Meal Plan'!$G$5:$G$504=A164)*'Meal Plan'!$B$5:$B$504))))</f>
        <v>0</v>
      </c>
      <c r="Y164" s="8">
        <f>IF(OR(A164="",X164=""),"",TODAY()-X164)</f>
        <v>0</v>
      </c>
      <c r="Z164" s="8">
        <f>IF(A164="","",IF(Y164="","Yes",IF(Y164&gt;=Rotation_Gap_Days,"Yes","No")))</f>
        <v>0</v>
      </c>
      <c r="AA164" s="8">
        <f>IF(A164="","",IF(Z164="No","Too soon",IF(AND(AN164&lt;&gt;"",AN164&gt;=4),"Plan it","Available")))</f>
        <v>0</v>
      </c>
      <c r="AB164" s="27"/>
      <c r="AC164" s="27"/>
      <c r="AD164" s="27"/>
      <c r="AE164" s="27"/>
      <c r="AF164" s="27"/>
      <c r="AG164" s="27"/>
      <c r="AH164" s="27"/>
      <c r="AI164" s="27"/>
      <c r="AJ164" s="27"/>
      <c r="AK164" s="8">
        <f>IF(A164="","",IF(G164&lt;=30,"Yes","No"))</f>
        <v>0</v>
      </c>
      <c r="AL164" s="27"/>
      <c r="AM164" s="30"/>
      <c r="AN164" s="26"/>
      <c r="AO164" s="7"/>
      <c r="AP164" s="7"/>
      <c r="AQ164" s="7"/>
      <c r="AR164" s="25"/>
      <c r="AS164" s="8">
        <f>IF(A164="","",COUNTIFS($H$5:$H$204,"&gt;"&amp;H164)+1)</f>
        <v>0</v>
      </c>
      <c r="AT164" s="8">
        <f>IF(A164="","",COUNTIFS($I$5:$I$204,"&gt;"&amp;I164)+1)</f>
        <v>0</v>
      </c>
      <c r="AU164" s="8">
        <f>IF(A164="","",COUNTIFS($L$5:$L$204,"&gt;"&amp;L164)+1)</f>
        <v>0</v>
      </c>
      <c r="AV164" s="8">
        <f>IF(OR(A164="",Q164=""),"",COUNTIFS($Q$5:$Q$204,"&lt;"&amp;Q164)+1)</f>
        <v>0</v>
      </c>
      <c r="AW164" s="8">
        <f>IF(A164="","",COUNTIFS($V$5:$V$204,"&gt;"&amp;V164)+1)</f>
        <v>0</v>
      </c>
      <c r="AX164" s="8">
        <f>IF(A164="","",COUNTIFS($Y$5:$Y$204,"&lt;"&amp;Y164)+1)</f>
        <v>0</v>
      </c>
      <c r="AY164" s="8">
        <f>IF(A164="","",COUNTIFS($W$5:$W$204,"&gt;"&amp;W164)+1)</f>
        <v>0</v>
      </c>
    </row>
    <row r="165" spans="1:51">
      <c r="A165" s="7"/>
      <c r="B165" s="27"/>
      <c r="C165" s="27"/>
      <c r="D165" s="26"/>
      <c r="E165" s="26"/>
      <c r="F165" s="26"/>
      <c r="G165" s="8">
        <f>IF(A165="","",E165+F165)</f>
        <v>0</v>
      </c>
      <c r="H165" s="26"/>
      <c r="I165" s="26"/>
      <c r="J165" s="26"/>
      <c r="K165" s="26"/>
      <c r="L165" s="26"/>
      <c r="M165" s="26"/>
      <c r="N165" s="26"/>
      <c r="O165" s="8">
        <f>IF(A165="","",COUNTIFS('Recipe Ingredients'!$A$5:$A$1204,A165))</f>
        <v>0</v>
      </c>
      <c r="P165" s="8">
        <f>IF(A165="","",SUMIFS('Recipe Ingredients'!$H$5:$H$1204,'Recipe Ingredients'!$A$5:$A$1204,A165))</f>
        <v>0</v>
      </c>
      <c r="Q165" s="8">
        <f>IF(OR(A165="",D165=0,D165=""),"",P165/D165)</f>
        <v>0</v>
      </c>
      <c r="R165" s="8">
        <f>IF(OR(A165="",H165=0,H165=""),"",IFERROR(Q165/H165*1000,""))</f>
        <v>0</v>
      </c>
      <c r="S165" s="8">
        <f>IF(OR(A165="",Q165="",Q165=0),"",IFERROR(H165/Q165,""))</f>
        <v>0</v>
      </c>
      <c r="T165" s="8">
        <f>IF(OR(A165="",Q165="",Q165=0),"",IFERROR(I165/Q165,""))</f>
        <v>0</v>
      </c>
      <c r="U165" s="8">
        <f>IF(OR(A165="",G165="",G165=0),"",IFERROR(H165/G165*10,""))</f>
        <v>0</v>
      </c>
      <c r="V165" s="8">
        <f>IF(A165="","",(AC165="Yes")*1+(AD165="Yes")*1+(AE165="Yes")*1+(AF165="Yes")*1+(AG165="Yes")*1+(AH165="Yes")*1)</f>
        <v>0</v>
      </c>
      <c r="W165" s="8">
        <f>IF(A165="","",COUNTIFS('Meal Plan'!$G$5:$G$504,A165,'Meal Plan'!$S$5:$S$504,"Cooked")+COUNTIFS('Meal Plan'!$G$5:$G$504,A165,'Meal Plan'!$S$5:$S$504,"Eaten"))</f>
        <v>0</v>
      </c>
      <c r="X165" s="8">
        <f>IF(A165="","",IF(SUMPRODUCT(MAX(('Meal Plan'!$G$5:$G$504=A165)*'Meal Plan'!$B$5:$B$504))=0,"",SUMPRODUCT(MAX(('Meal Plan'!$G$5:$G$504=A165)*'Meal Plan'!$B$5:$B$504))))</f>
        <v>0</v>
      </c>
      <c r="Y165" s="8">
        <f>IF(OR(A165="",X165=""),"",TODAY()-X165)</f>
        <v>0</v>
      </c>
      <c r="Z165" s="8">
        <f>IF(A165="","",IF(Y165="","Yes",IF(Y165&gt;=Rotation_Gap_Days,"Yes","No")))</f>
        <v>0</v>
      </c>
      <c r="AA165" s="8">
        <f>IF(A165="","",IF(Z165="No","Too soon",IF(AND(AN165&lt;&gt;"",AN165&gt;=4),"Plan it","Available")))</f>
        <v>0</v>
      </c>
      <c r="AB165" s="27"/>
      <c r="AC165" s="27"/>
      <c r="AD165" s="27"/>
      <c r="AE165" s="27"/>
      <c r="AF165" s="27"/>
      <c r="AG165" s="27"/>
      <c r="AH165" s="27"/>
      <c r="AI165" s="27"/>
      <c r="AJ165" s="27"/>
      <c r="AK165" s="8">
        <f>IF(A165="","",IF(G165&lt;=30,"Yes","No"))</f>
        <v>0</v>
      </c>
      <c r="AL165" s="27"/>
      <c r="AM165" s="30"/>
      <c r="AN165" s="26"/>
      <c r="AO165" s="7"/>
      <c r="AP165" s="7"/>
      <c r="AQ165" s="7"/>
      <c r="AR165" s="25"/>
      <c r="AS165" s="8">
        <f>IF(A165="","",COUNTIFS($H$5:$H$204,"&gt;"&amp;H165)+1)</f>
        <v>0</v>
      </c>
      <c r="AT165" s="8">
        <f>IF(A165="","",COUNTIFS($I$5:$I$204,"&gt;"&amp;I165)+1)</f>
        <v>0</v>
      </c>
      <c r="AU165" s="8">
        <f>IF(A165="","",COUNTIFS($L$5:$L$204,"&gt;"&amp;L165)+1)</f>
        <v>0</v>
      </c>
      <c r="AV165" s="8">
        <f>IF(OR(A165="",Q165=""),"",COUNTIFS($Q$5:$Q$204,"&lt;"&amp;Q165)+1)</f>
        <v>0</v>
      </c>
      <c r="AW165" s="8">
        <f>IF(A165="","",COUNTIFS($V$5:$V$204,"&gt;"&amp;V165)+1)</f>
        <v>0</v>
      </c>
      <c r="AX165" s="8">
        <f>IF(A165="","",COUNTIFS($Y$5:$Y$204,"&lt;"&amp;Y165)+1)</f>
        <v>0</v>
      </c>
      <c r="AY165" s="8">
        <f>IF(A165="","",COUNTIFS($W$5:$W$204,"&gt;"&amp;W165)+1)</f>
        <v>0</v>
      </c>
    </row>
    <row r="166" spans="1:51">
      <c r="A166" s="7"/>
      <c r="B166" s="27"/>
      <c r="C166" s="27"/>
      <c r="D166" s="26"/>
      <c r="E166" s="26"/>
      <c r="F166" s="26"/>
      <c r="G166" s="8">
        <f>IF(A166="","",E166+F166)</f>
        <v>0</v>
      </c>
      <c r="H166" s="26"/>
      <c r="I166" s="26"/>
      <c r="J166" s="26"/>
      <c r="K166" s="26"/>
      <c r="L166" s="26"/>
      <c r="M166" s="26"/>
      <c r="N166" s="26"/>
      <c r="O166" s="8">
        <f>IF(A166="","",COUNTIFS('Recipe Ingredients'!$A$5:$A$1204,A166))</f>
        <v>0</v>
      </c>
      <c r="P166" s="8">
        <f>IF(A166="","",SUMIFS('Recipe Ingredients'!$H$5:$H$1204,'Recipe Ingredients'!$A$5:$A$1204,A166))</f>
        <v>0</v>
      </c>
      <c r="Q166" s="8">
        <f>IF(OR(A166="",D166=0,D166=""),"",P166/D166)</f>
        <v>0</v>
      </c>
      <c r="R166" s="8">
        <f>IF(OR(A166="",H166=0,H166=""),"",IFERROR(Q166/H166*1000,""))</f>
        <v>0</v>
      </c>
      <c r="S166" s="8">
        <f>IF(OR(A166="",Q166="",Q166=0),"",IFERROR(H166/Q166,""))</f>
        <v>0</v>
      </c>
      <c r="T166" s="8">
        <f>IF(OR(A166="",Q166="",Q166=0),"",IFERROR(I166/Q166,""))</f>
        <v>0</v>
      </c>
      <c r="U166" s="8">
        <f>IF(OR(A166="",G166="",G166=0),"",IFERROR(H166/G166*10,""))</f>
        <v>0</v>
      </c>
      <c r="V166" s="8">
        <f>IF(A166="","",(AC166="Yes")*1+(AD166="Yes")*1+(AE166="Yes")*1+(AF166="Yes")*1+(AG166="Yes")*1+(AH166="Yes")*1)</f>
        <v>0</v>
      </c>
      <c r="W166" s="8">
        <f>IF(A166="","",COUNTIFS('Meal Plan'!$G$5:$G$504,A166,'Meal Plan'!$S$5:$S$504,"Cooked")+COUNTIFS('Meal Plan'!$G$5:$G$504,A166,'Meal Plan'!$S$5:$S$504,"Eaten"))</f>
        <v>0</v>
      </c>
      <c r="X166" s="8">
        <f>IF(A166="","",IF(SUMPRODUCT(MAX(('Meal Plan'!$G$5:$G$504=A166)*'Meal Plan'!$B$5:$B$504))=0,"",SUMPRODUCT(MAX(('Meal Plan'!$G$5:$G$504=A166)*'Meal Plan'!$B$5:$B$504))))</f>
        <v>0</v>
      </c>
      <c r="Y166" s="8">
        <f>IF(OR(A166="",X166=""),"",TODAY()-X166)</f>
        <v>0</v>
      </c>
      <c r="Z166" s="8">
        <f>IF(A166="","",IF(Y166="","Yes",IF(Y166&gt;=Rotation_Gap_Days,"Yes","No")))</f>
        <v>0</v>
      </c>
      <c r="AA166" s="8">
        <f>IF(A166="","",IF(Z166="No","Too soon",IF(AND(AN166&lt;&gt;"",AN166&gt;=4),"Plan it","Available")))</f>
        <v>0</v>
      </c>
      <c r="AB166" s="27"/>
      <c r="AC166" s="27"/>
      <c r="AD166" s="27"/>
      <c r="AE166" s="27"/>
      <c r="AF166" s="27"/>
      <c r="AG166" s="27"/>
      <c r="AH166" s="27"/>
      <c r="AI166" s="27"/>
      <c r="AJ166" s="27"/>
      <c r="AK166" s="8">
        <f>IF(A166="","",IF(G166&lt;=30,"Yes","No"))</f>
        <v>0</v>
      </c>
      <c r="AL166" s="27"/>
      <c r="AM166" s="30"/>
      <c r="AN166" s="26"/>
      <c r="AO166" s="7"/>
      <c r="AP166" s="7"/>
      <c r="AQ166" s="7"/>
      <c r="AR166" s="25"/>
      <c r="AS166" s="8">
        <f>IF(A166="","",COUNTIFS($H$5:$H$204,"&gt;"&amp;H166)+1)</f>
        <v>0</v>
      </c>
      <c r="AT166" s="8">
        <f>IF(A166="","",COUNTIFS($I$5:$I$204,"&gt;"&amp;I166)+1)</f>
        <v>0</v>
      </c>
      <c r="AU166" s="8">
        <f>IF(A166="","",COUNTIFS($L$5:$L$204,"&gt;"&amp;L166)+1)</f>
        <v>0</v>
      </c>
      <c r="AV166" s="8">
        <f>IF(OR(A166="",Q166=""),"",COUNTIFS($Q$5:$Q$204,"&lt;"&amp;Q166)+1)</f>
        <v>0</v>
      </c>
      <c r="AW166" s="8">
        <f>IF(A166="","",COUNTIFS($V$5:$V$204,"&gt;"&amp;V166)+1)</f>
        <v>0</v>
      </c>
      <c r="AX166" s="8">
        <f>IF(A166="","",COUNTIFS($Y$5:$Y$204,"&lt;"&amp;Y166)+1)</f>
        <v>0</v>
      </c>
      <c r="AY166" s="8">
        <f>IF(A166="","",COUNTIFS($W$5:$W$204,"&gt;"&amp;W166)+1)</f>
        <v>0</v>
      </c>
    </row>
    <row r="167" spans="1:51">
      <c r="A167" s="7"/>
      <c r="B167" s="27"/>
      <c r="C167" s="27"/>
      <c r="D167" s="26"/>
      <c r="E167" s="26"/>
      <c r="F167" s="26"/>
      <c r="G167" s="8">
        <f>IF(A167="","",E167+F167)</f>
        <v>0</v>
      </c>
      <c r="H167" s="26"/>
      <c r="I167" s="26"/>
      <c r="J167" s="26"/>
      <c r="K167" s="26"/>
      <c r="L167" s="26"/>
      <c r="M167" s="26"/>
      <c r="N167" s="26"/>
      <c r="O167" s="8">
        <f>IF(A167="","",COUNTIFS('Recipe Ingredients'!$A$5:$A$1204,A167))</f>
        <v>0</v>
      </c>
      <c r="P167" s="8">
        <f>IF(A167="","",SUMIFS('Recipe Ingredients'!$H$5:$H$1204,'Recipe Ingredients'!$A$5:$A$1204,A167))</f>
        <v>0</v>
      </c>
      <c r="Q167" s="8">
        <f>IF(OR(A167="",D167=0,D167=""),"",P167/D167)</f>
        <v>0</v>
      </c>
      <c r="R167" s="8">
        <f>IF(OR(A167="",H167=0,H167=""),"",IFERROR(Q167/H167*1000,""))</f>
        <v>0</v>
      </c>
      <c r="S167" s="8">
        <f>IF(OR(A167="",Q167="",Q167=0),"",IFERROR(H167/Q167,""))</f>
        <v>0</v>
      </c>
      <c r="T167" s="8">
        <f>IF(OR(A167="",Q167="",Q167=0),"",IFERROR(I167/Q167,""))</f>
        <v>0</v>
      </c>
      <c r="U167" s="8">
        <f>IF(OR(A167="",G167="",G167=0),"",IFERROR(H167/G167*10,""))</f>
        <v>0</v>
      </c>
      <c r="V167" s="8">
        <f>IF(A167="","",(AC167="Yes")*1+(AD167="Yes")*1+(AE167="Yes")*1+(AF167="Yes")*1+(AG167="Yes")*1+(AH167="Yes")*1)</f>
        <v>0</v>
      </c>
      <c r="W167" s="8">
        <f>IF(A167="","",COUNTIFS('Meal Plan'!$G$5:$G$504,A167,'Meal Plan'!$S$5:$S$504,"Cooked")+COUNTIFS('Meal Plan'!$G$5:$G$504,A167,'Meal Plan'!$S$5:$S$504,"Eaten"))</f>
        <v>0</v>
      </c>
      <c r="X167" s="8">
        <f>IF(A167="","",IF(SUMPRODUCT(MAX(('Meal Plan'!$G$5:$G$504=A167)*'Meal Plan'!$B$5:$B$504))=0,"",SUMPRODUCT(MAX(('Meal Plan'!$G$5:$G$504=A167)*'Meal Plan'!$B$5:$B$504))))</f>
        <v>0</v>
      </c>
      <c r="Y167" s="8">
        <f>IF(OR(A167="",X167=""),"",TODAY()-X167)</f>
        <v>0</v>
      </c>
      <c r="Z167" s="8">
        <f>IF(A167="","",IF(Y167="","Yes",IF(Y167&gt;=Rotation_Gap_Days,"Yes","No")))</f>
        <v>0</v>
      </c>
      <c r="AA167" s="8">
        <f>IF(A167="","",IF(Z167="No","Too soon",IF(AND(AN167&lt;&gt;"",AN167&gt;=4),"Plan it","Available")))</f>
        <v>0</v>
      </c>
      <c r="AB167" s="27"/>
      <c r="AC167" s="27"/>
      <c r="AD167" s="27"/>
      <c r="AE167" s="27"/>
      <c r="AF167" s="27"/>
      <c r="AG167" s="27"/>
      <c r="AH167" s="27"/>
      <c r="AI167" s="27"/>
      <c r="AJ167" s="27"/>
      <c r="AK167" s="8">
        <f>IF(A167="","",IF(G167&lt;=30,"Yes","No"))</f>
        <v>0</v>
      </c>
      <c r="AL167" s="27"/>
      <c r="AM167" s="30"/>
      <c r="AN167" s="26"/>
      <c r="AO167" s="7"/>
      <c r="AP167" s="7"/>
      <c r="AQ167" s="7"/>
      <c r="AR167" s="25"/>
      <c r="AS167" s="8">
        <f>IF(A167="","",COUNTIFS($H$5:$H$204,"&gt;"&amp;H167)+1)</f>
        <v>0</v>
      </c>
      <c r="AT167" s="8">
        <f>IF(A167="","",COUNTIFS($I$5:$I$204,"&gt;"&amp;I167)+1)</f>
        <v>0</v>
      </c>
      <c r="AU167" s="8">
        <f>IF(A167="","",COUNTIFS($L$5:$L$204,"&gt;"&amp;L167)+1)</f>
        <v>0</v>
      </c>
      <c r="AV167" s="8">
        <f>IF(OR(A167="",Q167=""),"",COUNTIFS($Q$5:$Q$204,"&lt;"&amp;Q167)+1)</f>
        <v>0</v>
      </c>
      <c r="AW167" s="8">
        <f>IF(A167="","",COUNTIFS($V$5:$V$204,"&gt;"&amp;V167)+1)</f>
        <v>0</v>
      </c>
      <c r="AX167" s="8">
        <f>IF(A167="","",COUNTIFS($Y$5:$Y$204,"&lt;"&amp;Y167)+1)</f>
        <v>0</v>
      </c>
      <c r="AY167" s="8">
        <f>IF(A167="","",COUNTIFS($W$5:$W$204,"&gt;"&amp;W167)+1)</f>
        <v>0</v>
      </c>
    </row>
    <row r="168" spans="1:51">
      <c r="A168" s="7"/>
      <c r="B168" s="27"/>
      <c r="C168" s="27"/>
      <c r="D168" s="26"/>
      <c r="E168" s="26"/>
      <c r="F168" s="26"/>
      <c r="G168" s="8">
        <f>IF(A168="","",E168+F168)</f>
        <v>0</v>
      </c>
      <c r="H168" s="26"/>
      <c r="I168" s="26"/>
      <c r="J168" s="26"/>
      <c r="K168" s="26"/>
      <c r="L168" s="26"/>
      <c r="M168" s="26"/>
      <c r="N168" s="26"/>
      <c r="O168" s="8">
        <f>IF(A168="","",COUNTIFS('Recipe Ingredients'!$A$5:$A$1204,A168))</f>
        <v>0</v>
      </c>
      <c r="P168" s="8">
        <f>IF(A168="","",SUMIFS('Recipe Ingredients'!$H$5:$H$1204,'Recipe Ingredients'!$A$5:$A$1204,A168))</f>
        <v>0</v>
      </c>
      <c r="Q168" s="8">
        <f>IF(OR(A168="",D168=0,D168=""),"",P168/D168)</f>
        <v>0</v>
      </c>
      <c r="R168" s="8">
        <f>IF(OR(A168="",H168=0,H168=""),"",IFERROR(Q168/H168*1000,""))</f>
        <v>0</v>
      </c>
      <c r="S168" s="8">
        <f>IF(OR(A168="",Q168="",Q168=0),"",IFERROR(H168/Q168,""))</f>
        <v>0</v>
      </c>
      <c r="T168" s="8">
        <f>IF(OR(A168="",Q168="",Q168=0),"",IFERROR(I168/Q168,""))</f>
        <v>0</v>
      </c>
      <c r="U168" s="8">
        <f>IF(OR(A168="",G168="",G168=0),"",IFERROR(H168/G168*10,""))</f>
        <v>0</v>
      </c>
      <c r="V168" s="8">
        <f>IF(A168="","",(AC168="Yes")*1+(AD168="Yes")*1+(AE168="Yes")*1+(AF168="Yes")*1+(AG168="Yes")*1+(AH168="Yes")*1)</f>
        <v>0</v>
      </c>
      <c r="W168" s="8">
        <f>IF(A168="","",COUNTIFS('Meal Plan'!$G$5:$G$504,A168,'Meal Plan'!$S$5:$S$504,"Cooked")+COUNTIFS('Meal Plan'!$G$5:$G$504,A168,'Meal Plan'!$S$5:$S$504,"Eaten"))</f>
        <v>0</v>
      </c>
      <c r="X168" s="8">
        <f>IF(A168="","",IF(SUMPRODUCT(MAX(('Meal Plan'!$G$5:$G$504=A168)*'Meal Plan'!$B$5:$B$504))=0,"",SUMPRODUCT(MAX(('Meal Plan'!$G$5:$G$504=A168)*'Meal Plan'!$B$5:$B$504))))</f>
        <v>0</v>
      </c>
      <c r="Y168" s="8">
        <f>IF(OR(A168="",X168=""),"",TODAY()-X168)</f>
        <v>0</v>
      </c>
      <c r="Z168" s="8">
        <f>IF(A168="","",IF(Y168="","Yes",IF(Y168&gt;=Rotation_Gap_Days,"Yes","No")))</f>
        <v>0</v>
      </c>
      <c r="AA168" s="8">
        <f>IF(A168="","",IF(Z168="No","Too soon",IF(AND(AN168&lt;&gt;"",AN168&gt;=4),"Plan it","Available")))</f>
        <v>0</v>
      </c>
      <c r="AB168" s="27"/>
      <c r="AC168" s="27"/>
      <c r="AD168" s="27"/>
      <c r="AE168" s="27"/>
      <c r="AF168" s="27"/>
      <c r="AG168" s="27"/>
      <c r="AH168" s="27"/>
      <c r="AI168" s="27"/>
      <c r="AJ168" s="27"/>
      <c r="AK168" s="8">
        <f>IF(A168="","",IF(G168&lt;=30,"Yes","No"))</f>
        <v>0</v>
      </c>
      <c r="AL168" s="27"/>
      <c r="AM168" s="30"/>
      <c r="AN168" s="26"/>
      <c r="AO168" s="7"/>
      <c r="AP168" s="7"/>
      <c r="AQ168" s="7"/>
      <c r="AR168" s="25"/>
      <c r="AS168" s="8">
        <f>IF(A168="","",COUNTIFS($H$5:$H$204,"&gt;"&amp;H168)+1)</f>
        <v>0</v>
      </c>
      <c r="AT168" s="8">
        <f>IF(A168="","",COUNTIFS($I$5:$I$204,"&gt;"&amp;I168)+1)</f>
        <v>0</v>
      </c>
      <c r="AU168" s="8">
        <f>IF(A168="","",COUNTIFS($L$5:$L$204,"&gt;"&amp;L168)+1)</f>
        <v>0</v>
      </c>
      <c r="AV168" s="8">
        <f>IF(OR(A168="",Q168=""),"",COUNTIFS($Q$5:$Q$204,"&lt;"&amp;Q168)+1)</f>
        <v>0</v>
      </c>
      <c r="AW168" s="8">
        <f>IF(A168="","",COUNTIFS($V$5:$V$204,"&gt;"&amp;V168)+1)</f>
        <v>0</v>
      </c>
      <c r="AX168" s="8">
        <f>IF(A168="","",COUNTIFS($Y$5:$Y$204,"&lt;"&amp;Y168)+1)</f>
        <v>0</v>
      </c>
      <c r="AY168" s="8">
        <f>IF(A168="","",COUNTIFS($W$5:$W$204,"&gt;"&amp;W168)+1)</f>
        <v>0</v>
      </c>
    </row>
    <row r="169" spans="1:51">
      <c r="A169" s="7"/>
      <c r="B169" s="27"/>
      <c r="C169" s="27"/>
      <c r="D169" s="26"/>
      <c r="E169" s="26"/>
      <c r="F169" s="26"/>
      <c r="G169" s="8">
        <f>IF(A169="","",E169+F169)</f>
        <v>0</v>
      </c>
      <c r="H169" s="26"/>
      <c r="I169" s="26"/>
      <c r="J169" s="26"/>
      <c r="K169" s="26"/>
      <c r="L169" s="26"/>
      <c r="M169" s="26"/>
      <c r="N169" s="26"/>
      <c r="O169" s="8">
        <f>IF(A169="","",COUNTIFS('Recipe Ingredients'!$A$5:$A$1204,A169))</f>
        <v>0</v>
      </c>
      <c r="P169" s="8">
        <f>IF(A169="","",SUMIFS('Recipe Ingredients'!$H$5:$H$1204,'Recipe Ingredients'!$A$5:$A$1204,A169))</f>
        <v>0</v>
      </c>
      <c r="Q169" s="8">
        <f>IF(OR(A169="",D169=0,D169=""),"",P169/D169)</f>
        <v>0</v>
      </c>
      <c r="R169" s="8">
        <f>IF(OR(A169="",H169=0,H169=""),"",IFERROR(Q169/H169*1000,""))</f>
        <v>0</v>
      </c>
      <c r="S169" s="8">
        <f>IF(OR(A169="",Q169="",Q169=0),"",IFERROR(H169/Q169,""))</f>
        <v>0</v>
      </c>
      <c r="T169" s="8">
        <f>IF(OR(A169="",Q169="",Q169=0),"",IFERROR(I169/Q169,""))</f>
        <v>0</v>
      </c>
      <c r="U169" s="8">
        <f>IF(OR(A169="",G169="",G169=0),"",IFERROR(H169/G169*10,""))</f>
        <v>0</v>
      </c>
      <c r="V169" s="8">
        <f>IF(A169="","",(AC169="Yes")*1+(AD169="Yes")*1+(AE169="Yes")*1+(AF169="Yes")*1+(AG169="Yes")*1+(AH169="Yes")*1)</f>
        <v>0</v>
      </c>
      <c r="W169" s="8">
        <f>IF(A169="","",COUNTIFS('Meal Plan'!$G$5:$G$504,A169,'Meal Plan'!$S$5:$S$504,"Cooked")+COUNTIFS('Meal Plan'!$G$5:$G$504,A169,'Meal Plan'!$S$5:$S$504,"Eaten"))</f>
        <v>0</v>
      </c>
      <c r="X169" s="8">
        <f>IF(A169="","",IF(SUMPRODUCT(MAX(('Meal Plan'!$G$5:$G$504=A169)*'Meal Plan'!$B$5:$B$504))=0,"",SUMPRODUCT(MAX(('Meal Plan'!$G$5:$G$504=A169)*'Meal Plan'!$B$5:$B$504))))</f>
        <v>0</v>
      </c>
      <c r="Y169" s="8">
        <f>IF(OR(A169="",X169=""),"",TODAY()-X169)</f>
        <v>0</v>
      </c>
      <c r="Z169" s="8">
        <f>IF(A169="","",IF(Y169="","Yes",IF(Y169&gt;=Rotation_Gap_Days,"Yes","No")))</f>
        <v>0</v>
      </c>
      <c r="AA169" s="8">
        <f>IF(A169="","",IF(Z169="No","Too soon",IF(AND(AN169&lt;&gt;"",AN169&gt;=4),"Plan it","Available")))</f>
        <v>0</v>
      </c>
      <c r="AB169" s="27"/>
      <c r="AC169" s="27"/>
      <c r="AD169" s="27"/>
      <c r="AE169" s="27"/>
      <c r="AF169" s="27"/>
      <c r="AG169" s="27"/>
      <c r="AH169" s="27"/>
      <c r="AI169" s="27"/>
      <c r="AJ169" s="27"/>
      <c r="AK169" s="8">
        <f>IF(A169="","",IF(G169&lt;=30,"Yes","No"))</f>
        <v>0</v>
      </c>
      <c r="AL169" s="27"/>
      <c r="AM169" s="30"/>
      <c r="AN169" s="26"/>
      <c r="AO169" s="7"/>
      <c r="AP169" s="7"/>
      <c r="AQ169" s="7"/>
      <c r="AR169" s="25"/>
      <c r="AS169" s="8">
        <f>IF(A169="","",COUNTIFS($H$5:$H$204,"&gt;"&amp;H169)+1)</f>
        <v>0</v>
      </c>
      <c r="AT169" s="8">
        <f>IF(A169="","",COUNTIFS($I$5:$I$204,"&gt;"&amp;I169)+1)</f>
        <v>0</v>
      </c>
      <c r="AU169" s="8">
        <f>IF(A169="","",COUNTIFS($L$5:$L$204,"&gt;"&amp;L169)+1)</f>
        <v>0</v>
      </c>
      <c r="AV169" s="8">
        <f>IF(OR(A169="",Q169=""),"",COUNTIFS($Q$5:$Q$204,"&lt;"&amp;Q169)+1)</f>
        <v>0</v>
      </c>
      <c r="AW169" s="8">
        <f>IF(A169="","",COUNTIFS($V$5:$V$204,"&gt;"&amp;V169)+1)</f>
        <v>0</v>
      </c>
      <c r="AX169" s="8">
        <f>IF(A169="","",COUNTIFS($Y$5:$Y$204,"&lt;"&amp;Y169)+1)</f>
        <v>0</v>
      </c>
      <c r="AY169" s="8">
        <f>IF(A169="","",COUNTIFS($W$5:$W$204,"&gt;"&amp;W169)+1)</f>
        <v>0</v>
      </c>
    </row>
    <row r="170" spans="1:51">
      <c r="A170" s="7"/>
      <c r="B170" s="27"/>
      <c r="C170" s="27"/>
      <c r="D170" s="26"/>
      <c r="E170" s="26"/>
      <c r="F170" s="26"/>
      <c r="G170" s="8">
        <f>IF(A170="","",E170+F170)</f>
        <v>0</v>
      </c>
      <c r="H170" s="26"/>
      <c r="I170" s="26"/>
      <c r="J170" s="26"/>
      <c r="K170" s="26"/>
      <c r="L170" s="26"/>
      <c r="M170" s="26"/>
      <c r="N170" s="26"/>
      <c r="O170" s="8">
        <f>IF(A170="","",COUNTIFS('Recipe Ingredients'!$A$5:$A$1204,A170))</f>
        <v>0</v>
      </c>
      <c r="P170" s="8">
        <f>IF(A170="","",SUMIFS('Recipe Ingredients'!$H$5:$H$1204,'Recipe Ingredients'!$A$5:$A$1204,A170))</f>
        <v>0</v>
      </c>
      <c r="Q170" s="8">
        <f>IF(OR(A170="",D170=0,D170=""),"",P170/D170)</f>
        <v>0</v>
      </c>
      <c r="R170" s="8">
        <f>IF(OR(A170="",H170=0,H170=""),"",IFERROR(Q170/H170*1000,""))</f>
        <v>0</v>
      </c>
      <c r="S170" s="8">
        <f>IF(OR(A170="",Q170="",Q170=0),"",IFERROR(H170/Q170,""))</f>
        <v>0</v>
      </c>
      <c r="T170" s="8">
        <f>IF(OR(A170="",Q170="",Q170=0),"",IFERROR(I170/Q170,""))</f>
        <v>0</v>
      </c>
      <c r="U170" s="8">
        <f>IF(OR(A170="",G170="",G170=0),"",IFERROR(H170/G170*10,""))</f>
        <v>0</v>
      </c>
      <c r="V170" s="8">
        <f>IF(A170="","",(AC170="Yes")*1+(AD170="Yes")*1+(AE170="Yes")*1+(AF170="Yes")*1+(AG170="Yes")*1+(AH170="Yes")*1)</f>
        <v>0</v>
      </c>
      <c r="W170" s="8">
        <f>IF(A170="","",COUNTIFS('Meal Plan'!$G$5:$G$504,A170,'Meal Plan'!$S$5:$S$504,"Cooked")+COUNTIFS('Meal Plan'!$G$5:$G$504,A170,'Meal Plan'!$S$5:$S$504,"Eaten"))</f>
        <v>0</v>
      </c>
      <c r="X170" s="8">
        <f>IF(A170="","",IF(SUMPRODUCT(MAX(('Meal Plan'!$G$5:$G$504=A170)*'Meal Plan'!$B$5:$B$504))=0,"",SUMPRODUCT(MAX(('Meal Plan'!$G$5:$G$504=A170)*'Meal Plan'!$B$5:$B$504))))</f>
        <v>0</v>
      </c>
      <c r="Y170" s="8">
        <f>IF(OR(A170="",X170=""),"",TODAY()-X170)</f>
        <v>0</v>
      </c>
      <c r="Z170" s="8">
        <f>IF(A170="","",IF(Y170="","Yes",IF(Y170&gt;=Rotation_Gap_Days,"Yes","No")))</f>
        <v>0</v>
      </c>
      <c r="AA170" s="8">
        <f>IF(A170="","",IF(Z170="No","Too soon",IF(AND(AN170&lt;&gt;"",AN170&gt;=4),"Plan it","Available")))</f>
        <v>0</v>
      </c>
      <c r="AB170" s="27"/>
      <c r="AC170" s="27"/>
      <c r="AD170" s="27"/>
      <c r="AE170" s="27"/>
      <c r="AF170" s="27"/>
      <c r="AG170" s="27"/>
      <c r="AH170" s="27"/>
      <c r="AI170" s="27"/>
      <c r="AJ170" s="27"/>
      <c r="AK170" s="8">
        <f>IF(A170="","",IF(G170&lt;=30,"Yes","No"))</f>
        <v>0</v>
      </c>
      <c r="AL170" s="27"/>
      <c r="AM170" s="30"/>
      <c r="AN170" s="26"/>
      <c r="AO170" s="7"/>
      <c r="AP170" s="7"/>
      <c r="AQ170" s="7"/>
      <c r="AR170" s="25"/>
      <c r="AS170" s="8">
        <f>IF(A170="","",COUNTIFS($H$5:$H$204,"&gt;"&amp;H170)+1)</f>
        <v>0</v>
      </c>
      <c r="AT170" s="8">
        <f>IF(A170="","",COUNTIFS($I$5:$I$204,"&gt;"&amp;I170)+1)</f>
        <v>0</v>
      </c>
      <c r="AU170" s="8">
        <f>IF(A170="","",COUNTIFS($L$5:$L$204,"&gt;"&amp;L170)+1)</f>
        <v>0</v>
      </c>
      <c r="AV170" s="8">
        <f>IF(OR(A170="",Q170=""),"",COUNTIFS($Q$5:$Q$204,"&lt;"&amp;Q170)+1)</f>
        <v>0</v>
      </c>
      <c r="AW170" s="8">
        <f>IF(A170="","",COUNTIFS($V$5:$V$204,"&gt;"&amp;V170)+1)</f>
        <v>0</v>
      </c>
      <c r="AX170" s="8">
        <f>IF(A170="","",COUNTIFS($Y$5:$Y$204,"&lt;"&amp;Y170)+1)</f>
        <v>0</v>
      </c>
      <c r="AY170" s="8">
        <f>IF(A170="","",COUNTIFS($W$5:$W$204,"&gt;"&amp;W170)+1)</f>
        <v>0</v>
      </c>
    </row>
    <row r="171" spans="1:51">
      <c r="A171" s="7"/>
      <c r="B171" s="27"/>
      <c r="C171" s="27"/>
      <c r="D171" s="26"/>
      <c r="E171" s="26"/>
      <c r="F171" s="26"/>
      <c r="G171" s="8">
        <f>IF(A171="","",E171+F171)</f>
        <v>0</v>
      </c>
      <c r="H171" s="26"/>
      <c r="I171" s="26"/>
      <c r="J171" s="26"/>
      <c r="K171" s="26"/>
      <c r="L171" s="26"/>
      <c r="M171" s="26"/>
      <c r="N171" s="26"/>
      <c r="O171" s="8">
        <f>IF(A171="","",COUNTIFS('Recipe Ingredients'!$A$5:$A$1204,A171))</f>
        <v>0</v>
      </c>
      <c r="P171" s="8">
        <f>IF(A171="","",SUMIFS('Recipe Ingredients'!$H$5:$H$1204,'Recipe Ingredients'!$A$5:$A$1204,A171))</f>
        <v>0</v>
      </c>
      <c r="Q171" s="8">
        <f>IF(OR(A171="",D171=0,D171=""),"",P171/D171)</f>
        <v>0</v>
      </c>
      <c r="R171" s="8">
        <f>IF(OR(A171="",H171=0,H171=""),"",IFERROR(Q171/H171*1000,""))</f>
        <v>0</v>
      </c>
      <c r="S171" s="8">
        <f>IF(OR(A171="",Q171="",Q171=0),"",IFERROR(H171/Q171,""))</f>
        <v>0</v>
      </c>
      <c r="T171" s="8">
        <f>IF(OR(A171="",Q171="",Q171=0),"",IFERROR(I171/Q171,""))</f>
        <v>0</v>
      </c>
      <c r="U171" s="8">
        <f>IF(OR(A171="",G171="",G171=0),"",IFERROR(H171/G171*10,""))</f>
        <v>0</v>
      </c>
      <c r="V171" s="8">
        <f>IF(A171="","",(AC171="Yes")*1+(AD171="Yes")*1+(AE171="Yes")*1+(AF171="Yes")*1+(AG171="Yes")*1+(AH171="Yes")*1)</f>
        <v>0</v>
      </c>
      <c r="W171" s="8">
        <f>IF(A171="","",COUNTIFS('Meal Plan'!$G$5:$G$504,A171,'Meal Plan'!$S$5:$S$504,"Cooked")+COUNTIFS('Meal Plan'!$G$5:$G$504,A171,'Meal Plan'!$S$5:$S$504,"Eaten"))</f>
        <v>0</v>
      </c>
      <c r="X171" s="8">
        <f>IF(A171="","",IF(SUMPRODUCT(MAX(('Meal Plan'!$G$5:$G$504=A171)*'Meal Plan'!$B$5:$B$504))=0,"",SUMPRODUCT(MAX(('Meal Plan'!$G$5:$G$504=A171)*'Meal Plan'!$B$5:$B$504))))</f>
        <v>0</v>
      </c>
      <c r="Y171" s="8">
        <f>IF(OR(A171="",X171=""),"",TODAY()-X171)</f>
        <v>0</v>
      </c>
      <c r="Z171" s="8">
        <f>IF(A171="","",IF(Y171="","Yes",IF(Y171&gt;=Rotation_Gap_Days,"Yes","No")))</f>
        <v>0</v>
      </c>
      <c r="AA171" s="8">
        <f>IF(A171="","",IF(Z171="No","Too soon",IF(AND(AN171&lt;&gt;"",AN171&gt;=4),"Plan it","Available")))</f>
        <v>0</v>
      </c>
      <c r="AB171" s="27"/>
      <c r="AC171" s="27"/>
      <c r="AD171" s="27"/>
      <c r="AE171" s="27"/>
      <c r="AF171" s="27"/>
      <c r="AG171" s="27"/>
      <c r="AH171" s="27"/>
      <c r="AI171" s="27"/>
      <c r="AJ171" s="27"/>
      <c r="AK171" s="8">
        <f>IF(A171="","",IF(G171&lt;=30,"Yes","No"))</f>
        <v>0</v>
      </c>
      <c r="AL171" s="27"/>
      <c r="AM171" s="30"/>
      <c r="AN171" s="26"/>
      <c r="AO171" s="7"/>
      <c r="AP171" s="7"/>
      <c r="AQ171" s="7"/>
      <c r="AR171" s="25"/>
      <c r="AS171" s="8">
        <f>IF(A171="","",COUNTIFS($H$5:$H$204,"&gt;"&amp;H171)+1)</f>
        <v>0</v>
      </c>
      <c r="AT171" s="8">
        <f>IF(A171="","",COUNTIFS($I$5:$I$204,"&gt;"&amp;I171)+1)</f>
        <v>0</v>
      </c>
      <c r="AU171" s="8">
        <f>IF(A171="","",COUNTIFS($L$5:$L$204,"&gt;"&amp;L171)+1)</f>
        <v>0</v>
      </c>
      <c r="AV171" s="8">
        <f>IF(OR(A171="",Q171=""),"",COUNTIFS($Q$5:$Q$204,"&lt;"&amp;Q171)+1)</f>
        <v>0</v>
      </c>
      <c r="AW171" s="8">
        <f>IF(A171="","",COUNTIFS($V$5:$V$204,"&gt;"&amp;V171)+1)</f>
        <v>0</v>
      </c>
      <c r="AX171" s="8">
        <f>IF(A171="","",COUNTIFS($Y$5:$Y$204,"&lt;"&amp;Y171)+1)</f>
        <v>0</v>
      </c>
      <c r="AY171" s="8">
        <f>IF(A171="","",COUNTIFS($W$5:$W$204,"&gt;"&amp;W171)+1)</f>
        <v>0</v>
      </c>
    </row>
    <row r="172" spans="1:51">
      <c r="A172" s="7"/>
      <c r="B172" s="27"/>
      <c r="C172" s="27"/>
      <c r="D172" s="26"/>
      <c r="E172" s="26"/>
      <c r="F172" s="26"/>
      <c r="G172" s="8">
        <f>IF(A172="","",E172+F172)</f>
        <v>0</v>
      </c>
      <c r="H172" s="26"/>
      <c r="I172" s="26"/>
      <c r="J172" s="26"/>
      <c r="K172" s="26"/>
      <c r="L172" s="26"/>
      <c r="M172" s="26"/>
      <c r="N172" s="26"/>
      <c r="O172" s="8">
        <f>IF(A172="","",COUNTIFS('Recipe Ingredients'!$A$5:$A$1204,A172))</f>
        <v>0</v>
      </c>
      <c r="P172" s="8">
        <f>IF(A172="","",SUMIFS('Recipe Ingredients'!$H$5:$H$1204,'Recipe Ingredients'!$A$5:$A$1204,A172))</f>
        <v>0</v>
      </c>
      <c r="Q172" s="8">
        <f>IF(OR(A172="",D172=0,D172=""),"",P172/D172)</f>
        <v>0</v>
      </c>
      <c r="R172" s="8">
        <f>IF(OR(A172="",H172=0,H172=""),"",IFERROR(Q172/H172*1000,""))</f>
        <v>0</v>
      </c>
      <c r="S172" s="8">
        <f>IF(OR(A172="",Q172="",Q172=0),"",IFERROR(H172/Q172,""))</f>
        <v>0</v>
      </c>
      <c r="T172" s="8">
        <f>IF(OR(A172="",Q172="",Q172=0),"",IFERROR(I172/Q172,""))</f>
        <v>0</v>
      </c>
      <c r="U172" s="8">
        <f>IF(OR(A172="",G172="",G172=0),"",IFERROR(H172/G172*10,""))</f>
        <v>0</v>
      </c>
      <c r="V172" s="8">
        <f>IF(A172="","",(AC172="Yes")*1+(AD172="Yes")*1+(AE172="Yes")*1+(AF172="Yes")*1+(AG172="Yes")*1+(AH172="Yes")*1)</f>
        <v>0</v>
      </c>
      <c r="W172" s="8">
        <f>IF(A172="","",COUNTIFS('Meal Plan'!$G$5:$G$504,A172,'Meal Plan'!$S$5:$S$504,"Cooked")+COUNTIFS('Meal Plan'!$G$5:$G$504,A172,'Meal Plan'!$S$5:$S$504,"Eaten"))</f>
        <v>0</v>
      </c>
      <c r="X172" s="8">
        <f>IF(A172="","",IF(SUMPRODUCT(MAX(('Meal Plan'!$G$5:$G$504=A172)*'Meal Plan'!$B$5:$B$504))=0,"",SUMPRODUCT(MAX(('Meal Plan'!$G$5:$G$504=A172)*'Meal Plan'!$B$5:$B$504))))</f>
        <v>0</v>
      </c>
      <c r="Y172" s="8">
        <f>IF(OR(A172="",X172=""),"",TODAY()-X172)</f>
        <v>0</v>
      </c>
      <c r="Z172" s="8">
        <f>IF(A172="","",IF(Y172="","Yes",IF(Y172&gt;=Rotation_Gap_Days,"Yes","No")))</f>
        <v>0</v>
      </c>
      <c r="AA172" s="8">
        <f>IF(A172="","",IF(Z172="No","Too soon",IF(AND(AN172&lt;&gt;"",AN172&gt;=4),"Plan it","Available")))</f>
        <v>0</v>
      </c>
      <c r="AB172" s="27"/>
      <c r="AC172" s="27"/>
      <c r="AD172" s="27"/>
      <c r="AE172" s="27"/>
      <c r="AF172" s="27"/>
      <c r="AG172" s="27"/>
      <c r="AH172" s="27"/>
      <c r="AI172" s="27"/>
      <c r="AJ172" s="27"/>
      <c r="AK172" s="8">
        <f>IF(A172="","",IF(G172&lt;=30,"Yes","No"))</f>
        <v>0</v>
      </c>
      <c r="AL172" s="27"/>
      <c r="AM172" s="30"/>
      <c r="AN172" s="26"/>
      <c r="AO172" s="7"/>
      <c r="AP172" s="7"/>
      <c r="AQ172" s="7"/>
      <c r="AR172" s="25"/>
      <c r="AS172" s="8">
        <f>IF(A172="","",COUNTIFS($H$5:$H$204,"&gt;"&amp;H172)+1)</f>
        <v>0</v>
      </c>
      <c r="AT172" s="8">
        <f>IF(A172="","",COUNTIFS($I$5:$I$204,"&gt;"&amp;I172)+1)</f>
        <v>0</v>
      </c>
      <c r="AU172" s="8">
        <f>IF(A172="","",COUNTIFS($L$5:$L$204,"&gt;"&amp;L172)+1)</f>
        <v>0</v>
      </c>
      <c r="AV172" s="8">
        <f>IF(OR(A172="",Q172=""),"",COUNTIFS($Q$5:$Q$204,"&lt;"&amp;Q172)+1)</f>
        <v>0</v>
      </c>
      <c r="AW172" s="8">
        <f>IF(A172="","",COUNTIFS($V$5:$V$204,"&gt;"&amp;V172)+1)</f>
        <v>0</v>
      </c>
      <c r="AX172" s="8">
        <f>IF(A172="","",COUNTIFS($Y$5:$Y$204,"&lt;"&amp;Y172)+1)</f>
        <v>0</v>
      </c>
      <c r="AY172" s="8">
        <f>IF(A172="","",COUNTIFS($W$5:$W$204,"&gt;"&amp;W172)+1)</f>
        <v>0</v>
      </c>
    </row>
    <row r="173" spans="1:51">
      <c r="A173" s="7"/>
      <c r="B173" s="27"/>
      <c r="C173" s="27"/>
      <c r="D173" s="26"/>
      <c r="E173" s="26"/>
      <c r="F173" s="26"/>
      <c r="G173" s="8">
        <f>IF(A173="","",E173+F173)</f>
        <v>0</v>
      </c>
      <c r="H173" s="26"/>
      <c r="I173" s="26"/>
      <c r="J173" s="26"/>
      <c r="K173" s="26"/>
      <c r="L173" s="26"/>
      <c r="M173" s="26"/>
      <c r="N173" s="26"/>
      <c r="O173" s="8">
        <f>IF(A173="","",COUNTIFS('Recipe Ingredients'!$A$5:$A$1204,A173))</f>
        <v>0</v>
      </c>
      <c r="P173" s="8">
        <f>IF(A173="","",SUMIFS('Recipe Ingredients'!$H$5:$H$1204,'Recipe Ingredients'!$A$5:$A$1204,A173))</f>
        <v>0</v>
      </c>
      <c r="Q173" s="8">
        <f>IF(OR(A173="",D173=0,D173=""),"",P173/D173)</f>
        <v>0</v>
      </c>
      <c r="R173" s="8">
        <f>IF(OR(A173="",H173=0,H173=""),"",IFERROR(Q173/H173*1000,""))</f>
        <v>0</v>
      </c>
      <c r="S173" s="8">
        <f>IF(OR(A173="",Q173="",Q173=0),"",IFERROR(H173/Q173,""))</f>
        <v>0</v>
      </c>
      <c r="T173" s="8">
        <f>IF(OR(A173="",Q173="",Q173=0),"",IFERROR(I173/Q173,""))</f>
        <v>0</v>
      </c>
      <c r="U173" s="8">
        <f>IF(OR(A173="",G173="",G173=0),"",IFERROR(H173/G173*10,""))</f>
        <v>0</v>
      </c>
      <c r="V173" s="8">
        <f>IF(A173="","",(AC173="Yes")*1+(AD173="Yes")*1+(AE173="Yes")*1+(AF173="Yes")*1+(AG173="Yes")*1+(AH173="Yes")*1)</f>
        <v>0</v>
      </c>
      <c r="W173" s="8">
        <f>IF(A173="","",COUNTIFS('Meal Plan'!$G$5:$G$504,A173,'Meal Plan'!$S$5:$S$504,"Cooked")+COUNTIFS('Meal Plan'!$G$5:$G$504,A173,'Meal Plan'!$S$5:$S$504,"Eaten"))</f>
        <v>0</v>
      </c>
      <c r="X173" s="8">
        <f>IF(A173="","",IF(SUMPRODUCT(MAX(('Meal Plan'!$G$5:$G$504=A173)*'Meal Plan'!$B$5:$B$504))=0,"",SUMPRODUCT(MAX(('Meal Plan'!$G$5:$G$504=A173)*'Meal Plan'!$B$5:$B$504))))</f>
        <v>0</v>
      </c>
      <c r="Y173" s="8">
        <f>IF(OR(A173="",X173=""),"",TODAY()-X173)</f>
        <v>0</v>
      </c>
      <c r="Z173" s="8">
        <f>IF(A173="","",IF(Y173="","Yes",IF(Y173&gt;=Rotation_Gap_Days,"Yes","No")))</f>
        <v>0</v>
      </c>
      <c r="AA173" s="8">
        <f>IF(A173="","",IF(Z173="No","Too soon",IF(AND(AN173&lt;&gt;"",AN173&gt;=4),"Plan it","Available")))</f>
        <v>0</v>
      </c>
      <c r="AB173" s="27"/>
      <c r="AC173" s="27"/>
      <c r="AD173" s="27"/>
      <c r="AE173" s="27"/>
      <c r="AF173" s="27"/>
      <c r="AG173" s="27"/>
      <c r="AH173" s="27"/>
      <c r="AI173" s="27"/>
      <c r="AJ173" s="27"/>
      <c r="AK173" s="8">
        <f>IF(A173="","",IF(G173&lt;=30,"Yes","No"))</f>
        <v>0</v>
      </c>
      <c r="AL173" s="27"/>
      <c r="AM173" s="30"/>
      <c r="AN173" s="26"/>
      <c r="AO173" s="7"/>
      <c r="AP173" s="7"/>
      <c r="AQ173" s="7"/>
      <c r="AR173" s="25"/>
      <c r="AS173" s="8">
        <f>IF(A173="","",COUNTIFS($H$5:$H$204,"&gt;"&amp;H173)+1)</f>
        <v>0</v>
      </c>
      <c r="AT173" s="8">
        <f>IF(A173="","",COUNTIFS($I$5:$I$204,"&gt;"&amp;I173)+1)</f>
        <v>0</v>
      </c>
      <c r="AU173" s="8">
        <f>IF(A173="","",COUNTIFS($L$5:$L$204,"&gt;"&amp;L173)+1)</f>
        <v>0</v>
      </c>
      <c r="AV173" s="8">
        <f>IF(OR(A173="",Q173=""),"",COUNTIFS($Q$5:$Q$204,"&lt;"&amp;Q173)+1)</f>
        <v>0</v>
      </c>
      <c r="AW173" s="8">
        <f>IF(A173="","",COUNTIFS($V$5:$V$204,"&gt;"&amp;V173)+1)</f>
        <v>0</v>
      </c>
      <c r="AX173" s="8">
        <f>IF(A173="","",COUNTIFS($Y$5:$Y$204,"&lt;"&amp;Y173)+1)</f>
        <v>0</v>
      </c>
      <c r="AY173" s="8">
        <f>IF(A173="","",COUNTIFS($W$5:$W$204,"&gt;"&amp;W173)+1)</f>
        <v>0</v>
      </c>
    </row>
    <row r="174" spans="1:51">
      <c r="A174" s="7"/>
      <c r="B174" s="27"/>
      <c r="C174" s="27"/>
      <c r="D174" s="26"/>
      <c r="E174" s="26"/>
      <c r="F174" s="26"/>
      <c r="G174" s="8">
        <f>IF(A174="","",E174+F174)</f>
        <v>0</v>
      </c>
      <c r="H174" s="26"/>
      <c r="I174" s="26"/>
      <c r="J174" s="26"/>
      <c r="K174" s="26"/>
      <c r="L174" s="26"/>
      <c r="M174" s="26"/>
      <c r="N174" s="26"/>
      <c r="O174" s="8">
        <f>IF(A174="","",COUNTIFS('Recipe Ingredients'!$A$5:$A$1204,A174))</f>
        <v>0</v>
      </c>
      <c r="P174" s="8">
        <f>IF(A174="","",SUMIFS('Recipe Ingredients'!$H$5:$H$1204,'Recipe Ingredients'!$A$5:$A$1204,A174))</f>
        <v>0</v>
      </c>
      <c r="Q174" s="8">
        <f>IF(OR(A174="",D174=0,D174=""),"",P174/D174)</f>
        <v>0</v>
      </c>
      <c r="R174" s="8">
        <f>IF(OR(A174="",H174=0,H174=""),"",IFERROR(Q174/H174*1000,""))</f>
        <v>0</v>
      </c>
      <c r="S174" s="8">
        <f>IF(OR(A174="",Q174="",Q174=0),"",IFERROR(H174/Q174,""))</f>
        <v>0</v>
      </c>
      <c r="T174" s="8">
        <f>IF(OR(A174="",Q174="",Q174=0),"",IFERROR(I174/Q174,""))</f>
        <v>0</v>
      </c>
      <c r="U174" s="8">
        <f>IF(OR(A174="",G174="",G174=0),"",IFERROR(H174/G174*10,""))</f>
        <v>0</v>
      </c>
      <c r="V174" s="8">
        <f>IF(A174="","",(AC174="Yes")*1+(AD174="Yes")*1+(AE174="Yes")*1+(AF174="Yes")*1+(AG174="Yes")*1+(AH174="Yes")*1)</f>
        <v>0</v>
      </c>
      <c r="W174" s="8">
        <f>IF(A174="","",COUNTIFS('Meal Plan'!$G$5:$G$504,A174,'Meal Plan'!$S$5:$S$504,"Cooked")+COUNTIFS('Meal Plan'!$G$5:$G$504,A174,'Meal Plan'!$S$5:$S$504,"Eaten"))</f>
        <v>0</v>
      </c>
      <c r="X174" s="8">
        <f>IF(A174="","",IF(SUMPRODUCT(MAX(('Meal Plan'!$G$5:$G$504=A174)*'Meal Plan'!$B$5:$B$504))=0,"",SUMPRODUCT(MAX(('Meal Plan'!$G$5:$G$504=A174)*'Meal Plan'!$B$5:$B$504))))</f>
        <v>0</v>
      </c>
      <c r="Y174" s="8">
        <f>IF(OR(A174="",X174=""),"",TODAY()-X174)</f>
        <v>0</v>
      </c>
      <c r="Z174" s="8">
        <f>IF(A174="","",IF(Y174="","Yes",IF(Y174&gt;=Rotation_Gap_Days,"Yes","No")))</f>
        <v>0</v>
      </c>
      <c r="AA174" s="8">
        <f>IF(A174="","",IF(Z174="No","Too soon",IF(AND(AN174&lt;&gt;"",AN174&gt;=4),"Plan it","Available")))</f>
        <v>0</v>
      </c>
      <c r="AB174" s="27"/>
      <c r="AC174" s="27"/>
      <c r="AD174" s="27"/>
      <c r="AE174" s="27"/>
      <c r="AF174" s="27"/>
      <c r="AG174" s="27"/>
      <c r="AH174" s="27"/>
      <c r="AI174" s="27"/>
      <c r="AJ174" s="27"/>
      <c r="AK174" s="8">
        <f>IF(A174="","",IF(G174&lt;=30,"Yes","No"))</f>
        <v>0</v>
      </c>
      <c r="AL174" s="27"/>
      <c r="AM174" s="30"/>
      <c r="AN174" s="26"/>
      <c r="AO174" s="7"/>
      <c r="AP174" s="7"/>
      <c r="AQ174" s="7"/>
      <c r="AR174" s="25"/>
      <c r="AS174" s="8">
        <f>IF(A174="","",COUNTIFS($H$5:$H$204,"&gt;"&amp;H174)+1)</f>
        <v>0</v>
      </c>
      <c r="AT174" s="8">
        <f>IF(A174="","",COUNTIFS($I$5:$I$204,"&gt;"&amp;I174)+1)</f>
        <v>0</v>
      </c>
      <c r="AU174" s="8">
        <f>IF(A174="","",COUNTIFS($L$5:$L$204,"&gt;"&amp;L174)+1)</f>
        <v>0</v>
      </c>
      <c r="AV174" s="8">
        <f>IF(OR(A174="",Q174=""),"",COUNTIFS($Q$5:$Q$204,"&lt;"&amp;Q174)+1)</f>
        <v>0</v>
      </c>
      <c r="AW174" s="8">
        <f>IF(A174="","",COUNTIFS($V$5:$V$204,"&gt;"&amp;V174)+1)</f>
        <v>0</v>
      </c>
      <c r="AX174" s="8">
        <f>IF(A174="","",COUNTIFS($Y$5:$Y$204,"&lt;"&amp;Y174)+1)</f>
        <v>0</v>
      </c>
      <c r="AY174" s="8">
        <f>IF(A174="","",COUNTIFS($W$5:$W$204,"&gt;"&amp;W174)+1)</f>
        <v>0</v>
      </c>
    </row>
    <row r="175" spans="1:51">
      <c r="A175" s="7"/>
      <c r="B175" s="27"/>
      <c r="C175" s="27"/>
      <c r="D175" s="26"/>
      <c r="E175" s="26"/>
      <c r="F175" s="26"/>
      <c r="G175" s="8">
        <f>IF(A175="","",E175+F175)</f>
        <v>0</v>
      </c>
      <c r="H175" s="26"/>
      <c r="I175" s="26"/>
      <c r="J175" s="26"/>
      <c r="K175" s="26"/>
      <c r="L175" s="26"/>
      <c r="M175" s="26"/>
      <c r="N175" s="26"/>
      <c r="O175" s="8">
        <f>IF(A175="","",COUNTIFS('Recipe Ingredients'!$A$5:$A$1204,A175))</f>
        <v>0</v>
      </c>
      <c r="P175" s="8">
        <f>IF(A175="","",SUMIFS('Recipe Ingredients'!$H$5:$H$1204,'Recipe Ingredients'!$A$5:$A$1204,A175))</f>
        <v>0</v>
      </c>
      <c r="Q175" s="8">
        <f>IF(OR(A175="",D175=0,D175=""),"",P175/D175)</f>
        <v>0</v>
      </c>
      <c r="R175" s="8">
        <f>IF(OR(A175="",H175=0,H175=""),"",IFERROR(Q175/H175*1000,""))</f>
        <v>0</v>
      </c>
      <c r="S175" s="8">
        <f>IF(OR(A175="",Q175="",Q175=0),"",IFERROR(H175/Q175,""))</f>
        <v>0</v>
      </c>
      <c r="T175" s="8">
        <f>IF(OR(A175="",Q175="",Q175=0),"",IFERROR(I175/Q175,""))</f>
        <v>0</v>
      </c>
      <c r="U175" s="8">
        <f>IF(OR(A175="",G175="",G175=0),"",IFERROR(H175/G175*10,""))</f>
        <v>0</v>
      </c>
      <c r="V175" s="8">
        <f>IF(A175="","",(AC175="Yes")*1+(AD175="Yes")*1+(AE175="Yes")*1+(AF175="Yes")*1+(AG175="Yes")*1+(AH175="Yes")*1)</f>
        <v>0</v>
      </c>
      <c r="W175" s="8">
        <f>IF(A175="","",COUNTIFS('Meal Plan'!$G$5:$G$504,A175,'Meal Plan'!$S$5:$S$504,"Cooked")+COUNTIFS('Meal Plan'!$G$5:$G$504,A175,'Meal Plan'!$S$5:$S$504,"Eaten"))</f>
        <v>0</v>
      </c>
      <c r="X175" s="8">
        <f>IF(A175="","",IF(SUMPRODUCT(MAX(('Meal Plan'!$G$5:$G$504=A175)*'Meal Plan'!$B$5:$B$504))=0,"",SUMPRODUCT(MAX(('Meal Plan'!$G$5:$G$504=A175)*'Meal Plan'!$B$5:$B$504))))</f>
        <v>0</v>
      </c>
      <c r="Y175" s="8">
        <f>IF(OR(A175="",X175=""),"",TODAY()-X175)</f>
        <v>0</v>
      </c>
      <c r="Z175" s="8">
        <f>IF(A175="","",IF(Y175="","Yes",IF(Y175&gt;=Rotation_Gap_Days,"Yes","No")))</f>
        <v>0</v>
      </c>
      <c r="AA175" s="8">
        <f>IF(A175="","",IF(Z175="No","Too soon",IF(AND(AN175&lt;&gt;"",AN175&gt;=4),"Plan it","Available")))</f>
        <v>0</v>
      </c>
      <c r="AB175" s="27"/>
      <c r="AC175" s="27"/>
      <c r="AD175" s="27"/>
      <c r="AE175" s="27"/>
      <c r="AF175" s="27"/>
      <c r="AG175" s="27"/>
      <c r="AH175" s="27"/>
      <c r="AI175" s="27"/>
      <c r="AJ175" s="27"/>
      <c r="AK175" s="8">
        <f>IF(A175="","",IF(G175&lt;=30,"Yes","No"))</f>
        <v>0</v>
      </c>
      <c r="AL175" s="27"/>
      <c r="AM175" s="30"/>
      <c r="AN175" s="26"/>
      <c r="AO175" s="7"/>
      <c r="AP175" s="7"/>
      <c r="AQ175" s="7"/>
      <c r="AR175" s="25"/>
      <c r="AS175" s="8">
        <f>IF(A175="","",COUNTIFS($H$5:$H$204,"&gt;"&amp;H175)+1)</f>
        <v>0</v>
      </c>
      <c r="AT175" s="8">
        <f>IF(A175="","",COUNTIFS($I$5:$I$204,"&gt;"&amp;I175)+1)</f>
        <v>0</v>
      </c>
      <c r="AU175" s="8">
        <f>IF(A175="","",COUNTIFS($L$5:$L$204,"&gt;"&amp;L175)+1)</f>
        <v>0</v>
      </c>
      <c r="AV175" s="8">
        <f>IF(OR(A175="",Q175=""),"",COUNTIFS($Q$5:$Q$204,"&lt;"&amp;Q175)+1)</f>
        <v>0</v>
      </c>
      <c r="AW175" s="8">
        <f>IF(A175="","",COUNTIFS($V$5:$V$204,"&gt;"&amp;V175)+1)</f>
        <v>0</v>
      </c>
      <c r="AX175" s="8">
        <f>IF(A175="","",COUNTIFS($Y$5:$Y$204,"&lt;"&amp;Y175)+1)</f>
        <v>0</v>
      </c>
      <c r="AY175" s="8">
        <f>IF(A175="","",COUNTIFS($W$5:$W$204,"&gt;"&amp;W175)+1)</f>
        <v>0</v>
      </c>
    </row>
    <row r="176" spans="1:51">
      <c r="A176" s="7"/>
      <c r="B176" s="27"/>
      <c r="C176" s="27"/>
      <c r="D176" s="26"/>
      <c r="E176" s="26"/>
      <c r="F176" s="26"/>
      <c r="G176" s="8">
        <f>IF(A176="","",E176+F176)</f>
        <v>0</v>
      </c>
      <c r="H176" s="26"/>
      <c r="I176" s="26"/>
      <c r="J176" s="26"/>
      <c r="K176" s="26"/>
      <c r="L176" s="26"/>
      <c r="M176" s="26"/>
      <c r="N176" s="26"/>
      <c r="O176" s="8">
        <f>IF(A176="","",COUNTIFS('Recipe Ingredients'!$A$5:$A$1204,A176))</f>
        <v>0</v>
      </c>
      <c r="P176" s="8">
        <f>IF(A176="","",SUMIFS('Recipe Ingredients'!$H$5:$H$1204,'Recipe Ingredients'!$A$5:$A$1204,A176))</f>
        <v>0</v>
      </c>
      <c r="Q176" s="8">
        <f>IF(OR(A176="",D176=0,D176=""),"",P176/D176)</f>
        <v>0</v>
      </c>
      <c r="R176" s="8">
        <f>IF(OR(A176="",H176=0,H176=""),"",IFERROR(Q176/H176*1000,""))</f>
        <v>0</v>
      </c>
      <c r="S176" s="8">
        <f>IF(OR(A176="",Q176="",Q176=0),"",IFERROR(H176/Q176,""))</f>
        <v>0</v>
      </c>
      <c r="T176" s="8">
        <f>IF(OR(A176="",Q176="",Q176=0),"",IFERROR(I176/Q176,""))</f>
        <v>0</v>
      </c>
      <c r="U176" s="8">
        <f>IF(OR(A176="",G176="",G176=0),"",IFERROR(H176/G176*10,""))</f>
        <v>0</v>
      </c>
      <c r="V176" s="8">
        <f>IF(A176="","",(AC176="Yes")*1+(AD176="Yes")*1+(AE176="Yes")*1+(AF176="Yes")*1+(AG176="Yes")*1+(AH176="Yes")*1)</f>
        <v>0</v>
      </c>
      <c r="W176" s="8">
        <f>IF(A176="","",COUNTIFS('Meal Plan'!$G$5:$G$504,A176,'Meal Plan'!$S$5:$S$504,"Cooked")+COUNTIFS('Meal Plan'!$G$5:$G$504,A176,'Meal Plan'!$S$5:$S$504,"Eaten"))</f>
        <v>0</v>
      </c>
      <c r="X176" s="8">
        <f>IF(A176="","",IF(SUMPRODUCT(MAX(('Meal Plan'!$G$5:$G$504=A176)*'Meal Plan'!$B$5:$B$504))=0,"",SUMPRODUCT(MAX(('Meal Plan'!$G$5:$G$504=A176)*'Meal Plan'!$B$5:$B$504))))</f>
        <v>0</v>
      </c>
      <c r="Y176" s="8">
        <f>IF(OR(A176="",X176=""),"",TODAY()-X176)</f>
        <v>0</v>
      </c>
      <c r="Z176" s="8">
        <f>IF(A176="","",IF(Y176="","Yes",IF(Y176&gt;=Rotation_Gap_Days,"Yes","No")))</f>
        <v>0</v>
      </c>
      <c r="AA176" s="8">
        <f>IF(A176="","",IF(Z176="No","Too soon",IF(AND(AN176&lt;&gt;"",AN176&gt;=4),"Plan it","Available")))</f>
        <v>0</v>
      </c>
      <c r="AB176" s="27"/>
      <c r="AC176" s="27"/>
      <c r="AD176" s="27"/>
      <c r="AE176" s="27"/>
      <c r="AF176" s="27"/>
      <c r="AG176" s="27"/>
      <c r="AH176" s="27"/>
      <c r="AI176" s="27"/>
      <c r="AJ176" s="27"/>
      <c r="AK176" s="8">
        <f>IF(A176="","",IF(G176&lt;=30,"Yes","No"))</f>
        <v>0</v>
      </c>
      <c r="AL176" s="27"/>
      <c r="AM176" s="30"/>
      <c r="AN176" s="26"/>
      <c r="AO176" s="7"/>
      <c r="AP176" s="7"/>
      <c r="AQ176" s="7"/>
      <c r="AR176" s="25"/>
      <c r="AS176" s="8">
        <f>IF(A176="","",COUNTIFS($H$5:$H$204,"&gt;"&amp;H176)+1)</f>
        <v>0</v>
      </c>
      <c r="AT176" s="8">
        <f>IF(A176="","",COUNTIFS($I$5:$I$204,"&gt;"&amp;I176)+1)</f>
        <v>0</v>
      </c>
      <c r="AU176" s="8">
        <f>IF(A176="","",COUNTIFS($L$5:$L$204,"&gt;"&amp;L176)+1)</f>
        <v>0</v>
      </c>
      <c r="AV176" s="8">
        <f>IF(OR(A176="",Q176=""),"",COUNTIFS($Q$5:$Q$204,"&lt;"&amp;Q176)+1)</f>
        <v>0</v>
      </c>
      <c r="AW176" s="8">
        <f>IF(A176="","",COUNTIFS($V$5:$V$204,"&gt;"&amp;V176)+1)</f>
        <v>0</v>
      </c>
      <c r="AX176" s="8">
        <f>IF(A176="","",COUNTIFS($Y$5:$Y$204,"&lt;"&amp;Y176)+1)</f>
        <v>0</v>
      </c>
      <c r="AY176" s="8">
        <f>IF(A176="","",COUNTIFS($W$5:$W$204,"&gt;"&amp;W176)+1)</f>
        <v>0</v>
      </c>
    </row>
    <row r="177" spans="1:51">
      <c r="A177" s="7"/>
      <c r="B177" s="27"/>
      <c r="C177" s="27"/>
      <c r="D177" s="26"/>
      <c r="E177" s="26"/>
      <c r="F177" s="26"/>
      <c r="G177" s="8">
        <f>IF(A177="","",E177+F177)</f>
        <v>0</v>
      </c>
      <c r="H177" s="26"/>
      <c r="I177" s="26"/>
      <c r="J177" s="26"/>
      <c r="K177" s="26"/>
      <c r="L177" s="26"/>
      <c r="M177" s="26"/>
      <c r="N177" s="26"/>
      <c r="O177" s="8">
        <f>IF(A177="","",COUNTIFS('Recipe Ingredients'!$A$5:$A$1204,A177))</f>
        <v>0</v>
      </c>
      <c r="P177" s="8">
        <f>IF(A177="","",SUMIFS('Recipe Ingredients'!$H$5:$H$1204,'Recipe Ingredients'!$A$5:$A$1204,A177))</f>
        <v>0</v>
      </c>
      <c r="Q177" s="8">
        <f>IF(OR(A177="",D177=0,D177=""),"",P177/D177)</f>
        <v>0</v>
      </c>
      <c r="R177" s="8">
        <f>IF(OR(A177="",H177=0,H177=""),"",IFERROR(Q177/H177*1000,""))</f>
        <v>0</v>
      </c>
      <c r="S177" s="8">
        <f>IF(OR(A177="",Q177="",Q177=0),"",IFERROR(H177/Q177,""))</f>
        <v>0</v>
      </c>
      <c r="T177" s="8">
        <f>IF(OR(A177="",Q177="",Q177=0),"",IFERROR(I177/Q177,""))</f>
        <v>0</v>
      </c>
      <c r="U177" s="8">
        <f>IF(OR(A177="",G177="",G177=0),"",IFERROR(H177/G177*10,""))</f>
        <v>0</v>
      </c>
      <c r="V177" s="8">
        <f>IF(A177="","",(AC177="Yes")*1+(AD177="Yes")*1+(AE177="Yes")*1+(AF177="Yes")*1+(AG177="Yes")*1+(AH177="Yes")*1)</f>
        <v>0</v>
      </c>
      <c r="W177" s="8">
        <f>IF(A177="","",COUNTIFS('Meal Plan'!$G$5:$G$504,A177,'Meal Plan'!$S$5:$S$504,"Cooked")+COUNTIFS('Meal Plan'!$G$5:$G$504,A177,'Meal Plan'!$S$5:$S$504,"Eaten"))</f>
        <v>0</v>
      </c>
      <c r="X177" s="8">
        <f>IF(A177="","",IF(SUMPRODUCT(MAX(('Meal Plan'!$G$5:$G$504=A177)*'Meal Plan'!$B$5:$B$504))=0,"",SUMPRODUCT(MAX(('Meal Plan'!$G$5:$G$504=A177)*'Meal Plan'!$B$5:$B$504))))</f>
        <v>0</v>
      </c>
      <c r="Y177" s="8">
        <f>IF(OR(A177="",X177=""),"",TODAY()-X177)</f>
        <v>0</v>
      </c>
      <c r="Z177" s="8">
        <f>IF(A177="","",IF(Y177="","Yes",IF(Y177&gt;=Rotation_Gap_Days,"Yes","No")))</f>
        <v>0</v>
      </c>
      <c r="AA177" s="8">
        <f>IF(A177="","",IF(Z177="No","Too soon",IF(AND(AN177&lt;&gt;"",AN177&gt;=4),"Plan it","Available")))</f>
        <v>0</v>
      </c>
      <c r="AB177" s="27"/>
      <c r="AC177" s="27"/>
      <c r="AD177" s="27"/>
      <c r="AE177" s="27"/>
      <c r="AF177" s="27"/>
      <c r="AG177" s="27"/>
      <c r="AH177" s="27"/>
      <c r="AI177" s="27"/>
      <c r="AJ177" s="27"/>
      <c r="AK177" s="8">
        <f>IF(A177="","",IF(G177&lt;=30,"Yes","No"))</f>
        <v>0</v>
      </c>
      <c r="AL177" s="27"/>
      <c r="AM177" s="30"/>
      <c r="AN177" s="26"/>
      <c r="AO177" s="7"/>
      <c r="AP177" s="7"/>
      <c r="AQ177" s="7"/>
      <c r="AR177" s="25"/>
      <c r="AS177" s="8">
        <f>IF(A177="","",COUNTIFS($H$5:$H$204,"&gt;"&amp;H177)+1)</f>
        <v>0</v>
      </c>
      <c r="AT177" s="8">
        <f>IF(A177="","",COUNTIFS($I$5:$I$204,"&gt;"&amp;I177)+1)</f>
        <v>0</v>
      </c>
      <c r="AU177" s="8">
        <f>IF(A177="","",COUNTIFS($L$5:$L$204,"&gt;"&amp;L177)+1)</f>
        <v>0</v>
      </c>
      <c r="AV177" s="8">
        <f>IF(OR(A177="",Q177=""),"",COUNTIFS($Q$5:$Q$204,"&lt;"&amp;Q177)+1)</f>
        <v>0</v>
      </c>
      <c r="AW177" s="8">
        <f>IF(A177="","",COUNTIFS($V$5:$V$204,"&gt;"&amp;V177)+1)</f>
        <v>0</v>
      </c>
      <c r="AX177" s="8">
        <f>IF(A177="","",COUNTIFS($Y$5:$Y$204,"&lt;"&amp;Y177)+1)</f>
        <v>0</v>
      </c>
      <c r="AY177" s="8">
        <f>IF(A177="","",COUNTIFS($W$5:$W$204,"&gt;"&amp;W177)+1)</f>
        <v>0</v>
      </c>
    </row>
    <row r="178" spans="1:51">
      <c r="A178" s="7"/>
      <c r="B178" s="27"/>
      <c r="C178" s="27"/>
      <c r="D178" s="26"/>
      <c r="E178" s="26"/>
      <c r="F178" s="26"/>
      <c r="G178" s="8">
        <f>IF(A178="","",E178+F178)</f>
        <v>0</v>
      </c>
      <c r="H178" s="26"/>
      <c r="I178" s="26"/>
      <c r="J178" s="26"/>
      <c r="K178" s="26"/>
      <c r="L178" s="26"/>
      <c r="M178" s="26"/>
      <c r="N178" s="26"/>
      <c r="O178" s="8">
        <f>IF(A178="","",COUNTIFS('Recipe Ingredients'!$A$5:$A$1204,A178))</f>
        <v>0</v>
      </c>
      <c r="P178" s="8">
        <f>IF(A178="","",SUMIFS('Recipe Ingredients'!$H$5:$H$1204,'Recipe Ingredients'!$A$5:$A$1204,A178))</f>
        <v>0</v>
      </c>
      <c r="Q178" s="8">
        <f>IF(OR(A178="",D178=0,D178=""),"",P178/D178)</f>
        <v>0</v>
      </c>
      <c r="R178" s="8">
        <f>IF(OR(A178="",H178=0,H178=""),"",IFERROR(Q178/H178*1000,""))</f>
        <v>0</v>
      </c>
      <c r="S178" s="8">
        <f>IF(OR(A178="",Q178="",Q178=0),"",IFERROR(H178/Q178,""))</f>
        <v>0</v>
      </c>
      <c r="T178" s="8">
        <f>IF(OR(A178="",Q178="",Q178=0),"",IFERROR(I178/Q178,""))</f>
        <v>0</v>
      </c>
      <c r="U178" s="8">
        <f>IF(OR(A178="",G178="",G178=0),"",IFERROR(H178/G178*10,""))</f>
        <v>0</v>
      </c>
      <c r="V178" s="8">
        <f>IF(A178="","",(AC178="Yes")*1+(AD178="Yes")*1+(AE178="Yes")*1+(AF178="Yes")*1+(AG178="Yes")*1+(AH178="Yes")*1)</f>
        <v>0</v>
      </c>
      <c r="W178" s="8">
        <f>IF(A178="","",COUNTIFS('Meal Plan'!$G$5:$G$504,A178,'Meal Plan'!$S$5:$S$504,"Cooked")+COUNTIFS('Meal Plan'!$G$5:$G$504,A178,'Meal Plan'!$S$5:$S$504,"Eaten"))</f>
        <v>0</v>
      </c>
      <c r="X178" s="8">
        <f>IF(A178="","",IF(SUMPRODUCT(MAX(('Meal Plan'!$G$5:$G$504=A178)*'Meal Plan'!$B$5:$B$504))=0,"",SUMPRODUCT(MAX(('Meal Plan'!$G$5:$G$504=A178)*'Meal Plan'!$B$5:$B$504))))</f>
        <v>0</v>
      </c>
      <c r="Y178" s="8">
        <f>IF(OR(A178="",X178=""),"",TODAY()-X178)</f>
        <v>0</v>
      </c>
      <c r="Z178" s="8">
        <f>IF(A178="","",IF(Y178="","Yes",IF(Y178&gt;=Rotation_Gap_Days,"Yes","No")))</f>
        <v>0</v>
      </c>
      <c r="AA178" s="8">
        <f>IF(A178="","",IF(Z178="No","Too soon",IF(AND(AN178&lt;&gt;"",AN178&gt;=4),"Plan it","Available")))</f>
        <v>0</v>
      </c>
      <c r="AB178" s="27"/>
      <c r="AC178" s="27"/>
      <c r="AD178" s="27"/>
      <c r="AE178" s="27"/>
      <c r="AF178" s="27"/>
      <c r="AG178" s="27"/>
      <c r="AH178" s="27"/>
      <c r="AI178" s="27"/>
      <c r="AJ178" s="27"/>
      <c r="AK178" s="8">
        <f>IF(A178="","",IF(G178&lt;=30,"Yes","No"))</f>
        <v>0</v>
      </c>
      <c r="AL178" s="27"/>
      <c r="AM178" s="30"/>
      <c r="AN178" s="26"/>
      <c r="AO178" s="7"/>
      <c r="AP178" s="7"/>
      <c r="AQ178" s="7"/>
      <c r="AR178" s="25"/>
      <c r="AS178" s="8">
        <f>IF(A178="","",COUNTIFS($H$5:$H$204,"&gt;"&amp;H178)+1)</f>
        <v>0</v>
      </c>
      <c r="AT178" s="8">
        <f>IF(A178="","",COUNTIFS($I$5:$I$204,"&gt;"&amp;I178)+1)</f>
        <v>0</v>
      </c>
      <c r="AU178" s="8">
        <f>IF(A178="","",COUNTIFS($L$5:$L$204,"&gt;"&amp;L178)+1)</f>
        <v>0</v>
      </c>
      <c r="AV178" s="8">
        <f>IF(OR(A178="",Q178=""),"",COUNTIFS($Q$5:$Q$204,"&lt;"&amp;Q178)+1)</f>
        <v>0</v>
      </c>
      <c r="AW178" s="8">
        <f>IF(A178="","",COUNTIFS($V$5:$V$204,"&gt;"&amp;V178)+1)</f>
        <v>0</v>
      </c>
      <c r="AX178" s="8">
        <f>IF(A178="","",COUNTIFS($Y$5:$Y$204,"&lt;"&amp;Y178)+1)</f>
        <v>0</v>
      </c>
      <c r="AY178" s="8">
        <f>IF(A178="","",COUNTIFS($W$5:$W$204,"&gt;"&amp;W178)+1)</f>
        <v>0</v>
      </c>
    </row>
    <row r="179" spans="1:51">
      <c r="A179" s="7"/>
      <c r="B179" s="27"/>
      <c r="C179" s="27"/>
      <c r="D179" s="26"/>
      <c r="E179" s="26"/>
      <c r="F179" s="26"/>
      <c r="G179" s="8">
        <f>IF(A179="","",E179+F179)</f>
        <v>0</v>
      </c>
      <c r="H179" s="26"/>
      <c r="I179" s="26"/>
      <c r="J179" s="26"/>
      <c r="K179" s="26"/>
      <c r="L179" s="26"/>
      <c r="M179" s="26"/>
      <c r="N179" s="26"/>
      <c r="O179" s="8">
        <f>IF(A179="","",COUNTIFS('Recipe Ingredients'!$A$5:$A$1204,A179))</f>
        <v>0</v>
      </c>
      <c r="P179" s="8">
        <f>IF(A179="","",SUMIFS('Recipe Ingredients'!$H$5:$H$1204,'Recipe Ingredients'!$A$5:$A$1204,A179))</f>
        <v>0</v>
      </c>
      <c r="Q179" s="8">
        <f>IF(OR(A179="",D179=0,D179=""),"",P179/D179)</f>
        <v>0</v>
      </c>
      <c r="R179" s="8">
        <f>IF(OR(A179="",H179=0,H179=""),"",IFERROR(Q179/H179*1000,""))</f>
        <v>0</v>
      </c>
      <c r="S179" s="8">
        <f>IF(OR(A179="",Q179="",Q179=0),"",IFERROR(H179/Q179,""))</f>
        <v>0</v>
      </c>
      <c r="T179" s="8">
        <f>IF(OR(A179="",Q179="",Q179=0),"",IFERROR(I179/Q179,""))</f>
        <v>0</v>
      </c>
      <c r="U179" s="8">
        <f>IF(OR(A179="",G179="",G179=0),"",IFERROR(H179/G179*10,""))</f>
        <v>0</v>
      </c>
      <c r="V179" s="8">
        <f>IF(A179="","",(AC179="Yes")*1+(AD179="Yes")*1+(AE179="Yes")*1+(AF179="Yes")*1+(AG179="Yes")*1+(AH179="Yes")*1)</f>
        <v>0</v>
      </c>
      <c r="W179" s="8">
        <f>IF(A179="","",COUNTIFS('Meal Plan'!$G$5:$G$504,A179,'Meal Plan'!$S$5:$S$504,"Cooked")+COUNTIFS('Meal Plan'!$G$5:$G$504,A179,'Meal Plan'!$S$5:$S$504,"Eaten"))</f>
        <v>0</v>
      </c>
      <c r="X179" s="8">
        <f>IF(A179="","",IF(SUMPRODUCT(MAX(('Meal Plan'!$G$5:$G$504=A179)*'Meal Plan'!$B$5:$B$504))=0,"",SUMPRODUCT(MAX(('Meal Plan'!$G$5:$G$504=A179)*'Meal Plan'!$B$5:$B$504))))</f>
        <v>0</v>
      </c>
      <c r="Y179" s="8">
        <f>IF(OR(A179="",X179=""),"",TODAY()-X179)</f>
        <v>0</v>
      </c>
      <c r="Z179" s="8">
        <f>IF(A179="","",IF(Y179="","Yes",IF(Y179&gt;=Rotation_Gap_Days,"Yes","No")))</f>
        <v>0</v>
      </c>
      <c r="AA179" s="8">
        <f>IF(A179="","",IF(Z179="No","Too soon",IF(AND(AN179&lt;&gt;"",AN179&gt;=4),"Plan it","Available")))</f>
        <v>0</v>
      </c>
      <c r="AB179" s="27"/>
      <c r="AC179" s="27"/>
      <c r="AD179" s="27"/>
      <c r="AE179" s="27"/>
      <c r="AF179" s="27"/>
      <c r="AG179" s="27"/>
      <c r="AH179" s="27"/>
      <c r="AI179" s="27"/>
      <c r="AJ179" s="27"/>
      <c r="AK179" s="8">
        <f>IF(A179="","",IF(G179&lt;=30,"Yes","No"))</f>
        <v>0</v>
      </c>
      <c r="AL179" s="27"/>
      <c r="AM179" s="30"/>
      <c r="AN179" s="26"/>
      <c r="AO179" s="7"/>
      <c r="AP179" s="7"/>
      <c r="AQ179" s="7"/>
      <c r="AR179" s="25"/>
      <c r="AS179" s="8">
        <f>IF(A179="","",COUNTIFS($H$5:$H$204,"&gt;"&amp;H179)+1)</f>
        <v>0</v>
      </c>
      <c r="AT179" s="8">
        <f>IF(A179="","",COUNTIFS($I$5:$I$204,"&gt;"&amp;I179)+1)</f>
        <v>0</v>
      </c>
      <c r="AU179" s="8">
        <f>IF(A179="","",COUNTIFS($L$5:$L$204,"&gt;"&amp;L179)+1)</f>
        <v>0</v>
      </c>
      <c r="AV179" s="8">
        <f>IF(OR(A179="",Q179=""),"",COUNTIFS($Q$5:$Q$204,"&lt;"&amp;Q179)+1)</f>
        <v>0</v>
      </c>
      <c r="AW179" s="8">
        <f>IF(A179="","",COUNTIFS($V$5:$V$204,"&gt;"&amp;V179)+1)</f>
        <v>0</v>
      </c>
      <c r="AX179" s="8">
        <f>IF(A179="","",COUNTIFS($Y$5:$Y$204,"&lt;"&amp;Y179)+1)</f>
        <v>0</v>
      </c>
      <c r="AY179" s="8">
        <f>IF(A179="","",COUNTIFS($W$5:$W$204,"&gt;"&amp;W179)+1)</f>
        <v>0</v>
      </c>
    </row>
    <row r="180" spans="1:51">
      <c r="A180" s="7"/>
      <c r="B180" s="27"/>
      <c r="C180" s="27"/>
      <c r="D180" s="26"/>
      <c r="E180" s="26"/>
      <c r="F180" s="26"/>
      <c r="G180" s="8">
        <f>IF(A180="","",E180+F180)</f>
        <v>0</v>
      </c>
      <c r="H180" s="26"/>
      <c r="I180" s="26"/>
      <c r="J180" s="26"/>
      <c r="K180" s="26"/>
      <c r="L180" s="26"/>
      <c r="M180" s="26"/>
      <c r="N180" s="26"/>
      <c r="O180" s="8">
        <f>IF(A180="","",COUNTIFS('Recipe Ingredients'!$A$5:$A$1204,A180))</f>
        <v>0</v>
      </c>
      <c r="P180" s="8">
        <f>IF(A180="","",SUMIFS('Recipe Ingredients'!$H$5:$H$1204,'Recipe Ingredients'!$A$5:$A$1204,A180))</f>
        <v>0</v>
      </c>
      <c r="Q180" s="8">
        <f>IF(OR(A180="",D180=0,D180=""),"",P180/D180)</f>
        <v>0</v>
      </c>
      <c r="R180" s="8">
        <f>IF(OR(A180="",H180=0,H180=""),"",IFERROR(Q180/H180*1000,""))</f>
        <v>0</v>
      </c>
      <c r="S180" s="8">
        <f>IF(OR(A180="",Q180="",Q180=0),"",IFERROR(H180/Q180,""))</f>
        <v>0</v>
      </c>
      <c r="T180" s="8">
        <f>IF(OR(A180="",Q180="",Q180=0),"",IFERROR(I180/Q180,""))</f>
        <v>0</v>
      </c>
      <c r="U180" s="8">
        <f>IF(OR(A180="",G180="",G180=0),"",IFERROR(H180/G180*10,""))</f>
        <v>0</v>
      </c>
      <c r="V180" s="8">
        <f>IF(A180="","",(AC180="Yes")*1+(AD180="Yes")*1+(AE180="Yes")*1+(AF180="Yes")*1+(AG180="Yes")*1+(AH180="Yes")*1)</f>
        <v>0</v>
      </c>
      <c r="W180" s="8">
        <f>IF(A180="","",COUNTIFS('Meal Plan'!$G$5:$G$504,A180,'Meal Plan'!$S$5:$S$504,"Cooked")+COUNTIFS('Meal Plan'!$G$5:$G$504,A180,'Meal Plan'!$S$5:$S$504,"Eaten"))</f>
        <v>0</v>
      </c>
      <c r="X180" s="8">
        <f>IF(A180="","",IF(SUMPRODUCT(MAX(('Meal Plan'!$G$5:$G$504=A180)*'Meal Plan'!$B$5:$B$504))=0,"",SUMPRODUCT(MAX(('Meal Plan'!$G$5:$G$504=A180)*'Meal Plan'!$B$5:$B$504))))</f>
        <v>0</v>
      </c>
      <c r="Y180" s="8">
        <f>IF(OR(A180="",X180=""),"",TODAY()-X180)</f>
        <v>0</v>
      </c>
      <c r="Z180" s="8">
        <f>IF(A180="","",IF(Y180="","Yes",IF(Y180&gt;=Rotation_Gap_Days,"Yes","No")))</f>
        <v>0</v>
      </c>
      <c r="AA180" s="8">
        <f>IF(A180="","",IF(Z180="No","Too soon",IF(AND(AN180&lt;&gt;"",AN180&gt;=4),"Plan it","Available")))</f>
        <v>0</v>
      </c>
      <c r="AB180" s="27"/>
      <c r="AC180" s="27"/>
      <c r="AD180" s="27"/>
      <c r="AE180" s="27"/>
      <c r="AF180" s="27"/>
      <c r="AG180" s="27"/>
      <c r="AH180" s="27"/>
      <c r="AI180" s="27"/>
      <c r="AJ180" s="27"/>
      <c r="AK180" s="8">
        <f>IF(A180="","",IF(G180&lt;=30,"Yes","No"))</f>
        <v>0</v>
      </c>
      <c r="AL180" s="27"/>
      <c r="AM180" s="30"/>
      <c r="AN180" s="26"/>
      <c r="AO180" s="7"/>
      <c r="AP180" s="7"/>
      <c r="AQ180" s="7"/>
      <c r="AR180" s="25"/>
      <c r="AS180" s="8">
        <f>IF(A180="","",COUNTIFS($H$5:$H$204,"&gt;"&amp;H180)+1)</f>
        <v>0</v>
      </c>
      <c r="AT180" s="8">
        <f>IF(A180="","",COUNTIFS($I$5:$I$204,"&gt;"&amp;I180)+1)</f>
        <v>0</v>
      </c>
      <c r="AU180" s="8">
        <f>IF(A180="","",COUNTIFS($L$5:$L$204,"&gt;"&amp;L180)+1)</f>
        <v>0</v>
      </c>
      <c r="AV180" s="8">
        <f>IF(OR(A180="",Q180=""),"",COUNTIFS($Q$5:$Q$204,"&lt;"&amp;Q180)+1)</f>
        <v>0</v>
      </c>
      <c r="AW180" s="8">
        <f>IF(A180="","",COUNTIFS($V$5:$V$204,"&gt;"&amp;V180)+1)</f>
        <v>0</v>
      </c>
      <c r="AX180" s="8">
        <f>IF(A180="","",COUNTIFS($Y$5:$Y$204,"&lt;"&amp;Y180)+1)</f>
        <v>0</v>
      </c>
      <c r="AY180" s="8">
        <f>IF(A180="","",COUNTIFS($W$5:$W$204,"&gt;"&amp;W180)+1)</f>
        <v>0</v>
      </c>
    </row>
    <row r="181" spans="1:51">
      <c r="A181" s="7"/>
      <c r="B181" s="27"/>
      <c r="C181" s="27"/>
      <c r="D181" s="26"/>
      <c r="E181" s="26"/>
      <c r="F181" s="26"/>
      <c r="G181" s="8">
        <f>IF(A181="","",E181+F181)</f>
        <v>0</v>
      </c>
      <c r="H181" s="26"/>
      <c r="I181" s="26"/>
      <c r="J181" s="26"/>
      <c r="K181" s="26"/>
      <c r="L181" s="26"/>
      <c r="M181" s="26"/>
      <c r="N181" s="26"/>
      <c r="O181" s="8">
        <f>IF(A181="","",COUNTIFS('Recipe Ingredients'!$A$5:$A$1204,A181))</f>
        <v>0</v>
      </c>
      <c r="P181" s="8">
        <f>IF(A181="","",SUMIFS('Recipe Ingredients'!$H$5:$H$1204,'Recipe Ingredients'!$A$5:$A$1204,A181))</f>
        <v>0</v>
      </c>
      <c r="Q181" s="8">
        <f>IF(OR(A181="",D181=0,D181=""),"",P181/D181)</f>
        <v>0</v>
      </c>
      <c r="R181" s="8">
        <f>IF(OR(A181="",H181=0,H181=""),"",IFERROR(Q181/H181*1000,""))</f>
        <v>0</v>
      </c>
      <c r="S181" s="8">
        <f>IF(OR(A181="",Q181="",Q181=0),"",IFERROR(H181/Q181,""))</f>
        <v>0</v>
      </c>
      <c r="T181" s="8">
        <f>IF(OR(A181="",Q181="",Q181=0),"",IFERROR(I181/Q181,""))</f>
        <v>0</v>
      </c>
      <c r="U181" s="8">
        <f>IF(OR(A181="",G181="",G181=0),"",IFERROR(H181/G181*10,""))</f>
        <v>0</v>
      </c>
      <c r="V181" s="8">
        <f>IF(A181="","",(AC181="Yes")*1+(AD181="Yes")*1+(AE181="Yes")*1+(AF181="Yes")*1+(AG181="Yes")*1+(AH181="Yes")*1)</f>
        <v>0</v>
      </c>
      <c r="W181" s="8">
        <f>IF(A181="","",COUNTIFS('Meal Plan'!$G$5:$G$504,A181,'Meal Plan'!$S$5:$S$504,"Cooked")+COUNTIFS('Meal Plan'!$G$5:$G$504,A181,'Meal Plan'!$S$5:$S$504,"Eaten"))</f>
        <v>0</v>
      </c>
      <c r="X181" s="8">
        <f>IF(A181="","",IF(SUMPRODUCT(MAX(('Meal Plan'!$G$5:$G$504=A181)*'Meal Plan'!$B$5:$B$504))=0,"",SUMPRODUCT(MAX(('Meal Plan'!$G$5:$G$504=A181)*'Meal Plan'!$B$5:$B$504))))</f>
        <v>0</v>
      </c>
      <c r="Y181" s="8">
        <f>IF(OR(A181="",X181=""),"",TODAY()-X181)</f>
        <v>0</v>
      </c>
      <c r="Z181" s="8">
        <f>IF(A181="","",IF(Y181="","Yes",IF(Y181&gt;=Rotation_Gap_Days,"Yes","No")))</f>
        <v>0</v>
      </c>
      <c r="AA181" s="8">
        <f>IF(A181="","",IF(Z181="No","Too soon",IF(AND(AN181&lt;&gt;"",AN181&gt;=4),"Plan it","Available")))</f>
        <v>0</v>
      </c>
      <c r="AB181" s="27"/>
      <c r="AC181" s="27"/>
      <c r="AD181" s="27"/>
      <c r="AE181" s="27"/>
      <c r="AF181" s="27"/>
      <c r="AG181" s="27"/>
      <c r="AH181" s="27"/>
      <c r="AI181" s="27"/>
      <c r="AJ181" s="27"/>
      <c r="AK181" s="8">
        <f>IF(A181="","",IF(G181&lt;=30,"Yes","No"))</f>
        <v>0</v>
      </c>
      <c r="AL181" s="27"/>
      <c r="AM181" s="30"/>
      <c r="AN181" s="26"/>
      <c r="AO181" s="7"/>
      <c r="AP181" s="7"/>
      <c r="AQ181" s="7"/>
      <c r="AR181" s="25"/>
      <c r="AS181" s="8">
        <f>IF(A181="","",COUNTIFS($H$5:$H$204,"&gt;"&amp;H181)+1)</f>
        <v>0</v>
      </c>
      <c r="AT181" s="8">
        <f>IF(A181="","",COUNTIFS($I$5:$I$204,"&gt;"&amp;I181)+1)</f>
        <v>0</v>
      </c>
      <c r="AU181" s="8">
        <f>IF(A181="","",COUNTIFS($L$5:$L$204,"&gt;"&amp;L181)+1)</f>
        <v>0</v>
      </c>
      <c r="AV181" s="8">
        <f>IF(OR(A181="",Q181=""),"",COUNTIFS($Q$5:$Q$204,"&lt;"&amp;Q181)+1)</f>
        <v>0</v>
      </c>
      <c r="AW181" s="8">
        <f>IF(A181="","",COUNTIFS($V$5:$V$204,"&gt;"&amp;V181)+1)</f>
        <v>0</v>
      </c>
      <c r="AX181" s="8">
        <f>IF(A181="","",COUNTIFS($Y$5:$Y$204,"&lt;"&amp;Y181)+1)</f>
        <v>0</v>
      </c>
      <c r="AY181" s="8">
        <f>IF(A181="","",COUNTIFS($W$5:$W$204,"&gt;"&amp;W181)+1)</f>
        <v>0</v>
      </c>
    </row>
    <row r="182" spans="1:51">
      <c r="A182" s="7"/>
      <c r="B182" s="27"/>
      <c r="C182" s="27"/>
      <c r="D182" s="26"/>
      <c r="E182" s="26"/>
      <c r="F182" s="26"/>
      <c r="G182" s="8">
        <f>IF(A182="","",E182+F182)</f>
        <v>0</v>
      </c>
      <c r="H182" s="26"/>
      <c r="I182" s="26"/>
      <c r="J182" s="26"/>
      <c r="K182" s="26"/>
      <c r="L182" s="26"/>
      <c r="M182" s="26"/>
      <c r="N182" s="26"/>
      <c r="O182" s="8">
        <f>IF(A182="","",COUNTIFS('Recipe Ingredients'!$A$5:$A$1204,A182))</f>
        <v>0</v>
      </c>
      <c r="P182" s="8">
        <f>IF(A182="","",SUMIFS('Recipe Ingredients'!$H$5:$H$1204,'Recipe Ingredients'!$A$5:$A$1204,A182))</f>
        <v>0</v>
      </c>
      <c r="Q182" s="8">
        <f>IF(OR(A182="",D182=0,D182=""),"",P182/D182)</f>
        <v>0</v>
      </c>
      <c r="R182" s="8">
        <f>IF(OR(A182="",H182=0,H182=""),"",IFERROR(Q182/H182*1000,""))</f>
        <v>0</v>
      </c>
      <c r="S182" s="8">
        <f>IF(OR(A182="",Q182="",Q182=0),"",IFERROR(H182/Q182,""))</f>
        <v>0</v>
      </c>
      <c r="T182" s="8">
        <f>IF(OR(A182="",Q182="",Q182=0),"",IFERROR(I182/Q182,""))</f>
        <v>0</v>
      </c>
      <c r="U182" s="8">
        <f>IF(OR(A182="",G182="",G182=0),"",IFERROR(H182/G182*10,""))</f>
        <v>0</v>
      </c>
      <c r="V182" s="8">
        <f>IF(A182="","",(AC182="Yes")*1+(AD182="Yes")*1+(AE182="Yes")*1+(AF182="Yes")*1+(AG182="Yes")*1+(AH182="Yes")*1)</f>
        <v>0</v>
      </c>
      <c r="W182" s="8">
        <f>IF(A182="","",COUNTIFS('Meal Plan'!$G$5:$G$504,A182,'Meal Plan'!$S$5:$S$504,"Cooked")+COUNTIFS('Meal Plan'!$G$5:$G$504,A182,'Meal Plan'!$S$5:$S$504,"Eaten"))</f>
        <v>0</v>
      </c>
      <c r="X182" s="8">
        <f>IF(A182="","",IF(SUMPRODUCT(MAX(('Meal Plan'!$G$5:$G$504=A182)*'Meal Plan'!$B$5:$B$504))=0,"",SUMPRODUCT(MAX(('Meal Plan'!$G$5:$G$504=A182)*'Meal Plan'!$B$5:$B$504))))</f>
        <v>0</v>
      </c>
      <c r="Y182" s="8">
        <f>IF(OR(A182="",X182=""),"",TODAY()-X182)</f>
        <v>0</v>
      </c>
      <c r="Z182" s="8">
        <f>IF(A182="","",IF(Y182="","Yes",IF(Y182&gt;=Rotation_Gap_Days,"Yes","No")))</f>
        <v>0</v>
      </c>
      <c r="AA182" s="8">
        <f>IF(A182="","",IF(Z182="No","Too soon",IF(AND(AN182&lt;&gt;"",AN182&gt;=4),"Plan it","Available")))</f>
        <v>0</v>
      </c>
      <c r="AB182" s="27"/>
      <c r="AC182" s="27"/>
      <c r="AD182" s="27"/>
      <c r="AE182" s="27"/>
      <c r="AF182" s="27"/>
      <c r="AG182" s="27"/>
      <c r="AH182" s="27"/>
      <c r="AI182" s="27"/>
      <c r="AJ182" s="27"/>
      <c r="AK182" s="8">
        <f>IF(A182="","",IF(G182&lt;=30,"Yes","No"))</f>
        <v>0</v>
      </c>
      <c r="AL182" s="27"/>
      <c r="AM182" s="30"/>
      <c r="AN182" s="26"/>
      <c r="AO182" s="7"/>
      <c r="AP182" s="7"/>
      <c r="AQ182" s="7"/>
      <c r="AR182" s="25"/>
      <c r="AS182" s="8">
        <f>IF(A182="","",COUNTIFS($H$5:$H$204,"&gt;"&amp;H182)+1)</f>
        <v>0</v>
      </c>
      <c r="AT182" s="8">
        <f>IF(A182="","",COUNTIFS($I$5:$I$204,"&gt;"&amp;I182)+1)</f>
        <v>0</v>
      </c>
      <c r="AU182" s="8">
        <f>IF(A182="","",COUNTIFS($L$5:$L$204,"&gt;"&amp;L182)+1)</f>
        <v>0</v>
      </c>
      <c r="AV182" s="8">
        <f>IF(OR(A182="",Q182=""),"",COUNTIFS($Q$5:$Q$204,"&lt;"&amp;Q182)+1)</f>
        <v>0</v>
      </c>
      <c r="AW182" s="8">
        <f>IF(A182="","",COUNTIFS($V$5:$V$204,"&gt;"&amp;V182)+1)</f>
        <v>0</v>
      </c>
      <c r="AX182" s="8">
        <f>IF(A182="","",COUNTIFS($Y$5:$Y$204,"&lt;"&amp;Y182)+1)</f>
        <v>0</v>
      </c>
      <c r="AY182" s="8">
        <f>IF(A182="","",COUNTIFS($W$5:$W$204,"&gt;"&amp;W182)+1)</f>
        <v>0</v>
      </c>
    </row>
    <row r="183" spans="1:51">
      <c r="A183" s="7"/>
      <c r="B183" s="27"/>
      <c r="C183" s="27"/>
      <c r="D183" s="26"/>
      <c r="E183" s="26"/>
      <c r="F183" s="26"/>
      <c r="G183" s="8">
        <f>IF(A183="","",E183+F183)</f>
        <v>0</v>
      </c>
      <c r="H183" s="26"/>
      <c r="I183" s="26"/>
      <c r="J183" s="26"/>
      <c r="K183" s="26"/>
      <c r="L183" s="26"/>
      <c r="M183" s="26"/>
      <c r="N183" s="26"/>
      <c r="O183" s="8">
        <f>IF(A183="","",COUNTIFS('Recipe Ingredients'!$A$5:$A$1204,A183))</f>
        <v>0</v>
      </c>
      <c r="P183" s="8">
        <f>IF(A183="","",SUMIFS('Recipe Ingredients'!$H$5:$H$1204,'Recipe Ingredients'!$A$5:$A$1204,A183))</f>
        <v>0</v>
      </c>
      <c r="Q183" s="8">
        <f>IF(OR(A183="",D183=0,D183=""),"",P183/D183)</f>
        <v>0</v>
      </c>
      <c r="R183" s="8">
        <f>IF(OR(A183="",H183=0,H183=""),"",IFERROR(Q183/H183*1000,""))</f>
        <v>0</v>
      </c>
      <c r="S183" s="8">
        <f>IF(OR(A183="",Q183="",Q183=0),"",IFERROR(H183/Q183,""))</f>
        <v>0</v>
      </c>
      <c r="T183" s="8">
        <f>IF(OR(A183="",Q183="",Q183=0),"",IFERROR(I183/Q183,""))</f>
        <v>0</v>
      </c>
      <c r="U183" s="8">
        <f>IF(OR(A183="",G183="",G183=0),"",IFERROR(H183/G183*10,""))</f>
        <v>0</v>
      </c>
      <c r="V183" s="8">
        <f>IF(A183="","",(AC183="Yes")*1+(AD183="Yes")*1+(AE183="Yes")*1+(AF183="Yes")*1+(AG183="Yes")*1+(AH183="Yes")*1)</f>
        <v>0</v>
      </c>
      <c r="W183" s="8">
        <f>IF(A183="","",COUNTIFS('Meal Plan'!$G$5:$G$504,A183,'Meal Plan'!$S$5:$S$504,"Cooked")+COUNTIFS('Meal Plan'!$G$5:$G$504,A183,'Meal Plan'!$S$5:$S$504,"Eaten"))</f>
        <v>0</v>
      </c>
      <c r="X183" s="8">
        <f>IF(A183="","",IF(SUMPRODUCT(MAX(('Meal Plan'!$G$5:$G$504=A183)*'Meal Plan'!$B$5:$B$504))=0,"",SUMPRODUCT(MAX(('Meal Plan'!$G$5:$G$504=A183)*'Meal Plan'!$B$5:$B$504))))</f>
        <v>0</v>
      </c>
      <c r="Y183" s="8">
        <f>IF(OR(A183="",X183=""),"",TODAY()-X183)</f>
        <v>0</v>
      </c>
      <c r="Z183" s="8">
        <f>IF(A183="","",IF(Y183="","Yes",IF(Y183&gt;=Rotation_Gap_Days,"Yes","No")))</f>
        <v>0</v>
      </c>
      <c r="AA183" s="8">
        <f>IF(A183="","",IF(Z183="No","Too soon",IF(AND(AN183&lt;&gt;"",AN183&gt;=4),"Plan it","Available")))</f>
        <v>0</v>
      </c>
      <c r="AB183" s="27"/>
      <c r="AC183" s="27"/>
      <c r="AD183" s="27"/>
      <c r="AE183" s="27"/>
      <c r="AF183" s="27"/>
      <c r="AG183" s="27"/>
      <c r="AH183" s="27"/>
      <c r="AI183" s="27"/>
      <c r="AJ183" s="27"/>
      <c r="AK183" s="8">
        <f>IF(A183="","",IF(G183&lt;=30,"Yes","No"))</f>
        <v>0</v>
      </c>
      <c r="AL183" s="27"/>
      <c r="AM183" s="30"/>
      <c r="AN183" s="26"/>
      <c r="AO183" s="7"/>
      <c r="AP183" s="7"/>
      <c r="AQ183" s="7"/>
      <c r="AR183" s="25"/>
      <c r="AS183" s="8">
        <f>IF(A183="","",COUNTIFS($H$5:$H$204,"&gt;"&amp;H183)+1)</f>
        <v>0</v>
      </c>
      <c r="AT183" s="8">
        <f>IF(A183="","",COUNTIFS($I$5:$I$204,"&gt;"&amp;I183)+1)</f>
        <v>0</v>
      </c>
      <c r="AU183" s="8">
        <f>IF(A183="","",COUNTIFS($L$5:$L$204,"&gt;"&amp;L183)+1)</f>
        <v>0</v>
      </c>
      <c r="AV183" s="8">
        <f>IF(OR(A183="",Q183=""),"",COUNTIFS($Q$5:$Q$204,"&lt;"&amp;Q183)+1)</f>
        <v>0</v>
      </c>
      <c r="AW183" s="8">
        <f>IF(A183="","",COUNTIFS($V$5:$V$204,"&gt;"&amp;V183)+1)</f>
        <v>0</v>
      </c>
      <c r="AX183" s="8">
        <f>IF(A183="","",COUNTIFS($Y$5:$Y$204,"&lt;"&amp;Y183)+1)</f>
        <v>0</v>
      </c>
      <c r="AY183" s="8">
        <f>IF(A183="","",COUNTIFS($W$5:$W$204,"&gt;"&amp;W183)+1)</f>
        <v>0</v>
      </c>
    </row>
    <row r="184" spans="1:51">
      <c r="A184" s="7"/>
      <c r="B184" s="27"/>
      <c r="C184" s="27"/>
      <c r="D184" s="26"/>
      <c r="E184" s="26"/>
      <c r="F184" s="26"/>
      <c r="G184" s="8">
        <f>IF(A184="","",E184+F184)</f>
        <v>0</v>
      </c>
      <c r="H184" s="26"/>
      <c r="I184" s="26"/>
      <c r="J184" s="26"/>
      <c r="K184" s="26"/>
      <c r="L184" s="26"/>
      <c r="M184" s="26"/>
      <c r="N184" s="26"/>
      <c r="O184" s="8">
        <f>IF(A184="","",COUNTIFS('Recipe Ingredients'!$A$5:$A$1204,A184))</f>
        <v>0</v>
      </c>
      <c r="P184" s="8">
        <f>IF(A184="","",SUMIFS('Recipe Ingredients'!$H$5:$H$1204,'Recipe Ingredients'!$A$5:$A$1204,A184))</f>
        <v>0</v>
      </c>
      <c r="Q184" s="8">
        <f>IF(OR(A184="",D184=0,D184=""),"",P184/D184)</f>
        <v>0</v>
      </c>
      <c r="R184" s="8">
        <f>IF(OR(A184="",H184=0,H184=""),"",IFERROR(Q184/H184*1000,""))</f>
        <v>0</v>
      </c>
      <c r="S184" s="8">
        <f>IF(OR(A184="",Q184="",Q184=0),"",IFERROR(H184/Q184,""))</f>
        <v>0</v>
      </c>
      <c r="T184" s="8">
        <f>IF(OR(A184="",Q184="",Q184=0),"",IFERROR(I184/Q184,""))</f>
        <v>0</v>
      </c>
      <c r="U184" s="8">
        <f>IF(OR(A184="",G184="",G184=0),"",IFERROR(H184/G184*10,""))</f>
        <v>0</v>
      </c>
      <c r="V184" s="8">
        <f>IF(A184="","",(AC184="Yes")*1+(AD184="Yes")*1+(AE184="Yes")*1+(AF184="Yes")*1+(AG184="Yes")*1+(AH184="Yes")*1)</f>
        <v>0</v>
      </c>
      <c r="W184" s="8">
        <f>IF(A184="","",COUNTIFS('Meal Plan'!$G$5:$G$504,A184,'Meal Plan'!$S$5:$S$504,"Cooked")+COUNTIFS('Meal Plan'!$G$5:$G$504,A184,'Meal Plan'!$S$5:$S$504,"Eaten"))</f>
        <v>0</v>
      </c>
      <c r="X184" s="8">
        <f>IF(A184="","",IF(SUMPRODUCT(MAX(('Meal Plan'!$G$5:$G$504=A184)*'Meal Plan'!$B$5:$B$504))=0,"",SUMPRODUCT(MAX(('Meal Plan'!$G$5:$G$504=A184)*'Meal Plan'!$B$5:$B$504))))</f>
        <v>0</v>
      </c>
      <c r="Y184" s="8">
        <f>IF(OR(A184="",X184=""),"",TODAY()-X184)</f>
        <v>0</v>
      </c>
      <c r="Z184" s="8">
        <f>IF(A184="","",IF(Y184="","Yes",IF(Y184&gt;=Rotation_Gap_Days,"Yes","No")))</f>
        <v>0</v>
      </c>
      <c r="AA184" s="8">
        <f>IF(A184="","",IF(Z184="No","Too soon",IF(AND(AN184&lt;&gt;"",AN184&gt;=4),"Plan it","Available")))</f>
        <v>0</v>
      </c>
      <c r="AB184" s="27"/>
      <c r="AC184" s="27"/>
      <c r="AD184" s="27"/>
      <c r="AE184" s="27"/>
      <c r="AF184" s="27"/>
      <c r="AG184" s="27"/>
      <c r="AH184" s="27"/>
      <c r="AI184" s="27"/>
      <c r="AJ184" s="27"/>
      <c r="AK184" s="8">
        <f>IF(A184="","",IF(G184&lt;=30,"Yes","No"))</f>
        <v>0</v>
      </c>
      <c r="AL184" s="27"/>
      <c r="AM184" s="30"/>
      <c r="AN184" s="26"/>
      <c r="AO184" s="7"/>
      <c r="AP184" s="7"/>
      <c r="AQ184" s="7"/>
      <c r="AR184" s="25"/>
      <c r="AS184" s="8">
        <f>IF(A184="","",COUNTIFS($H$5:$H$204,"&gt;"&amp;H184)+1)</f>
        <v>0</v>
      </c>
      <c r="AT184" s="8">
        <f>IF(A184="","",COUNTIFS($I$5:$I$204,"&gt;"&amp;I184)+1)</f>
        <v>0</v>
      </c>
      <c r="AU184" s="8">
        <f>IF(A184="","",COUNTIFS($L$5:$L$204,"&gt;"&amp;L184)+1)</f>
        <v>0</v>
      </c>
      <c r="AV184" s="8">
        <f>IF(OR(A184="",Q184=""),"",COUNTIFS($Q$5:$Q$204,"&lt;"&amp;Q184)+1)</f>
        <v>0</v>
      </c>
      <c r="AW184" s="8">
        <f>IF(A184="","",COUNTIFS($V$5:$V$204,"&gt;"&amp;V184)+1)</f>
        <v>0</v>
      </c>
      <c r="AX184" s="8">
        <f>IF(A184="","",COUNTIFS($Y$5:$Y$204,"&lt;"&amp;Y184)+1)</f>
        <v>0</v>
      </c>
      <c r="AY184" s="8">
        <f>IF(A184="","",COUNTIFS($W$5:$W$204,"&gt;"&amp;W184)+1)</f>
        <v>0</v>
      </c>
    </row>
    <row r="185" spans="1:51">
      <c r="A185" s="7"/>
      <c r="B185" s="27"/>
      <c r="C185" s="27"/>
      <c r="D185" s="26"/>
      <c r="E185" s="26"/>
      <c r="F185" s="26"/>
      <c r="G185" s="8">
        <f>IF(A185="","",E185+F185)</f>
        <v>0</v>
      </c>
      <c r="H185" s="26"/>
      <c r="I185" s="26"/>
      <c r="J185" s="26"/>
      <c r="K185" s="26"/>
      <c r="L185" s="26"/>
      <c r="M185" s="26"/>
      <c r="N185" s="26"/>
      <c r="O185" s="8">
        <f>IF(A185="","",COUNTIFS('Recipe Ingredients'!$A$5:$A$1204,A185))</f>
        <v>0</v>
      </c>
      <c r="P185" s="8">
        <f>IF(A185="","",SUMIFS('Recipe Ingredients'!$H$5:$H$1204,'Recipe Ingredients'!$A$5:$A$1204,A185))</f>
        <v>0</v>
      </c>
      <c r="Q185" s="8">
        <f>IF(OR(A185="",D185=0,D185=""),"",P185/D185)</f>
        <v>0</v>
      </c>
      <c r="R185" s="8">
        <f>IF(OR(A185="",H185=0,H185=""),"",IFERROR(Q185/H185*1000,""))</f>
        <v>0</v>
      </c>
      <c r="S185" s="8">
        <f>IF(OR(A185="",Q185="",Q185=0),"",IFERROR(H185/Q185,""))</f>
        <v>0</v>
      </c>
      <c r="T185" s="8">
        <f>IF(OR(A185="",Q185="",Q185=0),"",IFERROR(I185/Q185,""))</f>
        <v>0</v>
      </c>
      <c r="U185" s="8">
        <f>IF(OR(A185="",G185="",G185=0),"",IFERROR(H185/G185*10,""))</f>
        <v>0</v>
      </c>
      <c r="V185" s="8">
        <f>IF(A185="","",(AC185="Yes")*1+(AD185="Yes")*1+(AE185="Yes")*1+(AF185="Yes")*1+(AG185="Yes")*1+(AH185="Yes")*1)</f>
        <v>0</v>
      </c>
      <c r="W185" s="8">
        <f>IF(A185="","",COUNTIFS('Meal Plan'!$G$5:$G$504,A185,'Meal Plan'!$S$5:$S$504,"Cooked")+COUNTIFS('Meal Plan'!$G$5:$G$504,A185,'Meal Plan'!$S$5:$S$504,"Eaten"))</f>
        <v>0</v>
      </c>
      <c r="X185" s="8">
        <f>IF(A185="","",IF(SUMPRODUCT(MAX(('Meal Plan'!$G$5:$G$504=A185)*'Meal Plan'!$B$5:$B$504))=0,"",SUMPRODUCT(MAX(('Meal Plan'!$G$5:$G$504=A185)*'Meal Plan'!$B$5:$B$504))))</f>
        <v>0</v>
      </c>
      <c r="Y185" s="8">
        <f>IF(OR(A185="",X185=""),"",TODAY()-X185)</f>
        <v>0</v>
      </c>
      <c r="Z185" s="8">
        <f>IF(A185="","",IF(Y185="","Yes",IF(Y185&gt;=Rotation_Gap_Days,"Yes","No")))</f>
        <v>0</v>
      </c>
      <c r="AA185" s="8">
        <f>IF(A185="","",IF(Z185="No","Too soon",IF(AND(AN185&lt;&gt;"",AN185&gt;=4),"Plan it","Available")))</f>
        <v>0</v>
      </c>
      <c r="AB185" s="27"/>
      <c r="AC185" s="27"/>
      <c r="AD185" s="27"/>
      <c r="AE185" s="27"/>
      <c r="AF185" s="27"/>
      <c r="AG185" s="27"/>
      <c r="AH185" s="27"/>
      <c r="AI185" s="27"/>
      <c r="AJ185" s="27"/>
      <c r="AK185" s="8">
        <f>IF(A185="","",IF(G185&lt;=30,"Yes","No"))</f>
        <v>0</v>
      </c>
      <c r="AL185" s="27"/>
      <c r="AM185" s="30"/>
      <c r="AN185" s="26"/>
      <c r="AO185" s="7"/>
      <c r="AP185" s="7"/>
      <c r="AQ185" s="7"/>
      <c r="AR185" s="25"/>
      <c r="AS185" s="8">
        <f>IF(A185="","",COUNTIFS($H$5:$H$204,"&gt;"&amp;H185)+1)</f>
        <v>0</v>
      </c>
      <c r="AT185" s="8">
        <f>IF(A185="","",COUNTIFS($I$5:$I$204,"&gt;"&amp;I185)+1)</f>
        <v>0</v>
      </c>
      <c r="AU185" s="8">
        <f>IF(A185="","",COUNTIFS($L$5:$L$204,"&gt;"&amp;L185)+1)</f>
        <v>0</v>
      </c>
      <c r="AV185" s="8">
        <f>IF(OR(A185="",Q185=""),"",COUNTIFS($Q$5:$Q$204,"&lt;"&amp;Q185)+1)</f>
        <v>0</v>
      </c>
      <c r="AW185" s="8">
        <f>IF(A185="","",COUNTIFS($V$5:$V$204,"&gt;"&amp;V185)+1)</f>
        <v>0</v>
      </c>
      <c r="AX185" s="8">
        <f>IF(A185="","",COUNTIFS($Y$5:$Y$204,"&lt;"&amp;Y185)+1)</f>
        <v>0</v>
      </c>
      <c r="AY185" s="8">
        <f>IF(A185="","",COUNTIFS($W$5:$W$204,"&gt;"&amp;W185)+1)</f>
        <v>0</v>
      </c>
    </row>
    <row r="186" spans="1:51">
      <c r="A186" s="7"/>
      <c r="B186" s="27"/>
      <c r="C186" s="27"/>
      <c r="D186" s="26"/>
      <c r="E186" s="26"/>
      <c r="F186" s="26"/>
      <c r="G186" s="8">
        <f>IF(A186="","",E186+F186)</f>
        <v>0</v>
      </c>
      <c r="H186" s="26"/>
      <c r="I186" s="26"/>
      <c r="J186" s="26"/>
      <c r="K186" s="26"/>
      <c r="L186" s="26"/>
      <c r="M186" s="26"/>
      <c r="N186" s="26"/>
      <c r="O186" s="8">
        <f>IF(A186="","",COUNTIFS('Recipe Ingredients'!$A$5:$A$1204,A186))</f>
        <v>0</v>
      </c>
      <c r="P186" s="8">
        <f>IF(A186="","",SUMIFS('Recipe Ingredients'!$H$5:$H$1204,'Recipe Ingredients'!$A$5:$A$1204,A186))</f>
        <v>0</v>
      </c>
      <c r="Q186" s="8">
        <f>IF(OR(A186="",D186=0,D186=""),"",P186/D186)</f>
        <v>0</v>
      </c>
      <c r="R186" s="8">
        <f>IF(OR(A186="",H186=0,H186=""),"",IFERROR(Q186/H186*1000,""))</f>
        <v>0</v>
      </c>
      <c r="S186" s="8">
        <f>IF(OR(A186="",Q186="",Q186=0),"",IFERROR(H186/Q186,""))</f>
        <v>0</v>
      </c>
      <c r="T186" s="8">
        <f>IF(OR(A186="",Q186="",Q186=0),"",IFERROR(I186/Q186,""))</f>
        <v>0</v>
      </c>
      <c r="U186" s="8">
        <f>IF(OR(A186="",G186="",G186=0),"",IFERROR(H186/G186*10,""))</f>
        <v>0</v>
      </c>
      <c r="V186" s="8">
        <f>IF(A186="","",(AC186="Yes")*1+(AD186="Yes")*1+(AE186="Yes")*1+(AF186="Yes")*1+(AG186="Yes")*1+(AH186="Yes")*1)</f>
        <v>0</v>
      </c>
      <c r="W186" s="8">
        <f>IF(A186="","",COUNTIFS('Meal Plan'!$G$5:$G$504,A186,'Meal Plan'!$S$5:$S$504,"Cooked")+COUNTIFS('Meal Plan'!$G$5:$G$504,A186,'Meal Plan'!$S$5:$S$504,"Eaten"))</f>
        <v>0</v>
      </c>
      <c r="X186" s="8">
        <f>IF(A186="","",IF(SUMPRODUCT(MAX(('Meal Plan'!$G$5:$G$504=A186)*'Meal Plan'!$B$5:$B$504))=0,"",SUMPRODUCT(MAX(('Meal Plan'!$G$5:$G$504=A186)*'Meal Plan'!$B$5:$B$504))))</f>
        <v>0</v>
      </c>
      <c r="Y186" s="8">
        <f>IF(OR(A186="",X186=""),"",TODAY()-X186)</f>
        <v>0</v>
      </c>
      <c r="Z186" s="8">
        <f>IF(A186="","",IF(Y186="","Yes",IF(Y186&gt;=Rotation_Gap_Days,"Yes","No")))</f>
        <v>0</v>
      </c>
      <c r="AA186" s="8">
        <f>IF(A186="","",IF(Z186="No","Too soon",IF(AND(AN186&lt;&gt;"",AN186&gt;=4),"Plan it","Available")))</f>
        <v>0</v>
      </c>
      <c r="AB186" s="27"/>
      <c r="AC186" s="27"/>
      <c r="AD186" s="27"/>
      <c r="AE186" s="27"/>
      <c r="AF186" s="27"/>
      <c r="AG186" s="27"/>
      <c r="AH186" s="27"/>
      <c r="AI186" s="27"/>
      <c r="AJ186" s="27"/>
      <c r="AK186" s="8">
        <f>IF(A186="","",IF(G186&lt;=30,"Yes","No"))</f>
        <v>0</v>
      </c>
      <c r="AL186" s="27"/>
      <c r="AM186" s="30"/>
      <c r="AN186" s="26"/>
      <c r="AO186" s="7"/>
      <c r="AP186" s="7"/>
      <c r="AQ186" s="7"/>
      <c r="AR186" s="25"/>
      <c r="AS186" s="8">
        <f>IF(A186="","",COUNTIFS($H$5:$H$204,"&gt;"&amp;H186)+1)</f>
        <v>0</v>
      </c>
      <c r="AT186" s="8">
        <f>IF(A186="","",COUNTIFS($I$5:$I$204,"&gt;"&amp;I186)+1)</f>
        <v>0</v>
      </c>
      <c r="AU186" s="8">
        <f>IF(A186="","",COUNTIFS($L$5:$L$204,"&gt;"&amp;L186)+1)</f>
        <v>0</v>
      </c>
      <c r="AV186" s="8">
        <f>IF(OR(A186="",Q186=""),"",COUNTIFS($Q$5:$Q$204,"&lt;"&amp;Q186)+1)</f>
        <v>0</v>
      </c>
      <c r="AW186" s="8">
        <f>IF(A186="","",COUNTIFS($V$5:$V$204,"&gt;"&amp;V186)+1)</f>
        <v>0</v>
      </c>
      <c r="AX186" s="8">
        <f>IF(A186="","",COUNTIFS($Y$5:$Y$204,"&lt;"&amp;Y186)+1)</f>
        <v>0</v>
      </c>
      <c r="AY186" s="8">
        <f>IF(A186="","",COUNTIFS($W$5:$W$204,"&gt;"&amp;W186)+1)</f>
        <v>0</v>
      </c>
    </row>
    <row r="187" spans="1:51">
      <c r="A187" s="7"/>
      <c r="B187" s="27"/>
      <c r="C187" s="27"/>
      <c r="D187" s="26"/>
      <c r="E187" s="26"/>
      <c r="F187" s="26"/>
      <c r="G187" s="8">
        <f>IF(A187="","",E187+F187)</f>
        <v>0</v>
      </c>
      <c r="H187" s="26"/>
      <c r="I187" s="26"/>
      <c r="J187" s="26"/>
      <c r="K187" s="26"/>
      <c r="L187" s="26"/>
      <c r="M187" s="26"/>
      <c r="N187" s="26"/>
      <c r="O187" s="8">
        <f>IF(A187="","",COUNTIFS('Recipe Ingredients'!$A$5:$A$1204,A187))</f>
        <v>0</v>
      </c>
      <c r="P187" s="8">
        <f>IF(A187="","",SUMIFS('Recipe Ingredients'!$H$5:$H$1204,'Recipe Ingredients'!$A$5:$A$1204,A187))</f>
        <v>0</v>
      </c>
      <c r="Q187" s="8">
        <f>IF(OR(A187="",D187=0,D187=""),"",P187/D187)</f>
        <v>0</v>
      </c>
      <c r="R187" s="8">
        <f>IF(OR(A187="",H187=0,H187=""),"",IFERROR(Q187/H187*1000,""))</f>
        <v>0</v>
      </c>
      <c r="S187" s="8">
        <f>IF(OR(A187="",Q187="",Q187=0),"",IFERROR(H187/Q187,""))</f>
        <v>0</v>
      </c>
      <c r="T187" s="8">
        <f>IF(OR(A187="",Q187="",Q187=0),"",IFERROR(I187/Q187,""))</f>
        <v>0</v>
      </c>
      <c r="U187" s="8">
        <f>IF(OR(A187="",G187="",G187=0),"",IFERROR(H187/G187*10,""))</f>
        <v>0</v>
      </c>
      <c r="V187" s="8">
        <f>IF(A187="","",(AC187="Yes")*1+(AD187="Yes")*1+(AE187="Yes")*1+(AF187="Yes")*1+(AG187="Yes")*1+(AH187="Yes")*1)</f>
        <v>0</v>
      </c>
      <c r="W187" s="8">
        <f>IF(A187="","",COUNTIFS('Meal Plan'!$G$5:$G$504,A187,'Meal Plan'!$S$5:$S$504,"Cooked")+COUNTIFS('Meal Plan'!$G$5:$G$504,A187,'Meal Plan'!$S$5:$S$504,"Eaten"))</f>
        <v>0</v>
      </c>
      <c r="X187" s="8">
        <f>IF(A187="","",IF(SUMPRODUCT(MAX(('Meal Plan'!$G$5:$G$504=A187)*'Meal Plan'!$B$5:$B$504))=0,"",SUMPRODUCT(MAX(('Meal Plan'!$G$5:$G$504=A187)*'Meal Plan'!$B$5:$B$504))))</f>
        <v>0</v>
      </c>
      <c r="Y187" s="8">
        <f>IF(OR(A187="",X187=""),"",TODAY()-X187)</f>
        <v>0</v>
      </c>
      <c r="Z187" s="8">
        <f>IF(A187="","",IF(Y187="","Yes",IF(Y187&gt;=Rotation_Gap_Days,"Yes","No")))</f>
        <v>0</v>
      </c>
      <c r="AA187" s="8">
        <f>IF(A187="","",IF(Z187="No","Too soon",IF(AND(AN187&lt;&gt;"",AN187&gt;=4),"Plan it","Available")))</f>
        <v>0</v>
      </c>
      <c r="AB187" s="27"/>
      <c r="AC187" s="27"/>
      <c r="AD187" s="27"/>
      <c r="AE187" s="27"/>
      <c r="AF187" s="27"/>
      <c r="AG187" s="27"/>
      <c r="AH187" s="27"/>
      <c r="AI187" s="27"/>
      <c r="AJ187" s="27"/>
      <c r="AK187" s="8">
        <f>IF(A187="","",IF(G187&lt;=30,"Yes","No"))</f>
        <v>0</v>
      </c>
      <c r="AL187" s="27"/>
      <c r="AM187" s="30"/>
      <c r="AN187" s="26"/>
      <c r="AO187" s="7"/>
      <c r="AP187" s="7"/>
      <c r="AQ187" s="7"/>
      <c r="AR187" s="25"/>
      <c r="AS187" s="8">
        <f>IF(A187="","",COUNTIFS($H$5:$H$204,"&gt;"&amp;H187)+1)</f>
        <v>0</v>
      </c>
      <c r="AT187" s="8">
        <f>IF(A187="","",COUNTIFS($I$5:$I$204,"&gt;"&amp;I187)+1)</f>
        <v>0</v>
      </c>
      <c r="AU187" s="8">
        <f>IF(A187="","",COUNTIFS($L$5:$L$204,"&gt;"&amp;L187)+1)</f>
        <v>0</v>
      </c>
      <c r="AV187" s="8">
        <f>IF(OR(A187="",Q187=""),"",COUNTIFS($Q$5:$Q$204,"&lt;"&amp;Q187)+1)</f>
        <v>0</v>
      </c>
      <c r="AW187" s="8">
        <f>IF(A187="","",COUNTIFS($V$5:$V$204,"&gt;"&amp;V187)+1)</f>
        <v>0</v>
      </c>
      <c r="AX187" s="8">
        <f>IF(A187="","",COUNTIFS($Y$5:$Y$204,"&lt;"&amp;Y187)+1)</f>
        <v>0</v>
      </c>
      <c r="AY187" s="8">
        <f>IF(A187="","",COUNTIFS($W$5:$W$204,"&gt;"&amp;W187)+1)</f>
        <v>0</v>
      </c>
    </row>
    <row r="188" spans="1:51">
      <c r="A188" s="7"/>
      <c r="B188" s="27"/>
      <c r="C188" s="27"/>
      <c r="D188" s="26"/>
      <c r="E188" s="26"/>
      <c r="F188" s="26"/>
      <c r="G188" s="8">
        <f>IF(A188="","",E188+F188)</f>
        <v>0</v>
      </c>
      <c r="H188" s="26"/>
      <c r="I188" s="26"/>
      <c r="J188" s="26"/>
      <c r="K188" s="26"/>
      <c r="L188" s="26"/>
      <c r="M188" s="26"/>
      <c r="N188" s="26"/>
      <c r="O188" s="8">
        <f>IF(A188="","",COUNTIFS('Recipe Ingredients'!$A$5:$A$1204,A188))</f>
        <v>0</v>
      </c>
      <c r="P188" s="8">
        <f>IF(A188="","",SUMIFS('Recipe Ingredients'!$H$5:$H$1204,'Recipe Ingredients'!$A$5:$A$1204,A188))</f>
        <v>0</v>
      </c>
      <c r="Q188" s="8">
        <f>IF(OR(A188="",D188=0,D188=""),"",P188/D188)</f>
        <v>0</v>
      </c>
      <c r="R188" s="8">
        <f>IF(OR(A188="",H188=0,H188=""),"",IFERROR(Q188/H188*1000,""))</f>
        <v>0</v>
      </c>
      <c r="S188" s="8">
        <f>IF(OR(A188="",Q188="",Q188=0),"",IFERROR(H188/Q188,""))</f>
        <v>0</v>
      </c>
      <c r="T188" s="8">
        <f>IF(OR(A188="",Q188="",Q188=0),"",IFERROR(I188/Q188,""))</f>
        <v>0</v>
      </c>
      <c r="U188" s="8">
        <f>IF(OR(A188="",G188="",G188=0),"",IFERROR(H188/G188*10,""))</f>
        <v>0</v>
      </c>
      <c r="V188" s="8">
        <f>IF(A188="","",(AC188="Yes")*1+(AD188="Yes")*1+(AE188="Yes")*1+(AF188="Yes")*1+(AG188="Yes")*1+(AH188="Yes")*1)</f>
        <v>0</v>
      </c>
      <c r="W188" s="8">
        <f>IF(A188="","",COUNTIFS('Meal Plan'!$G$5:$G$504,A188,'Meal Plan'!$S$5:$S$504,"Cooked")+COUNTIFS('Meal Plan'!$G$5:$G$504,A188,'Meal Plan'!$S$5:$S$504,"Eaten"))</f>
        <v>0</v>
      </c>
      <c r="X188" s="8">
        <f>IF(A188="","",IF(SUMPRODUCT(MAX(('Meal Plan'!$G$5:$G$504=A188)*'Meal Plan'!$B$5:$B$504))=0,"",SUMPRODUCT(MAX(('Meal Plan'!$G$5:$G$504=A188)*'Meal Plan'!$B$5:$B$504))))</f>
        <v>0</v>
      </c>
      <c r="Y188" s="8">
        <f>IF(OR(A188="",X188=""),"",TODAY()-X188)</f>
        <v>0</v>
      </c>
      <c r="Z188" s="8">
        <f>IF(A188="","",IF(Y188="","Yes",IF(Y188&gt;=Rotation_Gap_Days,"Yes","No")))</f>
        <v>0</v>
      </c>
      <c r="AA188" s="8">
        <f>IF(A188="","",IF(Z188="No","Too soon",IF(AND(AN188&lt;&gt;"",AN188&gt;=4),"Plan it","Available")))</f>
        <v>0</v>
      </c>
      <c r="AB188" s="27"/>
      <c r="AC188" s="27"/>
      <c r="AD188" s="27"/>
      <c r="AE188" s="27"/>
      <c r="AF188" s="27"/>
      <c r="AG188" s="27"/>
      <c r="AH188" s="27"/>
      <c r="AI188" s="27"/>
      <c r="AJ188" s="27"/>
      <c r="AK188" s="8">
        <f>IF(A188="","",IF(G188&lt;=30,"Yes","No"))</f>
        <v>0</v>
      </c>
      <c r="AL188" s="27"/>
      <c r="AM188" s="30"/>
      <c r="AN188" s="26"/>
      <c r="AO188" s="7"/>
      <c r="AP188" s="7"/>
      <c r="AQ188" s="7"/>
      <c r="AR188" s="25"/>
      <c r="AS188" s="8">
        <f>IF(A188="","",COUNTIFS($H$5:$H$204,"&gt;"&amp;H188)+1)</f>
        <v>0</v>
      </c>
      <c r="AT188" s="8">
        <f>IF(A188="","",COUNTIFS($I$5:$I$204,"&gt;"&amp;I188)+1)</f>
        <v>0</v>
      </c>
      <c r="AU188" s="8">
        <f>IF(A188="","",COUNTIFS($L$5:$L$204,"&gt;"&amp;L188)+1)</f>
        <v>0</v>
      </c>
      <c r="AV188" s="8">
        <f>IF(OR(A188="",Q188=""),"",COUNTIFS($Q$5:$Q$204,"&lt;"&amp;Q188)+1)</f>
        <v>0</v>
      </c>
      <c r="AW188" s="8">
        <f>IF(A188="","",COUNTIFS($V$5:$V$204,"&gt;"&amp;V188)+1)</f>
        <v>0</v>
      </c>
      <c r="AX188" s="8">
        <f>IF(A188="","",COUNTIFS($Y$5:$Y$204,"&lt;"&amp;Y188)+1)</f>
        <v>0</v>
      </c>
      <c r="AY188" s="8">
        <f>IF(A188="","",COUNTIFS($W$5:$W$204,"&gt;"&amp;W188)+1)</f>
        <v>0</v>
      </c>
    </row>
    <row r="189" spans="1:51">
      <c r="A189" s="7"/>
      <c r="B189" s="27"/>
      <c r="C189" s="27"/>
      <c r="D189" s="26"/>
      <c r="E189" s="26"/>
      <c r="F189" s="26"/>
      <c r="G189" s="8">
        <f>IF(A189="","",E189+F189)</f>
        <v>0</v>
      </c>
      <c r="H189" s="26"/>
      <c r="I189" s="26"/>
      <c r="J189" s="26"/>
      <c r="K189" s="26"/>
      <c r="L189" s="26"/>
      <c r="M189" s="26"/>
      <c r="N189" s="26"/>
      <c r="O189" s="8">
        <f>IF(A189="","",COUNTIFS('Recipe Ingredients'!$A$5:$A$1204,A189))</f>
        <v>0</v>
      </c>
      <c r="P189" s="8">
        <f>IF(A189="","",SUMIFS('Recipe Ingredients'!$H$5:$H$1204,'Recipe Ingredients'!$A$5:$A$1204,A189))</f>
        <v>0</v>
      </c>
      <c r="Q189" s="8">
        <f>IF(OR(A189="",D189=0,D189=""),"",P189/D189)</f>
        <v>0</v>
      </c>
      <c r="R189" s="8">
        <f>IF(OR(A189="",H189=0,H189=""),"",IFERROR(Q189/H189*1000,""))</f>
        <v>0</v>
      </c>
      <c r="S189" s="8">
        <f>IF(OR(A189="",Q189="",Q189=0),"",IFERROR(H189/Q189,""))</f>
        <v>0</v>
      </c>
      <c r="T189" s="8">
        <f>IF(OR(A189="",Q189="",Q189=0),"",IFERROR(I189/Q189,""))</f>
        <v>0</v>
      </c>
      <c r="U189" s="8">
        <f>IF(OR(A189="",G189="",G189=0),"",IFERROR(H189/G189*10,""))</f>
        <v>0</v>
      </c>
      <c r="V189" s="8">
        <f>IF(A189="","",(AC189="Yes")*1+(AD189="Yes")*1+(AE189="Yes")*1+(AF189="Yes")*1+(AG189="Yes")*1+(AH189="Yes")*1)</f>
        <v>0</v>
      </c>
      <c r="W189" s="8">
        <f>IF(A189="","",COUNTIFS('Meal Plan'!$G$5:$G$504,A189,'Meal Plan'!$S$5:$S$504,"Cooked")+COUNTIFS('Meal Plan'!$G$5:$G$504,A189,'Meal Plan'!$S$5:$S$504,"Eaten"))</f>
        <v>0</v>
      </c>
      <c r="X189" s="8">
        <f>IF(A189="","",IF(SUMPRODUCT(MAX(('Meal Plan'!$G$5:$G$504=A189)*'Meal Plan'!$B$5:$B$504))=0,"",SUMPRODUCT(MAX(('Meal Plan'!$G$5:$G$504=A189)*'Meal Plan'!$B$5:$B$504))))</f>
        <v>0</v>
      </c>
      <c r="Y189" s="8">
        <f>IF(OR(A189="",X189=""),"",TODAY()-X189)</f>
        <v>0</v>
      </c>
      <c r="Z189" s="8">
        <f>IF(A189="","",IF(Y189="","Yes",IF(Y189&gt;=Rotation_Gap_Days,"Yes","No")))</f>
        <v>0</v>
      </c>
      <c r="AA189" s="8">
        <f>IF(A189="","",IF(Z189="No","Too soon",IF(AND(AN189&lt;&gt;"",AN189&gt;=4),"Plan it","Available")))</f>
        <v>0</v>
      </c>
      <c r="AB189" s="27"/>
      <c r="AC189" s="27"/>
      <c r="AD189" s="27"/>
      <c r="AE189" s="27"/>
      <c r="AF189" s="27"/>
      <c r="AG189" s="27"/>
      <c r="AH189" s="27"/>
      <c r="AI189" s="27"/>
      <c r="AJ189" s="27"/>
      <c r="AK189" s="8">
        <f>IF(A189="","",IF(G189&lt;=30,"Yes","No"))</f>
        <v>0</v>
      </c>
      <c r="AL189" s="27"/>
      <c r="AM189" s="30"/>
      <c r="AN189" s="26"/>
      <c r="AO189" s="7"/>
      <c r="AP189" s="7"/>
      <c r="AQ189" s="7"/>
      <c r="AR189" s="25"/>
      <c r="AS189" s="8">
        <f>IF(A189="","",COUNTIFS($H$5:$H$204,"&gt;"&amp;H189)+1)</f>
        <v>0</v>
      </c>
      <c r="AT189" s="8">
        <f>IF(A189="","",COUNTIFS($I$5:$I$204,"&gt;"&amp;I189)+1)</f>
        <v>0</v>
      </c>
      <c r="AU189" s="8">
        <f>IF(A189="","",COUNTIFS($L$5:$L$204,"&gt;"&amp;L189)+1)</f>
        <v>0</v>
      </c>
      <c r="AV189" s="8">
        <f>IF(OR(A189="",Q189=""),"",COUNTIFS($Q$5:$Q$204,"&lt;"&amp;Q189)+1)</f>
        <v>0</v>
      </c>
      <c r="AW189" s="8">
        <f>IF(A189="","",COUNTIFS($V$5:$V$204,"&gt;"&amp;V189)+1)</f>
        <v>0</v>
      </c>
      <c r="AX189" s="8">
        <f>IF(A189="","",COUNTIFS($Y$5:$Y$204,"&lt;"&amp;Y189)+1)</f>
        <v>0</v>
      </c>
      <c r="AY189" s="8">
        <f>IF(A189="","",COUNTIFS($W$5:$W$204,"&gt;"&amp;W189)+1)</f>
        <v>0</v>
      </c>
    </row>
    <row r="190" spans="1:51">
      <c r="A190" s="7"/>
      <c r="B190" s="27"/>
      <c r="C190" s="27"/>
      <c r="D190" s="26"/>
      <c r="E190" s="26"/>
      <c r="F190" s="26"/>
      <c r="G190" s="8">
        <f>IF(A190="","",E190+F190)</f>
        <v>0</v>
      </c>
      <c r="H190" s="26"/>
      <c r="I190" s="26"/>
      <c r="J190" s="26"/>
      <c r="K190" s="26"/>
      <c r="L190" s="26"/>
      <c r="M190" s="26"/>
      <c r="N190" s="26"/>
      <c r="O190" s="8">
        <f>IF(A190="","",COUNTIFS('Recipe Ingredients'!$A$5:$A$1204,A190))</f>
        <v>0</v>
      </c>
      <c r="P190" s="8">
        <f>IF(A190="","",SUMIFS('Recipe Ingredients'!$H$5:$H$1204,'Recipe Ingredients'!$A$5:$A$1204,A190))</f>
        <v>0</v>
      </c>
      <c r="Q190" s="8">
        <f>IF(OR(A190="",D190=0,D190=""),"",P190/D190)</f>
        <v>0</v>
      </c>
      <c r="R190" s="8">
        <f>IF(OR(A190="",H190=0,H190=""),"",IFERROR(Q190/H190*1000,""))</f>
        <v>0</v>
      </c>
      <c r="S190" s="8">
        <f>IF(OR(A190="",Q190="",Q190=0),"",IFERROR(H190/Q190,""))</f>
        <v>0</v>
      </c>
      <c r="T190" s="8">
        <f>IF(OR(A190="",Q190="",Q190=0),"",IFERROR(I190/Q190,""))</f>
        <v>0</v>
      </c>
      <c r="U190" s="8">
        <f>IF(OR(A190="",G190="",G190=0),"",IFERROR(H190/G190*10,""))</f>
        <v>0</v>
      </c>
      <c r="V190" s="8">
        <f>IF(A190="","",(AC190="Yes")*1+(AD190="Yes")*1+(AE190="Yes")*1+(AF190="Yes")*1+(AG190="Yes")*1+(AH190="Yes")*1)</f>
        <v>0</v>
      </c>
      <c r="W190" s="8">
        <f>IF(A190="","",COUNTIFS('Meal Plan'!$G$5:$G$504,A190,'Meal Plan'!$S$5:$S$504,"Cooked")+COUNTIFS('Meal Plan'!$G$5:$G$504,A190,'Meal Plan'!$S$5:$S$504,"Eaten"))</f>
        <v>0</v>
      </c>
      <c r="X190" s="8">
        <f>IF(A190="","",IF(SUMPRODUCT(MAX(('Meal Plan'!$G$5:$G$504=A190)*'Meal Plan'!$B$5:$B$504))=0,"",SUMPRODUCT(MAX(('Meal Plan'!$G$5:$G$504=A190)*'Meal Plan'!$B$5:$B$504))))</f>
        <v>0</v>
      </c>
      <c r="Y190" s="8">
        <f>IF(OR(A190="",X190=""),"",TODAY()-X190)</f>
        <v>0</v>
      </c>
      <c r="Z190" s="8">
        <f>IF(A190="","",IF(Y190="","Yes",IF(Y190&gt;=Rotation_Gap_Days,"Yes","No")))</f>
        <v>0</v>
      </c>
      <c r="AA190" s="8">
        <f>IF(A190="","",IF(Z190="No","Too soon",IF(AND(AN190&lt;&gt;"",AN190&gt;=4),"Plan it","Available")))</f>
        <v>0</v>
      </c>
      <c r="AB190" s="27"/>
      <c r="AC190" s="27"/>
      <c r="AD190" s="27"/>
      <c r="AE190" s="27"/>
      <c r="AF190" s="27"/>
      <c r="AG190" s="27"/>
      <c r="AH190" s="27"/>
      <c r="AI190" s="27"/>
      <c r="AJ190" s="27"/>
      <c r="AK190" s="8">
        <f>IF(A190="","",IF(G190&lt;=30,"Yes","No"))</f>
        <v>0</v>
      </c>
      <c r="AL190" s="27"/>
      <c r="AM190" s="30"/>
      <c r="AN190" s="26"/>
      <c r="AO190" s="7"/>
      <c r="AP190" s="7"/>
      <c r="AQ190" s="7"/>
      <c r="AR190" s="25"/>
      <c r="AS190" s="8">
        <f>IF(A190="","",COUNTIFS($H$5:$H$204,"&gt;"&amp;H190)+1)</f>
        <v>0</v>
      </c>
      <c r="AT190" s="8">
        <f>IF(A190="","",COUNTIFS($I$5:$I$204,"&gt;"&amp;I190)+1)</f>
        <v>0</v>
      </c>
      <c r="AU190" s="8">
        <f>IF(A190="","",COUNTIFS($L$5:$L$204,"&gt;"&amp;L190)+1)</f>
        <v>0</v>
      </c>
      <c r="AV190" s="8">
        <f>IF(OR(A190="",Q190=""),"",COUNTIFS($Q$5:$Q$204,"&lt;"&amp;Q190)+1)</f>
        <v>0</v>
      </c>
      <c r="AW190" s="8">
        <f>IF(A190="","",COUNTIFS($V$5:$V$204,"&gt;"&amp;V190)+1)</f>
        <v>0</v>
      </c>
      <c r="AX190" s="8">
        <f>IF(A190="","",COUNTIFS($Y$5:$Y$204,"&lt;"&amp;Y190)+1)</f>
        <v>0</v>
      </c>
      <c r="AY190" s="8">
        <f>IF(A190="","",COUNTIFS($W$5:$W$204,"&gt;"&amp;W190)+1)</f>
        <v>0</v>
      </c>
    </row>
    <row r="191" spans="1:51">
      <c r="A191" s="7"/>
      <c r="B191" s="27"/>
      <c r="C191" s="27"/>
      <c r="D191" s="26"/>
      <c r="E191" s="26"/>
      <c r="F191" s="26"/>
      <c r="G191" s="8">
        <f>IF(A191="","",E191+F191)</f>
        <v>0</v>
      </c>
      <c r="H191" s="26"/>
      <c r="I191" s="26"/>
      <c r="J191" s="26"/>
      <c r="K191" s="26"/>
      <c r="L191" s="26"/>
      <c r="M191" s="26"/>
      <c r="N191" s="26"/>
      <c r="O191" s="8">
        <f>IF(A191="","",COUNTIFS('Recipe Ingredients'!$A$5:$A$1204,A191))</f>
        <v>0</v>
      </c>
      <c r="P191" s="8">
        <f>IF(A191="","",SUMIFS('Recipe Ingredients'!$H$5:$H$1204,'Recipe Ingredients'!$A$5:$A$1204,A191))</f>
        <v>0</v>
      </c>
      <c r="Q191" s="8">
        <f>IF(OR(A191="",D191=0,D191=""),"",P191/D191)</f>
        <v>0</v>
      </c>
      <c r="R191" s="8">
        <f>IF(OR(A191="",H191=0,H191=""),"",IFERROR(Q191/H191*1000,""))</f>
        <v>0</v>
      </c>
      <c r="S191" s="8">
        <f>IF(OR(A191="",Q191="",Q191=0),"",IFERROR(H191/Q191,""))</f>
        <v>0</v>
      </c>
      <c r="T191" s="8">
        <f>IF(OR(A191="",Q191="",Q191=0),"",IFERROR(I191/Q191,""))</f>
        <v>0</v>
      </c>
      <c r="U191" s="8">
        <f>IF(OR(A191="",G191="",G191=0),"",IFERROR(H191/G191*10,""))</f>
        <v>0</v>
      </c>
      <c r="V191" s="8">
        <f>IF(A191="","",(AC191="Yes")*1+(AD191="Yes")*1+(AE191="Yes")*1+(AF191="Yes")*1+(AG191="Yes")*1+(AH191="Yes")*1)</f>
        <v>0</v>
      </c>
      <c r="W191" s="8">
        <f>IF(A191="","",COUNTIFS('Meal Plan'!$G$5:$G$504,A191,'Meal Plan'!$S$5:$S$504,"Cooked")+COUNTIFS('Meal Plan'!$G$5:$G$504,A191,'Meal Plan'!$S$5:$S$504,"Eaten"))</f>
        <v>0</v>
      </c>
      <c r="X191" s="8">
        <f>IF(A191="","",IF(SUMPRODUCT(MAX(('Meal Plan'!$G$5:$G$504=A191)*'Meal Plan'!$B$5:$B$504))=0,"",SUMPRODUCT(MAX(('Meal Plan'!$G$5:$G$504=A191)*'Meal Plan'!$B$5:$B$504))))</f>
        <v>0</v>
      </c>
      <c r="Y191" s="8">
        <f>IF(OR(A191="",X191=""),"",TODAY()-X191)</f>
        <v>0</v>
      </c>
      <c r="Z191" s="8">
        <f>IF(A191="","",IF(Y191="","Yes",IF(Y191&gt;=Rotation_Gap_Days,"Yes","No")))</f>
        <v>0</v>
      </c>
      <c r="AA191" s="8">
        <f>IF(A191="","",IF(Z191="No","Too soon",IF(AND(AN191&lt;&gt;"",AN191&gt;=4),"Plan it","Available")))</f>
        <v>0</v>
      </c>
      <c r="AB191" s="27"/>
      <c r="AC191" s="27"/>
      <c r="AD191" s="27"/>
      <c r="AE191" s="27"/>
      <c r="AF191" s="27"/>
      <c r="AG191" s="27"/>
      <c r="AH191" s="27"/>
      <c r="AI191" s="27"/>
      <c r="AJ191" s="27"/>
      <c r="AK191" s="8">
        <f>IF(A191="","",IF(G191&lt;=30,"Yes","No"))</f>
        <v>0</v>
      </c>
      <c r="AL191" s="27"/>
      <c r="AM191" s="30"/>
      <c r="AN191" s="26"/>
      <c r="AO191" s="7"/>
      <c r="AP191" s="7"/>
      <c r="AQ191" s="7"/>
      <c r="AR191" s="25"/>
      <c r="AS191" s="8">
        <f>IF(A191="","",COUNTIFS($H$5:$H$204,"&gt;"&amp;H191)+1)</f>
        <v>0</v>
      </c>
      <c r="AT191" s="8">
        <f>IF(A191="","",COUNTIFS($I$5:$I$204,"&gt;"&amp;I191)+1)</f>
        <v>0</v>
      </c>
      <c r="AU191" s="8">
        <f>IF(A191="","",COUNTIFS($L$5:$L$204,"&gt;"&amp;L191)+1)</f>
        <v>0</v>
      </c>
      <c r="AV191" s="8">
        <f>IF(OR(A191="",Q191=""),"",COUNTIFS($Q$5:$Q$204,"&lt;"&amp;Q191)+1)</f>
        <v>0</v>
      </c>
      <c r="AW191" s="8">
        <f>IF(A191="","",COUNTIFS($V$5:$V$204,"&gt;"&amp;V191)+1)</f>
        <v>0</v>
      </c>
      <c r="AX191" s="8">
        <f>IF(A191="","",COUNTIFS($Y$5:$Y$204,"&lt;"&amp;Y191)+1)</f>
        <v>0</v>
      </c>
      <c r="AY191" s="8">
        <f>IF(A191="","",COUNTIFS($W$5:$W$204,"&gt;"&amp;W191)+1)</f>
        <v>0</v>
      </c>
    </row>
    <row r="192" spans="1:51">
      <c r="A192" s="7"/>
      <c r="B192" s="27"/>
      <c r="C192" s="27"/>
      <c r="D192" s="26"/>
      <c r="E192" s="26"/>
      <c r="F192" s="26"/>
      <c r="G192" s="8">
        <f>IF(A192="","",E192+F192)</f>
        <v>0</v>
      </c>
      <c r="H192" s="26"/>
      <c r="I192" s="26"/>
      <c r="J192" s="26"/>
      <c r="K192" s="26"/>
      <c r="L192" s="26"/>
      <c r="M192" s="26"/>
      <c r="N192" s="26"/>
      <c r="O192" s="8">
        <f>IF(A192="","",COUNTIFS('Recipe Ingredients'!$A$5:$A$1204,A192))</f>
        <v>0</v>
      </c>
      <c r="P192" s="8">
        <f>IF(A192="","",SUMIFS('Recipe Ingredients'!$H$5:$H$1204,'Recipe Ingredients'!$A$5:$A$1204,A192))</f>
        <v>0</v>
      </c>
      <c r="Q192" s="8">
        <f>IF(OR(A192="",D192=0,D192=""),"",P192/D192)</f>
        <v>0</v>
      </c>
      <c r="R192" s="8">
        <f>IF(OR(A192="",H192=0,H192=""),"",IFERROR(Q192/H192*1000,""))</f>
        <v>0</v>
      </c>
      <c r="S192" s="8">
        <f>IF(OR(A192="",Q192="",Q192=0),"",IFERROR(H192/Q192,""))</f>
        <v>0</v>
      </c>
      <c r="T192" s="8">
        <f>IF(OR(A192="",Q192="",Q192=0),"",IFERROR(I192/Q192,""))</f>
        <v>0</v>
      </c>
      <c r="U192" s="8">
        <f>IF(OR(A192="",G192="",G192=0),"",IFERROR(H192/G192*10,""))</f>
        <v>0</v>
      </c>
      <c r="V192" s="8">
        <f>IF(A192="","",(AC192="Yes")*1+(AD192="Yes")*1+(AE192="Yes")*1+(AF192="Yes")*1+(AG192="Yes")*1+(AH192="Yes")*1)</f>
        <v>0</v>
      </c>
      <c r="W192" s="8">
        <f>IF(A192="","",COUNTIFS('Meal Plan'!$G$5:$G$504,A192,'Meal Plan'!$S$5:$S$504,"Cooked")+COUNTIFS('Meal Plan'!$G$5:$G$504,A192,'Meal Plan'!$S$5:$S$504,"Eaten"))</f>
        <v>0</v>
      </c>
      <c r="X192" s="8">
        <f>IF(A192="","",IF(SUMPRODUCT(MAX(('Meal Plan'!$G$5:$G$504=A192)*'Meal Plan'!$B$5:$B$504))=0,"",SUMPRODUCT(MAX(('Meal Plan'!$G$5:$G$504=A192)*'Meal Plan'!$B$5:$B$504))))</f>
        <v>0</v>
      </c>
      <c r="Y192" s="8">
        <f>IF(OR(A192="",X192=""),"",TODAY()-X192)</f>
        <v>0</v>
      </c>
      <c r="Z192" s="8">
        <f>IF(A192="","",IF(Y192="","Yes",IF(Y192&gt;=Rotation_Gap_Days,"Yes","No")))</f>
        <v>0</v>
      </c>
      <c r="AA192" s="8">
        <f>IF(A192="","",IF(Z192="No","Too soon",IF(AND(AN192&lt;&gt;"",AN192&gt;=4),"Plan it","Available")))</f>
        <v>0</v>
      </c>
      <c r="AB192" s="27"/>
      <c r="AC192" s="27"/>
      <c r="AD192" s="27"/>
      <c r="AE192" s="27"/>
      <c r="AF192" s="27"/>
      <c r="AG192" s="27"/>
      <c r="AH192" s="27"/>
      <c r="AI192" s="27"/>
      <c r="AJ192" s="27"/>
      <c r="AK192" s="8">
        <f>IF(A192="","",IF(G192&lt;=30,"Yes","No"))</f>
        <v>0</v>
      </c>
      <c r="AL192" s="27"/>
      <c r="AM192" s="30"/>
      <c r="AN192" s="26"/>
      <c r="AO192" s="7"/>
      <c r="AP192" s="7"/>
      <c r="AQ192" s="7"/>
      <c r="AR192" s="25"/>
      <c r="AS192" s="8">
        <f>IF(A192="","",COUNTIFS($H$5:$H$204,"&gt;"&amp;H192)+1)</f>
        <v>0</v>
      </c>
      <c r="AT192" s="8">
        <f>IF(A192="","",COUNTIFS($I$5:$I$204,"&gt;"&amp;I192)+1)</f>
        <v>0</v>
      </c>
      <c r="AU192" s="8">
        <f>IF(A192="","",COUNTIFS($L$5:$L$204,"&gt;"&amp;L192)+1)</f>
        <v>0</v>
      </c>
      <c r="AV192" s="8">
        <f>IF(OR(A192="",Q192=""),"",COUNTIFS($Q$5:$Q$204,"&lt;"&amp;Q192)+1)</f>
        <v>0</v>
      </c>
      <c r="AW192" s="8">
        <f>IF(A192="","",COUNTIFS($V$5:$V$204,"&gt;"&amp;V192)+1)</f>
        <v>0</v>
      </c>
      <c r="AX192" s="8">
        <f>IF(A192="","",COUNTIFS($Y$5:$Y$204,"&lt;"&amp;Y192)+1)</f>
        <v>0</v>
      </c>
      <c r="AY192" s="8">
        <f>IF(A192="","",COUNTIFS($W$5:$W$204,"&gt;"&amp;W192)+1)</f>
        <v>0</v>
      </c>
    </row>
    <row r="193" spans="1:51">
      <c r="A193" s="7"/>
      <c r="B193" s="27"/>
      <c r="C193" s="27"/>
      <c r="D193" s="26"/>
      <c r="E193" s="26"/>
      <c r="F193" s="26"/>
      <c r="G193" s="8">
        <f>IF(A193="","",E193+F193)</f>
        <v>0</v>
      </c>
      <c r="H193" s="26"/>
      <c r="I193" s="26"/>
      <c r="J193" s="26"/>
      <c r="K193" s="26"/>
      <c r="L193" s="26"/>
      <c r="M193" s="26"/>
      <c r="N193" s="26"/>
      <c r="O193" s="8">
        <f>IF(A193="","",COUNTIFS('Recipe Ingredients'!$A$5:$A$1204,A193))</f>
        <v>0</v>
      </c>
      <c r="P193" s="8">
        <f>IF(A193="","",SUMIFS('Recipe Ingredients'!$H$5:$H$1204,'Recipe Ingredients'!$A$5:$A$1204,A193))</f>
        <v>0</v>
      </c>
      <c r="Q193" s="8">
        <f>IF(OR(A193="",D193=0,D193=""),"",P193/D193)</f>
        <v>0</v>
      </c>
      <c r="R193" s="8">
        <f>IF(OR(A193="",H193=0,H193=""),"",IFERROR(Q193/H193*1000,""))</f>
        <v>0</v>
      </c>
      <c r="S193" s="8">
        <f>IF(OR(A193="",Q193="",Q193=0),"",IFERROR(H193/Q193,""))</f>
        <v>0</v>
      </c>
      <c r="T193" s="8">
        <f>IF(OR(A193="",Q193="",Q193=0),"",IFERROR(I193/Q193,""))</f>
        <v>0</v>
      </c>
      <c r="U193" s="8">
        <f>IF(OR(A193="",G193="",G193=0),"",IFERROR(H193/G193*10,""))</f>
        <v>0</v>
      </c>
      <c r="V193" s="8">
        <f>IF(A193="","",(AC193="Yes")*1+(AD193="Yes")*1+(AE193="Yes")*1+(AF193="Yes")*1+(AG193="Yes")*1+(AH193="Yes")*1)</f>
        <v>0</v>
      </c>
      <c r="W193" s="8">
        <f>IF(A193="","",COUNTIFS('Meal Plan'!$G$5:$G$504,A193,'Meal Plan'!$S$5:$S$504,"Cooked")+COUNTIFS('Meal Plan'!$G$5:$G$504,A193,'Meal Plan'!$S$5:$S$504,"Eaten"))</f>
        <v>0</v>
      </c>
      <c r="X193" s="8">
        <f>IF(A193="","",IF(SUMPRODUCT(MAX(('Meal Plan'!$G$5:$G$504=A193)*'Meal Plan'!$B$5:$B$504))=0,"",SUMPRODUCT(MAX(('Meal Plan'!$G$5:$G$504=A193)*'Meal Plan'!$B$5:$B$504))))</f>
        <v>0</v>
      </c>
      <c r="Y193" s="8">
        <f>IF(OR(A193="",X193=""),"",TODAY()-X193)</f>
        <v>0</v>
      </c>
      <c r="Z193" s="8">
        <f>IF(A193="","",IF(Y193="","Yes",IF(Y193&gt;=Rotation_Gap_Days,"Yes","No")))</f>
        <v>0</v>
      </c>
      <c r="AA193" s="8">
        <f>IF(A193="","",IF(Z193="No","Too soon",IF(AND(AN193&lt;&gt;"",AN193&gt;=4),"Plan it","Available")))</f>
        <v>0</v>
      </c>
      <c r="AB193" s="27"/>
      <c r="AC193" s="27"/>
      <c r="AD193" s="27"/>
      <c r="AE193" s="27"/>
      <c r="AF193" s="27"/>
      <c r="AG193" s="27"/>
      <c r="AH193" s="27"/>
      <c r="AI193" s="27"/>
      <c r="AJ193" s="27"/>
      <c r="AK193" s="8">
        <f>IF(A193="","",IF(G193&lt;=30,"Yes","No"))</f>
        <v>0</v>
      </c>
      <c r="AL193" s="27"/>
      <c r="AM193" s="30"/>
      <c r="AN193" s="26"/>
      <c r="AO193" s="7"/>
      <c r="AP193" s="7"/>
      <c r="AQ193" s="7"/>
      <c r="AR193" s="25"/>
      <c r="AS193" s="8">
        <f>IF(A193="","",COUNTIFS($H$5:$H$204,"&gt;"&amp;H193)+1)</f>
        <v>0</v>
      </c>
      <c r="AT193" s="8">
        <f>IF(A193="","",COUNTIFS($I$5:$I$204,"&gt;"&amp;I193)+1)</f>
        <v>0</v>
      </c>
      <c r="AU193" s="8">
        <f>IF(A193="","",COUNTIFS($L$5:$L$204,"&gt;"&amp;L193)+1)</f>
        <v>0</v>
      </c>
      <c r="AV193" s="8">
        <f>IF(OR(A193="",Q193=""),"",COUNTIFS($Q$5:$Q$204,"&lt;"&amp;Q193)+1)</f>
        <v>0</v>
      </c>
      <c r="AW193" s="8">
        <f>IF(A193="","",COUNTIFS($V$5:$V$204,"&gt;"&amp;V193)+1)</f>
        <v>0</v>
      </c>
      <c r="AX193" s="8">
        <f>IF(A193="","",COUNTIFS($Y$5:$Y$204,"&lt;"&amp;Y193)+1)</f>
        <v>0</v>
      </c>
      <c r="AY193" s="8">
        <f>IF(A193="","",COUNTIFS($W$5:$W$204,"&gt;"&amp;W193)+1)</f>
        <v>0</v>
      </c>
    </row>
    <row r="194" spans="1:51">
      <c r="A194" s="7"/>
      <c r="B194" s="27"/>
      <c r="C194" s="27"/>
      <c r="D194" s="26"/>
      <c r="E194" s="26"/>
      <c r="F194" s="26"/>
      <c r="G194" s="8">
        <f>IF(A194="","",E194+F194)</f>
        <v>0</v>
      </c>
      <c r="H194" s="26"/>
      <c r="I194" s="26"/>
      <c r="J194" s="26"/>
      <c r="K194" s="26"/>
      <c r="L194" s="26"/>
      <c r="M194" s="26"/>
      <c r="N194" s="26"/>
      <c r="O194" s="8">
        <f>IF(A194="","",COUNTIFS('Recipe Ingredients'!$A$5:$A$1204,A194))</f>
        <v>0</v>
      </c>
      <c r="P194" s="8">
        <f>IF(A194="","",SUMIFS('Recipe Ingredients'!$H$5:$H$1204,'Recipe Ingredients'!$A$5:$A$1204,A194))</f>
        <v>0</v>
      </c>
      <c r="Q194" s="8">
        <f>IF(OR(A194="",D194=0,D194=""),"",P194/D194)</f>
        <v>0</v>
      </c>
      <c r="R194" s="8">
        <f>IF(OR(A194="",H194=0,H194=""),"",IFERROR(Q194/H194*1000,""))</f>
        <v>0</v>
      </c>
      <c r="S194" s="8">
        <f>IF(OR(A194="",Q194="",Q194=0),"",IFERROR(H194/Q194,""))</f>
        <v>0</v>
      </c>
      <c r="T194" s="8">
        <f>IF(OR(A194="",Q194="",Q194=0),"",IFERROR(I194/Q194,""))</f>
        <v>0</v>
      </c>
      <c r="U194" s="8">
        <f>IF(OR(A194="",G194="",G194=0),"",IFERROR(H194/G194*10,""))</f>
        <v>0</v>
      </c>
      <c r="V194" s="8">
        <f>IF(A194="","",(AC194="Yes")*1+(AD194="Yes")*1+(AE194="Yes")*1+(AF194="Yes")*1+(AG194="Yes")*1+(AH194="Yes")*1)</f>
        <v>0</v>
      </c>
      <c r="W194" s="8">
        <f>IF(A194="","",COUNTIFS('Meal Plan'!$G$5:$G$504,A194,'Meal Plan'!$S$5:$S$504,"Cooked")+COUNTIFS('Meal Plan'!$G$5:$G$504,A194,'Meal Plan'!$S$5:$S$504,"Eaten"))</f>
        <v>0</v>
      </c>
      <c r="X194" s="8">
        <f>IF(A194="","",IF(SUMPRODUCT(MAX(('Meal Plan'!$G$5:$G$504=A194)*'Meal Plan'!$B$5:$B$504))=0,"",SUMPRODUCT(MAX(('Meal Plan'!$G$5:$G$504=A194)*'Meal Plan'!$B$5:$B$504))))</f>
        <v>0</v>
      </c>
      <c r="Y194" s="8">
        <f>IF(OR(A194="",X194=""),"",TODAY()-X194)</f>
        <v>0</v>
      </c>
      <c r="Z194" s="8">
        <f>IF(A194="","",IF(Y194="","Yes",IF(Y194&gt;=Rotation_Gap_Days,"Yes","No")))</f>
        <v>0</v>
      </c>
      <c r="AA194" s="8">
        <f>IF(A194="","",IF(Z194="No","Too soon",IF(AND(AN194&lt;&gt;"",AN194&gt;=4),"Plan it","Available")))</f>
        <v>0</v>
      </c>
      <c r="AB194" s="27"/>
      <c r="AC194" s="27"/>
      <c r="AD194" s="27"/>
      <c r="AE194" s="27"/>
      <c r="AF194" s="27"/>
      <c r="AG194" s="27"/>
      <c r="AH194" s="27"/>
      <c r="AI194" s="27"/>
      <c r="AJ194" s="27"/>
      <c r="AK194" s="8">
        <f>IF(A194="","",IF(G194&lt;=30,"Yes","No"))</f>
        <v>0</v>
      </c>
      <c r="AL194" s="27"/>
      <c r="AM194" s="30"/>
      <c r="AN194" s="26"/>
      <c r="AO194" s="7"/>
      <c r="AP194" s="7"/>
      <c r="AQ194" s="7"/>
      <c r="AR194" s="25"/>
      <c r="AS194" s="8">
        <f>IF(A194="","",COUNTIFS($H$5:$H$204,"&gt;"&amp;H194)+1)</f>
        <v>0</v>
      </c>
      <c r="AT194" s="8">
        <f>IF(A194="","",COUNTIFS($I$5:$I$204,"&gt;"&amp;I194)+1)</f>
        <v>0</v>
      </c>
      <c r="AU194" s="8">
        <f>IF(A194="","",COUNTIFS($L$5:$L$204,"&gt;"&amp;L194)+1)</f>
        <v>0</v>
      </c>
      <c r="AV194" s="8">
        <f>IF(OR(A194="",Q194=""),"",COUNTIFS($Q$5:$Q$204,"&lt;"&amp;Q194)+1)</f>
        <v>0</v>
      </c>
      <c r="AW194" s="8">
        <f>IF(A194="","",COUNTIFS($V$5:$V$204,"&gt;"&amp;V194)+1)</f>
        <v>0</v>
      </c>
      <c r="AX194" s="8">
        <f>IF(A194="","",COUNTIFS($Y$5:$Y$204,"&lt;"&amp;Y194)+1)</f>
        <v>0</v>
      </c>
      <c r="AY194" s="8">
        <f>IF(A194="","",COUNTIFS($W$5:$W$204,"&gt;"&amp;W194)+1)</f>
        <v>0</v>
      </c>
    </row>
    <row r="195" spans="1:51">
      <c r="A195" s="7"/>
      <c r="B195" s="27"/>
      <c r="C195" s="27"/>
      <c r="D195" s="26"/>
      <c r="E195" s="26"/>
      <c r="F195" s="26"/>
      <c r="G195" s="8">
        <f>IF(A195="","",E195+F195)</f>
        <v>0</v>
      </c>
      <c r="H195" s="26"/>
      <c r="I195" s="26"/>
      <c r="J195" s="26"/>
      <c r="K195" s="26"/>
      <c r="L195" s="26"/>
      <c r="M195" s="26"/>
      <c r="N195" s="26"/>
      <c r="O195" s="8">
        <f>IF(A195="","",COUNTIFS('Recipe Ingredients'!$A$5:$A$1204,A195))</f>
        <v>0</v>
      </c>
      <c r="P195" s="8">
        <f>IF(A195="","",SUMIFS('Recipe Ingredients'!$H$5:$H$1204,'Recipe Ingredients'!$A$5:$A$1204,A195))</f>
        <v>0</v>
      </c>
      <c r="Q195" s="8">
        <f>IF(OR(A195="",D195=0,D195=""),"",P195/D195)</f>
        <v>0</v>
      </c>
      <c r="R195" s="8">
        <f>IF(OR(A195="",H195=0,H195=""),"",IFERROR(Q195/H195*1000,""))</f>
        <v>0</v>
      </c>
      <c r="S195" s="8">
        <f>IF(OR(A195="",Q195="",Q195=0),"",IFERROR(H195/Q195,""))</f>
        <v>0</v>
      </c>
      <c r="T195" s="8">
        <f>IF(OR(A195="",Q195="",Q195=0),"",IFERROR(I195/Q195,""))</f>
        <v>0</v>
      </c>
      <c r="U195" s="8">
        <f>IF(OR(A195="",G195="",G195=0),"",IFERROR(H195/G195*10,""))</f>
        <v>0</v>
      </c>
      <c r="V195" s="8">
        <f>IF(A195="","",(AC195="Yes")*1+(AD195="Yes")*1+(AE195="Yes")*1+(AF195="Yes")*1+(AG195="Yes")*1+(AH195="Yes")*1)</f>
        <v>0</v>
      </c>
      <c r="W195" s="8">
        <f>IF(A195="","",COUNTIFS('Meal Plan'!$G$5:$G$504,A195,'Meal Plan'!$S$5:$S$504,"Cooked")+COUNTIFS('Meal Plan'!$G$5:$G$504,A195,'Meal Plan'!$S$5:$S$504,"Eaten"))</f>
        <v>0</v>
      </c>
      <c r="X195" s="8">
        <f>IF(A195="","",IF(SUMPRODUCT(MAX(('Meal Plan'!$G$5:$G$504=A195)*'Meal Plan'!$B$5:$B$504))=0,"",SUMPRODUCT(MAX(('Meal Plan'!$G$5:$G$504=A195)*'Meal Plan'!$B$5:$B$504))))</f>
        <v>0</v>
      </c>
      <c r="Y195" s="8">
        <f>IF(OR(A195="",X195=""),"",TODAY()-X195)</f>
        <v>0</v>
      </c>
      <c r="Z195" s="8">
        <f>IF(A195="","",IF(Y195="","Yes",IF(Y195&gt;=Rotation_Gap_Days,"Yes","No")))</f>
        <v>0</v>
      </c>
      <c r="AA195" s="8">
        <f>IF(A195="","",IF(Z195="No","Too soon",IF(AND(AN195&lt;&gt;"",AN195&gt;=4),"Plan it","Available")))</f>
        <v>0</v>
      </c>
      <c r="AB195" s="27"/>
      <c r="AC195" s="27"/>
      <c r="AD195" s="27"/>
      <c r="AE195" s="27"/>
      <c r="AF195" s="27"/>
      <c r="AG195" s="27"/>
      <c r="AH195" s="27"/>
      <c r="AI195" s="27"/>
      <c r="AJ195" s="27"/>
      <c r="AK195" s="8">
        <f>IF(A195="","",IF(G195&lt;=30,"Yes","No"))</f>
        <v>0</v>
      </c>
      <c r="AL195" s="27"/>
      <c r="AM195" s="30"/>
      <c r="AN195" s="26"/>
      <c r="AO195" s="7"/>
      <c r="AP195" s="7"/>
      <c r="AQ195" s="7"/>
      <c r="AR195" s="25"/>
      <c r="AS195" s="8">
        <f>IF(A195="","",COUNTIFS($H$5:$H$204,"&gt;"&amp;H195)+1)</f>
        <v>0</v>
      </c>
      <c r="AT195" s="8">
        <f>IF(A195="","",COUNTIFS($I$5:$I$204,"&gt;"&amp;I195)+1)</f>
        <v>0</v>
      </c>
      <c r="AU195" s="8">
        <f>IF(A195="","",COUNTIFS($L$5:$L$204,"&gt;"&amp;L195)+1)</f>
        <v>0</v>
      </c>
      <c r="AV195" s="8">
        <f>IF(OR(A195="",Q195=""),"",COUNTIFS($Q$5:$Q$204,"&lt;"&amp;Q195)+1)</f>
        <v>0</v>
      </c>
      <c r="AW195" s="8">
        <f>IF(A195="","",COUNTIFS($V$5:$V$204,"&gt;"&amp;V195)+1)</f>
        <v>0</v>
      </c>
      <c r="AX195" s="8">
        <f>IF(A195="","",COUNTIFS($Y$5:$Y$204,"&lt;"&amp;Y195)+1)</f>
        <v>0</v>
      </c>
      <c r="AY195" s="8">
        <f>IF(A195="","",COUNTIFS($W$5:$W$204,"&gt;"&amp;W195)+1)</f>
        <v>0</v>
      </c>
    </row>
    <row r="196" spans="1:51">
      <c r="A196" s="7"/>
      <c r="B196" s="27"/>
      <c r="C196" s="27"/>
      <c r="D196" s="26"/>
      <c r="E196" s="26"/>
      <c r="F196" s="26"/>
      <c r="G196" s="8">
        <f>IF(A196="","",E196+F196)</f>
        <v>0</v>
      </c>
      <c r="H196" s="26"/>
      <c r="I196" s="26"/>
      <c r="J196" s="26"/>
      <c r="K196" s="26"/>
      <c r="L196" s="26"/>
      <c r="M196" s="26"/>
      <c r="N196" s="26"/>
      <c r="O196" s="8">
        <f>IF(A196="","",COUNTIFS('Recipe Ingredients'!$A$5:$A$1204,A196))</f>
        <v>0</v>
      </c>
      <c r="P196" s="8">
        <f>IF(A196="","",SUMIFS('Recipe Ingredients'!$H$5:$H$1204,'Recipe Ingredients'!$A$5:$A$1204,A196))</f>
        <v>0</v>
      </c>
      <c r="Q196" s="8">
        <f>IF(OR(A196="",D196=0,D196=""),"",P196/D196)</f>
        <v>0</v>
      </c>
      <c r="R196" s="8">
        <f>IF(OR(A196="",H196=0,H196=""),"",IFERROR(Q196/H196*1000,""))</f>
        <v>0</v>
      </c>
      <c r="S196" s="8">
        <f>IF(OR(A196="",Q196="",Q196=0),"",IFERROR(H196/Q196,""))</f>
        <v>0</v>
      </c>
      <c r="T196" s="8">
        <f>IF(OR(A196="",Q196="",Q196=0),"",IFERROR(I196/Q196,""))</f>
        <v>0</v>
      </c>
      <c r="U196" s="8">
        <f>IF(OR(A196="",G196="",G196=0),"",IFERROR(H196/G196*10,""))</f>
        <v>0</v>
      </c>
      <c r="V196" s="8">
        <f>IF(A196="","",(AC196="Yes")*1+(AD196="Yes")*1+(AE196="Yes")*1+(AF196="Yes")*1+(AG196="Yes")*1+(AH196="Yes")*1)</f>
        <v>0</v>
      </c>
      <c r="W196" s="8">
        <f>IF(A196="","",COUNTIFS('Meal Plan'!$G$5:$G$504,A196,'Meal Plan'!$S$5:$S$504,"Cooked")+COUNTIFS('Meal Plan'!$G$5:$G$504,A196,'Meal Plan'!$S$5:$S$504,"Eaten"))</f>
        <v>0</v>
      </c>
      <c r="X196" s="8">
        <f>IF(A196="","",IF(SUMPRODUCT(MAX(('Meal Plan'!$G$5:$G$504=A196)*'Meal Plan'!$B$5:$B$504))=0,"",SUMPRODUCT(MAX(('Meal Plan'!$G$5:$G$504=A196)*'Meal Plan'!$B$5:$B$504))))</f>
        <v>0</v>
      </c>
      <c r="Y196" s="8">
        <f>IF(OR(A196="",X196=""),"",TODAY()-X196)</f>
        <v>0</v>
      </c>
      <c r="Z196" s="8">
        <f>IF(A196="","",IF(Y196="","Yes",IF(Y196&gt;=Rotation_Gap_Days,"Yes","No")))</f>
        <v>0</v>
      </c>
      <c r="AA196" s="8">
        <f>IF(A196="","",IF(Z196="No","Too soon",IF(AND(AN196&lt;&gt;"",AN196&gt;=4),"Plan it","Available")))</f>
        <v>0</v>
      </c>
      <c r="AB196" s="27"/>
      <c r="AC196" s="27"/>
      <c r="AD196" s="27"/>
      <c r="AE196" s="27"/>
      <c r="AF196" s="27"/>
      <c r="AG196" s="27"/>
      <c r="AH196" s="27"/>
      <c r="AI196" s="27"/>
      <c r="AJ196" s="27"/>
      <c r="AK196" s="8">
        <f>IF(A196="","",IF(G196&lt;=30,"Yes","No"))</f>
        <v>0</v>
      </c>
      <c r="AL196" s="27"/>
      <c r="AM196" s="30"/>
      <c r="AN196" s="26"/>
      <c r="AO196" s="7"/>
      <c r="AP196" s="7"/>
      <c r="AQ196" s="7"/>
      <c r="AR196" s="25"/>
      <c r="AS196" s="8">
        <f>IF(A196="","",COUNTIFS($H$5:$H$204,"&gt;"&amp;H196)+1)</f>
        <v>0</v>
      </c>
      <c r="AT196" s="8">
        <f>IF(A196="","",COUNTIFS($I$5:$I$204,"&gt;"&amp;I196)+1)</f>
        <v>0</v>
      </c>
      <c r="AU196" s="8">
        <f>IF(A196="","",COUNTIFS($L$5:$L$204,"&gt;"&amp;L196)+1)</f>
        <v>0</v>
      </c>
      <c r="AV196" s="8">
        <f>IF(OR(A196="",Q196=""),"",COUNTIFS($Q$5:$Q$204,"&lt;"&amp;Q196)+1)</f>
        <v>0</v>
      </c>
      <c r="AW196" s="8">
        <f>IF(A196="","",COUNTIFS($V$5:$V$204,"&gt;"&amp;V196)+1)</f>
        <v>0</v>
      </c>
      <c r="AX196" s="8">
        <f>IF(A196="","",COUNTIFS($Y$5:$Y$204,"&lt;"&amp;Y196)+1)</f>
        <v>0</v>
      </c>
      <c r="AY196" s="8">
        <f>IF(A196="","",COUNTIFS($W$5:$W$204,"&gt;"&amp;W196)+1)</f>
        <v>0</v>
      </c>
    </row>
    <row r="197" spans="1:51">
      <c r="A197" s="7"/>
      <c r="B197" s="27"/>
      <c r="C197" s="27"/>
      <c r="D197" s="26"/>
      <c r="E197" s="26"/>
      <c r="F197" s="26"/>
      <c r="G197" s="8">
        <f>IF(A197="","",E197+F197)</f>
        <v>0</v>
      </c>
      <c r="H197" s="26"/>
      <c r="I197" s="26"/>
      <c r="J197" s="26"/>
      <c r="K197" s="26"/>
      <c r="L197" s="26"/>
      <c r="M197" s="26"/>
      <c r="N197" s="26"/>
      <c r="O197" s="8">
        <f>IF(A197="","",COUNTIFS('Recipe Ingredients'!$A$5:$A$1204,A197))</f>
        <v>0</v>
      </c>
      <c r="P197" s="8">
        <f>IF(A197="","",SUMIFS('Recipe Ingredients'!$H$5:$H$1204,'Recipe Ingredients'!$A$5:$A$1204,A197))</f>
        <v>0</v>
      </c>
      <c r="Q197" s="8">
        <f>IF(OR(A197="",D197=0,D197=""),"",P197/D197)</f>
        <v>0</v>
      </c>
      <c r="R197" s="8">
        <f>IF(OR(A197="",H197=0,H197=""),"",IFERROR(Q197/H197*1000,""))</f>
        <v>0</v>
      </c>
      <c r="S197" s="8">
        <f>IF(OR(A197="",Q197="",Q197=0),"",IFERROR(H197/Q197,""))</f>
        <v>0</v>
      </c>
      <c r="T197" s="8">
        <f>IF(OR(A197="",Q197="",Q197=0),"",IFERROR(I197/Q197,""))</f>
        <v>0</v>
      </c>
      <c r="U197" s="8">
        <f>IF(OR(A197="",G197="",G197=0),"",IFERROR(H197/G197*10,""))</f>
        <v>0</v>
      </c>
      <c r="V197" s="8">
        <f>IF(A197="","",(AC197="Yes")*1+(AD197="Yes")*1+(AE197="Yes")*1+(AF197="Yes")*1+(AG197="Yes")*1+(AH197="Yes")*1)</f>
        <v>0</v>
      </c>
      <c r="W197" s="8">
        <f>IF(A197="","",COUNTIFS('Meal Plan'!$G$5:$G$504,A197,'Meal Plan'!$S$5:$S$504,"Cooked")+COUNTIFS('Meal Plan'!$G$5:$G$504,A197,'Meal Plan'!$S$5:$S$504,"Eaten"))</f>
        <v>0</v>
      </c>
      <c r="X197" s="8">
        <f>IF(A197="","",IF(SUMPRODUCT(MAX(('Meal Plan'!$G$5:$G$504=A197)*'Meal Plan'!$B$5:$B$504))=0,"",SUMPRODUCT(MAX(('Meal Plan'!$G$5:$G$504=A197)*'Meal Plan'!$B$5:$B$504))))</f>
        <v>0</v>
      </c>
      <c r="Y197" s="8">
        <f>IF(OR(A197="",X197=""),"",TODAY()-X197)</f>
        <v>0</v>
      </c>
      <c r="Z197" s="8">
        <f>IF(A197="","",IF(Y197="","Yes",IF(Y197&gt;=Rotation_Gap_Days,"Yes","No")))</f>
        <v>0</v>
      </c>
      <c r="AA197" s="8">
        <f>IF(A197="","",IF(Z197="No","Too soon",IF(AND(AN197&lt;&gt;"",AN197&gt;=4),"Plan it","Available")))</f>
        <v>0</v>
      </c>
      <c r="AB197" s="27"/>
      <c r="AC197" s="27"/>
      <c r="AD197" s="27"/>
      <c r="AE197" s="27"/>
      <c r="AF197" s="27"/>
      <c r="AG197" s="27"/>
      <c r="AH197" s="27"/>
      <c r="AI197" s="27"/>
      <c r="AJ197" s="27"/>
      <c r="AK197" s="8">
        <f>IF(A197="","",IF(G197&lt;=30,"Yes","No"))</f>
        <v>0</v>
      </c>
      <c r="AL197" s="27"/>
      <c r="AM197" s="30"/>
      <c r="AN197" s="26"/>
      <c r="AO197" s="7"/>
      <c r="AP197" s="7"/>
      <c r="AQ197" s="7"/>
      <c r="AR197" s="25"/>
      <c r="AS197" s="8">
        <f>IF(A197="","",COUNTIFS($H$5:$H$204,"&gt;"&amp;H197)+1)</f>
        <v>0</v>
      </c>
      <c r="AT197" s="8">
        <f>IF(A197="","",COUNTIFS($I$5:$I$204,"&gt;"&amp;I197)+1)</f>
        <v>0</v>
      </c>
      <c r="AU197" s="8">
        <f>IF(A197="","",COUNTIFS($L$5:$L$204,"&gt;"&amp;L197)+1)</f>
        <v>0</v>
      </c>
      <c r="AV197" s="8">
        <f>IF(OR(A197="",Q197=""),"",COUNTIFS($Q$5:$Q$204,"&lt;"&amp;Q197)+1)</f>
        <v>0</v>
      </c>
      <c r="AW197" s="8">
        <f>IF(A197="","",COUNTIFS($V$5:$V$204,"&gt;"&amp;V197)+1)</f>
        <v>0</v>
      </c>
      <c r="AX197" s="8">
        <f>IF(A197="","",COUNTIFS($Y$5:$Y$204,"&lt;"&amp;Y197)+1)</f>
        <v>0</v>
      </c>
      <c r="AY197" s="8">
        <f>IF(A197="","",COUNTIFS($W$5:$W$204,"&gt;"&amp;W197)+1)</f>
        <v>0</v>
      </c>
    </row>
    <row r="198" spans="1:51">
      <c r="A198" s="7"/>
      <c r="B198" s="27"/>
      <c r="C198" s="27"/>
      <c r="D198" s="26"/>
      <c r="E198" s="26"/>
      <c r="F198" s="26"/>
      <c r="G198" s="8">
        <f>IF(A198="","",E198+F198)</f>
        <v>0</v>
      </c>
      <c r="H198" s="26"/>
      <c r="I198" s="26"/>
      <c r="J198" s="26"/>
      <c r="K198" s="26"/>
      <c r="L198" s="26"/>
      <c r="M198" s="26"/>
      <c r="N198" s="26"/>
      <c r="O198" s="8">
        <f>IF(A198="","",COUNTIFS('Recipe Ingredients'!$A$5:$A$1204,A198))</f>
        <v>0</v>
      </c>
      <c r="P198" s="8">
        <f>IF(A198="","",SUMIFS('Recipe Ingredients'!$H$5:$H$1204,'Recipe Ingredients'!$A$5:$A$1204,A198))</f>
        <v>0</v>
      </c>
      <c r="Q198" s="8">
        <f>IF(OR(A198="",D198=0,D198=""),"",P198/D198)</f>
        <v>0</v>
      </c>
      <c r="R198" s="8">
        <f>IF(OR(A198="",H198=0,H198=""),"",IFERROR(Q198/H198*1000,""))</f>
        <v>0</v>
      </c>
      <c r="S198" s="8">
        <f>IF(OR(A198="",Q198="",Q198=0),"",IFERROR(H198/Q198,""))</f>
        <v>0</v>
      </c>
      <c r="T198" s="8">
        <f>IF(OR(A198="",Q198="",Q198=0),"",IFERROR(I198/Q198,""))</f>
        <v>0</v>
      </c>
      <c r="U198" s="8">
        <f>IF(OR(A198="",G198="",G198=0),"",IFERROR(H198/G198*10,""))</f>
        <v>0</v>
      </c>
      <c r="V198" s="8">
        <f>IF(A198="","",(AC198="Yes")*1+(AD198="Yes")*1+(AE198="Yes")*1+(AF198="Yes")*1+(AG198="Yes")*1+(AH198="Yes")*1)</f>
        <v>0</v>
      </c>
      <c r="W198" s="8">
        <f>IF(A198="","",COUNTIFS('Meal Plan'!$G$5:$G$504,A198,'Meal Plan'!$S$5:$S$504,"Cooked")+COUNTIFS('Meal Plan'!$G$5:$G$504,A198,'Meal Plan'!$S$5:$S$504,"Eaten"))</f>
        <v>0</v>
      </c>
      <c r="X198" s="8">
        <f>IF(A198="","",IF(SUMPRODUCT(MAX(('Meal Plan'!$G$5:$G$504=A198)*'Meal Plan'!$B$5:$B$504))=0,"",SUMPRODUCT(MAX(('Meal Plan'!$G$5:$G$504=A198)*'Meal Plan'!$B$5:$B$504))))</f>
        <v>0</v>
      </c>
      <c r="Y198" s="8">
        <f>IF(OR(A198="",X198=""),"",TODAY()-X198)</f>
        <v>0</v>
      </c>
      <c r="Z198" s="8">
        <f>IF(A198="","",IF(Y198="","Yes",IF(Y198&gt;=Rotation_Gap_Days,"Yes","No")))</f>
        <v>0</v>
      </c>
      <c r="AA198" s="8">
        <f>IF(A198="","",IF(Z198="No","Too soon",IF(AND(AN198&lt;&gt;"",AN198&gt;=4),"Plan it","Available")))</f>
        <v>0</v>
      </c>
      <c r="AB198" s="27"/>
      <c r="AC198" s="27"/>
      <c r="AD198" s="27"/>
      <c r="AE198" s="27"/>
      <c r="AF198" s="27"/>
      <c r="AG198" s="27"/>
      <c r="AH198" s="27"/>
      <c r="AI198" s="27"/>
      <c r="AJ198" s="27"/>
      <c r="AK198" s="8">
        <f>IF(A198="","",IF(G198&lt;=30,"Yes","No"))</f>
        <v>0</v>
      </c>
      <c r="AL198" s="27"/>
      <c r="AM198" s="30"/>
      <c r="AN198" s="26"/>
      <c r="AO198" s="7"/>
      <c r="AP198" s="7"/>
      <c r="AQ198" s="7"/>
      <c r="AR198" s="25"/>
      <c r="AS198" s="8">
        <f>IF(A198="","",COUNTIFS($H$5:$H$204,"&gt;"&amp;H198)+1)</f>
        <v>0</v>
      </c>
      <c r="AT198" s="8">
        <f>IF(A198="","",COUNTIFS($I$5:$I$204,"&gt;"&amp;I198)+1)</f>
        <v>0</v>
      </c>
      <c r="AU198" s="8">
        <f>IF(A198="","",COUNTIFS($L$5:$L$204,"&gt;"&amp;L198)+1)</f>
        <v>0</v>
      </c>
      <c r="AV198" s="8">
        <f>IF(OR(A198="",Q198=""),"",COUNTIFS($Q$5:$Q$204,"&lt;"&amp;Q198)+1)</f>
        <v>0</v>
      </c>
      <c r="AW198" s="8">
        <f>IF(A198="","",COUNTIFS($V$5:$V$204,"&gt;"&amp;V198)+1)</f>
        <v>0</v>
      </c>
      <c r="AX198" s="8">
        <f>IF(A198="","",COUNTIFS($Y$5:$Y$204,"&lt;"&amp;Y198)+1)</f>
        <v>0</v>
      </c>
      <c r="AY198" s="8">
        <f>IF(A198="","",COUNTIFS($W$5:$W$204,"&gt;"&amp;W198)+1)</f>
        <v>0</v>
      </c>
    </row>
    <row r="199" spans="1:51">
      <c r="A199" s="7"/>
      <c r="B199" s="27"/>
      <c r="C199" s="27"/>
      <c r="D199" s="26"/>
      <c r="E199" s="26"/>
      <c r="F199" s="26"/>
      <c r="G199" s="8">
        <f>IF(A199="","",E199+F199)</f>
        <v>0</v>
      </c>
      <c r="H199" s="26"/>
      <c r="I199" s="26"/>
      <c r="J199" s="26"/>
      <c r="K199" s="26"/>
      <c r="L199" s="26"/>
      <c r="M199" s="26"/>
      <c r="N199" s="26"/>
      <c r="O199" s="8">
        <f>IF(A199="","",COUNTIFS('Recipe Ingredients'!$A$5:$A$1204,A199))</f>
        <v>0</v>
      </c>
      <c r="P199" s="8">
        <f>IF(A199="","",SUMIFS('Recipe Ingredients'!$H$5:$H$1204,'Recipe Ingredients'!$A$5:$A$1204,A199))</f>
        <v>0</v>
      </c>
      <c r="Q199" s="8">
        <f>IF(OR(A199="",D199=0,D199=""),"",P199/D199)</f>
        <v>0</v>
      </c>
      <c r="R199" s="8">
        <f>IF(OR(A199="",H199=0,H199=""),"",IFERROR(Q199/H199*1000,""))</f>
        <v>0</v>
      </c>
      <c r="S199" s="8">
        <f>IF(OR(A199="",Q199="",Q199=0),"",IFERROR(H199/Q199,""))</f>
        <v>0</v>
      </c>
      <c r="T199" s="8">
        <f>IF(OR(A199="",Q199="",Q199=0),"",IFERROR(I199/Q199,""))</f>
        <v>0</v>
      </c>
      <c r="U199" s="8">
        <f>IF(OR(A199="",G199="",G199=0),"",IFERROR(H199/G199*10,""))</f>
        <v>0</v>
      </c>
      <c r="V199" s="8">
        <f>IF(A199="","",(AC199="Yes")*1+(AD199="Yes")*1+(AE199="Yes")*1+(AF199="Yes")*1+(AG199="Yes")*1+(AH199="Yes")*1)</f>
        <v>0</v>
      </c>
      <c r="W199" s="8">
        <f>IF(A199="","",COUNTIFS('Meal Plan'!$G$5:$G$504,A199,'Meal Plan'!$S$5:$S$504,"Cooked")+COUNTIFS('Meal Plan'!$G$5:$G$504,A199,'Meal Plan'!$S$5:$S$504,"Eaten"))</f>
        <v>0</v>
      </c>
      <c r="X199" s="8">
        <f>IF(A199="","",IF(SUMPRODUCT(MAX(('Meal Plan'!$G$5:$G$504=A199)*'Meal Plan'!$B$5:$B$504))=0,"",SUMPRODUCT(MAX(('Meal Plan'!$G$5:$G$504=A199)*'Meal Plan'!$B$5:$B$504))))</f>
        <v>0</v>
      </c>
      <c r="Y199" s="8">
        <f>IF(OR(A199="",X199=""),"",TODAY()-X199)</f>
        <v>0</v>
      </c>
      <c r="Z199" s="8">
        <f>IF(A199="","",IF(Y199="","Yes",IF(Y199&gt;=Rotation_Gap_Days,"Yes","No")))</f>
        <v>0</v>
      </c>
      <c r="AA199" s="8">
        <f>IF(A199="","",IF(Z199="No","Too soon",IF(AND(AN199&lt;&gt;"",AN199&gt;=4),"Plan it","Available")))</f>
        <v>0</v>
      </c>
      <c r="AB199" s="27"/>
      <c r="AC199" s="27"/>
      <c r="AD199" s="27"/>
      <c r="AE199" s="27"/>
      <c r="AF199" s="27"/>
      <c r="AG199" s="27"/>
      <c r="AH199" s="27"/>
      <c r="AI199" s="27"/>
      <c r="AJ199" s="27"/>
      <c r="AK199" s="8">
        <f>IF(A199="","",IF(G199&lt;=30,"Yes","No"))</f>
        <v>0</v>
      </c>
      <c r="AL199" s="27"/>
      <c r="AM199" s="30"/>
      <c r="AN199" s="26"/>
      <c r="AO199" s="7"/>
      <c r="AP199" s="7"/>
      <c r="AQ199" s="7"/>
      <c r="AR199" s="25"/>
      <c r="AS199" s="8">
        <f>IF(A199="","",COUNTIFS($H$5:$H$204,"&gt;"&amp;H199)+1)</f>
        <v>0</v>
      </c>
      <c r="AT199" s="8">
        <f>IF(A199="","",COUNTIFS($I$5:$I$204,"&gt;"&amp;I199)+1)</f>
        <v>0</v>
      </c>
      <c r="AU199" s="8">
        <f>IF(A199="","",COUNTIFS($L$5:$L$204,"&gt;"&amp;L199)+1)</f>
        <v>0</v>
      </c>
      <c r="AV199" s="8">
        <f>IF(OR(A199="",Q199=""),"",COUNTIFS($Q$5:$Q$204,"&lt;"&amp;Q199)+1)</f>
        <v>0</v>
      </c>
      <c r="AW199" s="8">
        <f>IF(A199="","",COUNTIFS($V$5:$V$204,"&gt;"&amp;V199)+1)</f>
        <v>0</v>
      </c>
      <c r="AX199" s="8">
        <f>IF(A199="","",COUNTIFS($Y$5:$Y$204,"&lt;"&amp;Y199)+1)</f>
        <v>0</v>
      </c>
      <c r="AY199" s="8">
        <f>IF(A199="","",COUNTIFS($W$5:$W$204,"&gt;"&amp;W199)+1)</f>
        <v>0</v>
      </c>
    </row>
    <row r="200" spans="1:51">
      <c r="A200" s="7"/>
      <c r="B200" s="27"/>
      <c r="C200" s="27"/>
      <c r="D200" s="26"/>
      <c r="E200" s="26"/>
      <c r="F200" s="26"/>
      <c r="G200" s="8">
        <f>IF(A200="","",E200+F200)</f>
        <v>0</v>
      </c>
      <c r="H200" s="26"/>
      <c r="I200" s="26"/>
      <c r="J200" s="26"/>
      <c r="K200" s="26"/>
      <c r="L200" s="26"/>
      <c r="M200" s="26"/>
      <c r="N200" s="26"/>
      <c r="O200" s="8">
        <f>IF(A200="","",COUNTIFS('Recipe Ingredients'!$A$5:$A$1204,A200))</f>
        <v>0</v>
      </c>
      <c r="P200" s="8">
        <f>IF(A200="","",SUMIFS('Recipe Ingredients'!$H$5:$H$1204,'Recipe Ingredients'!$A$5:$A$1204,A200))</f>
        <v>0</v>
      </c>
      <c r="Q200" s="8">
        <f>IF(OR(A200="",D200=0,D200=""),"",P200/D200)</f>
        <v>0</v>
      </c>
      <c r="R200" s="8">
        <f>IF(OR(A200="",H200=0,H200=""),"",IFERROR(Q200/H200*1000,""))</f>
        <v>0</v>
      </c>
      <c r="S200" s="8">
        <f>IF(OR(A200="",Q200="",Q200=0),"",IFERROR(H200/Q200,""))</f>
        <v>0</v>
      </c>
      <c r="T200" s="8">
        <f>IF(OR(A200="",Q200="",Q200=0),"",IFERROR(I200/Q200,""))</f>
        <v>0</v>
      </c>
      <c r="U200" s="8">
        <f>IF(OR(A200="",G200="",G200=0),"",IFERROR(H200/G200*10,""))</f>
        <v>0</v>
      </c>
      <c r="V200" s="8">
        <f>IF(A200="","",(AC200="Yes")*1+(AD200="Yes")*1+(AE200="Yes")*1+(AF200="Yes")*1+(AG200="Yes")*1+(AH200="Yes")*1)</f>
        <v>0</v>
      </c>
      <c r="W200" s="8">
        <f>IF(A200="","",COUNTIFS('Meal Plan'!$G$5:$G$504,A200,'Meal Plan'!$S$5:$S$504,"Cooked")+COUNTIFS('Meal Plan'!$G$5:$G$504,A200,'Meal Plan'!$S$5:$S$504,"Eaten"))</f>
        <v>0</v>
      </c>
      <c r="X200" s="8">
        <f>IF(A200="","",IF(SUMPRODUCT(MAX(('Meal Plan'!$G$5:$G$504=A200)*'Meal Plan'!$B$5:$B$504))=0,"",SUMPRODUCT(MAX(('Meal Plan'!$G$5:$G$504=A200)*'Meal Plan'!$B$5:$B$504))))</f>
        <v>0</v>
      </c>
      <c r="Y200" s="8">
        <f>IF(OR(A200="",X200=""),"",TODAY()-X200)</f>
        <v>0</v>
      </c>
      <c r="Z200" s="8">
        <f>IF(A200="","",IF(Y200="","Yes",IF(Y200&gt;=Rotation_Gap_Days,"Yes","No")))</f>
        <v>0</v>
      </c>
      <c r="AA200" s="8">
        <f>IF(A200="","",IF(Z200="No","Too soon",IF(AND(AN200&lt;&gt;"",AN200&gt;=4),"Plan it","Available")))</f>
        <v>0</v>
      </c>
      <c r="AB200" s="27"/>
      <c r="AC200" s="27"/>
      <c r="AD200" s="27"/>
      <c r="AE200" s="27"/>
      <c r="AF200" s="27"/>
      <c r="AG200" s="27"/>
      <c r="AH200" s="27"/>
      <c r="AI200" s="27"/>
      <c r="AJ200" s="27"/>
      <c r="AK200" s="8">
        <f>IF(A200="","",IF(G200&lt;=30,"Yes","No"))</f>
        <v>0</v>
      </c>
      <c r="AL200" s="27"/>
      <c r="AM200" s="30"/>
      <c r="AN200" s="26"/>
      <c r="AO200" s="7"/>
      <c r="AP200" s="7"/>
      <c r="AQ200" s="7"/>
      <c r="AR200" s="25"/>
      <c r="AS200" s="8">
        <f>IF(A200="","",COUNTIFS($H$5:$H$204,"&gt;"&amp;H200)+1)</f>
        <v>0</v>
      </c>
      <c r="AT200" s="8">
        <f>IF(A200="","",COUNTIFS($I$5:$I$204,"&gt;"&amp;I200)+1)</f>
        <v>0</v>
      </c>
      <c r="AU200" s="8">
        <f>IF(A200="","",COUNTIFS($L$5:$L$204,"&gt;"&amp;L200)+1)</f>
        <v>0</v>
      </c>
      <c r="AV200" s="8">
        <f>IF(OR(A200="",Q200=""),"",COUNTIFS($Q$5:$Q$204,"&lt;"&amp;Q200)+1)</f>
        <v>0</v>
      </c>
      <c r="AW200" s="8">
        <f>IF(A200="","",COUNTIFS($V$5:$V$204,"&gt;"&amp;V200)+1)</f>
        <v>0</v>
      </c>
      <c r="AX200" s="8">
        <f>IF(A200="","",COUNTIFS($Y$5:$Y$204,"&lt;"&amp;Y200)+1)</f>
        <v>0</v>
      </c>
      <c r="AY200" s="8">
        <f>IF(A200="","",COUNTIFS($W$5:$W$204,"&gt;"&amp;W200)+1)</f>
        <v>0</v>
      </c>
    </row>
    <row r="201" spans="1:51">
      <c r="A201" s="7"/>
      <c r="B201" s="27"/>
      <c r="C201" s="27"/>
      <c r="D201" s="26"/>
      <c r="E201" s="26"/>
      <c r="F201" s="26"/>
      <c r="G201" s="8">
        <f>IF(A201="","",E201+F201)</f>
        <v>0</v>
      </c>
      <c r="H201" s="26"/>
      <c r="I201" s="26"/>
      <c r="J201" s="26"/>
      <c r="K201" s="26"/>
      <c r="L201" s="26"/>
      <c r="M201" s="26"/>
      <c r="N201" s="26"/>
      <c r="O201" s="8">
        <f>IF(A201="","",COUNTIFS('Recipe Ingredients'!$A$5:$A$1204,A201))</f>
        <v>0</v>
      </c>
      <c r="P201" s="8">
        <f>IF(A201="","",SUMIFS('Recipe Ingredients'!$H$5:$H$1204,'Recipe Ingredients'!$A$5:$A$1204,A201))</f>
        <v>0</v>
      </c>
      <c r="Q201" s="8">
        <f>IF(OR(A201="",D201=0,D201=""),"",P201/D201)</f>
        <v>0</v>
      </c>
      <c r="R201" s="8">
        <f>IF(OR(A201="",H201=0,H201=""),"",IFERROR(Q201/H201*1000,""))</f>
        <v>0</v>
      </c>
      <c r="S201" s="8">
        <f>IF(OR(A201="",Q201="",Q201=0),"",IFERROR(H201/Q201,""))</f>
        <v>0</v>
      </c>
      <c r="T201" s="8">
        <f>IF(OR(A201="",Q201="",Q201=0),"",IFERROR(I201/Q201,""))</f>
        <v>0</v>
      </c>
      <c r="U201" s="8">
        <f>IF(OR(A201="",G201="",G201=0),"",IFERROR(H201/G201*10,""))</f>
        <v>0</v>
      </c>
      <c r="V201" s="8">
        <f>IF(A201="","",(AC201="Yes")*1+(AD201="Yes")*1+(AE201="Yes")*1+(AF201="Yes")*1+(AG201="Yes")*1+(AH201="Yes")*1)</f>
        <v>0</v>
      </c>
      <c r="W201" s="8">
        <f>IF(A201="","",COUNTIFS('Meal Plan'!$G$5:$G$504,A201,'Meal Plan'!$S$5:$S$504,"Cooked")+COUNTIFS('Meal Plan'!$G$5:$G$504,A201,'Meal Plan'!$S$5:$S$504,"Eaten"))</f>
        <v>0</v>
      </c>
      <c r="X201" s="8">
        <f>IF(A201="","",IF(SUMPRODUCT(MAX(('Meal Plan'!$G$5:$G$504=A201)*'Meal Plan'!$B$5:$B$504))=0,"",SUMPRODUCT(MAX(('Meal Plan'!$G$5:$G$504=A201)*'Meal Plan'!$B$5:$B$504))))</f>
        <v>0</v>
      </c>
      <c r="Y201" s="8">
        <f>IF(OR(A201="",X201=""),"",TODAY()-X201)</f>
        <v>0</v>
      </c>
      <c r="Z201" s="8">
        <f>IF(A201="","",IF(Y201="","Yes",IF(Y201&gt;=Rotation_Gap_Days,"Yes","No")))</f>
        <v>0</v>
      </c>
      <c r="AA201" s="8">
        <f>IF(A201="","",IF(Z201="No","Too soon",IF(AND(AN201&lt;&gt;"",AN201&gt;=4),"Plan it","Available")))</f>
        <v>0</v>
      </c>
      <c r="AB201" s="27"/>
      <c r="AC201" s="27"/>
      <c r="AD201" s="27"/>
      <c r="AE201" s="27"/>
      <c r="AF201" s="27"/>
      <c r="AG201" s="27"/>
      <c r="AH201" s="27"/>
      <c r="AI201" s="27"/>
      <c r="AJ201" s="27"/>
      <c r="AK201" s="8">
        <f>IF(A201="","",IF(G201&lt;=30,"Yes","No"))</f>
        <v>0</v>
      </c>
      <c r="AL201" s="27"/>
      <c r="AM201" s="30"/>
      <c r="AN201" s="26"/>
      <c r="AO201" s="7"/>
      <c r="AP201" s="7"/>
      <c r="AQ201" s="7"/>
      <c r="AR201" s="25"/>
      <c r="AS201" s="8">
        <f>IF(A201="","",COUNTIFS($H$5:$H$204,"&gt;"&amp;H201)+1)</f>
        <v>0</v>
      </c>
      <c r="AT201" s="8">
        <f>IF(A201="","",COUNTIFS($I$5:$I$204,"&gt;"&amp;I201)+1)</f>
        <v>0</v>
      </c>
      <c r="AU201" s="8">
        <f>IF(A201="","",COUNTIFS($L$5:$L$204,"&gt;"&amp;L201)+1)</f>
        <v>0</v>
      </c>
      <c r="AV201" s="8">
        <f>IF(OR(A201="",Q201=""),"",COUNTIFS($Q$5:$Q$204,"&lt;"&amp;Q201)+1)</f>
        <v>0</v>
      </c>
      <c r="AW201" s="8">
        <f>IF(A201="","",COUNTIFS($V$5:$V$204,"&gt;"&amp;V201)+1)</f>
        <v>0</v>
      </c>
      <c r="AX201" s="8">
        <f>IF(A201="","",COUNTIFS($Y$5:$Y$204,"&lt;"&amp;Y201)+1)</f>
        <v>0</v>
      </c>
      <c r="AY201" s="8">
        <f>IF(A201="","",COUNTIFS($W$5:$W$204,"&gt;"&amp;W201)+1)</f>
        <v>0</v>
      </c>
    </row>
    <row r="202" spans="1:51">
      <c r="A202" s="7"/>
      <c r="B202" s="27"/>
      <c r="C202" s="27"/>
      <c r="D202" s="26"/>
      <c r="E202" s="26"/>
      <c r="F202" s="26"/>
      <c r="G202" s="8">
        <f>IF(A202="","",E202+F202)</f>
        <v>0</v>
      </c>
      <c r="H202" s="26"/>
      <c r="I202" s="26"/>
      <c r="J202" s="26"/>
      <c r="K202" s="26"/>
      <c r="L202" s="26"/>
      <c r="M202" s="26"/>
      <c r="N202" s="26"/>
      <c r="O202" s="8">
        <f>IF(A202="","",COUNTIFS('Recipe Ingredients'!$A$5:$A$1204,A202))</f>
        <v>0</v>
      </c>
      <c r="P202" s="8">
        <f>IF(A202="","",SUMIFS('Recipe Ingredients'!$H$5:$H$1204,'Recipe Ingredients'!$A$5:$A$1204,A202))</f>
        <v>0</v>
      </c>
      <c r="Q202" s="8">
        <f>IF(OR(A202="",D202=0,D202=""),"",P202/D202)</f>
        <v>0</v>
      </c>
      <c r="R202" s="8">
        <f>IF(OR(A202="",H202=0,H202=""),"",IFERROR(Q202/H202*1000,""))</f>
        <v>0</v>
      </c>
      <c r="S202" s="8">
        <f>IF(OR(A202="",Q202="",Q202=0),"",IFERROR(H202/Q202,""))</f>
        <v>0</v>
      </c>
      <c r="T202" s="8">
        <f>IF(OR(A202="",Q202="",Q202=0),"",IFERROR(I202/Q202,""))</f>
        <v>0</v>
      </c>
      <c r="U202" s="8">
        <f>IF(OR(A202="",G202="",G202=0),"",IFERROR(H202/G202*10,""))</f>
        <v>0</v>
      </c>
      <c r="V202" s="8">
        <f>IF(A202="","",(AC202="Yes")*1+(AD202="Yes")*1+(AE202="Yes")*1+(AF202="Yes")*1+(AG202="Yes")*1+(AH202="Yes")*1)</f>
        <v>0</v>
      </c>
      <c r="W202" s="8">
        <f>IF(A202="","",COUNTIFS('Meal Plan'!$G$5:$G$504,A202,'Meal Plan'!$S$5:$S$504,"Cooked")+COUNTIFS('Meal Plan'!$G$5:$G$504,A202,'Meal Plan'!$S$5:$S$504,"Eaten"))</f>
        <v>0</v>
      </c>
      <c r="X202" s="8">
        <f>IF(A202="","",IF(SUMPRODUCT(MAX(('Meal Plan'!$G$5:$G$504=A202)*'Meal Plan'!$B$5:$B$504))=0,"",SUMPRODUCT(MAX(('Meal Plan'!$G$5:$G$504=A202)*'Meal Plan'!$B$5:$B$504))))</f>
        <v>0</v>
      </c>
      <c r="Y202" s="8">
        <f>IF(OR(A202="",X202=""),"",TODAY()-X202)</f>
        <v>0</v>
      </c>
      <c r="Z202" s="8">
        <f>IF(A202="","",IF(Y202="","Yes",IF(Y202&gt;=Rotation_Gap_Days,"Yes","No")))</f>
        <v>0</v>
      </c>
      <c r="AA202" s="8">
        <f>IF(A202="","",IF(Z202="No","Too soon",IF(AND(AN202&lt;&gt;"",AN202&gt;=4),"Plan it","Available")))</f>
        <v>0</v>
      </c>
      <c r="AB202" s="27"/>
      <c r="AC202" s="27"/>
      <c r="AD202" s="27"/>
      <c r="AE202" s="27"/>
      <c r="AF202" s="27"/>
      <c r="AG202" s="27"/>
      <c r="AH202" s="27"/>
      <c r="AI202" s="27"/>
      <c r="AJ202" s="27"/>
      <c r="AK202" s="8">
        <f>IF(A202="","",IF(G202&lt;=30,"Yes","No"))</f>
        <v>0</v>
      </c>
      <c r="AL202" s="27"/>
      <c r="AM202" s="30"/>
      <c r="AN202" s="26"/>
      <c r="AO202" s="7"/>
      <c r="AP202" s="7"/>
      <c r="AQ202" s="7"/>
      <c r="AR202" s="25"/>
      <c r="AS202" s="8">
        <f>IF(A202="","",COUNTIFS($H$5:$H$204,"&gt;"&amp;H202)+1)</f>
        <v>0</v>
      </c>
      <c r="AT202" s="8">
        <f>IF(A202="","",COUNTIFS($I$5:$I$204,"&gt;"&amp;I202)+1)</f>
        <v>0</v>
      </c>
      <c r="AU202" s="8">
        <f>IF(A202="","",COUNTIFS($L$5:$L$204,"&gt;"&amp;L202)+1)</f>
        <v>0</v>
      </c>
      <c r="AV202" s="8">
        <f>IF(OR(A202="",Q202=""),"",COUNTIFS($Q$5:$Q$204,"&lt;"&amp;Q202)+1)</f>
        <v>0</v>
      </c>
      <c r="AW202" s="8">
        <f>IF(A202="","",COUNTIFS($V$5:$V$204,"&gt;"&amp;V202)+1)</f>
        <v>0</v>
      </c>
      <c r="AX202" s="8">
        <f>IF(A202="","",COUNTIFS($Y$5:$Y$204,"&lt;"&amp;Y202)+1)</f>
        <v>0</v>
      </c>
      <c r="AY202" s="8">
        <f>IF(A202="","",COUNTIFS($W$5:$W$204,"&gt;"&amp;W202)+1)</f>
        <v>0</v>
      </c>
    </row>
    <row r="203" spans="1:51">
      <c r="A203" s="7"/>
      <c r="B203" s="27"/>
      <c r="C203" s="27"/>
      <c r="D203" s="26"/>
      <c r="E203" s="26"/>
      <c r="F203" s="26"/>
      <c r="G203" s="8">
        <f>IF(A203="","",E203+F203)</f>
        <v>0</v>
      </c>
      <c r="H203" s="26"/>
      <c r="I203" s="26"/>
      <c r="J203" s="26"/>
      <c r="K203" s="26"/>
      <c r="L203" s="26"/>
      <c r="M203" s="26"/>
      <c r="N203" s="26"/>
      <c r="O203" s="8">
        <f>IF(A203="","",COUNTIFS('Recipe Ingredients'!$A$5:$A$1204,A203))</f>
        <v>0</v>
      </c>
      <c r="P203" s="8">
        <f>IF(A203="","",SUMIFS('Recipe Ingredients'!$H$5:$H$1204,'Recipe Ingredients'!$A$5:$A$1204,A203))</f>
        <v>0</v>
      </c>
      <c r="Q203" s="8">
        <f>IF(OR(A203="",D203=0,D203=""),"",P203/D203)</f>
        <v>0</v>
      </c>
      <c r="R203" s="8">
        <f>IF(OR(A203="",H203=0,H203=""),"",IFERROR(Q203/H203*1000,""))</f>
        <v>0</v>
      </c>
      <c r="S203" s="8">
        <f>IF(OR(A203="",Q203="",Q203=0),"",IFERROR(H203/Q203,""))</f>
        <v>0</v>
      </c>
      <c r="T203" s="8">
        <f>IF(OR(A203="",Q203="",Q203=0),"",IFERROR(I203/Q203,""))</f>
        <v>0</v>
      </c>
      <c r="U203" s="8">
        <f>IF(OR(A203="",G203="",G203=0),"",IFERROR(H203/G203*10,""))</f>
        <v>0</v>
      </c>
      <c r="V203" s="8">
        <f>IF(A203="","",(AC203="Yes")*1+(AD203="Yes")*1+(AE203="Yes")*1+(AF203="Yes")*1+(AG203="Yes")*1+(AH203="Yes")*1)</f>
        <v>0</v>
      </c>
      <c r="W203" s="8">
        <f>IF(A203="","",COUNTIFS('Meal Plan'!$G$5:$G$504,A203,'Meal Plan'!$S$5:$S$504,"Cooked")+COUNTIFS('Meal Plan'!$G$5:$G$504,A203,'Meal Plan'!$S$5:$S$504,"Eaten"))</f>
        <v>0</v>
      </c>
      <c r="X203" s="8">
        <f>IF(A203="","",IF(SUMPRODUCT(MAX(('Meal Plan'!$G$5:$G$504=A203)*'Meal Plan'!$B$5:$B$504))=0,"",SUMPRODUCT(MAX(('Meal Plan'!$G$5:$G$504=A203)*'Meal Plan'!$B$5:$B$504))))</f>
        <v>0</v>
      </c>
      <c r="Y203" s="8">
        <f>IF(OR(A203="",X203=""),"",TODAY()-X203)</f>
        <v>0</v>
      </c>
      <c r="Z203" s="8">
        <f>IF(A203="","",IF(Y203="","Yes",IF(Y203&gt;=Rotation_Gap_Days,"Yes","No")))</f>
        <v>0</v>
      </c>
      <c r="AA203" s="8">
        <f>IF(A203="","",IF(Z203="No","Too soon",IF(AND(AN203&lt;&gt;"",AN203&gt;=4),"Plan it","Available")))</f>
        <v>0</v>
      </c>
      <c r="AB203" s="27"/>
      <c r="AC203" s="27"/>
      <c r="AD203" s="27"/>
      <c r="AE203" s="27"/>
      <c r="AF203" s="27"/>
      <c r="AG203" s="27"/>
      <c r="AH203" s="27"/>
      <c r="AI203" s="27"/>
      <c r="AJ203" s="27"/>
      <c r="AK203" s="8">
        <f>IF(A203="","",IF(G203&lt;=30,"Yes","No"))</f>
        <v>0</v>
      </c>
      <c r="AL203" s="27"/>
      <c r="AM203" s="30"/>
      <c r="AN203" s="26"/>
      <c r="AO203" s="7"/>
      <c r="AP203" s="7"/>
      <c r="AQ203" s="7"/>
      <c r="AR203" s="25"/>
      <c r="AS203" s="8">
        <f>IF(A203="","",COUNTIFS($H$5:$H$204,"&gt;"&amp;H203)+1)</f>
        <v>0</v>
      </c>
      <c r="AT203" s="8">
        <f>IF(A203="","",COUNTIFS($I$5:$I$204,"&gt;"&amp;I203)+1)</f>
        <v>0</v>
      </c>
      <c r="AU203" s="8">
        <f>IF(A203="","",COUNTIFS($L$5:$L$204,"&gt;"&amp;L203)+1)</f>
        <v>0</v>
      </c>
      <c r="AV203" s="8">
        <f>IF(OR(A203="",Q203=""),"",COUNTIFS($Q$5:$Q$204,"&lt;"&amp;Q203)+1)</f>
        <v>0</v>
      </c>
      <c r="AW203" s="8">
        <f>IF(A203="","",COUNTIFS($V$5:$V$204,"&gt;"&amp;V203)+1)</f>
        <v>0</v>
      </c>
      <c r="AX203" s="8">
        <f>IF(A203="","",COUNTIFS($Y$5:$Y$204,"&lt;"&amp;Y203)+1)</f>
        <v>0</v>
      </c>
      <c r="AY203" s="8">
        <f>IF(A203="","",COUNTIFS($W$5:$W$204,"&gt;"&amp;W203)+1)</f>
        <v>0</v>
      </c>
    </row>
    <row r="204" spans="1:51">
      <c r="A204" s="7"/>
      <c r="B204" s="27"/>
      <c r="C204" s="27"/>
      <c r="D204" s="26"/>
      <c r="E204" s="26"/>
      <c r="F204" s="26"/>
      <c r="G204" s="8">
        <f>IF(A204="","",E204+F204)</f>
        <v>0</v>
      </c>
      <c r="H204" s="26"/>
      <c r="I204" s="26"/>
      <c r="J204" s="26"/>
      <c r="K204" s="26"/>
      <c r="L204" s="26"/>
      <c r="M204" s="26"/>
      <c r="N204" s="26"/>
      <c r="O204" s="8">
        <f>IF(A204="","",COUNTIFS('Recipe Ingredients'!$A$5:$A$1204,A204))</f>
        <v>0</v>
      </c>
      <c r="P204" s="8">
        <f>IF(A204="","",SUMIFS('Recipe Ingredients'!$H$5:$H$1204,'Recipe Ingredients'!$A$5:$A$1204,A204))</f>
        <v>0</v>
      </c>
      <c r="Q204" s="8">
        <f>IF(OR(A204="",D204=0,D204=""),"",P204/D204)</f>
        <v>0</v>
      </c>
      <c r="R204" s="8">
        <f>IF(OR(A204="",H204=0,H204=""),"",IFERROR(Q204/H204*1000,""))</f>
        <v>0</v>
      </c>
      <c r="S204" s="8">
        <f>IF(OR(A204="",Q204="",Q204=0),"",IFERROR(H204/Q204,""))</f>
        <v>0</v>
      </c>
      <c r="T204" s="8">
        <f>IF(OR(A204="",Q204="",Q204=0),"",IFERROR(I204/Q204,""))</f>
        <v>0</v>
      </c>
      <c r="U204" s="8">
        <f>IF(OR(A204="",G204="",G204=0),"",IFERROR(H204/G204*10,""))</f>
        <v>0</v>
      </c>
      <c r="V204" s="8">
        <f>IF(A204="","",(AC204="Yes")*1+(AD204="Yes")*1+(AE204="Yes")*1+(AF204="Yes")*1+(AG204="Yes")*1+(AH204="Yes")*1)</f>
        <v>0</v>
      </c>
      <c r="W204" s="8">
        <f>IF(A204="","",COUNTIFS('Meal Plan'!$G$5:$G$504,A204,'Meal Plan'!$S$5:$S$504,"Cooked")+COUNTIFS('Meal Plan'!$G$5:$G$504,A204,'Meal Plan'!$S$5:$S$504,"Eaten"))</f>
        <v>0</v>
      </c>
      <c r="X204" s="8">
        <f>IF(A204="","",IF(SUMPRODUCT(MAX(('Meal Plan'!$G$5:$G$504=A204)*'Meal Plan'!$B$5:$B$504))=0,"",SUMPRODUCT(MAX(('Meal Plan'!$G$5:$G$504=A204)*'Meal Plan'!$B$5:$B$504))))</f>
        <v>0</v>
      </c>
      <c r="Y204" s="8">
        <f>IF(OR(A204="",X204=""),"",TODAY()-X204)</f>
        <v>0</v>
      </c>
      <c r="Z204" s="8">
        <f>IF(A204="","",IF(Y204="","Yes",IF(Y204&gt;=Rotation_Gap_Days,"Yes","No")))</f>
        <v>0</v>
      </c>
      <c r="AA204" s="8">
        <f>IF(A204="","",IF(Z204="No","Too soon",IF(AND(AN204&lt;&gt;"",AN204&gt;=4),"Plan it","Available")))</f>
        <v>0</v>
      </c>
      <c r="AB204" s="27"/>
      <c r="AC204" s="27"/>
      <c r="AD204" s="27"/>
      <c r="AE204" s="27"/>
      <c r="AF204" s="27"/>
      <c r="AG204" s="27"/>
      <c r="AH204" s="27"/>
      <c r="AI204" s="27"/>
      <c r="AJ204" s="27"/>
      <c r="AK204" s="8">
        <f>IF(A204="","",IF(G204&lt;=30,"Yes","No"))</f>
        <v>0</v>
      </c>
      <c r="AL204" s="27"/>
      <c r="AM204" s="30"/>
      <c r="AN204" s="26"/>
      <c r="AO204" s="7"/>
      <c r="AP204" s="7"/>
      <c r="AQ204" s="7"/>
      <c r="AR204" s="25"/>
      <c r="AS204" s="8">
        <f>IF(A204="","",COUNTIFS($H$5:$H$204,"&gt;"&amp;H204)+1)</f>
        <v>0</v>
      </c>
      <c r="AT204" s="8">
        <f>IF(A204="","",COUNTIFS($I$5:$I$204,"&gt;"&amp;I204)+1)</f>
        <v>0</v>
      </c>
      <c r="AU204" s="8">
        <f>IF(A204="","",COUNTIFS($L$5:$L$204,"&gt;"&amp;L204)+1)</f>
        <v>0</v>
      </c>
      <c r="AV204" s="8">
        <f>IF(OR(A204="",Q204=""),"",COUNTIFS($Q$5:$Q$204,"&lt;"&amp;Q204)+1)</f>
        <v>0</v>
      </c>
      <c r="AW204" s="8">
        <f>IF(A204="","",COUNTIFS($V$5:$V$204,"&gt;"&amp;V204)+1)</f>
        <v>0</v>
      </c>
      <c r="AX204" s="8">
        <f>IF(A204="","",COUNTIFS($Y$5:$Y$204,"&lt;"&amp;Y204)+1)</f>
        <v>0</v>
      </c>
      <c r="AY204" s="8">
        <f>IF(A204="","",COUNTIFS($W$5:$W$204,"&gt;"&amp;W204)+1)</f>
        <v>0</v>
      </c>
    </row>
  </sheetData>
  <sheetProtection password="EC7C" sheet="1" objects="1" scenarios="1" selectLockedCells="1" selectUnlockedCells="1"/>
  <autoFilter ref="A4:AY204"/>
  <conditionalFormatting sqref="A101:AY101">
    <cfRule type="expression" dxfId="0" priority="49">
      <formula>MOD(ROW(),2)=0</formula>
    </cfRule>
  </conditionalFormatting>
  <conditionalFormatting sqref="A103:AY103">
    <cfRule type="expression" dxfId="0" priority="50">
      <formula>MOD(ROW(),2)=0</formula>
    </cfRule>
  </conditionalFormatting>
  <conditionalFormatting sqref="A105:AY105">
    <cfRule type="expression" dxfId="0" priority="51">
      <formula>MOD(ROW(),2)=0</formula>
    </cfRule>
  </conditionalFormatting>
  <conditionalFormatting sqref="A107:AY107">
    <cfRule type="expression" dxfId="0" priority="52">
      <formula>MOD(ROW(),2)=0</formula>
    </cfRule>
  </conditionalFormatting>
  <conditionalFormatting sqref="A109:AY109">
    <cfRule type="expression" dxfId="0" priority="53">
      <formula>MOD(ROW(),2)=0</formula>
    </cfRule>
  </conditionalFormatting>
  <conditionalFormatting sqref="A111:AY111">
    <cfRule type="expression" dxfId="0" priority="54">
      <formula>MOD(ROW(),2)=0</formula>
    </cfRule>
  </conditionalFormatting>
  <conditionalFormatting sqref="A113:AY113">
    <cfRule type="expression" dxfId="0" priority="55">
      <formula>MOD(ROW(),2)=0</formula>
    </cfRule>
  </conditionalFormatting>
  <conditionalFormatting sqref="A115:AY115">
    <cfRule type="expression" dxfId="0" priority="56">
      <formula>MOD(ROW(),2)=0</formula>
    </cfRule>
  </conditionalFormatting>
  <conditionalFormatting sqref="A117:AY117">
    <cfRule type="expression" dxfId="0" priority="57">
      <formula>MOD(ROW(),2)=0</formula>
    </cfRule>
  </conditionalFormatting>
  <conditionalFormatting sqref="A119:AY119">
    <cfRule type="expression" dxfId="0" priority="58">
      <formula>MOD(ROW(),2)=0</formula>
    </cfRule>
  </conditionalFormatting>
  <conditionalFormatting sqref="A11:AY11">
    <cfRule type="expression" dxfId="0" priority="4">
      <formula>MOD(ROW(),2)=0</formula>
    </cfRule>
  </conditionalFormatting>
  <conditionalFormatting sqref="A121:AY121">
    <cfRule type="expression" dxfId="0" priority="59">
      <formula>MOD(ROW(),2)=0</formula>
    </cfRule>
  </conditionalFormatting>
  <conditionalFormatting sqref="A123:AY123">
    <cfRule type="expression" dxfId="0" priority="60">
      <formula>MOD(ROW(),2)=0</formula>
    </cfRule>
  </conditionalFormatting>
  <conditionalFormatting sqref="A125:AY125">
    <cfRule type="expression" dxfId="0" priority="61">
      <formula>MOD(ROW(),2)=0</formula>
    </cfRule>
  </conditionalFormatting>
  <conditionalFormatting sqref="A127:AY127">
    <cfRule type="expression" dxfId="0" priority="62">
      <formula>MOD(ROW(),2)=0</formula>
    </cfRule>
  </conditionalFormatting>
  <conditionalFormatting sqref="A129:AY129">
    <cfRule type="expression" dxfId="0" priority="63">
      <formula>MOD(ROW(),2)=0</formula>
    </cfRule>
  </conditionalFormatting>
  <conditionalFormatting sqref="A131:AY131">
    <cfRule type="expression" dxfId="0" priority="64">
      <formula>MOD(ROW(),2)=0</formula>
    </cfRule>
  </conditionalFormatting>
  <conditionalFormatting sqref="A133:AY133">
    <cfRule type="expression" dxfId="0" priority="65">
      <formula>MOD(ROW(),2)=0</formula>
    </cfRule>
  </conditionalFormatting>
  <conditionalFormatting sqref="A135:AY135">
    <cfRule type="expression" dxfId="0" priority="66">
      <formula>MOD(ROW(),2)=0</formula>
    </cfRule>
  </conditionalFormatting>
  <conditionalFormatting sqref="A137:AY137">
    <cfRule type="expression" dxfId="0" priority="67">
      <formula>MOD(ROW(),2)=0</formula>
    </cfRule>
  </conditionalFormatting>
  <conditionalFormatting sqref="A139:AY139">
    <cfRule type="expression" dxfId="0" priority="68">
      <formula>MOD(ROW(),2)=0</formula>
    </cfRule>
  </conditionalFormatting>
  <conditionalFormatting sqref="A13:AY13">
    <cfRule type="expression" dxfId="0" priority="5">
      <formula>MOD(ROW(),2)=0</formula>
    </cfRule>
  </conditionalFormatting>
  <conditionalFormatting sqref="A141:AY141">
    <cfRule type="expression" dxfId="0" priority="69">
      <formula>MOD(ROW(),2)=0</formula>
    </cfRule>
  </conditionalFormatting>
  <conditionalFormatting sqref="A143:AY143">
    <cfRule type="expression" dxfId="0" priority="70">
      <formula>MOD(ROW(),2)=0</formula>
    </cfRule>
  </conditionalFormatting>
  <conditionalFormatting sqref="A145:AY145">
    <cfRule type="expression" dxfId="0" priority="71">
      <formula>MOD(ROW(),2)=0</formula>
    </cfRule>
  </conditionalFormatting>
  <conditionalFormatting sqref="A147:AY147">
    <cfRule type="expression" dxfId="0" priority="72">
      <formula>MOD(ROW(),2)=0</formula>
    </cfRule>
  </conditionalFormatting>
  <conditionalFormatting sqref="A149:AY149">
    <cfRule type="expression" dxfId="0" priority="73">
      <formula>MOD(ROW(),2)=0</formula>
    </cfRule>
  </conditionalFormatting>
  <conditionalFormatting sqref="A151:AY151">
    <cfRule type="expression" dxfId="0" priority="74">
      <formula>MOD(ROW(),2)=0</formula>
    </cfRule>
  </conditionalFormatting>
  <conditionalFormatting sqref="A153:AY153">
    <cfRule type="expression" dxfId="0" priority="75">
      <formula>MOD(ROW(),2)=0</formula>
    </cfRule>
  </conditionalFormatting>
  <conditionalFormatting sqref="A155:AY155">
    <cfRule type="expression" dxfId="0" priority="76">
      <formula>MOD(ROW(),2)=0</formula>
    </cfRule>
  </conditionalFormatting>
  <conditionalFormatting sqref="A157:AY157">
    <cfRule type="expression" dxfId="0" priority="77">
      <formula>MOD(ROW(),2)=0</formula>
    </cfRule>
  </conditionalFormatting>
  <conditionalFormatting sqref="A159:AY159">
    <cfRule type="expression" dxfId="0" priority="78">
      <formula>MOD(ROW(),2)=0</formula>
    </cfRule>
  </conditionalFormatting>
  <conditionalFormatting sqref="A15:AY15">
    <cfRule type="expression" dxfId="0" priority="6">
      <formula>MOD(ROW(),2)=0</formula>
    </cfRule>
  </conditionalFormatting>
  <conditionalFormatting sqref="A161:AY161">
    <cfRule type="expression" dxfId="0" priority="79">
      <formula>MOD(ROW(),2)=0</formula>
    </cfRule>
  </conditionalFormatting>
  <conditionalFormatting sqref="A163:AY163">
    <cfRule type="expression" dxfId="0" priority="80">
      <formula>MOD(ROW(),2)=0</formula>
    </cfRule>
  </conditionalFormatting>
  <conditionalFormatting sqref="A165:AY165">
    <cfRule type="expression" dxfId="0" priority="81">
      <formula>MOD(ROW(),2)=0</formula>
    </cfRule>
  </conditionalFormatting>
  <conditionalFormatting sqref="A167:AY167">
    <cfRule type="expression" dxfId="0" priority="82">
      <formula>MOD(ROW(),2)=0</formula>
    </cfRule>
  </conditionalFormatting>
  <conditionalFormatting sqref="A169:AY169">
    <cfRule type="expression" dxfId="0" priority="83">
      <formula>MOD(ROW(),2)=0</formula>
    </cfRule>
  </conditionalFormatting>
  <conditionalFormatting sqref="A171:AY171">
    <cfRule type="expression" dxfId="0" priority="84">
      <formula>MOD(ROW(),2)=0</formula>
    </cfRule>
  </conditionalFormatting>
  <conditionalFormatting sqref="A173:AY173">
    <cfRule type="expression" dxfId="0" priority="85">
      <formula>MOD(ROW(),2)=0</formula>
    </cfRule>
  </conditionalFormatting>
  <conditionalFormatting sqref="A175:AY175">
    <cfRule type="expression" dxfId="0" priority="86">
      <formula>MOD(ROW(),2)=0</formula>
    </cfRule>
  </conditionalFormatting>
  <conditionalFormatting sqref="A177:AY177">
    <cfRule type="expression" dxfId="0" priority="87">
      <formula>MOD(ROW(),2)=0</formula>
    </cfRule>
  </conditionalFormatting>
  <conditionalFormatting sqref="A179:AY179">
    <cfRule type="expression" dxfId="0" priority="88">
      <formula>MOD(ROW(),2)=0</formula>
    </cfRule>
  </conditionalFormatting>
  <conditionalFormatting sqref="A17:AY17">
    <cfRule type="expression" dxfId="0" priority="7">
      <formula>MOD(ROW(),2)=0</formula>
    </cfRule>
  </conditionalFormatting>
  <conditionalFormatting sqref="A181:AY181">
    <cfRule type="expression" dxfId="0" priority="89">
      <formula>MOD(ROW(),2)=0</formula>
    </cfRule>
  </conditionalFormatting>
  <conditionalFormatting sqref="A183:AY183">
    <cfRule type="expression" dxfId="0" priority="90">
      <formula>MOD(ROW(),2)=0</formula>
    </cfRule>
  </conditionalFormatting>
  <conditionalFormatting sqref="A185:AY185">
    <cfRule type="expression" dxfId="0" priority="91">
      <formula>MOD(ROW(),2)=0</formula>
    </cfRule>
  </conditionalFormatting>
  <conditionalFormatting sqref="A187:AY187">
    <cfRule type="expression" dxfId="0" priority="92">
      <formula>MOD(ROW(),2)=0</formula>
    </cfRule>
  </conditionalFormatting>
  <conditionalFormatting sqref="A189:AY189">
    <cfRule type="expression" dxfId="0" priority="93">
      <formula>MOD(ROW(),2)=0</formula>
    </cfRule>
  </conditionalFormatting>
  <conditionalFormatting sqref="A191:AY191">
    <cfRule type="expression" dxfId="0" priority="94">
      <formula>MOD(ROW(),2)=0</formula>
    </cfRule>
  </conditionalFormatting>
  <conditionalFormatting sqref="A193:AY193">
    <cfRule type="expression" dxfId="0" priority="95">
      <formula>MOD(ROW(),2)=0</formula>
    </cfRule>
  </conditionalFormatting>
  <conditionalFormatting sqref="A195:AY195">
    <cfRule type="expression" dxfId="0" priority="96">
      <formula>MOD(ROW(),2)=0</formula>
    </cfRule>
  </conditionalFormatting>
  <conditionalFormatting sqref="A197:AY197">
    <cfRule type="expression" dxfId="0" priority="97">
      <formula>MOD(ROW(),2)=0</formula>
    </cfRule>
  </conditionalFormatting>
  <conditionalFormatting sqref="A199:AY199">
    <cfRule type="expression" dxfId="0" priority="98">
      <formula>MOD(ROW(),2)=0</formula>
    </cfRule>
  </conditionalFormatting>
  <conditionalFormatting sqref="A19:AY19">
    <cfRule type="expression" dxfId="0" priority="8">
      <formula>MOD(ROW(),2)=0</formula>
    </cfRule>
  </conditionalFormatting>
  <conditionalFormatting sqref="A201:AY201">
    <cfRule type="expression" dxfId="0" priority="99">
      <formula>MOD(ROW(),2)=0</formula>
    </cfRule>
  </conditionalFormatting>
  <conditionalFormatting sqref="A203:AY203">
    <cfRule type="expression" dxfId="0" priority="100">
      <formula>MOD(ROW(),2)=0</formula>
    </cfRule>
  </conditionalFormatting>
  <conditionalFormatting sqref="A21:AY21">
    <cfRule type="expression" dxfId="0" priority="9">
      <formula>MOD(ROW(),2)=0</formula>
    </cfRule>
  </conditionalFormatting>
  <conditionalFormatting sqref="A23:AY23">
    <cfRule type="expression" dxfId="0" priority="10">
      <formula>MOD(ROW(),2)=0</formula>
    </cfRule>
  </conditionalFormatting>
  <conditionalFormatting sqref="A25:AY25">
    <cfRule type="expression" dxfId="0" priority="11">
      <formula>MOD(ROW(),2)=0</formula>
    </cfRule>
  </conditionalFormatting>
  <conditionalFormatting sqref="A27:AY27">
    <cfRule type="expression" dxfId="0" priority="12">
      <formula>MOD(ROW(),2)=0</formula>
    </cfRule>
  </conditionalFormatting>
  <conditionalFormatting sqref="A29:AY29">
    <cfRule type="expression" dxfId="0" priority="13">
      <formula>MOD(ROW(),2)=0</formula>
    </cfRule>
  </conditionalFormatting>
  <conditionalFormatting sqref="A31:AY31">
    <cfRule type="expression" dxfId="0" priority="14">
      <formula>MOD(ROW(),2)=0</formula>
    </cfRule>
  </conditionalFormatting>
  <conditionalFormatting sqref="A33:AY33">
    <cfRule type="expression" dxfId="0" priority="15">
      <formula>MOD(ROW(),2)=0</formula>
    </cfRule>
  </conditionalFormatting>
  <conditionalFormatting sqref="A35:AY35">
    <cfRule type="expression" dxfId="0" priority="16">
      <formula>MOD(ROW(),2)=0</formula>
    </cfRule>
  </conditionalFormatting>
  <conditionalFormatting sqref="A37:AY37">
    <cfRule type="expression" dxfId="0" priority="17">
      <formula>MOD(ROW(),2)=0</formula>
    </cfRule>
  </conditionalFormatting>
  <conditionalFormatting sqref="A39:AY39">
    <cfRule type="expression" dxfId="0" priority="18">
      <formula>MOD(ROW(),2)=0</formula>
    </cfRule>
  </conditionalFormatting>
  <conditionalFormatting sqref="A41:AY41">
    <cfRule type="expression" dxfId="0" priority="19">
      <formula>MOD(ROW(),2)=0</formula>
    </cfRule>
  </conditionalFormatting>
  <conditionalFormatting sqref="A43:AY43">
    <cfRule type="expression" dxfId="0" priority="20">
      <formula>MOD(ROW(),2)=0</formula>
    </cfRule>
  </conditionalFormatting>
  <conditionalFormatting sqref="A45:AY45">
    <cfRule type="expression" dxfId="0" priority="21">
      <formula>MOD(ROW(),2)=0</formula>
    </cfRule>
  </conditionalFormatting>
  <conditionalFormatting sqref="A47:AY47">
    <cfRule type="expression" dxfId="0" priority="22">
      <formula>MOD(ROW(),2)=0</formula>
    </cfRule>
  </conditionalFormatting>
  <conditionalFormatting sqref="A49:AY49">
    <cfRule type="expression" dxfId="0" priority="23">
      <formula>MOD(ROW(),2)=0</formula>
    </cfRule>
  </conditionalFormatting>
  <conditionalFormatting sqref="A51:AY51">
    <cfRule type="expression" dxfId="0" priority="24">
      <formula>MOD(ROW(),2)=0</formula>
    </cfRule>
  </conditionalFormatting>
  <conditionalFormatting sqref="A53:AY53">
    <cfRule type="expression" dxfId="0" priority="25">
      <formula>MOD(ROW(),2)=0</formula>
    </cfRule>
  </conditionalFormatting>
  <conditionalFormatting sqref="A55:AY55">
    <cfRule type="expression" dxfId="0" priority="26">
      <formula>MOD(ROW(),2)=0</formula>
    </cfRule>
  </conditionalFormatting>
  <conditionalFormatting sqref="A57:AY57">
    <cfRule type="expression" dxfId="0" priority="27">
      <formula>MOD(ROW(),2)=0</formula>
    </cfRule>
  </conditionalFormatting>
  <conditionalFormatting sqref="A59:AY59">
    <cfRule type="expression" dxfId="0" priority="28">
      <formula>MOD(ROW(),2)=0</formula>
    </cfRule>
  </conditionalFormatting>
  <conditionalFormatting sqref="A5:AY5">
    <cfRule type="expression" dxfId="0" priority="1">
      <formula>MOD(ROW(),2)=0</formula>
    </cfRule>
  </conditionalFormatting>
  <conditionalFormatting sqref="A61:AY61">
    <cfRule type="expression" dxfId="0" priority="29">
      <formula>MOD(ROW(),2)=0</formula>
    </cfRule>
  </conditionalFormatting>
  <conditionalFormatting sqref="A63:AY63">
    <cfRule type="expression" dxfId="0" priority="30">
      <formula>MOD(ROW(),2)=0</formula>
    </cfRule>
  </conditionalFormatting>
  <conditionalFormatting sqref="A65:AY65">
    <cfRule type="expression" dxfId="0" priority="31">
      <formula>MOD(ROW(),2)=0</formula>
    </cfRule>
  </conditionalFormatting>
  <conditionalFormatting sqref="A67:AY67">
    <cfRule type="expression" dxfId="0" priority="32">
      <formula>MOD(ROW(),2)=0</formula>
    </cfRule>
  </conditionalFormatting>
  <conditionalFormatting sqref="A69:AY69">
    <cfRule type="expression" dxfId="0" priority="33">
      <formula>MOD(ROW(),2)=0</formula>
    </cfRule>
  </conditionalFormatting>
  <conditionalFormatting sqref="A71:AY71">
    <cfRule type="expression" dxfId="0" priority="34">
      <formula>MOD(ROW(),2)=0</formula>
    </cfRule>
  </conditionalFormatting>
  <conditionalFormatting sqref="A73:AY73">
    <cfRule type="expression" dxfId="0" priority="35">
      <formula>MOD(ROW(),2)=0</formula>
    </cfRule>
  </conditionalFormatting>
  <conditionalFormatting sqref="A75:AY75">
    <cfRule type="expression" dxfId="0" priority="36">
      <formula>MOD(ROW(),2)=0</formula>
    </cfRule>
  </conditionalFormatting>
  <conditionalFormatting sqref="A77:AY77">
    <cfRule type="expression" dxfId="0" priority="37">
      <formula>MOD(ROW(),2)=0</formula>
    </cfRule>
  </conditionalFormatting>
  <conditionalFormatting sqref="A79:AY79">
    <cfRule type="expression" dxfId="0" priority="38">
      <formula>MOD(ROW(),2)=0</formula>
    </cfRule>
  </conditionalFormatting>
  <conditionalFormatting sqref="A7:AY7">
    <cfRule type="expression" dxfId="0" priority="2">
      <formula>MOD(ROW(),2)=0</formula>
    </cfRule>
  </conditionalFormatting>
  <conditionalFormatting sqref="A81:AY81">
    <cfRule type="expression" dxfId="0" priority="39">
      <formula>MOD(ROW(),2)=0</formula>
    </cfRule>
  </conditionalFormatting>
  <conditionalFormatting sqref="A83:AY83">
    <cfRule type="expression" dxfId="0" priority="40">
      <formula>MOD(ROW(),2)=0</formula>
    </cfRule>
  </conditionalFormatting>
  <conditionalFormatting sqref="A85:AY85">
    <cfRule type="expression" dxfId="0" priority="41">
      <formula>MOD(ROW(),2)=0</formula>
    </cfRule>
  </conditionalFormatting>
  <conditionalFormatting sqref="A87:AY87">
    <cfRule type="expression" dxfId="0" priority="42">
      <formula>MOD(ROW(),2)=0</formula>
    </cfRule>
  </conditionalFormatting>
  <conditionalFormatting sqref="A89:AY89">
    <cfRule type="expression" dxfId="0" priority="43">
      <formula>MOD(ROW(),2)=0</formula>
    </cfRule>
  </conditionalFormatting>
  <conditionalFormatting sqref="A91:AY91">
    <cfRule type="expression" dxfId="0" priority="44">
      <formula>MOD(ROW(),2)=0</formula>
    </cfRule>
  </conditionalFormatting>
  <conditionalFormatting sqref="A93:AY93">
    <cfRule type="expression" dxfId="0" priority="45">
      <formula>MOD(ROW(),2)=0</formula>
    </cfRule>
  </conditionalFormatting>
  <conditionalFormatting sqref="A95:AY95">
    <cfRule type="expression" dxfId="0" priority="46">
      <formula>MOD(ROW(),2)=0</formula>
    </cfRule>
  </conditionalFormatting>
  <conditionalFormatting sqref="A97:AY97">
    <cfRule type="expression" dxfId="0" priority="47">
      <formula>MOD(ROW(),2)=0</formula>
    </cfRule>
  </conditionalFormatting>
  <conditionalFormatting sqref="A99:AY99">
    <cfRule type="expression" dxfId="0" priority="48">
      <formula>MOD(ROW(),2)=0</formula>
    </cfRule>
  </conditionalFormatting>
  <conditionalFormatting sqref="A9:AY9">
    <cfRule type="expression" dxfId="0" priority="3">
      <formula>MOD(ROW(),2)=0</formula>
    </cfRule>
  </conditionalFormatting>
  <dataValidations count="3200">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Spreadsheet&amp;R&amp;"Calibri,Italic"Recipes</oddHeader>
    <oddFooter>&amp;LPage &amp;P of &amp;N&amp;R&amp;D</oddFooter>
  </headerFooter>
  <legacyDrawing r:id="rId1"/>
</worksheet>
</file>

<file path=xl/worksheets/sheet9.xml><?xml version="1.0" encoding="utf-8"?>
<worksheet xmlns="http://schemas.openxmlformats.org/spreadsheetml/2006/main" xmlns:r="http://schemas.openxmlformats.org/officeDocument/2006/relationships">
  <sheetPr>
    <tabColor rgb="FF4E8A63"/>
    <pageSetUpPr fitToPage="1"/>
  </sheetPr>
  <dimension ref="A4:AD12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8.7109375" customWidth="1"/>
    <col min="2" max="2" width="26.7109375" customWidth="1"/>
    <col min="3" max="4" width="10.7109375" customWidth="1"/>
    <col min="5" max="6" width="16.7109375" customWidth="1"/>
    <col min="7" max="8" width="11.7109375" customWidth="1"/>
    <col min="9" max="10" width="12.7109375" customWidth="1"/>
    <col min="11" max="13" width="10.7109375" customWidth="1"/>
    <col min="14" max="15" width="9.7109375" customWidth="1"/>
    <col min="16" max="16" width="12.7109375" customWidth="1"/>
    <col min="17" max="20" width="10.7109375" customWidth="1"/>
    <col min="21" max="21" width="11.7109375" customWidth="1"/>
    <col min="22" max="22" width="12.7109375" customWidth="1"/>
    <col min="23" max="24" width="9.7109375" customWidth="1"/>
    <col min="25" max="25" width="12.7109375" customWidth="1"/>
    <col min="26" max="26" width="9.7109375" customWidth="1"/>
    <col min="27" max="27" width="14.7109375" customWidth="1"/>
    <col min="28" max="29" width="11.7109375" customWidth="1"/>
    <col min="30" max="30" width="34.7109375" customWidth="1"/>
  </cols>
  <sheetData>
    <row r="4" spans="1:30" ht="32" customHeight="1">
      <c r="A4" s="9" t="s">
        <v>138</v>
      </c>
      <c r="B4" s="9" t="s">
        <v>322</v>
      </c>
      <c r="C4" s="9" t="s">
        <v>149</v>
      </c>
      <c r="D4" s="9" t="s">
        <v>323</v>
      </c>
      <c r="E4" s="9" t="s">
        <v>282</v>
      </c>
      <c r="F4" s="9" t="s">
        <v>324</v>
      </c>
      <c r="G4" s="9" t="s">
        <v>325</v>
      </c>
      <c r="H4" s="9" t="s">
        <v>326</v>
      </c>
      <c r="I4" s="9" t="s">
        <v>327</v>
      </c>
      <c r="J4" s="9" t="s">
        <v>142</v>
      </c>
      <c r="K4" s="9" t="s">
        <v>133</v>
      </c>
      <c r="L4" s="9" t="s">
        <v>287</v>
      </c>
      <c r="M4" s="9" t="s">
        <v>288</v>
      </c>
      <c r="N4" s="9" t="s">
        <v>289</v>
      </c>
      <c r="O4" s="9" t="s">
        <v>290</v>
      </c>
      <c r="P4" s="9" t="s">
        <v>328</v>
      </c>
      <c r="Q4" s="9" t="s">
        <v>318</v>
      </c>
      <c r="R4" s="9" t="s">
        <v>329</v>
      </c>
      <c r="S4" s="9" t="s">
        <v>330</v>
      </c>
      <c r="T4" s="9" t="s">
        <v>331</v>
      </c>
      <c r="U4" s="9" t="s">
        <v>332</v>
      </c>
      <c r="V4" s="9" t="s">
        <v>333</v>
      </c>
      <c r="W4" s="9" t="s">
        <v>334</v>
      </c>
      <c r="X4" s="9" t="s">
        <v>335</v>
      </c>
      <c r="Y4" s="9" t="s">
        <v>336</v>
      </c>
      <c r="Z4" s="9" t="s">
        <v>337</v>
      </c>
      <c r="AA4" s="9" t="s">
        <v>135</v>
      </c>
      <c r="AB4" s="9" t="s">
        <v>338</v>
      </c>
      <c r="AC4" s="9" t="s">
        <v>339</v>
      </c>
      <c r="AD4" s="9" t="s">
        <v>173</v>
      </c>
    </row>
    <row r="5" spans="1:30">
      <c r="A5" s="7"/>
      <c r="B5" s="7"/>
      <c r="C5" s="26"/>
      <c r="D5" s="27"/>
      <c r="E5" s="8">
        <f>IF(B5="","",IFERROR(INDEX(Ingredients!$B$5:$B$304,MATCH(B5,Ingredients!$A$5:$A$304,0)),""))</f>
        <v>0</v>
      </c>
      <c r="F5" s="8">
        <f>IF(B5="","",IFERROR(INDEX(Ingredients!$E$5:$E$304,MATCH(B5,Ingredients!$A$5:$A$304,0)),""))</f>
        <v>0</v>
      </c>
      <c r="G5" s="8">
        <f>IF(B5="","",IFERROR(INDEX(Ingredients!$D$5:$D$304,MATCH(B5,Ingredients!$A$5:$A$304,0)),""))</f>
        <v>0</v>
      </c>
      <c r="H5" s="8">
        <f>IF(OR(B5="",C5=""),"",IFERROR(C5*G5,""))</f>
        <v>0</v>
      </c>
      <c r="I5" s="8">
        <f>IF(A5="","",IFERROR(INDEX(Recipes!$D$5:$D$204,MATCH(A5,Recipes!$A$5:$A$204,0)),""))</f>
        <v>0</v>
      </c>
      <c r="J5" s="8">
        <f>IF(OR(H5="",I5="",I5=0),"",IFERROR(H5/I5,""))</f>
        <v>0</v>
      </c>
      <c r="K5" s="8">
        <f>IF(OR(B5="",C5=""),"",IFERROR(C5*IFERROR(INDEX(Ingredients!$H$5:$H$304,MATCH(B5,Ingredients!$A$5:$A$304,0)),""),""))</f>
        <v>0</v>
      </c>
      <c r="L5" s="8">
        <f>IF(OR(B5="",C5=""),"",IFERROR(C5*IFERROR(INDEX(Ingredients!$I$5:$I$304,MATCH(B5,Ingredients!$A$5:$A$304,0)),""),""))</f>
        <v>0</v>
      </c>
      <c r="M5" s="8">
        <f>IF(OR(B5="",C5=""),"",IFERROR(C5*IFERROR(INDEX(Ingredients!$J$5:$J$304,MATCH(B5,Ingredients!$A$5:$A$304,0)),""),""))</f>
        <v>0</v>
      </c>
      <c r="N5" s="8">
        <f>IF(OR(B5="",C5=""),"",IFERROR(C5*IFERROR(INDEX(Ingredients!$K$5:$K$304,MATCH(B5,Ingredients!$A$5:$A$304,0)),""),""))</f>
        <v>0</v>
      </c>
      <c r="O5" s="8">
        <f>IF(OR(B5="",C5=""),"",IFERROR(C5*IFERROR(INDEX(Ingredients!$L$5:$L$304,MATCH(B5,Ingredients!$A$5:$A$304,0)),""),""))</f>
        <v>0</v>
      </c>
      <c r="P5" s="8">
        <f>IF(OR(H5="",A5=""),"",IFERROR(H5/SUMIFS('Recipe Ingredients'!$H$5:$H$1204,'Recipe Ingredients'!$A$5:$A$1204,A5),""))</f>
        <v>0</v>
      </c>
      <c r="Q5" s="8">
        <f>IF(H5="","",COUNTIFS($H$5:$H$1204,"&gt;"&amp;H5)+1)</f>
        <v>0</v>
      </c>
      <c r="R5" s="8">
        <f>IF(B5="","",SUMIFS(Pantry!$C$5:$C$304,Pantry!$A$5:$A$304,B5))</f>
        <v>0</v>
      </c>
      <c r="S5" s="8">
        <f>IF(OR(B5="",C5=""),"",MAX(0,C5-R5))</f>
        <v>0</v>
      </c>
      <c r="T5" s="26"/>
      <c r="U5" s="8">
        <f>IF(OR(T5="",T5=0,G5=""),"",T5*G5)</f>
        <v>0</v>
      </c>
      <c r="V5" s="8">
        <f>IF(OR(S5="",T5="",T5=0),"",CEILING(S5/T5,1))</f>
        <v>0</v>
      </c>
      <c r="W5" s="27"/>
      <c r="X5" s="29"/>
      <c r="Y5" s="8">
        <f>IF(OR(C5="",X5=""),"",C5*(1+X5))</f>
        <v>0</v>
      </c>
      <c r="Z5" s="8">
        <f>IF(B5="","",IFERROR(INDEX(Ingredients!$O$5:$O$304,MATCH(B5,Ingredients!$A$5:$A$304,0)),""))</f>
        <v>0</v>
      </c>
      <c r="AA5" s="8">
        <f>IF(B5="","",IF(R5&gt;=C5,"In pantry","To buy"))</f>
        <v>0</v>
      </c>
      <c r="AB5" s="8">
        <f>IF(A5="","",COUNTIFS($A$5:A5,A5))</f>
        <v>0</v>
      </c>
      <c r="AC5" s="8">
        <f>IF(B5="","",IF(COUNTIFS('Dietary Filters'!$C$5:$C$104,B5)&gt;0,"Check","OK"))</f>
        <v>0</v>
      </c>
      <c r="AD5" s="25"/>
    </row>
    <row r="6" spans="1:30">
      <c r="A6" s="7"/>
      <c r="B6" s="7"/>
      <c r="C6" s="26"/>
      <c r="D6" s="27"/>
      <c r="E6" s="8">
        <f>IF(B6="","",IFERROR(INDEX(Ingredients!$B$5:$B$304,MATCH(B6,Ingredients!$A$5:$A$304,0)),""))</f>
        <v>0</v>
      </c>
      <c r="F6" s="8">
        <f>IF(B6="","",IFERROR(INDEX(Ingredients!$E$5:$E$304,MATCH(B6,Ingredients!$A$5:$A$304,0)),""))</f>
        <v>0</v>
      </c>
      <c r="G6" s="8">
        <f>IF(B6="","",IFERROR(INDEX(Ingredients!$D$5:$D$304,MATCH(B6,Ingredients!$A$5:$A$304,0)),""))</f>
        <v>0</v>
      </c>
      <c r="H6" s="8">
        <f>IF(OR(B6="",C6=""),"",IFERROR(C6*G6,""))</f>
        <v>0</v>
      </c>
      <c r="I6" s="8">
        <f>IF(A6="","",IFERROR(INDEX(Recipes!$D$5:$D$204,MATCH(A6,Recipes!$A$5:$A$204,0)),""))</f>
        <v>0</v>
      </c>
      <c r="J6" s="8">
        <f>IF(OR(H6="",I6="",I6=0),"",IFERROR(H6/I6,""))</f>
        <v>0</v>
      </c>
      <c r="K6" s="8">
        <f>IF(OR(B6="",C6=""),"",IFERROR(C6*IFERROR(INDEX(Ingredients!$H$5:$H$304,MATCH(B6,Ingredients!$A$5:$A$304,0)),""),""))</f>
        <v>0</v>
      </c>
      <c r="L6" s="8">
        <f>IF(OR(B6="",C6=""),"",IFERROR(C6*IFERROR(INDEX(Ingredients!$I$5:$I$304,MATCH(B6,Ingredients!$A$5:$A$304,0)),""),""))</f>
        <v>0</v>
      </c>
      <c r="M6" s="8">
        <f>IF(OR(B6="",C6=""),"",IFERROR(C6*IFERROR(INDEX(Ingredients!$J$5:$J$304,MATCH(B6,Ingredients!$A$5:$A$304,0)),""),""))</f>
        <v>0</v>
      </c>
      <c r="N6" s="8">
        <f>IF(OR(B6="",C6=""),"",IFERROR(C6*IFERROR(INDEX(Ingredients!$K$5:$K$304,MATCH(B6,Ingredients!$A$5:$A$304,0)),""),""))</f>
        <v>0</v>
      </c>
      <c r="O6" s="8">
        <f>IF(OR(B6="",C6=""),"",IFERROR(C6*IFERROR(INDEX(Ingredients!$L$5:$L$304,MATCH(B6,Ingredients!$A$5:$A$304,0)),""),""))</f>
        <v>0</v>
      </c>
      <c r="P6" s="8">
        <f>IF(OR(H6="",A6=""),"",IFERROR(H6/SUMIFS('Recipe Ingredients'!$H$5:$H$1204,'Recipe Ingredients'!$A$5:$A$1204,A6),""))</f>
        <v>0</v>
      </c>
      <c r="Q6" s="8">
        <f>IF(H6="","",COUNTIFS($H$5:$H$1204,"&gt;"&amp;H6)+1)</f>
        <v>0</v>
      </c>
      <c r="R6" s="8">
        <f>IF(B6="","",SUMIFS(Pantry!$C$5:$C$304,Pantry!$A$5:$A$304,B6))</f>
        <v>0</v>
      </c>
      <c r="S6" s="8">
        <f>IF(OR(B6="",C6=""),"",MAX(0,C6-R6))</f>
        <v>0</v>
      </c>
      <c r="T6" s="26"/>
      <c r="U6" s="8">
        <f>IF(OR(T6="",T6=0,G6=""),"",T6*G6)</f>
        <v>0</v>
      </c>
      <c r="V6" s="8">
        <f>IF(OR(S6="",T6="",T6=0),"",CEILING(S6/T6,1))</f>
        <v>0</v>
      </c>
      <c r="W6" s="27"/>
      <c r="X6" s="29"/>
      <c r="Y6" s="8">
        <f>IF(OR(C6="",X6=""),"",C6*(1+X6))</f>
        <v>0</v>
      </c>
      <c r="Z6" s="8">
        <f>IF(B6="","",IFERROR(INDEX(Ingredients!$O$5:$O$304,MATCH(B6,Ingredients!$A$5:$A$304,0)),""))</f>
        <v>0</v>
      </c>
      <c r="AA6" s="8">
        <f>IF(B6="","",IF(R6&gt;=C6,"In pantry","To buy"))</f>
        <v>0</v>
      </c>
      <c r="AB6" s="8">
        <f>IF(A6="","",COUNTIFS($A$5:A6,A6))</f>
        <v>0</v>
      </c>
      <c r="AC6" s="8">
        <f>IF(B6="","",IF(COUNTIFS('Dietary Filters'!$C$5:$C$104,B6)&gt;0,"Check","OK"))</f>
        <v>0</v>
      </c>
      <c r="AD6" s="25"/>
    </row>
    <row r="7" spans="1:30">
      <c r="A7" s="7"/>
      <c r="B7" s="7"/>
      <c r="C7" s="26"/>
      <c r="D7" s="27"/>
      <c r="E7" s="8">
        <f>IF(B7="","",IFERROR(INDEX(Ingredients!$B$5:$B$304,MATCH(B7,Ingredients!$A$5:$A$304,0)),""))</f>
        <v>0</v>
      </c>
      <c r="F7" s="8">
        <f>IF(B7="","",IFERROR(INDEX(Ingredients!$E$5:$E$304,MATCH(B7,Ingredients!$A$5:$A$304,0)),""))</f>
        <v>0</v>
      </c>
      <c r="G7" s="8">
        <f>IF(B7="","",IFERROR(INDEX(Ingredients!$D$5:$D$304,MATCH(B7,Ingredients!$A$5:$A$304,0)),""))</f>
        <v>0</v>
      </c>
      <c r="H7" s="8">
        <f>IF(OR(B7="",C7=""),"",IFERROR(C7*G7,""))</f>
        <v>0</v>
      </c>
      <c r="I7" s="8">
        <f>IF(A7="","",IFERROR(INDEX(Recipes!$D$5:$D$204,MATCH(A7,Recipes!$A$5:$A$204,0)),""))</f>
        <v>0</v>
      </c>
      <c r="J7" s="8">
        <f>IF(OR(H7="",I7="",I7=0),"",IFERROR(H7/I7,""))</f>
        <v>0</v>
      </c>
      <c r="K7" s="8">
        <f>IF(OR(B7="",C7=""),"",IFERROR(C7*IFERROR(INDEX(Ingredients!$H$5:$H$304,MATCH(B7,Ingredients!$A$5:$A$304,0)),""),""))</f>
        <v>0</v>
      </c>
      <c r="L7" s="8">
        <f>IF(OR(B7="",C7=""),"",IFERROR(C7*IFERROR(INDEX(Ingredients!$I$5:$I$304,MATCH(B7,Ingredients!$A$5:$A$304,0)),""),""))</f>
        <v>0</v>
      </c>
      <c r="M7" s="8">
        <f>IF(OR(B7="",C7=""),"",IFERROR(C7*IFERROR(INDEX(Ingredients!$J$5:$J$304,MATCH(B7,Ingredients!$A$5:$A$304,0)),""),""))</f>
        <v>0</v>
      </c>
      <c r="N7" s="8">
        <f>IF(OR(B7="",C7=""),"",IFERROR(C7*IFERROR(INDEX(Ingredients!$K$5:$K$304,MATCH(B7,Ingredients!$A$5:$A$304,0)),""),""))</f>
        <v>0</v>
      </c>
      <c r="O7" s="8">
        <f>IF(OR(B7="",C7=""),"",IFERROR(C7*IFERROR(INDEX(Ingredients!$L$5:$L$304,MATCH(B7,Ingredients!$A$5:$A$304,0)),""),""))</f>
        <v>0</v>
      </c>
      <c r="P7" s="8">
        <f>IF(OR(H7="",A7=""),"",IFERROR(H7/SUMIFS('Recipe Ingredients'!$H$5:$H$1204,'Recipe Ingredients'!$A$5:$A$1204,A7),""))</f>
        <v>0</v>
      </c>
      <c r="Q7" s="8">
        <f>IF(H7="","",COUNTIFS($H$5:$H$1204,"&gt;"&amp;H7)+1)</f>
        <v>0</v>
      </c>
      <c r="R7" s="8">
        <f>IF(B7="","",SUMIFS(Pantry!$C$5:$C$304,Pantry!$A$5:$A$304,B7))</f>
        <v>0</v>
      </c>
      <c r="S7" s="8">
        <f>IF(OR(B7="",C7=""),"",MAX(0,C7-R7))</f>
        <v>0</v>
      </c>
      <c r="T7" s="26"/>
      <c r="U7" s="8">
        <f>IF(OR(T7="",T7=0,G7=""),"",T7*G7)</f>
        <v>0</v>
      </c>
      <c r="V7" s="8">
        <f>IF(OR(S7="",T7="",T7=0),"",CEILING(S7/T7,1))</f>
        <v>0</v>
      </c>
      <c r="W7" s="27"/>
      <c r="X7" s="29"/>
      <c r="Y7" s="8">
        <f>IF(OR(C7="",X7=""),"",C7*(1+X7))</f>
        <v>0</v>
      </c>
      <c r="Z7" s="8">
        <f>IF(B7="","",IFERROR(INDEX(Ingredients!$O$5:$O$304,MATCH(B7,Ingredients!$A$5:$A$304,0)),""))</f>
        <v>0</v>
      </c>
      <c r="AA7" s="8">
        <f>IF(B7="","",IF(R7&gt;=C7,"In pantry","To buy"))</f>
        <v>0</v>
      </c>
      <c r="AB7" s="8">
        <f>IF(A7="","",COUNTIFS($A$5:A7,A7))</f>
        <v>0</v>
      </c>
      <c r="AC7" s="8">
        <f>IF(B7="","",IF(COUNTIFS('Dietary Filters'!$C$5:$C$104,B7)&gt;0,"Check","OK"))</f>
        <v>0</v>
      </c>
      <c r="AD7" s="25"/>
    </row>
    <row r="8" spans="1:30">
      <c r="A8" s="7"/>
      <c r="B8" s="7"/>
      <c r="C8" s="26"/>
      <c r="D8" s="27"/>
      <c r="E8" s="8">
        <f>IF(B8="","",IFERROR(INDEX(Ingredients!$B$5:$B$304,MATCH(B8,Ingredients!$A$5:$A$304,0)),""))</f>
        <v>0</v>
      </c>
      <c r="F8" s="8">
        <f>IF(B8="","",IFERROR(INDEX(Ingredients!$E$5:$E$304,MATCH(B8,Ingredients!$A$5:$A$304,0)),""))</f>
        <v>0</v>
      </c>
      <c r="G8" s="8">
        <f>IF(B8="","",IFERROR(INDEX(Ingredients!$D$5:$D$304,MATCH(B8,Ingredients!$A$5:$A$304,0)),""))</f>
        <v>0</v>
      </c>
      <c r="H8" s="8">
        <f>IF(OR(B8="",C8=""),"",IFERROR(C8*G8,""))</f>
        <v>0</v>
      </c>
      <c r="I8" s="8">
        <f>IF(A8="","",IFERROR(INDEX(Recipes!$D$5:$D$204,MATCH(A8,Recipes!$A$5:$A$204,0)),""))</f>
        <v>0</v>
      </c>
      <c r="J8" s="8">
        <f>IF(OR(H8="",I8="",I8=0),"",IFERROR(H8/I8,""))</f>
        <v>0</v>
      </c>
      <c r="K8" s="8">
        <f>IF(OR(B8="",C8=""),"",IFERROR(C8*IFERROR(INDEX(Ingredients!$H$5:$H$304,MATCH(B8,Ingredients!$A$5:$A$304,0)),""),""))</f>
        <v>0</v>
      </c>
      <c r="L8" s="8">
        <f>IF(OR(B8="",C8=""),"",IFERROR(C8*IFERROR(INDEX(Ingredients!$I$5:$I$304,MATCH(B8,Ingredients!$A$5:$A$304,0)),""),""))</f>
        <v>0</v>
      </c>
      <c r="M8" s="8">
        <f>IF(OR(B8="",C8=""),"",IFERROR(C8*IFERROR(INDEX(Ingredients!$J$5:$J$304,MATCH(B8,Ingredients!$A$5:$A$304,0)),""),""))</f>
        <v>0</v>
      </c>
      <c r="N8" s="8">
        <f>IF(OR(B8="",C8=""),"",IFERROR(C8*IFERROR(INDEX(Ingredients!$K$5:$K$304,MATCH(B8,Ingredients!$A$5:$A$304,0)),""),""))</f>
        <v>0</v>
      </c>
      <c r="O8" s="8">
        <f>IF(OR(B8="",C8=""),"",IFERROR(C8*IFERROR(INDEX(Ingredients!$L$5:$L$304,MATCH(B8,Ingredients!$A$5:$A$304,0)),""),""))</f>
        <v>0</v>
      </c>
      <c r="P8" s="8">
        <f>IF(OR(H8="",A8=""),"",IFERROR(H8/SUMIFS('Recipe Ingredients'!$H$5:$H$1204,'Recipe Ingredients'!$A$5:$A$1204,A8),""))</f>
        <v>0</v>
      </c>
      <c r="Q8" s="8">
        <f>IF(H8="","",COUNTIFS($H$5:$H$1204,"&gt;"&amp;H8)+1)</f>
        <v>0</v>
      </c>
      <c r="R8" s="8">
        <f>IF(B8="","",SUMIFS(Pantry!$C$5:$C$304,Pantry!$A$5:$A$304,B8))</f>
        <v>0</v>
      </c>
      <c r="S8" s="8">
        <f>IF(OR(B8="",C8=""),"",MAX(0,C8-R8))</f>
        <v>0</v>
      </c>
      <c r="T8" s="26"/>
      <c r="U8" s="8">
        <f>IF(OR(T8="",T8=0,G8=""),"",T8*G8)</f>
        <v>0</v>
      </c>
      <c r="V8" s="8">
        <f>IF(OR(S8="",T8="",T8=0),"",CEILING(S8/T8,1))</f>
        <v>0</v>
      </c>
      <c r="W8" s="27"/>
      <c r="X8" s="29"/>
      <c r="Y8" s="8">
        <f>IF(OR(C8="",X8=""),"",C8*(1+X8))</f>
        <v>0</v>
      </c>
      <c r="Z8" s="8">
        <f>IF(B8="","",IFERROR(INDEX(Ingredients!$O$5:$O$304,MATCH(B8,Ingredients!$A$5:$A$304,0)),""))</f>
        <v>0</v>
      </c>
      <c r="AA8" s="8">
        <f>IF(B8="","",IF(R8&gt;=C8,"In pantry","To buy"))</f>
        <v>0</v>
      </c>
      <c r="AB8" s="8">
        <f>IF(A8="","",COUNTIFS($A$5:A8,A8))</f>
        <v>0</v>
      </c>
      <c r="AC8" s="8">
        <f>IF(B8="","",IF(COUNTIFS('Dietary Filters'!$C$5:$C$104,B8)&gt;0,"Check","OK"))</f>
        <v>0</v>
      </c>
      <c r="AD8" s="25"/>
    </row>
    <row r="9" spans="1:30">
      <c r="A9" s="7"/>
      <c r="B9" s="7"/>
      <c r="C9" s="26"/>
      <c r="D9" s="27"/>
      <c r="E9" s="8">
        <f>IF(B9="","",IFERROR(INDEX(Ingredients!$B$5:$B$304,MATCH(B9,Ingredients!$A$5:$A$304,0)),""))</f>
        <v>0</v>
      </c>
      <c r="F9" s="8">
        <f>IF(B9="","",IFERROR(INDEX(Ingredients!$E$5:$E$304,MATCH(B9,Ingredients!$A$5:$A$304,0)),""))</f>
        <v>0</v>
      </c>
      <c r="G9" s="8">
        <f>IF(B9="","",IFERROR(INDEX(Ingredients!$D$5:$D$304,MATCH(B9,Ingredients!$A$5:$A$304,0)),""))</f>
        <v>0</v>
      </c>
      <c r="H9" s="8">
        <f>IF(OR(B9="",C9=""),"",IFERROR(C9*G9,""))</f>
        <v>0</v>
      </c>
      <c r="I9" s="8">
        <f>IF(A9="","",IFERROR(INDEX(Recipes!$D$5:$D$204,MATCH(A9,Recipes!$A$5:$A$204,0)),""))</f>
        <v>0</v>
      </c>
      <c r="J9" s="8">
        <f>IF(OR(H9="",I9="",I9=0),"",IFERROR(H9/I9,""))</f>
        <v>0</v>
      </c>
      <c r="K9" s="8">
        <f>IF(OR(B9="",C9=""),"",IFERROR(C9*IFERROR(INDEX(Ingredients!$H$5:$H$304,MATCH(B9,Ingredients!$A$5:$A$304,0)),""),""))</f>
        <v>0</v>
      </c>
      <c r="L9" s="8">
        <f>IF(OR(B9="",C9=""),"",IFERROR(C9*IFERROR(INDEX(Ingredients!$I$5:$I$304,MATCH(B9,Ingredients!$A$5:$A$304,0)),""),""))</f>
        <v>0</v>
      </c>
      <c r="M9" s="8">
        <f>IF(OR(B9="",C9=""),"",IFERROR(C9*IFERROR(INDEX(Ingredients!$J$5:$J$304,MATCH(B9,Ingredients!$A$5:$A$304,0)),""),""))</f>
        <v>0</v>
      </c>
      <c r="N9" s="8">
        <f>IF(OR(B9="",C9=""),"",IFERROR(C9*IFERROR(INDEX(Ingredients!$K$5:$K$304,MATCH(B9,Ingredients!$A$5:$A$304,0)),""),""))</f>
        <v>0</v>
      </c>
      <c r="O9" s="8">
        <f>IF(OR(B9="",C9=""),"",IFERROR(C9*IFERROR(INDEX(Ingredients!$L$5:$L$304,MATCH(B9,Ingredients!$A$5:$A$304,0)),""),""))</f>
        <v>0</v>
      </c>
      <c r="P9" s="8">
        <f>IF(OR(H9="",A9=""),"",IFERROR(H9/SUMIFS('Recipe Ingredients'!$H$5:$H$1204,'Recipe Ingredients'!$A$5:$A$1204,A9),""))</f>
        <v>0</v>
      </c>
      <c r="Q9" s="8">
        <f>IF(H9="","",COUNTIFS($H$5:$H$1204,"&gt;"&amp;H9)+1)</f>
        <v>0</v>
      </c>
      <c r="R9" s="8">
        <f>IF(B9="","",SUMIFS(Pantry!$C$5:$C$304,Pantry!$A$5:$A$304,B9))</f>
        <v>0</v>
      </c>
      <c r="S9" s="8">
        <f>IF(OR(B9="",C9=""),"",MAX(0,C9-R9))</f>
        <v>0</v>
      </c>
      <c r="T9" s="26"/>
      <c r="U9" s="8">
        <f>IF(OR(T9="",T9=0,G9=""),"",T9*G9)</f>
        <v>0</v>
      </c>
      <c r="V9" s="8">
        <f>IF(OR(S9="",T9="",T9=0),"",CEILING(S9/T9,1))</f>
        <v>0</v>
      </c>
      <c r="W9" s="27"/>
      <c r="X9" s="29"/>
      <c r="Y9" s="8">
        <f>IF(OR(C9="",X9=""),"",C9*(1+X9))</f>
        <v>0</v>
      </c>
      <c r="Z9" s="8">
        <f>IF(B9="","",IFERROR(INDEX(Ingredients!$O$5:$O$304,MATCH(B9,Ingredients!$A$5:$A$304,0)),""))</f>
        <v>0</v>
      </c>
      <c r="AA9" s="8">
        <f>IF(B9="","",IF(R9&gt;=C9,"In pantry","To buy"))</f>
        <v>0</v>
      </c>
      <c r="AB9" s="8">
        <f>IF(A9="","",COUNTIFS($A$5:A9,A9))</f>
        <v>0</v>
      </c>
      <c r="AC9" s="8">
        <f>IF(B9="","",IF(COUNTIFS('Dietary Filters'!$C$5:$C$104,B9)&gt;0,"Check","OK"))</f>
        <v>0</v>
      </c>
      <c r="AD9" s="25"/>
    </row>
    <row r="10" spans="1:30">
      <c r="A10" s="7"/>
      <c r="B10" s="7"/>
      <c r="C10" s="26"/>
      <c r="D10" s="27"/>
      <c r="E10" s="8">
        <f>IF(B10="","",IFERROR(INDEX(Ingredients!$B$5:$B$304,MATCH(B10,Ingredients!$A$5:$A$304,0)),""))</f>
        <v>0</v>
      </c>
      <c r="F10" s="8">
        <f>IF(B10="","",IFERROR(INDEX(Ingredients!$E$5:$E$304,MATCH(B10,Ingredients!$A$5:$A$304,0)),""))</f>
        <v>0</v>
      </c>
      <c r="G10" s="8">
        <f>IF(B10="","",IFERROR(INDEX(Ingredients!$D$5:$D$304,MATCH(B10,Ingredients!$A$5:$A$304,0)),""))</f>
        <v>0</v>
      </c>
      <c r="H10" s="8">
        <f>IF(OR(B10="",C10=""),"",IFERROR(C10*G10,""))</f>
        <v>0</v>
      </c>
      <c r="I10" s="8">
        <f>IF(A10="","",IFERROR(INDEX(Recipes!$D$5:$D$204,MATCH(A10,Recipes!$A$5:$A$204,0)),""))</f>
        <v>0</v>
      </c>
      <c r="J10" s="8">
        <f>IF(OR(H10="",I10="",I10=0),"",IFERROR(H10/I10,""))</f>
        <v>0</v>
      </c>
      <c r="K10" s="8">
        <f>IF(OR(B10="",C10=""),"",IFERROR(C10*IFERROR(INDEX(Ingredients!$H$5:$H$304,MATCH(B10,Ingredients!$A$5:$A$304,0)),""),""))</f>
        <v>0</v>
      </c>
      <c r="L10" s="8">
        <f>IF(OR(B10="",C10=""),"",IFERROR(C10*IFERROR(INDEX(Ingredients!$I$5:$I$304,MATCH(B10,Ingredients!$A$5:$A$304,0)),""),""))</f>
        <v>0</v>
      </c>
      <c r="M10" s="8">
        <f>IF(OR(B10="",C10=""),"",IFERROR(C10*IFERROR(INDEX(Ingredients!$J$5:$J$304,MATCH(B10,Ingredients!$A$5:$A$304,0)),""),""))</f>
        <v>0</v>
      </c>
      <c r="N10" s="8">
        <f>IF(OR(B10="",C10=""),"",IFERROR(C10*IFERROR(INDEX(Ingredients!$K$5:$K$304,MATCH(B10,Ingredients!$A$5:$A$304,0)),""),""))</f>
        <v>0</v>
      </c>
      <c r="O10" s="8">
        <f>IF(OR(B10="",C10=""),"",IFERROR(C10*IFERROR(INDEX(Ingredients!$L$5:$L$304,MATCH(B10,Ingredients!$A$5:$A$304,0)),""),""))</f>
        <v>0</v>
      </c>
      <c r="P10" s="8">
        <f>IF(OR(H10="",A10=""),"",IFERROR(H10/SUMIFS('Recipe Ingredients'!$H$5:$H$1204,'Recipe Ingredients'!$A$5:$A$1204,A10),""))</f>
        <v>0</v>
      </c>
      <c r="Q10" s="8">
        <f>IF(H10="","",COUNTIFS($H$5:$H$1204,"&gt;"&amp;H10)+1)</f>
        <v>0</v>
      </c>
      <c r="R10" s="8">
        <f>IF(B10="","",SUMIFS(Pantry!$C$5:$C$304,Pantry!$A$5:$A$304,B10))</f>
        <v>0</v>
      </c>
      <c r="S10" s="8">
        <f>IF(OR(B10="",C10=""),"",MAX(0,C10-R10))</f>
        <v>0</v>
      </c>
      <c r="T10" s="26"/>
      <c r="U10" s="8">
        <f>IF(OR(T10="",T10=0,G10=""),"",T10*G10)</f>
        <v>0</v>
      </c>
      <c r="V10" s="8">
        <f>IF(OR(S10="",T10="",T10=0),"",CEILING(S10/T10,1))</f>
        <v>0</v>
      </c>
      <c r="W10" s="27"/>
      <c r="X10" s="29"/>
      <c r="Y10" s="8">
        <f>IF(OR(C10="",X10=""),"",C10*(1+X10))</f>
        <v>0</v>
      </c>
      <c r="Z10" s="8">
        <f>IF(B10="","",IFERROR(INDEX(Ingredients!$O$5:$O$304,MATCH(B10,Ingredients!$A$5:$A$304,0)),""))</f>
        <v>0</v>
      </c>
      <c r="AA10" s="8">
        <f>IF(B10="","",IF(R10&gt;=C10,"In pantry","To buy"))</f>
        <v>0</v>
      </c>
      <c r="AB10" s="8">
        <f>IF(A10="","",COUNTIFS($A$5:A10,A10))</f>
        <v>0</v>
      </c>
      <c r="AC10" s="8">
        <f>IF(B10="","",IF(COUNTIFS('Dietary Filters'!$C$5:$C$104,B10)&gt;0,"Check","OK"))</f>
        <v>0</v>
      </c>
      <c r="AD10" s="25"/>
    </row>
    <row r="11" spans="1:30">
      <c r="A11" s="7"/>
      <c r="B11" s="7"/>
      <c r="C11" s="26"/>
      <c r="D11" s="27"/>
      <c r="E11" s="8">
        <f>IF(B11="","",IFERROR(INDEX(Ingredients!$B$5:$B$304,MATCH(B11,Ingredients!$A$5:$A$304,0)),""))</f>
        <v>0</v>
      </c>
      <c r="F11" s="8">
        <f>IF(B11="","",IFERROR(INDEX(Ingredients!$E$5:$E$304,MATCH(B11,Ingredients!$A$5:$A$304,0)),""))</f>
        <v>0</v>
      </c>
      <c r="G11" s="8">
        <f>IF(B11="","",IFERROR(INDEX(Ingredients!$D$5:$D$304,MATCH(B11,Ingredients!$A$5:$A$304,0)),""))</f>
        <v>0</v>
      </c>
      <c r="H11" s="8">
        <f>IF(OR(B11="",C11=""),"",IFERROR(C11*G11,""))</f>
        <v>0</v>
      </c>
      <c r="I11" s="8">
        <f>IF(A11="","",IFERROR(INDEX(Recipes!$D$5:$D$204,MATCH(A11,Recipes!$A$5:$A$204,0)),""))</f>
        <v>0</v>
      </c>
      <c r="J11" s="8">
        <f>IF(OR(H11="",I11="",I11=0),"",IFERROR(H11/I11,""))</f>
        <v>0</v>
      </c>
      <c r="K11" s="8">
        <f>IF(OR(B11="",C11=""),"",IFERROR(C11*IFERROR(INDEX(Ingredients!$H$5:$H$304,MATCH(B11,Ingredients!$A$5:$A$304,0)),""),""))</f>
        <v>0</v>
      </c>
      <c r="L11" s="8">
        <f>IF(OR(B11="",C11=""),"",IFERROR(C11*IFERROR(INDEX(Ingredients!$I$5:$I$304,MATCH(B11,Ingredients!$A$5:$A$304,0)),""),""))</f>
        <v>0</v>
      </c>
      <c r="M11" s="8">
        <f>IF(OR(B11="",C11=""),"",IFERROR(C11*IFERROR(INDEX(Ingredients!$J$5:$J$304,MATCH(B11,Ingredients!$A$5:$A$304,0)),""),""))</f>
        <v>0</v>
      </c>
      <c r="N11" s="8">
        <f>IF(OR(B11="",C11=""),"",IFERROR(C11*IFERROR(INDEX(Ingredients!$K$5:$K$304,MATCH(B11,Ingredients!$A$5:$A$304,0)),""),""))</f>
        <v>0</v>
      </c>
      <c r="O11" s="8">
        <f>IF(OR(B11="",C11=""),"",IFERROR(C11*IFERROR(INDEX(Ingredients!$L$5:$L$304,MATCH(B11,Ingredients!$A$5:$A$304,0)),""),""))</f>
        <v>0</v>
      </c>
      <c r="P11" s="8">
        <f>IF(OR(H11="",A11=""),"",IFERROR(H11/SUMIFS('Recipe Ingredients'!$H$5:$H$1204,'Recipe Ingredients'!$A$5:$A$1204,A11),""))</f>
        <v>0</v>
      </c>
      <c r="Q11" s="8">
        <f>IF(H11="","",COUNTIFS($H$5:$H$1204,"&gt;"&amp;H11)+1)</f>
        <v>0</v>
      </c>
      <c r="R11" s="8">
        <f>IF(B11="","",SUMIFS(Pantry!$C$5:$C$304,Pantry!$A$5:$A$304,B11))</f>
        <v>0</v>
      </c>
      <c r="S11" s="8">
        <f>IF(OR(B11="",C11=""),"",MAX(0,C11-R11))</f>
        <v>0</v>
      </c>
      <c r="T11" s="26"/>
      <c r="U11" s="8">
        <f>IF(OR(T11="",T11=0,G11=""),"",T11*G11)</f>
        <v>0</v>
      </c>
      <c r="V11" s="8">
        <f>IF(OR(S11="",T11="",T11=0),"",CEILING(S11/T11,1))</f>
        <v>0</v>
      </c>
      <c r="W11" s="27"/>
      <c r="X11" s="29"/>
      <c r="Y11" s="8">
        <f>IF(OR(C11="",X11=""),"",C11*(1+X11))</f>
        <v>0</v>
      </c>
      <c r="Z11" s="8">
        <f>IF(B11="","",IFERROR(INDEX(Ingredients!$O$5:$O$304,MATCH(B11,Ingredients!$A$5:$A$304,0)),""))</f>
        <v>0</v>
      </c>
      <c r="AA11" s="8">
        <f>IF(B11="","",IF(R11&gt;=C11,"In pantry","To buy"))</f>
        <v>0</v>
      </c>
      <c r="AB11" s="8">
        <f>IF(A11="","",COUNTIFS($A$5:A11,A11))</f>
        <v>0</v>
      </c>
      <c r="AC11" s="8">
        <f>IF(B11="","",IF(COUNTIFS('Dietary Filters'!$C$5:$C$104,B11)&gt;0,"Check","OK"))</f>
        <v>0</v>
      </c>
      <c r="AD11" s="25"/>
    </row>
    <row r="12" spans="1:30">
      <c r="A12" s="7"/>
      <c r="B12" s="7"/>
      <c r="C12" s="26"/>
      <c r="D12" s="27"/>
      <c r="E12" s="8">
        <f>IF(B12="","",IFERROR(INDEX(Ingredients!$B$5:$B$304,MATCH(B12,Ingredients!$A$5:$A$304,0)),""))</f>
        <v>0</v>
      </c>
      <c r="F12" s="8">
        <f>IF(B12="","",IFERROR(INDEX(Ingredients!$E$5:$E$304,MATCH(B12,Ingredients!$A$5:$A$304,0)),""))</f>
        <v>0</v>
      </c>
      <c r="G12" s="8">
        <f>IF(B12="","",IFERROR(INDEX(Ingredients!$D$5:$D$304,MATCH(B12,Ingredients!$A$5:$A$304,0)),""))</f>
        <v>0</v>
      </c>
      <c r="H12" s="8">
        <f>IF(OR(B12="",C12=""),"",IFERROR(C12*G12,""))</f>
        <v>0</v>
      </c>
      <c r="I12" s="8">
        <f>IF(A12="","",IFERROR(INDEX(Recipes!$D$5:$D$204,MATCH(A12,Recipes!$A$5:$A$204,0)),""))</f>
        <v>0</v>
      </c>
      <c r="J12" s="8">
        <f>IF(OR(H12="",I12="",I12=0),"",IFERROR(H12/I12,""))</f>
        <v>0</v>
      </c>
      <c r="K12" s="8">
        <f>IF(OR(B12="",C12=""),"",IFERROR(C12*IFERROR(INDEX(Ingredients!$H$5:$H$304,MATCH(B12,Ingredients!$A$5:$A$304,0)),""),""))</f>
        <v>0</v>
      </c>
      <c r="L12" s="8">
        <f>IF(OR(B12="",C12=""),"",IFERROR(C12*IFERROR(INDEX(Ingredients!$I$5:$I$304,MATCH(B12,Ingredients!$A$5:$A$304,0)),""),""))</f>
        <v>0</v>
      </c>
      <c r="M12" s="8">
        <f>IF(OR(B12="",C12=""),"",IFERROR(C12*IFERROR(INDEX(Ingredients!$J$5:$J$304,MATCH(B12,Ingredients!$A$5:$A$304,0)),""),""))</f>
        <v>0</v>
      </c>
      <c r="N12" s="8">
        <f>IF(OR(B12="",C12=""),"",IFERROR(C12*IFERROR(INDEX(Ingredients!$K$5:$K$304,MATCH(B12,Ingredients!$A$5:$A$304,0)),""),""))</f>
        <v>0</v>
      </c>
      <c r="O12" s="8">
        <f>IF(OR(B12="",C12=""),"",IFERROR(C12*IFERROR(INDEX(Ingredients!$L$5:$L$304,MATCH(B12,Ingredients!$A$5:$A$304,0)),""),""))</f>
        <v>0</v>
      </c>
      <c r="P12" s="8">
        <f>IF(OR(H12="",A12=""),"",IFERROR(H12/SUMIFS('Recipe Ingredients'!$H$5:$H$1204,'Recipe Ingredients'!$A$5:$A$1204,A12),""))</f>
        <v>0</v>
      </c>
      <c r="Q12" s="8">
        <f>IF(H12="","",COUNTIFS($H$5:$H$1204,"&gt;"&amp;H12)+1)</f>
        <v>0</v>
      </c>
      <c r="R12" s="8">
        <f>IF(B12="","",SUMIFS(Pantry!$C$5:$C$304,Pantry!$A$5:$A$304,B12))</f>
        <v>0</v>
      </c>
      <c r="S12" s="8">
        <f>IF(OR(B12="",C12=""),"",MAX(0,C12-R12))</f>
        <v>0</v>
      </c>
      <c r="T12" s="26"/>
      <c r="U12" s="8">
        <f>IF(OR(T12="",T12=0,G12=""),"",T12*G12)</f>
        <v>0</v>
      </c>
      <c r="V12" s="8">
        <f>IF(OR(S12="",T12="",T12=0),"",CEILING(S12/T12,1))</f>
        <v>0</v>
      </c>
      <c r="W12" s="27"/>
      <c r="X12" s="29"/>
      <c r="Y12" s="8">
        <f>IF(OR(C12="",X12=""),"",C12*(1+X12))</f>
        <v>0</v>
      </c>
      <c r="Z12" s="8">
        <f>IF(B12="","",IFERROR(INDEX(Ingredients!$O$5:$O$304,MATCH(B12,Ingredients!$A$5:$A$304,0)),""))</f>
        <v>0</v>
      </c>
      <c r="AA12" s="8">
        <f>IF(B12="","",IF(R12&gt;=C12,"In pantry","To buy"))</f>
        <v>0</v>
      </c>
      <c r="AB12" s="8">
        <f>IF(A12="","",COUNTIFS($A$5:A12,A12))</f>
        <v>0</v>
      </c>
      <c r="AC12" s="8">
        <f>IF(B12="","",IF(COUNTIFS('Dietary Filters'!$C$5:$C$104,B12)&gt;0,"Check","OK"))</f>
        <v>0</v>
      </c>
      <c r="AD12" s="25"/>
    </row>
    <row r="13" spans="1:30">
      <c r="A13" s="7"/>
      <c r="B13" s="7"/>
      <c r="C13" s="26"/>
      <c r="D13" s="27"/>
      <c r="E13" s="8">
        <f>IF(B13="","",IFERROR(INDEX(Ingredients!$B$5:$B$304,MATCH(B13,Ingredients!$A$5:$A$304,0)),""))</f>
        <v>0</v>
      </c>
      <c r="F13" s="8">
        <f>IF(B13="","",IFERROR(INDEX(Ingredients!$E$5:$E$304,MATCH(B13,Ingredients!$A$5:$A$304,0)),""))</f>
        <v>0</v>
      </c>
      <c r="G13" s="8">
        <f>IF(B13="","",IFERROR(INDEX(Ingredients!$D$5:$D$304,MATCH(B13,Ingredients!$A$5:$A$304,0)),""))</f>
        <v>0</v>
      </c>
      <c r="H13" s="8">
        <f>IF(OR(B13="",C13=""),"",IFERROR(C13*G13,""))</f>
        <v>0</v>
      </c>
      <c r="I13" s="8">
        <f>IF(A13="","",IFERROR(INDEX(Recipes!$D$5:$D$204,MATCH(A13,Recipes!$A$5:$A$204,0)),""))</f>
        <v>0</v>
      </c>
      <c r="J13" s="8">
        <f>IF(OR(H13="",I13="",I13=0),"",IFERROR(H13/I13,""))</f>
        <v>0</v>
      </c>
      <c r="K13" s="8">
        <f>IF(OR(B13="",C13=""),"",IFERROR(C13*IFERROR(INDEX(Ingredients!$H$5:$H$304,MATCH(B13,Ingredients!$A$5:$A$304,0)),""),""))</f>
        <v>0</v>
      </c>
      <c r="L13" s="8">
        <f>IF(OR(B13="",C13=""),"",IFERROR(C13*IFERROR(INDEX(Ingredients!$I$5:$I$304,MATCH(B13,Ingredients!$A$5:$A$304,0)),""),""))</f>
        <v>0</v>
      </c>
      <c r="M13" s="8">
        <f>IF(OR(B13="",C13=""),"",IFERROR(C13*IFERROR(INDEX(Ingredients!$J$5:$J$304,MATCH(B13,Ingredients!$A$5:$A$304,0)),""),""))</f>
        <v>0</v>
      </c>
      <c r="N13" s="8">
        <f>IF(OR(B13="",C13=""),"",IFERROR(C13*IFERROR(INDEX(Ingredients!$K$5:$K$304,MATCH(B13,Ingredients!$A$5:$A$304,0)),""),""))</f>
        <v>0</v>
      </c>
      <c r="O13" s="8">
        <f>IF(OR(B13="",C13=""),"",IFERROR(C13*IFERROR(INDEX(Ingredients!$L$5:$L$304,MATCH(B13,Ingredients!$A$5:$A$304,0)),""),""))</f>
        <v>0</v>
      </c>
      <c r="P13" s="8">
        <f>IF(OR(H13="",A13=""),"",IFERROR(H13/SUMIFS('Recipe Ingredients'!$H$5:$H$1204,'Recipe Ingredients'!$A$5:$A$1204,A13),""))</f>
        <v>0</v>
      </c>
      <c r="Q13" s="8">
        <f>IF(H13="","",COUNTIFS($H$5:$H$1204,"&gt;"&amp;H13)+1)</f>
        <v>0</v>
      </c>
      <c r="R13" s="8">
        <f>IF(B13="","",SUMIFS(Pantry!$C$5:$C$304,Pantry!$A$5:$A$304,B13))</f>
        <v>0</v>
      </c>
      <c r="S13" s="8">
        <f>IF(OR(B13="",C13=""),"",MAX(0,C13-R13))</f>
        <v>0</v>
      </c>
      <c r="T13" s="26"/>
      <c r="U13" s="8">
        <f>IF(OR(T13="",T13=0,G13=""),"",T13*G13)</f>
        <v>0</v>
      </c>
      <c r="V13" s="8">
        <f>IF(OR(S13="",T13="",T13=0),"",CEILING(S13/T13,1))</f>
        <v>0</v>
      </c>
      <c r="W13" s="27"/>
      <c r="X13" s="29"/>
      <c r="Y13" s="8">
        <f>IF(OR(C13="",X13=""),"",C13*(1+X13))</f>
        <v>0</v>
      </c>
      <c r="Z13" s="8">
        <f>IF(B13="","",IFERROR(INDEX(Ingredients!$O$5:$O$304,MATCH(B13,Ingredients!$A$5:$A$304,0)),""))</f>
        <v>0</v>
      </c>
      <c r="AA13" s="8">
        <f>IF(B13="","",IF(R13&gt;=C13,"In pantry","To buy"))</f>
        <v>0</v>
      </c>
      <c r="AB13" s="8">
        <f>IF(A13="","",COUNTIFS($A$5:A13,A13))</f>
        <v>0</v>
      </c>
      <c r="AC13" s="8">
        <f>IF(B13="","",IF(COUNTIFS('Dietary Filters'!$C$5:$C$104,B13)&gt;0,"Check","OK"))</f>
        <v>0</v>
      </c>
      <c r="AD13" s="25"/>
    </row>
    <row r="14" spans="1:30">
      <c r="A14" s="7"/>
      <c r="B14" s="7"/>
      <c r="C14" s="26"/>
      <c r="D14" s="27"/>
      <c r="E14" s="8">
        <f>IF(B14="","",IFERROR(INDEX(Ingredients!$B$5:$B$304,MATCH(B14,Ingredients!$A$5:$A$304,0)),""))</f>
        <v>0</v>
      </c>
      <c r="F14" s="8">
        <f>IF(B14="","",IFERROR(INDEX(Ingredients!$E$5:$E$304,MATCH(B14,Ingredients!$A$5:$A$304,0)),""))</f>
        <v>0</v>
      </c>
      <c r="G14" s="8">
        <f>IF(B14="","",IFERROR(INDEX(Ingredients!$D$5:$D$304,MATCH(B14,Ingredients!$A$5:$A$304,0)),""))</f>
        <v>0</v>
      </c>
      <c r="H14" s="8">
        <f>IF(OR(B14="",C14=""),"",IFERROR(C14*G14,""))</f>
        <v>0</v>
      </c>
      <c r="I14" s="8">
        <f>IF(A14="","",IFERROR(INDEX(Recipes!$D$5:$D$204,MATCH(A14,Recipes!$A$5:$A$204,0)),""))</f>
        <v>0</v>
      </c>
      <c r="J14" s="8">
        <f>IF(OR(H14="",I14="",I14=0),"",IFERROR(H14/I14,""))</f>
        <v>0</v>
      </c>
      <c r="K14" s="8">
        <f>IF(OR(B14="",C14=""),"",IFERROR(C14*IFERROR(INDEX(Ingredients!$H$5:$H$304,MATCH(B14,Ingredients!$A$5:$A$304,0)),""),""))</f>
        <v>0</v>
      </c>
      <c r="L14" s="8">
        <f>IF(OR(B14="",C14=""),"",IFERROR(C14*IFERROR(INDEX(Ingredients!$I$5:$I$304,MATCH(B14,Ingredients!$A$5:$A$304,0)),""),""))</f>
        <v>0</v>
      </c>
      <c r="M14" s="8">
        <f>IF(OR(B14="",C14=""),"",IFERROR(C14*IFERROR(INDEX(Ingredients!$J$5:$J$304,MATCH(B14,Ingredients!$A$5:$A$304,0)),""),""))</f>
        <v>0</v>
      </c>
      <c r="N14" s="8">
        <f>IF(OR(B14="",C14=""),"",IFERROR(C14*IFERROR(INDEX(Ingredients!$K$5:$K$304,MATCH(B14,Ingredients!$A$5:$A$304,0)),""),""))</f>
        <v>0</v>
      </c>
      <c r="O14" s="8">
        <f>IF(OR(B14="",C14=""),"",IFERROR(C14*IFERROR(INDEX(Ingredients!$L$5:$L$304,MATCH(B14,Ingredients!$A$5:$A$304,0)),""),""))</f>
        <v>0</v>
      </c>
      <c r="P14" s="8">
        <f>IF(OR(H14="",A14=""),"",IFERROR(H14/SUMIFS('Recipe Ingredients'!$H$5:$H$1204,'Recipe Ingredients'!$A$5:$A$1204,A14),""))</f>
        <v>0</v>
      </c>
      <c r="Q14" s="8">
        <f>IF(H14="","",COUNTIFS($H$5:$H$1204,"&gt;"&amp;H14)+1)</f>
        <v>0</v>
      </c>
      <c r="R14" s="8">
        <f>IF(B14="","",SUMIFS(Pantry!$C$5:$C$304,Pantry!$A$5:$A$304,B14))</f>
        <v>0</v>
      </c>
      <c r="S14" s="8">
        <f>IF(OR(B14="",C14=""),"",MAX(0,C14-R14))</f>
        <v>0</v>
      </c>
      <c r="T14" s="26"/>
      <c r="U14" s="8">
        <f>IF(OR(T14="",T14=0,G14=""),"",T14*G14)</f>
        <v>0</v>
      </c>
      <c r="V14" s="8">
        <f>IF(OR(S14="",T14="",T14=0),"",CEILING(S14/T14,1))</f>
        <v>0</v>
      </c>
      <c r="W14" s="27"/>
      <c r="X14" s="29"/>
      <c r="Y14" s="8">
        <f>IF(OR(C14="",X14=""),"",C14*(1+X14))</f>
        <v>0</v>
      </c>
      <c r="Z14" s="8">
        <f>IF(B14="","",IFERROR(INDEX(Ingredients!$O$5:$O$304,MATCH(B14,Ingredients!$A$5:$A$304,0)),""))</f>
        <v>0</v>
      </c>
      <c r="AA14" s="8">
        <f>IF(B14="","",IF(R14&gt;=C14,"In pantry","To buy"))</f>
        <v>0</v>
      </c>
      <c r="AB14" s="8">
        <f>IF(A14="","",COUNTIFS($A$5:A14,A14))</f>
        <v>0</v>
      </c>
      <c r="AC14" s="8">
        <f>IF(B14="","",IF(COUNTIFS('Dietary Filters'!$C$5:$C$104,B14)&gt;0,"Check","OK"))</f>
        <v>0</v>
      </c>
      <c r="AD14" s="25"/>
    </row>
    <row r="15" spans="1:30">
      <c r="A15" s="7"/>
      <c r="B15" s="7"/>
      <c r="C15" s="26"/>
      <c r="D15" s="27"/>
      <c r="E15" s="8">
        <f>IF(B15="","",IFERROR(INDEX(Ingredients!$B$5:$B$304,MATCH(B15,Ingredients!$A$5:$A$304,0)),""))</f>
        <v>0</v>
      </c>
      <c r="F15" s="8">
        <f>IF(B15="","",IFERROR(INDEX(Ingredients!$E$5:$E$304,MATCH(B15,Ingredients!$A$5:$A$304,0)),""))</f>
        <v>0</v>
      </c>
      <c r="G15" s="8">
        <f>IF(B15="","",IFERROR(INDEX(Ingredients!$D$5:$D$304,MATCH(B15,Ingredients!$A$5:$A$304,0)),""))</f>
        <v>0</v>
      </c>
      <c r="H15" s="8">
        <f>IF(OR(B15="",C15=""),"",IFERROR(C15*G15,""))</f>
        <v>0</v>
      </c>
      <c r="I15" s="8">
        <f>IF(A15="","",IFERROR(INDEX(Recipes!$D$5:$D$204,MATCH(A15,Recipes!$A$5:$A$204,0)),""))</f>
        <v>0</v>
      </c>
      <c r="J15" s="8">
        <f>IF(OR(H15="",I15="",I15=0),"",IFERROR(H15/I15,""))</f>
        <v>0</v>
      </c>
      <c r="K15" s="8">
        <f>IF(OR(B15="",C15=""),"",IFERROR(C15*IFERROR(INDEX(Ingredients!$H$5:$H$304,MATCH(B15,Ingredients!$A$5:$A$304,0)),""),""))</f>
        <v>0</v>
      </c>
      <c r="L15" s="8">
        <f>IF(OR(B15="",C15=""),"",IFERROR(C15*IFERROR(INDEX(Ingredients!$I$5:$I$304,MATCH(B15,Ingredients!$A$5:$A$304,0)),""),""))</f>
        <v>0</v>
      </c>
      <c r="M15" s="8">
        <f>IF(OR(B15="",C15=""),"",IFERROR(C15*IFERROR(INDEX(Ingredients!$J$5:$J$304,MATCH(B15,Ingredients!$A$5:$A$304,0)),""),""))</f>
        <v>0</v>
      </c>
      <c r="N15" s="8">
        <f>IF(OR(B15="",C15=""),"",IFERROR(C15*IFERROR(INDEX(Ingredients!$K$5:$K$304,MATCH(B15,Ingredients!$A$5:$A$304,0)),""),""))</f>
        <v>0</v>
      </c>
      <c r="O15" s="8">
        <f>IF(OR(B15="",C15=""),"",IFERROR(C15*IFERROR(INDEX(Ingredients!$L$5:$L$304,MATCH(B15,Ingredients!$A$5:$A$304,0)),""),""))</f>
        <v>0</v>
      </c>
      <c r="P15" s="8">
        <f>IF(OR(H15="",A15=""),"",IFERROR(H15/SUMIFS('Recipe Ingredients'!$H$5:$H$1204,'Recipe Ingredients'!$A$5:$A$1204,A15),""))</f>
        <v>0</v>
      </c>
      <c r="Q15" s="8">
        <f>IF(H15="","",COUNTIFS($H$5:$H$1204,"&gt;"&amp;H15)+1)</f>
        <v>0</v>
      </c>
      <c r="R15" s="8">
        <f>IF(B15="","",SUMIFS(Pantry!$C$5:$C$304,Pantry!$A$5:$A$304,B15))</f>
        <v>0</v>
      </c>
      <c r="S15" s="8">
        <f>IF(OR(B15="",C15=""),"",MAX(0,C15-R15))</f>
        <v>0</v>
      </c>
      <c r="T15" s="26"/>
      <c r="U15" s="8">
        <f>IF(OR(T15="",T15=0,G15=""),"",T15*G15)</f>
        <v>0</v>
      </c>
      <c r="V15" s="8">
        <f>IF(OR(S15="",T15="",T15=0),"",CEILING(S15/T15,1))</f>
        <v>0</v>
      </c>
      <c r="W15" s="27"/>
      <c r="X15" s="29"/>
      <c r="Y15" s="8">
        <f>IF(OR(C15="",X15=""),"",C15*(1+X15))</f>
        <v>0</v>
      </c>
      <c r="Z15" s="8">
        <f>IF(B15="","",IFERROR(INDEX(Ingredients!$O$5:$O$304,MATCH(B15,Ingredients!$A$5:$A$304,0)),""))</f>
        <v>0</v>
      </c>
      <c r="AA15" s="8">
        <f>IF(B15="","",IF(R15&gt;=C15,"In pantry","To buy"))</f>
        <v>0</v>
      </c>
      <c r="AB15" s="8">
        <f>IF(A15="","",COUNTIFS($A$5:A15,A15))</f>
        <v>0</v>
      </c>
      <c r="AC15" s="8">
        <f>IF(B15="","",IF(COUNTIFS('Dietary Filters'!$C$5:$C$104,B15)&gt;0,"Check","OK"))</f>
        <v>0</v>
      </c>
      <c r="AD15" s="25"/>
    </row>
    <row r="16" spans="1:30">
      <c r="A16" s="7"/>
      <c r="B16" s="7"/>
      <c r="C16" s="26"/>
      <c r="D16" s="27"/>
      <c r="E16" s="8">
        <f>IF(B16="","",IFERROR(INDEX(Ingredients!$B$5:$B$304,MATCH(B16,Ingredients!$A$5:$A$304,0)),""))</f>
        <v>0</v>
      </c>
      <c r="F16" s="8">
        <f>IF(B16="","",IFERROR(INDEX(Ingredients!$E$5:$E$304,MATCH(B16,Ingredients!$A$5:$A$304,0)),""))</f>
        <v>0</v>
      </c>
      <c r="G16" s="8">
        <f>IF(B16="","",IFERROR(INDEX(Ingredients!$D$5:$D$304,MATCH(B16,Ingredients!$A$5:$A$304,0)),""))</f>
        <v>0</v>
      </c>
      <c r="H16" s="8">
        <f>IF(OR(B16="",C16=""),"",IFERROR(C16*G16,""))</f>
        <v>0</v>
      </c>
      <c r="I16" s="8">
        <f>IF(A16="","",IFERROR(INDEX(Recipes!$D$5:$D$204,MATCH(A16,Recipes!$A$5:$A$204,0)),""))</f>
        <v>0</v>
      </c>
      <c r="J16" s="8">
        <f>IF(OR(H16="",I16="",I16=0),"",IFERROR(H16/I16,""))</f>
        <v>0</v>
      </c>
      <c r="K16" s="8">
        <f>IF(OR(B16="",C16=""),"",IFERROR(C16*IFERROR(INDEX(Ingredients!$H$5:$H$304,MATCH(B16,Ingredients!$A$5:$A$304,0)),""),""))</f>
        <v>0</v>
      </c>
      <c r="L16" s="8">
        <f>IF(OR(B16="",C16=""),"",IFERROR(C16*IFERROR(INDEX(Ingredients!$I$5:$I$304,MATCH(B16,Ingredients!$A$5:$A$304,0)),""),""))</f>
        <v>0</v>
      </c>
      <c r="M16" s="8">
        <f>IF(OR(B16="",C16=""),"",IFERROR(C16*IFERROR(INDEX(Ingredients!$J$5:$J$304,MATCH(B16,Ingredients!$A$5:$A$304,0)),""),""))</f>
        <v>0</v>
      </c>
      <c r="N16" s="8">
        <f>IF(OR(B16="",C16=""),"",IFERROR(C16*IFERROR(INDEX(Ingredients!$K$5:$K$304,MATCH(B16,Ingredients!$A$5:$A$304,0)),""),""))</f>
        <v>0</v>
      </c>
      <c r="O16" s="8">
        <f>IF(OR(B16="",C16=""),"",IFERROR(C16*IFERROR(INDEX(Ingredients!$L$5:$L$304,MATCH(B16,Ingredients!$A$5:$A$304,0)),""),""))</f>
        <v>0</v>
      </c>
      <c r="P16" s="8">
        <f>IF(OR(H16="",A16=""),"",IFERROR(H16/SUMIFS('Recipe Ingredients'!$H$5:$H$1204,'Recipe Ingredients'!$A$5:$A$1204,A16),""))</f>
        <v>0</v>
      </c>
      <c r="Q16" s="8">
        <f>IF(H16="","",COUNTIFS($H$5:$H$1204,"&gt;"&amp;H16)+1)</f>
        <v>0</v>
      </c>
      <c r="R16" s="8">
        <f>IF(B16="","",SUMIFS(Pantry!$C$5:$C$304,Pantry!$A$5:$A$304,B16))</f>
        <v>0</v>
      </c>
      <c r="S16" s="8">
        <f>IF(OR(B16="",C16=""),"",MAX(0,C16-R16))</f>
        <v>0</v>
      </c>
      <c r="T16" s="26"/>
      <c r="U16" s="8">
        <f>IF(OR(T16="",T16=0,G16=""),"",T16*G16)</f>
        <v>0</v>
      </c>
      <c r="V16" s="8">
        <f>IF(OR(S16="",T16="",T16=0),"",CEILING(S16/T16,1))</f>
        <v>0</v>
      </c>
      <c r="W16" s="27"/>
      <c r="X16" s="29"/>
      <c r="Y16" s="8">
        <f>IF(OR(C16="",X16=""),"",C16*(1+X16))</f>
        <v>0</v>
      </c>
      <c r="Z16" s="8">
        <f>IF(B16="","",IFERROR(INDEX(Ingredients!$O$5:$O$304,MATCH(B16,Ingredients!$A$5:$A$304,0)),""))</f>
        <v>0</v>
      </c>
      <c r="AA16" s="8">
        <f>IF(B16="","",IF(R16&gt;=C16,"In pantry","To buy"))</f>
        <v>0</v>
      </c>
      <c r="AB16" s="8">
        <f>IF(A16="","",COUNTIFS($A$5:A16,A16))</f>
        <v>0</v>
      </c>
      <c r="AC16" s="8">
        <f>IF(B16="","",IF(COUNTIFS('Dietary Filters'!$C$5:$C$104,B16)&gt;0,"Check","OK"))</f>
        <v>0</v>
      </c>
      <c r="AD16" s="25"/>
    </row>
    <row r="17" spans="1:30">
      <c r="A17" s="7"/>
      <c r="B17" s="7"/>
      <c r="C17" s="26"/>
      <c r="D17" s="27"/>
      <c r="E17" s="8">
        <f>IF(B17="","",IFERROR(INDEX(Ingredients!$B$5:$B$304,MATCH(B17,Ingredients!$A$5:$A$304,0)),""))</f>
        <v>0</v>
      </c>
      <c r="F17" s="8">
        <f>IF(B17="","",IFERROR(INDEX(Ingredients!$E$5:$E$304,MATCH(B17,Ingredients!$A$5:$A$304,0)),""))</f>
        <v>0</v>
      </c>
      <c r="G17" s="8">
        <f>IF(B17="","",IFERROR(INDEX(Ingredients!$D$5:$D$304,MATCH(B17,Ingredients!$A$5:$A$304,0)),""))</f>
        <v>0</v>
      </c>
      <c r="H17" s="8">
        <f>IF(OR(B17="",C17=""),"",IFERROR(C17*G17,""))</f>
        <v>0</v>
      </c>
      <c r="I17" s="8">
        <f>IF(A17="","",IFERROR(INDEX(Recipes!$D$5:$D$204,MATCH(A17,Recipes!$A$5:$A$204,0)),""))</f>
        <v>0</v>
      </c>
      <c r="J17" s="8">
        <f>IF(OR(H17="",I17="",I17=0),"",IFERROR(H17/I17,""))</f>
        <v>0</v>
      </c>
      <c r="K17" s="8">
        <f>IF(OR(B17="",C17=""),"",IFERROR(C17*IFERROR(INDEX(Ingredients!$H$5:$H$304,MATCH(B17,Ingredients!$A$5:$A$304,0)),""),""))</f>
        <v>0</v>
      </c>
      <c r="L17" s="8">
        <f>IF(OR(B17="",C17=""),"",IFERROR(C17*IFERROR(INDEX(Ingredients!$I$5:$I$304,MATCH(B17,Ingredients!$A$5:$A$304,0)),""),""))</f>
        <v>0</v>
      </c>
      <c r="M17" s="8">
        <f>IF(OR(B17="",C17=""),"",IFERROR(C17*IFERROR(INDEX(Ingredients!$J$5:$J$304,MATCH(B17,Ingredients!$A$5:$A$304,0)),""),""))</f>
        <v>0</v>
      </c>
      <c r="N17" s="8">
        <f>IF(OR(B17="",C17=""),"",IFERROR(C17*IFERROR(INDEX(Ingredients!$K$5:$K$304,MATCH(B17,Ingredients!$A$5:$A$304,0)),""),""))</f>
        <v>0</v>
      </c>
      <c r="O17" s="8">
        <f>IF(OR(B17="",C17=""),"",IFERROR(C17*IFERROR(INDEX(Ingredients!$L$5:$L$304,MATCH(B17,Ingredients!$A$5:$A$304,0)),""),""))</f>
        <v>0</v>
      </c>
      <c r="P17" s="8">
        <f>IF(OR(H17="",A17=""),"",IFERROR(H17/SUMIFS('Recipe Ingredients'!$H$5:$H$1204,'Recipe Ingredients'!$A$5:$A$1204,A17),""))</f>
        <v>0</v>
      </c>
      <c r="Q17" s="8">
        <f>IF(H17="","",COUNTIFS($H$5:$H$1204,"&gt;"&amp;H17)+1)</f>
        <v>0</v>
      </c>
      <c r="R17" s="8">
        <f>IF(B17="","",SUMIFS(Pantry!$C$5:$C$304,Pantry!$A$5:$A$304,B17))</f>
        <v>0</v>
      </c>
      <c r="S17" s="8">
        <f>IF(OR(B17="",C17=""),"",MAX(0,C17-R17))</f>
        <v>0</v>
      </c>
      <c r="T17" s="26"/>
      <c r="U17" s="8">
        <f>IF(OR(T17="",T17=0,G17=""),"",T17*G17)</f>
        <v>0</v>
      </c>
      <c r="V17" s="8">
        <f>IF(OR(S17="",T17="",T17=0),"",CEILING(S17/T17,1))</f>
        <v>0</v>
      </c>
      <c r="W17" s="27"/>
      <c r="X17" s="29"/>
      <c r="Y17" s="8">
        <f>IF(OR(C17="",X17=""),"",C17*(1+X17))</f>
        <v>0</v>
      </c>
      <c r="Z17" s="8">
        <f>IF(B17="","",IFERROR(INDEX(Ingredients!$O$5:$O$304,MATCH(B17,Ingredients!$A$5:$A$304,0)),""))</f>
        <v>0</v>
      </c>
      <c r="AA17" s="8">
        <f>IF(B17="","",IF(R17&gt;=C17,"In pantry","To buy"))</f>
        <v>0</v>
      </c>
      <c r="AB17" s="8">
        <f>IF(A17="","",COUNTIFS($A$5:A17,A17))</f>
        <v>0</v>
      </c>
      <c r="AC17" s="8">
        <f>IF(B17="","",IF(COUNTIFS('Dietary Filters'!$C$5:$C$104,B17)&gt;0,"Check","OK"))</f>
        <v>0</v>
      </c>
      <c r="AD17" s="25"/>
    </row>
    <row r="18" spans="1:30">
      <c r="A18" s="7"/>
      <c r="B18" s="7"/>
      <c r="C18" s="26"/>
      <c r="D18" s="27"/>
      <c r="E18" s="8">
        <f>IF(B18="","",IFERROR(INDEX(Ingredients!$B$5:$B$304,MATCH(B18,Ingredients!$A$5:$A$304,0)),""))</f>
        <v>0</v>
      </c>
      <c r="F18" s="8">
        <f>IF(B18="","",IFERROR(INDEX(Ingredients!$E$5:$E$304,MATCH(B18,Ingredients!$A$5:$A$304,0)),""))</f>
        <v>0</v>
      </c>
      <c r="G18" s="8">
        <f>IF(B18="","",IFERROR(INDEX(Ingredients!$D$5:$D$304,MATCH(B18,Ingredients!$A$5:$A$304,0)),""))</f>
        <v>0</v>
      </c>
      <c r="H18" s="8">
        <f>IF(OR(B18="",C18=""),"",IFERROR(C18*G18,""))</f>
        <v>0</v>
      </c>
      <c r="I18" s="8">
        <f>IF(A18="","",IFERROR(INDEX(Recipes!$D$5:$D$204,MATCH(A18,Recipes!$A$5:$A$204,0)),""))</f>
        <v>0</v>
      </c>
      <c r="J18" s="8">
        <f>IF(OR(H18="",I18="",I18=0),"",IFERROR(H18/I18,""))</f>
        <v>0</v>
      </c>
      <c r="K18" s="8">
        <f>IF(OR(B18="",C18=""),"",IFERROR(C18*IFERROR(INDEX(Ingredients!$H$5:$H$304,MATCH(B18,Ingredients!$A$5:$A$304,0)),""),""))</f>
        <v>0</v>
      </c>
      <c r="L18" s="8">
        <f>IF(OR(B18="",C18=""),"",IFERROR(C18*IFERROR(INDEX(Ingredients!$I$5:$I$304,MATCH(B18,Ingredients!$A$5:$A$304,0)),""),""))</f>
        <v>0</v>
      </c>
      <c r="M18" s="8">
        <f>IF(OR(B18="",C18=""),"",IFERROR(C18*IFERROR(INDEX(Ingredients!$J$5:$J$304,MATCH(B18,Ingredients!$A$5:$A$304,0)),""),""))</f>
        <v>0</v>
      </c>
      <c r="N18" s="8">
        <f>IF(OR(B18="",C18=""),"",IFERROR(C18*IFERROR(INDEX(Ingredients!$K$5:$K$304,MATCH(B18,Ingredients!$A$5:$A$304,0)),""),""))</f>
        <v>0</v>
      </c>
      <c r="O18" s="8">
        <f>IF(OR(B18="",C18=""),"",IFERROR(C18*IFERROR(INDEX(Ingredients!$L$5:$L$304,MATCH(B18,Ingredients!$A$5:$A$304,0)),""),""))</f>
        <v>0</v>
      </c>
      <c r="P18" s="8">
        <f>IF(OR(H18="",A18=""),"",IFERROR(H18/SUMIFS('Recipe Ingredients'!$H$5:$H$1204,'Recipe Ingredients'!$A$5:$A$1204,A18),""))</f>
        <v>0</v>
      </c>
      <c r="Q18" s="8">
        <f>IF(H18="","",COUNTIFS($H$5:$H$1204,"&gt;"&amp;H18)+1)</f>
        <v>0</v>
      </c>
      <c r="R18" s="8">
        <f>IF(B18="","",SUMIFS(Pantry!$C$5:$C$304,Pantry!$A$5:$A$304,B18))</f>
        <v>0</v>
      </c>
      <c r="S18" s="8">
        <f>IF(OR(B18="",C18=""),"",MAX(0,C18-R18))</f>
        <v>0</v>
      </c>
      <c r="T18" s="26"/>
      <c r="U18" s="8">
        <f>IF(OR(T18="",T18=0,G18=""),"",T18*G18)</f>
        <v>0</v>
      </c>
      <c r="V18" s="8">
        <f>IF(OR(S18="",T18="",T18=0),"",CEILING(S18/T18,1))</f>
        <v>0</v>
      </c>
      <c r="W18" s="27"/>
      <c r="X18" s="29"/>
      <c r="Y18" s="8">
        <f>IF(OR(C18="",X18=""),"",C18*(1+X18))</f>
        <v>0</v>
      </c>
      <c r="Z18" s="8">
        <f>IF(B18="","",IFERROR(INDEX(Ingredients!$O$5:$O$304,MATCH(B18,Ingredients!$A$5:$A$304,0)),""))</f>
        <v>0</v>
      </c>
      <c r="AA18" s="8">
        <f>IF(B18="","",IF(R18&gt;=C18,"In pantry","To buy"))</f>
        <v>0</v>
      </c>
      <c r="AB18" s="8">
        <f>IF(A18="","",COUNTIFS($A$5:A18,A18))</f>
        <v>0</v>
      </c>
      <c r="AC18" s="8">
        <f>IF(B18="","",IF(COUNTIFS('Dietary Filters'!$C$5:$C$104,B18)&gt;0,"Check","OK"))</f>
        <v>0</v>
      </c>
      <c r="AD18" s="25"/>
    </row>
    <row r="19" spans="1:30">
      <c r="A19" s="7"/>
      <c r="B19" s="7"/>
      <c r="C19" s="26"/>
      <c r="D19" s="27"/>
      <c r="E19" s="8">
        <f>IF(B19="","",IFERROR(INDEX(Ingredients!$B$5:$B$304,MATCH(B19,Ingredients!$A$5:$A$304,0)),""))</f>
        <v>0</v>
      </c>
      <c r="F19" s="8">
        <f>IF(B19="","",IFERROR(INDEX(Ingredients!$E$5:$E$304,MATCH(B19,Ingredients!$A$5:$A$304,0)),""))</f>
        <v>0</v>
      </c>
      <c r="G19" s="8">
        <f>IF(B19="","",IFERROR(INDEX(Ingredients!$D$5:$D$304,MATCH(B19,Ingredients!$A$5:$A$304,0)),""))</f>
        <v>0</v>
      </c>
      <c r="H19" s="8">
        <f>IF(OR(B19="",C19=""),"",IFERROR(C19*G19,""))</f>
        <v>0</v>
      </c>
      <c r="I19" s="8">
        <f>IF(A19="","",IFERROR(INDEX(Recipes!$D$5:$D$204,MATCH(A19,Recipes!$A$5:$A$204,0)),""))</f>
        <v>0</v>
      </c>
      <c r="J19" s="8">
        <f>IF(OR(H19="",I19="",I19=0),"",IFERROR(H19/I19,""))</f>
        <v>0</v>
      </c>
      <c r="K19" s="8">
        <f>IF(OR(B19="",C19=""),"",IFERROR(C19*IFERROR(INDEX(Ingredients!$H$5:$H$304,MATCH(B19,Ingredients!$A$5:$A$304,0)),""),""))</f>
        <v>0</v>
      </c>
      <c r="L19" s="8">
        <f>IF(OR(B19="",C19=""),"",IFERROR(C19*IFERROR(INDEX(Ingredients!$I$5:$I$304,MATCH(B19,Ingredients!$A$5:$A$304,0)),""),""))</f>
        <v>0</v>
      </c>
      <c r="M19" s="8">
        <f>IF(OR(B19="",C19=""),"",IFERROR(C19*IFERROR(INDEX(Ingredients!$J$5:$J$304,MATCH(B19,Ingredients!$A$5:$A$304,0)),""),""))</f>
        <v>0</v>
      </c>
      <c r="N19" s="8">
        <f>IF(OR(B19="",C19=""),"",IFERROR(C19*IFERROR(INDEX(Ingredients!$K$5:$K$304,MATCH(B19,Ingredients!$A$5:$A$304,0)),""),""))</f>
        <v>0</v>
      </c>
      <c r="O19" s="8">
        <f>IF(OR(B19="",C19=""),"",IFERROR(C19*IFERROR(INDEX(Ingredients!$L$5:$L$304,MATCH(B19,Ingredients!$A$5:$A$304,0)),""),""))</f>
        <v>0</v>
      </c>
      <c r="P19" s="8">
        <f>IF(OR(H19="",A19=""),"",IFERROR(H19/SUMIFS('Recipe Ingredients'!$H$5:$H$1204,'Recipe Ingredients'!$A$5:$A$1204,A19),""))</f>
        <v>0</v>
      </c>
      <c r="Q19" s="8">
        <f>IF(H19="","",COUNTIFS($H$5:$H$1204,"&gt;"&amp;H19)+1)</f>
        <v>0</v>
      </c>
      <c r="R19" s="8">
        <f>IF(B19="","",SUMIFS(Pantry!$C$5:$C$304,Pantry!$A$5:$A$304,B19))</f>
        <v>0</v>
      </c>
      <c r="S19" s="8">
        <f>IF(OR(B19="",C19=""),"",MAX(0,C19-R19))</f>
        <v>0</v>
      </c>
      <c r="T19" s="26"/>
      <c r="U19" s="8">
        <f>IF(OR(T19="",T19=0,G19=""),"",T19*G19)</f>
        <v>0</v>
      </c>
      <c r="V19" s="8">
        <f>IF(OR(S19="",T19="",T19=0),"",CEILING(S19/T19,1))</f>
        <v>0</v>
      </c>
      <c r="W19" s="27"/>
      <c r="X19" s="29"/>
      <c r="Y19" s="8">
        <f>IF(OR(C19="",X19=""),"",C19*(1+X19))</f>
        <v>0</v>
      </c>
      <c r="Z19" s="8">
        <f>IF(B19="","",IFERROR(INDEX(Ingredients!$O$5:$O$304,MATCH(B19,Ingredients!$A$5:$A$304,0)),""))</f>
        <v>0</v>
      </c>
      <c r="AA19" s="8">
        <f>IF(B19="","",IF(R19&gt;=C19,"In pantry","To buy"))</f>
        <v>0</v>
      </c>
      <c r="AB19" s="8">
        <f>IF(A19="","",COUNTIFS($A$5:A19,A19))</f>
        <v>0</v>
      </c>
      <c r="AC19" s="8">
        <f>IF(B19="","",IF(COUNTIFS('Dietary Filters'!$C$5:$C$104,B19)&gt;0,"Check","OK"))</f>
        <v>0</v>
      </c>
      <c r="AD19" s="25"/>
    </row>
    <row r="20" spans="1:30">
      <c r="A20" s="7"/>
      <c r="B20" s="7"/>
      <c r="C20" s="26"/>
      <c r="D20" s="27"/>
      <c r="E20" s="8">
        <f>IF(B20="","",IFERROR(INDEX(Ingredients!$B$5:$B$304,MATCH(B20,Ingredients!$A$5:$A$304,0)),""))</f>
        <v>0</v>
      </c>
      <c r="F20" s="8">
        <f>IF(B20="","",IFERROR(INDEX(Ingredients!$E$5:$E$304,MATCH(B20,Ingredients!$A$5:$A$304,0)),""))</f>
        <v>0</v>
      </c>
      <c r="G20" s="8">
        <f>IF(B20="","",IFERROR(INDEX(Ingredients!$D$5:$D$304,MATCH(B20,Ingredients!$A$5:$A$304,0)),""))</f>
        <v>0</v>
      </c>
      <c r="H20" s="8">
        <f>IF(OR(B20="",C20=""),"",IFERROR(C20*G20,""))</f>
        <v>0</v>
      </c>
      <c r="I20" s="8">
        <f>IF(A20="","",IFERROR(INDEX(Recipes!$D$5:$D$204,MATCH(A20,Recipes!$A$5:$A$204,0)),""))</f>
        <v>0</v>
      </c>
      <c r="J20" s="8">
        <f>IF(OR(H20="",I20="",I20=0),"",IFERROR(H20/I20,""))</f>
        <v>0</v>
      </c>
      <c r="K20" s="8">
        <f>IF(OR(B20="",C20=""),"",IFERROR(C20*IFERROR(INDEX(Ingredients!$H$5:$H$304,MATCH(B20,Ingredients!$A$5:$A$304,0)),""),""))</f>
        <v>0</v>
      </c>
      <c r="L20" s="8">
        <f>IF(OR(B20="",C20=""),"",IFERROR(C20*IFERROR(INDEX(Ingredients!$I$5:$I$304,MATCH(B20,Ingredients!$A$5:$A$304,0)),""),""))</f>
        <v>0</v>
      </c>
      <c r="M20" s="8">
        <f>IF(OR(B20="",C20=""),"",IFERROR(C20*IFERROR(INDEX(Ingredients!$J$5:$J$304,MATCH(B20,Ingredients!$A$5:$A$304,0)),""),""))</f>
        <v>0</v>
      </c>
      <c r="N20" s="8">
        <f>IF(OR(B20="",C20=""),"",IFERROR(C20*IFERROR(INDEX(Ingredients!$K$5:$K$304,MATCH(B20,Ingredients!$A$5:$A$304,0)),""),""))</f>
        <v>0</v>
      </c>
      <c r="O20" s="8">
        <f>IF(OR(B20="",C20=""),"",IFERROR(C20*IFERROR(INDEX(Ingredients!$L$5:$L$304,MATCH(B20,Ingredients!$A$5:$A$304,0)),""),""))</f>
        <v>0</v>
      </c>
      <c r="P20" s="8">
        <f>IF(OR(H20="",A20=""),"",IFERROR(H20/SUMIFS('Recipe Ingredients'!$H$5:$H$1204,'Recipe Ingredients'!$A$5:$A$1204,A20),""))</f>
        <v>0</v>
      </c>
      <c r="Q20" s="8">
        <f>IF(H20="","",COUNTIFS($H$5:$H$1204,"&gt;"&amp;H20)+1)</f>
        <v>0</v>
      </c>
      <c r="R20" s="8">
        <f>IF(B20="","",SUMIFS(Pantry!$C$5:$C$304,Pantry!$A$5:$A$304,B20))</f>
        <v>0</v>
      </c>
      <c r="S20" s="8">
        <f>IF(OR(B20="",C20=""),"",MAX(0,C20-R20))</f>
        <v>0</v>
      </c>
      <c r="T20" s="26"/>
      <c r="U20" s="8">
        <f>IF(OR(T20="",T20=0,G20=""),"",T20*G20)</f>
        <v>0</v>
      </c>
      <c r="V20" s="8">
        <f>IF(OR(S20="",T20="",T20=0),"",CEILING(S20/T20,1))</f>
        <v>0</v>
      </c>
      <c r="W20" s="27"/>
      <c r="X20" s="29"/>
      <c r="Y20" s="8">
        <f>IF(OR(C20="",X20=""),"",C20*(1+X20))</f>
        <v>0</v>
      </c>
      <c r="Z20" s="8">
        <f>IF(B20="","",IFERROR(INDEX(Ingredients!$O$5:$O$304,MATCH(B20,Ingredients!$A$5:$A$304,0)),""))</f>
        <v>0</v>
      </c>
      <c r="AA20" s="8">
        <f>IF(B20="","",IF(R20&gt;=C20,"In pantry","To buy"))</f>
        <v>0</v>
      </c>
      <c r="AB20" s="8">
        <f>IF(A20="","",COUNTIFS($A$5:A20,A20))</f>
        <v>0</v>
      </c>
      <c r="AC20" s="8">
        <f>IF(B20="","",IF(COUNTIFS('Dietary Filters'!$C$5:$C$104,B20)&gt;0,"Check","OK"))</f>
        <v>0</v>
      </c>
      <c r="AD20" s="25"/>
    </row>
    <row r="21" spans="1:30">
      <c r="A21" s="7"/>
      <c r="B21" s="7"/>
      <c r="C21" s="26"/>
      <c r="D21" s="27"/>
      <c r="E21" s="8">
        <f>IF(B21="","",IFERROR(INDEX(Ingredients!$B$5:$B$304,MATCH(B21,Ingredients!$A$5:$A$304,0)),""))</f>
        <v>0</v>
      </c>
      <c r="F21" s="8">
        <f>IF(B21="","",IFERROR(INDEX(Ingredients!$E$5:$E$304,MATCH(B21,Ingredients!$A$5:$A$304,0)),""))</f>
        <v>0</v>
      </c>
      <c r="G21" s="8">
        <f>IF(B21="","",IFERROR(INDEX(Ingredients!$D$5:$D$304,MATCH(B21,Ingredients!$A$5:$A$304,0)),""))</f>
        <v>0</v>
      </c>
      <c r="H21" s="8">
        <f>IF(OR(B21="",C21=""),"",IFERROR(C21*G21,""))</f>
        <v>0</v>
      </c>
      <c r="I21" s="8">
        <f>IF(A21="","",IFERROR(INDEX(Recipes!$D$5:$D$204,MATCH(A21,Recipes!$A$5:$A$204,0)),""))</f>
        <v>0</v>
      </c>
      <c r="J21" s="8">
        <f>IF(OR(H21="",I21="",I21=0),"",IFERROR(H21/I21,""))</f>
        <v>0</v>
      </c>
      <c r="K21" s="8">
        <f>IF(OR(B21="",C21=""),"",IFERROR(C21*IFERROR(INDEX(Ingredients!$H$5:$H$304,MATCH(B21,Ingredients!$A$5:$A$304,0)),""),""))</f>
        <v>0</v>
      </c>
      <c r="L21" s="8">
        <f>IF(OR(B21="",C21=""),"",IFERROR(C21*IFERROR(INDEX(Ingredients!$I$5:$I$304,MATCH(B21,Ingredients!$A$5:$A$304,0)),""),""))</f>
        <v>0</v>
      </c>
      <c r="M21" s="8">
        <f>IF(OR(B21="",C21=""),"",IFERROR(C21*IFERROR(INDEX(Ingredients!$J$5:$J$304,MATCH(B21,Ingredients!$A$5:$A$304,0)),""),""))</f>
        <v>0</v>
      </c>
      <c r="N21" s="8">
        <f>IF(OR(B21="",C21=""),"",IFERROR(C21*IFERROR(INDEX(Ingredients!$K$5:$K$304,MATCH(B21,Ingredients!$A$5:$A$304,0)),""),""))</f>
        <v>0</v>
      </c>
      <c r="O21" s="8">
        <f>IF(OR(B21="",C21=""),"",IFERROR(C21*IFERROR(INDEX(Ingredients!$L$5:$L$304,MATCH(B21,Ingredients!$A$5:$A$304,0)),""),""))</f>
        <v>0</v>
      </c>
      <c r="P21" s="8">
        <f>IF(OR(H21="",A21=""),"",IFERROR(H21/SUMIFS('Recipe Ingredients'!$H$5:$H$1204,'Recipe Ingredients'!$A$5:$A$1204,A21),""))</f>
        <v>0</v>
      </c>
      <c r="Q21" s="8">
        <f>IF(H21="","",COUNTIFS($H$5:$H$1204,"&gt;"&amp;H21)+1)</f>
        <v>0</v>
      </c>
      <c r="R21" s="8">
        <f>IF(B21="","",SUMIFS(Pantry!$C$5:$C$304,Pantry!$A$5:$A$304,B21))</f>
        <v>0</v>
      </c>
      <c r="S21" s="8">
        <f>IF(OR(B21="",C21=""),"",MAX(0,C21-R21))</f>
        <v>0</v>
      </c>
      <c r="T21" s="26"/>
      <c r="U21" s="8">
        <f>IF(OR(T21="",T21=0,G21=""),"",T21*G21)</f>
        <v>0</v>
      </c>
      <c r="V21" s="8">
        <f>IF(OR(S21="",T21="",T21=0),"",CEILING(S21/T21,1))</f>
        <v>0</v>
      </c>
      <c r="W21" s="27"/>
      <c r="X21" s="29"/>
      <c r="Y21" s="8">
        <f>IF(OR(C21="",X21=""),"",C21*(1+X21))</f>
        <v>0</v>
      </c>
      <c r="Z21" s="8">
        <f>IF(B21="","",IFERROR(INDEX(Ingredients!$O$5:$O$304,MATCH(B21,Ingredients!$A$5:$A$304,0)),""))</f>
        <v>0</v>
      </c>
      <c r="AA21" s="8">
        <f>IF(B21="","",IF(R21&gt;=C21,"In pantry","To buy"))</f>
        <v>0</v>
      </c>
      <c r="AB21" s="8">
        <f>IF(A21="","",COUNTIFS($A$5:A21,A21))</f>
        <v>0</v>
      </c>
      <c r="AC21" s="8">
        <f>IF(B21="","",IF(COUNTIFS('Dietary Filters'!$C$5:$C$104,B21)&gt;0,"Check","OK"))</f>
        <v>0</v>
      </c>
      <c r="AD21" s="25"/>
    </row>
    <row r="22" spans="1:30">
      <c r="A22" s="7"/>
      <c r="B22" s="7"/>
      <c r="C22" s="26"/>
      <c r="D22" s="27"/>
      <c r="E22" s="8">
        <f>IF(B22="","",IFERROR(INDEX(Ingredients!$B$5:$B$304,MATCH(B22,Ingredients!$A$5:$A$304,0)),""))</f>
        <v>0</v>
      </c>
      <c r="F22" s="8">
        <f>IF(B22="","",IFERROR(INDEX(Ingredients!$E$5:$E$304,MATCH(B22,Ingredients!$A$5:$A$304,0)),""))</f>
        <v>0</v>
      </c>
      <c r="G22" s="8">
        <f>IF(B22="","",IFERROR(INDEX(Ingredients!$D$5:$D$304,MATCH(B22,Ingredients!$A$5:$A$304,0)),""))</f>
        <v>0</v>
      </c>
      <c r="H22" s="8">
        <f>IF(OR(B22="",C22=""),"",IFERROR(C22*G22,""))</f>
        <v>0</v>
      </c>
      <c r="I22" s="8">
        <f>IF(A22="","",IFERROR(INDEX(Recipes!$D$5:$D$204,MATCH(A22,Recipes!$A$5:$A$204,0)),""))</f>
        <v>0</v>
      </c>
      <c r="J22" s="8">
        <f>IF(OR(H22="",I22="",I22=0),"",IFERROR(H22/I22,""))</f>
        <v>0</v>
      </c>
      <c r="K22" s="8">
        <f>IF(OR(B22="",C22=""),"",IFERROR(C22*IFERROR(INDEX(Ingredients!$H$5:$H$304,MATCH(B22,Ingredients!$A$5:$A$304,0)),""),""))</f>
        <v>0</v>
      </c>
      <c r="L22" s="8">
        <f>IF(OR(B22="",C22=""),"",IFERROR(C22*IFERROR(INDEX(Ingredients!$I$5:$I$304,MATCH(B22,Ingredients!$A$5:$A$304,0)),""),""))</f>
        <v>0</v>
      </c>
      <c r="M22" s="8">
        <f>IF(OR(B22="",C22=""),"",IFERROR(C22*IFERROR(INDEX(Ingredients!$J$5:$J$304,MATCH(B22,Ingredients!$A$5:$A$304,0)),""),""))</f>
        <v>0</v>
      </c>
      <c r="N22" s="8">
        <f>IF(OR(B22="",C22=""),"",IFERROR(C22*IFERROR(INDEX(Ingredients!$K$5:$K$304,MATCH(B22,Ingredients!$A$5:$A$304,0)),""),""))</f>
        <v>0</v>
      </c>
      <c r="O22" s="8">
        <f>IF(OR(B22="",C22=""),"",IFERROR(C22*IFERROR(INDEX(Ingredients!$L$5:$L$304,MATCH(B22,Ingredients!$A$5:$A$304,0)),""),""))</f>
        <v>0</v>
      </c>
      <c r="P22" s="8">
        <f>IF(OR(H22="",A22=""),"",IFERROR(H22/SUMIFS('Recipe Ingredients'!$H$5:$H$1204,'Recipe Ingredients'!$A$5:$A$1204,A22),""))</f>
        <v>0</v>
      </c>
      <c r="Q22" s="8">
        <f>IF(H22="","",COUNTIFS($H$5:$H$1204,"&gt;"&amp;H22)+1)</f>
        <v>0</v>
      </c>
      <c r="R22" s="8">
        <f>IF(B22="","",SUMIFS(Pantry!$C$5:$C$304,Pantry!$A$5:$A$304,B22))</f>
        <v>0</v>
      </c>
      <c r="S22" s="8">
        <f>IF(OR(B22="",C22=""),"",MAX(0,C22-R22))</f>
        <v>0</v>
      </c>
      <c r="T22" s="26"/>
      <c r="U22" s="8">
        <f>IF(OR(T22="",T22=0,G22=""),"",T22*G22)</f>
        <v>0</v>
      </c>
      <c r="V22" s="8">
        <f>IF(OR(S22="",T22="",T22=0),"",CEILING(S22/T22,1))</f>
        <v>0</v>
      </c>
      <c r="W22" s="27"/>
      <c r="X22" s="29"/>
      <c r="Y22" s="8">
        <f>IF(OR(C22="",X22=""),"",C22*(1+X22))</f>
        <v>0</v>
      </c>
      <c r="Z22" s="8">
        <f>IF(B22="","",IFERROR(INDEX(Ingredients!$O$5:$O$304,MATCH(B22,Ingredients!$A$5:$A$304,0)),""))</f>
        <v>0</v>
      </c>
      <c r="AA22" s="8">
        <f>IF(B22="","",IF(R22&gt;=C22,"In pantry","To buy"))</f>
        <v>0</v>
      </c>
      <c r="AB22" s="8">
        <f>IF(A22="","",COUNTIFS($A$5:A22,A22))</f>
        <v>0</v>
      </c>
      <c r="AC22" s="8">
        <f>IF(B22="","",IF(COUNTIFS('Dietary Filters'!$C$5:$C$104,B22)&gt;0,"Check","OK"))</f>
        <v>0</v>
      </c>
      <c r="AD22" s="25"/>
    </row>
    <row r="23" spans="1:30">
      <c r="A23" s="7"/>
      <c r="B23" s="7"/>
      <c r="C23" s="26"/>
      <c r="D23" s="27"/>
      <c r="E23" s="8">
        <f>IF(B23="","",IFERROR(INDEX(Ingredients!$B$5:$B$304,MATCH(B23,Ingredients!$A$5:$A$304,0)),""))</f>
        <v>0</v>
      </c>
      <c r="F23" s="8">
        <f>IF(B23="","",IFERROR(INDEX(Ingredients!$E$5:$E$304,MATCH(B23,Ingredients!$A$5:$A$304,0)),""))</f>
        <v>0</v>
      </c>
      <c r="G23" s="8">
        <f>IF(B23="","",IFERROR(INDEX(Ingredients!$D$5:$D$304,MATCH(B23,Ingredients!$A$5:$A$304,0)),""))</f>
        <v>0</v>
      </c>
      <c r="H23" s="8">
        <f>IF(OR(B23="",C23=""),"",IFERROR(C23*G23,""))</f>
        <v>0</v>
      </c>
      <c r="I23" s="8">
        <f>IF(A23="","",IFERROR(INDEX(Recipes!$D$5:$D$204,MATCH(A23,Recipes!$A$5:$A$204,0)),""))</f>
        <v>0</v>
      </c>
      <c r="J23" s="8">
        <f>IF(OR(H23="",I23="",I23=0),"",IFERROR(H23/I23,""))</f>
        <v>0</v>
      </c>
      <c r="K23" s="8">
        <f>IF(OR(B23="",C23=""),"",IFERROR(C23*IFERROR(INDEX(Ingredients!$H$5:$H$304,MATCH(B23,Ingredients!$A$5:$A$304,0)),""),""))</f>
        <v>0</v>
      </c>
      <c r="L23" s="8">
        <f>IF(OR(B23="",C23=""),"",IFERROR(C23*IFERROR(INDEX(Ingredients!$I$5:$I$304,MATCH(B23,Ingredients!$A$5:$A$304,0)),""),""))</f>
        <v>0</v>
      </c>
      <c r="M23" s="8">
        <f>IF(OR(B23="",C23=""),"",IFERROR(C23*IFERROR(INDEX(Ingredients!$J$5:$J$304,MATCH(B23,Ingredients!$A$5:$A$304,0)),""),""))</f>
        <v>0</v>
      </c>
      <c r="N23" s="8">
        <f>IF(OR(B23="",C23=""),"",IFERROR(C23*IFERROR(INDEX(Ingredients!$K$5:$K$304,MATCH(B23,Ingredients!$A$5:$A$304,0)),""),""))</f>
        <v>0</v>
      </c>
      <c r="O23" s="8">
        <f>IF(OR(B23="",C23=""),"",IFERROR(C23*IFERROR(INDEX(Ingredients!$L$5:$L$304,MATCH(B23,Ingredients!$A$5:$A$304,0)),""),""))</f>
        <v>0</v>
      </c>
      <c r="P23" s="8">
        <f>IF(OR(H23="",A23=""),"",IFERROR(H23/SUMIFS('Recipe Ingredients'!$H$5:$H$1204,'Recipe Ingredients'!$A$5:$A$1204,A23),""))</f>
        <v>0</v>
      </c>
      <c r="Q23" s="8">
        <f>IF(H23="","",COUNTIFS($H$5:$H$1204,"&gt;"&amp;H23)+1)</f>
        <v>0</v>
      </c>
      <c r="R23" s="8">
        <f>IF(B23="","",SUMIFS(Pantry!$C$5:$C$304,Pantry!$A$5:$A$304,B23))</f>
        <v>0</v>
      </c>
      <c r="S23" s="8">
        <f>IF(OR(B23="",C23=""),"",MAX(0,C23-R23))</f>
        <v>0</v>
      </c>
      <c r="T23" s="26"/>
      <c r="U23" s="8">
        <f>IF(OR(T23="",T23=0,G23=""),"",T23*G23)</f>
        <v>0</v>
      </c>
      <c r="V23" s="8">
        <f>IF(OR(S23="",T23="",T23=0),"",CEILING(S23/T23,1))</f>
        <v>0</v>
      </c>
      <c r="W23" s="27"/>
      <c r="X23" s="29"/>
      <c r="Y23" s="8">
        <f>IF(OR(C23="",X23=""),"",C23*(1+X23))</f>
        <v>0</v>
      </c>
      <c r="Z23" s="8">
        <f>IF(B23="","",IFERROR(INDEX(Ingredients!$O$5:$O$304,MATCH(B23,Ingredients!$A$5:$A$304,0)),""))</f>
        <v>0</v>
      </c>
      <c r="AA23" s="8">
        <f>IF(B23="","",IF(R23&gt;=C23,"In pantry","To buy"))</f>
        <v>0</v>
      </c>
      <c r="AB23" s="8">
        <f>IF(A23="","",COUNTIFS($A$5:A23,A23))</f>
        <v>0</v>
      </c>
      <c r="AC23" s="8">
        <f>IF(B23="","",IF(COUNTIFS('Dietary Filters'!$C$5:$C$104,B23)&gt;0,"Check","OK"))</f>
        <v>0</v>
      </c>
      <c r="AD23" s="25"/>
    </row>
    <row r="24" spans="1:30">
      <c r="A24" s="7"/>
      <c r="B24" s="7"/>
      <c r="C24" s="26"/>
      <c r="D24" s="27"/>
      <c r="E24" s="8">
        <f>IF(B24="","",IFERROR(INDEX(Ingredients!$B$5:$B$304,MATCH(B24,Ingredients!$A$5:$A$304,0)),""))</f>
        <v>0</v>
      </c>
      <c r="F24" s="8">
        <f>IF(B24="","",IFERROR(INDEX(Ingredients!$E$5:$E$304,MATCH(B24,Ingredients!$A$5:$A$304,0)),""))</f>
        <v>0</v>
      </c>
      <c r="G24" s="8">
        <f>IF(B24="","",IFERROR(INDEX(Ingredients!$D$5:$D$304,MATCH(B24,Ingredients!$A$5:$A$304,0)),""))</f>
        <v>0</v>
      </c>
      <c r="H24" s="8">
        <f>IF(OR(B24="",C24=""),"",IFERROR(C24*G24,""))</f>
        <v>0</v>
      </c>
      <c r="I24" s="8">
        <f>IF(A24="","",IFERROR(INDEX(Recipes!$D$5:$D$204,MATCH(A24,Recipes!$A$5:$A$204,0)),""))</f>
        <v>0</v>
      </c>
      <c r="J24" s="8">
        <f>IF(OR(H24="",I24="",I24=0),"",IFERROR(H24/I24,""))</f>
        <v>0</v>
      </c>
      <c r="K24" s="8">
        <f>IF(OR(B24="",C24=""),"",IFERROR(C24*IFERROR(INDEX(Ingredients!$H$5:$H$304,MATCH(B24,Ingredients!$A$5:$A$304,0)),""),""))</f>
        <v>0</v>
      </c>
      <c r="L24" s="8">
        <f>IF(OR(B24="",C24=""),"",IFERROR(C24*IFERROR(INDEX(Ingredients!$I$5:$I$304,MATCH(B24,Ingredients!$A$5:$A$304,0)),""),""))</f>
        <v>0</v>
      </c>
      <c r="M24" s="8">
        <f>IF(OR(B24="",C24=""),"",IFERROR(C24*IFERROR(INDEX(Ingredients!$J$5:$J$304,MATCH(B24,Ingredients!$A$5:$A$304,0)),""),""))</f>
        <v>0</v>
      </c>
      <c r="N24" s="8">
        <f>IF(OR(B24="",C24=""),"",IFERROR(C24*IFERROR(INDEX(Ingredients!$K$5:$K$304,MATCH(B24,Ingredients!$A$5:$A$304,0)),""),""))</f>
        <v>0</v>
      </c>
      <c r="O24" s="8">
        <f>IF(OR(B24="",C24=""),"",IFERROR(C24*IFERROR(INDEX(Ingredients!$L$5:$L$304,MATCH(B24,Ingredients!$A$5:$A$304,0)),""),""))</f>
        <v>0</v>
      </c>
      <c r="P24" s="8">
        <f>IF(OR(H24="",A24=""),"",IFERROR(H24/SUMIFS('Recipe Ingredients'!$H$5:$H$1204,'Recipe Ingredients'!$A$5:$A$1204,A24),""))</f>
        <v>0</v>
      </c>
      <c r="Q24" s="8">
        <f>IF(H24="","",COUNTIFS($H$5:$H$1204,"&gt;"&amp;H24)+1)</f>
        <v>0</v>
      </c>
      <c r="R24" s="8">
        <f>IF(B24="","",SUMIFS(Pantry!$C$5:$C$304,Pantry!$A$5:$A$304,B24))</f>
        <v>0</v>
      </c>
      <c r="S24" s="8">
        <f>IF(OR(B24="",C24=""),"",MAX(0,C24-R24))</f>
        <v>0</v>
      </c>
      <c r="T24" s="26"/>
      <c r="U24" s="8">
        <f>IF(OR(T24="",T24=0,G24=""),"",T24*G24)</f>
        <v>0</v>
      </c>
      <c r="V24" s="8">
        <f>IF(OR(S24="",T24="",T24=0),"",CEILING(S24/T24,1))</f>
        <v>0</v>
      </c>
      <c r="W24" s="27"/>
      <c r="X24" s="29"/>
      <c r="Y24" s="8">
        <f>IF(OR(C24="",X24=""),"",C24*(1+X24))</f>
        <v>0</v>
      </c>
      <c r="Z24" s="8">
        <f>IF(B24="","",IFERROR(INDEX(Ingredients!$O$5:$O$304,MATCH(B24,Ingredients!$A$5:$A$304,0)),""))</f>
        <v>0</v>
      </c>
      <c r="AA24" s="8">
        <f>IF(B24="","",IF(R24&gt;=C24,"In pantry","To buy"))</f>
        <v>0</v>
      </c>
      <c r="AB24" s="8">
        <f>IF(A24="","",COUNTIFS($A$5:A24,A24))</f>
        <v>0</v>
      </c>
      <c r="AC24" s="8">
        <f>IF(B24="","",IF(COUNTIFS('Dietary Filters'!$C$5:$C$104,B24)&gt;0,"Check","OK"))</f>
        <v>0</v>
      </c>
      <c r="AD24" s="25"/>
    </row>
    <row r="25" spans="1:30">
      <c r="A25" s="7"/>
      <c r="B25" s="7"/>
      <c r="C25" s="26"/>
      <c r="D25" s="27"/>
      <c r="E25" s="8">
        <f>IF(B25="","",IFERROR(INDEX(Ingredients!$B$5:$B$304,MATCH(B25,Ingredients!$A$5:$A$304,0)),""))</f>
        <v>0</v>
      </c>
      <c r="F25" s="8">
        <f>IF(B25="","",IFERROR(INDEX(Ingredients!$E$5:$E$304,MATCH(B25,Ingredients!$A$5:$A$304,0)),""))</f>
        <v>0</v>
      </c>
      <c r="G25" s="8">
        <f>IF(B25="","",IFERROR(INDEX(Ingredients!$D$5:$D$304,MATCH(B25,Ingredients!$A$5:$A$304,0)),""))</f>
        <v>0</v>
      </c>
      <c r="H25" s="8">
        <f>IF(OR(B25="",C25=""),"",IFERROR(C25*G25,""))</f>
        <v>0</v>
      </c>
      <c r="I25" s="8">
        <f>IF(A25="","",IFERROR(INDEX(Recipes!$D$5:$D$204,MATCH(A25,Recipes!$A$5:$A$204,0)),""))</f>
        <v>0</v>
      </c>
      <c r="J25" s="8">
        <f>IF(OR(H25="",I25="",I25=0),"",IFERROR(H25/I25,""))</f>
        <v>0</v>
      </c>
      <c r="K25" s="8">
        <f>IF(OR(B25="",C25=""),"",IFERROR(C25*IFERROR(INDEX(Ingredients!$H$5:$H$304,MATCH(B25,Ingredients!$A$5:$A$304,0)),""),""))</f>
        <v>0</v>
      </c>
      <c r="L25" s="8">
        <f>IF(OR(B25="",C25=""),"",IFERROR(C25*IFERROR(INDEX(Ingredients!$I$5:$I$304,MATCH(B25,Ingredients!$A$5:$A$304,0)),""),""))</f>
        <v>0</v>
      </c>
      <c r="M25" s="8">
        <f>IF(OR(B25="",C25=""),"",IFERROR(C25*IFERROR(INDEX(Ingredients!$J$5:$J$304,MATCH(B25,Ingredients!$A$5:$A$304,0)),""),""))</f>
        <v>0</v>
      </c>
      <c r="N25" s="8">
        <f>IF(OR(B25="",C25=""),"",IFERROR(C25*IFERROR(INDEX(Ingredients!$K$5:$K$304,MATCH(B25,Ingredients!$A$5:$A$304,0)),""),""))</f>
        <v>0</v>
      </c>
      <c r="O25" s="8">
        <f>IF(OR(B25="",C25=""),"",IFERROR(C25*IFERROR(INDEX(Ingredients!$L$5:$L$304,MATCH(B25,Ingredients!$A$5:$A$304,0)),""),""))</f>
        <v>0</v>
      </c>
      <c r="P25" s="8">
        <f>IF(OR(H25="",A25=""),"",IFERROR(H25/SUMIFS('Recipe Ingredients'!$H$5:$H$1204,'Recipe Ingredients'!$A$5:$A$1204,A25),""))</f>
        <v>0</v>
      </c>
      <c r="Q25" s="8">
        <f>IF(H25="","",COUNTIFS($H$5:$H$1204,"&gt;"&amp;H25)+1)</f>
        <v>0</v>
      </c>
      <c r="R25" s="8">
        <f>IF(B25="","",SUMIFS(Pantry!$C$5:$C$304,Pantry!$A$5:$A$304,B25))</f>
        <v>0</v>
      </c>
      <c r="S25" s="8">
        <f>IF(OR(B25="",C25=""),"",MAX(0,C25-R25))</f>
        <v>0</v>
      </c>
      <c r="T25" s="26"/>
      <c r="U25" s="8">
        <f>IF(OR(T25="",T25=0,G25=""),"",T25*G25)</f>
        <v>0</v>
      </c>
      <c r="V25" s="8">
        <f>IF(OR(S25="",T25="",T25=0),"",CEILING(S25/T25,1))</f>
        <v>0</v>
      </c>
      <c r="W25" s="27"/>
      <c r="X25" s="29"/>
      <c r="Y25" s="8">
        <f>IF(OR(C25="",X25=""),"",C25*(1+X25))</f>
        <v>0</v>
      </c>
      <c r="Z25" s="8">
        <f>IF(B25="","",IFERROR(INDEX(Ingredients!$O$5:$O$304,MATCH(B25,Ingredients!$A$5:$A$304,0)),""))</f>
        <v>0</v>
      </c>
      <c r="AA25" s="8">
        <f>IF(B25="","",IF(R25&gt;=C25,"In pantry","To buy"))</f>
        <v>0</v>
      </c>
      <c r="AB25" s="8">
        <f>IF(A25="","",COUNTIFS($A$5:A25,A25))</f>
        <v>0</v>
      </c>
      <c r="AC25" s="8">
        <f>IF(B25="","",IF(COUNTIFS('Dietary Filters'!$C$5:$C$104,B25)&gt;0,"Check","OK"))</f>
        <v>0</v>
      </c>
      <c r="AD25" s="25"/>
    </row>
    <row r="26" spans="1:30">
      <c r="A26" s="7"/>
      <c r="B26" s="7"/>
      <c r="C26" s="26"/>
      <c r="D26" s="27"/>
      <c r="E26" s="8">
        <f>IF(B26="","",IFERROR(INDEX(Ingredients!$B$5:$B$304,MATCH(B26,Ingredients!$A$5:$A$304,0)),""))</f>
        <v>0</v>
      </c>
      <c r="F26" s="8">
        <f>IF(B26="","",IFERROR(INDEX(Ingredients!$E$5:$E$304,MATCH(B26,Ingredients!$A$5:$A$304,0)),""))</f>
        <v>0</v>
      </c>
      <c r="G26" s="8">
        <f>IF(B26="","",IFERROR(INDEX(Ingredients!$D$5:$D$304,MATCH(B26,Ingredients!$A$5:$A$304,0)),""))</f>
        <v>0</v>
      </c>
      <c r="H26" s="8">
        <f>IF(OR(B26="",C26=""),"",IFERROR(C26*G26,""))</f>
        <v>0</v>
      </c>
      <c r="I26" s="8">
        <f>IF(A26="","",IFERROR(INDEX(Recipes!$D$5:$D$204,MATCH(A26,Recipes!$A$5:$A$204,0)),""))</f>
        <v>0</v>
      </c>
      <c r="J26" s="8">
        <f>IF(OR(H26="",I26="",I26=0),"",IFERROR(H26/I26,""))</f>
        <v>0</v>
      </c>
      <c r="K26" s="8">
        <f>IF(OR(B26="",C26=""),"",IFERROR(C26*IFERROR(INDEX(Ingredients!$H$5:$H$304,MATCH(B26,Ingredients!$A$5:$A$304,0)),""),""))</f>
        <v>0</v>
      </c>
      <c r="L26" s="8">
        <f>IF(OR(B26="",C26=""),"",IFERROR(C26*IFERROR(INDEX(Ingredients!$I$5:$I$304,MATCH(B26,Ingredients!$A$5:$A$304,0)),""),""))</f>
        <v>0</v>
      </c>
      <c r="M26" s="8">
        <f>IF(OR(B26="",C26=""),"",IFERROR(C26*IFERROR(INDEX(Ingredients!$J$5:$J$304,MATCH(B26,Ingredients!$A$5:$A$304,0)),""),""))</f>
        <v>0</v>
      </c>
      <c r="N26" s="8">
        <f>IF(OR(B26="",C26=""),"",IFERROR(C26*IFERROR(INDEX(Ingredients!$K$5:$K$304,MATCH(B26,Ingredients!$A$5:$A$304,0)),""),""))</f>
        <v>0</v>
      </c>
      <c r="O26" s="8">
        <f>IF(OR(B26="",C26=""),"",IFERROR(C26*IFERROR(INDEX(Ingredients!$L$5:$L$304,MATCH(B26,Ingredients!$A$5:$A$304,0)),""),""))</f>
        <v>0</v>
      </c>
      <c r="P26" s="8">
        <f>IF(OR(H26="",A26=""),"",IFERROR(H26/SUMIFS('Recipe Ingredients'!$H$5:$H$1204,'Recipe Ingredients'!$A$5:$A$1204,A26),""))</f>
        <v>0</v>
      </c>
      <c r="Q26" s="8">
        <f>IF(H26="","",COUNTIFS($H$5:$H$1204,"&gt;"&amp;H26)+1)</f>
        <v>0</v>
      </c>
      <c r="R26" s="8">
        <f>IF(B26="","",SUMIFS(Pantry!$C$5:$C$304,Pantry!$A$5:$A$304,B26))</f>
        <v>0</v>
      </c>
      <c r="S26" s="8">
        <f>IF(OR(B26="",C26=""),"",MAX(0,C26-R26))</f>
        <v>0</v>
      </c>
      <c r="T26" s="26"/>
      <c r="U26" s="8">
        <f>IF(OR(T26="",T26=0,G26=""),"",T26*G26)</f>
        <v>0</v>
      </c>
      <c r="V26" s="8">
        <f>IF(OR(S26="",T26="",T26=0),"",CEILING(S26/T26,1))</f>
        <v>0</v>
      </c>
      <c r="W26" s="27"/>
      <c r="X26" s="29"/>
      <c r="Y26" s="8">
        <f>IF(OR(C26="",X26=""),"",C26*(1+X26))</f>
        <v>0</v>
      </c>
      <c r="Z26" s="8">
        <f>IF(B26="","",IFERROR(INDEX(Ingredients!$O$5:$O$304,MATCH(B26,Ingredients!$A$5:$A$304,0)),""))</f>
        <v>0</v>
      </c>
      <c r="AA26" s="8">
        <f>IF(B26="","",IF(R26&gt;=C26,"In pantry","To buy"))</f>
        <v>0</v>
      </c>
      <c r="AB26" s="8">
        <f>IF(A26="","",COUNTIFS($A$5:A26,A26))</f>
        <v>0</v>
      </c>
      <c r="AC26" s="8">
        <f>IF(B26="","",IF(COUNTIFS('Dietary Filters'!$C$5:$C$104,B26)&gt;0,"Check","OK"))</f>
        <v>0</v>
      </c>
      <c r="AD26" s="25"/>
    </row>
    <row r="27" spans="1:30">
      <c r="A27" s="7"/>
      <c r="B27" s="7"/>
      <c r="C27" s="26"/>
      <c r="D27" s="27"/>
      <c r="E27" s="8">
        <f>IF(B27="","",IFERROR(INDEX(Ingredients!$B$5:$B$304,MATCH(B27,Ingredients!$A$5:$A$304,0)),""))</f>
        <v>0</v>
      </c>
      <c r="F27" s="8">
        <f>IF(B27="","",IFERROR(INDEX(Ingredients!$E$5:$E$304,MATCH(B27,Ingredients!$A$5:$A$304,0)),""))</f>
        <v>0</v>
      </c>
      <c r="G27" s="8">
        <f>IF(B27="","",IFERROR(INDEX(Ingredients!$D$5:$D$304,MATCH(B27,Ingredients!$A$5:$A$304,0)),""))</f>
        <v>0</v>
      </c>
      <c r="H27" s="8">
        <f>IF(OR(B27="",C27=""),"",IFERROR(C27*G27,""))</f>
        <v>0</v>
      </c>
      <c r="I27" s="8">
        <f>IF(A27="","",IFERROR(INDEX(Recipes!$D$5:$D$204,MATCH(A27,Recipes!$A$5:$A$204,0)),""))</f>
        <v>0</v>
      </c>
      <c r="J27" s="8">
        <f>IF(OR(H27="",I27="",I27=0),"",IFERROR(H27/I27,""))</f>
        <v>0</v>
      </c>
      <c r="K27" s="8">
        <f>IF(OR(B27="",C27=""),"",IFERROR(C27*IFERROR(INDEX(Ingredients!$H$5:$H$304,MATCH(B27,Ingredients!$A$5:$A$304,0)),""),""))</f>
        <v>0</v>
      </c>
      <c r="L27" s="8">
        <f>IF(OR(B27="",C27=""),"",IFERROR(C27*IFERROR(INDEX(Ingredients!$I$5:$I$304,MATCH(B27,Ingredients!$A$5:$A$304,0)),""),""))</f>
        <v>0</v>
      </c>
      <c r="M27" s="8">
        <f>IF(OR(B27="",C27=""),"",IFERROR(C27*IFERROR(INDEX(Ingredients!$J$5:$J$304,MATCH(B27,Ingredients!$A$5:$A$304,0)),""),""))</f>
        <v>0</v>
      </c>
      <c r="N27" s="8">
        <f>IF(OR(B27="",C27=""),"",IFERROR(C27*IFERROR(INDEX(Ingredients!$K$5:$K$304,MATCH(B27,Ingredients!$A$5:$A$304,0)),""),""))</f>
        <v>0</v>
      </c>
      <c r="O27" s="8">
        <f>IF(OR(B27="",C27=""),"",IFERROR(C27*IFERROR(INDEX(Ingredients!$L$5:$L$304,MATCH(B27,Ingredients!$A$5:$A$304,0)),""),""))</f>
        <v>0</v>
      </c>
      <c r="P27" s="8">
        <f>IF(OR(H27="",A27=""),"",IFERROR(H27/SUMIFS('Recipe Ingredients'!$H$5:$H$1204,'Recipe Ingredients'!$A$5:$A$1204,A27),""))</f>
        <v>0</v>
      </c>
      <c r="Q27" s="8">
        <f>IF(H27="","",COUNTIFS($H$5:$H$1204,"&gt;"&amp;H27)+1)</f>
        <v>0</v>
      </c>
      <c r="R27" s="8">
        <f>IF(B27="","",SUMIFS(Pantry!$C$5:$C$304,Pantry!$A$5:$A$304,B27))</f>
        <v>0</v>
      </c>
      <c r="S27" s="8">
        <f>IF(OR(B27="",C27=""),"",MAX(0,C27-R27))</f>
        <v>0</v>
      </c>
      <c r="T27" s="26"/>
      <c r="U27" s="8">
        <f>IF(OR(T27="",T27=0,G27=""),"",T27*G27)</f>
        <v>0</v>
      </c>
      <c r="V27" s="8">
        <f>IF(OR(S27="",T27="",T27=0),"",CEILING(S27/T27,1))</f>
        <v>0</v>
      </c>
      <c r="W27" s="27"/>
      <c r="X27" s="29"/>
      <c r="Y27" s="8">
        <f>IF(OR(C27="",X27=""),"",C27*(1+X27))</f>
        <v>0</v>
      </c>
      <c r="Z27" s="8">
        <f>IF(B27="","",IFERROR(INDEX(Ingredients!$O$5:$O$304,MATCH(B27,Ingredients!$A$5:$A$304,0)),""))</f>
        <v>0</v>
      </c>
      <c r="AA27" s="8">
        <f>IF(B27="","",IF(R27&gt;=C27,"In pantry","To buy"))</f>
        <v>0</v>
      </c>
      <c r="AB27" s="8">
        <f>IF(A27="","",COUNTIFS($A$5:A27,A27))</f>
        <v>0</v>
      </c>
      <c r="AC27" s="8">
        <f>IF(B27="","",IF(COUNTIFS('Dietary Filters'!$C$5:$C$104,B27)&gt;0,"Check","OK"))</f>
        <v>0</v>
      </c>
      <c r="AD27" s="25"/>
    </row>
    <row r="28" spans="1:30">
      <c r="A28" s="7"/>
      <c r="B28" s="7"/>
      <c r="C28" s="26"/>
      <c r="D28" s="27"/>
      <c r="E28" s="8">
        <f>IF(B28="","",IFERROR(INDEX(Ingredients!$B$5:$B$304,MATCH(B28,Ingredients!$A$5:$A$304,0)),""))</f>
        <v>0</v>
      </c>
      <c r="F28" s="8">
        <f>IF(B28="","",IFERROR(INDEX(Ingredients!$E$5:$E$304,MATCH(B28,Ingredients!$A$5:$A$304,0)),""))</f>
        <v>0</v>
      </c>
      <c r="G28" s="8">
        <f>IF(B28="","",IFERROR(INDEX(Ingredients!$D$5:$D$304,MATCH(B28,Ingredients!$A$5:$A$304,0)),""))</f>
        <v>0</v>
      </c>
      <c r="H28" s="8">
        <f>IF(OR(B28="",C28=""),"",IFERROR(C28*G28,""))</f>
        <v>0</v>
      </c>
      <c r="I28" s="8">
        <f>IF(A28="","",IFERROR(INDEX(Recipes!$D$5:$D$204,MATCH(A28,Recipes!$A$5:$A$204,0)),""))</f>
        <v>0</v>
      </c>
      <c r="J28" s="8">
        <f>IF(OR(H28="",I28="",I28=0),"",IFERROR(H28/I28,""))</f>
        <v>0</v>
      </c>
      <c r="K28" s="8">
        <f>IF(OR(B28="",C28=""),"",IFERROR(C28*IFERROR(INDEX(Ingredients!$H$5:$H$304,MATCH(B28,Ingredients!$A$5:$A$304,0)),""),""))</f>
        <v>0</v>
      </c>
      <c r="L28" s="8">
        <f>IF(OR(B28="",C28=""),"",IFERROR(C28*IFERROR(INDEX(Ingredients!$I$5:$I$304,MATCH(B28,Ingredients!$A$5:$A$304,0)),""),""))</f>
        <v>0</v>
      </c>
      <c r="M28" s="8">
        <f>IF(OR(B28="",C28=""),"",IFERROR(C28*IFERROR(INDEX(Ingredients!$J$5:$J$304,MATCH(B28,Ingredients!$A$5:$A$304,0)),""),""))</f>
        <v>0</v>
      </c>
      <c r="N28" s="8">
        <f>IF(OR(B28="",C28=""),"",IFERROR(C28*IFERROR(INDEX(Ingredients!$K$5:$K$304,MATCH(B28,Ingredients!$A$5:$A$304,0)),""),""))</f>
        <v>0</v>
      </c>
      <c r="O28" s="8">
        <f>IF(OR(B28="",C28=""),"",IFERROR(C28*IFERROR(INDEX(Ingredients!$L$5:$L$304,MATCH(B28,Ingredients!$A$5:$A$304,0)),""),""))</f>
        <v>0</v>
      </c>
      <c r="P28" s="8">
        <f>IF(OR(H28="",A28=""),"",IFERROR(H28/SUMIFS('Recipe Ingredients'!$H$5:$H$1204,'Recipe Ingredients'!$A$5:$A$1204,A28),""))</f>
        <v>0</v>
      </c>
      <c r="Q28" s="8">
        <f>IF(H28="","",COUNTIFS($H$5:$H$1204,"&gt;"&amp;H28)+1)</f>
        <v>0</v>
      </c>
      <c r="R28" s="8">
        <f>IF(B28="","",SUMIFS(Pantry!$C$5:$C$304,Pantry!$A$5:$A$304,B28))</f>
        <v>0</v>
      </c>
      <c r="S28" s="8">
        <f>IF(OR(B28="",C28=""),"",MAX(0,C28-R28))</f>
        <v>0</v>
      </c>
      <c r="T28" s="26"/>
      <c r="U28" s="8">
        <f>IF(OR(T28="",T28=0,G28=""),"",T28*G28)</f>
        <v>0</v>
      </c>
      <c r="V28" s="8">
        <f>IF(OR(S28="",T28="",T28=0),"",CEILING(S28/T28,1))</f>
        <v>0</v>
      </c>
      <c r="W28" s="27"/>
      <c r="X28" s="29"/>
      <c r="Y28" s="8">
        <f>IF(OR(C28="",X28=""),"",C28*(1+X28))</f>
        <v>0</v>
      </c>
      <c r="Z28" s="8">
        <f>IF(B28="","",IFERROR(INDEX(Ingredients!$O$5:$O$304,MATCH(B28,Ingredients!$A$5:$A$304,0)),""))</f>
        <v>0</v>
      </c>
      <c r="AA28" s="8">
        <f>IF(B28="","",IF(R28&gt;=C28,"In pantry","To buy"))</f>
        <v>0</v>
      </c>
      <c r="AB28" s="8">
        <f>IF(A28="","",COUNTIFS($A$5:A28,A28))</f>
        <v>0</v>
      </c>
      <c r="AC28" s="8">
        <f>IF(B28="","",IF(COUNTIFS('Dietary Filters'!$C$5:$C$104,B28)&gt;0,"Check","OK"))</f>
        <v>0</v>
      </c>
      <c r="AD28" s="25"/>
    </row>
    <row r="29" spans="1:30">
      <c r="A29" s="7"/>
      <c r="B29" s="7"/>
      <c r="C29" s="26"/>
      <c r="D29" s="27"/>
      <c r="E29" s="8">
        <f>IF(B29="","",IFERROR(INDEX(Ingredients!$B$5:$B$304,MATCH(B29,Ingredients!$A$5:$A$304,0)),""))</f>
        <v>0</v>
      </c>
      <c r="F29" s="8">
        <f>IF(B29="","",IFERROR(INDEX(Ingredients!$E$5:$E$304,MATCH(B29,Ingredients!$A$5:$A$304,0)),""))</f>
        <v>0</v>
      </c>
      <c r="G29" s="8">
        <f>IF(B29="","",IFERROR(INDEX(Ingredients!$D$5:$D$304,MATCH(B29,Ingredients!$A$5:$A$304,0)),""))</f>
        <v>0</v>
      </c>
      <c r="H29" s="8">
        <f>IF(OR(B29="",C29=""),"",IFERROR(C29*G29,""))</f>
        <v>0</v>
      </c>
      <c r="I29" s="8">
        <f>IF(A29="","",IFERROR(INDEX(Recipes!$D$5:$D$204,MATCH(A29,Recipes!$A$5:$A$204,0)),""))</f>
        <v>0</v>
      </c>
      <c r="J29" s="8">
        <f>IF(OR(H29="",I29="",I29=0),"",IFERROR(H29/I29,""))</f>
        <v>0</v>
      </c>
      <c r="K29" s="8">
        <f>IF(OR(B29="",C29=""),"",IFERROR(C29*IFERROR(INDEX(Ingredients!$H$5:$H$304,MATCH(B29,Ingredients!$A$5:$A$304,0)),""),""))</f>
        <v>0</v>
      </c>
      <c r="L29" s="8">
        <f>IF(OR(B29="",C29=""),"",IFERROR(C29*IFERROR(INDEX(Ingredients!$I$5:$I$304,MATCH(B29,Ingredients!$A$5:$A$304,0)),""),""))</f>
        <v>0</v>
      </c>
      <c r="M29" s="8">
        <f>IF(OR(B29="",C29=""),"",IFERROR(C29*IFERROR(INDEX(Ingredients!$J$5:$J$304,MATCH(B29,Ingredients!$A$5:$A$304,0)),""),""))</f>
        <v>0</v>
      </c>
      <c r="N29" s="8">
        <f>IF(OR(B29="",C29=""),"",IFERROR(C29*IFERROR(INDEX(Ingredients!$K$5:$K$304,MATCH(B29,Ingredients!$A$5:$A$304,0)),""),""))</f>
        <v>0</v>
      </c>
      <c r="O29" s="8">
        <f>IF(OR(B29="",C29=""),"",IFERROR(C29*IFERROR(INDEX(Ingredients!$L$5:$L$304,MATCH(B29,Ingredients!$A$5:$A$304,0)),""),""))</f>
        <v>0</v>
      </c>
      <c r="P29" s="8">
        <f>IF(OR(H29="",A29=""),"",IFERROR(H29/SUMIFS('Recipe Ingredients'!$H$5:$H$1204,'Recipe Ingredients'!$A$5:$A$1204,A29),""))</f>
        <v>0</v>
      </c>
      <c r="Q29" s="8">
        <f>IF(H29="","",COUNTIFS($H$5:$H$1204,"&gt;"&amp;H29)+1)</f>
        <v>0</v>
      </c>
      <c r="R29" s="8">
        <f>IF(B29="","",SUMIFS(Pantry!$C$5:$C$304,Pantry!$A$5:$A$304,B29))</f>
        <v>0</v>
      </c>
      <c r="S29" s="8">
        <f>IF(OR(B29="",C29=""),"",MAX(0,C29-R29))</f>
        <v>0</v>
      </c>
      <c r="T29" s="26"/>
      <c r="U29" s="8">
        <f>IF(OR(T29="",T29=0,G29=""),"",T29*G29)</f>
        <v>0</v>
      </c>
      <c r="V29" s="8">
        <f>IF(OR(S29="",T29="",T29=0),"",CEILING(S29/T29,1))</f>
        <v>0</v>
      </c>
      <c r="W29" s="27"/>
      <c r="X29" s="29"/>
      <c r="Y29" s="8">
        <f>IF(OR(C29="",X29=""),"",C29*(1+X29))</f>
        <v>0</v>
      </c>
      <c r="Z29" s="8">
        <f>IF(B29="","",IFERROR(INDEX(Ingredients!$O$5:$O$304,MATCH(B29,Ingredients!$A$5:$A$304,0)),""))</f>
        <v>0</v>
      </c>
      <c r="AA29" s="8">
        <f>IF(B29="","",IF(R29&gt;=C29,"In pantry","To buy"))</f>
        <v>0</v>
      </c>
      <c r="AB29" s="8">
        <f>IF(A29="","",COUNTIFS($A$5:A29,A29))</f>
        <v>0</v>
      </c>
      <c r="AC29" s="8">
        <f>IF(B29="","",IF(COUNTIFS('Dietary Filters'!$C$5:$C$104,B29)&gt;0,"Check","OK"))</f>
        <v>0</v>
      </c>
      <c r="AD29" s="25"/>
    </row>
    <row r="30" spans="1:30">
      <c r="A30" s="7"/>
      <c r="B30" s="7"/>
      <c r="C30" s="26"/>
      <c r="D30" s="27"/>
      <c r="E30" s="8">
        <f>IF(B30="","",IFERROR(INDEX(Ingredients!$B$5:$B$304,MATCH(B30,Ingredients!$A$5:$A$304,0)),""))</f>
        <v>0</v>
      </c>
      <c r="F30" s="8">
        <f>IF(B30="","",IFERROR(INDEX(Ingredients!$E$5:$E$304,MATCH(B30,Ingredients!$A$5:$A$304,0)),""))</f>
        <v>0</v>
      </c>
      <c r="G30" s="8">
        <f>IF(B30="","",IFERROR(INDEX(Ingredients!$D$5:$D$304,MATCH(B30,Ingredients!$A$5:$A$304,0)),""))</f>
        <v>0</v>
      </c>
      <c r="H30" s="8">
        <f>IF(OR(B30="",C30=""),"",IFERROR(C30*G30,""))</f>
        <v>0</v>
      </c>
      <c r="I30" s="8">
        <f>IF(A30="","",IFERROR(INDEX(Recipes!$D$5:$D$204,MATCH(A30,Recipes!$A$5:$A$204,0)),""))</f>
        <v>0</v>
      </c>
      <c r="J30" s="8">
        <f>IF(OR(H30="",I30="",I30=0),"",IFERROR(H30/I30,""))</f>
        <v>0</v>
      </c>
      <c r="K30" s="8">
        <f>IF(OR(B30="",C30=""),"",IFERROR(C30*IFERROR(INDEX(Ingredients!$H$5:$H$304,MATCH(B30,Ingredients!$A$5:$A$304,0)),""),""))</f>
        <v>0</v>
      </c>
      <c r="L30" s="8">
        <f>IF(OR(B30="",C30=""),"",IFERROR(C30*IFERROR(INDEX(Ingredients!$I$5:$I$304,MATCH(B30,Ingredients!$A$5:$A$304,0)),""),""))</f>
        <v>0</v>
      </c>
      <c r="M30" s="8">
        <f>IF(OR(B30="",C30=""),"",IFERROR(C30*IFERROR(INDEX(Ingredients!$J$5:$J$304,MATCH(B30,Ingredients!$A$5:$A$304,0)),""),""))</f>
        <v>0</v>
      </c>
      <c r="N30" s="8">
        <f>IF(OR(B30="",C30=""),"",IFERROR(C30*IFERROR(INDEX(Ingredients!$K$5:$K$304,MATCH(B30,Ingredients!$A$5:$A$304,0)),""),""))</f>
        <v>0</v>
      </c>
      <c r="O30" s="8">
        <f>IF(OR(B30="",C30=""),"",IFERROR(C30*IFERROR(INDEX(Ingredients!$L$5:$L$304,MATCH(B30,Ingredients!$A$5:$A$304,0)),""),""))</f>
        <v>0</v>
      </c>
      <c r="P30" s="8">
        <f>IF(OR(H30="",A30=""),"",IFERROR(H30/SUMIFS('Recipe Ingredients'!$H$5:$H$1204,'Recipe Ingredients'!$A$5:$A$1204,A30),""))</f>
        <v>0</v>
      </c>
      <c r="Q30" s="8">
        <f>IF(H30="","",COUNTIFS($H$5:$H$1204,"&gt;"&amp;H30)+1)</f>
        <v>0</v>
      </c>
      <c r="R30" s="8">
        <f>IF(B30="","",SUMIFS(Pantry!$C$5:$C$304,Pantry!$A$5:$A$304,B30))</f>
        <v>0</v>
      </c>
      <c r="S30" s="8">
        <f>IF(OR(B30="",C30=""),"",MAX(0,C30-R30))</f>
        <v>0</v>
      </c>
      <c r="T30" s="26"/>
      <c r="U30" s="8">
        <f>IF(OR(T30="",T30=0,G30=""),"",T30*G30)</f>
        <v>0</v>
      </c>
      <c r="V30" s="8">
        <f>IF(OR(S30="",T30="",T30=0),"",CEILING(S30/T30,1))</f>
        <v>0</v>
      </c>
      <c r="W30" s="27"/>
      <c r="X30" s="29"/>
      <c r="Y30" s="8">
        <f>IF(OR(C30="",X30=""),"",C30*(1+X30))</f>
        <v>0</v>
      </c>
      <c r="Z30" s="8">
        <f>IF(B30="","",IFERROR(INDEX(Ingredients!$O$5:$O$304,MATCH(B30,Ingredients!$A$5:$A$304,0)),""))</f>
        <v>0</v>
      </c>
      <c r="AA30" s="8">
        <f>IF(B30="","",IF(R30&gt;=C30,"In pantry","To buy"))</f>
        <v>0</v>
      </c>
      <c r="AB30" s="8">
        <f>IF(A30="","",COUNTIFS($A$5:A30,A30))</f>
        <v>0</v>
      </c>
      <c r="AC30" s="8">
        <f>IF(B30="","",IF(COUNTIFS('Dietary Filters'!$C$5:$C$104,B30)&gt;0,"Check","OK"))</f>
        <v>0</v>
      </c>
      <c r="AD30" s="25"/>
    </row>
    <row r="31" spans="1:30">
      <c r="A31" s="7"/>
      <c r="B31" s="7"/>
      <c r="C31" s="26"/>
      <c r="D31" s="27"/>
      <c r="E31" s="8">
        <f>IF(B31="","",IFERROR(INDEX(Ingredients!$B$5:$B$304,MATCH(B31,Ingredients!$A$5:$A$304,0)),""))</f>
        <v>0</v>
      </c>
      <c r="F31" s="8">
        <f>IF(B31="","",IFERROR(INDEX(Ingredients!$E$5:$E$304,MATCH(B31,Ingredients!$A$5:$A$304,0)),""))</f>
        <v>0</v>
      </c>
      <c r="G31" s="8">
        <f>IF(B31="","",IFERROR(INDEX(Ingredients!$D$5:$D$304,MATCH(B31,Ingredients!$A$5:$A$304,0)),""))</f>
        <v>0</v>
      </c>
      <c r="H31" s="8">
        <f>IF(OR(B31="",C31=""),"",IFERROR(C31*G31,""))</f>
        <v>0</v>
      </c>
      <c r="I31" s="8">
        <f>IF(A31="","",IFERROR(INDEX(Recipes!$D$5:$D$204,MATCH(A31,Recipes!$A$5:$A$204,0)),""))</f>
        <v>0</v>
      </c>
      <c r="J31" s="8">
        <f>IF(OR(H31="",I31="",I31=0),"",IFERROR(H31/I31,""))</f>
        <v>0</v>
      </c>
      <c r="K31" s="8">
        <f>IF(OR(B31="",C31=""),"",IFERROR(C31*IFERROR(INDEX(Ingredients!$H$5:$H$304,MATCH(B31,Ingredients!$A$5:$A$304,0)),""),""))</f>
        <v>0</v>
      </c>
      <c r="L31" s="8">
        <f>IF(OR(B31="",C31=""),"",IFERROR(C31*IFERROR(INDEX(Ingredients!$I$5:$I$304,MATCH(B31,Ingredients!$A$5:$A$304,0)),""),""))</f>
        <v>0</v>
      </c>
      <c r="M31" s="8">
        <f>IF(OR(B31="",C31=""),"",IFERROR(C31*IFERROR(INDEX(Ingredients!$J$5:$J$304,MATCH(B31,Ingredients!$A$5:$A$304,0)),""),""))</f>
        <v>0</v>
      </c>
      <c r="N31" s="8">
        <f>IF(OR(B31="",C31=""),"",IFERROR(C31*IFERROR(INDEX(Ingredients!$K$5:$K$304,MATCH(B31,Ingredients!$A$5:$A$304,0)),""),""))</f>
        <v>0</v>
      </c>
      <c r="O31" s="8">
        <f>IF(OR(B31="",C31=""),"",IFERROR(C31*IFERROR(INDEX(Ingredients!$L$5:$L$304,MATCH(B31,Ingredients!$A$5:$A$304,0)),""),""))</f>
        <v>0</v>
      </c>
      <c r="P31" s="8">
        <f>IF(OR(H31="",A31=""),"",IFERROR(H31/SUMIFS('Recipe Ingredients'!$H$5:$H$1204,'Recipe Ingredients'!$A$5:$A$1204,A31),""))</f>
        <v>0</v>
      </c>
      <c r="Q31" s="8">
        <f>IF(H31="","",COUNTIFS($H$5:$H$1204,"&gt;"&amp;H31)+1)</f>
        <v>0</v>
      </c>
      <c r="R31" s="8">
        <f>IF(B31="","",SUMIFS(Pantry!$C$5:$C$304,Pantry!$A$5:$A$304,B31))</f>
        <v>0</v>
      </c>
      <c r="S31" s="8">
        <f>IF(OR(B31="",C31=""),"",MAX(0,C31-R31))</f>
        <v>0</v>
      </c>
      <c r="T31" s="26"/>
      <c r="U31" s="8">
        <f>IF(OR(T31="",T31=0,G31=""),"",T31*G31)</f>
        <v>0</v>
      </c>
      <c r="V31" s="8">
        <f>IF(OR(S31="",T31="",T31=0),"",CEILING(S31/T31,1))</f>
        <v>0</v>
      </c>
      <c r="W31" s="27"/>
      <c r="X31" s="29"/>
      <c r="Y31" s="8">
        <f>IF(OR(C31="",X31=""),"",C31*(1+X31))</f>
        <v>0</v>
      </c>
      <c r="Z31" s="8">
        <f>IF(B31="","",IFERROR(INDEX(Ingredients!$O$5:$O$304,MATCH(B31,Ingredients!$A$5:$A$304,0)),""))</f>
        <v>0</v>
      </c>
      <c r="AA31" s="8">
        <f>IF(B31="","",IF(R31&gt;=C31,"In pantry","To buy"))</f>
        <v>0</v>
      </c>
      <c r="AB31" s="8">
        <f>IF(A31="","",COUNTIFS($A$5:A31,A31))</f>
        <v>0</v>
      </c>
      <c r="AC31" s="8">
        <f>IF(B31="","",IF(COUNTIFS('Dietary Filters'!$C$5:$C$104,B31)&gt;0,"Check","OK"))</f>
        <v>0</v>
      </c>
      <c r="AD31" s="25"/>
    </row>
    <row r="32" spans="1:30">
      <c r="A32" s="7"/>
      <c r="B32" s="7"/>
      <c r="C32" s="26"/>
      <c r="D32" s="27"/>
      <c r="E32" s="8">
        <f>IF(B32="","",IFERROR(INDEX(Ingredients!$B$5:$B$304,MATCH(B32,Ingredients!$A$5:$A$304,0)),""))</f>
        <v>0</v>
      </c>
      <c r="F32" s="8">
        <f>IF(B32="","",IFERROR(INDEX(Ingredients!$E$5:$E$304,MATCH(B32,Ingredients!$A$5:$A$304,0)),""))</f>
        <v>0</v>
      </c>
      <c r="G32" s="8">
        <f>IF(B32="","",IFERROR(INDEX(Ingredients!$D$5:$D$304,MATCH(B32,Ingredients!$A$5:$A$304,0)),""))</f>
        <v>0</v>
      </c>
      <c r="H32" s="8">
        <f>IF(OR(B32="",C32=""),"",IFERROR(C32*G32,""))</f>
        <v>0</v>
      </c>
      <c r="I32" s="8">
        <f>IF(A32="","",IFERROR(INDEX(Recipes!$D$5:$D$204,MATCH(A32,Recipes!$A$5:$A$204,0)),""))</f>
        <v>0</v>
      </c>
      <c r="J32" s="8">
        <f>IF(OR(H32="",I32="",I32=0),"",IFERROR(H32/I32,""))</f>
        <v>0</v>
      </c>
      <c r="K32" s="8">
        <f>IF(OR(B32="",C32=""),"",IFERROR(C32*IFERROR(INDEX(Ingredients!$H$5:$H$304,MATCH(B32,Ingredients!$A$5:$A$304,0)),""),""))</f>
        <v>0</v>
      </c>
      <c r="L32" s="8">
        <f>IF(OR(B32="",C32=""),"",IFERROR(C32*IFERROR(INDEX(Ingredients!$I$5:$I$304,MATCH(B32,Ingredients!$A$5:$A$304,0)),""),""))</f>
        <v>0</v>
      </c>
      <c r="M32" s="8">
        <f>IF(OR(B32="",C32=""),"",IFERROR(C32*IFERROR(INDEX(Ingredients!$J$5:$J$304,MATCH(B32,Ingredients!$A$5:$A$304,0)),""),""))</f>
        <v>0</v>
      </c>
      <c r="N32" s="8">
        <f>IF(OR(B32="",C32=""),"",IFERROR(C32*IFERROR(INDEX(Ingredients!$K$5:$K$304,MATCH(B32,Ingredients!$A$5:$A$304,0)),""),""))</f>
        <v>0</v>
      </c>
      <c r="O32" s="8">
        <f>IF(OR(B32="",C32=""),"",IFERROR(C32*IFERROR(INDEX(Ingredients!$L$5:$L$304,MATCH(B32,Ingredients!$A$5:$A$304,0)),""),""))</f>
        <v>0</v>
      </c>
      <c r="P32" s="8">
        <f>IF(OR(H32="",A32=""),"",IFERROR(H32/SUMIFS('Recipe Ingredients'!$H$5:$H$1204,'Recipe Ingredients'!$A$5:$A$1204,A32),""))</f>
        <v>0</v>
      </c>
      <c r="Q32" s="8">
        <f>IF(H32="","",COUNTIFS($H$5:$H$1204,"&gt;"&amp;H32)+1)</f>
        <v>0</v>
      </c>
      <c r="R32" s="8">
        <f>IF(B32="","",SUMIFS(Pantry!$C$5:$C$304,Pantry!$A$5:$A$304,B32))</f>
        <v>0</v>
      </c>
      <c r="S32" s="8">
        <f>IF(OR(B32="",C32=""),"",MAX(0,C32-R32))</f>
        <v>0</v>
      </c>
      <c r="T32" s="26"/>
      <c r="U32" s="8">
        <f>IF(OR(T32="",T32=0,G32=""),"",T32*G32)</f>
        <v>0</v>
      </c>
      <c r="V32" s="8">
        <f>IF(OR(S32="",T32="",T32=0),"",CEILING(S32/T32,1))</f>
        <v>0</v>
      </c>
      <c r="W32" s="27"/>
      <c r="X32" s="29"/>
      <c r="Y32" s="8">
        <f>IF(OR(C32="",X32=""),"",C32*(1+X32))</f>
        <v>0</v>
      </c>
      <c r="Z32" s="8">
        <f>IF(B32="","",IFERROR(INDEX(Ingredients!$O$5:$O$304,MATCH(B32,Ingredients!$A$5:$A$304,0)),""))</f>
        <v>0</v>
      </c>
      <c r="AA32" s="8">
        <f>IF(B32="","",IF(R32&gt;=C32,"In pantry","To buy"))</f>
        <v>0</v>
      </c>
      <c r="AB32" s="8">
        <f>IF(A32="","",COUNTIFS($A$5:A32,A32))</f>
        <v>0</v>
      </c>
      <c r="AC32" s="8">
        <f>IF(B32="","",IF(COUNTIFS('Dietary Filters'!$C$5:$C$104,B32)&gt;0,"Check","OK"))</f>
        <v>0</v>
      </c>
      <c r="AD32" s="25"/>
    </row>
    <row r="33" spans="1:30">
      <c r="A33" s="7"/>
      <c r="B33" s="7"/>
      <c r="C33" s="26"/>
      <c r="D33" s="27"/>
      <c r="E33" s="8">
        <f>IF(B33="","",IFERROR(INDEX(Ingredients!$B$5:$B$304,MATCH(B33,Ingredients!$A$5:$A$304,0)),""))</f>
        <v>0</v>
      </c>
      <c r="F33" s="8">
        <f>IF(B33="","",IFERROR(INDEX(Ingredients!$E$5:$E$304,MATCH(B33,Ingredients!$A$5:$A$304,0)),""))</f>
        <v>0</v>
      </c>
      <c r="G33" s="8">
        <f>IF(B33="","",IFERROR(INDEX(Ingredients!$D$5:$D$304,MATCH(B33,Ingredients!$A$5:$A$304,0)),""))</f>
        <v>0</v>
      </c>
      <c r="H33" s="8">
        <f>IF(OR(B33="",C33=""),"",IFERROR(C33*G33,""))</f>
        <v>0</v>
      </c>
      <c r="I33" s="8">
        <f>IF(A33="","",IFERROR(INDEX(Recipes!$D$5:$D$204,MATCH(A33,Recipes!$A$5:$A$204,0)),""))</f>
        <v>0</v>
      </c>
      <c r="J33" s="8">
        <f>IF(OR(H33="",I33="",I33=0),"",IFERROR(H33/I33,""))</f>
        <v>0</v>
      </c>
      <c r="K33" s="8">
        <f>IF(OR(B33="",C33=""),"",IFERROR(C33*IFERROR(INDEX(Ingredients!$H$5:$H$304,MATCH(B33,Ingredients!$A$5:$A$304,0)),""),""))</f>
        <v>0</v>
      </c>
      <c r="L33" s="8">
        <f>IF(OR(B33="",C33=""),"",IFERROR(C33*IFERROR(INDEX(Ingredients!$I$5:$I$304,MATCH(B33,Ingredients!$A$5:$A$304,0)),""),""))</f>
        <v>0</v>
      </c>
      <c r="M33" s="8">
        <f>IF(OR(B33="",C33=""),"",IFERROR(C33*IFERROR(INDEX(Ingredients!$J$5:$J$304,MATCH(B33,Ingredients!$A$5:$A$304,0)),""),""))</f>
        <v>0</v>
      </c>
      <c r="N33" s="8">
        <f>IF(OR(B33="",C33=""),"",IFERROR(C33*IFERROR(INDEX(Ingredients!$K$5:$K$304,MATCH(B33,Ingredients!$A$5:$A$304,0)),""),""))</f>
        <v>0</v>
      </c>
      <c r="O33" s="8">
        <f>IF(OR(B33="",C33=""),"",IFERROR(C33*IFERROR(INDEX(Ingredients!$L$5:$L$304,MATCH(B33,Ingredients!$A$5:$A$304,0)),""),""))</f>
        <v>0</v>
      </c>
      <c r="P33" s="8">
        <f>IF(OR(H33="",A33=""),"",IFERROR(H33/SUMIFS('Recipe Ingredients'!$H$5:$H$1204,'Recipe Ingredients'!$A$5:$A$1204,A33),""))</f>
        <v>0</v>
      </c>
      <c r="Q33" s="8">
        <f>IF(H33="","",COUNTIFS($H$5:$H$1204,"&gt;"&amp;H33)+1)</f>
        <v>0</v>
      </c>
      <c r="R33" s="8">
        <f>IF(B33="","",SUMIFS(Pantry!$C$5:$C$304,Pantry!$A$5:$A$304,B33))</f>
        <v>0</v>
      </c>
      <c r="S33" s="8">
        <f>IF(OR(B33="",C33=""),"",MAX(0,C33-R33))</f>
        <v>0</v>
      </c>
      <c r="T33" s="26"/>
      <c r="U33" s="8">
        <f>IF(OR(T33="",T33=0,G33=""),"",T33*G33)</f>
        <v>0</v>
      </c>
      <c r="V33" s="8">
        <f>IF(OR(S33="",T33="",T33=0),"",CEILING(S33/T33,1))</f>
        <v>0</v>
      </c>
      <c r="W33" s="27"/>
      <c r="X33" s="29"/>
      <c r="Y33" s="8">
        <f>IF(OR(C33="",X33=""),"",C33*(1+X33))</f>
        <v>0</v>
      </c>
      <c r="Z33" s="8">
        <f>IF(B33="","",IFERROR(INDEX(Ingredients!$O$5:$O$304,MATCH(B33,Ingredients!$A$5:$A$304,0)),""))</f>
        <v>0</v>
      </c>
      <c r="AA33" s="8">
        <f>IF(B33="","",IF(R33&gt;=C33,"In pantry","To buy"))</f>
        <v>0</v>
      </c>
      <c r="AB33" s="8">
        <f>IF(A33="","",COUNTIFS($A$5:A33,A33))</f>
        <v>0</v>
      </c>
      <c r="AC33" s="8">
        <f>IF(B33="","",IF(COUNTIFS('Dietary Filters'!$C$5:$C$104,B33)&gt;0,"Check","OK"))</f>
        <v>0</v>
      </c>
      <c r="AD33" s="25"/>
    </row>
    <row r="34" spans="1:30">
      <c r="A34" s="7"/>
      <c r="B34" s="7"/>
      <c r="C34" s="26"/>
      <c r="D34" s="27"/>
      <c r="E34" s="8">
        <f>IF(B34="","",IFERROR(INDEX(Ingredients!$B$5:$B$304,MATCH(B34,Ingredients!$A$5:$A$304,0)),""))</f>
        <v>0</v>
      </c>
      <c r="F34" s="8">
        <f>IF(B34="","",IFERROR(INDEX(Ingredients!$E$5:$E$304,MATCH(B34,Ingredients!$A$5:$A$304,0)),""))</f>
        <v>0</v>
      </c>
      <c r="G34" s="8">
        <f>IF(B34="","",IFERROR(INDEX(Ingredients!$D$5:$D$304,MATCH(B34,Ingredients!$A$5:$A$304,0)),""))</f>
        <v>0</v>
      </c>
      <c r="H34" s="8">
        <f>IF(OR(B34="",C34=""),"",IFERROR(C34*G34,""))</f>
        <v>0</v>
      </c>
      <c r="I34" s="8">
        <f>IF(A34="","",IFERROR(INDEX(Recipes!$D$5:$D$204,MATCH(A34,Recipes!$A$5:$A$204,0)),""))</f>
        <v>0</v>
      </c>
      <c r="J34" s="8">
        <f>IF(OR(H34="",I34="",I34=0),"",IFERROR(H34/I34,""))</f>
        <v>0</v>
      </c>
      <c r="K34" s="8">
        <f>IF(OR(B34="",C34=""),"",IFERROR(C34*IFERROR(INDEX(Ingredients!$H$5:$H$304,MATCH(B34,Ingredients!$A$5:$A$304,0)),""),""))</f>
        <v>0</v>
      </c>
      <c r="L34" s="8">
        <f>IF(OR(B34="",C34=""),"",IFERROR(C34*IFERROR(INDEX(Ingredients!$I$5:$I$304,MATCH(B34,Ingredients!$A$5:$A$304,0)),""),""))</f>
        <v>0</v>
      </c>
      <c r="M34" s="8">
        <f>IF(OR(B34="",C34=""),"",IFERROR(C34*IFERROR(INDEX(Ingredients!$J$5:$J$304,MATCH(B34,Ingredients!$A$5:$A$304,0)),""),""))</f>
        <v>0</v>
      </c>
      <c r="N34" s="8">
        <f>IF(OR(B34="",C34=""),"",IFERROR(C34*IFERROR(INDEX(Ingredients!$K$5:$K$304,MATCH(B34,Ingredients!$A$5:$A$304,0)),""),""))</f>
        <v>0</v>
      </c>
      <c r="O34" s="8">
        <f>IF(OR(B34="",C34=""),"",IFERROR(C34*IFERROR(INDEX(Ingredients!$L$5:$L$304,MATCH(B34,Ingredients!$A$5:$A$304,0)),""),""))</f>
        <v>0</v>
      </c>
      <c r="P34" s="8">
        <f>IF(OR(H34="",A34=""),"",IFERROR(H34/SUMIFS('Recipe Ingredients'!$H$5:$H$1204,'Recipe Ingredients'!$A$5:$A$1204,A34),""))</f>
        <v>0</v>
      </c>
      <c r="Q34" s="8">
        <f>IF(H34="","",COUNTIFS($H$5:$H$1204,"&gt;"&amp;H34)+1)</f>
        <v>0</v>
      </c>
      <c r="R34" s="8">
        <f>IF(B34="","",SUMIFS(Pantry!$C$5:$C$304,Pantry!$A$5:$A$304,B34))</f>
        <v>0</v>
      </c>
      <c r="S34" s="8">
        <f>IF(OR(B34="",C34=""),"",MAX(0,C34-R34))</f>
        <v>0</v>
      </c>
      <c r="T34" s="26"/>
      <c r="U34" s="8">
        <f>IF(OR(T34="",T34=0,G34=""),"",T34*G34)</f>
        <v>0</v>
      </c>
      <c r="V34" s="8">
        <f>IF(OR(S34="",T34="",T34=0),"",CEILING(S34/T34,1))</f>
        <v>0</v>
      </c>
      <c r="W34" s="27"/>
      <c r="X34" s="29"/>
      <c r="Y34" s="8">
        <f>IF(OR(C34="",X34=""),"",C34*(1+X34))</f>
        <v>0</v>
      </c>
      <c r="Z34" s="8">
        <f>IF(B34="","",IFERROR(INDEX(Ingredients!$O$5:$O$304,MATCH(B34,Ingredients!$A$5:$A$304,0)),""))</f>
        <v>0</v>
      </c>
      <c r="AA34" s="8">
        <f>IF(B34="","",IF(R34&gt;=C34,"In pantry","To buy"))</f>
        <v>0</v>
      </c>
      <c r="AB34" s="8">
        <f>IF(A34="","",COUNTIFS($A$5:A34,A34))</f>
        <v>0</v>
      </c>
      <c r="AC34" s="8">
        <f>IF(B34="","",IF(COUNTIFS('Dietary Filters'!$C$5:$C$104,B34)&gt;0,"Check","OK"))</f>
        <v>0</v>
      </c>
      <c r="AD34" s="25"/>
    </row>
    <row r="35" spans="1:30">
      <c r="A35" s="7"/>
      <c r="B35" s="7"/>
      <c r="C35" s="26"/>
      <c r="D35" s="27"/>
      <c r="E35" s="8">
        <f>IF(B35="","",IFERROR(INDEX(Ingredients!$B$5:$B$304,MATCH(B35,Ingredients!$A$5:$A$304,0)),""))</f>
        <v>0</v>
      </c>
      <c r="F35" s="8">
        <f>IF(B35="","",IFERROR(INDEX(Ingredients!$E$5:$E$304,MATCH(B35,Ingredients!$A$5:$A$304,0)),""))</f>
        <v>0</v>
      </c>
      <c r="G35" s="8">
        <f>IF(B35="","",IFERROR(INDEX(Ingredients!$D$5:$D$304,MATCH(B35,Ingredients!$A$5:$A$304,0)),""))</f>
        <v>0</v>
      </c>
      <c r="H35" s="8">
        <f>IF(OR(B35="",C35=""),"",IFERROR(C35*G35,""))</f>
        <v>0</v>
      </c>
      <c r="I35" s="8">
        <f>IF(A35="","",IFERROR(INDEX(Recipes!$D$5:$D$204,MATCH(A35,Recipes!$A$5:$A$204,0)),""))</f>
        <v>0</v>
      </c>
      <c r="J35" s="8">
        <f>IF(OR(H35="",I35="",I35=0),"",IFERROR(H35/I35,""))</f>
        <v>0</v>
      </c>
      <c r="K35" s="8">
        <f>IF(OR(B35="",C35=""),"",IFERROR(C35*IFERROR(INDEX(Ingredients!$H$5:$H$304,MATCH(B35,Ingredients!$A$5:$A$304,0)),""),""))</f>
        <v>0</v>
      </c>
      <c r="L35" s="8">
        <f>IF(OR(B35="",C35=""),"",IFERROR(C35*IFERROR(INDEX(Ingredients!$I$5:$I$304,MATCH(B35,Ingredients!$A$5:$A$304,0)),""),""))</f>
        <v>0</v>
      </c>
      <c r="M35" s="8">
        <f>IF(OR(B35="",C35=""),"",IFERROR(C35*IFERROR(INDEX(Ingredients!$J$5:$J$304,MATCH(B35,Ingredients!$A$5:$A$304,0)),""),""))</f>
        <v>0</v>
      </c>
      <c r="N35" s="8">
        <f>IF(OR(B35="",C35=""),"",IFERROR(C35*IFERROR(INDEX(Ingredients!$K$5:$K$304,MATCH(B35,Ingredients!$A$5:$A$304,0)),""),""))</f>
        <v>0</v>
      </c>
      <c r="O35" s="8">
        <f>IF(OR(B35="",C35=""),"",IFERROR(C35*IFERROR(INDEX(Ingredients!$L$5:$L$304,MATCH(B35,Ingredients!$A$5:$A$304,0)),""),""))</f>
        <v>0</v>
      </c>
      <c r="P35" s="8">
        <f>IF(OR(H35="",A35=""),"",IFERROR(H35/SUMIFS('Recipe Ingredients'!$H$5:$H$1204,'Recipe Ingredients'!$A$5:$A$1204,A35),""))</f>
        <v>0</v>
      </c>
      <c r="Q35" s="8">
        <f>IF(H35="","",COUNTIFS($H$5:$H$1204,"&gt;"&amp;H35)+1)</f>
        <v>0</v>
      </c>
      <c r="R35" s="8">
        <f>IF(B35="","",SUMIFS(Pantry!$C$5:$C$304,Pantry!$A$5:$A$304,B35))</f>
        <v>0</v>
      </c>
      <c r="S35" s="8">
        <f>IF(OR(B35="",C35=""),"",MAX(0,C35-R35))</f>
        <v>0</v>
      </c>
      <c r="T35" s="26"/>
      <c r="U35" s="8">
        <f>IF(OR(T35="",T35=0,G35=""),"",T35*G35)</f>
        <v>0</v>
      </c>
      <c r="V35" s="8">
        <f>IF(OR(S35="",T35="",T35=0),"",CEILING(S35/T35,1))</f>
        <v>0</v>
      </c>
      <c r="W35" s="27"/>
      <c r="X35" s="29"/>
      <c r="Y35" s="8">
        <f>IF(OR(C35="",X35=""),"",C35*(1+X35))</f>
        <v>0</v>
      </c>
      <c r="Z35" s="8">
        <f>IF(B35="","",IFERROR(INDEX(Ingredients!$O$5:$O$304,MATCH(B35,Ingredients!$A$5:$A$304,0)),""))</f>
        <v>0</v>
      </c>
      <c r="AA35" s="8">
        <f>IF(B35="","",IF(R35&gt;=C35,"In pantry","To buy"))</f>
        <v>0</v>
      </c>
      <c r="AB35" s="8">
        <f>IF(A35="","",COUNTIFS($A$5:A35,A35))</f>
        <v>0</v>
      </c>
      <c r="AC35" s="8">
        <f>IF(B35="","",IF(COUNTIFS('Dietary Filters'!$C$5:$C$104,B35)&gt;0,"Check","OK"))</f>
        <v>0</v>
      </c>
      <c r="AD35" s="25"/>
    </row>
    <row r="36" spans="1:30">
      <c r="A36" s="7"/>
      <c r="B36" s="7"/>
      <c r="C36" s="26"/>
      <c r="D36" s="27"/>
      <c r="E36" s="8">
        <f>IF(B36="","",IFERROR(INDEX(Ingredients!$B$5:$B$304,MATCH(B36,Ingredients!$A$5:$A$304,0)),""))</f>
        <v>0</v>
      </c>
      <c r="F36" s="8">
        <f>IF(B36="","",IFERROR(INDEX(Ingredients!$E$5:$E$304,MATCH(B36,Ingredients!$A$5:$A$304,0)),""))</f>
        <v>0</v>
      </c>
      <c r="G36" s="8">
        <f>IF(B36="","",IFERROR(INDEX(Ingredients!$D$5:$D$304,MATCH(B36,Ingredients!$A$5:$A$304,0)),""))</f>
        <v>0</v>
      </c>
      <c r="H36" s="8">
        <f>IF(OR(B36="",C36=""),"",IFERROR(C36*G36,""))</f>
        <v>0</v>
      </c>
      <c r="I36" s="8">
        <f>IF(A36="","",IFERROR(INDEX(Recipes!$D$5:$D$204,MATCH(A36,Recipes!$A$5:$A$204,0)),""))</f>
        <v>0</v>
      </c>
      <c r="J36" s="8">
        <f>IF(OR(H36="",I36="",I36=0),"",IFERROR(H36/I36,""))</f>
        <v>0</v>
      </c>
      <c r="K36" s="8">
        <f>IF(OR(B36="",C36=""),"",IFERROR(C36*IFERROR(INDEX(Ingredients!$H$5:$H$304,MATCH(B36,Ingredients!$A$5:$A$304,0)),""),""))</f>
        <v>0</v>
      </c>
      <c r="L36" s="8">
        <f>IF(OR(B36="",C36=""),"",IFERROR(C36*IFERROR(INDEX(Ingredients!$I$5:$I$304,MATCH(B36,Ingredients!$A$5:$A$304,0)),""),""))</f>
        <v>0</v>
      </c>
      <c r="M36" s="8">
        <f>IF(OR(B36="",C36=""),"",IFERROR(C36*IFERROR(INDEX(Ingredients!$J$5:$J$304,MATCH(B36,Ingredients!$A$5:$A$304,0)),""),""))</f>
        <v>0</v>
      </c>
      <c r="N36" s="8">
        <f>IF(OR(B36="",C36=""),"",IFERROR(C36*IFERROR(INDEX(Ingredients!$K$5:$K$304,MATCH(B36,Ingredients!$A$5:$A$304,0)),""),""))</f>
        <v>0</v>
      </c>
      <c r="O36" s="8">
        <f>IF(OR(B36="",C36=""),"",IFERROR(C36*IFERROR(INDEX(Ingredients!$L$5:$L$304,MATCH(B36,Ingredients!$A$5:$A$304,0)),""),""))</f>
        <v>0</v>
      </c>
      <c r="P36" s="8">
        <f>IF(OR(H36="",A36=""),"",IFERROR(H36/SUMIFS('Recipe Ingredients'!$H$5:$H$1204,'Recipe Ingredients'!$A$5:$A$1204,A36),""))</f>
        <v>0</v>
      </c>
      <c r="Q36" s="8">
        <f>IF(H36="","",COUNTIFS($H$5:$H$1204,"&gt;"&amp;H36)+1)</f>
        <v>0</v>
      </c>
      <c r="R36" s="8">
        <f>IF(B36="","",SUMIFS(Pantry!$C$5:$C$304,Pantry!$A$5:$A$304,B36))</f>
        <v>0</v>
      </c>
      <c r="S36" s="8">
        <f>IF(OR(B36="",C36=""),"",MAX(0,C36-R36))</f>
        <v>0</v>
      </c>
      <c r="T36" s="26"/>
      <c r="U36" s="8">
        <f>IF(OR(T36="",T36=0,G36=""),"",T36*G36)</f>
        <v>0</v>
      </c>
      <c r="V36" s="8">
        <f>IF(OR(S36="",T36="",T36=0),"",CEILING(S36/T36,1))</f>
        <v>0</v>
      </c>
      <c r="W36" s="27"/>
      <c r="X36" s="29"/>
      <c r="Y36" s="8">
        <f>IF(OR(C36="",X36=""),"",C36*(1+X36))</f>
        <v>0</v>
      </c>
      <c r="Z36" s="8">
        <f>IF(B36="","",IFERROR(INDEX(Ingredients!$O$5:$O$304,MATCH(B36,Ingredients!$A$5:$A$304,0)),""))</f>
        <v>0</v>
      </c>
      <c r="AA36" s="8">
        <f>IF(B36="","",IF(R36&gt;=C36,"In pantry","To buy"))</f>
        <v>0</v>
      </c>
      <c r="AB36" s="8">
        <f>IF(A36="","",COUNTIFS($A$5:A36,A36))</f>
        <v>0</v>
      </c>
      <c r="AC36" s="8">
        <f>IF(B36="","",IF(COUNTIFS('Dietary Filters'!$C$5:$C$104,B36)&gt;0,"Check","OK"))</f>
        <v>0</v>
      </c>
      <c r="AD36" s="25"/>
    </row>
    <row r="37" spans="1:30">
      <c r="A37" s="7"/>
      <c r="B37" s="7"/>
      <c r="C37" s="26"/>
      <c r="D37" s="27"/>
      <c r="E37" s="8">
        <f>IF(B37="","",IFERROR(INDEX(Ingredients!$B$5:$B$304,MATCH(B37,Ingredients!$A$5:$A$304,0)),""))</f>
        <v>0</v>
      </c>
      <c r="F37" s="8">
        <f>IF(B37="","",IFERROR(INDEX(Ingredients!$E$5:$E$304,MATCH(B37,Ingredients!$A$5:$A$304,0)),""))</f>
        <v>0</v>
      </c>
      <c r="G37" s="8">
        <f>IF(B37="","",IFERROR(INDEX(Ingredients!$D$5:$D$304,MATCH(B37,Ingredients!$A$5:$A$304,0)),""))</f>
        <v>0</v>
      </c>
      <c r="H37" s="8">
        <f>IF(OR(B37="",C37=""),"",IFERROR(C37*G37,""))</f>
        <v>0</v>
      </c>
      <c r="I37" s="8">
        <f>IF(A37="","",IFERROR(INDEX(Recipes!$D$5:$D$204,MATCH(A37,Recipes!$A$5:$A$204,0)),""))</f>
        <v>0</v>
      </c>
      <c r="J37" s="8">
        <f>IF(OR(H37="",I37="",I37=0),"",IFERROR(H37/I37,""))</f>
        <v>0</v>
      </c>
      <c r="K37" s="8">
        <f>IF(OR(B37="",C37=""),"",IFERROR(C37*IFERROR(INDEX(Ingredients!$H$5:$H$304,MATCH(B37,Ingredients!$A$5:$A$304,0)),""),""))</f>
        <v>0</v>
      </c>
      <c r="L37" s="8">
        <f>IF(OR(B37="",C37=""),"",IFERROR(C37*IFERROR(INDEX(Ingredients!$I$5:$I$304,MATCH(B37,Ingredients!$A$5:$A$304,0)),""),""))</f>
        <v>0</v>
      </c>
      <c r="M37" s="8">
        <f>IF(OR(B37="",C37=""),"",IFERROR(C37*IFERROR(INDEX(Ingredients!$J$5:$J$304,MATCH(B37,Ingredients!$A$5:$A$304,0)),""),""))</f>
        <v>0</v>
      </c>
      <c r="N37" s="8">
        <f>IF(OR(B37="",C37=""),"",IFERROR(C37*IFERROR(INDEX(Ingredients!$K$5:$K$304,MATCH(B37,Ingredients!$A$5:$A$304,0)),""),""))</f>
        <v>0</v>
      </c>
      <c r="O37" s="8">
        <f>IF(OR(B37="",C37=""),"",IFERROR(C37*IFERROR(INDEX(Ingredients!$L$5:$L$304,MATCH(B37,Ingredients!$A$5:$A$304,0)),""),""))</f>
        <v>0</v>
      </c>
      <c r="P37" s="8">
        <f>IF(OR(H37="",A37=""),"",IFERROR(H37/SUMIFS('Recipe Ingredients'!$H$5:$H$1204,'Recipe Ingredients'!$A$5:$A$1204,A37),""))</f>
        <v>0</v>
      </c>
      <c r="Q37" s="8">
        <f>IF(H37="","",COUNTIFS($H$5:$H$1204,"&gt;"&amp;H37)+1)</f>
        <v>0</v>
      </c>
      <c r="R37" s="8">
        <f>IF(B37="","",SUMIFS(Pantry!$C$5:$C$304,Pantry!$A$5:$A$304,B37))</f>
        <v>0</v>
      </c>
      <c r="S37" s="8">
        <f>IF(OR(B37="",C37=""),"",MAX(0,C37-R37))</f>
        <v>0</v>
      </c>
      <c r="T37" s="26"/>
      <c r="U37" s="8">
        <f>IF(OR(T37="",T37=0,G37=""),"",T37*G37)</f>
        <v>0</v>
      </c>
      <c r="V37" s="8">
        <f>IF(OR(S37="",T37="",T37=0),"",CEILING(S37/T37,1))</f>
        <v>0</v>
      </c>
      <c r="W37" s="27"/>
      <c r="X37" s="29"/>
      <c r="Y37" s="8">
        <f>IF(OR(C37="",X37=""),"",C37*(1+X37))</f>
        <v>0</v>
      </c>
      <c r="Z37" s="8">
        <f>IF(B37="","",IFERROR(INDEX(Ingredients!$O$5:$O$304,MATCH(B37,Ingredients!$A$5:$A$304,0)),""))</f>
        <v>0</v>
      </c>
      <c r="AA37" s="8">
        <f>IF(B37="","",IF(R37&gt;=C37,"In pantry","To buy"))</f>
        <v>0</v>
      </c>
      <c r="AB37" s="8">
        <f>IF(A37="","",COUNTIFS($A$5:A37,A37))</f>
        <v>0</v>
      </c>
      <c r="AC37" s="8">
        <f>IF(B37="","",IF(COUNTIFS('Dietary Filters'!$C$5:$C$104,B37)&gt;0,"Check","OK"))</f>
        <v>0</v>
      </c>
      <c r="AD37" s="25"/>
    </row>
    <row r="38" spans="1:30">
      <c r="A38" s="7"/>
      <c r="B38" s="7"/>
      <c r="C38" s="26"/>
      <c r="D38" s="27"/>
      <c r="E38" s="8">
        <f>IF(B38="","",IFERROR(INDEX(Ingredients!$B$5:$B$304,MATCH(B38,Ingredients!$A$5:$A$304,0)),""))</f>
        <v>0</v>
      </c>
      <c r="F38" s="8">
        <f>IF(B38="","",IFERROR(INDEX(Ingredients!$E$5:$E$304,MATCH(B38,Ingredients!$A$5:$A$304,0)),""))</f>
        <v>0</v>
      </c>
      <c r="G38" s="8">
        <f>IF(B38="","",IFERROR(INDEX(Ingredients!$D$5:$D$304,MATCH(B38,Ingredients!$A$5:$A$304,0)),""))</f>
        <v>0</v>
      </c>
      <c r="H38" s="8">
        <f>IF(OR(B38="",C38=""),"",IFERROR(C38*G38,""))</f>
        <v>0</v>
      </c>
      <c r="I38" s="8">
        <f>IF(A38="","",IFERROR(INDEX(Recipes!$D$5:$D$204,MATCH(A38,Recipes!$A$5:$A$204,0)),""))</f>
        <v>0</v>
      </c>
      <c r="J38" s="8">
        <f>IF(OR(H38="",I38="",I38=0),"",IFERROR(H38/I38,""))</f>
        <v>0</v>
      </c>
      <c r="K38" s="8">
        <f>IF(OR(B38="",C38=""),"",IFERROR(C38*IFERROR(INDEX(Ingredients!$H$5:$H$304,MATCH(B38,Ingredients!$A$5:$A$304,0)),""),""))</f>
        <v>0</v>
      </c>
      <c r="L38" s="8">
        <f>IF(OR(B38="",C38=""),"",IFERROR(C38*IFERROR(INDEX(Ingredients!$I$5:$I$304,MATCH(B38,Ingredients!$A$5:$A$304,0)),""),""))</f>
        <v>0</v>
      </c>
      <c r="M38" s="8">
        <f>IF(OR(B38="",C38=""),"",IFERROR(C38*IFERROR(INDEX(Ingredients!$J$5:$J$304,MATCH(B38,Ingredients!$A$5:$A$304,0)),""),""))</f>
        <v>0</v>
      </c>
      <c r="N38" s="8">
        <f>IF(OR(B38="",C38=""),"",IFERROR(C38*IFERROR(INDEX(Ingredients!$K$5:$K$304,MATCH(B38,Ingredients!$A$5:$A$304,0)),""),""))</f>
        <v>0</v>
      </c>
      <c r="O38" s="8">
        <f>IF(OR(B38="",C38=""),"",IFERROR(C38*IFERROR(INDEX(Ingredients!$L$5:$L$304,MATCH(B38,Ingredients!$A$5:$A$304,0)),""),""))</f>
        <v>0</v>
      </c>
      <c r="P38" s="8">
        <f>IF(OR(H38="",A38=""),"",IFERROR(H38/SUMIFS('Recipe Ingredients'!$H$5:$H$1204,'Recipe Ingredients'!$A$5:$A$1204,A38),""))</f>
        <v>0</v>
      </c>
      <c r="Q38" s="8">
        <f>IF(H38="","",COUNTIFS($H$5:$H$1204,"&gt;"&amp;H38)+1)</f>
        <v>0</v>
      </c>
      <c r="R38" s="8">
        <f>IF(B38="","",SUMIFS(Pantry!$C$5:$C$304,Pantry!$A$5:$A$304,B38))</f>
        <v>0</v>
      </c>
      <c r="S38" s="8">
        <f>IF(OR(B38="",C38=""),"",MAX(0,C38-R38))</f>
        <v>0</v>
      </c>
      <c r="T38" s="26"/>
      <c r="U38" s="8">
        <f>IF(OR(T38="",T38=0,G38=""),"",T38*G38)</f>
        <v>0</v>
      </c>
      <c r="V38" s="8">
        <f>IF(OR(S38="",T38="",T38=0),"",CEILING(S38/T38,1))</f>
        <v>0</v>
      </c>
      <c r="W38" s="27"/>
      <c r="X38" s="29"/>
      <c r="Y38" s="8">
        <f>IF(OR(C38="",X38=""),"",C38*(1+X38))</f>
        <v>0</v>
      </c>
      <c r="Z38" s="8">
        <f>IF(B38="","",IFERROR(INDEX(Ingredients!$O$5:$O$304,MATCH(B38,Ingredients!$A$5:$A$304,0)),""))</f>
        <v>0</v>
      </c>
      <c r="AA38" s="8">
        <f>IF(B38="","",IF(R38&gt;=C38,"In pantry","To buy"))</f>
        <v>0</v>
      </c>
      <c r="AB38" s="8">
        <f>IF(A38="","",COUNTIFS($A$5:A38,A38))</f>
        <v>0</v>
      </c>
      <c r="AC38" s="8">
        <f>IF(B38="","",IF(COUNTIFS('Dietary Filters'!$C$5:$C$104,B38)&gt;0,"Check","OK"))</f>
        <v>0</v>
      </c>
      <c r="AD38" s="25"/>
    </row>
    <row r="39" spans="1:30">
      <c r="A39" s="7"/>
      <c r="B39" s="7"/>
      <c r="C39" s="26"/>
      <c r="D39" s="27"/>
      <c r="E39" s="8">
        <f>IF(B39="","",IFERROR(INDEX(Ingredients!$B$5:$B$304,MATCH(B39,Ingredients!$A$5:$A$304,0)),""))</f>
        <v>0</v>
      </c>
      <c r="F39" s="8">
        <f>IF(B39="","",IFERROR(INDEX(Ingredients!$E$5:$E$304,MATCH(B39,Ingredients!$A$5:$A$304,0)),""))</f>
        <v>0</v>
      </c>
      <c r="G39" s="8">
        <f>IF(B39="","",IFERROR(INDEX(Ingredients!$D$5:$D$304,MATCH(B39,Ingredients!$A$5:$A$304,0)),""))</f>
        <v>0</v>
      </c>
      <c r="H39" s="8">
        <f>IF(OR(B39="",C39=""),"",IFERROR(C39*G39,""))</f>
        <v>0</v>
      </c>
      <c r="I39" s="8">
        <f>IF(A39="","",IFERROR(INDEX(Recipes!$D$5:$D$204,MATCH(A39,Recipes!$A$5:$A$204,0)),""))</f>
        <v>0</v>
      </c>
      <c r="J39" s="8">
        <f>IF(OR(H39="",I39="",I39=0),"",IFERROR(H39/I39,""))</f>
        <v>0</v>
      </c>
      <c r="K39" s="8">
        <f>IF(OR(B39="",C39=""),"",IFERROR(C39*IFERROR(INDEX(Ingredients!$H$5:$H$304,MATCH(B39,Ingredients!$A$5:$A$304,0)),""),""))</f>
        <v>0</v>
      </c>
      <c r="L39" s="8">
        <f>IF(OR(B39="",C39=""),"",IFERROR(C39*IFERROR(INDEX(Ingredients!$I$5:$I$304,MATCH(B39,Ingredients!$A$5:$A$304,0)),""),""))</f>
        <v>0</v>
      </c>
      <c r="M39" s="8">
        <f>IF(OR(B39="",C39=""),"",IFERROR(C39*IFERROR(INDEX(Ingredients!$J$5:$J$304,MATCH(B39,Ingredients!$A$5:$A$304,0)),""),""))</f>
        <v>0</v>
      </c>
      <c r="N39" s="8">
        <f>IF(OR(B39="",C39=""),"",IFERROR(C39*IFERROR(INDEX(Ingredients!$K$5:$K$304,MATCH(B39,Ingredients!$A$5:$A$304,0)),""),""))</f>
        <v>0</v>
      </c>
      <c r="O39" s="8">
        <f>IF(OR(B39="",C39=""),"",IFERROR(C39*IFERROR(INDEX(Ingredients!$L$5:$L$304,MATCH(B39,Ingredients!$A$5:$A$304,0)),""),""))</f>
        <v>0</v>
      </c>
      <c r="P39" s="8">
        <f>IF(OR(H39="",A39=""),"",IFERROR(H39/SUMIFS('Recipe Ingredients'!$H$5:$H$1204,'Recipe Ingredients'!$A$5:$A$1204,A39),""))</f>
        <v>0</v>
      </c>
      <c r="Q39" s="8">
        <f>IF(H39="","",COUNTIFS($H$5:$H$1204,"&gt;"&amp;H39)+1)</f>
        <v>0</v>
      </c>
      <c r="R39" s="8">
        <f>IF(B39="","",SUMIFS(Pantry!$C$5:$C$304,Pantry!$A$5:$A$304,B39))</f>
        <v>0</v>
      </c>
      <c r="S39" s="8">
        <f>IF(OR(B39="",C39=""),"",MAX(0,C39-R39))</f>
        <v>0</v>
      </c>
      <c r="T39" s="26"/>
      <c r="U39" s="8">
        <f>IF(OR(T39="",T39=0,G39=""),"",T39*G39)</f>
        <v>0</v>
      </c>
      <c r="V39" s="8">
        <f>IF(OR(S39="",T39="",T39=0),"",CEILING(S39/T39,1))</f>
        <v>0</v>
      </c>
      <c r="W39" s="27"/>
      <c r="X39" s="29"/>
      <c r="Y39" s="8">
        <f>IF(OR(C39="",X39=""),"",C39*(1+X39))</f>
        <v>0</v>
      </c>
      <c r="Z39" s="8">
        <f>IF(B39="","",IFERROR(INDEX(Ingredients!$O$5:$O$304,MATCH(B39,Ingredients!$A$5:$A$304,0)),""))</f>
        <v>0</v>
      </c>
      <c r="AA39" s="8">
        <f>IF(B39="","",IF(R39&gt;=C39,"In pantry","To buy"))</f>
        <v>0</v>
      </c>
      <c r="AB39" s="8">
        <f>IF(A39="","",COUNTIFS($A$5:A39,A39))</f>
        <v>0</v>
      </c>
      <c r="AC39" s="8">
        <f>IF(B39="","",IF(COUNTIFS('Dietary Filters'!$C$5:$C$104,B39)&gt;0,"Check","OK"))</f>
        <v>0</v>
      </c>
      <c r="AD39" s="25"/>
    </row>
    <row r="40" spans="1:30">
      <c r="A40" s="7"/>
      <c r="B40" s="7"/>
      <c r="C40" s="26"/>
      <c r="D40" s="27"/>
      <c r="E40" s="8">
        <f>IF(B40="","",IFERROR(INDEX(Ingredients!$B$5:$B$304,MATCH(B40,Ingredients!$A$5:$A$304,0)),""))</f>
        <v>0</v>
      </c>
      <c r="F40" s="8">
        <f>IF(B40="","",IFERROR(INDEX(Ingredients!$E$5:$E$304,MATCH(B40,Ingredients!$A$5:$A$304,0)),""))</f>
        <v>0</v>
      </c>
      <c r="G40" s="8">
        <f>IF(B40="","",IFERROR(INDEX(Ingredients!$D$5:$D$304,MATCH(B40,Ingredients!$A$5:$A$304,0)),""))</f>
        <v>0</v>
      </c>
      <c r="H40" s="8">
        <f>IF(OR(B40="",C40=""),"",IFERROR(C40*G40,""))</f>
        <v>0</v>
      </c>
      <c r="I40" s="8">
        <f>IF(A40="","",IFERROR(INDEX(Recipes!$D$5:$D$204,MATCH(A40,Recipes!$A$5:$A$204,0)),""))</f>
        <v>0</v>
      </c>
      <c r="J40" s="8">
        <f>IF(OR(H40="",I40="",I40=0),"",IFERROR(H40/I40,""))</f>
        <v>0</v>
      </c>
      <c r="K40" s="8">
        <f>IF(OR(B40="",C40=""),"",IFERROR(C40*IFERROR(INDEX(Ingredients!$H$5:$H$304,MATCH(B40,Ingredients!$A$5:$A$304,0)),""),""))</f>
        <v>0</v>
      </c>
      <c r="L40" s="8">
        <f>IF(OR(B40="",C40=""),"",IFERROR(C40*IFERROR(INDEX(Ingredients!$I$5:$I$304,MATCH(B40,Ingredients!$A$5:$A$304,0)),""),""))</f>
        <v>0</v>
      </c>
      <c r="M40" s="8">
        <f>IF(OR(B40="",C40=""),"",IFERROR(C40*IFERROR(INDEX(Ingredients!$J$5:$J$304,MATCH(B40,Ingredients!$A$5:$A$304,0)),""),""))</f>
        <v>0</v>
      </c>
      <c r="N40" s="8">
        <f>IF(OR(B40="",C40=""),"",IFERROR(C40*IFERROR(INDEX(Ingredients!$K$5:$K$304,MATCH(B40,Ingredients!$A$5:$A$304,0)),""),""))</f>
        <v>0</v>
      </c>
      <c r="O40" s="8">
        <f>IF(OR(B40="",C40=""),"",IFERROR(C40*IFERROR(INDEX(Ingredients!$L$5:$L$304,MATCH(B40,Ingredients!$A$5:$A$304,0)),""),""))</f>
        <v>0</v>
      </c>
      <c r="P40" s="8">
        <f>IF(OR(H40="",A40=""),"",IFERROR(H40/SUMIFS('Recipe Ingredients'!$H$5:$H$1204,'Recipe Ingredients'!$A$5:$A$1204,A40),""))</f>
        <v>0</v>
      </c>
      <c r="Q40" s="8">
        <f>IF(H40="","",COUNTIFS($H$5:$H$1204,"&gt;"&amp;H40)+1)</f>
        <v>0</v>
      </c>
      <c r="R40" s="8">
        <f>IF(B40="","",SUMIFS(Pantry!$C$5:$C$304,Pantry!$A$5:$A$304,B40))</f>
        <v>0</v>
      </c>
      <c r="S40" s="8">
        <f>IF(OR(B40="",C40=""),"",MAX(0,C40-R40))</f>
        <v>0</v>
      </c>
      <c r="T40" s="26"/>
      <c r="U40" s="8">
        <f>IF(OR(T40="",T40=0,G40=""),"",T40*G40)</f>
        <v>0</v>
      </c>
      <c r="V40" s="8">
        <f>IF(OR(S40="",T40="",T40=0),"",CEILING(S40/T40,1))</f>
        <v>0</v>
      </c>
      <c r="W40" s="27"/>
      <c r="X40" s="29"/>
      <c r="Y40" s="8">
        <f>IF(OR(C40="",X40=""),"",C40*(1+X40))</f>
        <v>0</v>
      </c>
      <c r="Z40" s="8">
        <f>IF(B40="","",IFERROR(INDEX(Ingredients!$O$5:$O$304,MATCH(B40,Ingredients!$A$5:$A$304,0)),""))</f>
        <v>0</v>
      </c>
      <c r="AA40" s="8">
        <f>IF(B40="","",IF(R40&gt;=C40,"In pantry","To buy"))</f>
        <v>0</v>
      </c>
      <c r="AB40" s="8">
        <f>IF(A40="","",COUNTIFS($A$5:A40,A40))</f>
        <v>0</v>
      </c>
      <c r="AC40" s="8">
        <f>IF(B40="","",IF(COUNTIFS('Dietary Filters'!$C$5:$C$104,B40)&gt;0,"Check","OK"))</f>
        <v>0</v>
      </c>
      <c r="AD40" s="25"/>
    </row>
    <row r="41" spans="1:30">
      <c r="A41" s="7"/>
      <c r="B41" s="7"/>
      <c r="C41" s="26"/>
      <c r="D41" s="27"/>
      <c r="E41" s="8">
        <f>IF(B41="","",IFERROR(INDEX(Ingredients!$B$5:$B$304,MATCH(B41,Ingredients!$A$5:$A$304,0)),""))</f>
        <v>0</v>
      </c>
      <c r="F41" s="8">
        <f>IF(B41="","",IFERROR(INDEX(Ingredients!$E$5:$E$304,MATCH(B41,Ingredients!$A$5:$A$304,0)),""))</f>
        <v>0</v>
      </c>
      <c r="G41" s="8">
        <f>IF(B41="","",IFERROR(INDEX(Ingredients!$D$5:$D$304,MATCH(B41,Ingredients!$A$5:$A$304,0)),""))</f>
        <v>0</v>
      </c>
      <c r="H41" s="8">
        <f>IF(OR(B41="",C41=""),"",IFERROR(C41*G41,""))</f>
        <v>0</v>
      </c>
      <c r="I41" s="8">
        <f>IF(A41="","",IFERROR(INDEX(Recipes!$D$5:$D$204,MATCH(A41,Recipes!$A$5:$A$204,0)),""))</f>
        <v>0</v>
      </c>
      <c r="J41" s="8">
        <f>IF(OR(H41="",I41="",I41=0),"",IFERROR(H41/I41,""))</f>
        <v>0</v>
      </c>
      <c r="K41" s="8">
        <f>IF(OR(B41="",C41=""),"",IFERROR(C41*IFERROR(INDEX(Ingredients!$H$5:$H$304,MATCH(B41,Ingredients!$A$5:$A$304,0)),""),""))</f>
        <v>0</v>
      </c>
      <c r="L41" s="8">
        <f>IF(OR(B41="",C41=""),"",IFERROR(C41*IFERROR(INDEX(Ingredients!$I$5:$I$304,MATCH(B41,Ingredients!$A$5:$A$304,0)),""),""))</f>
        <v>0</v>
      </c>
      <c r="M41" s="8">
        <f>IF(OR(B41="",C41=""),"",IFERROR(C41*IFERROR(INDEX(Ingredients!$J$5:$J$304,MATCH(B41,Ingredients!$A$5:$A$304,0)),""),""))</f>
        <v>0</v>
      </c>
      <c r="N41" s="8">
        <f>IF(OR(B41="",C41=""),"",IFERROR(C41*IFERROR(INDEX(Ingredients!$K$5:$K$304,MATCH(B41,Ingredients!$A$5:$A$304,0)),""),""))</f>
        <v>0</v>
      </c>
      <c r="O41" s="8">
        <f>IF(OR(B41="",C41=""),"",IFERROR(C41*IFERROR(INDEX(Ingredients!$L$5:$L$304,MATCH(B41,Ingredients!$A$5:$A$304,0)),""),""))</f>
        <v>0</v>
      </c>
      <c r="P41" s="8">
        <f>IF(OR(H41="",A41=""),"",IFERROR(H41/SUMIFS('Recipe Ingredients'!$H$5:$H$1204,'Recipe Ingredients'!$A$5:$A$1204,A41),""))</f>
        <v>0</v>
      </c>
      <c r="Q41" s="8">
        <f>IF(H41="","",COUNTIFS($H$5:$H$1204,"&gt;"&amp;H41)+1)</f>
        <v>0</v>
      </c>
      <c r="R41" s="8">
        <f>IF(B41="","",SUMIFS(Pantry!$C$5:$C$304,Pantry!$A$5:$A$304,B41))</f>
        <v>0</v>
      </c>
      <c r="S41" s="8">
        <f>IF(OR(B41="",C41=""),"",MAX(0,C41-R41))</f>
        <v>0</v>
      </c>
      <c r="T41" s="26"/>
      <c r="U41" s="8">
        <f>IF(OR(T41="",T41=0,G41=""),"",T41*G41)</f>
        <v>0</v>
      </c>
      <c r="V41" s="8">
        <f>IF(OR(S41="",T41="",T41=0),"",CEILING(S41/T41,1))</f>
        <v>0</v>
      </c>
      <c r="W41" s="27"/>
      <c r="X41" s="29"/>
      <c r="Y41" s="8">
        <f>IF(OR(C41="",X41=""),"",C41*(1+X41))</f>
        <v>0</v>
      </c>
      <c r="Z41" s="8">
        <f>IF(B41="","",IFERROR(INDEX(Ingredients!$O$5:$O$304,MATCH(B41,Ingredients!$A$5:$A$304,0)),""))</f>
        <v>0</v>
      </c>
      <c r="AA41" s="8">
        <f>IF(B41="","",IF(R41&gt;=C41,"In pantry","To buy"))</f>
        <v>0</v>
      </c>
      <c r="AB41" s="8">
        <f>IF(A41="","",COUNTIFS($A$5:A41,A41))</f>
        <v>0</v>
      </c>
      <c r="AC41" s="8">
        <f>IF(B41="","",IF(COUNTIFS('Dietary Filters'!$C$5:$C$104,B41)&gt;0,"Check","OK"))</f>
        <v>0</v>
      </c>
      <c r="AD41" s="25"/>
    </row>
    <row r="42" spans="1:30">
      <c r="A42" s="7"/>
      <c r="B42" s="7"/>
      <c r="C42" s="26"/>
      <c r="D42" s="27"/>
      <c r="E42" s="8">
        <f>IF(B42="","",IFERROR(INDEX(Ingredients!$B$5:$B$304,MATCH(B42,Ingredients!$A$5:$A$304,0)),""))</f>
        <v>0</v>
      </c>
      <c r="F42" s="8">
        <f>IF(B42="","",IFERROR(INDEX(Ingredients!$E$5:$E$304,MATCH(B42,Ingredients!$A$5:$A$304,0)),""))</f>
        <v>0</v>
      </c>
      <c r="G42" s="8">
        <f>IF(B42="","",IFERROR(INDEX(Ingredients!$D$5:$D$304,MATCH(B42,Ingredients!$A$5:$A$304,0)),""))</f>
        <v>0</v>
      </c>
      <c r="H42" s="8">
        <f>IF(OR(B42="",C42=""),"",IFERROR(C42*G42,""))</f>
        <v>0</v>
      </c>
      <c r="I42" s="8">
        <f>IF(A42="","",IFERROR(INDEX(Recipes!$D$5:$D$204,MATCH(A42,Recipes!$A$5:$A$204,0)),""))</f>
        <v>0</v>
      </c>
      <c r="J42" s="8">
        <f>IF(OR(H42="",I42="",I42=0),"",IFERROR(H42/I42,""))</f>
        <v>0</v>
      </c>
      <c r="K42" s="8">
        <f>IF(OR(B42="",C42=""),"",IFERROR(C42*IFERROR(INDEX(Ingredients!$H$5:$H$304,MATCH(B42,Ingredients!$A$5:$A$304,0)),""),""))</f>
        <v>0</v>
      </c>
      <c r="L42" s="8">
        <f>IF(OR(B42="",C42=""),"",IFERROR(C42*IFERROR(INDEX(Ingredients!$I$5:$I$304,MATCH(B42,Ingredients!$A$5:$A$304,0)),""),""))</f>
        <v>0</v>
      </c>
      <c r="M42" s="8">
        <f>IF(OR(B42="",C42=""),"",IFERROR(C42*IFERROR(INDEX(Ingredients!$J$5:$J$304,MATCH(B42,Ingredients!$A$5:$A$304,0)),""),""))</f>
        <v>0</v>
      </c>
      <c r="N42" s="8">
        <f>IF(OR(B42="",C42=""),"",IFERROR(C42*IFERROR(INDEX(Ingredients!$K$5:$K$304,MATCH(B42,Ingredients!$A$5:$A$304,0)),""),""))</f>
        <v>0</v>
      </c>
      <c r="O42" s="8">
        <f>IF(OR(B42="",C42=""),"",IFERROR(C42*IFERROR(INDEX(Ingredients!$L$5:$L$304,MATCH(B42,Ingredients!$A$5:$A$304,0)),""),""))</f>
        <v>0</v>
      </c>
      <c r="P42" s="8">
        <f>IF(OR(H42="",A42=""),"",IFERROR(H42/SUMIFS('Recipe Ingredients'!$H$5:$H$1204,'Recipe Ingredients'!$A$5:$A$1204,A42),""))</f>
        <v>0</v>
      </c>
      <c r="Q42" s="8">
        <f>IF(H42="","",COUNTIFS($H$5:$H$1204,"&gt;"&amp;H42)+1)</f>
        <v>0</v>
      </c>
      <c r="R42" s="8">
        <f>IF(B42="","",SUMIFS(Pantry!$C$5:$C$304,Pantry!$A$5:$A$304,B42))</f>
        <v>0</v>
      </c>
      <c r="S42" s="8">
        <f>IF(OR(B42="",C42=""),"",MAX(0,C42-R42))</f>
        <v>0</v>
      </c>
      <c r="T42" s="26"/>
      <c r="U42" s="8">
        <f>IF(OR(T42="",T42=0,G42=""),"",T42*G42)</f>
        <v>0</v>
      </c>
      <c r="V42" s="8">
        <f>IF(OR(S42="",T42="",T42=0),"",CEILING(S42/T42,1))</f>
        <v>0</v>
      </c>
      <c r="W42" s="27"/>
      <c r="X42" s="29"/>
      <c r="Y42" s="8">
        <f>IF(OR(C42="",X42=""),"",C42*(1+X42))</f>
        <v>0</v>
      </c>
      <c r="Z42" s="8">
        <f>IF(B42="","",IFERROR(INDEX(Ingredients!$O$5:$O$304,MATCH(B42,Ingredients!$A$5:$A$304,0)),""))</f>
        <v>0</v>
      </c>
      <c r="AA42" s="8">
        <f>IF(B42="","",IF(R42&gt;=C42,"In pantry","To buy"))</f>
        <v>0</v>
      </c>
      <c r="AB42" s="8">
        <f>IF(A42="","",COUNTIFS($A$5:A42,A42))</f>
        <v>0</v>
      </c>
      <c r="AC42" s="8">
        <f>IF(B42="","",IF(COUNTIFS('Dietary Filters'!$C$5:$C$104,B42)&gt;0,"Check","OK"))</f>
        <v>0</v>
      </c>
      <c r="AD42" s="25"/>
    </row>
    <row r="43" spans="1:30">
      <c r="A43" s="7"/>
      <c r="B43" s="7"/>
      <c r="C43" s="26"/>
      <c r="D43" s="27"/>
      <c r="E43" s="8">
        <f>IF(B43="","",IFERROR(INDEX(Ingredients!$B$5:$B$304,MATCH(B43,Ingredients!$A$5:$A$304,0)),""))</f>
        <v>0</v>
      </c>
      <c r="F43" s="8">
        <f>IF(B43="","",IFERROR(INDEX(Ingredients!$E$5:$E$304,MATCH(B43,Ingredients!$A$5:$A$304,0)),""))</f>
        <v>0</v>
      </c>
      <c r="G43" s="8">
        <f>IF(B43="","",IFERROR(INDEX(Ingredients!$D$5:$D$304,MATCH(B43,Ingredients!$A$5:$A$304,0)),""))</f>
        <v>0</v>
      </c>
      <c r="H43" s="8">
        <f>IF(OR(B43="",C43=""),"",IFERROR(C43*G43,""))</f>
        <v>0</v>
      </c>
      <c r="I43" s="8">
        <f>IF(A43="","",IFERROR(INDEX(Recipes!$D$5:$D$204,MATCH(A43,Recipes!$A$5:$A$204,0)),""))</f>
        <v>0</v>
      </c>
      <c r="J43" s="8">
        <f>IF(OR(H43="",I43="",I43=0),"",IFERROR(H43/I43,""))</f>
        <v>0</v>
      </c>
      <c r="K43" s="8">
        <f>IF(OR(B43="",C43=""),"",IFERROR(C43*IFERROR(INDEX(Ingredients!$H$5:$H$304,MATCH(B43,Ingredients!$A$5:$A$304,0)),""),""))</f>
        <v>0</v>
      </c>
      <c r="L43" s="8">
        <f>IF(OR(B43="",C43=""),"",IFERROR(C43*IFERROR(INDEX(Ingredients!$I$5:$I$304,MATCH(B43,Ingredients!$A$5:$A$304,0)),""),""))</f>
        <v>0</v>
      </c>
      <c r="M43" s="8">
        <f>IF(OR(B43="",C43=""),"",IFERROR(C43*IFERROR(INDEX(Ingredients!$J$5:$J$304,MATCH(B43,Ingredients!$A$5:$A$304,0)),""),""))</f>
        <v>0</v>
      </c>
      <c r="N43" s="8">
        <f>IF(OR(B43="",C43=""),"",IFERROR(C43*IFERROR(INDEX(Ingredients!$K$5:$K$304,MATCH(B43,Ingredients!$A$5:$A$304,0)),""),""))</f>
        <v>0</v>
      </c>
      <c r="O43" s="8">
        <f>IF(OR(B43="",C43=""),"",IFERROR(C43*IFERROR(INDEX(Ingredients!$L$5:$L$304,MATCH(B43,Ingredients!$A$5:$A$304,0)),""),""))</f>
        <v>0</v>
      </c>
      <c r="P43" s="8">
        <f>IF(OR(H43="",A43=""),"",IFERROR(H43/SUMIFS('Recipe Ingredients'!$H$5:$H$1204,'Recipe Ingredients'!$A$5:$A$1204,A43),""))</f>
        <v>0</v>
      </c>
      <c r="Q43" s="8">
        <f>IF(H43="","",COUNTIFS($H$5:$H$1204,"&gt;"&amp;H43)+1)</f>
        <v>0</v>
      </c>
      <c r="R43" s="8">
        <f>IF(B43="","",SUMIFS(Pantry!$C$5:$C$304,Pantry!$A$5:$A$304,B43))</f>
        <v>0</v>
      </c>
      <c r="S43" s="8">
        <f>IF(OR(B43="",C43=""),"",MAX(0,C43-R43))</f>
        <v>0</v>
      </c>
      <c r="T43" s="26"/>
      <c r="U43" s="8">
        <f>IF(OR(T43="",T43=0,G43=""),"",T43*G43)</f>
        <v>0</v>
      </c>
      <c r="V43" s="8">
        <f>IF(OR(S43="",T43="",T43=0),"",CEILING(S43/T43,1))</f>
        <v>0</v>
      </c>
      <c r="W43" s="27"/>
      <c r="X43" s="29"/>
      <c r="Y43" s="8">
        <f>IF(OR(C43="",X43=""),"",C43*(1+X43))</f>
        <v>0</v>
      </c>
      <c r="Z43" s="8">
        <f>IF(B43="","",IFERROR(INDEX(Ingredients!$O$5:$O$304,MATCH(B43,Ingredients!$A$5:$A$304,0)),""))</f>
        <v>0</v>
      </c>
      <c r="AA43" s="8">
        <f>IF(B43="","",IF(R43&gt;=C43,"In pantry","To buy"))</f>
        <v>0</v>
      </c>
      <c r="AB43" s="8">
        <f>IF(A43="","",COUNTIFS($A$5:A43,A43))</f>
        <v>0</v>
      </c>
      <c r="AC43" s="8">
        <f>IF(B43="","",IF(COUNTIFS('Dietary Filters'!$C$5:$C$104,B43)&gt;0,"Check","OK"))</f>
        <v>0</v>
      </c>
      <c r="AD43" s="25"/>
    </row>
    <row r="44" spans="1:30">
      <c r="A44" s="7"/>
      <c r="B44" s="7"/>
      <c r="C44" s="26"/>
      <c r="D44" s="27"/>
      <c r="E44" s="8">
        <f>IF(B44="","",IFERROR(INDEX(Ingredients!$B$5:$B$304,MATCH(B44,Ingredients!$A$5:$A$304,0)),""))</f>
        <v>0</v>
      </c>
      <c r="F44" s="8">
        <f>IF(B44="","",IFERROR(INDEX(Ingredients!$E$5:$E$304,MATCH(B44,Ingredients!$A$5:$A$304,0)),""))</f>
        <v>0</v>
      </c>
      <c r="G44" s="8">
        <f>IF(B44="","",IFERROR(INDEX(Ingredients!$D$5:$D$304,MATCH(B44,Ingredients!$A$5:$A$304,0)),""))</f>
        <v>0</v>
      </c>
      <c r="H44" s="8">
        <f>IF(OR(B44="",C44=""),"",IFERROR(C44*G44,""))</f>
        <v>0</v>
      </c>
      <c r="I44" s="8">
        <f>IF(A44="","",IFERROR(INDEX(Recipes!$D$5:$D$204,MATCH(A44,Recipes!$A$5:$A$204,0)),""))</f>
        <v>0</v>
      </c>
      <c r="J44" s="8">
        <f>IF(OR(H44="",I44="",I44=0),"",IFERROR(H44/I44,""))</f>
        <v>0</v>
      </c>
      <c r="K44" s="8">
        <f>IF(OR(B44="",C44=""),"",IFERROR(C44*IFERROR(INDEX(Ingredients!$H$5:$H$304,MATCH(B44,Ingredients!$A$5:$A$304,0)),""),""))</f>
        <v>0</v>
      </c>
      <c r="L44" s="8">
        <f>IF(OR(B44="",C44=""),"",IFERROR(C44*IFERROR(INDEX(Ingredients!$I$5:$I$304,MATCH(B44,Ingredients!$A$5:$A$304,0)),""),""))</f>
        <v>0</v>
      </c>
      <c r="M44" s="8">
        <f>IF(OR(B44="",C44=""),"",IFERROR(C44*IFERROR(INDEX(Ingredients!$J$5:$J$304,MATCH(B44,Ingredients!$A$5:$A$304,0)),""),""))</f>
        <v>0</v>
      </c>
      <c r="N44" s="8">
        <f>IF(OR(B44="",C44=""),"",IFERROR(C44*IFERROR(INDEX(Ingredients!$K$5:$K$304,MATCH(B44,Ingredients!$A$5:$A$304,0)),""),""))</f>
        <v>0</v>
      </c>
      <c r="O44" s="8">
        <f>IF(OR(B44="",C44=""),"",IFERROR(C44*IFERROR(INDEX(Ingredients!$L$5:$L$304,MATCH(B44,Ingredients!$A$5:$A$304,0)),""),""))</f>
        <v>0</v>
      </c>
      <c r="P44" s="8">
        <f>IF(OR(H44="",A44=""),"",IFERROR(H44/SUMIFS('Recipe Ingredients'!$H$5:$H$1204,'Recipe Ingredients'!$A$5:$A$1204,A44),""))</f>
        <v>0</v>
      </c>
      <c r="Q44" s="8">
        <f>IF(H44="","",COUNTIFS($H$5:$H$1204,"&gt;"&amp;H44)+1)</f>
        <v>0</v>
      </c>
      <c r="R44" s="8">
        <f>IF(B44="","",SUMIFS(Pantry!$C$5:$C$304,Pantry!$A$5:$A$304,B44))</f>
        <v>0</v>
      </c>
      <c r="S44" s="8">
        <f>IF(OR(B44="",C44=""),"",MAX(0,C44-R44))</f>
        <v>0</v>
      </c>
      <c r="T44" s="26"/>
      <c r="U44" s="8">
        <f>IF(OR(T44="",T44=0,G44=""),"",T44*G44)</f>
        <v>0</v>
      </c>
      <c r="V44" s="8">
        <f>IF(OR(S44="",T44="",T44=0),"",CEILING(S44/T44,1))</f>
        <v>0</v>
      </c>
      <c r="W44" s="27"/>
      <c r="X44" s="29"/>
      <c r="Y44" s="8">
        <f>IF(OR(C44="",X44=""),"",C44*(1+X44))</f>
        <v>0</v>
      </c>
      <c r="Z44" s="8">
        <f>IF(B44="","",IFERROR(INDEX(Ingredients!$O$5:$O$304,MATCH(B44,Ingredients!$A$5:$A$304,0)),""))</f>
        <v>0</v>
      </c>
      <c r="AA44" s="8">
        <f>IF(B44="","",IF(R44&gt;=C44,"In pantry","To buy"))</f>
        <v>0</v>
      </c>
      <c r="AB44" s="8">
        <f>IF(A44="","",COUNTIFS($A$5:A44,A44))</f>
        <v>0</v>
      </c>
      <c r="AC44" s="8">
        <f>IF(B44="","",IF(COUNTIFS('Dietary Filters'!$C$5:$C$104,B44)&gt;0,"Check","OK"))</f>
        <v>0</v>
      </c>
      <c r="AD44" s="25"/>
    </row>
    <row r="45" spans="1:30">
      <c r="A45" s="7"/>
      <c r="B45" s="7"/>
      <c r="C45" s="26"/>
      <c r="D45" s="27"/>
      <c r="E45" s="8">
        <f>IF(B45="","",IFERROR(INDEX(Ingredients!$B$5:$B$304,MATCH(B45,Ingredients!$A$5:$A$304,0)),""))</f>
        <v>0</v>
      </c>
      <c r="F45" s="8">
        <f>IF(B45="","",IFERROR(INDEX(Ingredients!$E$5:$E$304,MATCH(B45,Ingredients!$A$5:$A$304,0)),""))</f>
        <v>0</v>
      </c>
      <c r="G45" s="8">
        <f>IF(B45="","",IFERROR(INDEX(Ingredients!$D$5:$D$304,MATCH(B45,Ingredients!$A$5:$A$304,0)),""))</f>
        <v>0</v>
      </c>
      <c r="H45" s="8">
        <f>IF(OR(B45="",C45=""),"",IFERROR(C45*G45,""))</f>
        <v>0</v>
      </c>
      <c r="I45" s="8">
        <f>IF(A45="","",IFERROR(INDEX(Recipes!$D$5:$D$204,MATCH(A45,Recipes!$A$5:$A$204,0)),""))</f>
        <v>0</v>
      </c>
      <c r="J45" s="8">
        <f>IF(OR(H45="",I45="",I45=0),"",IFERROR(H45/I45,""))</f>
        <v>0</v>
      </c>
      <c r="K45" s="8">
        <f>IF(OR(B45="",C45=""),"",IFERROR(C45*IFERROR(INDEX(Ingredients!$H$5:$H$304,MATCH(B45,Ingredients!$A$5:$A$304,0)),""),""))</f>
        <v>0</v>
      </c>
      <c r="L45" s="8">
        <f>IF(OR(B45="",C45=""),"",IFERROR(C45*IFERROR(INDEX(Ingredients!$I$5:$I$304,MATCH(B45,Ingredients!$A$5:$A$304,0)),""),""))</f>
        <v>0</v>
      </c>
      <c r="M45" s="8">
        <f>IF(OR(B45="",C45=""),"",IFERROR(C45*IFERROR(INDEX(Ingredients!$J$5:$J$304,MATCH(B45,Ingredients!$A$5:$A$304,0)),""),""))</f>
        <v>0</v>
      </c>
      <c r="N45" s="8">
        <f>IF(OR(B45="",C45=""),"",IFERROR(C45*IFERROR(INDEX(Ingredients!$K$5:$K$304,MATCH(B45,Ingredients!$A$5:$A$304,0)),""),""))</f>
        <v>0</v>
      </c>
      <c r="O45" s="8">
        <f>IF(OR(B45="",C45=""),"",IFERROR(C45*IFERROR(INDEX(Ingredients!$L$5:$L$304,MATCH(B45,Ingredients!$A$5:$A$304,0)),""),""))</f>
        <v>0</v>
      </c>
      <c r="P45" s="8">
        <f>IF(OR(H45="",A45=""),"",IFERROR(H45/SUMIFS('Recipe Ingredients'!$H$5:$H$1204,'Recipe Ingredients'!$A$5:$A$1204,A45),""))</f>
        <v>0</v>
      </c>
      <c r="Q45" s="8">
        <f>IF(H45="","",COUNTIFS($H$5:$H$1204,"&gt;"&amp;H45)+1)</f>
        <v>0</v>
      </c>
      <c r="R45" s="8">
        <f>IF(B45="","",SUMIFS(Pantry!$C$5:$C$304,Pantry!$A$5:$A$304,B45))</f>
        <v>0</v>
      </c>
      <c r="S45" s="8">
        <f>IF(OR(B45="",C45=""),"",MAX(0,C45-R45))</f>
        <v>0</v>
      </c>
      <c r="T45" s="26"/>
      <c r="U45" s="8">
        <f>IF(OR(T45="",T45=0,G45=""),"",T45*G45)</f>
        <v>0</v>
      </c>
      <c r="V45" s="8">
        <f>IF(OR(S45="",T45="",T45=0),"",CEILING(S45/T45,1))</f>
        <v>0</v>
      </c>
      <c r="W45" s="27"/>
      <c r="X45" s="29"/>
      <c r="Y45" s="8">
        <f>IF(OR(C45="",X45=""),"",C45*(1+X45))</f>
        <v>0</v>
      </c>
      <c r="Z45" s="8">
        <f>IF(B45="","",IFERROR(INDEX(Ingredients!$O$5:$O$304,MATCH(B45,Ingredients!$A$5:$A$304,0)),""))</f>
        <v>0</v>
      </c>
      <c r="AA45" s="8">
        <f>IF(B45="","",IF(R45&gt;=C45,"In pantry","To buy"))</f>
        <v>0</v>
      </c>
      <c r="AB45" s="8">
        <f>IF(A45="","",COUNTIFS($A$5:A45,A45))</f>
        <v>0</v>
      </c>
      <c r="AC45" s="8">
        <f>IF(B45="","",IF(COUNTIFS('Dietary Filters'!$C$5:$C$104,B45)&gt;0,"Check","OK"))</f>
        <v>0</v>
      </c>
      <c r="AD45" s="25"/>
    </row>
    <row r="46" spans="1:30">
      <c r="A46" s="7"/>
      <c r="B46" s="7"/>
      <c r="C46" s="26"/>
      <c r="D46" s="27"/>
      <c r="E46" s="8">
        <f>IF(B46="","",IFERROR(INDEX(Ingredients!$B$5:$B$304,MATCH(B46,Ingredients!$A$5:$A$304,0)),""))</f>
        <v>0</v>
      </c>
      <c r="F46" s="8">
        <f>IF(B46="","",IFERROR(INDEX(Ingredients!$E$5:$E$304,MATCH(B46,Ingredients!$A$5:$A$304,0)),""))</f>
        <v>0</v>
      </c>
      <c r="G46" s="8">
        <f>IF(B46="","",IFERROR(INDEX(Ingredients!$D$5:$D$304,MATCH(B46,Ingredients!$A$5:$A$304,0)),""))</f>
        <v>0</v>
      </c>
      <c r="H46" s="8">
        <f>IF(OR(B46="",C46=""),"",IFERROR(C46*G46,""))</f>
        <v>0</v>
      </c>
      <c r="I46" s="8">
        <f>IF(A46="","",IFERROR(INDEX(Recipes!$D$5:$D$204,MATCH(A46,Recipes!$A$5:$A$204,0)),""))</f>
        <v>0</v>
      </c>
      <c r="J46" s="8">
        <f>IF(OR(H46="",I46="",I46=0),"",IFERROR(H46/I46,""))</f>
        <v>0</v>
      </c>
      <c r="K46" s="8">
        <f>IF(OR(B46="",C46=""),"",IFERROR(C46*IFERROR(INDEX(Ingredients!$H$5:$H$304,MATCH(B46,Ingredients!$A$5:$A$304,0)),""),""))</f>
        <v>0</v>
      </c>
      <c r="L46" s="8">
        <f>IF(OR(B46="",C46=""),"",IFERROR(C46*IFERROR(INDEX(Ingredients!$I$5:$I$304,MATCH(B46,Ingredients!$A$5:$A$304,0)),""),""))</f>
        <v>0</v>
      </c>
      <c r="M46" s="8">
        <f>IF(OR(B46="",C46=""),"",IFERROR(C46*IFERROR(INDEX(Ingredients!$J$5:$J$304,MATCH(B46,Ingredients!$A$5:$A$304,0)),""),""))</f>
        <v>0</v>
      </c>
      <c r="N46" s="8">
        <f>IF(OR(B46="",C46=""),"",IFERROR(C46*IFERROR(INDEX(Ingredients!$K$5:$K$304,MATCH(B46,Ingredients!$A$5:$A$304,0)),""),""))</f>
        <v>0</v>
      </c>
      <c r="O46" s="8">
        <f>IF(OR(B46="",C46=""),"",IFERROR(C46*IFERROR(INDEX(Ingredients!$L$5:$L$304,MATCH(B46,Ingredients!$A$5:$A$304,0)),""),""))</f>
        <v>0</v>
      </c>
      <c r="P46" s="8">
        <f>IF(OR(H46="",A46=""),"",IFERROR(H46/SUMIFS('Recipe Ingredients'!$H$5:$H$1204,'Recipe Ingredients'!$A$5:$A$1204,A46),""))</f>
        <v>0</v>
      </c>
      <c r="Q46" s="8">
        <f>IF(H46="","",COUNTIFS($H$5:$H$1204,"&gt;"&amp;H46)+1)</f>
        <v>0</v>
      </c>
      <c r="R46" s="8">
        <f>IF(B46="","",SUMIFS(Pantry!$C$5:$C$304,Pantry!$A$5:$A$304,B46))</f>
        <v>0</v>
      </c>
      <c r="S46" s="8">
        <f>IF(OR(B46="",C46=""),"",MAX(0,C46-R46))</f>
        <v>0</v>
      </c>
      <c r="T46" s="26"/>
      <c r="U46" s="8">
        <f>IF(OR(T46="",T46=0,G46=""),"",T46*G46)</f>
        <v>0</v>
      </c>
      <c r="V46" s="8">
        <f>IF(OR(S46="",T46="",T46=0),"",CEILING(S46/T46,1))</f>
        <v>0</v>
      </c>
      <c r="W46" s="27"/>
      <c r="X46" s="29"/>
      <c r="Y46" s="8">
        <f>IF(OR(C46="",X46=""),"",C46*(1+X46))</f>
        <v>0</v>
      </c>
      <c r="Z46" s="8">
        <f>IF(B46="","",IFERROR(INDEX(Ingredients!$O$5:$O$304,MATCH(B46,Ingredients!$A$5:$A$304,0)),""))</f>
        <v>0</v>
      </c>
      <c r="AA46" s="8">
        <f>IF(B46="","",IF(R46&gt;=C46,"In pantry","To buy"))</f>
        <v>0</v>
      </c>
      <c r="AB46" s="8">
        <f>IF(A46="","",COUNTIFS($A$5:A46,A46))</f>
        <v>0</v>
      </c>
      <c r="AC46" s="8">
        <f>IF(B46="","",IF(COUNTIFS('Dietary Filters'!$C$5:$C$104,B46)&gt;0,"Check","OK"))</f>
        <v>0</v>
      </c>
      <c r="AD46" s="25"/>
    </row>
    <row r="47" spans="1:30">
      <c r="A47" s="7"/>
      <c r="B47" s="7"/>
      <c r="C47" s="26"/>
      <c r="D47" s="27"/>
      <c r="E47" s="8">
        <f>IF(B47="","",IFERROR(INDEX(Ingredients!$B$5:$B$304,MATCH(B47,Ingredients!$A$5:$A$304,0)),""))</f>
        <v>0</v>
      </c>
      <c r="F47" s="8">
        <f>IF(B47="","",IFERROR(INDEX(Ingredients!$E$5:$E$304,MATCH(B47,Ingredients!$A$5:$A$304,0)),""))</f>
        <v>0</v>
      </c>
      <c r="G47" s="8">
        <f>IF(B47="","",IFERROR(INDEX(Ingredients!$D$5:$D$304,MATCH(B47,Ingredients!$A$5:$A$304,0)),""))</f>
        <v>0</v>
      </c>
      <c r="H47" s="8">
        <f>IF(OR(B47="",C47=""),"",IFERROR(C47*G47,""))</f>
        <v>0</v>
      </c>
      <c r="I47" s="8">
        <f>IF(A47="","",IFERROR(INDEX(Recipes!$D$5:$D$204,MATCH(A47,Recipes!$A$5:$A$204,0)),""))</f>
        <v>0</v>
      </c>
      <c r="J47" s="8">
        <f>IF(OR(H47="",I47="",I47=0),"",IFERROR(H47/I47,""))</f>
        <v>0</v>
      </c>
      <c r="K47" s="8">
        <f>IF(OR(B47="",C47=""),"",IFERROR(C47*IFERROR(INDEX(Ingredients!$H$5:$H$304,MATCH(B47,Ingredients!$A$5:$A$304,0)),""),""))</f>
        <v>0</v>
      </c>
      <c r="L47" s="8">
        <f>IF(OR(B47="",C47=""),"",IFERROR(C47*IFERROR(INDEX(Ingredients!$I$5:$I$304,MATCH(B47,Ingredients!$A$5:$A$304,0)),""),""))</f>
        <v>0</v>
      </c>
      <c r="M47" s="8">
        <f>IF(OR(B47="",C47=""),"",IFERROR(C47*IFERROR(INDEX(Ingredients!$J$5:$J$304,MATCH(B47,Ingredients!$A$5:$A$304,0)),""),""))</f>
        <v>0</v>
      </c>
      <c r="N47" s="8">
        <f>IF(OR(B47="",C47=""),"",IFERROR(C47*IFERROR(INDEX(Ingredients!$K$5:$K$304,MATCH(B47,Ingredients!$A$5:$A$304,0)),""),""))</f>
        <v>0</v>
      </c>
      <c r="O47" s="8">
        <f>IF(OR(B47="",C47=""),"",IFERROR(C47*IFERROR(INDEX(Ingredients!$L$5:$L$304,MATCH(B47,Ingredients!$A$5:$A$304,0)),""),""))</f>
        <v>0</v>
      </c>
      <c r="P47" s="8">
        <f>IF(OR(H47="",A47=""),"",IFERROR(H47/SUMIFS('Recipe Ingredients'!$H$5:$H$1204,'Recipe Ingredients'!$A$5:$A$1204,A47),""))</f>
        <v>0</v>
      </c>
      <c r="Q47" s="8">
        <f>IF(H47="","",COUNTIFS($H$5:$H$1204,"&gt;"&amp;H47)+1)</f>
        <v>0</v>
      </c>
      <c r="R47" s="8">
        <f>IF(B47="","",SUMIFS(Pantry!$C$5:$C$304,Pantry!$A$5:$A$304,B47))</f>
        <v>0</v>
      </c>
      <c r="S47" s="8">
        <f>IF(OR(B47="",C47=""),"",MAX(0,C47-R47))</f>
        <v>0</v>
      </c>
      <c r="T47" s="26"/>
      <c r="U47" s="8">
        <f>IF(OR(T47="",T47=0,G47=""),"",T47*G47)</f>
        <v>0</v>
      </c>
      <c r="V47" s="8">
        <f>IF(OR(S47="",T47="",T47=0),"",CEILING(S47/T47,1))</f>
        <v>0</v>
      </c>
      <c r="W47" s="27"/>
      <c r="X47" s="29"/>
      <c r="Y47" s="8">
        <f>IF(OR(C47="",X47=""),"",C47*(1+X47))</f>
        <v>0</v>
      </c>
      <c r="Z47" s="8">
        <f>IF(B47="","",IFERROR(INDEX(Ingredients!$O$5:$O$304,MATCH(B47,Ingredients!$A$5:$A$304,0)),""))</f>
        <v>0</v>
      </c>
      <c r="AA47" s="8">
        <f>IF(B47="","",IF(R47&gt;=C47,"In pantry","To buy"))</f>
        <v>0</v>
      </c>
      <c r="AB47" s="8">
        <f>IF(A47="","",COUNTIFS($A$5:A47,A47))</f>
        <v>0</v>
      </c>
      <c r="AC47" s="8">
        <f>IF(B47="","",IF(COUNTIFS('Dietary Filters'!$C$5:$C$104,B47)&gt;0,"Check","OK"))</f>
        <v>0</v>
      </c>
      <c r="AD47" s="25"/>
    </row>
    <row r="48" spans="1:30">
      <c r="A48" s="7"/>
      <c r="B48" s="7"/>
      <c r="C48" s="26"/>
      <c r="D48" s="27"/>
      <c r="E48" s="8">
        <f>IF(B48="","",IFERROR(INDEX(Ingredients!$B$5:$B$304,MATCH(B48,Ingredients!$A$5:$A$304,0)),""))</f>
        <v>0</v>
      </c>
      <c r="F48" s="8">
        <f>IF(B48="","",IFERROR(INDEX(Ingredients!$E$5:$E$304,MATCH(B48,Ingredients!$A$5:$A$304,0)),""))</f>
        <v>0</v>
      </c>
      <c r="G48" s="8">
        <f>IF(B48="","",IFERROR(INDEX(Ingredients!$D$5:$D$304,MATCH(B48,Ingredients!$A$5:$A$304,0)),""))</f>
        <v>0</v>
      </c>
      <c r="H48" s="8">
        <f>IF(OR(B48="",C48=""),"",IFERROR(C48*G48,""))</f>
        <v>0</v>
      </c>
      <c r="I48" s="8">
        <f>IF(A48="","",IFERROR(INDEX(Recipes!$D$5:$D$204,MATCH(A48,Recipes!$A$5:$A$204,0)),""))</f>
        <v>0</v>
      </c>
      <c r="J48" s="8">
        <f>IF(OR(H48="",I48="",I48=0),"",IFERROR(H48/I48,""))</f>
        <v>0</v>
      </c>
      <c r="K48" s="8">
        <f>IF(OR(B48="",C48=""),"",IFERROR(C48*IFERROR(INDEX(Ingredients!$H$5:$H$304,MATCH(B48,Ingredients!$A$5:$A$304,0)),""),""))</f>
        <v>0</v>
      </c>
      <c r="L48" s="8">
        <f>IF(OR(B48="",C48=""),"",IFERROR(C48*IFERROR(INDEX(Ingredients!$I$5:$I$304,MATCH(B48,Ingredients!$A$5:$A$304,0)),""),""))</f>
        <v>0</v>
      </c>
      <c r="M48" s="8">
        <f>IF(OR(B48="",C48=""),"",IFERROR(C48*IFERROR(INDEX(Ingredients!$J$5:$J$304,MATCH(B48,Ingredients!$A$5:$A$304,0)),""),""))</f>
        <v>0</v>
      </c>
      <c r="N48" s="8">
        <f>IF(OR(B48="",C48=""),"",IFERROR(C48*IFERROR(INDEX(Ingredients!$K$5:$K$304,MATCH(B48,Ingredients!$A$5:$A$304,0)),""),""))</f>
        <v>0</v>
      </c>
      <c r="O48" s="8">
        <f>IF(OR(B48="",C48=""),"",IFERROR(C48*IFERROR(INDEX(Ingredients!$L$5:$L$304,MATCH(B48,Ingredients!$A$5:$A$304,0)),""),""))</f>
        <v>0</v>
      </c>
      <c r="P48" s="8">
        <f>IF(OR(H48="",A48=""),"",IFERROR(H48/SUMIFS('Recipe Ingredients'!$H$5:$H$1204,'Recipe Ingredients'!$A$5:$A$1204,A48),""))</f>
        <v>0</v>
      </c>
      <c r="Q48" s="8">
        <f>IF(H48="","",COUNTIFS($H$5:$H$1204,"&gt;"&amp;H48)+1)</f>
        <v>0</v>
      </c>
      <c r="R48" s="8">
        <f>IF(B48="","",SUMIFS(Pantry!$C$5:$C$304,Pantry!$A$5:$A$304,B48))</f>
        <v>0</v>
      </c>
      <c r="S48" s="8">
        <f>IF(OR(B48="",C48=""),"",MAX(0,C48-R48))</f>
        <v>0</v>
      </c>
      <c r="T48" s="26"/>
      <c r="U48" s="8">
        <f>IF(OR(T48="",T48=0,G48=""),"",T48*G48)</f>
        <v>0</v>
      </c>
      <c r="V48" s="8">
        <f>IF(OR(S48="",T48="",T48=0),"",CEILING(S48/T48,1))</f>
        <v>0</v>
      </c>
      <c r="W48" s="27"/>
      <c r="X48" s="29"/>
      <c r="Y48" s="8">
        <f>IF(OR(C48="",X48=""),"",C48*(1+X48))</f>
        <v>0</v>
      </c>
      <c r="Z48" s="8">
        <f>IF(B48="","",IFERROR(INDEX(Ingredients!$O$5:$O$304,MATCH(B48,Ingredients!$A$5:$A$304,0)),""))</f>
        <v>0</v>
      </c>
      <c r="AA48" s="8">
        <f>IF(B48="","",IF(R48&gt;=C48,"In pantry","To buy"))</f>
        <v>0</v>
      </c>
      <c r="AB48" s="8">
        <f>IF(A48="","",COUNTIFS($A$5:A48,A48))</f>
        <v>0</v>
      </c>
      <c r="AC48" s="8">
        <f>IF(B48="","",IF(COUNTIFS('Dietary Filters'!$C$5:$C$104,B48)&gt;0,"Check","OK"))</f>
        <v>0</v>
      </c>
      <c r="AD48" s="25"/>
    </row>
    <row r="49" spans="1:30">
      <c r="A49" s="7"/>
      <c r="B49" s="7"/>
      <c r="C49" s="26"/>
      <c r="D49" s="27"/>
      <c r="E49" s="8">
        <f>IF(B49="","",IFERROR(INDEX(Ingredients!$B$5:$B$304,MATCH(B49,Ingredients!$A$5:$A$304,0)),""))</f>
        <v>0</v>
      </c>
      <c r="F49" s="8">
        <f>IF(B49="","",IFERROR(INDEX(Ingredients!$E$5:$E$304,MATCH(B49,Ingredients!$A$5:$A$304,0)),""))</f>
        <v>0</v>
      </c>
      <c r="G49" s="8">
        <f>IF(B49="","",IFERROR(INDEX(Ingredients!$D$5:$D$304,MATCH(B49,Ingredients!$A$5:$A$304,0)),""))</f>
        <v>0</v>
      </c>
      <c r="H49" s="8">
        <f>IF(OR(B49="",C49=""),"",IFERROR(C49*G49,""))</f>
        <v>0</v>
      </c>
      <c r="I49" s="8">
        <f>IF(A49="","",IFERROR(INDEX(Recipes!$D$5:$D$204,MATCH(A49,Recipes!$A$5:$A$204,0)),""))</f>
        <v>0</v>
      </c>
      <c r="J49" s="8">
        <f>IF(OR(H49="",I49="",I49=0),"",IFERROR(H49/I49,""))</f>
        <v>0</v>
      </c>
      <c r="K49" s="8">
        <f>IF(OR(B49="",C49=""),"",IFERROR(C49*IFERROR(INDEX(Ingredients!$H$5:$H$304,MATCH(B49,Ingredients!$A$5:$A$304,0)),""),""))</f>
        <v>0</v>
      </c>
      <c r="L49" s="8">
        <f>IF(OR(B49="",C49=""),"",IFERROR(C49*IFERROR(INDEX(Ingredients!$I$5:$I$304,MATCH(B49,Ingredients!$A$5:$A$304,0)),""),""))</f>
        <v>0</v>
      </c>
      <c r="M49" s="8">
        <f>IF(OR(B49="",C49=""),"",IFERROR(C49*IFERROR(INDEX(Ingredients!$J$5:$J$304,MATCH(B49,Ingredients!$A$5:$A$304,0)),""),""))</f>
        <v>0</v>
      </c>
      <c r="N49" s="8">
        <f>IF(OR(B49="",C49=""),"",IFERROR(C49*IFERROR(INDEX(Ingredients!$K$5:$K$304,MATCH(B49,Ingredients!$A$5:$A$304,0)),""),""))</f>
        <v>0</v>
      </c>
      <c r="O49" s="8">
        <f>IF(OR(B49="",C49=""),"",IFERROR(C49*IFERROR(INDEX(Ingredients!$L$5:$L$304,MATCH(B49,Ingredients!$A$5:$A$304,0)),""),""))</f>
        <v>0</v>
      </c>
      <c r="P49" s="8">
        <f>IF(OR(H49="",A49=""),"",IFERROR(H49/SUMIFS('Recipe Ingredients'!$H$5:$H$1204,'Recipe Ingredients'!$A$5:$A$1204,A49),""))</f>
        <v>0</v>
      </c>
      <c r="Q49" s="8">
        <f>IF(H49="","",COUNTIFS($H$5:$H$1204,"&gt;"&amp;H49)+1)</f>
        <v>0</v>
      </c>
      <c r="R49" s="8">
        <f>IF(B49="","",SUMIFS(Pantry!$C$5:$C$304,Pantry!$A$5:$A$304,B49))</f>
        <v>0</v>
      </c>
      <c r="S49" s="8">
        <f>IF(OR(B49="",C49=""),"",MAX(0,C49-R49))</f>
        <v>0</v>
      </c>
      <c r="T49" s="26"/>
      <c r="U49" s="8">
        <f>IF(OR(T49="",T49=0,G49=""),"",T49*G49)</f>
        <v>0</v>
      </c>
      <c r="V49" s="8">
        <f>IF(OR(S49="",T49="",T49=0),"",CEILING(S49/T49,1))</f>
        <v>0</v>
      </c>
      <c r="W49" s="27"/>
      <c r="X49" s="29"/>
      <c r="Y49" s="8">
        <f>IF(OR(C49="",X49=""),"",C49*(1+X49))</f>
        <v>0</v>
      </c>
      <c r="Z49" s="8">
        <f>IF(B49="","",IFERROR(INDEX(Ingredients!$O$5:$O$304,MATCH(B49,Ingredients!$A$5:$A$304,0)),""))</f>
        <v>0</v>
      </c>
      <c r="AA49" s="8">
        <f>IF(B49="","",IF(R49&gt;=C49,"In pantry","To buy"))</f>
        <v>0</v>
      </c>
      <c r="AB49" s="8">
        <f>IF(A49="","",COUNTIFS($A$5:A49,A49))</f>
        <v>0</v>
      </c>
      <c r="AC49" s="8">
        <f>IF(B49="","",IF(COUNTIFS('Dietary Filters'!$C$5:$C$104,B49)&gt;0,"Check","OK"))</f>
        <v>0</v>
      </c>
      <c r="AD49" s="25"/>
    </row>
    <row r="50" spans="1:30">
      <c r="A50" s="7"/>
      <c r="B50" s="7"/>
      <c r="C50" s="26"/>
      <c r="D50" s="27"/>
      <c r="E50" s="8">
        <f>IF(B50="","",IFERROR(INDEX(Ingredients!$B$5:$B$304,MATCH(B50,Ingredients!$A$5:$A$304,0)),""))</f>
        <v>0</v>
      </c>
      <c r="F50" s="8">
        <f>IF(B50="","",IFERROR(INDEX(Ingredients!$E$5:$E$304,MATCH(B50,Ingredients!$A$5:$A$304,0)),""))</f>
        <v>0</v>
      </c>
      <c r="G50" s="8">
        <f>IF(B50="","",IFERROR(INDEX(Ingredients!$D$5:$D$304,MATCH(B50,Ingredients!$A$5:$A$304,0)),""))</f>
        <v>0</v>
      </c>
      <c r="H50" s="8">
        <f>IF(OR(B50="",C50=""),"",IFERROR(C50*G50,""))</f>
        <v>0</v>
      </c>
      <c r="I50" s="8">
        <f>IF(A50="","",IFERROR(INDEX(Recipes!$D$5:$D$204,MATCH(A50,Recipes!$A$5:$A$204,0)),""))</f>
        <v>0</v>
      </c>
      <c r="J50" s="8">
        <f>IF(OR(H50="",I50="",I50=0),"",IFERROR(H50/I50,""))</f>
        <v>0</v>
      </c>
      <c r="K50" s="8">
        <f>IF(OR(B50="",C50=""),"",IFERROR(C50*IFERROR(INDEX(Ingredients!$H$5:$H$304,MATCH(B50,Ingredients!$A$5:$A$304,0)),""),""))</f>
        <v>0</v>
      </c>
      <c r="L50" s="8">
        <f>IF(OR(B50="",C50=""),"",IFERROR(C50*IFERROR(INDEX(Ingredients!$I$5:$I$304,MATCH(B50,Ingredients!$A$5:$A$304,0)),""),""))</f>
        <v>0</v>
      </c>
      <c r="M50" s="8">
        <f>IF(OR(B50="",C50=""),"",IFERROR(C50*IFERROR(INDEX(Ingredients!$J$5:$J$304,MATCH(B50,Ingredients!$A$5:$A$304,0)),""),""))</f>
        <v>0</v>
      </c>
      <c r="N50" s="8">
        <f>IF(OR(B50="",C50=""),"",IFERROR(C50*IFERROR(INDEX(Ingredients!$K$5:$K$304,MATCH(B50,Ingredients!$A$5:$A$304,0)),""),""))</f>
        <v>0</v>
      </c>
      <c r="O50" s="8">
        <f>IF(OR(B50="",C50=""),"",IFERROR(C50*IFERROR(INDEX(Ingredients!$L$5:$L$304,MATCH(B50,Ingredients!$A$5:$A$304,0)),""),""))</f>
        <v>0</v>
      </c>
      <c r="P50" s="8">
        <f>IF(OR(H50="",A50=""),"",IFERROR(H50/SUMIFS('Recipe Ingredients'!$H$5:$H$1204,'Recipe Ingredients'!$A$5:$A$1204,A50),""))</f>
        <v>0</v>
      </c>
      <c r="Q50" s="8">
        <f>IF(H50="","",COUNTIFS($H$5:$H$1204,"&gt;"&amp;H50)+1)</f>
        <v>0</v>
      </c>
      <c r="R50" s="8">
        <f>IF(B50="","",SUMIFS(Pantry!$C$5:$C$304,Pantry!$A$5:$A$304,B50))</f>
        <v>0</v>
      </c>
      <c r="S50" s="8">
        <f>IF(OR(B50="",C50=""),"",MAX(0,C50-R50))</f>
        <v>0</v>
      </c>
      <c r="T50" s="26"/>
      <c r="U50" s="8">
        <f>IF(OR(T50="",T50=0,G50=""),"",T50*G50)</f>
        <v>0</v>
      </c>
      <c r="V50" s="8">
        <f>IF(OR(S50="",T50="",T50=0),"",CEILING(S50/T50,1))</f>
        <v>0</v>
      </c>
      <c r="W50" s="27"/>
      <c r="X50" s="29"/>
      <c r="Y50" s="8">
        <f>IF(OR(C50="",X50=""),"",C50*(1+X50))</f>
        <v>0</v>
      </c>
      <c r="Z50" s="8">
        <f>IF(B50="","",IFERROR(INDEX(Ingredients!$O$5:$O$304,MATCH(B50,Ingredients!$A$5:$A$304,0)),""))</f>
        <v>0</v>
      </c>
      <c r="AA50" s="8">
        <f>IF(B50="","",IF(R50&gt;=C50,"In pantry","To buy"))</f>
        <v>0</v>
      </c>
      <c r="AB50" s="8">
        <f>IF(A50="","",COUNTIFS($A$5:A50,A50))</f>
        <v>0</v>
      </c>
      <c r="AC50" s="8">
        <f>IF(B50="","",IF(COUNTIFS('Dietary Filters'!$C$5:$C$104,B50)&gt;0,"Check","OK"))</f>
        <v>0</v>
      </c>
      <c r="AD50" s="25"/>
    </row>
    <row r="51" spans="1:30">
      <c r="A51" s="7"/>
      <c r="B51" s="7"/>
      <c r="C51" s="26"/>
      <c r="D51" s="27"/>
      <c r="E51" s="8">
        <f>IF(B51="","",IFERROR(INDEX(Ingredients!$B$5:$B$304,MATCH(B51,Ingredients!$A$5:$A$304,0)),""))</f>
        <v>0</v>
      </c>
      <c r="F51" s="8">
        <f>IF(B51="","",IFERROR(INDEX(Ingredients!$E$5:$E$304,MATCH(B51,Ingredients!$A$5:$A$304,0)),""))</f>
        <v>0</v>
      </c>
      <c r="G51" s="8">
        <f>IF(B51="","",IFERROR(INDEX(Ingredients!$D$5:$D$304,MATCH(B51,Ingredients!$A$5:$A$304,0)),""))</f>
        <v>0</v>
      </c>
      <c r="H51" s="8">
        <f>IF(OR(B51="",C51=""),"",IFERROR(C51*G51,""))</f>
        <v>0</v>
      </c>
      <c r="I51" s="8">
        <f>IF(A51="","",IFERROR(INDEX(Recipes!$D$5:$D$204,MATCH(A51,Recipes!$A$5:$A$204,0)),""))</f>
        <v>0</v>
      </c>
      <c r="J51" s="8">
        <f>IF(OR(H51="",I51="",I51=0),"",IFERROR(H51/I51,""))</f>
        <v>0</v>
      </c>
      <c r="K51" s="8">
        <f>IF(OR(B51="",C51=""),"",IFERROR(C51*IFERROR(INDEX(Ingredients!$H$5:$H$304,MATCH(B51,Ingredients!$A$5:$A$304,0)),""),""))</f>
        <v>0</v>
      </c>
      <c r="L51" s="8">
        <f>IF(OR(B51="",C51=""),"",IFERROR(C51*IFERROR(INDEX(Ingredients!$I$5:$I$304,MATCH(B51,Ingredients!$A$5:$A$304,0)),""),""))</f>
        <v>0</v>
      </c>
      <c r="M51" s="8">
        <f>IF(OR(B51="",C51=""),"",IFERROR(C51*IFERROR(INDEX(Ingredients!$J$5:$J$304,MATCH(B51,Ingredients!$A$5:$A$304,0)),""),""))</f>
        <v>0</v>
      </c>
      <c r="N51" s="8">
        <f>IF(OR(B51="",C51=""),"",IFERROR(C51*IFERROR(INDEX(Ingredients!$K$5:$K$304,MATCH(B51,Ingredients!$A$5:$A$304,0)),""),""))</f>
        <v>0</v>
      </c>
      <c r="O51" s="8">
        <f>IF(OR(B51="",C51=""),"",IFERROR(C51*IFERROR(INDEX(Ingredients!$L$5:$L$304,MATCH(B51,Ingredients!$A$5:$A$304,0)),""),""))</f>
        <v>0</v>
      </c>
      <c r="P51" s="8">
        <f>IF(OR(H51="",A51=""),"",IFERROR(H51/SUMIFS('Recipe Ingredients'!$H$5:$H$1204,'Recipe Ingredients'!$A$5:$A$1204,A51),""))</f>
        <v>0</v>
      </c>
      <c r="Q51" s="8">
        <f>IF(H51="","",COUNTIFS($H$5:$H$1204,"&gt;"&amp;H51)+1)</f>
        <v>0</v>
      </c>
      <c r="R51" s="8">
        <f>IF(B51="","",SUMIFS(Pantry!$C$5:$C$304,Pantry!$A$5:$A$304,B51))</f>
        <v>0</v>
      </c>
      <c r="S51" s="8">
        <f>IF(OR(B51="",C51=""),"",MAX(0,C51-R51))</f>
        <v>0</v>
      </c>
      <c r="T51" s="26"/>
      <c r="U51" s="8">
        <f>IF(OR(T51="",T51=0,G51=""),"",T51*G51)</f>
        <v>0</v>
      </c>
      <c r="V51" s="8">
        <f>IF(OR(S51="",T51="",T51=0),"",CEILING(S51/T51,1))</f>
        <v>0</v>
      </c>
      <c r="W51" s="27"/>
      <c r="X51" s="29"/>
      <c r="Y51" s="8">
        <f>IF(OR(C51="",X51=""),"",C51*(1+X51))</f>
        <v>0</v>
      </c>
      <c r="Z51" s="8">
        <f>IF(B51="","",IFERROR(INDEX(Ingredients!$O$5:$O$304,MATCH(B51,Ingredients!$A$5:$A$304,0)),""))</f>
        <v>0</v>
      </c>
      <c r="AA51" s="8">
        <f>IF(B51="","",IF(R51&gt;=C51,"In pantry","To buy"))</f>
        <v>0</v>
      </c>
      <c r="AB51" s="8">
        <f>IF(A51="","",COUNTIFS($A$5:A51,A51))</f>
        <v>0</v>
      </c>
      <c r="AC51" s="8">
        <f>IF(B51="","",IF(COUNTIFS('Dietary Filters'!$C$5:$C$104,B51)&gt;0,"Check","OK"))</f>
        <v>0</v>
      </c>
      <c r="AD51" s="25"/>
    </row>
    <row r="52" spans="1:30">
      <c r="A52" s="7"/>
      <c r="B52" s="7"/>
      <c r="C52" s="26"/>
      <c r="D52" s="27"/>
      <c r="E52" s="8">
        <f>IF(B52="","",IFERROR(INDEX(Ingredients!$B$5:$B$304,MATCH(B52,Ingredients!$A$5:$A$304,0)),""))</f>
        <v>0</v>
      </c>
      <c r="F52" s="8">
        <f>IF(B52="","",IFERROR(INDEX(Ingredients!$E$5:$E$304,MATCH(B52,Ingredients!$A$5:$A$304,0)),""))</f>
        <v>0</v>
      </c>
      <c r="G52" s="8">
        <f>IF(B52="","",IFERROR(INDEX(Ingredients!$D$5:$D$304,MATCH(B52,Ingredients!$A$5:$A$304,0)),""))</f>
        <v>0</v>
      </c>
      <c r="H52" s="8">
        <f>IF(OR(B52="",C52=""),"",IFERROR(C52*G52,""))</f>
        <v>0</v>
      </c>
      <c r="I52" s="8">
        <f>IF(A52="","",IFERROR(INDEX(Recipes!$D$5:$D$204,MATCH(A52,Recipes!$A$5:$A$204,0)),""))</f>
        <v>0</v>
      </c>
      <c r="J52" s="8">
        <f>IF(OR(H52="",I52="",I52=0),"",IFERROR(H52/I52,""))</f>
        <v>0</v>
      </c>
      <c r="K52" s="8">
        <f>IF(OR(B52="",C52=""),"",IFERROR(C52*IFERROR(INDEX(Ingredients!$H$5:$H$304,MATCH(B52,Ingredients!$A$5:$A$304,0)),""),""))</f>
        <v>0</v>
      </c>
      <c r="L52" s="8">
        <f>IF(OR(B52="",C52=""),"",IFERROR(C52*IFERROR(INDEX(Ingredients!$I$5:$I$304,MATCH(B52,Ingredients!$A$5:$A$304,0)),""),""))</f>
        <v>0</v>
      </c>
      <c r="M52" s="8">
        <f>IF(OR(B52="",C52=""),"",IFERROR(C52*IFERROR(INDEX(Ingredients!$J$5:$J$304,MATCH(B52,Ingredients!$A$5:$A$304,0)),""),""))</f>
        <v>0</v>
      </c>
      <c r="N52" s="8">
        <f>IF(OR(B52="",C52=""),"",IFERROR(C52*IFERROR(INDEX(Ingredients!$K$5:$K$304,MATCH(B52,Ingredients!$A$5:$A$304,0)),""),""))</f>
        <v>0</v>
      </c>
      <c r="O52" s="8">
        <f>IF(OR(B52="",C52=""),"",IFERROR(C52*IFERROR(INDEX(Ingredients!$L$5:$L$304,MATCH(B52,Ingredients!$A$5:$A$304,0)),""),""))</f>
        <v>0</v>
      </c>
      <c r="P52" s="8">
        <f>IF(OR(H52="",A52=""),"",IFERROR(H52/SUMIFS('Recipe Ingredients'!$H$5:$H$1204,'Recipe Ingredients'!$A$5:$A$1204,A52),""))</f>
        <v>0</v>
      </c>
      <c r="Q52" s="8">
        <f>IF(H52="","",COUNTIFS($H$5:$H$1204,"&gt;"&amp;H52)+1)</f>
        <v>0</v>
      </c>
      <c r="R52" s="8">
        <f>IF(B52="","",SUMIFS(Pantry!$C$5:$C$304,Pantry!$A$5:$A$304,B52))</f>
        <v>0</v>
      </c>
      <c r="S52" s="8">
        <f>IF(OR(B52="",C52=""),"",MAX(0,C52-R52))</f>
        <v>0</v>
      </c>
      <c r="T52" s="26"/>
      <c r="U52" s="8">
        <f>IF(OR(T52="",T52=0,G52=""),"",T52*G52)</f>
        <v>0</v>
      </c>
      <c r="V52" s="8">
        <f>IF(OR(S52="",T52="",T52=0),"",CEILING(S52/T52,1))</f>
        <v>0</v>
      </c>
      <c r="W52" s="27"/>
      <c r="X52" s="29"/>
      <c r="Y52" s="8">
        <f>IF(OR(C52="",X52=""),"",C52*(1+X52))</f>
        <v>0</v>
      </c>
      <c r="Z52" s="8">
        <f>IF(B52="","",IFERROR(INDEX(Ingredients!$O$5:$O$304,MATCH(B52,Ingredients!$A$5:$A$304,0)),""))</f>
        <v>0</v>
      </c>
      <c r="AA52" s="8">
        <f>IF(B52="","",IF(R52&gt;=C52,"In pantry","To buy"))</f>
        <v>0</v>
      </c>
      <c r="AB52" s="8">
        <f>IF(A52="","",COUNTIFS($A$5:A52,A52))</f>
        <v>0</v>
      </c>
      <c r="AC52" s="8">
        <f>IF(B52="","",IF(COUNTIFS('Dietary Filters'!$C$5:$C$104,B52)&gt;0,"Check","OK"))</f>
        <v>0</v>
      </c>
      <c r="AD52" s="25"/>
    </row>
    <row r="53" spans="1:30">
      <c r="A53" s="7"/>
      <c r="B53" s="7"/>
      <c r="C53" s="26"/>
      <c r="D53" s="27"/>
      <c r="E53" s="8">
        <f>IF(B53="","",IFERROR(INDEX(Ingredients!$B$5:$B$304,MATCH(B53,Ingredients!$A$5:$A$304,0)),""))</f>
        <v>0</v>
      </c>
      <c r="F53" s="8">
        <f>IF(B53="","",IFERROR(INDEX(Ingredients!$E$5:$E$304,MATCH(B53,Ingredients!$A$5:$A$304,0)),""))</f>
        <v>0</v>
      </c>
      <c r="G53" s="8">
        <f>IF(B53="","",IFERROR(INDEX(Ingredients!$D$5:$D$304,MATCH(B53,Ingredients!$A$5:$A$304,0)),""))</f>
        <v>0</v>
      </c>
      <c r="H53" s="8">
        <f>IF(OR(B53="",C53=""),"",IFERROR(C53*G53,""))</f>
        <v>0</v>
      </c>
      <c r="I53" s="8">
        <f>IF(A53="","",IFERROR(INDEX(Recipes!$D$5:$D$204,MATCH(A53,Recipes!$A$5:$A$204,0)),""))</f>
        <v>0</v>
      </c>
      <c r="J53" s="8">
        <f>IF(OR(H53="",I53="",I53=0),"",IFERROR(H53/I53,""))</f>
        <v>0</v>
      </c>
      <c r="K53" s="8">
        <f>IF(OR(B53="",C53=""),"",IFERROR(C53*IFERROR(INDEX(Ingredients!$H$5:$H$304,MATCH(B53,Ingredients!$A$5:$A$304,0)),""),""))</f>
        <v>0</v>
      </c>
      <c r="L53" s="8">
        <f>IF(OR(B53="",C53=""),"",IFERROR(C53*IFERROR(INDEX(Ingredients!$I$5:$I$304,MATCH(B53,Ingredients!$A$5:$A$304,0)),""),""))</f>
        <v>0</v>
      </c>
      <c r="M53" s="8">
        <f>IF(OR(B53="",C53=""),"",IFERROR(C53*IFERROR(INDEX(Ingredients!$J$5:$J$304,MATCH(B53,Ingredients!$A$5:$A$304,0)),""),""))</f>
        <v>0</v>
      </c>
      <c r="N53" s="8">
        <f>IF(OR(B53="",C53=""),"",IFERROR(C53*IFERROR(INDEX(Ingredients!$K$5:$K$304,MATCH(B53,Ingredients!$A$5:$A$304,0)),""),""))</f>
        <v>0</v>
      </c>
      <c r="O53" s="8">
        <f>IF(OR(B53="",C53=""),"",IFERROR(C53*IFERROR(INDEX(Ingredients!$L$5:$L$304,MATCH(B53,Ingredients!$A$5:$A$304,0)),""),""))</f>
        <v>0</v>
      </c>
      <c r="P53" s="8">
        <f>IF(OR(H53="",A53=""),"",IFERROR(H53/SUMIFS('Recipe Ingredients'!$H$5:$H$1204,'Recipe Ingredients'!$A$5:$A$1204,A53),""))</f>
        <v>0</v>
      </c>
      <c r="Q53" s="8">
        <f>IF(H53="","",COUNTIFS($H$5:$H$1204,"&gt;"&amp;H53)+1)</f>
        <v>0</v>
      </c>
      <c r="R53" s="8">
        <f>IF(B53="","",SUMIFS(Pantry!$C$5:$C$304,Pantry!$A$5:$A$304,B53))</f>
        <v>0</v>
      </c>
      <c r="S53" s="8">
        <f>IF(OR(B53="",C53=""),"",MAX(0,C53-R53))</f>
        <v>0</v>
      </c>
      <c r="T53" s="26"/>
      <c r="U53" s="8">
        <f>IF(OR(T53="",T53=0,G53=""),"",T53*G53)</f>
        <v>0</v>
      </c>
      <c r="V53" s="8">
        <f>IF(OR(S53="",T53="",T53=0),"",CEILING(S53/T53,1))</f>
        <v>0</v>
      </c>
      <c r="W53" s="27"/>
      <c r="X53" s="29"/>
      <c r="Y53" s="8">
        <f>IF(OR(C53="",X53=""),"",C53*(1+X53))</f>
        <v>0</v>
      </c>
      <c r="Z53" s="8">
        <f>IF(B53="","",IFERROR(INDEX(Ingredients!$O$5:$O$304,MATCH(B53,Ingredients!$A$5:$A$304,0)),""))</f>
        <v>0</v>
      </c>
      <c r="AA53" s="8">
        <f>IF(B53="","",IF(R53&gt;=C53,"In pantry","To buy"))</f>
        <v>0</v>
      </c>
      <c r="AB53" s="8">
        <f>IF(A53="","",COUNTIFS($A$5:A53,A53))</f>
        <v>0</v>
      </c>
      <c r="AC53" s="8">
        <f>IF(B53="","",IF(COUNTIFS('Dietary Filters'!$C$5:$C$104,B53)&gt;0,"Check","OK"))</f>
        <v>0</v>
      </c>
      <c r="AD53" s="25"/>
    </row>
    <row r="54" spans="1:30">
      <c r="A54" s="7"/>
      <c r="B54" s="7"/>
      <c r="C54" s="26"/>
      <c r="D54" s="27"/>
      <c r="E54" s="8">
        <f>IF(B54="","",IFERROR(INDEX(Ingredients!$B$5:$B$304,MATCH(B54,Ingredients!$A$5:$A$304,0)),""))</f>
        <v>0</v>
      </c>
      <c r="F54" s="8">
        <f>IF(B54="","",IFERROR(INDEX(Ingredients!$E$5:$E$304,MATCH(B54,Ingredients!$A$5:$A$304,0)),""))</f>
        <v>0</v>
      </c>
      <c r="G54" s="8">
        <f>IF(B54="","",IFERROR(INDEX(Ingredients!$D$5:$D$304,MATCH(B54,Ingredients!$A$5:$A$304,0)),""))</f>
        <v>0</v>
      </c>
      <c r="H54" s="8">
        <f>IF(OR(B54="",C54=""),"",IFERROR(C54*G54,""))</f>
        <v>0</v>
      </c>
      <c r="I54" s="8">
        <f>IF(A54="","",IFERROR(INDEX(Recipes!$D$5:$D$204,MATCH(A54,Recipes!$A$5:$A$204,0)),""))</f>
        <v>0</v>
      </c>
      <c r="J54" s="8">
        <f>IF(OR(H54="",I54="",I54=0),"",IFERROR(H54/I54,""))</f>
        <v>0</v>
      </c>
      <c r="K54" s="8">
        <f>IF(OR(B54="",C54=""),"",IFERROR(C54*IFERROR(INDEX(Ingredients!$H$5:$H$304,MATCH(B54,Ingredients!$A$5:$A$304,0)),""),""))</f>
        <v>0</v>
      </c>
      <c r="L54" s="8">
        <f>IF(OR(B54="",C54=""),"",IFERROR(C54*IFERROR(INDEX(Ingredients!$I$5:$I$304,MATCH(B54,Ingredients!$A$5:$A$304,0)),""),""))</f>
        <v>0</v>
      </c>
      <c r="M54" s="8">
        <f>IF(OR(B54="",C54=""),"",IFERROR(C54*IFERROR(INDEX(Ingredients!$J$5:$J$304,MATCH(B54,Ingredients!$A$5:$A$304,0)),""),""))</f>
        <v>0</v>
      </c>
      <c r="N54" s="8">
        <f>IF(OR(B54="",C54=""),"",IFERROR(C54*IFERROR(INDEX(Ingredients!$K$5:$K$304,MATCH(B54,Ingredients!$A$5:$A$304,0)),""),""))</f>
        <v>0</v>
      </c>
      <c r="O54" s="8">
        <f>IF(OR(B54="",C54=""),"",IFERROR(C54*IFERROR(INDEX(Ingredients!$L$5:$L$304,MATCH(B54,Ingredients!$A$5:$A$304,0)),""),""))</f>
        <v>0</v>
      </c>
      <c r="P54" s="8">
        <f>IF(OR(H54="",A54=""),"",IFERROR(H54/SUMIFS('Recipe Ingredients'!$H$5:$H$1204,'Recipe Ingredients'!$A$5:$A$1204,A54),""))</f>
        <v>0</v>
      </c>
      <c r="Q54" s="8">
        <f>IF(H54="","",COUNTIFS($H$5:$H$1204,"&gt;"&amp;H54)+1)</f>
        <v>0</v>
      </c>
      <c r="R54" s="8">
        <f>IF(B54="","",SUMIFS(Pantry!$C$5:$C$304,Pantry!$A$5:$A$304,B54))</f>
        <v>0</v>
      </c>
      <c r="S54" s="8">
        <f>IF(OR(B54="",C54=""),"",MAX(0,C54-R54))</f>
        <v>0</v>
      </c>
      <c r="T54" s="26"/>
      <c r="U54" s="8">
        <f>IF(OR(T54="",T54=0,G54=""),"",T54*G54)</f>
        <v>0</v>
      </c>
      <c r="V54" s="8">
        <f>IF(OR(S54="",T54="",T54=0),"",CEILING(S54/T54,1))</f>
        <v>0</v>
      </c>
      <c r="W54" s="27"/>
      <c r="X54" s="29"/>
      <c r="Y54" s="8">
        <f>IF(OR(C54="",X54=""),"",C54*(1+X54))</f>
        <v>0</v>
      </c>
      <c r="Z54" s="8">
        <f>IF(B54="","",IFERROR(INDEX(Ingredients!$O$5:$O$304,MATCH(B54,Ingredients!$A$5:$A$304,0)),""))</f>
        <v>0</v>
      </c>
      <c r="AA54" s="8">
        <f>IF(B54="","",IF(R54&gt;=C54,"In pantry","To buy"))</f>
        <v>0</v>
      </c>
      <c r="AB54" s="8">
        <f>IF(A54="","",COUNTIFS($A$5:A54,A54))</f>
        <v>0</v>
      </c>
      <c r="AC54" s="8">
        <f>IF(B54="","",IF(COUNTIFS('Dietary Filters'!$C$5:$C$104,B54)&gt;0,"Check","OK"))</f>
        <v>0</v>
      </c>
      <c r="AD54" s="25"/>
    </row>
    <row r="55" spans="1:30">
      <c r="A55" s="7"/>
      <c r="B55" s="7"/>
      <c r="C55" s="26"/>
      <c r="D55" s="27"/>
      <c r="E55" s="8">
        <f>IF(B55="","",IFERROR(INDEX(Ingredients!$B$5:$B$304,MATCH(B55,Ingredients!$A$5:$A$304,0)),""))</f>
        <v>0</v>
      </c>
      <c r="F55" s="8">
        <f>IF(B55="","",IFERROR(INDEX(Ingredients!$E$5:$E$304,MATCH(B55,Ingredients!$A$5:$A$304,0)),""))</f>
        <v>0</v>
      </c>
      <c r="G55" s="8">
        <f>IF(B55="","",IFERROR(INDEX(Ingredients!$D$5:$D$304,MATCH(B55,Ingredients!$A$5:$A$304,0)),""))</f>
        <v>0</v>
      </c>
      <c r="H55" s="8">
        <f>IF(OR(B55="",C55=""),"",IFERROR(C55*G55,""))</f>
        <v>0</v>
      </c>
      <c r="I55" s="8">
        <f>IF(A55="","",IFERROR(INDEX(Recipes!$D$5:$D$204,MATCH(A55,Recipes!$A$5:$A$204,0)),""))</f>
        <v>0</v>
      </c>
      <c r="J55" s="8">
        <f>IF(OR(H55="",I55="",I55=0),"",IFERROR(H55/I55,""))</f>
        <v>0</v>
      </c>
      <c r="K55" s="8">
        <f>IF(OR(B55="",C55=""),"",IFERROR(C55*IFERROR(INDEX(Ingredients!$H$5:$H$304,MATCH(B55,Ingredients!$A$5:$A$304,0)),""),""))</f>
        <v>0</v>
      </c>
      <c r="L55" s="8">
        <f>IF(OR(B55="",C55=""),"",IFERROR(C55*IFERROR(INDEX(Ingredients!$I$5:$I$304,MATCH(B55,Ingredients!$A$5:$A$304,0)),""),""))</f>
        <v>0</v>
      </c>
      <c r="M55" s="8">
        <f>IF(OR(B55="",C55=""),"",IFERROR(C55*IFERROR(INDEX(Ingredients!$J$5:$J$304,MATCH(B55,Ingredients!$A$5:$A$304,0)),""),""))</f>
        <v>0</v>
      </c>
      <c r="N55" s="8">
        <f>IF(OR(B55="",C55=""),"",IFERROR(C55*IFERROR(INDEX(Ingredients!$K$5:$K$304,MATCH(B55,Ingredients!$A$5:$A$304,0)),""),""))</f>
        <v>0</v>
      </c>
      <c r="O55" s="8">
        <f>IF(OR(B55="",C55=""),"",IFERROR(C55*IFERROR(INDEX(Ingredients!$L$5:$L$304,MATCH(B55,Ingredients!$A$5:$A$304,0)),""),""))</f>
        <v>0</v>
      </c>
      <c r="P55" s="8">
        <f>IF(OR(H55="",A55=""),"",IFERROR(H55/SUMIFS('Recipe Ingredients'!$H$5:$H$1204,'Recipe Ingredients'!$A$5:$A$1204,A55),""))</f>
        <v>0</v>
      </c>
      <c r="Q55" s="8">
        <f>IF(H55="","",COUNTIFS($H$5:$H$1204,"&gt;"&amp;H55)+1)</f>
        <v>0</v>
      </c>
      <c r="R55" s="8">
        <f>IF(B55="","",SUMIFS(Pantry!$C$5:$C$304,Pantry!$A$5:$A$304,B55))</f>
        <v>0</v>
      </c>
      <c r="S55" s="8">
        <f>IF(OR(B55="",C55=""),"",MAX(0,C55-R55))</f>
        <v>0</v>
      </c>
      <c r="T55" s="26"/>
      <c r="U55" s="8">
        <f>IF(OR(T55="",T55=0,G55=""),"",T55*G55)</f>
        <v>0</v>
      </c>
      <c r="V55" s="8">
        <f>IF(OR(S55="",T55="",T55=0),"",CEILING(S55/T55,1))</f>
        <v>0</v>
      </c>
      <c r="W55" s="27"/>
      <c r="X55" s="29"/>
      <c r="Y55" s="8">
        <f>IF(OR(C55="",X55=""),"",C55*(1+X55))</f>
        <v>0</v>
      </c>
      <c r="Z55" s="8">
        <f>IF(B55="","",IFERROR(INDEX(Ingredients!$O$5:$O$304,MATCH(B55,Ingredients!$A$5:$A$304,0)),""))</f>
        <v>0</v>
      </c>
      <c r="AA55" s="8">
        <f>IF(B55="","",IF(R55&gt;=C55,"In pantry","To buy"))</f>
        <v>0</v>
      </c>
      <c r="AB55" s="8">
        <f>IF(A55="","",COUNTIFS($A$5:A55,A55))</f>
        <v>0</v>
      </c>
      <c r="AC55" s="8">
        <f>IF(B55="","",IF(COUNTIFS('Dietary Filters'!$C$5:$C$104,B55)&gt;0,"Check","OK"))</f>
        <v>0</v>
      </c>
      <c r="AD55" s="25"/>
    </row>
    <row r="56" spans="1:30">
      <c r="A56" s="7"/>
      <c r="B56" s="7"/>
      <c r="C56" s="26"/>
      <c r="D56" s="27"/>
      <c r="E56" s="8">
        <f>IF(B56="","",IFERROR(INDEX(Ingredients!$B$5:$B$304,MATCH(B56,Ingredients!$A$5:$A$304,0)),""))</f>
        <v>0</v>
      </c>
      <c r="F56" s="8">
        <f>IF(B56="","",IFERROR(INDEX(Ingredients!$E$5:$E$304,MATCH(B56,Ingredients!$A$5:$A$304,0)),""))</f>
        <v>0</v>
      </c>
      <c r="G56" s="8">
        <f>IF(B56="","",IFERROR(INDEX(Ingredients!$D$5:$D$304,MATCH(B56,Ingredients!$A$5:$A$304,0)),""))</f>
        <v>0</v>
      </c>
      <c r="H56" s="8">
        <f>IF(OR(B56="",C56=""),"",IFERROR(C56*G56,""))</f>
        <v>0</v>
      </c>
      <c r="I56" s="8">
        <f>IF(A56="","",IFERROR(INDEX(Recipes!$D$5:$D$204,MATCH(A56,Recipes!$A$5:$A$204,0)),""))</f>
        <v>0</v>
      </c>
      <c r="J56" s="8">
        <f>IF(OR(H56="",I56="",I56=0),"",IFERROR(H56/I56,""))</f>
        <v>0</v>
      </c>
      <c r="K56" s="8">
        <f>IF(OR(B56="",C56=""),"",IFERROR(C56*IFERROR(INDEX(Ingredients!$H$5:$H$304,MATCH(B56,Ingredients!$A$5:$A$304,0)),""),""))</f>
        <v>0</v>
      </c>
      <c r="L56" s="8">
        <f>IF(OR(B56="",C56=""),"",IFERROR(C56*IFERROR(INDEX(Ingredients!$I$5:$I$304,MATCH(B56,Ingredients!$A$5:$A$304,0)),""),""))</f>
        <v>0</v>
      </c>
      <c r="M56" s="8">
        <f>IF(OR(B56="",C56=""),"",IFERROR(C56*IFERROR(INDEX(Ingredients!$J$5:$J$304,MATCH(B56,Ingredients!$A$5:$A$304,0)),""),""))</f>
        <v>0</v>
      </c>
      <c r="N56" s="8">
        <f>IF(OR(B56="",C56=""),"",IFERROR(C56*IFERROR(INDEX(Ingredients!$K$5:$K$304,MATCH(B56,Ingredients!$A$5:$A$304,0)),""),""))</f>
        <v>0</v>
      </c>
      <c r="O56" s="8">
        <f>IF(OR(B56="",C56=""),"",IFERROR(C56*IFERROR(INDEX(Ingredients!$L$5:$L$304,MATCH(B56,Ingredients!$A$5:$A$304,0)),""),""))</f>
        <v>0</v>
      </c>
      <c r="P56" s="8">
        <f>IF(OR(H56="",A56=""),"",IFERROR(H56/SUMIFS('Recipe Ingredients'!$H$5:$H$1204,'Recipe Ingredients'!$A$5:$A$1204,A56),""))</f>
        <v>0</v>
      </c>
      <c r="Q56" s="8">
        <f>IF(H56="","",COUNTIFS($H$5:$H$1204,"&gt;"&amp;H56)+1)</f>
        <v>0</v>
      </c>
      <c r="R56" s="8">
        <f>IF(B56="","",SUMIFS(Pantry!$C$5:$C$304,Pantry!$A$5:$A$304,B56))</f>
        <v>0</v>
      </c>
      <c r="S56" s="8">
        <f>IF(OR(B56="",C56=""),"",MAX(0,C56-R56))</f>
        <v>0</v>
      </c>
      <c r="T56" s="26"/>
      <c r="U56" s="8">
        <f>IF(OR(T56="",T56=0,G56=""),"",T56*G56)</f>
        <v>0</v>
      </c>
      <c r="V56" s="8">
        <f>IF(OR(S56="",T56="",T56=0),"",CEILING(S56/T56,1))</f>
        <v>0</v>
      </c>
      <c r="W56" s="27"/>
      <c r="X56" s="29"/>
      <c r="Y56" s="8">
        <f>IF(OR(C56="",X56=""),"",C56*(1+X56))</f>
        <v>0</v>
      </c>
      <c r="Z56" s="8">
        <f>IF(B56="","",IFERROR(INDEX(Ingredients!$O$5:$O$304,MATCH(B56,Ingredients!$A$5:$A$304,0)),""))</f>
        <v>0</v>
      </c>
      <c r="AA56" s="8">
        <f>IF(B56="","",IF(R56&gt;=C56,"In pantry","To buy"))</f>
        <v>0</v>
      </c>
      <c r="AB56" s="8">
        <f>IF(A56="","",COUNTIFS($A$5:A56,A56))</f>
        <v>0</v>
      </c>
      <c r="AC56" s="8">
        <f>IF(B56="","",IF(COUNTIFS('Dietary Filters'!$C$5:$C$104,B56)&gt;0,"Check","OK"))</f>
        <v>0</v>
      </c>
      <c r="AD56" s="25"/>
    </row>
    <row r="57" spans="1:30">
      <c r="A57" s="7"/>
      <c r="B57" s="7"/>
      <c r="C57" s="26"/>
      <c r="D57" s="27"/>
      <c r="E57" s="8">
        <f>IF(B57="","",IFERROR(INDEX(Ingredients!$B$5:$B$304,MATCH(B57,Ingredients!$A$5:$A$304,0)),""))</f>
        <v>0</v>
      </c>
      <c r="F57" s="8">
        <f>IF(B57="","",IFERROR(INDEX(Ingredients!$E$5:$E$304,MATCH(B57,Ingredients!$A$5:$A$304,0)),""))</f>
        <v>0</v>
      </c>
      <c r="G57" s="8">
        <f>IF(B57="","",IFERROR(INDEX(Ingredients!$D$5:$D$304,MATCH(B57,Ingredients!$A$5:$A$304,0)),""))</f>
        <v>0</v>
      </c>
      <c r="H57" s="8">
        <f>IF(OR(B57="",C57=""),"",IFERROR(C57*G57,""))</f>
        <v>0</v>
      </c>
      <c r="I57" s="8">
        <f>IF(A57="","",IFERROR(INDEX(Recipes!$D$5:$D$204,MATCH(A57,Recipes!$A$5:$A$204,0)),""))</f>
        <v>0</v>
      </c>
      <c r="J57" s="8">
        <f>IF(OR(H57="",I57="",I57=0),"",IFERROR(H57/I57,""))</f>
        <v>0</v>
      </c>
      <c r="K57" s="8">
        <f>IF(OR(B57="",C57=""),"",IFERROR(C57*IFERROR(INDEX(Ingredients!$H$5:$H$304,MATCH(B57,Ingredients!$A$5:$A$304,0)),""),""))</f>
        <v>0</v>
      </c>
      <c r="L57" s="8">
        <f>IF(OR(B57="",C57=""),"",IFERROR(C57*IFERROR(INDEX(Ingredients!$I$5:$I$304,MATCH(B57,Ingredients!$A$5:$A$304,0)),""),""))</f>
        <v>0</v>
      </c>
      <c r="M57" s="8">
        <f>IF(OR(B57="",C57=""),"",IFERROR(C57*IFERROR(INDEX(Ingredients!$J$5:$J$304,MATCH(B57,Ingredients!$A$5:$A$304,0)),""),""))</f>
        <v>0</v>
      </c>
      <c r="N57" s="8">
        <f>IF(OR(B57="",C57=""),"",IFERROR(C57*IFERROR(INDEX(Ingredients!$K$5:$K$304,MATCH(B57,Ingredients!$A$5:$A$304,0)),""),""))</f>
        <v>0</v>
      </c>
      <c r="O57" s="8">
        <f>IF(OR(B57="",C57=""),"",IFERROR(C57*IFERROR(INDEX(Ingredients!$L$5:$L$304,MATCH(B57,Ingredients!$A$5:$A$304,0)),""),""))</f>
        <v>0</v>
      </c>
      <c r="P57" s="8">
        <f>IF(OR(H57="",A57=""),"",IFERROR(H57/SUMIFS('Recipe Ingredients'!$H$5:$H$1204,'Recipe Ingredients'!$A$5:$A$1204,A57),""))</f>
        <v>0</v>
      </c>
      <c r="Q57" s="8">
        <f>IF(H57="","",COUNTIFS($H$5:$H$1204,"&gt;"&amp;H57)+1)</f>
        <v>0</v>
      </c>
      <c r="R57" s="8">
        <f>IF(B57="","",SUMIFS(Pantry!$C$5:$C$304,Pantry!$A$5:$A$304,B57))</f>
        <v>0</v>
      </c>
      <c r="S57" s="8">
        <f>IF(OR(B57="",C57=""),"",MAX(0,C57-R57))</f>
        <v>0</v>
      </c>
      <c r="T57" s="26"/>
      <c r="U57" s="8">
        <f>IF(OR(T57="",T57=0,G57=""),"",T57*G57)</f>
        <v>0</v>
      </c>
      <c r="V57" s="8">
        <f>IF(OR(S57="",T57="",T57=0),"",CEILING(S57/T57,1))</f>
        <v>0</v>
      </c>
      <c r="W57" s="27"/>
      <c r="X57" s="29"/>
      <c r="Y57" s="8">
        <f>IF(OR(C57="",X57=""),"",C57*(1+X57))</f>
        <v>0</v>
      </c>
      <c r="Z57" s="8">
        <f>IF(B57="","",IFERROR(INDEX(Ingredients!$O$5:$O$304,MATCH(B57,Ingredients!$A$5:$A$304,0)),""))</f>
        <v>0</v>
      </c>
      <c r="AA57" s="8">
        <f>IF(B57="","",IF(R57&gt;=C57,"In pantry","To buy"))</f>
        <v>0</v>
      </c>
      <c r="AB57" s="8">
        <f>IF(A57="","",COUNTIFS($A$5:A57,A57))</f>
        <v>0</v>
      </c>
      <c r="AC57" s="8">
        <f>IF(B57="","",IF(COUNTIFS('Dietary Filters'!$C$5:$C$104,B57)&gt;0,"Check","OK"))</f>
        <v>0</v>
      </c>
      <c r="AD57" s="25"/>
    </row>
    <row r="58" spans="1:30">
      <c r="A58" s="7"/>
      <c r="B58" s="7"/>
      <c r="C58" s="26"/>
      <c r="D58" s="27"/>
      <c r="E58" s="8">
        <f>IF(B58="","",IFERROR(INDEX(Ingredients!$B$5:$B$304,MATCH(B58,Ingredients!$A$5:$A$304,0)),""))</f>
        <v>0</v>
      </c>
      <c r="F58" s="8">
        <f>IF(B58="","",IFERROR(INDEX(Ingredients!$E$5:$E$304,MATCH(B58,Ingredients!$A$5:$A$304,0)),""))</f>
        <v>0</v>
      </c>
      <c r="G58" s="8">
        <f>IF(B58="","",IFERROR(INDEX(Ingredients!$D$5:$D$304,MATCH(B58,Ingredients!$A$5:$A$304,0)),""))</f>
        <v>0</v>
      </c>
      <c r="H58" s="8">
        <f>IF(OR(B58="",C58=""),"",IFERROR(C58*G58,""))</f>
        <v>0</v>
      </c>
      <c r="I58" s="8">
        <f>IF(A58="","",IFERROR(INDEX(Recipes!$D$5:$D$204,MATCH(A58,Recipes!$A$5:$A$204,0)),""))</f>
        <v>0</v>
      </c>
      <c r="J58" s="8">
        <f>IF(OR(H58="",I58="",I58=0),"",IFERROR(H58/I58,""))</f>
        <v>0</v>
      </c>
      <c r="K58" s="8">
        <f>IF(OR(B58="",C58=""),"",IFERROR(C58*IFERROR(INDEX(Ingredients!$H$5:$H$304,MATCH(B58,Ingredients!$A$5:$A$304,0)),""),""))</f>
        <v>0</v>
      </c>
      <c r="L58" s="8">
        <f>IF(OR(B58="",C58=""),"",IFERROR(C58*IFERROR(INDEX(Ingredients!$I$5:$I$304,MATCH(B58,Ingredients!$A$5:$A$304,0)),""),""))</f>
        <v>0</v>
      </c>
      <c r="M58" s="8">
        <f>IF(OR(B58="",C58=""),"",IFERROR(C58*IFERROR(INDEX(Ingredients!$J$5:$J$304,MATCH(B58,Ingredients!$A$5:$A$304,0)),""),""))</f>
        <v>0</v>
      </c>
      <c r="N58" s="8">
        <f>IF(OR(B58="",C58=""),"",IFERROR(C58*IFERROR(INDEX(Ingredients!$K$5:$K$304,MATCH(B58,Ingredients!$A$5:$A$304,0)),""),""))</f>
        <v>0</v>
      </c>
      <c r="O58" s="8">
        <f>IF(OR(B58="",C58=""),"",IFERROR(C58*IFERROR(INDEX(Ingredients!$L$5:$L$304,MATCH(B58,Ingredients!$A$5:$A$304,0)),""),""))</f>
        <v>0</v>
      </c>
      <c r="P58" s="8">
        <f>IF(OR(H58="",A58=""),"",IFERROR(H58/SUMIFS('Recipe Ingredients'!$H$5:$H$1204,'Recipe Ingredients'!$A$5:$A$1204,A58),""))</f>
        <v>0</v>
      </c>
      <c r="Q58" s="8">
        <f>IF(H58="","",COUNTIFS($H$5:$H$1204,"&gt;"&amp;H58)+1)</f>
        <v>0</v>
      </c>
      <c r="R58" s="8">
        <f>IF(B58="","",SUMIFS(Pantry!$C$5:$C$304,Pantry!$A$5:$A$304,B58))</f>
        <v>0</v>
      </c>
      <c r="S58" s="8">
        <f>IF(OR(B58="",C58=""),"",MAX(0,C58-R58))</f>
        <v>0</v>
      </c>
      <c r="T58" s="26"/>
      <c r="U58" s="8">
        <f>IF(OR(T58="",T58=0,G58=""),"",T58*G58)</f>
        <v>0</v>
      </c>
      <c r="V58" s="8">
        <f>IF(OR(S58="",T58="",T58=0),"",CEILING(S58/T58,1))</f>
        <v>0</v>
      </c>
      <c r="W58" s="27"/>
      <c r="X58" s="29"/>
      <c r="Y58" s="8">
        <f>IF(OR(C58="",X58=""),"",C58*(1+X58))</f>
        <v>0</v>
      </c>
      <c r="Z58" s="8">
        <f>IF(B58="","",IFERROR(INDEX(Ingredients!$O$5:$O$304,MATCH(B58,Ingredients!$A$5:$A$304,0)),""))</f>
        <v>0</v>
      </c>
      <c r="AA58" s="8">
        <f>IF(B58="","",IF(R58&gt;=C58,"In pantry","To buy"))</f>
        <v>0</v>
      </c>
      <c r="AB58" s="8">
        <f>IF(A58="","",COUNTIFS($A$5:A58,A58))</f>
        <v>0</v>
      </c>
      <c r="AC58" s="8">
        <f>IF(B58="","",IF(COUNTIFS('Dietary Filters'!$C$5:$C$104,B58)&gt;0,"Check","OK"))</f>
        <v>0</v>
      </c>
      <c r="AD58" s="25"/>
    </row>
    <row r="59" spans="1:30">
      <c r="A59" s="7"/>
      <c r="B59" s="7"/>
      <c r="C59" s="26"/>
      <c r="D59" s="27"/>
      <c r="E59" s="8">
        <f>IF(B59="","",IFERROR(INDEX(Ingredients!$B$5:$B$304,MATCH(B59,Ingredients!$A$5:$A$304,0)),""))</f>
        <v>0</v>
      </c>
      <c r="F59" s="8">
        <f>IF(B59="","",IFERROR(INDEX(Ingredients!$E$5:$E$304,MATCH(B59,Ingredients!$A$5:$A$304,0)),""))</f>
        <v>0</v>
      </c>
      <c r="G59" s="8">
        <f>IF(B59="","",IFERROR(INDEX(Ingredients!$D$5:$D$304,MATCH(B59,Ingredients!$A$5:$A$304,0)),""))</f>
        <v>0</v>
      </c>
      <c r="H59" s="8">
        <f>IF(OR(B59="",C59=""),"",IFERROR(C59*G59,""))</f>
        <v>0</v>
      </c>
      <c r="I59" s="8">
        <f>IF(A59="","",IFERROR(INDEX(Recipes!$D$5:$D$204,MATCH(A59,Recipes!$A$5:$A$204,0)),""))</f>
        <v>0</v>
      </c>
      <c r="J59" s="8">
        <f>IF(OR(H59="",I59="",I59=0),"",IFERROR(H59/I59,""))</f>
        <v>0</v>
      </c>
      <c r="K59" s="8">
        <f>IF(OR(B59="",C59=""),"",IFERROR(C59*IFERROR(INDEX(Ingredients!$H$5:$H$304,MATCH(B59,Ingredients!$A$5:$A$304,0)),""),""))</f>
        <v>0</v>
      </c>
      <c r="L59" s="8">
        <f>IF(OR(B59="",C59=""),"",IFERROR(C59*IFERROR(INDEX(Ingredients!$I$5:$I$304,MATCH(B59,Ingredients!$A$5:$A$304,0)),""),""))</f>
        <v>0</v>
      </c>
      <c r="M59" s="8">
        <f>IF(OR(B59="",C59=""),"",IFERROR(C59*IFERROR(INDEX(Ingredients!$J$5:$J$304,MATCH(B59,Ingredients!$A$5:$A$304,0)),""),""))</f>
        <v>0</v>
      </c>
      <c r="N59" s="8">
        <f>IF(OR(B59="",C59=""),"",IFERROR(C59*IFERROR(INDEX(Ingredients!$K$5:$K$304,MATCH(B59,Ingredients!$A$5:$A$304,0)),""),""))</f>
        <v>0</v>
      </c>
      <c r="O59" s="8">
        <f>IF(OR(B59="",C59=""),"",IFERROR(C59*IFERROR(INDEX(Ingredients!$L$5:$L$304,MATCH(B59,Ingredients!$A$5:$A$304,0)),""),""))</f>
        <v>0</v>
      </c>
      <c r="P59" s="8">
        <f>IF(OR(H59="",A59=""),"",IFERROR(H59/SUMIFS('Recipe Ingredients'!$H$5:$H$1204,'Recipe Ingredients'!$A$5:$A$1204,A59),""))</f>
        <v>0</v>
      </c>
      <c r="Q59" s="8">
        <f>IF(H59="","",COUNTIFS($H$5:$H$1204,"&gt;"&amp;H59)+1)</f>
        <v>0</v>
      </c>
      <c r="R59" s="8">
        <f>IF(B59="","",SUMIFS(Pantry!$C$5:$C$304,Pantry!$A$5:$A$304,B59))</f>
        <v>0</v>
      </c>
      <c r="S59" s="8">
        <f>IF(OR(B59="",C59=""),"",MAX(0,C59-R59))</f>
        <v>0</v>
      </c>
      <c r="T59" s="26"/>
      <c r="U59" s="8">
        <f>IF(OR(T59="",T59=0,G59=""),"",T59*G59)</f>
        <v>0</v>
      </c>
      <c r="V59" s="8">
        <f>IF(OR(S59="",T59="",T59=0),"",CEILING(S59/T59,1))</f>
        <v>0</v>
      </c>
      <c r="W59" s="27"/>
      <c r="X59" s="29"/>
      <c r="Y59" s="8">
        <f>IF(OR(C59="",X59=""),"",C59*(1+X59))</f>
        <v>0</v>
      </c>
      <c r="Z59" s="8">
        <f>IF(B59="","",IFERROR(INDEX(Ingredients!$O$5:$O$304,MATCH(B59,Ingredients!$A$5:$A$304,0)),""))</f>
        <v>0</v>
      </c>
      <c r="AA59" s="8">
        <f>IF(B59="","",IF(R59&gt;=C59,"In pantry","To buy"))</f>
        <v>0</v>
      </c>
      <c r="AB59" s="8">
        <f>IF(A59="","",COUNTIFS($A$5:A59,A59))</f>
        <v>0</v>
      </c>
      <c r="AC59" s="8">
        <f>IF(B59="","",IF(COUNTIFS('Dietary Filters'!$C$5:$C$104,B59)&gt;0,"Check","OK"))</f>
        <v>0</v>
      </c>
      <c r="AD59" s="25"/>
    </row>
    <row r="60" spans="1:30">
      <c r="A60" s="7"/>
      <c r="B60" s="7"/>
      <c r="C60" s="26"/>
      <c r="D60" s="27"/>
      <c r="E60" s="8">
        <f>IF(B60="","",IFERROR(INDEX(Ingredients!$B$5:$B$304,MATCH(B60,Ingredients!$A$5:$A$304,0)),""))</f>
        <v>0</v>
      </c>
      <c r="F60" s="8">
        <f>IF(B60="","",IFERROR(INDEX(Ingredients!$E$5:$E$304,MATCH(B60,Ingredients!$A$5:$A$304,0)),""))</f>
        <v>0</v>
      </c>
      <c r="G60" s="8">
        <f>IF(B60="","",IFERROR(INDEX(Ingredients!$D$5:$D$304,MATCH(B60,Ingredients!$A$5:$A$304,0)),""))</f>
        <v>0</v>
      </c>
      <c r="H60" s="8">
        <f>IF(OR(B60="",C60=""),"",IFERROR(C60*G60,""))</f>
        <v>0</v>
      </c>
      <c r="I60" s="8">
        <f>IF(A60="","",IFERROR(INDEX(Recipes!$D$5:$D$204,MATCH(A60,Recipes!$A$5:$A$204,0)),""))</f>
        <v>0</v>
      </c>
      <c r="J60" s="8">
        <f>IF(OR(H60="",I60="",I60=0),"",IFERROR(H60/I60,""))</f>
        <v>0</v>
      </c>
      <c r="K60" s="8">
        <f>IF(OR(B60="",C60=""),"",IFERROR(C60*IFERROR(INDEX(Ingredients!$H$5:$H$304,MATCH(B60,Ingredients!$A$5:$A$304,0)),""),""))</f>
        <v>0</v>
      </c>
      <c r="L60" s="8">
        <f>IF(OR(B60="",C60=""),"",IFERROR(C60*IFERROR(INDEX(Ingredients!$I$5:$I$304,MATCH(B60,Ingredients!$A$5:$A$304,0)),""),""))</f>
        <v>0</v>
      </c>
      <c r="M60" s="8">
        <f>IF(OR(B60="",C60=""),"",IFERROR(C60*IFERROR(INDEX(Ingredients!$J$5:$J$304,MATCH(B60,Ingredients!$A$5:$A$304,0)),""),""))</f>
        <v>0</v>
      </c>
      <c r="N60" s="8">
        <f>IF(OR(B60="",C60=""),"",IFERROR(C60*IFERROR(INDEX(Ingredients!$K$5:$K$304,MATCH(B60,Ingredients!$A$5:$A$304,0)),""),""))</f>
        <v>0</v>
      </c>
      <c r="O60" s="8">
        <f>IF(OR(B60="",C60=""),"",IFERROR(C60*IFERROR(INDEX(Ingredients!$L$5:$L$304,MATCH(B60,Ingredients!$A$5:$A$304,0)),""),""))</f>
        <v>0</v>
      </c>
      <c r="P60" s="8">
        <f>IF(OR(H60="",A60=""),"",IFERROR(H60/SUMIFS('Recipe Ingredients'!$H$5:$H$1204,'Recipe Ingredients'!$A$5:$A$1204,A60),""))</f>
        <v>0</v>
      </c>
      <c r="Q60" s="8">
        <f>IF(H60="","",COUNTIFS($H$5:$H$1204,"&gt;"&amp;H60)+1)</f>
        <v>0</v>
      </c>
      <c r="R60" s="8">
        <f>IF(B60="","",SUMIFS(Pantry!$C$5:$C$304,Pantry!$A$5:$A$304,B60))</f>
        <v>0</v>
      </c>
      <c r="S60" s="8">
        <f>IF(OR(B60="",C60=""),"",MAX(0,C60-R60))</f>
        <v>0</v>
      </c>
      <c r="T60" s="26"/>
      <c r="U60" s="8">
        <f>IF(OR(T60="",T60=0,G60=""),"",T60*G60)</f>
        <v>0</v>
      </c>
      <c r="V60" s="8">
        <f>IF(OR(S60="",T60="",T60=0),"",CEILING(S60/T60,1))</f>
        <v>0</v>
      </c>
      <c r="W60" s="27"/>
      <c r="X60" s="29"/>
      <c r="Y60" s="8">
        <f>IF(OR(C60="",X60=""),"",C60*(1+X60))</f>
        <v>0</v>
      </c>
      <c r="Z60" s="8">
        <f>IF(B60="","",IFERROR(INDEX(Ingredients!$O$5:$O$304,MATCH(B60,Ingredients!$A$5:$A$304,0)),""))</f>
        <v>0</v>
      </c>
      <c r="AA60" s="8">
        <f>IF(B60="","",IF(R60&gt;=C60,"In pantry","To buy"))</f>
        <v>0</v>
      </c>
      <c r="AB60" s="8">
        <f>IF(A60="","",COUNTIFS($A$5:A60,A60))</f>
        <v>0</v>
      </c>
      <c r="AC60" s="8">
        <f>IF(B60="","",IF(COUNTIFS('Dietary Filters'!$C$5:$C$104,B60)&gt;0,"Check","OK"))</f>
        <v>0</v>
      </c>
      <c r="AD60" s="25"/>
    </row>
    <row r="61" spans="1:30">
      <c r="A61" s="7"/>
      <c r="B61" s="7"/>
      <c r="C61" s="26"/>
      <c r="D61" s="27"/>
      <c r="E61" s="8">
        <f>IF(B61="","",IFERROR(INDEX(Ingredients!$B$5:$B$304,MATCH(B61,Ingredients!$A$5:$A$304,0)),""))</f>
        <v>0</v>
      </c>
      <c r="F61" s="8">
        <f>IF(B61="","",IFERROR(INDEX(Ingredients!$E$5:$E$304,MATCH(B61,Ingredients!$A$5:$A$304,0)),""))</f>
        <v>0</v>
      </c>
      <c r="G61" s="8">
        <f>IF(B61="","",IFERROR(INDEX(Ingredients!$D$5:$D$304,MATCH(B61,Ingredients!$A$5:$A$304,0)),""))</f>
        <v>0</v>
      </c>
      <c r="H61" s="8">
        <f>IF(OR(B61="",C61=""),"",IFERROR(C61*G61,""))</f>
        <v>0</v>
      </c>
      <c r="I61" s="8">
        <f>IF(A61="","",IFERROR(INDEX(Recipes!$D$5:$D$204,MATCH(A61,Recipes!$A$5:$A$204,0)),""))</f>
        <v>0</v>
      </c>
      <c r="J61" s="8">
        <f>IF(OR(H61="",I61="",I61=0),"",IFERROR(H61/I61,""))</f>
        <v>0</v>
      </c>
      <c r="K61" s="8">
        <f>IF(OR(B61="",C61=""),"",IFERROR(C61*IFERROR(INDEX(Ingredients!$H$5:$H$304,MATCH(B61,Ingredients!$A$5:$A$304,0)),""),""))</f>
        <v>0</v>
      </c>
      <c r="L61" s="8">
        <f>IF(OR(B61="",C61=""),"",IFERROR(C61*IFERROR(INDEX(Ingredients!$I$5:$I$304,MATCH(B61,Ingredients!$A$5:$A$304,0)),""),""))</f>
        <v>0</v>
      </c>
      <c r="M61" s="8">
        <f>IF(OR(B61="",C61=""),"",IFERROR(C61*IFERROR(INDEX(Ingredients!$J$5:$J$304,MATCH(B61,Ingredients!$A$5:$A$304,0)),""),""))</f>
        <v>0</v>
      </c>
      <c r="N61" s="8">
        <f>IF(OR(B61="",C61=""),"",IFERROR(C61*IFERROR(INDEX(Ingredients!$K$5:$K$304,MATCH(B61,Ingredients!$A$5:$A$304,0)),""),""))</f>
        <v>0</v>
      </c>
      <c r="O61" s="8">
        <f>IF(OR(B61="",C61=""),"",IFERROR(C61*IFERROR(INDEX(Ingredients!$L$5:$L$304,MATCH(B61,Ingredients!$A$5:$A$304,0)),""),""))</f>
        <v>0</v>
      </c>
      <c r="P61" s="8">
        <f>IF(OR(H61="",A61=""),"",IFERROR(H61/SUMIFS('Recipe Ingredients'!$H$5:$H$1204,'Recipe Ingredients'!$A$5:$A$1204,A61),""))</f>
        <v>0</v>
      </c>
      <c r="Q61" s="8">
        <f>IF(H61="","",COUNTIFS($H$5:$H$1204,"&gt;"&amp;H61)+1)</f>
        <v>0</v>
      </c>
      <c r="R61" s="8">
        <f>IF(B61="","",SUMIFS(Pantry!$C$5:$C$304,Pantry!$A$5:$A$304,B61))</f>
        <v>0</v>
      </c>
      <c r="S61" s="8">
        <f>IF(OR(B61="",C61=""),"",MAX(0,C61-R61))</f>
        <v>0</v>
      </c>
      <c r="T61" s="26"/>
      <c r="U61" s="8">
        <f>IF(OR(T61="",T61=0,G61=""),"",T61*G61)</f>
        <v>0</v>
      </c>
      <c r="V61" s="8">
        <f>IF(OR(S61="",T61="",T61=0),"",CEILING(S61/T61,1))</f>
        <v>0</v>
      </c>
      <c r="W61" s="27"/>
      <c r="X61" s="29"/>
      <c r="Y61" s="8">
        <f>IF(OR(C61="",X61=""),"",C61*(1+X61))</f>
        <v>0</v>
      </c>
      <c r="Z61" s="8">
        <f>IF(B61="","",IFERROR(INDEX(Ingredients!$O$5:$O$304,MATCH(B61,Ingredients!$A$5:$A$304,0)),""))</f>
        <v>0</v>
      </c>
      <c r="AA61" s="8">
        <f>IF(B61="","",IF(R61&gt;=C61,"In pantry","To buy"))</f>
        <v>0</v>
      </c>
      <c r="AB61" s="8">
        <f>IF(A61="","",COUNTIFS($A$5:A61,A61))</f>
        <v>0</v>
      </c>
      <c r="AC61" s="8">
        <f>IF(B61="","",IF(COUNTIFS('Dietary Filters'!$C$5:$C$104,B61)&gt;0,"Check","OK"))</f>
        <v>0</v>
      </c>
      <c r="AD61" s="25"/>
    </row>
    <row r="62" spans="1:30">
      <c r="A62" s="7"/>
      <c r="B62" s="7"/>
      <c r="C62" s="26"/>
      <c r="D62" s="27"/>
      <c r="E62" s="8">
        <f>IF(B62="","",IFERROR(INDEX(Ingredients!$B$5:$B$304,MATCH(B62,Ingredients!$A$5:$A$304,0)),""))</f>
        <v>0</v>
      </c>
      <c r="F62" s="8">
        <f>IF(B62="","",IFERROR(INDEX(Ingredients!$E$5:$E$304,MATCH(B62,Ingredients!$A$5:$A$304,0)),""))</f>
        <v>0</v>
      </c>
      <c r="G62" s="8">
        <f>IF(B62="","",IFERROR(INDEX(Ingredients!$D$5:$D$304,MATCH(B62,Ingredients!$A$5:$A$304,0)),""))</f>
        <v>0</v>
      </c>
      <c r="H62" s="8">
        <f>IF(OR(B62="",C62=""),"",IFERROR(C62*G62,""))</f>
        <v>0</v>
      </c>
      <c r="I62" s="8">
        <f>IF(A62="","",IFERROR(INDEX(Recipes!$D$5:$D$204,MATCH(A62,Recipes!$A$5:$A$204,0)),""))</f>
        <v>0</v>
      </c>
      <c r="J62" s="8">
        <f>IF(OR(H62="",I62="",I62=0),"",IFERROR(H62/I62,""))</f>
        <v>0</v>
      </c>
      <c r="K62" s="8">
        <f>IF(OR(B62="",C62=""),"",IFERROR(C62*IFERROR(INDEX(Ingredients!$H$5:$H$304,MATCH(B62,Ingredients!$A$5:$A$304,0)),""),""))</f>
        <v>0</v>
      </c>
      <c r="L62" s="8">
        <f>IF(OR(B62="",C62=""),"",IFERROR(C62*IFERROR(INDEX(Ingredients!$I$5:$I$304,MATCH(B62,Ingredients!$A$5:$A$304,0)),""),""))</f>
        <v>0</v>
      </c>
      <c r="M62" s="8">
        <f>IF(OR(B62="",C62=""),"",IFERROR(C62*IFERROR(INDEX(Ingredients!$J$5:$J$304,MATCH(B62,Ingredients!$A$5:$A$304,0)),""),""))</f>
        <v>0</v>
      </c>
      <c r="N62" s="8">
        <f>IF(OR(B62="",C62=""),"",IFERROR(C62*IFERROR(INDEX(Ingredients!$K$5:$K$304,MATCH(B62,Ingredients!$A$5:$A$304,0)),""),""))</f>
        <v>0</v>
      </c>
      <c r="O62" s="8">
        <f>IF(OR(B62="",C62=""),"",IFERROR(C62*IFERROR(INDEX(Ingredients!$L$5:$L$304,MATCH(B62,Ingredients!$A$5:$A$304,0)),""),""))</f>
        <v>0</v>
      </c>
      <c r="P62" s="8">
        <f>IF(OR(H62="",A62=""),"",IFERROR(H62/SUMIFS('Recipe Ingredients'!$H$5:$H$1204,'Recipe Ingredients'!$A$5:$A$1204,A62),""))</f>
        <v>0</v>
      </c>
      <c r="Q62" s="8">
        <f>IF(H62="","",COUNTIFS($H$5:$H$1204,"&gt;"&amp;H62)+1)</f>
        <v>0</v>
      </c>
      <c r="R62" s="8">
        <f>IF(B62="","",SUMIFS(Pantry!$C$5:$C$304,Pantry!$A$5:$A$304,B62))</f>
        <v>0</v>
      </c>
      <c r="S62" s="8">
        <f>IF(OR(B62="",C62=""),"",MAX(0,C62-R62))</f>
        <v>0</v>
      </c>
      <c r="T62" s="26"/>
      <c r="U62" s="8">
        <f>IF(OR(T62="",T62=0,G62=""),"",T62*G62)</f>
        <v>0</v>
      </c>
      <c r="V62" s="8">
        <f>IF(OR(S62="",T62="",T62=0),"",CEILING(S62/T62,1))</f>
        <v>0</v>
      </c>
      <c r="W62" s="27"/>
      <c r="X62" s="29"/>
      <c r="Y62" s="8">
        <f>IF(OR(C62="",X62=""),"",C62*(1+X62))</f>
        <v>0</v>
      </c>
      <c r="Z62" s="8">
        <f>IF(B62="","",IFERROR(INDEX(Ingredients!$O$5:$O$304,MATCH(B62,Ingredients!$A$5:$A$304,0)),""))</f>
        <v>0</v>
      </c>
      <c r="AA62" s="8">
        <f>IF(B62="","",IF(R62&gt;=C62,"In pantry","To buy"))</f>
        <v>0</v>
      </c>
      <c r="AB62" s="8">
        <f>IF(A62="","",COUNTIFS($A$5:A62,A62))</f>
        <v>0</v>
      </c>
      <c r="AC62" s="8">
        <f>IF(B62="","",IF(COUNTIFS('Dietary Filters'!$C$5:$C$104,B62)&gt;0,"Check","OK"))</f>
        <v>0</v>
      </c>
      <c r="AD62" s="25"/>
    </row>
    <row r="63" spans="1:30">
      <c r="A63" s="7"/>
      <c r="B63" s="7"/>
      <c r="C63" s="26"/>
      <c r="D63" s="27"/>
      <c r="E63" s="8">
        <f>IF(B63="","",IFERROR(INDEX(Ingredients!$B$5:$B$304,MATCH(B63,Ingredients!$A$5:$A$304,0)),""))</f>
        <v>0</v>
      </c>
      <c r="F63" s="8">
        <f>IF(B63="","",IFERROR(INDEX(Ingredients!$E$5:$E$304,MATCH(B63,Ingredients!$A$5:$A$304,0)),""))</f>
        <v>0</v>
      </c>
      <c r="G63" s="8">
        <f>IF(B63="","",IFERROR(INDEX(Ingredients!$D$5:$D$304,MATCH(B63,Ingredients!$A$5:$A$304,0)),""))</f>
        <v>0</v>
      </c>
      <c r="H63" s="8">
        <f>IF(OR(B63="",C63=""),"",IFERROR(C63*G63,""))</f>
        <v>0</v>
      </c>
      <c r="I63" s="8">
        <f>IF(A63="","",IFERROR(INDEX(Recipes!$D$5:$D$204,MATCH(A63,Recipes!$A$5:$A$204,0)),""))</f>
        <v>0</v>
      </c>
      <c r="J63" s="8">
        <f>IF(OR(H63="",I63="",I63=0),"",IFERROR(H63/I63,""))</f>
        <v>0</v>
      </c>
      <c r="K63" s="8">
        <f>IF(OR(B63="",C63=""),"",IFERROR(C63*IFERROR(INDEX(Ingredients!$H$5:$H$304,MATCH(B63,Ingredients!$A$5:$A$304,0)),""),""))</f>
        <v>0</v>
      </c>
      <c r="L63" s="8">
        <f>IF(OR(B63="",C63=""),"",IFERROR(C63*IFERROR(INDEX(Ingredients!$I$5:$I$304,MATCH(B63,Ingredients!$A$5:$A$304,0)),""),""))</f>
        <v>0</v>
      </c>
      <c r="M63" s="8">
        <f>IF(OR(B63="",C63=""),"",IFERROR(C63*IFERROR(INDEX(Ingredients!$J$5:$J$304,MATCH(B63,Ingredients!$A$5:$A$304,0)),""),""))</f>
        <v>0</v>
      </c>
      <c r="N63" s="8">
        <f>IF(OR(B63="",C63=""),"",IFERROR(C63*IFERROR(INDEX(Ingredients!$K$5:$K$304,MATCH(B63,Ingredients!$A$5:$A$304,0)),""),""))</f>
        <v>0</v>
      </c>
      <c r="O63" s="8">
        <f>IF(OR(B63="",C63=""),"",IFERROR(C63*IFERROR(INDEX(Ingredients!$L$5:$L$304,MATCH(B63,Ingredients!$A$5:$A$304,0)),""),""))</f>
        <v>0</v>
      </c>
      <c r="P63" s="8">
        <f>IF(OR(H63="",A63=""),"",IFERROR(H63/SUMIFS('Recipe Ingredients'!$H$5:$H$1204,'Recipe Ingredients'!$A$5:$A$1204,A63),""))</f>
        <v>0</v>
      </c>
      <c r="Q63" s="8">
        <f>IF(H63="","",COUNTIFS($H$5:$H$1204,"&gt;"&amp;H63)+1)</f>
        <v>0</v>
      </c>
      <c r="R63" s="8">
        <f>IF(B63="","",SUMIFS(Pantry!$C$5:$C$304,Pantry!$A$5:$A$304,B63))</f>
        <v>0</v>
      </c>
      <c r="S63" s="8">
        <f>IF(OR(B63="",C63=""),"",MAX(0,C63-R63))</f>
        <v>0</v>
      </c>
      <c r="T63" s="26"/>
      <c r="U63" s="8">
        <f>IF(OR(T63="",T63=0,G63=""),"",T63*G63)</f>
        <v>0</v>
      </c>
      <c r="V63" s="8">
        <f>IF(OR(S63="",T63="",T63=0),"",CEILING(S63/T63,1))</f>
        <v>0</v>
      </c>
      <c r="W63" s="27"/>
      <c r="X63" s="29"/>
      <c r="Y63" s="8">
        <f>IF(OR(C63="",X63=""),"",C63*(1+X63))</f>
        <v>0</v>
      </c>
      <c r="Z63" s="8">
        <f>IF(B63="","",IFERROR(INDEX(Ingredients!$O$5:$O$304,MATCH(B63,Ingredients!$A$5:$A$304,0)),""))</f>
        <v>0</v>
      </c>
      <c r="AA63" s="8">
        <f>IF(B63="","",IF(R63&gt;=C63,"In pantry","To buy"))</f>
        <v>0</v>
      </c>
      <c r="AB63" s="8">
        <f>IF(A63="","",COUNTIFS($A$5:A63,A63))</f>
        <v>0</v>
      </c>
      <c r="AC63" s="8">
        <f>IF(B63="","",IF(COUNTIFS('Dietary Filters'!$C$5:$C$104,B63)&gt;0,"Check","OK"))</f>
        <v>0</v>
      </c>
      <c r="AD63" s="25"/>
    </row>
    <row r="64" spans="1:30">
      <c r="A64" s="7"/>
      <c r="B64" s="7"/>
      <c r="C64" s="26"/>
      <c r="D64" s="27"/>
      <c r="E64" s="8">
        <f>IF(B64="","",IFERROR(INDEX(Ingredients!$B$5:$B$304,MATCH(B64,Ingredients!$A$5:$A$304,0)),""))</f>
        <v>0</v>
      </c>
      <c r="F64" s="8">
        <f>IF(B64="","",IFERROR(INDEX(Ingredients!$E$5:$E$304,MATCH(B64,Ingredients!$A$5:$A$304,0)),""))</f>
        <v>0</v>
      </c>
      <c r="G64" s="8">
        <f>IF(B64="","",IFERROR(INDEX(Ingredients!$D$5:$D$304,MATCH(B64,Ingredients!$A$5:$A$304,0)),""))</f>
        <v>0</v>
      </c>
      <c r="H64" s="8">
        <f>IF(OR(B64="",C64=""),"",IFERROR(C64*G64,""))</f>
        <v>0</v>
      </c>
      <c r="I64" s="8">
        <f>IF(A64="","",IFERROR(INDEX(Recipes!$D$5:$D$204,MATCH(A64,Recipes!$A$5:$A$204,0)),""))</f>
        <v>0</v>
      </c>
      <c r="J64" s="8">
        <f>IF(OR(H64="",I64="",I64=0),"",IFERROR(H64/I64,""))</f>
        <v>0</v>
      </c>
      <c r="K64" s="8">
        <f>IF(OR(B64="",C64=""),"",IFERROR(C64*IFERROR(INDEX(Ingredients!$H$5:$H$304,MATCH(B64,Ingredients!$A$5:$A$304,0)),""),""))</f>
        <v>0</v>
      </c>
      <c r="L64" s="8">
        <f>IF(OR(B64="",C64=""),"",IFERROR(C64*IFERROR(INDEX(Ingredients!$I$5:$I$304,MATCH(B64,Ingredients!$A$5:$A$304,0)),""),""))</f>
        <v>0</v>
      </c>
      <c r="M64" s="8">
        <f>IF(OR(B64="",C64=""),"",IFERROR(C64*IFERROR(INDEX(Ingredients!$J$5:$J$304,MATCH(B64,Ingredients!$A$5:$A$304,0)),""),""))</f>
        <v>0</v>
      </c>
      <c r="N64" s="8">
        <f>IF(OR(B64="",C64=""),"",IFERROR(C64*IFERROR(INDEX(Ingredients!$K$5:$K$304,MATCH(B64,Ingredients!$A$5:$A$304,0)),""),""))</f>
        <v>0</v>
      </c>
      <c r="O64" s="8">
        <f>IF(OR(B64="",C64=""),"",IFERROR(C64*IFERROR(INDEX(Ingredients!$L$5:$L$304,MATCH(B64,Ingredients!$A$5:$A$304,0)),""),""))</f>
        <v>0</v>
      </c>
      <c r="P64" s="8">
        <f>IF(OR(H64="",A64=""),"",IFERROR(H64/SUMIFS('Recipe Ingredients'!$H$5:$H$1204,'Recipe Ingredients'!$A$5:$A$1204,A64),""))</f>
        <v>0</v>
      </c>
      <c r="Q64" s="8">
        <f>IF(H64="","",COUNTIFS($H$5:$H$1204,"&gt;"&amp;H64)+1)</f>
        <v>0</v>
      </c>
      <c r="R64" s="8">
        <f>IF(B64="","",SUMIFS(Pantry!$C$5:$C$304,Pantry!$A$5:$A$304,B64))</f>
        <v>0</v>
      </c>
      <c r="S64" s="8">
        <f>IF(OR(B64="",C64=""),"",MAX(0,C64-R64))</f>
        <v>0</v>
      </c>
      <c r="T64" s="26"/>
      <c r="U64" s="8">
        <f>IF(OR(T64="",T64=0,G64=""),"",T64*G64)</f>
        <v>0</v>
      </c>
      <c r="V64" s="8">
        <f>IF(OR(S64="",T64="",T64=0),"",CEILING(S64/T64,1))</f>
        <v>0</v>
      </c>
      <c r="W64" s="27"/>
      <c r="X64" s="29"/>
      <c r="Y64" s="8">
        <f>IF(OR(C64="",X64=""),"",C64*(1+X64))</f>
        <v>0</v>
      </c>
      <c r="Z64" s="8">
        <f>IF(B64="","",IFERROR(INDEX(Ingredients!$O$5:$O$304,MATCH(B64,Ingredients!$A$5:$A$304,0)),""))</f>
        <v>0</v>
      </c>
      <c r="AA64" s="8">
        <f>IF(B64="","",IF(R64&gt;=C64,"In pantry","To buy"))</f>
        <v>0</v>
      </c>
      <c r="AB64" s="8">
        <f>IF(A64="","",COUNTIFS($A$5:A64,A64))</f>
        <v>0</v>
      </c>
      <c r="AC64" s="8">
        <f>IF(B64="","",IF(COUNTIFS('Dietary Filters'!$C$5:$C$104,B64)&gt;0,"Check","OK"))</f>
        <v>0</v>
      </c>
      <c r="AD64" s="25"/>
    </row>
    <row r="65" spans="1:30">
      <c r="A65" s="7"/>
      <c r="B65" s="7"/>
      <c r="C65" s="26"/>
      <c r="D65" s="27"/>
      <c r="E65" s="8">
        <f>IF(B65="","",IFERROR(INDEX(Ingredients!$B$5:$B$304,MATCH(B65,Ingredients!$A$5:$A$304,0)),""))</f>
        <v>0</v>
      </c>
      <c r="F65" s="8">
        <f>IF(B65="","",IFERROR(INDEX(Ingredients!$E$5:$E$304,MATCH(B65,Ingredients!$A$5:$A$304,0)),""))</f>
        <v>0</v>
      </c>
      <c r="G65" s="8">
        <f>IF(B65="","",IFERROR(INDEX(Ingredients!$D$5:$D$304,MATCH(B65,Ingredients!$A$5:$A$304,0)),""))</f>
        <v>0</v>
      </c>
      <c r="H65" s="8">
        <f>IF(OR(B65="",C65=""),"",IFERROR(C65*G65,""))</f>
        <v>0</v>
      </c>
      <c r="I65" s="8">
        <f>IF(A65="","",IFERROR(INDEX(Recipes!$D$5:$D$204,MATCH(A65,Recipes!$A$5:$A$204,0)),""))</f>
        <v>0</v>
      </c>
      <c r="J65" s="8">
        <f>IF(OR(H65="",I65="",I65=0),"",IFERROR(H65/I65,""))</f>
        <v>0</v>
      </c>
      <c r="K65" s="8">
        <f>IF(OR(B65="",C65=""),"",IFERROR(C65*IFERROR(INDEX(Ingredients!$H$5:$H$304,MATCH(B65,Ingredients!$A$5:$A$304,0)),""),""))</f>
        <v>0</v>
      </c>
      <c r="L65" s="8">
        <f>IF(OR(B65="",C65=""),"",IFERROR(C65*IFERROR(INDEX(Ingredients!$I$5:$I$304,MATCH(B65,Ingredients!$A$5:$A$304,0)),""),""))</f>
        <v>0</v>
      </c>
      <c r="M65" s="8">
        <f>IF(OR(B65="",C65=""),"",IFERROR(C65*IFERROR(INDEX(Ingredients!$J$5:$J$304,MATCH(B65,Ingredients!$A$5:$A$304,0)),""),""))</f>
        <v>0</v>
      </c>
      <c r="N65" s="8">
        <f>IF(OR(B65="",C65=""),"",IFERROR(C65*IFERROR(INDEX(Ingredients!$K$5:$K$304,MATCH(B65,Ingredients!$A$5:$A$304,0)),""),""))</f>
        <v>0</v>
      </c>
      <c r="O65" s="8">
        <f>IF(OR(B65="",C65=""),"",IFERROR(C65*IFERROR(INDEX(Ingredients!$L$5:$L$304,MATCH(B65,Ingredients!$A$5:$A$304,0)),""),""))</f>
        <v>0</v>
      </c>
      <c r="P65" s="8">
        <f>IF(OR(H65="",A65=""),"",IFERROR(H65/SUMIFS('Recipe Ingredients'!$H$5:$H$1204,'Recipe Ingredients'!$A$5:$A$1204,A65),""))</f>
        <v>0</v>
      </c>
      <c r="Q65" s="8">
        <f>IF(H65="","",COUNTIFS($H$5:$H$1204,"&gt;"&amp;H65)+1)</f>
        <v>0</v>
      </c>
      <c r="R65" s="8">
        <f>IF(B65="","",SUMIFS(Pantry!$C$5:$C$304,Pantry!$A$5:$A$304,B65))</f>
        <v>0</v>
      </c>
      <c r="S65" s="8">
        <f>IF(OR(B65="",C65=""),"",MAX(0,C65-R65))</f>
        <v>0</v>
      </c>
      <c r="T65" s="26"/>
      <c r="U65" s="8">
        <f>IF(OR(T65="",T65=0,G65=""),"",T65*G65)</f>
        <v>0</v>
      </c>
      <c r="V65" s="8">
        <f>IF(OR(S65="",T65="",T65=0),"",CEILING(S65/T65,1))</f>
        <v>0</v>
      </c>
      <c r="W65" s="27"/>
      <c r="X65" s="29"/>
      <c r="Y65" s="8">
        <f>IF(OR(C65="",X65=""),"",C65*(1+X65))</f>
        <v>0</v>
      </c>
      <c r="Z65" s="8">
        <f>IF(B65="","",IFERROR(INDEX(Ingredients!$O$5:$O$304,MATCH(B65,Ingredients!$A$5:$A$304,0)),""))</f>
        <v>0</v>
      </c>
      <c r="AA65" s="8">
        <f>IF(B65="","",IF(R65&gt;=C65,"In pantry","To buy"))</f>
        <v>0</v>
      </c>
      <c r="AB65" s="8">
        <f>IF(A65="","",COUNTIFS($A$5:A65,A65))</f>
        <v>0</v>
      </c>
      <c r="AC65" s="8">
        <f>IF(B65="","",IF(COUNTIFS('Dietary Filters'!$C$5:$C$104,B65)&gt;0,"Check","OK"))</f>
        <v>0</v>
      </c>
      <c r="AD65" s="25"/>
    </row>
    <row r="66" spans="1:30">
      <c r="A66" s="7"/>
      <c r="B66" s="7"/>
      <c r="C66" s="26"/>
      <c r="D66" s="27"/>
      <c r="E66" s="8">
        <f>IF(B66="","",IFERROR(INDEX(Ingredients!$B$5:$B$304,MATCH(B66,Ingredients!$A$5:$A$304,0)),""))</f>
        <v>0</v>
      </c>
      <c r="F66" s="8">
        <f>IF(B66="","",IFERROR(INDEX(Ingredients!$E$5:$E$304,MATCH(B66,Ingredients!$A$5:$A$304,0)),""))</f>
        <v>0</v>
      </c>
      <c r="G66" s="8">
        <f>IF(B66="","",IFERROR(INDEX(Ingredients!$D$5:$D$304,MATCH(B66,Ingredients!$A$5:$A$304,0)),""))</f>
        <v>0</v>
      </c>
      <c r="H66" s="8">
        <f>IF(OR(B66="",C66=""),"",IFERROR(C66*G66,""))</f>
        <v>0</v>
      </c>
      <c r="I66" s="8">
        <f>IF(A66="","",IFERROR(INDEX(Recipes!$D$5:$D$204,MATCH(A66,Recipes!$A$5:$A$204,0)),""))</f>
        <v>0</v>
      </c>
      <c r="J66" s="8">
        <f>IF(OR(H66="",I66="",I66=0),"",IFERROR(H66/I66,""))</f>
        <v>0</v>
      </c>
      <c r="K66" s="8">
        <f>IF(OR(B66="",C66=""),"",IFERROR(C66*IFERROR(INDEX(Ingredients!$H$5:$H$304,MATCH(B66,Ingredients!$A$5:$A$304,0)),""),""))</f>
        <v>0</v>
      </c>
      <c r="L66" s="8">
        <f>IF(OR(B66="",C66=""),"",IFERROR(C66*IFERROR(INDEX(Ingredients!$I$5:$I$304,MATCH(B66,Ingredients!$A$5:$A$304,0)),""),""))</f>
        <v>0</v>
      </c>
      <c r="M66" s="8">
        <f>IF(OR(B66="",C66=""),"",IFERROR(C66*IFERROR(INDEX(Ingredients!$J$5:$J$304,MATCH(B66,Ingredients!$A$5:$A$304,0)),""),""))</f>
        <v>0</v>
      </c>
      <c r="N66" s="8">
        <f>IF(OR(B66="",C66=""),"",IFERROR(C66*IFERROR(INDEX(Ingredients!$K$5:$K$304,MATCH(B66,Ingredients!$A$5:$A$304,0)),""),""))</f>
        <v>0</v>
      </c>
      <c r="O66" s="8">
        <f>IF(OR(B66="",C66=""),"",IFERROR(C66*IFERROR(INDEX(Ingredients!$L$5:$L$304,MATCH(B66,Ingredients!$A$5:$A$304,0)),""),""))</f>
        <v>0</v>
      </c>
      <c r="P66" s="8">
        <f>IF(OR(H66="",A66=""),"",IFERROR(H66/SUMIFS('Recipe Ingredients'!$H$5:$H$1204,'Recipe Ingredients'!$A$5:$A$1204,A66),""))</f>
        <v>0</v>
      </c>
      <c r="Q66" s="8">
        <f>IF(H66="","",COUNTIFS($H$5:$H$1204,"&gt;"&amp;H66)+1)</f>
        <v>0</v>
      </c>
      <c r="R66" s="8">
        <f>IF(B66="","",SUMIFS(Pantry!$C$5:$C$304,Pantry!$A$5:$A$304,B66))</f>
        <v>0</v>
      </c>
      <c r="S66" s="8">
        <f>IF(OR(B66="",C66=""),"",MAX(0,C66-R66))</f>
        <v>0</v>
      </c>
      <c r="T66" s="26"/>
      <c r="U66" s="8">
        <f>IF(OR(T66="",T66=0,G66=""),"",T66*G66)</f>
        <v>0</v>
      </c>
      <c r="V66" s="8">
        <f>IF(OR(S66="",T66="",T66=0),"",CEILING(S66/T66,1))</f>
        <v>0</v>
      </c>
      <c r="W66" s="27"/>
      <c r="X66" s="29"/>
      <c r="Y66" s="8">
        <f>IF(OR(C66="",X66=""),"",C66*(1+X66))</f>
        <v>0</v>
      </c>
      <c r="Z66" s="8">
        <f>IF(B66="","",IFERROR(INDEX(Ingredients!$O$5:$O$304,MATCH(B66,Ingredients!$A$5:$A$304,0)),""))</f>
        <v>0</v>
      </c>
      <c r="AA66" s="8">
        <f>IF(B66="","",IF(R66&gt;=C66,"In pantry","To buy"))</f>
        <v>0</v>
      </c>
      <c r="AB66" s="8">
        <f>IF(A66="","",COUNTIFS($A$5:A66,A66))</f>
        <v>0</v>
      </c>
      <c r="AC66" s="8">
        <f>IF(B66="","",IF(COUNTIFS('Dietary Filters'!$C$5:$C$104,B66)&gt;0,"Check","OK"))</f>
        <v>0</v>
      </c>
      <c r="AD66" s="25"/>
    </row>
    <row r="67" spans="1:30">
      <c r="A67" s="7"/>
      <c r="B67" s="7"/>
      <c r="C67" s="26"/>
      <c r="D67" s="27"/>
      <c r="E67" s="8">
        <f>IF(B67="","",IFERROR(INDEX(Ingredients!$B$5:$B$304,MATCH(B67,Ingredients!$A$5:$A$304,0)),""))</f>
        <v>0</v>
      </c>
      <c r="F67" s="8">
        <f>IF(B67="","",IFERROR(INDEX(Ingredients!$E$5:$E$304,MATCH(B67,Ingredients!$A$5:$A$304,0)),""))</f>
        <v>0</v>
      </c>
      <c r="G67" s="8">
        <f>IF(B67="","",IFERROR(INDEX(Ingredients!$D$5:$D$304,MATCH(B67,Ingredients!$A$5:$A$304,0)),""))</f>
        <v>0</v>
      </c>
      <c r="H67" s="8">
        <f>IF(OR(B67="",C67=""),"",IFERROR(C67*G67,""))</f>
        <v>0</v>
      </c>
      <c r="I67" s="8">
        <f>IF(A67="","",IFERROR(INDEX(Recipes!$D$5:$D$204,MATCH(A67,Recipes!$A$5:$A$204,0)),""))</f>
        <v>0</v>
      </c>
      <c r="J67" s="8">
        <f>IF(OR(H67="",I67="",I67=0),"",IFERROR(H67/I67,""))</f>
        <v>0</v>
      </c>
      <c r="K67" s="8">
        <f>IF(OR(B67="",C67=""),"",IFERROR(C67*IFERROR(INDEX(Ingredients!$H$5:$H$304,MATCH(B67,Ingredients!$A$5:$A$304,0)),""),""))</f>
        <v>0</v>
      </c>
      <c r="L67" s="8">
        <f>IF(OR(B67="",C67=""),"",IFERROR(C67*IFERROR(INDEX(Ingredients!$I$5:$I$304,MATCH(B67,Ingredients!$A$5:$A$304,0)),""),""))</f>
        <v>0</v>
      </c>
      <c r="M67" s="8">
        <f>IF(OR(B67="",C67=""),"",IFERROR(C67*IFERROR(INDEX(Ingredients!$J$5:$J$304,MATCH(B67,Ingredients!$A$5:$A$304,0)),""),""))</f>
        <v>0</v>
      </c>
      <c r="N67" s="8">
        <f>IF(OR(B67="",C67=""),"",IFERROR(C67*IFERROR(INDEX(Ingredients!$K$5:$K$304,MATCH(B67,Ingredients!$A$5:$A$304,0)),""),""))</f>
        <v>0</v>
      </c>
      <c r="O67" s="8">
        <f>IF(OR(B67="",C67=""),"",IFERROR(C67*IFERROR(INDEX(Ingredients!$L$5:$L$304,MATCH(B67,Ingredients!$A$5:$A$304,0)),""),""))</f>
        <v>0</v>
      </c>
      <c r="P67" s="8">
        <f>IF(OR(H67="",A67=""),"",IFERROR(H67/SUMIFS('Recipe Ingredients'!$H$5:$H$1204,'Recipe Ingredients'!$A$5:$A$1204,A67),""))</f>
        <v>0</v>
      </c>
      <c r="Q67" s="8">
        <f>IF(H67="","",COUNTIFS($H$5:$H$1204,"&gt;"&amp;H67)+1)</f>
        <v>0</v>
      </c>
      <c r="R67" s="8">
        <f>IF(B67="","",SUMIFS(Pantry!$C$5:$C$304,Pantry!$A$5:$A$304,B67))</f>
        <v>0</v>
      </c>
      <c r="S67" s="8">
        <f>IF(OR(B67="",C67=""),"",MAX(0,C67-R67))</f>
        <v>0</v>
      </c>
      <c r="T67" s="26"/>
      <c r="U67" s="8">
        <f>IF(OR(T67="",T67=0,G67=""),"",T67*G67)</f>
        <v>0</v>
      </c>
      <c r="V67" s="8">
        <f>IF(OR(S67="",T67="",T67=0),"",CEILING(S67/T67,1))</f>
        <v>0</v>
      </c>
      <c r="W67" s="27"/>
      <c r="X67" s="29"/>
      <c r="Y67" s="8">
        <f>IF(OR(C67="",X67=""),"",C67*(1+X67))</f>
        <v>0</v>
      </c>
      <c r="Z67" s="8">
        <f>IF(B67="","",IFERROR(INDEX(Ingredients!$O$5:$O$304,MATCH(B67,Ingredients!$A$5:$A$304,0)),""))</f>
        <v>0</v>
      </c>
      <c r="AA67" s="8">
        <f>IF(B67="","",IF(R67&gt;=C67,"In pantry","To buy"))</f>
        <v>0</v>
      </c>
      <c r="AB67" s="8">
        <f>IF(A67="","",COUNTIFS($A$5:A67,A67))</f>
        <v>0</v>
      </c>
      <c r="AC67" s="8">
        <f>IF(B67="","",IF(COUNTIFS('Dietary Filters'!$C$5:$C$104,B67)&gt;0,"Check","OK"))</f>
        <v>0</v>
      </c>
      <c r="AD67" s="25"/>
    </row>
    <row r="68" spans="1:30">
      <c r="A68" s="7"/>
      <c r="B68" s="7"/>
      <c r="C68" s="26"/>
      <c r="D68" s="27"/>
      <c r="E68" s="8">
        <f>IF(B68="","",IFERROR(INDEX(Ingredients!$B$5:$B$304,MATCH(B68,Ingredients!$A$5:$A$304,0)),""))</f>
        <v>0</v>
      </c>
      <c r="F68" s="8">
        <f>IF(B68="","",IFERROR(INDEX(Ingredients!$E$5:$E$304,MATCH(B68,Ingredients!$A$5:$A$304,0)),""))</f>
        <v>0</v>
      </c>
      <c r="G68" s="8">
        <f>IF(B68="","",IFERROR(INDEX(Ingredients!$D$5:$D$304,MATCH(B68,Ingredients!$A$5:$A$304,0)),""))</f>
        <v>0</v>
      </c>
      <c r="H68" s="8">
        <f>IF(OR(B68="",C68=""),"",IFERROR(C68*G68,""))</f>
        <v>0</v>
      </c>
      <c r="I68" s="8">
        <f>IF(A68="","",IFERROR(INDEX(Recipes!$D$5:$D$204,MATCH(A68,Recipes!$A$5:$A$204,0)),""))</f>
        <v>0</v>
      </c>
      <c r="J68" s="8">
        <f>IF(OR(H68="",I68="",I68=0),"",IFERROR(H68/I68,""))</f>
        <v>0</v>
      </c>
      <c r="K68" s="8">
        <f>IF(OR(B68="",C68=""),"",IFERROR(C68*IFERROR(INDEX(Ingredients!$H$5:$H$304,MATCH(B68,Ingredients!$A$5:$A$304,0)),""),""))</f>
        <v>0</v>
      </c>
      <c r="L68" s="8">
        <f>IF(OR(B68="",C68=""),"",IFERROR(C68*IFERROR(INDEX(Ingredients!$I$5:$I$304,MATCH(B68,Ingredients!$A$5:$A$304,0)),""),""))</f>
        <v>0</v>
      </c>
      <c r="M68" s="8">
        <f>IF(OR(B68="",C68=""),"",IFERROR(C68*IFERROR(INDEX(Ingredients!$J$5:$J$304,MATCH(B68,Ingredients!$A$5:$A$304,0)),""),""))</f>
        <v>0</v>
      </c>
      <c r="N68" s="8">
        <f>IF(OR(B68="",C68=""),"",IFERROR(C68*IFERROR(INDEX(Ingredients!$K$5:$K$304,MATCH(B68,Ingredients!$A$5:$A$304,0)),""),""))</f>
        <v>0</v>
      </c>
      <c r="O68" s="8">
        <f>IF(OR(B68="",C68=""),"",IFERROR(C68*IFERROR(INDEX(Ingredients!$L$5:$L$304,MATCH(B68,Ingredients!$A$5:$A$304,0)),""),""))</f>
        <v>0</v>
      </c>
      <c r="P68" s="8">
        <f>IF(OR(H68="",A68=""),"",IFERROR(H68/SUMIFS('Recipe Ingredients'!$H$5:$H$1204,'Recipe Ingredients'!$A$5:$A$1204,A68),""))</f>
        <v>0</v>
      </c>
      <c r="Q68" s="8">
        <f>IF(H68="","",COUNTIFS($H$5:$H$1204,"&gt;"&amp;H68)+1)</f>
        <v>0</v>
      </c>
      <c r="R68" s="8">
        <f>IF(B68="","",SUMIFS(Pantry!$C$5:$C$304,Pantry!$A$5:$A$304,B68))</f>
        <v>0</v>
      </c>
      <c r="S68" s="8">
        <f>IF(OR(B68="",C68=""),"",MAX(0,C68-R68))</f>
        <v>0</v>
      </c>
      <c r="T68" s="26"/>
      <c r="U68" s="8">
        <f>IF(OR(T68="",T68=0,G68=""),"",T68*G68)</f>
        <v>0</v>
      </c>
      <c r="V68" s="8">
        <f>IF(OR(S68="",T68="",T68=0),"",CEILING(S68/T68,1))</f>
        <v>0</v>
      </c>
      <c r="W68" s="27"/>
      <c r="X68" s="29"/>
      <c r="Y68" s="8">
        <f>IF(OR(C68="",X68=""),"",C68*(1+X68))</f>
        <v>0</v>
      </c>
      <c r="Z68" s="8">
        <f>IF(B68="","",IFERROR(INDEX(Ingredients!$O$5:$O$304,MATCH(B68,Ingredients!$A$5:$A$304,0)),""))</f>
        <v>0</v>
      </c>
      <c r="AA68" s="8">
        <f>IF(B68="","",IF(R68&gt;=C68,"In pantry","To buy"))</f>
        <v>0</v>
      </c>
      <c r="AB68" s="8">
        <f>IF(A68="","",COUNTIFS($A$5:A68,A68))</f>
        <v>0</v>
      </c>
      <c r="AC68" s="8">
        <f>IF(B68="","",IF(COUNTIFS('Dietary Filters'!$C$5:$C$104,B68)&gt;0,"Check","OK"))</f>
        <v>0</v>
      </c>
      <c r="AD68" s="25"/>
    </row>
    <row r="69" spans="1:30">
      <c r="A69" s="7"/>
      <c r="B69" s="7"/>
      <c r="C69" s="26"/>
      <c r="D69" s="27"/>
      <c r="E69" s="8">
        <f>IF(B69="","",IFERROR(INDEX(Ingredients!$B$5:$B$304,MATCH(B69,Ingredients!$A$5:$A$304,0)),""))</f>
        <v>0</v>
      </c>
      <c r="F69" s="8">
        <f>IF(B69="","",IFERROR(INDEX(Ingredients!$E$5:$E$304,MATCH(B69,Ingredients!$A$5:$A$304,0)),""))</f>
        <v>0</v>
      </c>
      <c r="G69" s="8">
        <f>IF(B69="","",IFERROR(INDEX(Ingredients!$D$5:$D$304,MATCH(B69,Ingredients!$A$5:$A$304,0)),""))</f>
        <v>0</v>
      </c>
      <c r="H69" s="8">
        <f>IF(OR(B69="",C69=""),"",IFERROR(C69*G69,""))</f>
        <v>0</v>
      </c>
      <c r="I69" s="8">
        <f>IF(A69="","",IFERROR(INDEX(Recipes!$D$5:$D$204,MATCH(A69,Recipes!$A$5:$A$204,0)),""))</f>
        <v>0</v>
      </c>
      <c r="J69" s="8">
        <f>IF(OR(H69="",I69="",I69=0),"",IFERROR(H69/I69,""))</f>
        <v>0</v>
      </c>
      <c r="K69" s="8">
        <f>IF(OR(B69="",C69=""),"",IFERROR(C69*IFERROR(INDEX(Ingredients!$H$5:$H$304,MATCH(B69,Ingredients!$A$5:$A$304,0)),""),""))</f>
        <v>0</v>
      </c>
      <c r="L69" s="8">
        <f>IF(OR(B69="",C69=""),"",IFERROR(C69*IFERROR(INDEX(Ingredients!$I$5:$I$304,MATCH(B69,Ingredients!$A$5:$A$304,0)),""),""))</f>
        <v>0</v>
      </c>
      <c r="M69" s="8">
        <f>IF(OR(B69="",C69=""),"",IFERROR(C69*IFERROR(INDEX(Ingredients!$J$5:$J$304,MATCH(B69,Ingredients!$A$5:$A$304,0)),""),""))</f>
        <v>0</v>
      </c>
      <c r="N69" s="8">
        <f>IF(OR(B69="",C69=""),"",IFERROR(C69*IFERROR(INDEX(Ingredients!$K$5:$K$304,MATCH(B69,Ingredients!$A$5:$A$304,0)),""),""))</f>
        <v>0</v>
      </c>
      <c r="O69" s="8">
        <f>IF(OR(B69="",C69=""),"",IFERROR(C69*IFERROR(INDEX(Ingredients!$L$5:$L$304,MATCH(B69,Ingredients!$A$5:$A$304,0)),""),""))</f>
        <v>0</v>
      </c>
      <c r="P69" s="8">
        <f>IF(OR(H69="",A69=""),"",IFERROR(H69/SUMIFS('Recipe Ingredients'!$H$5:$H$1204,'Recipe Ingredients'!$A$5:$A$1204,A69),""))</f>
        <v>0</v>
      </c>
      <c r="Q69" s="8">
        <f>IF(H69="","",COUNTIFS($H$5:$H$1204,"&gt;"&amp;H69)+1)</f>
        <v>0</v>
      </c>
      <c r="R69" s="8">
        <f>IF(B69="","",SUMIFS(Pantry!$C$5:$C$304,Pantry!$A$5:$A$304,B69))</f>
        <v>0</v>
      </c>
      <c r="S69" s="8">
        <f>IF(OR(B69="",C69=""),"",MAX(0,C69-R69))</f>
        <v>0</v>
      </c>
      <c r="T69" s="26"/>
      <c r="U69" s="8">
        <f>IF(OR(T69="",T69=0,G69=""),"",T69*G69)</f>
        <v>0</v>
      </c>
      <c r="V69" s="8">
        <f>IF(OR(S69="",T69="",T69=0),"",CEILING(S69/T69,1))</f>
        <v>0</v>
      </c>
      <c r="W69" s="27"/>
      <c r="X69" s="29"/>
      <c r="Y69" s="8">
        <f>IF(OR(C69="",X69=""),"",C69*(1+X69))</f>
        <v>0</v>
      </c>
      <c r="Z69" s="8">
        <f>IF(B69="","",IFERROR(INDEX(Ingredients!$O$5:$O$304,MATCH(B69,Ingredients!$A$5:$A$304,0)),""))</f>
        <v>0</v>
      </c>
      <c r="AA69" s="8">
        <f>IF(B69="","",IF(R69&gt;=C69,"In pantry","To buy"))</f>
        <v>0</v>
      </c>
      <c r="AB69" s="8">
        <f>IF(A69="","",COUNTIFS($A$5:A69,A69))</f>
        <v>0</v>
      </c>
      <c r="AC69" s="8">
        <f>IF(B69="","",IF(COUNTIFS('Dietary Filters'!$C$5:$C$104,B69)&gt;0,"Check","OK"))</f>
        <v>0</v>
      </c>
      <c r="AD69" s="25"/>
    </row>
    <row r="70" spans="1:30">
      <c r="A70" s="7"/>
      <c r="B70" s="7"/>
      <c r="C70" s="26"/>
      <c r="D70" s="27"/>
      <c r="E70" s="8">
        <f>IF(B70="","",IFERROR(INDEX(Ingredients!$B$5:$B$304,MATCH(B70,Ingredients!$A$5:$A$304,0)),""))</f>
        <v>0</v>
      </c>
      <c r="F70" s="8">
        <f>IF(B70="","",IFERROR(INDEX(Ingredients!$E$5:$E$304,MATCH(B70,Ingredients!$A$5:$A$304,0)),""))</f>
        <v>0</v>
      </c>
      <c r="G70" s="8">
        <f>IF(B70="","",IFERROR(INDEX(Ingredients!$D$5:$D$304,MATCH(B70,Ingredients!$A$5:$A$304,0)),""))</f>
        <v>0</v>
      </c>
      <c r="H70" s="8">
        <f>IF(OR(B70="",C70=""),"",IFERROR(C70*G70,""))</f>
        <v>0</v>
      </c>
      <c r="I70" s="8">
        <f>IF(A70="","",IFERROR(INDEX(Recipes!$D$5:$D$204,MATCH(A70,Recipes!$A$5:$A$204,0)),""))</f>
        <v>0</v>
      </c>
      <c r="J70" s="8">
        <f>IF(OR(H70="",I70="",I70=0),"",IFERROR(H70/I70,""))</f>
        <v>0</v>
      </c>
      <c r="K70" s="8">
        <f>IF(OR(B70="",C70=""),"",IFERROR(C70*IFERROR(INDEX(Ingredients!$H$5:$H$304,MATCH(B70,Ingredients!$A$5:$A$304,0)),""),""))</f>
        <v>0</v>
      </c>
      <c r="L70" s="8">
        <f>IF(OR(B70="",C70=""),"",IFERROR(C70*IFERROR(INDEX(Ingredients!$I$5:$I$304,MATCH(B70,Ingredients!$A$5:$A$304,0)),""),""))</f>
        <v>0</v>
      </c>
      <c r="M70" s="8">
        <f>IF(OR(B70="",C70=""),"",IFERROR(C70*IFERROR(INDEX(Ingredients!$J$5:$J$304,MATCH(B70,Ingredients!$A$5:$A$304,0)),""),""))</f>
        <v>0</v>
      </c>
      <c r="N70" s="8">
        <f>IF(OR(B70="",C70=""),"",IFERROR(C70*IFERROR(INDEX(Ingredients!$K$5:$K$304,MATCH(B70,Ingredients!$A$5:$A$304,0)),""),""))</f>
        <v>0</v>
      </c>
      <c r="O70" s="8">
        <f>IF(OR(B70="",C70=""),"",IFERROR(C70*IFERROR(INDEX(Ingredients!$L$5:$L$304,MATCH(B70,Ingredients!$A$5:$A$304,0)),""),""))</f>
        <v>0</v>
      </c>
      <c r="P70" s="8">
        <f>IF(OR(H70="",A70=""),"",IFERROR(H70/SUMIFS('Recipe Ingredients'!$H$5:$H$1204,'Recipe Ingredients'!$A$5:$A$1204,A70),""))</f>
        <v>0</v>
      </c>
      <c r="Q70" s="8">
        <f>IF(H70="","",COUNTIFS($H$5:$H$1204,"&gt;"&amp;H70)+1)</f>
        <v>0</v>
      </c>
      <c r="R70" s="8">
        <f>IF(B70="","",SUMIFS(Pantry!$C$5:$C$304,Pantry!$A$5:$A$304,B70))</f>
        <v>0</v>
      </c>
      <c r="S70" s="8">
        <f>IF(OR(B70="",C70=""),"",MAX(0,C70-R70))</f>
        <v>0</v>
      </c>
      <c r="T70" s="26"/>
      <c r="U70" s="8">
        <f>IF(OR(T70="",T70=0,G70=""),"",T70*G70)</f>
        <v>0</v>
      </c>
      <c r="V70" s="8">
        <f>IF(OR(S70="",T70="",T70=0),"",CEILING(S70/T70,1))</f>
        <v>0</v>
      </c>
      <c r="W70" s="27"/>
      <c r="X70" s="29"/>
      <c r="Y70" s="8">
        <f>IF(OR(C70="",X70=""),"",C70*(1+X70))</f>
        <v>0</v>
      </c>
      <c r="Z70" s="8">
        <f>IF(B70="","",IFERROR(INDEX(Ingredients!$O$5:$O$304,MATCH(B70,Ingredients!$A$5:$A$304,0)),""))</f>
        <v>0</v>
      </c>
      <c r="AA70" s="8">
        <f>IF(B70="","",IF(R70&gt;=C70,"In pantry","To buy"))</f>
        <v>0</v>
      </c>
      <c r="AB70" s="8">
        <f>IF(A70="","",COUNTIFS($A$5:A70,A70))</f>
        <v>0</v>
      </c>
      <c r="AC70" s="8">
        <f>IF(B70="","",IF(COUNTIFS('Dietary Filters'!$C$5:$C$104,B70)&gt;0,"Check","OK"))</f>
        <v>0</v>
      </c>
      <c r="AD70" s="25"/>
    </row>
    <row r="71" spans="1:30">
      <c r="A71" s="7"/>
      <c r="B71" s="7"/>
      <c r="C71" s="26"/>
      <c r="D71" s="27"/>
      <c r="E71" s="8">
        <f>IF(B71="","",IFERROR(INDEX(Ingredients!$B$5:$B$304,MATCH(B71,Ingredients!$A$5:$A$304,0)),""))</f>
        <v>0</v>
      </c>
      <c r="F71" s="8">
        <f>IF(B71="","",IFERROR(INDEX(Ingredients!$E$5:$E$304,MATCH(B71,Ingredients!$A$5:$A$304,0)),""))</f>
        <v>0</v>
      </c>
      <c r="G71" s="8">
        <f>IF(B71="","",IFERROR(INDEX(Ingredients!$D$5:$D$304,MATCH(B71,Ingredients!$A$5:$A$304,0)),""))</f>
        <v>0</v>
      </c>
      <c r="H71" s="8">
        <f>IF(OR(B71="",C71=""),"",IFERROR(C71*G71,""))</f>
        <v>0</v>
      </c>
      <c r="I71" s="8">
        <f>IF(A71="","",IFERROR(INDEX(Recipes!$D$5:$D$204,MATCH(A71,Recipes!$A$5:$A$204,0)),""))</f>
        <v>0</v>
      </c>
      <c r="J71" s="8">
        <f>IF(OR(H71="",I71="",I71=0),"",IFERROR(H71/I71,""))</f>
        <v>0</v>
      </c>
      <c r="K71" s="8">
        <f>IF(OR(B71="",C71=""),"",IFERROR(C71*IFERROR(INDEX(Ingredients!$H$5:$H$304,MATCH(B71,Ingredients!$A$5:$A$304,0)),""),""))</f>
        <v>0</v>
      </c>
      <c r="L71" s="8">
        <f>IF(OR(B71="",C71=""),"",IFERROR(C71*IFERROR(INDEX(Ingredients!$I$5:$I$304,MATCH(B71,Ingredients!$A$5:$A$304,0)),""),""))</f>
        <v>0</v>
      </c>
      <c r="M71" s="8">
        <f>IF(OR(B71="",C71=""),"",IFERROR(C71*IFERROR(INDEX(Ingredients!$J$5:$J$304,MATCH(B71,Ingredients!$A$5:$A$304,0)),""),""))</f>
        <v>0</v>
      </c>
      <c r="N71" s="8">
        <f>IF(OR(B71="",C71=""),"",IFERROR(C71*IFERROR(INDEX(Ingredients!$K$5:$K$304,MATCH(B71,Ingredients!$A$5:$A$304,0)),""),""))</f>
        <v>0</v>
      </c>
      <c r="O71" s="8">
        <f>IF(OR(B71="",C71=""),"",IFERROR(C71*IFERROR(INDEX(Ingredients!$L$5:$L$304,MATCH(B71,Ingredients!$A$5:$A$304,0)),""),""))</f>
        <v>0</v>
      </c>
      <c r="P71" s="8">
        <f>IF(OR(H71="",A71=""),"",IFERROR(H71/SUMIFS('Recipe Ingredients'!$H$5:$H$1204,'Recipe Ingredients'!$A$5:$A$1204,A71),""))</f>
        <v>0</v>
      </c>
      <c r="Q71" s="8">
        <f>IF(H71="","",COUNTIFS($H$5:$H$1204,"&gt;"&amp;H71)+1)</f>
        <v>0</v>
      </c>
      <c r="R71" s="8">
        <f>IF(B71="","",SUMIFS(Pantry!$C$5:$C$304,Pantry!$A$5:$A$304,B71))</f>
        <v>0</v>
      </c>
      <c r="S71" s="8">
        <f>IF(OR(B71="",C71=""),"",MAX(0,C71-R71))</f>
        <v>0</v>
      </c>
      <c r="T71" s="26"/>
      <c r="U71" s="8">
        <f>IF(OR(T71="",T71=0,G71=""),"",T71*G71)</f>
        <v>0</v>
      </c>
      <c r="V71" s="8">
        <f>IF(OR(S71="",T71="",T71=0),"",CEILING(S71/T71,1))</f>
        <v>0</v>
      </c>
      <c r="W71" s="27"/>
      <c r="X71" s="29"/>
      <c r="Y71" s="8">
        <f>IF(OR(C71="",X71=""),"",C71*(1+X71))</f>
        <v>0</v>
      </c>
      <c r="Z71" s="8">
        <f>IF(B71="","",IFERROR(INDEX(Ingredients!$O$5:$O$304,MATCH(B71,Ingredients!$A$5:$A$304,0)),""))</f>
        <v>0</v>
      </c>
      <c r="AA71" s="8">
        <f>IF(B71="","",IF(R71&gt;=C71,"In pantry","To buy"))</f>
        <v>0</v>
      </c>
      <c r="AB71" s="8">
        <f>IF(A71="","",COUNTIFS($A$5:A71,A71))</f>
        <v>0</v>
      </c>
      <c r="AC71" s="8">
        <f>IF(B71="","",IF(COUNTIFS('Dietary Filters'!$C$5:$C$104,B71)&gt;0,"Check","OK"))</f>
        <v>0</v>
      </c>
      <c r="AD71" s="25"/>
    </row>
    <row r="72" spans="1:30">
      <c r="A72" s="7"/>
      <c r="B72" s="7"/>
      <c r="C72" s="26"/>
      <c r="D72" s="27"/>
      <c r="E72" s="8">
        <f>IF(B72="","",IFERROR(INDEX(Ingredients!$B$5:$B$304,MATCH(B72,Ingredients!$A$5:$A$304,0)),""))</f>
        <v>0</v>
      </c>
      <c r="F72" s="8">
        <f>IF(B72="","",IFERROR(INDEX(Ingredients!$E$5:$E$304,MATCH(B72,Ingredients!$A$5:$A$304,0)),""))</f>
        <v>0</v>
      </c>
      <c r="G72" s="8">
        <f>IF(B72="","",IFERROR(INDEX(Ingredients!$D$5:$D$304,MATCH(B72,Ingredients!$A$5:$A$304,0)),""))</f>
        <v>0</v>
      </c>
      <c r="H72" s="8">
        <f>IF(OR(B72="",C72=""),"",IFERROR(C72*G72,""))</f>
        <v>0</v>
      </c>
      <c r="I72" s="8">
        <f>IF(A72="","",IFERROR(INDEX(Recipes!$D$5:$D$204,MATCH(A72,Recipes!$A$5:$A$204,0)),""))</f>
        <v>0</v>
      </c>
      <c r="J72" s="8">
        <f>IF(OR(H72="",I72="",I72=0),"",IFERROR(H72/I72,""))</f>
        <v>0</v>
      </c>
      <c r="K72" s="8">
        <f>IF(OR(B72="",C72=""),"",IFERROR(C72*IFERROR(INDEX(Ingredients!$H$5:$H$304,MATCH(B72,Ingredients!$A$5:$A$304,0)),""),""))</f>
        <v>0</v>
      </c>
      <c r="L72" s="8">
        <f>IF(OR(B72="",C72=""),"",IFERROR(C72*IFERROR(INDEX(Ingredients!$I$5:$I$304,MATCH(B72,Ingredients!$A$5:$A$304,0)),""),""))</f>
        <v>0</v>
      </c>
      <c r="M72" s="8">
        <f>IF(OR(B72="",C72=""),"",IFERROR(C72*IFERROR(INDEX(Ingredients!$J$5:$J$304,MATCH(B72,Ingredients!$A$5:$A$304,0)),""),""))</f>
        <v>0</v>
      </c>
      <c r="N72" s="8">
        <f>IF(OR(B72="",C72=""),"",IFERROR(C72*IFERROR(INDEX(Ingredients!$K$5:$K$304,MATCH(B72,Ingredients!$A$5:$A$304,0)),""),""))</f>
        <v>0</v>
      </c>
      <c r="O72" s="8">
        <f>IF(OR(B72="",C72=""),"",IFERROR(C72*IFERROR(INDEX(Ingredients!$L$5:$L$304,MATCH(B72,Ingredients!$A$5:$A$304,0)),""),""))</f>
        <v>0</v>
      </c>
      <c r="P72" s="8">
        <f>IF(OR(H72="",A72=""),"",IFERROR(H72/SUMIFS('Recipe Ingredients'!$H$5:$H$1204,'Recipe Ingredients'!$A$5:$A$1204,A72),""))</f>
        <v>0</v>
      </c>
      <c r="Q72" s="8">
        <f>IF(H72="","",COUNTIFS($H$5:$H$1204,"&gt;"&amp;H72)+1)</f>
        <v>0</v>
      </c>
      <c r="R72" s="8">
        <f>IF(B72="","",SUMIFS(Pantry!$C$5:$C$304,Pantry!$A$5:$A$304,B72))</f>
        <v>0</v>
      </c>
      <c r="S72" s="8">
        <f>IF(OR(B72="",C72=""),"",MAX(0,C72-R72))</f>
        <v>0</v>
      </c>
      <c r="T72" s="26"/>
      <c r="U72" s="8">
        <f>IF(OR(T72="",T72=0,G72=""),"",T72*G72)</f>
        <v>0</v>
      </c>
      <c r="V72" s="8">
        <f>IF(OR(S72="",T72="",T72=0),"",CEILING(S72/T72,1))</f>
        <v>0</v>
      </c>
      <c r="W72" s="27"/>
      <c r="X72" s="29"/>
      <c r="Y72" s="8">
        <f>IF(OR(C72="",X72=""),"",C72*(1+X72))</f>
        <v>0</v>
      </c>
      <c r="Z72" s="8">
        <f>IF(B72="","",IFERROR(INDEX(Ingredients!$O$5:$O$304,MATCH(B72,Ingredients!$A$5:$A$304,0)),""))</f>
        <v>0</v>
      </c>
      <c r="AA72" s="8">
        <f>IF(B72="","",IF(R72&gt;=C72,"In pantry","To buy"))</f>
        <v>0</v>
      </c>
      <c r="AB72" s="8">
        <f>IF(A72="","",COUNTIFS($A$5:A72,A72))</f>
        <v>0</v>
      </c>
      <c r="AC72" s="8">
        <f>IF(B72="","",IF(COUNTIFS('Dietary Filters'!$C$5:$C$104,B72)&gt;0,"Check","OK"))</f>
        <v>0</v>
      </c>
      <c r="AD72" s="25"/>
    </row>
    <row r="73" spans="1:30">
      <c r="A73" s="7"/>
      <c r="B73" s="7"/>
      <c r="C73" s="26"/>
      <c r="D73" s="27"/>
      <c r="E73" s="8">
        <f>IF(B73="","",IFERROR(INDEX(Ingredients!$B$5:$B$304,MATCH(B73,Ingredients!$A$5:$A$304,0)),""))</f>
        <v>0</v>
      </c>
      <c r="F73" s="8">
        <f>IF(B73="","",IFERROR(INDEX(Ingredients!$E$5:$E$304,MATCH(B73,Ingredients!$A$5:$A$304,0)),""))</f>
        <v>0</v>
      </c>
      <c r="G73" s="8">
        <f>IF(B73="","",IFERROR(INDEX(Ingredients!$D$5:$D$304,MATCH(B73,Ingredients!$A$5:$A$304,0)),""))</f>
        <v>0</v>
      </c>
      <c r="H73" s="8">
        <f>IF(OR(B73="",C73=""),"",IFERROR(C73*G73,""))</f>
        <v>0</v>
      </c>
      <c r="I73" s="8">
        <f>IF(A73="","",IFERROR(INDEX(Recipes!$D$5:$D$204,MATCH(A73,Recipes!$A$5:$A$204,0)),""))</f>
        <v>0</v>
      </c>
      <c r="J73" s="8">
        <f>IF(OR(H73="",I73="",I73=0),"",IFERROR(H73/I73,""))</f>
        <v>0</v>
      </c>
      <c r="K73" s="8">
        <f>IF(OR(B73="",C73=""),"",IFERROR(C73*IFERROR(INDEX(Ingredients!$H$5:$H$304,MATCH(B73,Ingredients!$A$5:$A$304,0)),""),""))</f>
        <v>0</v>
      </c>
      <c r="L73" s="8">
        <f>IF(OR(B73="",C73=""),"",IFERROR(C73*IFERROR(INDEX(Ingredients!$I$5:$I$304,MATCH(B73,Ingredients!$A$5:$A$304,0)),""),""))</f>
        <v>0</v>
      </c>
      <c r="M73" s="8">
        <f>IF(OR(B73="",C73=""),"",IFERROR(C73*IFERROR(INDEX(Ingredients!$J$5:$J$304,MATCH(B73,Ingredients!$A$5:$A$304,0)),""),""))</f>
        <v>0</v>
      </c>
      <c r="N73" s="8">
        <f>IF(OR(B73="",C73=""),"",IFERROR(C73*IFERROR(INDEX(Ingredients!$K$5:$K$304,MATCH(B73,Ingredients!$A$5:$A$304,0)),""),""))</f>
        <v>0</v>
      </c>
      <c r="O73" s="8">
        <f>IF(OR(B73="",C73=""),"",IFERROR(C73*IFERROR(INDEX(Ingredients!$L$5:$L$304,MATCH(B73,Ingredients!$A$5:$A$304,0)),""),""))</f>
        <v>0</v>
      </c>
      <c r="P73" s="8">
        <f>IF(OR(H73="",A73=""),"",IFERROR(H73/SUMIFS('Recipe Ingredients'!$H$5:$H$1204,'Recipe Ingredients'!$A$5:$A$1204,A73),""))</f>
        <v>0</v>
      </c>
      <c r="Q73" s="8">
        <f>IF(H73="","",COUNTIFS($H$5:$H$1204,"&gt;"&amp;H73)+1)</f>
        <v>0</v>
      </c>
      <c r="R73" s="8">
        <f>IF(B73="","",SUMIFS(Pantry!$C$5:$C$304,Pantry!$A$5:$A$304,B73))</f>
        <v>0</v>
      </c>
      <c r="S73" s="8">
        <f>IF(OR(B73="",C73=""),"",MAX(0,C73-R73))</f>
        <v>0</v>
      </c>
      <c r="T73" s="26"/>
      <c r="U73" s="8">
        <f>IF(OR(T73="",T73=0,G73=""),"",T73*G73)</f>
        <v>0</v>
      </c>
      <c r="V73" s="8">
        <f>IF(OR(S73="",T73="",T73=0),"",CEILING(S73/T73,1))</f>
        <v>0</v>
      </c>
      <c r="W73" s="27"/>
      <c r="X73" s="29"/>
      <c r="Y73" s="8">
        <f>IF(OR(C73="",X73=""),"",C73*(1+X73))</f>
        <v>0</v>
      </c>
      <c r="Z73" s="8">
        <f>IF(B73="","",IFERROR(INDEX(Ingredients!$O$5:$O$304,MATCH(B73,Ingredients!$A$5:$A$304,0)),""))</f>
        <v>0</v>
      </c>
      <c r="AA73" s="8">
        <f>IF(B73="","",IF(R73&gt;=C73,"In pantry","To buy"))</f>
        <v>0</v>
      </c>
      <c r="AB73" s="8">
        <f>IF(A73="","",COUNTIFS($A$5:A73,A73))</f>
        <v>0</v>
      </c>
      <c r="AC73" s="8">
        <f>IF(B73="","",IF(COUNTIFS('Dietary Filters'!$C$5:$C$104,B73)&gt;0,"Check","OK"))</f>
        <v>0</v>
      </c>
      <c r="AD73" s="25"/>
    </row>
    <row r="74" spans="1:30">
      <c r="A74" s="7"/>
      <c r="B74" s="7"/>
      <c r="C74" s="26"/>
      <c r="D74" s="27"/>
      <c r="E74" s="8">
        <f>IF(B74="","",IFERROR(INDEX(Ingredients!$B$5:$B$304,MATCH(B74,Ingredients!$A$5:$A$304,0)),""))</f>
        <v>0</v>
      </c>
      <c r="F74" s="8">
        <f>IF(B74="","",IFERROR(INDEX(Ingredients!$E$5:$E$304,MATCH(B74,Ingredients!$A$5:$A$304,0)),""))</f>
        <v>0</v>
      </c>
      <c r="G74" s="8">
        <f>IF(B74="","",IFERROR(INDEX(Ingredients!$D$5:$D$304,MATCH(B74,Ingredients!$A$5:$A$304,0)),""))</f>
        <v>0</v>
      </c>
      <c r="H74" s="8">
        <f>IF(OR(B74="",C74=""),"",IFERROR(C74*G74,""))</f>
        <v>0</v>
      </c>
      <c r="I74" s="8">
        <f>IF(A74="","",IFERROR(INDEX(Recipes!$D$5:$D$204,MATCH(A74,Recipes!$A$5:$A$204,0)),""))</f>
        <v>0</v>
      </c>
      <c r="J74" s="8">
        <f>IF(OR(H74="",I74="",I74=0),"",IFERROR(H74/I74,""))</f>
        <v>0</v>
      </c>
      <c r="K74" s="8">
        <f>IF(OR(B74="",C74=""),"",IFERROR(C74*IFERROR(INDEX(Ingredients!$H$5:$H$304,MATCH(B74,Ingredients!$A$5:$A$304,0)),""),""))</f>
        <v>0</v>
      </c>
      <c r="L74" s="8">
        <f>IF(OR(B74="",C74=""),"",IFERROR(C74*IFERROR(INDEX(Ingredients!$I$5:$I$304,MATCH(B74,Ingredients!$A$5:$A$304,0)),""),""))</f>
        <v>0</v>
      </c>
      <c r="M74" s="8">
        <f>IF(OR(B74="",C74=""),"",IFERROR(C74*IFERROR(INDEX(Ingredients!$J$5:$J$304,MATCH(B74,Ingredients!$A$5:$A$304,0)),""),""))</f>
        <v>0</v>
      </c>
      <c r="N74" s="8">
        <f>IF(OR(B74="",C74=""),"",IFERROR(C74*IFERROR(INDEX(Ingredients!$K$5:$K$304,MATCH(B74,Ingredients!$A$5:$A$304,0)),""),""))</f>
        <v>0</v>
      </c>
      <c r="O74" s="8">
        <f>IF(OR(B74="",C74=""),"",IFERROR(C74*IFERROR(INDEX(Ingredients!$L$5:$L$304,MATCH(B74,Ingredients!$A$5:$A$304,0)),""),""))</f>
        <v>0</v>
      </c>
      <c r="P74" s="8">
        <f>IF(OR(H74="",A74=""),"",IFERROR(H74/SUMIFS('Recipe Ingredients'!$H$5:$H$1204,'Recipe Ingredients'!$A$5:$A$1204,A74),""))</f>
        <v>0</v>
      </c>
      <c r="Q74" s="8">
        <f>IF(H74="","",COUNTIFS($H$5:$H$1204,"&gt;"&amp;H74)+1)</f>
        <v>0</v>
      </c>
      <c r="R74" s="8">
        <f>IF(B74="","",SUMIFS(Pantry!$C$5:$C$304,Pantry!$A$5:$A$304,B74))</f>
        <v>0</v>
      </c>
      <c r="S74" s="8">
        <f>IF(OR(B74="",C74=""),"",MAX(0,C74-R74))</f>
        <v>0</v>
      </c>
      <c r="T74" s="26"/>
      <c r="U74" s="8">
        <f>IF(OR(T74="",T74=0,G74=""),"",T74*G74)</f>
        <v>0</v>
      </c>
      <c r="V74" s="8">
        <f>IF(OR(S74="",T74="",T74=0),"",CEILING(S74/T74,1))</f>
        <v>0</v>
      </c>
      <c r="W74" s="27"/>
      <c r="X74" s="29"/>
      <c r="Y74" s="8">
        <f>IF(OR(C74="",X74=""),"",C74*(1+X74))</f>
        <v>0</v>
      </c>
      <c r="Z74" s="8">
        <f>IF(B74="","",IFERROR(INDEX(Ingredients!$O$5:$O$304,MATCH(B74,Ingredients!$A$5:$A$304,0)),""))</f>
        <v>0</v>
      </c>
      <c r="AA74" s="8">
        <f>IF(B74="","",IF(R74&gt;=C74,"In pantry","To buy"))</f>
        <v>0</v>
      </c>
      <c r="AB74" s="8">
        <f>IF(A74="","",COUNTIFS($A$5:A74,A74))</f>
        <v>0</v>
      </c>
      <c r="AC74" s="8">
        <f>IF(B74="","",IF(COUNTIFS('Dietary Filters'!$C$5:$C$104,B74)&gt;0,"Check","OK"))</f>
        <v>0</v>
      </c>
      <c r="AD74" s="25"/>
    </row>
    <row r="75" spans="1:30">
      <c r="A75" s="7"/>
      <c r="B75" s="7"/>
      <c r="C75" s="26"/>
      <c r="D75" s="27"/>
      <c r="E75" s="8">
        <f>IF(B75="","",IFERROR(INDEX(Ingredients!$B$5:$B$304,MATCH(B75,Ingredients!$A$5:$A$304,0)),""))</f>
        <v>0</v>
      </c>
      <c r="F75" s="8">
        <f>IF(B75="","",IFERROR(INDEX(Ingredients!$E$5:$E$304,MATCH(B75,Ingredients!$A$5:$A$304,0)),""))</f>
        <v>0</v>
      </c>
      <c r="G75" s="8">
        <f>IF(B75="","",IFERROR(INDEX(Ingredients!$D$5:$D$304,MATCH(B75,Ingredients!$A$5:$A$304,0)),""))</f>
        <v>0</v>
      </c>
      <c r="H75" s="8">
        <f>IF(OR(B75="",C75=""),"",IFERROR(C75*G75,""))</f>
        <v>0</v>
      </c>
      <c r="I75" s="8">
        <f>IF(A75="","",IFERROR(INDEX(Recipes!$D$5:$D$204,MATCH(A75,Recipes!$A$5:$A$204,0)),""))</f>
        <v>0</v>
      </c>
      <c r="J75" s="8">
        <f>IF(OR(H75="",I75="",I75=0),"",IFERROR(H75/I75,""))</f>
        <v>0</v>
      </c>
      <c r="K75" s="8">
        <f>IF(OR(B75="",C75=""),"",IFERROR(C75*IFERROR(INDEX(Ingredients!$H$5:$H$304,MATCH(B75,Ingredients!$A$5:$A$304,0)),""),""))</f>
        <v>0</v>
      </c>
      <c r="L75" s="8">
        <f>IF(OR(B75="",C75=""),"",IFERROR(C75*IFERROR(INDEX(Ingredients!$I$5:$I$304,MATCH(B75,Ingredients!$A$5:$A$304,0)),""),""))</f>
        <v>0</v>
      </c>
      <c r="M75" s="8">
        <f>IF(OR(B75="",C75=""),"",IFERROR(C75*IFERROR(INDEX(Ingredients!$J$5:$J$304,MATCH(B75,Ingredients!$A$5:$A$304,0)),""),""))</f>
        <v>0</v>
      </c>
      <c r="N75" s="8">
        <f>IF(OR(B75="",C75=""),"",IFERROR(C75*IFERROR(INDEX(Ingredients!$K$5:$K$304,MATCH(B75,Ingredients!$A$5:$A$304,0)),""),""))</f>
        <v>0</v>
      </c>
      <c r="O75" s="8">
        <f>IF(OR(B75="",C75=""),"",IFERROR(C75*IFERROR(INDEX(Ingredients!$L$5:$L$304,MATCH(B75,Ingredients!$A$5:$A$304,0)),""),""))</f>
        <v>0</v>
      </c>
      <c r="P75" s="8">
        <f>IF(OR(H75="",A75=""),"",IFERROR(H75/SUMIFS('Recipe Ingredients'!$H$5:$H$1204,'Recipe Ingredients'!$A$5:$A$1204,A75),""))</f>
        <v>0</v>
      </c>
      <c r="Q75" s="8">
        <f>IF(H75="","",COUNTIFS($H$5:$H$1204,"&gt;"&amp;H75)+1)</f>
        <v>0</v>
      </c>
      <c r="R75" s="8">
        <f>IF(B75="","",SUMIFS(Pantry!$C$5:$C$304,Pantry!$A$5:$A$304,B75))</f>
        <v>0</v>
      </c>
      <c r="S75" s="8">
        <f>IF(OR(B75="",C75=""),"",MAX(0,C75-R75))</f>
        <v>0</v>
      </c>
      <c r="T75" s="26"/>
      <c r="U75" s="8">
        <f>IF(OR(T75="",T75=0,G75=""),"",T75*G75)</f>
        <v>0</v>
      </c>
      <c r="V75" s="8">
        <f>IF(OR(S75="",T75="",T75=0),"",CEILING(S75/T75,1))</f>
        <v>0</v>
      </c>
      <c r="W75" s="27"/>
      <c r="X75" s="29"/>
      <c r="Y75" s="8">
        <f>IF(OR(C75="",X75=""),"",C75*(1+X75))</f>
        <v>0</v>
      </c>
      <c r="Z75" s="8">
        <f>IF(B75="","",IFERROR(INDEX(Ingredients!$O$5:$O$304,MATCH(B75,Ingredients!$A$5:$A$304,0)),""))</f>
        <v>0</v>
      </c>
      <c r="AA75" s="8">
        <f>IF(B75="","",IF(R75&gt;=C75,"In pantry","To buy"))</f>
        <v>0</v>
      </c>
      <c r="AB75" s="8">
        <f>IF(A75="","",COUNTIFS($A$5:A75,A75))</f>
        <v>0</v>
      </c>
      <c r="AC75" s="8">
        <f>IF(B75="","",IF(COUNTIFS('Dietary Filters'!$C$5:$C$104,B75)&gt;0,"Check","OK"))</f>
        <v>0</v>
      </c>
      <c r="AD75" s="25"/>
    </row>
    <row r="76" spans="1:30">
      <c r="A76" s="7"/>
      <c r="B76" s="7"/>
      <c r="C76" s="26"/>
      <c r="D76" s="27"/>
      <c r="E76" s="8">
        <f>IF(B76="","",IFERROR(INDEX(Ingredients!$B$5:$B$304,MATCH(B76,Ingredients!$A$5:$A$304,0)),""))</f>
        <v>0</v>
      </c>
      <c r="F76" s="8">
        <f>IF(B76="","",IFERROR(INDEX(Ingredients!$E$5:$E$304,MATCH(B76,Ingredients!$A$5:$A$304,0)),""))</f>
        <v>0</v>
      </c>
      <c r="G76" s="8">
        <f>IF(B76="","",IFERROR(INDEX(Ingredients!$D$5:$D$304,MATCH(B76,Ingredients!$A$5:$A$304,0)),""))</f>
        <v>0</v>
      </c>
      <c r="H76" s="8">
        <f>IF(OR(B76="",C76=""),"",IFERROR(C76*G76,""))</f>
        <v>0</v>
      </c>
      <c r="I76" s="8">
        <f>IF(A76="","",IFERROR(INDEX(Recipes!$D$5:$D$204,MATCH(A76,Recipes!$A$5:$A$204,0)),""))</f>
        <v>0</v>
      </c>
      <c r="J76" s="8">
        <f>IF(OR(H76="",I76="",I76=0),"",IFERROR(H76/I76,""))</f>
        <v>0</v>
      </c>
      <c r="K76" s="8">
        <f>IF(OR(B76="",C76=""),"",IFERROR(C76*IFERROR(INDEX(Ingredients!$H$5:$H$304,MATCH(B76,Ingredients!$A$5:$A$304,0)),""),""))</f>
        <v>0</v>
      </c>
      <c r="L76" s="8">
        <f>IF(OR(B76="",C76=""),"",IFERROR(C76*IFERROR(INDEX(Ingredients!$I$5:$I$304,MATCH(B76,Ingredients!$A$5:$A$304,0)),""),""))</f>
        <v>0</v>
      </c>
      <c r="M76" s="8">
        <f>IF(OR(B76="",C76=""),"",IFERROR(C76*IFERROR(INDEX(Ingredients!$J$5:$J$304,MATCH(B76,Ingredients!$A$5:$A$304,0)),""),""))</f>
        <v>0</v>
      </c>
      <c r="N76" s="8">
        <f>IF(OR(B76="",C76=""),"",IFERROR(C76*IFERROR(INDEX(Ingredients!$K$5:$K$304,MATCH(B76,Ingredients!$A$5:$A$304,0)),""),""))</f>
        <v>0</v>
      </c>
      <c r="O76" s="8">
        <f>IF(OR(B76="",C76=""),"",IFERROR(C76*IFERROR(INDEX(Ingredients!$L$5:$L$304,MATCH(B76,Ingredients!$A$5:$A$304,0)),""),""))</f>
        <v>0</v>
      </c>
      <c r="P76" s="8">
        <f>IF(OR(H76="",A76=""),"",IFERROR(H76/SUMIFS('Recipe Ingredients'!$H$5:$H$1204,'Recipe Ingredients'!$A$5:$A$1204,A76),""))</f>
        <v>0</v>
      </c>
      <c r="Q76" s="8">
        <f>IF(H76="","",COUNTIFS($H$5:$H$1204,"&gt;"&amp;H76)+1)</f>
        <v>0</v>
      </c>
      <c r="R76" s="8">
        <f>IF(B76="","",SUMIFS(Pantry!$C$5:$C$304,Pantry!$A$5:$A$304,B76))</f>
        <v>0</v>
      </c>
      <c r="S76" s="8">
        <f>IF(OR(B76="",C76=""),"",MAX(0,C76-R76))</f>
        <v>0</v>
      </c>
      <c r="T76" s="26"/>
      <c r="U76" s="8">
        <f>IF(OR(T76="",T76=0,G76=""),"",T76*G76)</f>
        <v>0</v>
      </c>
      <c r="V76" s="8">
        <f>IF(OR(S76="",T76="",T76=0),"",CEILING(S76/T76,1))</f>
        <v>0</v>
      </c>
      <c r="W76" s="27"/>
      <c r="X76" s="29"/>
      <c r="Y76" s="8">
        <f>IF(OR(C76="",X76=""),"",C76*(1+X76))</f>
        <v>0</v>
      </c>
      <c r="Z76" s="8">
        <f>IF(B76="","",IFERROR(INDEX(Ingredients!$O$5:$O$304,MATCH(B76,Ingredients!$A$5:$A$304,0)),""))</f>
        <v>0</v>
      </c>
      <c r="AA76" s="8">
        <f>IF(B76="","",IF(R76&gt;=C76,"In pantry","To buy"))</f>
        <v>0</v>
      </c>
      <c r="AB76" s="8">
        <f>IF(A76="","",COUNTIFS($A$5:A76,A76))</f>
        <v>0</v>
      </c>
      <c r="AC76" s="8">
        <f>IF(B76="","",IF(COUNTIFS('Dietary Filters'!$C$5:$C$104,B76)&gt;0,"Check","OK"))</f>
        <v>0</v>
      </c>
      <c r="AD76" s="25"/>
    </row>
    <row r="77" spans="1:30">
      <c r="A77" s="7"/>
      <c r="B77" s="7"/>
      <c r="C77" s="26"/>
      <c r="D77" s="27"/>
      <c r="E77" s="8">
        <f>IF(B77="","",IFERROR(INDEX(Ingredients!$B$5:$B$304,MATCH(B77,Ingredients!$A$5:$A$304,0)),""))</f>
        <v>0</v>
      </c>
      <c r="F77" s="8">
        <f>IF(B77="","",IFERROR(INDEX(Ingredients!$E$5:$E$304,MATCH(B77,Ingredients!$A$5:$A$304,0)),""))</f>
        <v>0</v>
      </c>
      <c r="G77" s="8">
        <f>IF(B77="","",IFERROR(INDEX(Ingredients!$D$5:$D$304,MATCH(B77,Ingredients!$A$5:$A$304,0)),""))</f>
        <v>0</v>
      </c>
      <c r="H77" s="8">
        <f>IF(OR(B77="",C77=""),"",IFERROR(C77*G77,""))</f>
        <v>0</v>
      </c>
      <c r="I77" s="8">
        <f>IF(A77="","",IFERROR(INDEX(Recipes!$D$5:$D$204,MATCH(A77,Recipes!$A$5:$A$204,0)),""))</f>
        <v>0</v>
      </c>
      <c r="J77" s="8">
        <f>IF(OR(H77="",I77="",I77=0),"",IFERROR(H77/I77,""))</f>
        <v>0</v>
      </c>
      <c r="K77" s="8">
        <f>IF(OR(B77="",C77=""),"",IFERROR(C77*IFERROR(INDEX(Ingredients!$H$5:$H$304,MATCH(B77,Ingredients!$A$5:$A$304,0)),""),""))</f>
        <v>0</v>
      </c>
      <c r="L77" s="8">
        <f>IF(OR(B77="",C77=""),"",IFERROR(C77*IFERROR(INDEX(Ingredients!$I$5:$I$304,MATCH(B77,Ingredients!$A$5:$A$304,0)),""),""))</f>
        <v>0</v>
      </c>
      <c r="M77" s="8">
        <f>IF(OR(B77="",C77=""),"",IFERROR(C77*IFERROR(INDEX(Ingredients!$J$5:$J$304,MATCH(B77,Ingredients!$A$5:$A$304,0)),""),""))</f>
        <v>0</v>
      </c>
      <c r="N77" s="8">
        <f>IF(OR(B77="",C77=""),"",IFERROR(C77*IFERROR(INDEX(Ingredients!$K$5:$K$304,MATCH(B77,Ingredients!$A$5:$A$304,0)),""),""))</f>
        <v>0</v>
      </c>
      <c r="O77" s="8">
        <f>IF(OR(B77="",C77=""),"",IFERROR(C77*IFERROR(INDEX(Ingredients!$L$5:$L$304,MATCH(B77,Ingredients!$A$5:$A$304,0)),""),""))</f>
        <v>0</v>
      </c>
      <c r="P77" s="8">
        <f>IF(OR(H77="",A77=""),"",IFERROR(H77/SUMIFS('Recipe Ingredients'!$H$5:$H$1204,'Recipe Ingredients'!$A$5:$A$1204,A77),""))</f>
        <v>0</v>
      </c>
      <c r="Q77" s="8">
        <f>IF(H77="","",COUNTIFS($H$5:$H$1204,"&gt;"&amp;H77)+1)</f>
        <v>0</v>
      </c>
      <c r="R77" s="8">
        <f>IF(B77="","",SUMIFS(Pantry!$C$5:$C$304,Pantry!$A$5:$A$304,B77))</f>
        <v>0</v>
      </c>
      <c r="S77" s="8">
        <f>IF(OR(B77="",C77=""),"",MAX(0,C77-R77))</f>
        <v>0</v>
      </c>
      <c r="T77" s="26"/>
      <c r="U77" s="8">
        <f>IF(OR(T77="",T77=0,G77=""),"",T77*G77)</f>
        <v>0</v>
      </c>
      <c r="V77" s="8">
        <f>IF(OR(S77="",T77="",T77=0),"",CEILING(S77/T77,1))</f>
        <v>0</v>
      </c>
      <c r="W77" s="27"/>
      <c r="X77" s="29"/>
      <c r="Y77" s="8">
        <f>IF(OR(C77="",X77=""),"",C77*(1+X77))</f>
        <v>0</v>
      </c>
      <c r="Z77" s="8">
        <f>IF(B77="","",IFERROR(INDEX(Ingredients!$O$5:$O$304,MATCH(B77,Ingredients!$A$5:$A$304,0)),""))</f>
        <v>0</v>
      </c>
      <c r="AA77" s="8">
        <f>IF(B77="","",IF(R77&gt;=C77,"In pantry","To buy"))</f>
        <v>0</v>
      </c>
      <c r="AB77" s="8">
        <f>IF(A77="","",COUNTIFS($A$5:A77,A77))</f>
        <v>0</v>
      </c>
      <c r="AC77" s="8">
        <f>IF(B77="","",IF(COUNTIFS('Dietary Filters'!$C$5:$C$104,B77)&gt;0,"Check","OK"))</f>
        <v>0</v>
      </c>
      <c r="AD77" s="25"/>
    </row>
    <row r="78" spans="1:30">
      <c r="A78" s="7"/>
      <c r="B78" s="7"/>
      <c r="C78" s="26"/>
      <c r="D78" s="27"/>
      <c r="E78" s="8">
        <f>IF(B78="","",IFERROR(INDEX(Ingredients!$B$5:$B$304,MATCH(B78,Ingredients!$A$5:$A$304,0)),""))</f>
        <v>0</v>
      </c>
      <c r="F78" s="8">
        <f>IF(B78="","",IFERROR(INDEX(Ingredients!$E$5:$E$304,MATCH(B78,Ingredients!$A$5:$A$304,0)),""))</f>
        <v>0</v>
      </c>
      <c r="G78" s="8">
        <f>IF(B78="","",IFERROR(INDEX(Ingredients!$D$5:$D$304,MATCH(B78,Ingredients!$A$5:$A$304,0)),""))</f>
        <v>0</v>
      </c>
      <c r="H78" s="8">
        <f>IF(OR(B78="",C78=""),"",IFERROR(C78*G78,""))</f>
        <v>0</v>
      </c>
      <c r="I78" s="8">
        <f>IF(A78="","",IFERROR(INDEX(Recipes!$D$5:$D$204,MATCH(A78,Recipes!$A$5:$A$204,0)),""))</f>
        <v>0</v>
      </c>
      <c r="J78" s="8">
        <f>IF(OR(H78="",I78="",I78=0),"",IFERROR(H78/I78,""))</f>
        <v>0</v>
      </c>
      <c r="K78" s="8">
        <f>IF(OR(B78="",C78=""),"",IFERROR(C78*IFERROR(INDEX(Ingredients!$H$5:$H$304,MATCH(B78,Ingredients!$A$5:$A$304,0)),""),""))</f>
        <v>0</v>
      </c>
      <c r="L78" s="8">
        <f>IF(OR(B78="",C78=""),"",IFERROR(C78*IFERROR(INDEX(Ingredients!$I$5:$I$304,MATCH(B78,Ingredients!$A$5:$A$304,0)),""),""))</f>
        <v>0</v>
      </c>
      <c r="M78" s="8">
        <f>IF(OR(B78="",C78=""),"",IFERROR(C78*IFERROR(INDEX(Ingredients!$J$5:$J$304,MATCH(B78,Ingredients!$A$5:$A$304,0)),""),""))</f>
        <v>0</v>
      </c>
      <c r="N78" s="8">
        <f>IF(OR(B78="",C78=""),"",IFERROR(C78*IFERROR(INDEX(Ingredients!$K$5:$K$304,MATCH(B78,Ingredients!$A$5:$A$304,0)),""),""))</f>
        <v>0</v>
      </c>
      <c r="O78" s="8">
        <f>IF(OR(B78="",C78=""),"",IFERROR(C78*IFERROR(INDEX(Ingredients!$L$5:$L$304,MATCH(B78,Ingredients!$A$5:$A$304,0)),""),""))</f>
        <v>0</v>
      </c>
      <c r="P78" s="8">
        <f>IF(OR(H78="",A78=""),"",IFERROR(H78/SUMIFS('Recipe Ingredients'!$H$5:$H$1204,'Recipe Ingredients'!$A$5:$A$1204,A78),""))</f>
        <v>0</v>
      </c>
      <c r="Q78" s="8">
        <f>IF(H78="","",COUNTIFS($H$5:$H$1204,"&gt;"&amp;H78)+1)</f>
        <v>0</v>
      </c>
      <c r="R78" s="8">
        <f>IF(B78="","",SUMIFS(Pantry!$C$5:$C$304,Pantry!$A$5:$A$304,B78))</f>
        <v>0</v>
      </c>
      <c r="S78" s="8">
        <f>IF(OR(B78="",C78=""),"",MAX(0,C78-R78))</f>
        <v>0</v>
      </c>
      <c r="T78" s="26"/>
      <c r="U78" s="8">
        <f>IF(OR(T78="",T78=0,G78=""),"",T78*G78)</f>
        <v>0</v>
      </c>
      <c r="V78" s="8">
        <f>IF(OR(S78="",T78="",T78=0),"",CEILING(S78/T78,1))</f>
        <v>0</v>
      </c>
      <c r="W78" s="27"/>
      <c r="X78" s="29"/>
      <c r="Y78" s="8">
        <f>IF(OR(C78="",X78=""),"",C78*(1+X78))</f>
        <v>0</v>
      </c>
      <c r="Z78" s="8">
        <f>IF(B78="","",IFERROR(INDEX(Ingredients!$O$5:$O$304,MATCH(B78,Ingredients!$A$5:$A$304,0)),""))</f>
        <v>0</v>
      </c>
      <c r="AA78" s="8">
        <f>IF(B78="","",IF(R78&gt;=C78,"In pantry","To buy"))</f>
        <v>0</v>
      </c>
      <c r="AB78" s="8">
        <f>IF(A78="","",COUNTIFS($A$5:A78,A78))</f>
        <v>0</v>
      </c>
      <c r="AC78" s="8">
        <f>IF(B78="","",IF(COUNTIFS('Dietary Filters'!$C$5:$C$104,B78)&gt;0,"Check","OK"))</f>
        <v>0</v>
      </c>
      <c r="AD78" s="25"/>
    </row>
    <row r="79" spans="1:30">
      <c r="A79" s="7"/>
      <c r="B79" s="7"/>
      <c r="C79" s="26"/>
      <c r="D79" s="27"/>
      <c r="E79" s="8">
        <f>IF(B79="","",IFERROR(INDEX(Ingredients!$B$5:$B$304,MATCH(B79,Ingredients!$A$5:$A$304,0)),""))</f>
        <v>0</v>
      </c>
      <c r="F79" s="8">
        <f>IF(B79="","",IFERROR(INDEX(Ingredients!$E$5:$E$304,MATCH(B79,Ingredients!$A$5:$A$304,0)),""))</f>
        <v>0</v>
      </c>
      <c r="G79" s="8">
        <f>IF(B79="","",IFERROR(INDEX(Ingredients!$D$5:$D$304,MATCH(B79,Ingredients!$A$5:$A$304,0)),""))</f>
        <v>0</v>
      </c>
      <c r="H79" s="8">
        <f>IF(OR(B79="",C79=""),"",IFERROR(C79*G79,""))</f>
        <v>0</v>
      </c>
      <c r="I79" s="8">
        <f>IF(A79="","",IFERROR(INDEX(Recipes!$D$5:$D$204,MATCH(A79,Recipes!$A$5:$A$204,0)),""))</f>
        <v>0</v>
      </c>
      <c r="J79" s="8">
        <f>IF(OR(H79="",I79="",I79=0),"",IFERROR(H79/I79,""))</f>
        <v>0</v>
      </c>
      <c r="K79" s="8">
        <f>IF(OR(B79="",C79=""),"",IFERROR(C79*IFERROR(INDEX(Ingredients!$H$5:$H$304,MATCH(B79,Ingredients!$A$5:$A$304,0)),""),""))</f>
        <v>0</v>
      </c>
      <c r="L79" s="8">
        <f>IF(OR(B79="",C79=""),"",IFERROR(C79*IFERROR(INDEX(Ingredients!$I$5:$I$304,MATCH(B79,Ingredients!$A$5:$A$304,0)),""),""))</f>
        <v>0</v>
      </c>
      <c r="M79" s="8">
        <f>IF(OR(B79="",C79=""),"",IFERROR(C79*IFERROR(INDEX(Ingredients!$J$5:$J$304,MATCH(B79,Ingredients!$A$5:$A$304,0)),""),""))</f>
        <v>0</v>
      </c>
      <c r="N79" s="8">
        <f>IF(OR(B79="",C79=""),"",IFERROR(C79*IFERROR(INDEX(Ingredients!$K$5:$K$304,MATCH(B79,Ingredients!$A$5:$A$304,0)),""),""))</f>
        <v>0</v>
      </c>
      <c r="O79" s="8">
        <f>IF(OR(B79="",C79=""),"",IFERROR(C79*IFERROR(INDEX(Ingredients!$L$5:$L$304,MATCH(B79,Ingredients!$A$5:$A$304,0)),""),""))</f>
        <v>0</v>
      </c>
      <c r="P79" s="8">
        <f>IF(OR(H79="",A79=""),"",IFERROR(H79/SUMIFS('Recipe Ingredients'!$H$5:$H$1204,'Recipe Ingredients'!$A$5:$A$1204,A79),""))</f>
        <v>0</v>
      </c>
      <c r="Q79" s="8">
        <f>IF(H79="","",COUNTIFS($H$5:$H$1204,"&gt;"&amp;H79)+1)</f>
        <v>0</v>
      </c>
      <c r="R79" s="8">
        <f>IF(B79="","",SUMIFS(Pantry!$C$5:$C$304,Pantry!$A$5:$A$304,B79))</f>
        <v>0</v>
      </c>
      <c r="S79" s="8">
        <f>IF(OR(B79="",C79=""),"",MAX(0,C79-R79))</f>
        <v>0</v>
      </c>
      <c r="T79" s="26"/>
      <c r="U79" s="8">
        <f>IF(OR(T79="",T79=0,G79=""),"",T79*G79)</f>
        <v>0</v>
      </c>
      <c r="V79" s="8">
        <f>IF(OR(S79="",T79="",T79=0),"",CEILING(S79/T79,1))</f>
        <v>0</v>
      </c>
      <c r="W79" s="27"/>
      <c r="X79" s="29"/>
      <c r="Y79" s="8">
        <f>IF(OR(C79="",X79=""),"",C79*(1+X79))</f>
        <v>0</v>
      </c>
      <c r="Z79" s="8">
        <f>IF(B79="","",IFERROR(INDEX(Ingredients!$O$5:$O$304,MATCH(B79,Ingredients!$A$5:$A$304,0)),""))</f>
        <v>0</v>
      </c>
      <c r="AA79" s="8">
        <f>IF(B79="","",IF(R79&gt;=C79,"In pantry","To buy"))</f>
        <v>0</v>
      </c>
      <c r="AB79" s="8">
        <f>IF(A79="","",COUNTIFS($A$5:A79,A79))</f>
        <v>0</v>
      </c>
      <c r="AC79" s="8">
        <f>IF(B79="","",IF(COUNTIFS('Dietary Filters'!$C$5:$C$104,B79)&gt;0,"Check","OK"))</f>
        <v>0</v>
      </c>
      <c r="AD79" s="25"/>
    </row>
    <row r="80" spans="1:30">
      <c r="A80" s="7"/>
      <c r="B80" s="7"/>
      <c r="C80" s="26"/>
      <c r="D80" s="27"/>
      <c r="E80" s="8">
        <f>IF(B80="","",IFERROR(INDEX(Ingredients!$B$5:$B$304,MATCH(B80,Ingredients!$A$5:$A$304,0)),""))</f>
        <v>0</v>
      </c>
      <c r="F80" s="8">
        <f>IF(B80="","",IFERROR(INDEX(Ingredients!$E$5:$E$304,MATCH(B80,Ingredients!$A$5:$A$304,0)),""))</f>
        <v>0</v>
      </c>
      <c r="G80" s="8">
        <f>IF(B80="","",IFERROR(INDEX(Ingredients!$D$5:$D$304,MATCH(B80,Ingredients!$A$5:$A$304,0)),""))</f>
        <v>0</v>
      </c>
      <c r="H80" s="8">
        <f>IF(OR(B80="",C80=""),"",IFERROR(C80*G80,""))</f>
        <v>0</v>
      </c>
      <c r="I80" s="8">
        <f>IF(A80="","",IFERROR(INDEX(Recipes!$D$5:$D$204,MATCH(A80,Recipes!$A$5:$A$204,0)),""))</f>
        <v>0</v>
      </c>
      <c r="J80" s="8">
        <f>IF(OR(H80="",I80="",I80=0),"",IFERROR(H80/I80,""))</f>
        <v>0</v>
      </c>
      <c r="K80" s="8">
        <f>IF(OR(B80="",C80=""),"",IFERROR(C80*IFERROR(INDEX(Ingredients!$H$5:$H$304,MATCH(B80,Ingredients!$A$5:$A$304,0)),""),""))</f>
        <v>0</v>
      </c>
      <c r="L80" s="8">
        <f>IF(OR(B80="",C80=""),"",IFERROR(C80*IFERROR(INDEX(Ingredients!$I$5:$I$304,MATCH(B80,Ingredients!$A$5:$A$304,0)),""),""))</f>
        <v>0</v>
      </c>
      <c r="M80" s="8">
        <f>IF(OR(B80="",C80=""),"",IFERROR(C80*IFERROR(INDEX(Ingredients!$J$5:$J$304,MATCH(B80,Ingredients!$A$5:$A$304,0)),""),""))</f>
        <v>0</v>
      </c>
      <c r="N80" s="8">
        <f>IF(OR(B80="",C80=""),"",IFERROR(C80*IFERROR(INDEX(Ingredients!$K$5:$K$304,MATCH(B80,Ingredients!$A$5:$A$304,0)),""),""))</f>
        <v>0</v>
      </c>
      <c r="O80" s="8">
        <f>IF(OR(B80="",C80=""),"",IFERROR(C80*IFERROR(INDEX(Ingredients!$L$5:$L$304,MATCH(B80,Ingredients!$A$5:$A$304,0)),""),""))</f>
        <v>0</v>
      </c>
      <c r="P80" s="8">
        <f>IF(OR(H80="",A80=""),"",IFERROR(H80/SUMIFS('Recipe Ingredients'!$H$5:$H$1204,'Recipe Ingredients'!$A$5:$A$1204,A80),""))</f>
        <v>0</v>
      </c>
      <c r="Q80" s="8">
        <f>IF(H80="","",COUNTIFS($H$5:$H$1204,"&gt;"&amp;H80)+1)</f>
        <v>0</v>
      </c>
      <c r="R80" s="8">
        <f>IF(B80="","",SUMIFS(Pantry!$C$5:$C$304,Pantry!$A$5:$A$304,B80))</f>
        <v>0</v>
      </c>
      <c r="S80" s="8">
        <f>IF(OR(B80="",C80=""),"",MAX(0,C80-R80))</f>
        <v>0</v>
      </c>
      <c r="T80" s="26"/>
      <c r="U80" s="8">
        <f>IF(OR(T80="",T80=0,G80=""),"",T80*G80)</f>
        <v>0</v>
      </c>
      <c r="V80" s="8">
        <f>IF(OR(S80="",T80="",T80=0),"",CEILING(S80/T80,1))</f>
        <v>0</v>
      </c>
      <c r="W80" s="27"/>
      <c r="X80" s="29"/>
      <c r="Y80" s="8">
        <f>IF(OR(C80="",X80=""),"",C80*(1+X80))</f>
        <v>0</v>
      </c>
      <c r="Z80" s="8">
        <f>IF(B80="","",IFERROR(INDEX(Ingredients!$O$5:$O$304,MATCH(B80,Ingredients!$A$5:$A$304,0)),""))</f>
        <v>0</v>
      </c>
      <c r="AA80" s="8">
        <f>IF(B80="","",IF(R80&gt;=C80,"In pantry","To buy"))</f>
        <v>0</v>
      </c>
      <c r="AB80" s="8">
        <f>IF(A80="","",COUNTIFS($A$5:A80,A80))</f>
        <v>0</v>
      </c>
      <c r="AC80" s="8">
        <f>IF(B80="","",IF(COUNTIFS('Dietary Filters'!$C$5:$C$104,B80)&gt;0,"Check","OK"))</f>
        <v>0</v>
      </c>
      <c r="AD80" s="25"/>
    </row>
    <row r="81" spans="1:30">
      <c r="A81" s="7"/>
      <c r="B81" s="7"/>
      <c r="C81" s="26"/>
      <c r="D81" s="27"/>
      <c r="E81" s="8">
        <f>IF(B81="","",IFERROR(INDEX(Ingredients!$B$5:$B$304,MATCH(B81,Ingredients!$A$5:$A$304,0)),""))</f>
        <v>0</v>
      </c>
      <c r="F81" s="8">
        <f>IF(B81="","",IFERROR(INDEX(Ingredients!$E$5:$E$304,MATCH(B81,Ingredients!$A$5:$A$304,0)),""))</f>
        <v>0</v>
      </c>
      <c r="G81" s="8">
        <f>IF(B81="","",IFERROR(INDEX(Ingredients!$D$5:$D$304,MATCH(B81,Ingredients!$A$5:$A$304,0)),""))</f>
        <v>0</v>
      </c>
      <c r="H81" s="8">
        <f>IF(OR(B81="",C81=""),"",IFERROR(C81*G81,""))</f>
        <v>0</v>
      </c>
      <c r="I81" s="8">
        <f>IF(A81="","",IFERROR(INDEX(Recipes!$D$5:$D$204,MATCH(A81,Recipes!$A$5:$A$204,0)),""))</f>
        <v>0</v>
      </c>
      <c r="J81" s="8">
        <f>IF(OR(H81="",I81="",I81=0),"",IFERROR(H81/I81,""))</f>
        <v>0</v>
      </c>
      <c r="K81" s="8">
        <f>IF(OR(B81="",C81=""),"",IFERROR(C81*IFERROR(INDEX(Ingredients!$H$5:$H$304,MATCH(B81,Ingredients!$A$5:$A$304,0)),""),""))</f>
        <v>0</v>
      </c>
      <c r="L81" s="8">
        <f>IF(OR(B81="",C81=""),"",IFERROR(C81*IFERROR(INDEX(Ingredients!$I$5:$I$304,MATCH(B81,Ingredients!$A$5:$A$304,0)),""),""))</f>
        <v>0</v>
      </c>
      <c r="M81" s="8">
        <f>IF(OR(B81="",C81=""),"",IFERROR(C81*IFERROR(INDEX(Ingredients!$J$5:$J$304,MATCH(B81,Ingredients!$A$5:$A$304,0)),""),""))</f>
        <v>0</v>
      </c>
      <c r="N81" s="8">
        <f>IF(OR(B81="",C81=""),"",IFERROR(C81*IFERROR(INDEX(Ingredients!$K$5:$K$304,MATCH(B81,Ingredients!$A$5:$A$304,0)),""),""))</f>
        <v>0</v>
      </c>
      <c r="O81" s="8">
        <f>IF(OR(B81="",C81=""),"",IFERROR(C81*IFERROR(INDEX(Ingredients!$L$5:$L$304,MATCH(B81,Ingredients!$A$5:$A$304,0)),""),""))</f>
        <v>0</v>
      </c>
      <c r="P81" s="8">
        <f>IF(OR(H81="",A81=""),"",IFERROR(H81/SUMIFS('Recipe Ingredients'!$H$5:$H$1204,'Recipe Ingredients'!$A$5:$A$1204,A81),""))</f>
        <v>0</v>
      </c>
      <c r="Q81" s="8">
        <f>IF(H81="","",COUNTIFS($H$5:$H$1204,"&gt;"&amp;H81)+1)</f>
        <v>0</v>
      </c>
      <c r="R81" s="8">
        <f>IF(B81="","",SUMIFS(Pantry!$C$5:$C$304,Pantry!$A$5:$A$304,B81))</f>
        <v>0</v>
      </c>
      <c r="S81" s="8">
        <f>IF(OR(B81="",C81=""),"",MAX(0,C81-R81))</f>
        <v>0</v>
      </c>
      <c r="T81" s="26"/>
      <c r="U81" s="8">
        <f>IF(OR(T81="",T81=0,G81=""),"",T81*G81)</f>
        <v>0</v>
      </c>
      <c r="V81" s="8">
        <f>IF(OR(S81="",T81="",T81=0),"",CEILING(S81/T81,1))</f>
        <v>0</v>
      </c>
      <c r="W81" s="27"/>
      <c r="X81" s="29"/>
      <c r="Y81" s="8">
        <f>IF(OR(C81="",X81=""),"",C81*(1+X81))</f>
        <v>0</v>
      </c>
      <c r="Z81" s="8">
        <f>IF(B81="","",IFERROR(INDEX(Ingredients!$O$5:$O$304,MATCH(B81,Ingredients!$A$5:$A$304,0)),""))</f>
        <v>0</v>
      </c>
      <c r="AA81" s="8">
        <f>IF(B81="","",IF(R81&gt;=C81,"In pantry","To buy"))</f>
        <v>0</v>
      </c>
      <c r="AB81" s="8">
        <f>IF(A81="","",COUNTIFS($A$5:A81,A81))</f>
        <v>0</v>
      </c>
      <c r="AC81" s="8">
        <f>IF(B81="","",IF(COUNTIFS('Dietary Filters'!$C$5:$C$104,B81)&gt;0,"Check","OK"))</f>
        <v>0</v>
      </c>
      <c r="AD81" s="25"/>
    </row>
    <row r="82" spans="1:30">
      <c r="A82" s="7"/>
      <c r="B82" s="7"/>
      <c r="C82" s="26"/>
      <c r="D82" s="27"/>
      <c r="E82" s="8">
        <f>IF(B82="","",IFERROR(INDEX(Ingredients!$B$5:$B$304,MATCH(B82,Ingredients!$A$5:$A$304,0)),""))</f>
        <v>0</v>
      </c>
      <c r="F82" s="8">
        <f>IF(B82="","",IFERROR(INDEX(Ingredients!$E$5:$E$304,MATCH(B82,Ingredients!$A$5:$A$304,0)),""))</f>
        <v>0</v>
      </c>
      <c r="G82" s="8">
        <f>IF(B82="","",IFERROR(INDEX(Ingredients!$D$5:$D$304,MATCH(B82,Ingredients!$A$5:$A$304,0)),""))</f>
        <v>0</v>
      </c>
      <c r="H82" s="8">
        <f>IF(OR(B82="",C82=""),"",IFERROR(C82*G82,""))</f>
        <v>0</v>
      </c>
      <c r="I82" s="8">
        <f>IF(A82="","",IFERROR(INDEX(Recipes!$D$5:$D$204,MATCH(A82,Recipes!$A$5:$A$204,0)),""))</f>
        <v>0</v>
      </c>
      <c r="J82" s="8">
        <f>IF(OR(H82="",I82="",I82=0),"",IFERROR(H82/I82,""))</f>
        <v>0</v>
      </c>
      <c r="K82" s="8">
        <f>IF(OR(B82="",C82=""),"",IFERROR(C82*IFERROR(INDEX(Ingredients!$H$5:$H$304,MATCH(B82,Ingredients!$A$5:$A$304,0)),""),""))</f>
        <v>0</v>
      </c>
      <c r="L82" s="8">
        <f>IF(OR(B82="",C82=""),"",IFERROR(C82*IFERROR(INDEX(Ingredients!$I$5:$I$304,MATCH(B82,Ingredients!$A$5:$A$304,0)),""),""))</f>
        <v>0</v>
      </c>
      <c r="M82" s="8">
        <f>IF(OR(B82="",C82=""),"",IFERROR(C82*IFERROR(INDEX(Ingredients!$J$5:$J$304,MATCH(B82,Ingredients!$A$5:$A$304,0)),""),""))</f>
        <v>0</v>
      </c>
      <c r="N82" s="8">
        <f>IF(OR(B82="",C82=""),"",IFERROR(C82*IFERROR(INDEX(Ingredients!$K$5:$K$304,MATCH(B82,Ingredients!$A$5:$A$304,0)),""),""))</f>
        <v>0</v>
      </c>
      <c r="O82" s="8">
        <f>IF(OR(B82="",C82=""),"",IFERROR(C82*IFERROR(INDEX(Ingredients!$L$5:$L$304,MATCH(B82,Ingredients!$A$5:$A$304,0)),""),""))</f>
        <v>0</v>
      </c>
      <c r="P82" s="8">
        <f>IF(OR(H82="",A82=""),"",IFERROR(H82/SUMIFS('Recipe Ingredients'!$H$5:$H$1204,'Recipe Ingredients'!$A$5:$A$1204,A82),""))</f>
        <v>0</v>
      </c>
      <c r="Q82" s="8">
        <f>IF(H82="","",COUNTIFS($H$5:$H$1204,"&gt;"&amp;H82)+1)</f>
        <v>0</v>
      </c>
      <c r="R82" s="8">
        <f>IF(B82="","",SUMIFS(Pantry!$C$5:$C$304,Pantry!$A$5:$A$304,B82))</f>
        <v>0</v>
      </c>
      <c r="S82" s="8">
        <f>IF(OR(B82="",C82=""),"",MAX(0,C82-R82))</f>
        <v>0</v>
      </c>
      <c r="T82" s="26"/>
      <c r="U82" s="8">
        <f>IF(OR(T82="",T82=0,G82=""),"",T82*G82)</f>
        <v>0</v>
      </c>
      <c r="V82" s="8">
        <f>IF(OR(S82="",T82="",T82=0),"",CEILING(S82/T82,1))</f>
        <v>0</v>
      </c>
      <c r="W82" s="27"/>
      <c r="X82" s="29"/>
      <c r="Y82" s="8">
        <f>IF(OR(C82="",X82=""),"",C82*(1+X82))</f>
        <v>0</v>
      </c>
      <c r="Z82" s="8">
        <f>IF(B82="","",IFERROR(INDEX(Ingredients!$O$5:$O$304,MATCH(B82,Ingredients!$A$5:$A$304,0)),""))</f>
        <v>0</v>
      </c>
      <c r="AA82" s="8">
        <f>IF(B82="","",IF(R82&gt;=C82,"In pantry","To buy"))</f>
        <v>0</v>
      </c>
      <c r="AB82" s="8">
        <f>IF(A82="","",COUNTIFS($A$5:A82,A82))</f>
        <v>0</v>
      </c>
      <c r="AC82" s="8">
        <f>IF(B82="","",IF(COUNTIFS('Dietary Filters'!$C$5:$C$104,B82)&gt;0,"Check","OK"))</f>
        <v>0</v>
      </c>
      <c r="AD82" s="25"/>
    </row>
    <row r="83" spans="1:30">
      <c r="A83" s="7"/>
      <c r="B83" s="7"/>
      <c r="C83" s="26"/>
      <c r="D83" s="27"/>
      <c r="E83" s="8">
        <f>IF(B83="","",IFERROR(INDEX(Ingredients!$B$5:$B$304,MATCH(B83,Ingredients!$A$5:$A$304,0)),""))</f>
        <v>0</v>
      </c>
      <c r="F83" s="8">
        <f>IF(B83="","",IFERROR(INDEX(Ingredients!$E$5:$E$304,MATCH(B83,Ingredients!$A$5:$A$304,0)),""))</f>
        <v>0</v>
      </c>
      <c r="G83" s="8">
        <f>IF(B83="","",IFERROR(INDEX(Ingredients!$D$5:$D$304,MATCH(B83,Ingredients!$A$5:$A$304,0)),""))</f>
        <v>0</v>
      </c>
      <c r="H83" s="8">
        <f>IF(OR(B83="",C83=""),"",IFERROR(C83*G83,""))</f>
        <v>0</v>
      </c>
      <c r="I83" s="8">
        <f>IF(A83="","",IFERROR(INDEX(Recipes!$D$5:$D$204,MATCH(A83,Recipes!$A$5:$A$204,0)),""))</f>
        <v>0</v>
      </c>
      <c r="J83" s="8">
        <f>IF(OR(H83="",I83="",I83=0),"",IFERROR(H83/I83,""))</f>
        <v>0</v>
      </c>
      <c r="K83" s="8">
        <f>IF(OR(B83="",C83=""),"",IFERROR(C83*IFERROR(INDEX(Ingredients!$H$5:$H$304,MATCH(B83,Ingredients!$A$5:$A$304,0)),""),""))</f>
        <v>0</v>
      </c>
      <c r="L83" s="8">
        <f>IF(OR(B83="",C83=""),"",IFERROR(C83*IFERROR(INDEX(Ingredients!$I$5:$I$304,MATCH(B83,Ingredients!$A$5:$A$304,0)),""),""))</f>
        <v>0</v>
      </c>
      <c r="M83" s="8">
        <f>IF(OR(B83="",C83=""),"",IFERROR(C83*IFERROR(INDEX(Ingredients!$J$5:$J$304,MATCH(B83,Ingredients!$A$5:$A$304,0)),""),""))</f>
        <v>0</v>
      </c>
      <c r="N83" s="8">
        <f>IF(OR(B83="",C83=""),"",IFERROR(C83*IFERROR(INDEX(Ingredients!$K$5:$K$304,MATCH(B83,Ingredients!$A$5:$A$304,0)),""),""))</f>
        <v>0</v>
      </c>
      <c r="O83" s="8">
        <f>IF(OR(B83="",C83=""),"",IFERROR(C83*IFERROR(INDEX(Ingredients!$L$5:$L$304,MATCH(B83,Ingredients!$A$5:$A$304,0)),""),""))</f>
        <v>0</v>
      </c>
      <c r="P83" s="8">
        <f>IF(OR(H83="",A83=""),"",IFERROR(H83/SUMIFS('Recipe Ingredients'!$H$5:$H$1204,'Recipe Ingredients'!$A$5:$A$1204,A83),""))</f>
        <v>0</v>
      </c>
      <c r="Q83" s="8">
        <f>IF(H83="","",COUNTIFS($H$5:$H$1204,"&gt;"&amp;H83)+1)</f>
        <v>0</v>
      </c>
      <c r="R83" s="8">
        <f>IF(B83="","",SUMIFS(Pantry!$C$5:$C$304,Pantry!$A$5:$A$304,B83))</f>
        <v>0</v>
      </c>
      <c r="S83" s="8">
        <f>IF(OR(B83="",C83=""),"",MAX(0,C83-R83))</f>
        <v>0</v>
      </c>
      <c r="T83" s="26"/>
      <c r="U83" s="8">
        <f>IF(OR(T83="",T83=0,G83=""),"",T83*G83)</f>
        <v>0</v>
      </c>
      <c r="V83" s="8">
        <f>IF(OR(S83="",T83="",T83=0),"",CEILING(S83/T83,1))</f>
        <v>0</v>
      </c>
      <c r="W83" s="27"/>
      <c r="X83" s="29"/>
      <c r="Y83" s="8">
        <f>IF(OR(C83="",X83=""),"",C83*(1+X83))</f>
        <v>0</v>
      </c>
      <c r="Z83" s="8">
        <f>IF(B83="","",IFERROR(INDEX(Ingredients!$O$5:$O$304,MATCH(B83,Ingredients!$A$5:$A$304,0)),""))</f>
        <v>0</v>
      </c>
      <c r="AA83" s="8">
        <f>IF(B83="","",IF(R83&gt;=C83,"In pantry","To buy"))</f>
        <v>0</v>
      </c>
      <c r="AB83" s="8">
        <f>IF(A83="","",COUNTIFS($A$5:A83,A83))</f>
        <v>0</v>
      </c>
      <c r="AC83" s="8">
        <f>IF(B83="","",IF(COUNTIFS('Dietary Filters'!$C$5:$C$104,B83)&gt;0,"Check","OK"))</f>
        <v>0</v>
      </c>
      <c r="AD83" s="25"/>
    </row>
    <row r="84" spans="1:30">
      <c r="A84" s="7"/>
      <c r="B84" s="7"/>
      <c r="C84" s="26"/>
      <c r="D84" s="27"/>
      <c r="E84" s="8">
        <f>IF(B84="","",IFERROR(INDEX(Ingredients!$B$5:$B$304,MATCH(B84,Ingredients!$A$5:$A$304,0)),""))</f>
        <v>0</v>
      </c>
      <c r="F84" s="8">
        <f>IF(B84="","",IFERROR(INDEX(Ingredients!$E$5:$E$304,MATCH(B84,Ingredients!$A$5:$A$304,0)),""))</f>
        <v>0</v>
      </c>
      <c r="G84" s="8">
        <f>IF(B84="","",IFERROR(INDEX(Ingredients!$D$5:$D$304,MATCH(B84,Ingredients!$A$5:$A$304,0)),""))</f>
        <v>0</v>
      </c>
      <c r="H84" s="8">
        <f>IF(OR(B84="",C84=""),"",IFERROR(C84*G84,""))</f>
        <v>0</v>
      </c>
      <c r="I84" s="8">
        <f>IF(A84="","",IFERROR(INDEX(Recipes!$D$5:$D$204,MATCH(A84,Recipes!$A$5:$A$204,0)),""))</f>
        <v>0</v>
      </c>
      <c r="J84" s="8">
        <f>IF(OR(H84="",I84="",I84=0),"",IFERROR(H84/I84,""))</f>
        <v>0</v>
      </c>
      <c r="K84" s="8">
        <f>IF(OR(B84="",C84=""),"",IFERROR(C84*IFERROR(INDEX(Ingredients!$H$5:$H$304,MATCH(B84,Ingredients!$A$5:$A$304,0)),""),""))</f>
        <v>0</v>
      </c>
      <c r="L84" s="8">
        <f>IF(OR(B84="",C84=""),"",IFERROR(C84*IFERROR(INDEX(Ingredients!$I$5:$I$304,MATCH(B84,Ingredients!$A$5:$A$304,0)),""),""))</f>
        <v>0</v>
      </c>
      <c r="M84" s="8">
        <f>IF(OR(B84="",C84=""),"",IFERROR(C84*IFERROR(INDEX(Ingredients!$J$5:$J$304,MATCH(B84,Ingredients!$A$5:$A$304,0)),""),""))</f>
        <v>0</v>
      </c>
      <c r="N84" s="8">
        <f>IF(OR(B84="",C84=""),"",IFERROR(C84*IFERROR(INDEX(Ingredients!$K$5:$K$304,MATCH(B84,Ingredients!$A$5:$A$304,0)),""),""))</f>
        <v>0</v>
      </c>
      <c r="O84" s="8">
        <f>IF(OR(B84="",C84=""),"",IFERROR(C84*IFERROR(INDEX(Ingredients!$L$5:$L$304,MATCH(B84,Ingredients!$A$5:$A$304,0)),""),""))</f>
        <v>0</v>
      </c>
      <c r="P84" s="8">
        <f>IF(OR(H84="",A84=""),"",IFERROR(H84/SUMIFS('Recipe Ingredients'!$H$5:$H$1204,'Recipe Ingredients'!$A$5:$A$1204,A84),""))</f>
        <v>0</v>
      </c>
      <c r="Q84" s="8">
        <f>IF(H84="","",COUNTIFS($H$5:$H$1204,"&gt;"&amp;H84)+1)</f>
        <v>0</v>
      </c>
      <c r="R84" s="8">
        <f>IF(B84="","",SUMIFS(Pantry!$C$5:$C$304,Pantry!$A$5:$A$304,B84))</f>
        <v>0</v>
      </c>
      <c r="S84" s="8">
        <f>IF(OR(B84="",C84=""),"",MAX(0,C84-R84))</f>
        <v>0</v>
      </c>
      <c r="T84" s="26"/>
      <c r="U84" s="8">
        <f>IF(OR(T84="",T84=0,G84=""),"",T84*G84)</f>
        <v>0</v>
      </c>
      <c r="V84" s="8">
        <f>IF(OR(S84="",T84="",T84=0),"",CEILING(S84/T84,1))</f>
        <v>0</v>
      </c>
      <c r="W84" s="27"/>
      <c r="X84" s="29"/>
      <c r="Y84" s="8">
        <f>IF(OR(C84="",X84=""),"",C84*(1+X84))</f>
        <v>0</v>
      </c>
      <c r="Z84" s="8">
        <f>IF(B84="","",IFERROR(INDEX(Ingredients!$O$5:$O$304,MATCH(B84,Ingredients!$A$5:$A$304,0)),""))</f>
        <v>0</v>
      </c>
      <c r="AA84" s="8">
        <f>IF(B84="","",IF(R84&gt;=C84,"In pantry","To buy"))</f>
        <v>0</v>
      </c>
      <c r="AB84" s="8">
        <f>IF(A84="","",COUNTIFS($A$5:A84,A84))</f>
        <v>0</v>
      </c>
      <c r="AC84" s="8">
        <f>IF(B84="","",IF(COUNTIFS('Dietary Filters'!$C$5:$C$104,B84)&gt;0,"Check","OK"))</f>
        <v>0</v>
      </c>
      <c r="AD84" s="25"/>
    </row>
    <row r="85" spans="1:30">
      <c r="A85" s="7"/>
      <c r="B85" s="7"/>
      <c r="C85" s="26"/>
      <c r="D85" s="27"/>
      <c r="E85" s="8">
        <f>IF(B85="","",IFERROR(INDEX(Ingredients!$B$5:$B$304,MATCH(B85,Ingredients!$A$5:$A$304,0)),""))</f>
        <v>0</v>
      </c>
      <c r="F85" s="8">
        <f>IF(B85="","",IFERROR(INDEX(Ingredients!$E$5:$E$304,MATCH(B85,Ingredients!$A$5:$A$304,0)),""))</f>
        <v>0</v>
      </c>
      <c r="G85" s="8">
        <f>IF(B85="","",IFERROR(INDEX(Ingredients!$D$5:$D$304,MATCH(B85,Ingredients!$A$5:$A$304,0)),""))</f>
        <v>0</v>
      </c>
      <c r="H85" s="8">
        <f>IF(OR(B85="",C85=""),"",IFERROR(C85*G85,""))</f>
        <v>0</v>
      </c>
      <c r="I85" s="8">
        <f>IF(A85="","",IFERROR(INDEX(Recipes!$D$5:$D$204,MATCH(A85,Recipes!$A$5:$A$204,0)),""))</f>
        <v>0</v>
      </c>
      <c r="J85" s="8">
        <f>IF(OR(H85="",I85="",I85=0),"",IFERROR(H85/I85,""))</f>
        <v>0</v>
      </c>
      <c r="K85" s="8">
        <f>IF(OR(B85="",C85=""),"",IFERROR(C85*IFERROR(INDEX(Ingredients!$H$5:$H$304,MATCH(B85,Ingredients!$A$5:$A$304,0)),""),""))</f>
        <v>0</v>
      </c>
      <c r="L85" s="8">
        <f>IF(OR(B85="",C85=""),"",IFERROR(C85*IFERROR(INDEX(Ingredients!$I$5:$I$304,MATCH(B85,Ingredients!$A$5:$A$304,0)),""),""))</f>
        <v>0</v>
      </c>
      <c r="M85" s="8">
        <f>IF(OR(B85="",C85=""),"",IFERROR(C85*IFERROR(INDEX(Ingredients!$J$5:$J$304,MATCH(B85,Ingredients!$A$5:$A$304,0)),""),""))</f>
        <v>0</v>
      </c>
      <c r="N85" s="8">
        <f>IF(OR(B85="",C85=""),"",IFERROR(C85*IFERROR(INDEX(Ingredients!$K$5:$K$304,MATCH(B85,Ingredients!$A$5:$A$304,0)),""),""))</f>
        <v>0</v>
      </c>
      <c r="O85" s="8">
        <f>IF(OR(B85="",C85=""),"",IFERROR(C85*IFERROR(INDEX(Ingredients!$L$5:$L$304,MATCH(B85,Ingredients!$A$5:$A$304,0)),""),""))</f>
        <v>0</v>
      </c>
      <c r="P85" s="8">
        <f>IF(OR(H85="",A85=""),"",IFERROR(H85/SUMIFS('Recipe Ingredients'!$H$5:$H$1204,'Recipe Ingredients'!$A$5:$A$1204,A85),""))</f>
        <v>0</v>
      </c>
      <c r="Q85" s="8">
        <f>IF(H85="","",COUNTIFS($H$5:$H$1204,"&gt;"&amp;H85)+1)</f>
        <v>0</v>
      </c>
      <c r="R85" s="8">
        <f>IF(B85="","",SUMIFS(Pantry!$C$5:$C$304,Pantry!$A$5:$A$304,B85))</f>
        <v>0</v>
      </c>
      <c r="S85" s="8">
        <f>IF(OR(B85="",C85=""),"",MAX(0,C85-R85))</f>
        <v>0</v>
      </c>
      <c r="T85" s="26"/>
      <c r="U85" s="8">
        <f>IF(OR(T85="",T85=0,G85=""),"",T85*G85)</f>
        <v>0</v>
      </c>
      <c r="V85" s="8">
        <f>IF(OR(S85="",T85="",T85=0),"",CEILING(S85/T85,1))</f>
        <v>0</v>
      </c>
      <c r="W85" s="27"/>
      <c r="X85" s="29"/>
      <c r="Y85" s="8">
        <f>IF(OR(C85="",X85=""),"",C85*(1+X85))</f>
        <v>0</v>
      </c>
      <c r="Z85" s="8">
        <f>IF(B85="","",IFERROR(INDEX(Ingredients!$O$5:$O$304,MATCH(B85,Ingredients!$A$5:$A$304,0)),""))</f>
        <v>0</v>
      </c>
      <c r="AA85" s="8">
        <f>IF(B85="","",IF(R85&gt;=C85,"In pantry","To buy"))</f>
        <v>0</v>
      </c>
      <c r="AB85" s="8">
        <f>IF(A85="","",COUNTIFS($A$5:A85,A85))</f>
        <v>0</v>
      </c>
      <c r="AC85" s="8">
        <f>IF(B85="","",IF(COUNTIFS('Dietary Filters'!$C$5:$C$104,B85)&gt;0,"Check","OK"))</f>
        <v>0</v>
      </c>
      <c r="AD85" s="25"/>
    </row>
    <row r="86" spans="1:30">
      <c r="A86" s="7"/>
      <c r="B86" s="7"/>
      <c r="C86" s="26"/>
      <c r="D86" s="27"/>
      <c r="E86" s="8">
        <f>IF(B86="","",IFERROR(INDEX(Ingredients!$B$5:$B$304,MATCH(B86,Ingredients!$A$5:$A$304,0)),""))</f>
        <v>0</v>
      </c>
      <c r="F86" s="8">
        <f>IF(B86="","",IFERROR(INDEX(Ingredients!$E$5:$E$304,MATCH(B86,Ingredients!$A$5:$A$304,0)),""))</f>
        <v>0</v>
      </c>
      <c r="G86" s="8">
        <f>IF(B86="","",IFERROR(INDEX(Ingredients!$D$5:$D$304,MATCH(B86,Ingredients!$A$5:$A$304,0)),""))</f>
        <v>0</v>
      </c>
      <c r="H86" s="8">
        <f>IF(OR(B86="",C86=""),"",IFERROR(C86*G86,""))</f>
        <v>0</v>
      </c>
      <c r="I86" s="8">
        <f>IF(A86="","",IFERROR(INDEX(Recipes!$D$5:$D$204,MATCH(A86,Recipes!$A$5:$A$204,0)),""))</f>
        <v>0</v>
      </c>
      <c r="J86" s="8">
        <f>IF(OR(H86="",I86="",I86=0),"",IFERROR(H86/I86,""))</f>
        <v>0</v>
      </c>
      <c r="K86" s="8">
        <f>IF(OR(B86="",C86=""),"",IFERROR(C86*IFERROR(INDEX(Ingredients!$H$5:$H$304,MATCH(B86,Ingredients!$A$5:$A$304,0)),""),""))</f>
        <v>0</v>
      </c>
      <c r="L86" s="8">
        <f>IF(OR(B86="",C86=""),"",IFERROR(C86*IFERROR(INDEX(Ingredients!$I$5:$I$304,MATCH(B86,Ingredients!$A$5:$A$304,0)),""),""))</f>
        <v>0</v>
      </c>
      <c r="M86" s="8">
        <f>IF(OR(B86="",C86=""),"",IFERROR(C86*IFERROR(INDEX(Ingredients!$J$5:$J$304,MATCH(B86,Ingredients!$A$5:$A$304,0)),""),""))</f>
        <v>0</v>
      </c>
      <c r="N86" s="8">
        <f>IF(OR(B86="",C86=""),"",IFERROR(C86*IFERROR(INDEX(Ingredients!$K$5:$K$304,MATCH(B86,Ingredients!$A$5:$A$304,0)),""),""))</f>
        <v>0</v>
      </c>
      <c r="O86" s="8">
        <f>IF(OR(B86="",C86=""),"",IFERROR(C86*IFERROR(INDEX(Ingredients!$L$5:$L$304,MATCH(B86,Ingredients!$A$5:$A$304,0)),""),""))</f>
        <v>0</v>
      </c>
      <c r="P86" s="8">
        <f>IF(OR(H86="",A86=""),"",IFERROR(H86/SUMIFS('Recipe Ingredients'!$H$5:$H$1204,'Recipe Ingredients'!$A$5:$A$1204,A86),""))</f>
        <v>0</v>
      </c>
      <c r="Q86" s="8">
        <f>IF(H86="","",COUNTIFS($H$5:$H$1204,"&gt;"&amp;H86)+1)</f>
        <v>0</v>
      </c>
      <c r="R86" s="8">
        <f>IF(B86="","",SUMIFS(Pantry!$C$5:$C$304,Pantry!$A$5:$A$304,B86))</f>
        <v>0</v>
      </c>
      <c r="S86" s="8">
        <f>IF(OR(B86="",C86=""),"",MAX(0,C86-R86))</f>
        <v>0</v>
      </c>
      <c r="T86" s="26"/>
      <c r="U86" s="8">
        <f>IF(OR(T86="",T86=0,G86=""),"",T86*G86)</f>
        <v>0</v>
      </c>
      <c r="V86" s="8">
        <f>IF(OR(S86="",T86="",T86=0),"",CEILING(S86/T86,1))</f>
        <v>0</v>
      </c>
      <c r="W86" s="27"/>
      <c r="X86" s="29"/>
      <c r="Y86" s="8">
        <f>IF(OR(C86="",X86=""),"",C86*(1+X86))</f>
        <v>0</v>
      </c>
      <c r="Z86" s="8">
        <f>IF(B86="","",IFERROR(INDEX(Ingredients!$O$5:$O$304,MATCH(B86,Ingredients!$A$5:$A$304,0)),""))</f>
        <v>0</v>
      </c>
      <c r="AA86" s="8">
        <f>IF(B86="","",IF(R86&gt;=C86,"In pantry","To buy"))</f>
        <v>0</v>
      </c>
      <c r="AB86" s="8">
        <f>IF(A86="","",COUNTIFS($A$5:A86,A86))</f>
        <v>0</v>
      </c>
      <c r="AC86" s="8">
        <f>IF(B86="","",IF(COUNTIFS('Dietary Filters'!$C$5:$C$104,B86)&gt;0,"Check","OK"))</f>
        <v>0</v>
      </c>
      <c r="AD86" s="25"/>
    </row>
    <row r="87" spans="1:30">
      <c r="A87" s="7"/>
      <c r="B87" s="7"/>
      <c r="C87" s="26"/>
      <c r="D87" s="27"/>
      <c r="E87" s="8">
        <f>IF(B87="","",IFERROR(INDEX(Ingredients!$B$5:$B$304,MATCH(B87,Ingredients!$A$5:$A$304,0)),""))</f>
        <v>0</v>
      </c>
      <c r="F87" s="8">
        <f>IF(B87="","",IFERROR(INDEX(Ingredients!$E$5:$E$304,MATCH(B87,Ingredients!$A$5:$A$304,0)),""))</f>
        <v>0</v>
      </c>
      <c r="G87" s="8">
        <f>IF(B87="","",IFERROR(INDEX(Ingredients!$D$5:$D$304,MATCH(B87,Ingredients!$A$5:$A$304,0)),""))</f>
        <v>0</v>
      </c>
      <c r="H87" s="8">
        <f>IF(OR(B87="",C87=""),"",IFERROR(C87*G87,""))</f>
        <v>0</v>
      </c>
      <c r="I87" s="8">
        <f>IF(A87="","",IFERROR(INDEX(Recipes!$D$5:$D$204,MATCH(A87,Recipes!$A$5:$A$204,0)),""))</f>
        <v>0</v>
      </c>
      <c r="J87" s="8">
        <f>IF(OR(H87="",I87="",I87=0),"",IFERROR(H87/I87,""))</f>
        <v>0</v>
      </c>
      <c r="K87" s="8">
        <f>IF(OR(B87="",C87=""),"",IFERROR(C87*IFERROR(INDEX(Ingredients!$H$5:$H$304,MATCH(B87,Ingredients!$A$5:$A$304,0)),""),""))</f>
        <v>0</v>
      </c>
      <c r="L87" s="8">
        <f>IF(OR(B87="",C87=""),"",IFERROR(C87*IFERROR(INDEX(Ingredients!$I$5:$I$304,MATCH(B87,Ingredients!$A$5:$A$304,0)),""),""))</f>
        <v>0</v>
      </c>
      <c r="M87" s="8">
        <f>IF(OR(B87="",C87=""),"",IFERROR(C87*IFERROR(INDEX(Ingredients!$J$5:$J$304,MATCH(B87,Ingredients!$A$5:$A$304,0)),""),""))</f>
        <v>0</v>
      </c>
      <c r="N87" s="8">
        <f>IF(OR(B87="",C87=""),"",IFERROR(C87*IFERROR(INDEX(Ingredients!$K$5:$K$304,MATCH(B87,Ingredients!$A$5:$A$304,0)),""),""))</f>
        <v>0</v>
      </c>
      <c r="O87" s="8">
        <f>IF(OR(B87="",C87=""),"",IFERROR(C87*IFERROR(INDEX(Ingredients!$L$5:$L$304,MATCH(B87,Ingredients!$A$5:$A$304,0)),""),""))</f>
        <v>0</v>
      </c>
      <c r="P87" s="8">
        <f>IF(OR(H87="",A87=""),"",IFERROR(H87/SUMIFS('Recipe Ingredients'!$H$5:$H$1204,'Recipe Ingredients'!$A$5:$A$1204,A87),""))</f>
        <v>0</v>
      </c>
      <c r="Q87" s="8">
        <f>IF(H87="","",COUNTIFS($H$5:$H$1204,"&gt;"&amp;H87)+1)</f>
        <v>0</v>
      </c>
      <c r="R87" s="8">
        <f>IF(B87="","",SUMIFS(Pantry!$C$5:$C$304,Pantry!$A$5:$A$304,B87))</f>
        <v>0</v>
      </c>
      <c r="S87" s="8">
        <f>IF(OR(B87="",C87=""),"",MAX(0,C87-R87))</f>
        <v>0</v>
      </c>
      <c r="T87" s="26"/>
      <c r="U87" s="8">
        <f>IF(OR(T87="",T87=0,G87=""),"",T87*G87)</f>
        <v>0</v>
      </c>
      <c r="V87" s="8">
        <f>IF(OR(S87="",T87="",T87=0),"",CEILING(S87/T87,1))</f>
        <v>0</v>
      </c>
      <c r="W87" s="27"/>
      <c r="X87" s="29"/>
      <c r="Y87" s="8">
        <f>IF(OR(C87="",X87=""),"",C87*(1+X87))</f>
        <v>0</v>
      </c>
      <c r="Z87" s="8">
        <f>IF(B87="","",IFERROR(INDEX(Ingredients!$O$5:$O$304,MATCH(B87,Ingredients!$A$5:$A$304,0)),""))</f>
        <v>0</v>
      </c>
      <c r="AA87" s="8">
        <f>IF(B87="","",IF(R87&gt;=C87,"In pantry","To buy"))</f>
        <v>0</v>
      </c>
      <c r="AB87" s="8">
        <f>IF(A87="","",COUNTIFS($A$5:A87,A87))</f>
        <v>0</v>
      </c>
      <c r="AC87" s="8">
        <f>IF(B87="","",IF(COUNTIFS('Dietary Filters'!$C$5:$C$104,B87)&gt;0,"Check","OK"))</f>
        <v>0</v>
      </c>
      <c r="AD87" s="25"/>
    </row>
    <row r="88" spans="1:30">
      <c r="A88" s="7"/>
      <c r="B88" s="7"/>
      <c r="C88" s="26"/>
      <c r="D88" s="27"/>
      <c r="E88" s="8">
        <f>IF(B88="","",IFERROR(INDEX(Ingredients!$B$5:$B$304,MATCH(B88,Ingredients!$A$5:$A$304,0)),""))</f>
        <v>0</v>
      </c>
      <c r="F88" s="8">
        <f>IF(B88="","",IFERROR(INDEX(Ingredients!$E$5:$E$304,MATCH(B88,Ingredients!$A$5:$A$304,0)),""))</f>
        <v>0</v>
      </c>
      <c r="G88" s="8">
        <f>IF(B88="","",IFERROR(INDEX(Ingredients!$D$5:$D$304,MATCH(B88,Ingredients!$A$5:$A$304,0)),""))</f>
        <v>0</v>
      </c>
      <c r="H88" s="8">
        <f>IF(OR(B88="",C88=""),"",IFERROR(C88*G88,""))</f>
        <v>0</v>
      </c>
      <c r="I88" s="8">
        <f>IF(A88="","",IFERROR(INDEX(Recipes!$D$5:$D$204,MATCH(A88,Recipes!$A$5:$A$204,0)),""))</f>
        <v>0</v>
      </c>
      <c r="J88" s="8">
        <f>IF(OR(H88="",I88="",I88=0),"",IFERROR(H88/I88,""))</f>
        <v>0</v>
      </c>
      <c r="K88" s="8">
        <f>IF(OR(B88="",C88=""),"",IFERROR(C88*IFERROR(INDEX(Ingredients!$H$5:$H$304,MATCH(B88,Ingredients!$A$5:$A$304,0)),""),""))</f>
        <v>0</v>
      </c>
      <c r="L88" s="8">
        <f>IF(OR(B88="",C88=""),"",IFERROR(C88*IFERROR(INDEX(Ingredients!$I$5:$I$304,MATCH(B88,Ingredients!$A$5:$A$304,0)),""),""))</f>
        <v>0</v>
      </c>
      <c r="M88" s="8">
        <f>IF(OR(B88="",C88=""),"",IFERROR(C88*IFERROR(INDEX(Ingredients!$J$5:$J$304,MATCH(B88,Ingredients!$A$5:$A$304,0)),""),""))</f>
        <v>0</v>
      </c>
      <c r="N88" s="8">
        <f>IF(OR(B88="",C88=""),"",IFERROR(C88*IFERROR(INDEX(Ingredients!$K$5:$K$304,MATCH(B88,Ingredients!$A$5:$A$304,0)),""),""))</f>
        <v>0</v>
      </c>
      <c r="O88" s="8">
        <f>IF(OR(B88="",C88=""),"",IFERROR(C88*IFERROR(INDEX(Ingredients!$L$5:$L$304,MATCH(B88,Ingredients!$A$5:$A$304,0)),""),""))</f>
        <v>0</v>
      </c>
      <c r="P88" s="8">
        <f>IF(OR(H88="",A88=""),"",IFERROR(H88/SUMIFS('Recipe Ingredients'!$H$5:$H$1204,'Recipe Ingredients'!$A$5:$A$1204,A88),""))</f>
        <v>0</v>
      </c>
      <c r="Q88" s="8">
        <f>IF(H88="","",COUNTIFS($H$5:$H$1204,"&gt;"&amp;H88)+1)</f>
        <v>0</v>
      </c>
      <c r="R88" s="8">
        <f>IF(B88="","",SUMIFS(Pantry!$C$5:$C$304,Pantry!$A$5:$A$304,B88))</f>
        <v>0</v>
      </c>
      <c r="S88" s="8">
        <f>IF(OR(B88="",C88=""),"",MAX(0,C88-R88))</f>
        <v>0</v>
      </c>
      <c r="T88" s="26"/>
      <c r="U88" s="8">
        <f>IF(OR(T88="",T88=0,G88=""),"",T88*G88)</f>
        <v>0</v>
      </c>
      <c r="V88" s="8">
        <f>IF(OR(S88="",T88="",T88=0),"",CEILING(S88/T88,1))</f>
        <v>0</v>
      </c>
      <c r="W88" s="27"/>
      <c r="X88" s="29"/>
      <c r="Y88" s="8">
        <f>IF(OR(C88="",X88=""),"",C88*(1+X88))</f>
        <v>0</v>
      </c>
      <c r="Z88" s="8">
        <f>IF(B88="","",IFERROR(INDEX(Ingredients!$O$5:$O$304,MATCH(B88,Ingredients!$A$5:$A$304,0)),""))</f>
        <v>0</v>
      </c>
      <c r="AA88" s="8">
        <f>IF(B88="","",IF(R88&gt;=C88,"In pantry","To buy"))</f>
        <v>0</v>
      </c>
      <c r="AB88" s="8">
        <f>IF(A88="","",COUNTIFS($A$5:A88,A88))</f>
        <v>0</v>
      </c>
      <c r="AC88" s="8">
        <f>IF(B88="","",IF(COUNTIFS('Dietary Filters'!$C$5:$C$104,B88)&gt;0,"Check","OK"))</f>
        <v>0</v>
      </c>
      <c r="AD88" s="25"/>
    </row>
    <row r="89" spans="1:30">
      <c r="A89" s="7"/>
      <c r="B89" s="7"/>
      <c r="C89" s="26"/>
      <c r="D89" s="27"/>
      <c r="E89" s="8">
        <f>IF(B89="","",IFERROR(INDEX(Ingredients!$B$5:$B$304,MATCH(B89,Ingredients!$A$5:$A$304,0)),""))</f>
        <v>0</v>
      </c>
      <c r="F89" s="8">
        <f>IF(B89="","",IFERROR(INDEX(Ingredients!$E$5:$E$304,MATCH(B89,Ingredients!$A$5:$A$304,0)),""))</f>
        <v>0</v>
      </c>
      <c r="G89" s="8">
        <f>IF(B89="","",IFERROR(INDEX(Ingredients!$D$5:$D$304,MATCH(B89,Ingredients!$A$5:$A$304,0)),""))</f>
        <v>0</v>
      </c>
      <c r="H89" s="8">
        <f>IF(OR(B89="",C89=""),"",IFERROR(C89*G89,""))</f>
        <v>0</v>
      </c>
      <c r="I89" s="8">
        <f>IF(A89="","",IFERROR(INDEX(Recipes!$D$5:$D$204,MATCH(A89,Recipes!$A$5:$A$204,0)),""))</f>
        <v>0</v>
      </c>
      <c r="J89" s="8">
        <f>IF(OR(H89="",I89="",I89=0),"",IFERROR(H89/I89,""))</f>
        <v>0</v>
      </c>
      <c r="K89" s="8">
        <f>IF(OR(B89="",C89=""),"",IFERROR(C89*IFERROR(INDEX(Ingredients!$H$5:$H$304,MATCH(B89,Ingredients!$A$5:$A$304,0)),""),""))</f>
        <v>0</v>
      </c>
      <c r="L89" s="8">
        <f>IF(OR(B89="",C89=""),"",IFERROR(C89*IFERROR(INDEX(Ingredients!$I$5:$I$304,MATCH(B89,Ingredients!$A$5:$A$304,0)),""),""))</f>
        <v>0</v>
      </c>
      <c r="M89" s="8">
        <f>IF(OR(B89="",C89=""),"",IFERROR(C89*IFERROR(INDEX(Ingredients!$J$5:$J$304,MATCH(B89,Ingredients!$A$5:$A$304,0)),""),""))</f>
        <v>0</v>
      </c>
      <c r="N89" s="8">
        <f>IF(OR(B89="",C89=""),"",IFERROR(C89*IFERROR(INDEX(Ingredients!$K$5:$K$304,MATCH(B89,Ingredients!$A$5:$A$304,0)),""),""))</f>
        <v>0</v>
      </c>
      <c r="O89" s="8">
        <f>IF(OR(B89="",C89=""),"",IFERROR(C89*IFERROR(INDEX(Ingredients!$L$5:$L$304,MATCH(B89,Ingredients!$A$5:$A$304,0)),""),""))</f>
        <v>0</v>
      </c>
      <c r="P89" s="8">
        <f>IF(OR(H89="",A89=""),"",IFERROR(H89/SUMIFS('Recipe Ingredients'!$H$5:$H$1204,'Recipe Ingredients'!$A$5:$A$1204,A89),""))</f>
        <v>0</v>
      </c>
      <c r="Q89" s="8">
        <f>IF(H89="","",COUNTIFS($H$5:$H$1204,"&gt;"&amp;H89)+1)</f>
        <v>0</v>
      </c>
      <c r="R89" s="8">
        <f>IF(B89="","",SUMIFS(Pantry!$C$5:$C$304,Pantry!$A$5:$A$304,B89))</f>
        <v>0</v>
      </c>
      <c r="S89" s="8">
        <f>IF(OR(B89="",C89=""),"",MAX(0,C89-R89))</f>
        <v>0</v>
      </c>
      <c r="T89" s="26"/>
      <c r="U89" s="8">
        <f>IF(OR(T89="",T89=0,G89=""),"",T89*G89)</f>
        <v>0</v>
      </c>
      <c r="V89" s="8">
        <f>IF(OR(S89="",T89="",T89=0),"",CEILING(S89/T89,1))</f>
        <v>0</v>
      </c>
      <c r="W89" s="27"/>
      <c r="X89" s="29"/>
      <c r="Y89" s="8">
        <f>IF(OR(C89="",X89=""),"",C89*(1+X89))</f>
        <v>0</v>
      </c>
      <c r="Z89" s="8">
        <f>IF(B89="","",IFERROR(INDEX(Ingredients!$O$5:$O$304,MATCH(B89,Ingredients!$A$5:$A$304,0)),""))</f>
        <v>0</v>
      </c>
      <c r="AA89" s="8">
        <f>IF(B89="","",IF(R89&gt;=C89,"In pantry","To buy"))</f>
        <v>0</v>
      </c>
      <c r="AB89" s="8">
        <f>IF(A89="","",COUNTIFS($A$5:A89,A89))</f>
        <v>0</v>
      </c>
      <c r="AC89" s="8">
        <f>IF(B89="","",IF(COUNTIFS('Dietary Filters'!$C$5:$C$104,B89)&gt;0,"Check","OK"))</f>
        <v>0</v>
      </c>
      <c r="AD89" s="25"/>
    </row>
    <row r="90" spans="1:30">
      <c r="A90" s="7"/>
      <c r="B90" s="7"/>
      <c r="C90" s="26"/>
      <c r="D90" s="27"/>
      <c r="E90" s="8">
        <f>IF(B90="","",IFERROR(INDEX(Ingredients!$B$5:$B$304,MATCH(B90,Ingredients!$A$5:$A$304,0)),""))</f>
        <v>0</v>
      </c>
      <c r="F90" s="8">
        <f>IF(B90="","",IFERROR(INDEX(Ingredients!$E$5:$E$304,MATCH(B90,Ingredients!$A$5:$A$304,0)),""))</f>
        <v>0</v>
      </c>
      <c r="G90" s="8">
        <f>IF(B90="","",IFERROR(INDEX(Ingredients!$D$5:$D$304,MATCH(B90,Ingredients!$A$5:$A$304,0)),""))</f>
        <v>0</v>
      </c>
      <c r="H90" s="8">
        <f>IF(OR(B90="",C90=""),"",IFERROR(C90*G90,""))</f>
        <v>0</v>
      </c>
      <c r="I90" s="8">
        <f>IF(A90="","",IFERROR(INDEX(Recipes!$D$5:$D$204,MATCH(A90,Recipes!$A$5:$A$204,0)),""))</f>
        <v>0</v>
      </c>
      <c r="J90" s="8">
        <f>IF(OR(H90="",I90="",I90=0),"",IFERROR(H90/I90,""))</f>
        <v>0</v>
      </c>
      <c r="K90" s="8">
        <f>IF(OR(B90="",C90=""),"",IFERROR(C90*IFERROR(INDEX(Ingredients!$H$5:$H$304,MATCH(B90,Ingredients!$A$5:$A$304,0)),""),""))</f>
        <v>0</v>
      </c>
      <c r="L90" s="8">
        <f>IF(OR(B90="",C90=""),"",IFERROR(C90*IFERROR(INDEX(Ingredients!$I$5:$I$304,MATCH(B90,Ingredients!$A$5:$A$304,0)),""),""))</f>
        <v>0</v>
      </c>
      <c r="M90" s="8">
        <f>IF(OR(B90="",C90=""),"",IFERROR(C90*IFERROR(INDEX(Ingredients!$J$5:$J$304,MATCH(B90,Ingredients!$A$5:$A$304,0)),""),""))</f>
        <v>0</v>
      </c>
      <c r="N90" s="8">
        <f>IF(OR(B90="",C90=""),"",IFERROR(C90*IFERROR(INDEX(Ingredients!$K$5:$K$304,MATCH(B90,Ingredients!$A$5:$A$304,0)),""),""))</f>
        <v>0</v>
      </c>
      <c r="O90" s="8">
        <f>IF(OR(B90="",C90=""),"",IFERROR(C90*IFERROR(INDEX(Ingredients!$L$5:$L$304,MATCH(B90,Ingredients!$A$5:$A$304,0)),""),""))</f>
        <v>0</v>
      </c>
      <c r="P90" s="8">
        <f>IF(OR(H90="",A90=""),"",IFERROR(H90/SUMIFS('Recipe Ingredients'!$H$5:$H$1204,'Recipe Ingredients'!$A$5:$A$1204,A90),""))</f>
        <v>0</v>
      </c>
      <c r="Q90" s="8">
        <f>IF(H90="","",COUNTIFS($H$5:$H$1204,"&gt;"&amp;H90)+1)</f>
        <v>0</v>
      </c>
      <c r="R90" s="8">
        <f>IF(B90="","",SUMIFS(Pantry!$C$5:$C$304,Pantry!$A$5:$A$304,B90))</f>
        <v>0</v>
      </c>
      <c r="S90" s="8">
        <f>IF(OR(B90="",C90=""),"",MAX(0,C90-R90))</f>
        <v>0</v>
      </c>
      <c r="T90" s="26"/>
      <c r="U90" s="8">
        <f>IF(OR(T90="",T90=0,G90=""),"",T90*G90)</f>
        <v>0</v>
      </c>
      <c r="V90" s="8">
        <f>IF(OR(S90="",T90="",T90=0),"",CEILING(S90/T90,1))</f>
        <v>0</v>
      </c>
      <c r="W90" s="27"/>
      <c r="X90" s="29"/>
      <c r="Y90" s="8">
        <f>IF(OR(C90="",X90=""),"",C90*(1+X90))</f>
        <v>0</v>
      </c>
      <c r="Z90" s="8">
        <f>IF(B90="","",IFERROR(INDEX(Ingredients!$O$5:$O$304,MATCH(B90,Ingredients!$A$5:$A$304,0)),""))</f>
        <v>0</v>
      </c>
      <c r="AA90" s="8">
        <f>IF(B90="","",IF(R90&gt;=C90,"In pantry","To buy"))</f>
        <v>0</v>
      </c>
      <c r="AB90" s="8">
        <f>IF(A90="","",COUNTIFS($A$5:A90,A90))</f>
        <v>0</v>
      </c>
      <c r="AC90" s="8">
        <f>IF(B90="","",IF(COUNTIFS('Dietary Filters'!$C$5:$C$104,B90)&gt;0,"Check","OK"))</f>
        <v>0</v>
      </c>
      <c r="AD90" s="25"/>
    </row>
    <row r="91" spans="1:30">
      <c r="A91" s="7"/>
      <c r="B91" s="7"/>
      <c r="C91" s="26"/>
      <c r="D91" s="27"/>
      <c r="E91" s="8">
        <f>IF(B91="","",IFERROR(INDEX(Ingredients!$B$5:$B$304,MATCH(B91,Ingredients!$A$5:$A$304,0)),""))</f>
        <v>0</v>
      </c>
      <c r="F91" s="8">
        <f>IF(B91="","",IFERROR(INDEX(Ingredients!$E$5:$E$304,MATCH(B91,Ingredients!$A$5:$A$304,0)),""))</f>
        <v>0</v>
      </c>
      <c r="G91" s="8">
        <f>IF(B91="","",IFERROR(INDEX(Ingredients!$D$5:$D$304,MATCH(B91,Ingredients!$A$5:$A$304,0)),""))</f>
        <v>0</v>
      </c>
      <c r="H91" s="8">
        <f>IF(OR(B91="",C91=""),"",IFERROR(C91*G91,""))</f>
        <v>0</v>
      </c>
      <c r="I91" s="8">
        <f>IF(A91="","",IFERROR(INDEX(Recipes!$D$5:$D$204,MATCH(A91,Recipes!$A$5:$A$204,0)),""))</f>
        <v>0</v>
      </c>
      <c r="J91" s="8">
        <f>IF(OR(H91="",I91="",I91=0),"",IFERROR(H91/I91,""))</f>
        <v>0</v>
      </c>
      <c r="K91" s="8">
        <f>IF(OR(B91="",C91=""),"",IFERROR(C91*IFERROR(INDEX(Ingredients!$H$5:$H$304,MATCH(B91,Ingredients!$A$5:$A$304,0)),""),""))</f>
        <v>0</v>
      </c>
      <c r="L91" s="8">
        <f>IF(OR(B91="",C91=""),"",IFERROR(C91*IFERROR(INDEX(Ingredients!$I$5:$I$304,MATCH(B91,Ingredients!$A$5:$A$304,0)),""),""))</f>
        <v>0</v>
      </c>
      <c r="M91" s="8">
        <f>IF(OR(B91="",C91=""),"",IFERROR(C91*IFERROR(INDEX(Ingredients!$J$5:$J$304,MATCH(B91,Ingredients!$A$5:$A$304,0)),""),""))</f>
        <v>0</v>
      </c>
      <c r="N91" s="8">
        <f>IF(OR(B91="",C91=""),"",IFERROR(C91*IFERROR(INDEX(Ingredients!$K$5:$K$304,MATCH(B91,Ingredients!$A$5:$A$304,0)),""),""))</f>
        <v>0</v>
      </c>
      <c r="O91" s="8">
        <f>IF(OR(B91="",C91=""),"",IFERROR(C91*IFERROR(INDEX(Ingredients!$L$5:$L$304,MATCH(B91,Ingredients!$A$5:$A$304,0)),""),""))</f>
        <v>0</v>
      </c>
      <c r="P91" s="8">
        <f>IF(OR(H91="",A91=""),"",IFERROR(H91/SUMIFS('Recipe Ingredients'!$H$5:$H$1204,'Recipe Ingredients'!$A$5:$A$1204,A91),""))</f>
        <v>0</v>
      </c>
      <c r="Q91" s="8">
        <f>IF(H91="","",COUNTIFS($H$5:$H$1204,"&gt;"&amp;H91)+1)</f>
        <v>0</v>
      </c>
      <c r="R91" s="8">
        <f>IF(B91="","",SUMIFS(Pantry!$C$5:$C$304,Pantry!$A$5:$A$304,B91))</f>
        <v>0</v>
      </c>
      <c r="S91" s="8">
        <f>IF(OR(B91="",C91=""),"",MAX(0,C91-R91))</f>
        <v>0</v>
      </c>
      <c r="T91" s="26"/>
      <c r="U91" s="8">
        <f>IF(OR(T91="",T91=0,G91=""),"",T91*G91)</f>
        <v>0</v>
      </c>
      <c r="V91" s="8">
        <f>IF(OR(S91="",T91="",T91=0),"",CEILING(S91/T91,1))</f>
        <v>0</v>
      </c>
      <c r="W91" s="27"/>
      <c r="X91" s="29"/>
      <c r="Y91" s="8">
        <f>IF(OR(C91="",X91=""),"",C91*(1+X91))</f>
        <v>0</v>
      </c>
      <c r="Z91" s="8">
        <f>IF(B91="","",IFERROR(INDEX(Ingredients!$O$5:$O$304,MATCH(B91,Ingredients!$A$5:$A$304,0)),""))</f>
        <v>0</v>
      </c>
      <c r="AA91" s="8">
        <f>IF(B91="","",IF(R91&gt;=C91,"In pantry","To buy"))</f>
        <v>0</v>
      </c>
      <c r="AB91" s="8">
        <f>IF(A91="","",COUNTIFS($A$5:A91,A91))</f>
        <v>0</v>
      </c>
      <c r="AC91" s="8">
        <f>IF(B91="","",IF(COUNTIFS('Dietary Filters'!$C$5:$C$104,B91)&gt;0,"Check","OK"))</f>
        <v>0</v>
      </c>
      <c r="AD91" s="25"/>
    </row>
    <row r="92" spans="1:30">
      <c r="A92" s="7"/>
      <c r="B92" s="7"/>
      <c r="C92" s="26"/>
      <c r="D92" s="27"/>
      <c r="E92" s="8">
        <f>IF(B92="","",IFERROR(INDEX(Ingredients!$B$5:$B$304,MATCH(B92,Ingredients!$A$5:$A$304,0)),""))</f>
        <v>0</v>
      </c>
      <c r="F92" s="8">
        <f>IF(B92="","",IFERROR(INDEX(Ingredients!$E$5:$E$304,MATCH(B92,Ingredients!$A$5:$A$304,0)),""))</f>
        <v>0</v>
      </c>
      <c r="G92" s="8">
        <f>IF(B92="","",IFERROR(INDEX(Ingredients!$D$5:$D$304,MATCH(B92,Ingredients!$A$5:$A$304,0)),""))</f>
        <v>0</v>
      </c>
      <c r="H92" s="8">
        <f>IF(OR(B92="",C92=""),"",IFERROR(C92*G92,""))</f>
        <v>0</v>
      </c>
      <c r="I92" s="8">
        <f>IF(A92="","",IFERROR(INDEX(Recipes!$D$5:$D$204,MATCH(A92,Recipes!$A$5:$A$204,0)),""))</f>
        <v>0</v>
      </c>
      <c r="J92" s="8">
        <f>IF(OR(H92="",I92="",I92=0),"",IFERROR(H92/I92,""))</f>
        <v>0</v>
      </c>
      <c r="K92" s="8">
        <f>IF(OR(B92="",C92=""),"",IFERROR(C92*IFERROR(INDEX(Ingredients!$H$5:$H$304,MATCH(B92,Ingredients!$A$5:$A$304,0)),""),""))</f>
        <v>0</v>
      </c>
      <c r="L92" s="8">
        <f>IF(OR(B92="",C92=""),"",IFERROR(C92*IFERROR(INDEX(Ingredients!$I$5:$I$304,MATCH(B92,Ingredients!$A$5:$A$304,0)),""),""))</f>
        <v>0</v>
      </c>
      <c r="M92" s="8">
        <f>IF(OR(B92="",C92=""),"",IFERROR(C92*IFERROR(INDEX(Ingredients!$J$5:$J$304,MATCH(B92,Ingredients!$A$5:$A$304,0)),""),""))</f>
        <v>0</v>
      </c>
      <c r="N92" s="8">
        <f>IF(OR(B92="",C92=""),"",IFERROR(C92*IFERROR(INDEX(Ingredients!$K$5:$K$304,MATCH(B92,Ingredients!$A$5:$A$304,0)),""),""))</f>
        <v>0</v>
      </c>
      <c r="O92" s="8">
        <f>IF(OR(B92="",C92=""),"",IFERROR(C92*IFERROR(INDEX(Ingredients!$L$5:$L$304,MATCH(B92,Ingredients!$A$5:$A$304,0)),""),""))</f>
        <v>0</v>
      </c>
      <c r="P92" s="8">
        <f>IF(OR(H92="",A92=""),"",IFERROR(H92/SUMIFS('Recipe Ingredients'!$H$5:$H$1204,'Recipe Ingredients'!$A$5:$A$1204,A92),""))</f>
        <v>0</v>
      </c>
      <c r="Q92" s="8">
        <f>IF(H92="","",COUNTIFS($H$5:$H$1204,"&gt;"&amp;H92)+1)</f>
        <v>0</v>
      </c>
      <c r="R92" s="8">
        <f>IF(B92="","",SUMIFS(Pantry!$C$5:$C$304,Pantry!$A$5:$A$304,B92))</f>
        <v>0</v>
      </c>
      <c r="S92" s="8">
        <f>IF(OR(B92="",C92=""),"",MAX(0,C92-R92))</f>
        <v>0</v>
      </c>
      <c r="T92" s="26"/>
      <c r="U92" s="8">
        <f>IF(OR(T92="",T92=0,G92=""),"",T92*G92)</f>
        <v>0</v>
      </c>
      <c r="V92" s="8">
        <f>IF(OR(S92="",T92="",T92=0),"",CEILING(S92/T92,1))</f>
        <v>0</v>
      </c>
      <c r="W92" s="27"/>
      <c r="X92" s="29"/>
      <c r="Y92" s="8">
        <f>IF(OR(C92="",X92=""),"",C92*(1+X92))</f>
        <v>0</v>
      </c>
      <c r="Z92" s="8">
        <f>IF(B92="","",IFERROR(INDEX(Ingredients!$O$5:$O$304,MATCH(B92,Ingredients!$A$5:$A$304,0)),""))</f>
        <v>0</v>
      </c>
      <c r="AA92" s="8">
        <f>IF(B92="","",IF(R92&gt;=C92,"In pantry","To buy"))</f>
        <v>0</v>
      </c>
      <c r="AB92" s="8">
        <f>IF(A92="","",COUNTIFS($A$5:A92,A92))</f>
        <v>0</v>
      </c>
      <c r="AC92" s="8">
        <f>IF(B92="","",IF(COUNTIFS('Dietary Filters'!$C$5:$C$104,B92)&gt;0,"Check","OK"))</f>
        <v>0</v>
      </c>
      <c r="AD92" s="25"/>
    </row>
    <row r="93" spans="1:30">
      <c r="A93" s="7"/>
      <c r="B93" s="7"/>
      <c r="C93" s="26"/>
      <c r="D93" s="27"/>
      <c r="E93" s="8">
        <f>IF(B93="","",IFERROR(INDEX(Ingredients!$B$5:$B$304,MATCH(B93,Ingredients!$A$5:$A$304,0)),""))</f>
        <v>0</v>
      </c>
      <c r="F93" s="8">
        <f>IF(B93="","",IFERROR(INDEX(Ingredients!$E$5:$E$304,MATCH(B93,Ingredients!$A$5:$A$304,0)),""))</f>
        <v>0</v>
      </c>
      <c r="G93" s="8">
        <f>IF(B93="","",IFERROR(INDEX(Ingredients!$D$5:$D$304,MATCH(B93,Ingredients!$A$5:$A$304,0)),""))</f>
        <v>0</v>
      </c>
      <c r="H93" s="8">
        <f>IF(OR(B93="",C93=""),"",IFERROR(C93*G93,""))</f>
        <v>0</v>
      </c>
      <c r="I93" s="8">
        <f>IF(A93="","",IFERROR(INDEX(Recipes!$D$5:$D$204,MATCH(A93,Recipes!$A$5:$A$204,0)),""))</f>
        <v>0</v>
      </c>
      <c r="J93" s="8">
        <f>IF(OR(H93="",I93="",I93=0),"",IFERROR(H93/I93,""))</f>
        <v>0</v>
      </c>
      <c r="K93" s="8">
        <f>IF(OR(B93="",C93=""),"",IFERROR(C93*IFERROR(INDEX(Ingredients!$H$5:$H$304,MATCH(B93,Ingredients!$A$5:$A$304,0)),""),""))</f>
        <v>0</v>
      </c>
      <c r="L93" s="8">
        <f>IF(OR(B93="",C93=""),"",IFERROR(C93*IFERROR(INDEX(Ingredients!$I$5:$I$304,MATCH(B93,Ingredients!$A$5:$A$304,0)),""),""))</f>
        <v>0</v>
      </c>
      <c r="M93" s="8">
        <f>IF(OR(B93="",C93=""),"",IFERROR(C93*IFERROR(INDEX(Ingredients!$J$5:$J$304,MATCH(B93,Ingredients!$A$5:$A$304,0)),""),""))</f>
        <v>0</v>
      </c>
      <c r="N93" s="8">
        <f>IF(OR(B93="",C93=""),"",IFERROR(C93*IFERROR(INDEX(Ingredients!$K$5:$K$304,MATCH(B93,Ingredients!$A$5:$A$304,0)),""),""))</f>
        <v>0</v>
      </c>
      <c r="O93" s="8">
        <f>IF(OR(B93="",C93=""),"",IFERROR(C93*IFERROR(INDEX(Ingredients!$L$5:$L$304,MATCH(B93,Ingredients!$A$5:$A$304,0)),""),""))</f>
        <v>0</v>
      </c>
      <c r="P93" s="8">
        <f>IF(OR(H93="",A93=""),"",IFERROR(H93/SUMIFS('Recipe Ingredients'!$H$5:$H$1204,'Recipe Ingredients'!$A$5:$A$1204,A93),""))</f>
        <v>0</v>
      </c>
      <c r="Q93" s="8">
        <f>IF(H93="","",COUNTIFS($H$5:$H$1204,"&gt;"&amp;H93)+1)</f>
        <v>0</v>
      </c>
      <c r="R93" s="8">
        <f>IF(B93="","",SUMIFS(Pantry!$C$5:$C$304,Pantry!$A$5:$A$304,B93))</f>
        <v>0</v>
      </c>
      <c r="S93" s="8">
        <f>IF(OR(B93="",C93=""),"",MAX(0,C93-R93))</f>
        <v>0</v>
      </c>
      <c r="T93" s="26"/>
      <c r="U93" s="8">
        <f>IF(OR(T93="",T93=0,G93=""),"",T93*G93)</f>
        <v>0</v>
      </c>
      <c r="V93" s="8">
        <f>IF(OR(S93="",T93="",T93=0),"",CEILING(S93/T93,1))</f>
        <v>0</v>
      </c>
      <c r="W93" s="27"/>
      <c r="X93" s="29"/>
      <c r="Y93" s="8">
        <f>IF(OR(C93="",X93=""),"",C93*(1+X93))</f>
        <v>0</v>
      </c>
      <c r="Z93" s="8">
        <f>IF(B93="","",IFERROR(INDEX(Ingredients!$O$5:$O$304,MATCH(B93,Ingredients!$A$5:$A$304,0)),""))</f>
        <v>0</v>
      </c>
      <c r="AA93" s="8">
        <f>IF(B93="","",IF(R93&gt;=C93,"In pantry","To buy"))</f>
        <v>0</v>
      </c>
      <c r="AB93" s="8">
        <f>IF(A93="","",COUNTIFS($A$5:A93,A93))</f>
        <v>0</v>
      </c>
      <c r="AC93" s="8">
        <f>IF(B93="","",IF(COUNTIFS('Dietary Filters'!$C$5:$C$104,B93)&gt;0,"Check","OK"))</f>
        <v>0</v>
      </c>
      <c r="AD93" s="25"/>
    </row>
    <row r="94" spans="1:30">
      <c r="A94" s="7"/>
      <c r="B94" s="7"/>
      <c r="C94" s="26"/>
      <c r="D94" s="27"/>
      <c r="E94" s="8">
        <f>IF(B94="","",IFERROR(INDEX(Ingredients!$B$5:$B$304,MATCH(B94,Ingredients!$A$5:$A$304,0)),""))</f>
        <v>0</v>
      </c>
      <c r="F94" s="8">
        <f>IF(B94="","",IFERROR(INDEX(Ingredients!$E$5:$E$304,MATCH(B94,Ingredients!$A$5:$A$304,0)),""))</f>
        <v>0</v>
      </c>
      <c r="G94" s="8">
        <f>IF(B94="","",IFERROR(INDEX(Ingredients!$D$5:$D$304,MATCH(B94,Ingredients!$A$5:$A$304,0)),""))</f>
        <v>0</v>
      </c>
      <c r="H94" s="8">
        <f>IF(OR(B94="",C94=""),"",IFERROR(C94*G94,""))</f>
        <v>0</v>
      </c>
      <c r="I94" s="8">
        <f>IF(A94="","",IFERROR(INDEX(Recipes!$D$5:$D$204,MATCH(A94,Recipes!$A$5:$A$204,0)),""))</f>
        <v>0</v>
      </c>
      <c r="J94" s="8">
        <f>IF(OR(H94="",I94="",I94=0),"",IFERROR(H94/I94,""))</f>
        <v>0</v>
      </c>
      <c r="K94" s="8">
        <f>IF(OR(B94="",C94=""),"",IFERROR(C94*IFERROR(INDEX(Ingredients!$H$5:$H$304,MATCH(B94,Ingredients!$A$5:$A$304,0)),""),""))</f>
        <v>0</v>
      </c>
      <c r="L94" s="8">
        <f>IF(OR(B94="",C94=""),"",IFERROR(C94*IFERROR(INDEX(Ingredients!$I$5:$I$304,MATCH(B94,Ingredients!$A$5:$A$304,0)),""),""))</f>
        <v>0</v>
      </c>
      <c r="M94" s="8">
        <f>IF(OR(B94="",C94=""),"",IFERROR(C94*IFERROR(INDEX(Ingredients!$J$5:$J$304,MATCH(B94,Ingredients!$A$5:$A$304,0)),""),""))</f>
        <v>0</v>
      </c>
      <c r="N94" s="8">
        <f>IF(OR(B94="",C94=""),"",IFERROR(C94*IFERROR(INDEX(Ingredients!$K$5:$K$304,MATCH(B94,Ingredients!$A$5:$A$304,0)),""),""))</f>
        <v>0</v>
      </c>
      <c r="O94" s="8">
        <f>IF(OR(B94="",C94=""),"",IFERROR(C94*IFERROR(INDEX(Ingredients!$L$5:$L$304,MATCH(B94,Ingredients!$A$5:$A$304,0)),""),""))</f>
        <v>0</v>
      </c>
      <c r="P94" s="8">
        <f>IF(OR(H94="",A94=""),"",IFERROR(H94/SUMIFS('Recipe Ingredients'!$H$5:$H$1204,'Recipe Ingredients'!$A$5:$A$1204,A94),""))</f>
        <v>0</v>
      </c>
      <c r="Q94" s="8">
        <f>IF(H94="","",COUNTIFS($H$5:$H$1204,"&gt;"&amp;H94)+1)</f>
        <v>0</v>
      </c>
      <c r="R94" s="8">
        <f>IF(B94="","",SUMIFS(Pantry!$C$5:$C$304,Pantry!$A$5:$A$304,B94))</f>
        <v>0</v>
      </c>
      <c r="S94" s="8">
        <f>IF(OR(B94="",C94=""),"",MAX(0,C94-R94))</f>
        <v>0</v>
      </c>
      <c r="T94" s="26"/>
      <c r="U94" s="8">
        <f>IF(OR(T94="",T94=0,G94=""),"",T94*G94)</f>
        <v>0</v>
      </c>
      <c r="V94" s="8">
        <f>IF(OR(S94="",T94="",T94=0),"",CEILING(S94/T94,1))</f>
        <v>0</v>
      </c>
      <c r="W94" s="27"/>
      <c r="X94" s="29"/>
      <c r="Y94" s="8">
        <f>IF(OR(C94="",X94=""),"",C94*(1+X94))</f>
        <v>0</v>
      </c>
      <c r="Z94" s="8">
        <f>IF(B94="","",IFERROR(INDEX(Ingredients!$O$5:$O$304,MATCH(B94,Ingredients!$A$5:$A$304,0)),""))</f>
        <v>0</v>
      </c>
      <c r="AA94" s="8">
        <f>IF(B94="","",IF(R94&gt;=C94,"In pantry","To buy"))</f>
        <v>0</v>
      </c>
      <c r="AB94" s="8">
        <f>IF(A94="","",COUNTIFS($A$5:A94,A94))</f>
        <v>0</v>
      </c>
      <c r="AC94" s="8">
        <f>IF(B94="","",IF(COUNTIFS('Dietary Filters'!$C$5:$C$104,B94)&gt;0,"Check","OK"))</f>
        <v>0</v>
      </c>
      <c r="AD94" s="25"/>
    </row>
    <row r="95" spans="1:30">
      <c r="A95" s="7"/>
      <c r="B95" s="7"/>
      <c r="C95" s="26"/>
      <c r="D95" s="27"/>
      <c r="E95" s="8">
        <f>IF(B95="","",IFERROR(INDEX(Ingredients!$B$5:$B$304,MATCH(B95,Ingredients!$A$5:$A$304,0)),""))</f>
        <v>0</v>
      </c>
      <c r="F95" s="8">
        <f>IF(B95="","",IFERROR(INDEX(Ingredients!$E$5:$E$304,MATCH(B95,Ingredients!$A$5:$A$304,0)),""))</f>
        <v>0</v>
      </c>
      <c r="G95" s="8">
        <f>IF(B95="","",IFERROR(INDEX(Ingredients!$D$5:$D$304,MATCH(B95,Ingredients!$A$5:$A$304,0)),""))</f>
        <v>0</v>
      </c>
      <c r="H95" s="8">
        <f>IF(OR(B95="",C95=""),"",IFERROR(C95*G95,""))</f>
        <v>0</v>
      </c>
      <c r="I95" s="8">
        <f>IF(A95="","",IFERROR(INDEX(Recipes!$D$5:$D$204,MATCH(A95,Recipes!$A$5:$A$204,0)),""))</f>
        <v>0</v>
      </c>
      <c r="J95" s="8">
        <f>IF(OR(H95="",I95="",I95=0),"",IFERROR(H95/I95,""))</f>
        <v>0</v>
      </c>
      <c r="K95" s="8">
        <f>IF(OR(B95="",C95=""),"",IFERROR(C95*IFERROR(INDEX(Ingredients!$H$5:$H$304,MATCH(B95,Ingredients!$A$5:$A$304,0)),""),""))</f>
        <v>0</v>
      </c>
      <c r="L95" s="8">
        <f>IF(OR(B95="",C95=""),"",IFERROR(C95*IFERROR(INDEX(Ingredients!$I$5:$I$304,MATCH(B95,Ingredients!$A$5:$A$304,0)),""),""))</f>
        <v>0</v>
      </c>
      <c r="M95" s="8">
        <f>IF(OR(B95="",C95=""),"",IFERROR(C95*IFERROR(INDEX(Ingredients!$J$5:$J$304,MATCH(B95,Ingredients!$A$5:$A$304,0)),""),""))</f>
        <v>0</v>
      </c>
      <c r="N95" s="8">
        <f>IF(OR(B95="",C95=""),"",IFERROR(C95*IFERROR(INDEX(Ingredients!$K$5:$K$304,MATCH(B95,Ingredients!$A$5:$A$304,0)),""),""))</f>
        <v>0</v>
      </c>
      <c r="O95" s="8">
        <f>IF(OR(B95="",C95=""),"",IFERROR(C95*IFERROR(INDEX(Ingredients!$L$5:$L$304,MATCH(B95,Ingredients!$A$5:$A$304,0)),""),""))</f>
        <v>0</v>
      </c>
      <c r="P95" s="8">
        <f>IF(OR(H95="",A95=""),"",IFERROR(H95/SUMIFS('Recipe Ingredients'!$H$5:$H$1204,'Recipe Ingredients'!$A$5:$A$1204,A95),""))</f>
        <v>0</v>
      </c>
      <c r="Q95" s="8">
        <f>IF(H95="","",COUNTIFS($H$5:$H$1204,"&gt;"&amp;H95)+1)</f>
        <v>0</v>
      </c>
      <c r="R95" s="8">
        <f>IF(B95="","",SUMIFS(Pantry!$C$5:$C$304,Pantry!$A$5:$A$304,B95))</f>
        <v>0</v>
      </c>
      <c r="S95" s="8">
        <f>IF(OR(B95="",C95=""),"",MAX(0,C95-R95))</f>
        <v>0</v>
      </c>
      <c r="T95" s="26"/>
      <c r="U95" s="8">
        <f>IF(OR(T95="",T95=0,G95=""),"",T95*G95)</f>
        <v>0</v>
      </c>
      <c r="V95" s="8">
        <f>IF(OR(S95="",T95="",T95=0),"",CEILING(S95/T95,1))</f>
        <v>0</v>
      </c>
      <c r="W95" s="27"/>
      <c r="X95" s="29"/>
      <c r="Y95" s="8">
        <f>IF(OR(C95="",X95=""),"",C95*(1+X95))</f>
        <v>0</v>
      </c>
      <c r="Z95" s="8">
        <f>IF(B95="","",IFERROR(INDEX(Ingredients!$O$5:$O$304,MATCH(B95,Ingredients!$A$5:$A$304,0)),""))</f>
        <v>0</v>
      </c>
      <c r="AA95" s="8">
        <f>IF(B95="","",IF(R95&gt;=C95,"In pantry","To buy"))</f>
        <v>0</v>
      </c>
      <c r="AB95" s="8">
        <f>IF(A95="","",COUNTIFS($A$5:A95,A95))</f>
        <v>0</v>
      </c>
      <c r="AC95" s="8">
        <f>IF(B95="","",IF(COUNTIFS('Dietary Filters'!$C$5:$C$104,B95)&gt;0,"Check","OK"))</f>
        <v>0</v>
      </c>
      <c r="AD95" s="25"/>
    </row>
    <row r="96" spans="1:30">
      <c r="A96" s="7"/>
      <c r="B96" s="7"/>
      <c r="C96" s="26"/>
      <c r="D96" s="27"/>
      <c r="E96" s="8">
        <f>IF(B96="","",IFERROR(INDEX(Ingredients!$B$5:$B$304,MATCH(B96,Ingredients!$A$5:$A$304,0)),""))</f>
        <v>0</v>
      </c>
      <c r="F96" s="8">
        <f>IF(B96="","",IFERROR(INDEX(Ingredients!$E$5:$E$304,MATCH(B96,Ingredients!$A$5:$A$304,0)),""))</f>
        <v>0</v>
      </c>
      <c r="G96" s="8">
        <f>IF(B96="","",IFERROR(INDEX(Ingredients!$D$5:$D$304,MATCH(B96,Ingredients!$A$5:$A$304,0)),""))</f>
        <v>0</v>
      </c>
      <c r="H96" s="8">
        <f>IF(OR(B96="",C96=""),"",IFERROR(C96*G96,""))</f>
        <v>0</v>
      </c>
      <c r="I96" s="8">
        <f>IF(A96="","",IFERROR(INDEX(Recipes!$D$5:$D$204,MATCH(A96,Recipes!$A$5:$A$204,0)),""))</f>
        <v>0</v>
      </c>
      <c r="J96" s="8">
        <f>IF(OR(H96="",I96="",I96=0),"",IFERROR(H96/I96,""))</f>
        <v>0</v>
      </c>
      <c r="K96" s="8">
        <f>IF(OR(B96="",C96=""),"",IFERROR(C96*IFERROR(INDEX(Ingredients!$H$5:$H$304,MATCH(B96,Ingredients!$A$5:$A$304,0)),""),""))</f>
        <v>0</v>
      </c>
      <c r="L96" s="8">
        <f>IF(OR(B96="",C96=""),"",IFERROR(C96*IFERROR(INDEX(Ingredients!$I$5:$I$304,MATCH(B96,Ingredients!$A$5:$A$304,0)),""),""))</f>
        <v>0</v>
      </c>
      <c r="M96" s="8">
        <f>IF(OR(B96="",C96=""),"",IFERROR(C96*IFERROR(INDEX(Ingredients!$J$5:$J$304,MATCH(B96,Ingredients!$A$5:$A$304,0)),""),""))</f>
        <v>0</v>
      </c>
      <c r="N96" s="8">
        <f>IF(OR(B96="",C96=""),"",IFERROR(C96*IFERROR(INDEX(Ingredients!$K$5:$K$304,MATCH(B96,Ingredients!$A$5:$A$304,0)),""),""))</f>
        <v>0</v>
      </c>
      <c r="O96" s="8">
        <f>IF(OR(B96="",C96=""),"",IFERROR(C96*IFERROR(INDEX(Ingredients!$L$5:$L$304,MATCH(B96,Ingredients!$A$5:$A$304,0)),""),""))</f>
        <v>0</v>
      </c>
      <c r="P96" s="8">
        <f>IF(OR(H96="",A96=""),"",IFERROR(H96/SUMIFS('Recipe Ingredients'!$H$5:$H$1204,'Recipe Ingredients'!$A$5:$A$1204,A96),""))</f>
        <v>0</v>
      </c>
      <c r="Q96" s="8">
        <f>IF(H96="","",COUNTIFS($H$5:$H$1204,"&gt;"&amp;H96)+1)</f>
        <v>0</v>
      </c>
      <c r="R96" s="8">
        <f>IF(B96="","",SUMIFS(Pantry!$C$5:$C$304,Pantry!$A$5:$A$304,B96))</f>
        <v>0</v>
      </c>
      <c r="S96" s="8">
        <f>IF(OR(B96="",C96=""),"",MAX(0,C96-R96))</f>
        <v>0</v>
      </c>
      <c r="T96" s="26"/>
      <c r="U96" s="8">
        <f>IF(OR(T96="",T96=0,G96=""),"",T96*G96)</f>
        <v>0</v>
      </c>
      <c r="V96" s="8">
        <f>IF(OR(S96="",T96="",T96=0),"",CEILING(S96/T96,1))</f>
        <v>0</v>
      </c>
      <c r="W96" s="27"/>
      <c r="X96" s="29"/>
      <c r="Y96" s="8">
        <f>IF(OR(C96="",X96=""),"",C96*(1+X96))</f>
        <v>0</v>
      </c>
      <c r="Z96" s="8">
        <f>IF(B96="","",IFERROR(INDEX(Ingredients!$O$5:$O$304,MATCH(B96,Ingredients!$A$5:$A$304,0)),""))</f>
        <v>0</v>
      </c>
      <c r="AA96" s="8">
        <f>IF(B96="","",IF(R96&gt;=C96,"In pantry","To buy"))</f>
        <v>0</v>
      </c>
      <c r="AB96" s="8">
        <f>IF(A96="","",COUNTIFS($A$5:A96,A96))</f>
        <v>0</v>
      </c>
      <c r="AC96" s="8">
        <f>IF(B96="","",IF(COUNTIFS('Dietary Filters'!$C$5:$C$104,B96)&gt;0,"Check","OK"))</f>
        <v>0</v>
      </c>
      <c r="AD96" s="25"/>
    </row>
    <row r="97" spans="1:30">
      <c r="A97" s="7"/>
      <c r="B97" s="7"/>
      <c r="C97" s="26"/>
      <c r="D97" s="27"/>
      <c r="E97" s="8">
        <f>IF(B97="","",IFERROR(INDEX(Ingredients!$B$5:$B$304,MATCH(B97,Ingredients!$A$5:$A$304,0)),""))</f>
        <v>0</v>
      </c>
      <c r="F97" s="8">
        <f>IF(B97="","",IFERROR(INDEX(Ingredients!$E$5:$E$304,MATCH(B97,Ingredients!$A$5:$A$304,0)),""))</f>
        <v>0</v>
      </c>
      <c r="G97" s="8">
        <f>IF(B97="","",IFERROR(INDEX(Ingredients!$D$5:$D$304,MATCH(B97,Ingredients!$A$5:$A$304,0)),""))</f>
        <v>0</v>
      </c>
      <c r="H97" s="8">
        <f>IF(OR(B97="",C97=""),"",IFERROR(C97*G97,""))</f>
        <v>0</v>
      </c>
      <c r="I97" s="8">
        <f>IF(A97="","",IFERROR(INDEX(Recipes!$D$5:$D$204,MATCH(A97,Recipes!$A$5:$A$204,0)),""))</f>
        <v>0</v>
      </c>
      <c r="J97" s="8">
        <f>IF(OR(H97="",I97="",I97=0),"",IFERROR(H97/I97,""))</f>
        <v>0</v>
      </c>
      <c r="K97" s="8">
        <f>IF(OR(B97="",C97=""),"",IFERROR(C97*IFERROR(INDEX(Ingredients!$H$5:$H$304,MATCH(B97,Ingredients!$A$5:$A$304,0)),""),""))</f>
        <v>0</v>
      </c>
      <c r="L97" s="8">
        <f>IF(OR(B97="",C97=""),"",IFERROR(C97*IFERROR(INDEX(Ingredients!$I$5:$I$304,MATCH(B97,Ingredients!$A$5:$A$304,0)),""),""))</f>
        <v>0</v>
      </c>
      <c r="M97" s="8">
        <f>IF(OR(B97="",C97=""),"",IFERROR(C97*IFERROR(INDEX(Ingredients!$J$5:$J$304,MATCH(B97,Ingredients!$A$5:$A$304,0)),""),""))</f>
        <v>0</v>
      </c>
      <c r="N97" s="8">
        <f>IF(OR(B97="",C97=""),"",IFERROR(C97*IFERROR(INDEX(Ingredients!$K$5:$K$304,MATCH(B97,Ingredients!$A$5:$A$304,0)),""),""))</f>
        <v>0</v>
      </c>
      <c r="O97" s="8">
        <f>IF(OR(B97="",C97=""),"",IFERROR(C97*IFERROR(INDEX(Ingredients!$L$5:$L$304,MATCH(B97,Ingredients!$A$5:$A$304,0)),""),""))</f>
        <v>0</v>
      </c>
      <c r="P97" s="8">
        <f>IF(OR(H97="",A97=""),"",IFERROR(H97/SUMIFS('Recipe Ingredients'!$H$5:$H$1204,'Recipe Ingredients'!$A$5:$A$1204,A97),""))</f>
        <v>0</v>
      </c>
      <c r="Q97" s="8">
        <f>IF(H97="","",COUNTIFS($H$5:$H$1204,"&gt;"&amp;H97)+1)</f>
        <v>0</v>
      </c>
      <c r="R97" s="8">
        <f>IF(B97="","",SUMIFS(Pantry!$C$5:$C$304,Pantry!$A$5:$A$304,B97))</f>
        <v>0</v>
      </c>
      <c r="S97" s="8">
        <f>IF(OR(B97="",C97=""),"",MAX(0,C97-R97))</f>
        <v>0</v>
      </c>
      <c r="T97" s="26"/>
      <c r="U97" s="8">
        <f>IF(OR(T97="",T97=0,G97=""),"",T97*G97)</f>
        <v>0</v>
      </c>
      <c r="V97" s="8">
        <f>IF(OR(S97="",T97="",T97=0),"",CEILING(S97/T97,1))</f>
        <v>0</v>
      </c>
      <c r="W97" s="27"/>
      <c r="X97" s="29"/>
      <c r="Y97" s="8">
        <f>IF(OR(C97="",X97=""),"",C97*(1+X97))</f>
        <v>0</v>
      </c>
      <c r="Z97" s="8">
        <f>IF(B97="","",IFERROR(INDEX(Ingredients!$O$5:$O$304,MATCH(B97,Ingredients!$A$5:$A$304,0)),""))</f>
        <v>0</v>
      </c>
      <c r="AA97" s="8">
        <f>IF(B97="","",IF(R97&gt;=C97,"In pantry","To buy"))</f>
        <v>0</v>
      </c>
      <c r="AB97" s="8">
        <f>IF(A97="","",COUNTIFS($A$5:A97,A97))</f>
        <v>0</v>
      </c>
      <c r="AC97" s="8">
        <f>IF(B97="","",IF(COUNTIFS('Dietary Filters'!$C$5:$C$104,B97)&gt;0,"Check","OK"))</f>
        <v>0</v>
      </c>
      <c r="AD97" s="25"/>
    </row>
    <row r="98" spans="1:30">
      <c r="A98" s="7"/>
      <c r="B98" s="7"/>
      <c r="C98" s="26"/>
      <c r="D98" s="27"/>
      <c r="E98" s="8">
        <f>IF(B98="","",IFERROR(INDEX(Ingredients!$B$5:$B$304,MATCH(B98,Ingredients!$A$5:$A$304,0)),""))</f>
        <v>0</v>
      </c>
      <c r="F98" s="8">
        <f>IF(B98="","",IFERROR(INDEX(Ingredients!$E$5:$E$304,MATCH(B98,Ingredients!$A$5:$A$304,0)),""))</f>
        <v>0</v>
      </c>
      <c r="G98" s="8">
        <f>IF(B98="","",IFERROR(INDEX(Ingredients!$D$5:$D$304,MATCH(B98,Ingredients!$A$5:$A$304,0)),""))</f>
        <v>0</v>
      </c>
      <c r="H98" s="8">
        <f>IF(OR(B98="",C98=""),"",IFERROR(C98*G98,""))</f>
        <v>0</v>
      </c>
      <c r="I98" s="8">
        <f>IF(A98="","",IFERROR(INDEX(Recipes!$D$5:$D$204,MATCH(A98,Recipes!$A$5:$A$204,0)),""))</f>
        <v>0</v>
      </c>
      <c r="J98" s="8">
        <f>IF(OR(H98="",I98="",I98=0),"",IFERROR(H98/I98,""))</f>
        <v>0</v>
      </c>
      <c r="K98" s="8">
        <f>IF(OR(B98="",C98=""),"",IFERROR(C98*IFERROR(INDEX(Ingredients!$H$5:$H$304,MATCH(B98,Ingredients!$A$5:$A$304,0)),""),""))</f>
        <v>0</v>
      </c>
      <c r="L98" s="8">
        <f>IF(OR(B98="",C98=""),"",IFERROR(C98*IFERROR(INDEX(Ingredients!$I$5:$I$304,MATCH(B98,Ingredients!$A$5:$A$304,0)),""),""))</f>
        <v>0</v>
      </c>
      <c r="M98" s="8">
        <f>IF(OR(B98="",C98=""),"",IFERROR(C98*IFERROR(INDEX(Ingredients!$J$5:$J$304,MATCH(B98,Ingredients!$A$5:$A$304,0)),""),""))</f>
        <v>0</v>
      </c>
      <c r="N98" s="8">
        <f>IF(OR(B98="",C98=""),"",IFERROR(C98*IFERROR(INDEX(Ingredients!$K$5:$K$304,MATCH(B98,Ingredients!$A$5:$A$304,0)),""),""))</f>
        <v>0</v>
      </c>
      <c r="O98" s="8">
        <f>IF(OR(B98="",C98=""),"",IFERROR(C98*IFERROR(INDEX(Ingredients!$L$5:$L$304,MATCH(B98,Ingredients!$A$5:$A$304,0)),""),""))</f>
        <v>0</v>
      </c>
      <c r="P98" s="8">
        <f>IF(OR(H98="",A98=""),"",IFERROR(H98/SUMIFS('Recipe Ingredients'!$H$5:$H$1204,'Recipe Ingredients'!$A$5:$A$1204,A98),""))</f>
        <v>0</v>
      </c>
      <c r="Q98" s="8">
        <f>IF(H98="","",COUNTIFS($H$5:$H$1204,"&gt;"&amp;H98)+1)</f>
        <v>0</v>
      </c>
      <c r="R98" s="8">
        <f>IF(B98="","",SUMIFS(Pantry!$C$5:$C$304,Pantry!$A$5:$A$304,B98))</f>
        <v>0</v>
      </c>
      <c r="S98" s="8">
        <f>IF(OR(B98="",C98=""),"",MAX(0,C98-R98))</f>
        <v>0</v>
      </c>
      <c r="T98" s="26"/>
      <c r="U98" s="8">
        <f>IF(OR(T98="",T98=0,G98=""),"",T98*G98)</f>
        <v>0</v>
      </c>
      <c r="V98" s="8">
        <f>IF(OR(S98="",T98="",T98=0),"",CEILING(S98/T98,1))</f>
        <v>0</v>
      </c>
      <c r="W98" s="27"/>
      <c r="X98" s="29"/>
      <c r="Y98" s="8">
        <f>IF(OR(C98="",X98=""),"",C98*(1+X98))</f>
        <v>0</v>
      </c>
      <c r="Z98" s="8">
        <f>IF(B98="","",IFERROR(INDEX(Ingredients!$O$5:$O$304,MATCH(B98,Ingredients!$A$5:$A$304,0)),""))</f>
        <v>0</v>
      </c>
      <c r="AA98" s="8">
        <f>IF(B98="","",IF(R98&gt;=C98,"In pantry","To buy"))</f>
        <v>0</v>
      </c>
      <c r="AB98" s="8">
        <f>IF(A98="","",COUNTIFS($A$5:A98,A98))</f>
        <v>0</v>
      </c>
      <c r="AC98" s="8">
        <f>IF(B98="","",IF(COUNTIFS('Dietary Filters'!$C$5:$C$104,B98)&gt;0,"Check","OK"))</f>
        <v>0</v>
      </c>
      <c r="AD98" s="25"/>
    </row>
    <row r="99" spans="1:30">
      <c r="A99" s="7"/>
      <c r="B99" s="7"/>
      <c r="C99" s="26"/>
      <c r="D99" s="27"/>
      <c r="E99" s="8">
        <f>IF(B99="","",IFERROR(INDEX(Ingredients!$B$5:$B$304,MATCH(B99,Ingredients!$A$5:$A$304,0)),""))</f>
        <v>0</v>
      </c>
      <c r="F99" s="8">
        <f>IF(B99="","",IFERROR(INDEX(Ingredients!$E$5:$E$304,MATCH(B99,Ingredients!$A$5:$A$304,0)),""))</f>
        <v>0</v>
      </c>
      <c r="G99" s="8">
        <f>IF(B99="","",IFERROR(INDEX(Ingredients!$D$5:$D$304,MATCH(B99,Ingredients!$A$5:$A$304,0)),""))</f>
        <v>0</v>
      </c>
      <c r="H99" s="8">
        <f>IF(OR(B99="",C99=""),"",IFERROR(C99*G99,""))</f>
        <v>0</v>
      </c>
      <c r="I99" s="8">
        <f>IF(A99="","",IFERROR(INDEX(Recipes!$D$5:$D$204,MATCH(A99,Recipes!$A$5:$A$204,0)),""))</f>
        <v>0</v>
      </c>
      <c r="J99" s="8">
        <f>IF(OR(H99="",I99="",I99=0),"",IFERROR(H99/I99,""))</f>
        <v>0</v>
      </c>
      <c r="K99" s="8">
        <f>IF(OR(B99="",C99=""),"",IFERROR(C99*IFERROR(INDEX(Ingredients!$H$5:$H$304,MATCH(B99,Ingredients!$A$5:$A$304,0)),""),""))</f>
        <v>0</v>
      </c>
      <c r="L99" s="8">
        <f>IF(OR(B99="",C99=""),"",IFERROR(C99*IFERROR(INDEX(Ingredients!$I$5:$I$304,MATCH(B99,Ingredients!$A$5:$A$304,0)),""),""))</f>
        <v>0</v>
      </c>
      <c r="M99" s="8">
        <f>IF(OR(B99="",C99=""),"",IFERROR(C99*IFERROR(INDEX(Ingredients!$J$5:$J$304,MATCH(B99,Ingredients!$A$5:$A$304,0)),""),""))</f>
        <v>0</v>
      </c>
      <c r="N99" s="8">
        <f>IF(OR(B99="",C99=""),"",IFERROR(C99*IFERROR(INDEX(Ingredients!$K$5:$K$304,MATCH(B99,Ingredients!$A$5:$A$304,0)),""),""))</f>
        <v>0</v>
      </c>
      <c r="O99" s="8">
        <f>IF(OR(B99="",C99=""),"",IFERROR(C99*IFERROR(INDEX(Ingredients!$L$5:$L$304,MATCH(B99,Ingredients!$A$5:$A$304,0)),""),""))</f>
        <v>0</v>
      </c>
      <c r="P99" s="8">
        <f>IF(OR(H99="",A99=""),"",IFERROR(H99/SUMIFS('Recipe Ingredients'!$H$5:$H$1204,'Recipe Ingredients'!$A$5:$A$1204,A99),""))</f>
        <v>0</v>
      </c>
      <c r="Q99" s="8">
        <f>IF(H99="","",COUNTIFS($H$5:$H$1204,"&gt;"&amp;H99)+1)</f>
        <v>0</v>
      </c>
      <c r="R99" s="8">
        <f>IF(B99="","",SUMIFS(Pantry!$C$5:$C$304,Pantry!$A$5:$A$304,B99))</f>
        <v>0</v>
      </c>
      <c r="S99" s="8">
        <f>IF(OR(B99="",C99=""),"",MAX(0,C99-R99))</f>
        <v>0</v>
      </c>
      <c r="T99" s="26"/>
      <c r="U99" s="8">
        <f>IF(OR(T99="",T99=0,G99=""),"",T99*G99)</f>
        <v>0</v>
      </c>
      <c r="V99" s="8">
        <f>IF(OR(S99="",T99="",T99=0),"",CEILING(S99/T99,1))</f>
        <v>0</v>
      </c>
      <c r="W99" s="27"/>
      <c r="X99" s="29"/>
      <c r="Y99" s="8">
        <f>IF(OR(C99="",X99=""),"",C99*(1+X99))</f>
        <v>0</v>
      </c>
      <c r="Z99" s="8">
        <f>IF(B99="","",IFERROR(INDEX(Ingredients!$O$5:$O$304,MATCH(B99,Ingredients!$A$5:$A$304,0)),""))</f>
        <v>0</v>
      </c>
      <c r="AA99" s="8">
        <f>IF(B99="","",IF(R99&gt;=C99,"In pantry","To buy"))</f>
        <v>0</v>
      </c>
      <c r="AB99" s="8">
        <f>IF(A99="","",COUNTIFS($A$5:A99,A99))</f>
        <v>0</v>
      </c>
      <c r="AC99" s="8">
        <f>IF(B99="","",IF(COUNTIFS('Dietary Filters'!$C$5:$C$104,B99)&gt;0,"Check","OK"))</f>
        <v>0</v>
      </c>
      <c r="AD99" s="25"/>
    </row>
    <row r="100" spans="1:30">
      <c r="A100" s="7"/>
      <c r="B100" s="7"/>
      <c r="C100" s="26"/>
      <c r="D100" s="27"/>
      <c r="E100" s="8">
        <f>IF(B100="","",IFERROR(INDEX(Ingredients!$B$5:$B$304,MATCH(B100,Ingredients!$A$5:$A$304,0)),""))</f>
        <v>0</v>
      </c>
      <c r="F100" s="8">
        <f>IF(B100="","",IFERROR(INDEX(Ingredients!$E$5:$E$304,MATCH(B100,Ingredients!$A$5:$A$304,0)),""))</f>
        <v>0</v>
      </c>
      <c r="G100" s="8">
        <f>IF(B100="","",IFERROR(INDEX(Ingredients!$D$5:$D$304,MATCH(B100,Ingredients!$A$5:$A$304,0)),""))</f>
        <v>0</v>
      </c>
      <c r="H100" s="8">
        <f>IF(OR(B100="",C100=""),"",IFERROR(C100*G100,""))</f>
        <v>0</v>
      </c>
      <c r="I100" s="8">
        <f>IF(A100="","",IFERROR(INDEX(Recipes!$D$5:$D$204,MATCH(A100,Recipes!$A$5:$A$204,0)),""))</f>
        <v>0</v>
      </c>
      <c r="J100" s="8">
        <f>IF(OR(H100="",I100="",I100=0),"",IFERROR(H100/I100,""))</f>
        <v>0</v>
      </c>
      <c r="K100" s="8">
        <f>IF(OR(B100="",C100=""),"",IFERROR(C100*IFERROR(INDEX(Ingredients!$H$5:$H$304,MATCH(B100,Ingredients!$A$5:$A$304,0)),""),""))</f>
        <v>0</v>
      </c>
      <c r="L100" s="8">
        <f>IF(OR(B100="",C100=""),"",IFERROR(C100*IFERROR(INDEX(Ingredients!$I$5:$I$304,MATCH(B100,Ingredients!$A$5:$A$304,0)),""),""))</f>
        <v>0</v>
      </c>
      <c r="M100" s="8">
        <f>IF(OR(B100="",C100=""),"",IFERROR(C100*IFERROR(INDEX(Ingredients!$J$5:$J$304,MATCH(B100,Ingredients!$A$5:$A$304,0)),""),""))</f>
        <v>0</v>
      </c>
      <c r="N100" s="8">
        <f>IF(OR(B100="",C100=""),"",IFERROR(C100*IFERROR(INDEX(Ingredients!$K$5:$K$304,MATCH(B100,Ingredients!$A$5:$A$304,0)),""),""))</f>
        <v>0</v>
      </c>
      <c r="O100" s="8">
        <f>IF(OR(B100="",C100=""),"",IFERROR(C100*IFERROR(INDEX(Ingredients!$L$5:$L$304,MATCH(B100,Ingredients!$A$5:$A$304,0)),""),""))</f>
        <v>0</v>
      </c>
      <c r="P100" s="8">
        <f>IF(OR(H100="",A100=""),"",IFERROR(H100/SUMIFS('Recipe Ingredients'!$H$5:$H$1204,'Recipe Ingredients'!$A$5:$A$1204,A100),""))</f>
        <v>0</v>
      </c>
      <c r="Q100" s="8">
        <f>IF(H100="","",COUNTIFS($H$5:$H$1204,"&gt;"&amp;H100)+1)</f>
        <v>0</v>
      </c>
      <c r="R100" s="8">
        <f>IF(B100="","",SUMIFS(Pantry!$C$5:$C$304,Pantry!$A$5:$A$304,B100))</f>
        <v>0</v>
      </c>
      <c r="S100" s="8">
        <f>IF(OR(B100="",C100=""),"",MAX(0,C100-R100))</f>
        <v>0</v>
      </c>
      <c r="T100" s="26"/>
      <c r="U100" s="8">
        <f>IF(OR(T100="",T100=0,G100=""),"",T100*G100)</f>
        <v>0</v>
      </c>
      <c r="V100" s="8">
        <f>IF(OR(S100="",T100="",T100=0),"",CEILING(S100/T100,1))</f>
        <v>0</v>
      </c>
      <c r="W100" s="27"/>
      <c r="X100" s="29"/>
      <c r="Y100" s="8">
        <f>IF(OR(C100="",X100=""),"",C100*(1+X100))</f>
        <v>0</v>
      </c>
      <c r="Z100" s="8">
        <f>IF(B100="","",IFERROR(INDEX(Ingredients!$O$5:$O$304,MATCH(B100,Ingredients!$A$5:$A$304,0)),""))</f>
        <v>0</v>
      </c>
      <c r="AA100" s="8">
        <f>IF(B100="","",IF(R100&gt;=C100,"In pantry","To buy"))</f>
        <v>0</v>
      </c>
      <c r="AB100" s="8">
        <f>IF(A100="","",COUNTIFS($A$5:A100,A100))</f>
        <v>0</v>
      </c>
      <c r="AC100" s="8">
        <f>IF(B100="","",IF(COUNTIFS('Dietary Filters'!$C$5:$C$104,B100)&gt;0,"Check","OK"))</f>
        <v>0</v>
      </c>
      <c r="AD100" s="25"/>
    </row>
    <row r="101" spans="1:30">
      <c r="A101" s="7"/>
      <c r="B101" s="7"/>
      <c r="C101" s="26"/>
      <c r="D101" s="27"/>
      <c r="E101" s="8">
        <f>IF(B101="","",IFERROR(INDEX(Ingredients!$B$5:$B$304,MATCH(B101,Ingredients!$A$5:$A$304,0)),""))</f>
        <v>0</v>
      </c>
      <c r="F101" s="8">
        <f>IF(B101="","",IFERROR(INDEX(Ingredients!$E$5:$E$304,MATCH(B101,Ingredients!$A$5:$A$304,0)),""))</f>
        <v>0</v>
      </c>
      <c r="G101" s="8">
        <f>IF(B101="","",IFERROR(INDEX(Ingredients!$D$5:$D$304,MATCH(B101,Ingredients!$A$5:$A$304,0)),""))</f>
        <v>0</v>
      </c>
      <c r="H101" s="8">
        <f>IF(OR(B101="",C101=""),"",IFERROR(C101*G101,""))</f>
        <v>0</v>
      </c>
      <c r="I101" s="8">
        <f>IF(A101="","",IFERROR(INDEX(Recipes!$D$5:$D$204,MATCH(A101,Recipes!$A$5:$A$204,0)),""))</f>
        <v>0</v>
      </c>
      <c r="J101" s="8">
        <f>IF(OR(H101="",I101="",I101=0),"",IFERROR(H101/I101,""))</f>
        <v>0</v>
      </c>
      <c r="K101" s="8">
        <f>IF(OR(B101="",C101=""),"",IFERROR(C101*IFERROR(INDEX(Ingredients!$H$5:$H$304,MATCH(B101,Ingredients!$A$5:$A$304,0)),""),""))</f>
        <v>0</v>
      </c>
      <c r="L101" s="8">
        <f>IF(OR(B101="",C101=""),"",IFERROR(C101*IFERROR(INDEX(Ingredients!$I$5:$I$304,MATCH(B101,Ingredients!$A$5:$A$304,0)),""),""))</f>
        <v>0</v>
      </c>
      <c r="M101" s="8">
        <f>IF(OR(B101="",C101=""),"",IFERROR(C101*IFERROR(INDEX(Ingredients!$J$5:$J$304,MATCH(B101,Ingredients!$A$5:$A$304,0)),""),""))</f>
        <v>0</v>
      </c>
      <c r="N101" s="8">
        <f>IF(OR(B101="",C101=""),"",IFERROR(C101*IFERROR(INDEX(Ingredients!$K$5:$K$304,MATCH(B101,Ingredients!$A$5:$A$304,0)),""),""))</f>
        <v>0</v>
      </c>
      <c r="O101" s="8">
        <f>IF(OR(B101="",C101=""),"",IFERROR(C101*IFERROR(INDEX(Ingredients!$L$5:$L$304,MATCH(B101,Ingredients!$A$5:$A$304,0)),""),""))</f>
        <v>0</v>
      </c>
      <c r="P101" s="8">
        <f>IF(OR(H101="",A101=""),"",IFERROR(H101/SUMIFS('Recipe Ingredients'!$H$5:$H$1204,'Recipe Ingredients'!$A$5:$A$1204,A101),""))</f>
        <v>0</v>
      </c>
      <c r="Q101" s="8">
        <f>IF(H101="","",COUNTIFS($H$5:$H$1204,"&gt;"&amp;H101)+1)</f>
        <v>0</v>
      </c>
      <c r="R101" s="8">
        <f>IF(B101="","",SUMIFS(Pantry!$C$5:$C$304,Pantry!$A$5:$A$304,B101))</f>
        <v>0</v>
      </c>
      <c r="S101" s="8">
        <f>IF(OR(B101="",C101=""),"",MAX(0,C101-R101))</f>
        <v>0</v>
      </c>
      <c r="T101" s="26"/>
      <c r="U101" s="8">
        <f>IF(OR(T101="",T101=0,G101=""),"",T101*G101)</f>
        <v>0</v>
      </c>
      <c r="V101" s="8">
        <f>IF(OR(S101="",T101="",T101=0),"",CEILING(S101/T101,1))</f>
        <v>0</v>
      </c>
      <c r="W101" s="27"/>
      <c r="X101" s="29"/>
      <c r="Y101" s="8">
        <f>IF(OR(C101="",X101=""),"",C101*(1+X101))</f>
        <v>0</v>
      </c>
      <c r="Z101" s="8">
        <f>IF(B101="","",IFERROR(INDEX(Ingredients!$O$5:$O$304,MATCH(B101,Ingredients!$A$5:$A$304,0)),""))</f>
        <v>0</v>
      </c>
      <c r="AA101" s="8">
        <f>IF(B101="","",IF(R101&gt;=C101,"In pantry","To buy"))</f>
        <v>0</v>
      </c>
      <c r="AB101" s="8">
        <f>IF(A101="","",COUNTIFS($A$5:A101,A101))</f>
        <v>0</v>
      </c>
      <c r="AC101" s="8">
        <f>IF(B101="","",IF(COUNTIFS('Dietary Filters'!$C$5:$C$104,B101)&gt;0,"Check","OK"))</f>
        <v>0</v>
      </c>
      <c r="AD101" s="25"/>
    </row>
    <row r="102" spans="1:30">
      <c r="A102" s="7"/>
      <c r="B102" s="7"/>
      <c r="C102" s="26"/>
      <c r="D102" s="27"/>
      <c r="E102" s="8">
        <f>IF(B102="","",IFERROR(INDEX(Ingredients!$B$5:$B$304,MATCH(B102,Ingredients!$A$5:$A$304,0)),""))</f>
        <v>0</v>
      </c>
      <c r="F102" s="8">
        <f>IF(B102="","",IFERROR(INDEX(Ingredients!$E$5:$E$304,MATCH(B102,Ingredients!$A$5:$A$304,0)),""))</f>
        <v>0</v>
      </c>
      <c r="G102" s="8">
        <f>IF(B102="","",IFERROR(INDEX(Ingredients!$D$5:$D$304,MATCH(B102,Ingredients!$A$5:$A$304,0)),""))</f>
        <v>0</v>
      </c>
      <c r="H102" s="8">
        <f>IF(OR(B102="",C102=""),"",IFERROR(C102*G102,""))</f>
        <v>0</v>
      </c>
      <c r="I102" s="8">
        <f>IF(A102="","",IFERROR(INDEX(Recipes!$D$5:$D$204,MATCH(A102,Recipes!$A$5:$A$204,0)),""))</f>
        <v>0</v>
      </c>
      <c r="J102" s="8">
        <f>IF(OR(H102="",I102="",I102=0),"",IFERROR(H102/I102,""))</f>
        <v>0</v>
      </c>
      <c r="K102" s="8">
        <f>IF(OR(B102="",C102=""),"",IFERROR(C102*IFERROR(INDEX(Ingredients!$H$5:$H$304,MATCH(B102,Ingredients!$A$5:$A$304,0)),""),""))</f>
        <v>0</v>
      </c>
      <c r="L102" s="8">
        <f>IF(OR(B102="",C102=""),"",IFERROR(C102*IFERROR(INDEX(Ingredients!$I$5:$I$304,MATCH(B102,Ingredients!$A$5:$A$304,0)),""),""))</f>
        <v>0</v>
      </c>
      <c r="M102" s="8">
        <f>IF(OR(B102="",C102=""),"",IFERROR(C102*IFERROR(INDEX(Ingredients!$J$5:$J$304,MATCH(B102,Ingredients!$A$5:$A$304,0)),""),""))</f>
        <v>0</v>
      </c>
      <c r="N102" s="8">
        <f>IF(OR(B102="",C102=""),"",IFERROR(C102*IFERROR(INDEX(Ingredients!$K$5:$K$304,MATCH(B102,Ingredients!$A$5:$A$304,0)),""),""))</f>
        <v>0</v>
      </c>
      <c r="O102" s="8">
        <f>IF(OR(B102="",C102=""),"",IFERROR(C102*IFERROR(INDEX(Ingredients!$L$5:$L$304,MATCH(B102,Ingredients!$A$5:$A$304,0)),""),""))</f>
        <v>0</v>
      </c>
      <c r="P102" s="8">
        <f>IF(OR(H102="",A102=""),"",IFERROR(H102/SUMIFS('Recipe Ingredients'!$H$5:$H$1204,'Recipe Ingredients'!$A$5:$A$1204,A102),""))</f>
        <v>0</v>
      </c>
      <c r="Q102" s="8">
        <f>IF(H102="","",COUNTIFS($H$5:$H$1204,"&gt;"&amp;H102)+1)</f>
        <v>0</v>
      </c>
      <c r="R102" s="8">
        <f>IF(B102="","",SUMIFS(Pantry!$C$5:$C$304,Pantry!$A$5:$A$304,B102))</f>
        <v>0</v>
      </c>
      <c r="S102" s="8">
        <f>IF(OR(B102="",C102=""),"",MAX(0,C102-R102))</f>
        <v>0</v>
      </c>
      <c r="T102" s="26"/>
      <c r="U102" s="8">
        <f>IF(OR(T102="",T102=0,G102=""),"",T102*G102)</f>
        <v>0</v>
      </c>
      <c r="V102" s="8">
        <f>IF(OR(S102="",T102="",T102=0),"",CEILING(S102/T102,1))</f>
        <v>0</v>
      </c>
      <c r="W102" s="27"/>
      <c r="X102" s="29"/>
      <c r="Y102" s="8">
        <f>IF(OR(C102="",X102=""),"",C102*(1+X102))</f>
        <v>0</v>
      </c>
      <c r="Z102" s="8">
        <f>IF(B102="","",IFERROR(INDEX(Ingredients!$O$5:$O$304,MATCH(B102,Ingredients!$A$5:$A$304,0)),""))</f>
        <v>0</v>
      </c>
      <c r="AA102" s="8">
        <f>IF(B102="","",IF(R102&gt;=C102,"In pantry","To buy"))</f>
        <v>0</v>
      </c>
      <c r="AB102" s="8">
        <f>IF(A102="","",COUNTIFS($A$5:A102,A102))</f>
        <v>0</v>
      </c>
      <c r="AC102" s="8">
        <f>IF(B102="","",IF(COUNTIFS('Dietary Filters'!$C$5:$C$104,B102)&gt;0,"Check","OK"))</f>
        <v>0</v>
      </c>
      <c r="AD102" s="25"/>
    </row>
    <row r="103" spans="1:30">
      <c r="A103" s="7"/>
      <c r="B103" s="7"/>
      <c r="C103" s="26"/>
      <c r="D103" s="27"/>
      <c r="E103" s="8">
        <f>IF(B103="","",IFERROR(INDEX(Ingredients!$B$5:$B$304,MATCH(B103,Ingredients!$A$5:$A$304,0)),""))</f>
        <v>0</v>
      </c>
      <c r="F103" s="8">
        <f>IF(B103="","",IFERROR(INDEX(Ingredients!$E$5:$E$304,MATCH(B103,Ingredients!$A$5:$A$304,0)),""))</f>
        <v>0</v>
      </c>
      <c r="G103" s="8">
        <f>IF(B103="","",IFERROR(INDEX(Ingredients!$D$5:$D$304,MATCH(B103,Ingredients!$A$5:$A$304,0)),""))</f>
        <v>0</v>
      </c>
      <c r="H103" s="8">
        <f>IF(OR(B103="",C103=""),"",IFERROR(C103*G103,""))</f>
        <v>0</v>
      </c>
      <c r="I103" s="8">
        <f>IF(A103="","",IFERROR(INDEX(Recipes!$D$5:$D$204,MATCH(A103,Recipes!$A$5:$A$204,0)),""))</f>
        <v>0</v>
      </c>
      <c r="J103" s="8">
        <f>IF(OR(H103="",I103="",I103=0),"",IFERROR(H103/I103,""))</f>
        <v>0</v>
      </c>
      <c r="K103" s="8">
        <f>IF(OR(B103="",C103=""),"",IFERROR(C103*IFERROR(INDEX(Ingredients!$H$5:$H$304,MATCH(B103,Ingredients!$A$5:$A$304,0)),""),""))</f>
        <v>0</v>
      </c>
      <c r="L103" s="8">
        <f>IF(OR(B103="",C103=""),"",IFERROR(C103*IFERROR(INDEX(Ingredients!$I$5:$I$304,MATCH(B103,Ingredients!$A$5:$A$304,0)),""),""))</f>
        <v>0</v>
      </c>
      <c r="M103" s="8">
        <f>IF(OR(B103="",C103=""),"",IFERROR(C103*IFERROR(INDEX(Ingredients!$J$5:$J$304,MATCH(B103,Ingredients!$A$5:$A$304,0)),""),""))</f>
        <v>0</v>
      </c>
      <c r="N103" s="8">
        <f>IF(OR(B103="",C103=""),"",IFERROR(C103*IFERROR(INDEX(Ingredients!$K$5:$K$304,MATCH(B103,Ingredients!$A$5:$A$304,0)),""),""))</f>
        <v>0</v>
      </c>
      <c r="O103" s="8">
        <f>IF(OR(B103="",C103=""),"",IFERROR(C103*IFERROR(INDEX(Ingredients!$L$5:$L$304,MATCH(B103,Ingredients!$A$5:$A$304,0)),""),""))</f>
        <v>0</v>
      </c>
      <c r="P103" s="8">
        <f>IF(OR(H103="",A103=""),"",IFERROR(H103/SUMIFS('Recipe Ingredients'!$H$5:$H$1204,'Recipe Ingredients'!$A$5:$A$1204,A103),""))</f>
        <v>0</v>
      </c>
      <c r="Q103" s="8">
        <f>IF(H103="","",COUNTIFS($H$5:$H$1204,"&gt;"&amp;H103)+1)</f>
        <v>0</v>
      </c>
      <c r="R103" s="8">
        <f>IF(B103="","",SUMIFS(Pantry!$C$5:$C$304,Pantry!$A$5:$A$304,B103))</f>
        <v>0</v>
      </c>
      <c r="S103" s="8">
        <f>IF(OR(B103="",C103=""),"",MAX(0,C103-R103))</f>
        <v>0</v>
      </c>
      <c r="T103" s="26"/>
      <c r="U103" s="8">
        <f>IF(OR(T103="",T103=0,G103=""),"",T103*G103)</f>
        <v>0</v>
      </c>
      <c r="V103" s="8">
        <f>IF(OR(S103="",T103="",T103=0),"",CEILING(S103/T103,1))</f>
        <v>0</v>
      </c>
      <c r="W103" s="27"/>
      <c r="X103" s="29"/>
      <c r="Y103" s="8">
        <f>IF(OR(C103="",X103=""),"",C103*(1+X103))</f>
        <v>0</v>
      </c>
      <c r="Z103" s="8">
        <f>IF(B103="","",IFERROR(INDEX(Ingredients!$O$5:$O$304,MATCH(B103,Ingredients!$A$5:$A$304,0)),""))</f>
        <v>0</v>
      </c>
      <c r="AA103" s="8">
        <f>IF(B103="","",IF(R103&gt;=C103,"In pantry","To buy"))</f>
        <v>0</v>
      </c>
      <c r="AB103" s="8">
        <f>IF(A103="","",COUNTIFS($A$5:A103,A103))</f>
        <v>0</v>
      </c>
      <c r="AC103" s="8">
        <f>IF(B103="","",IF(COUNTIFS('Dietary Filters'!$C$5:$C$104,B103)&gt;0,"Check","OK"))</f>
        <v>0</v>
      </c>
      <c r="AD103" s="25"/>
    </row>
    <row r="104" spans="1:30">
      <c r="A104" s="7"/>
      <c r="B104" s="7"/>
      <c r="C104" s="26"/>
      <c r="D104" s="27"/>
      <c r="E104" s="8">
        <f>IF(B104="","",IFERROR(INDEX(Ingredients!$B$5:$B$304,MATCH(B104,Ingredients!$A$5:$A$304,0)),""))</f>
        <v>0</v>
      </c>
      <c r="F104" s="8">
        <f>IF(B104="","",IFERROR(INDEX(Ingredients!$E$5:$E$304,MATCH(B104,Ingredients!$A$5:$A$304,0)),""))</f>
        <v>0</v>
      </c>
      <c r="G104" s="8">
        <f>IF(B104="","",IFERROR(INDEX(Ingredients!$D$5:$D$304,MATCH(B104,Ingredients!$A$5:$A$304,0)),""))</f>
        <v>0</v>
      </c>
      <c r="H104" s="8">
        <f>IF(OR(B104="",C104=""),"",IFERROR(C104*G104,""))</f>
        <v>0</v>
      </c>
      <c r="I104" s="8">
        <f>IF(A104="","",IFERROR(INDEX(Recipes!$D$5:$D$204,MATCH(A104,Recipes!$A$5:$A$204,0)),""))</f>
        <v>0</v>
      </c>
      <c r="J104" s="8">
        <f>IF(OR(H104="",I104="",I104=0),"",IFERROR(H104/I104,""))</f>
        <v>0</v>
      </c>
      <c r="K104" s="8">
        <f>IF(OR(B104="",C104=""),"",IFERROR(C104*IFERROR(INDEX(Ingredients!$H$5:$H$304,MATCH(B104,Ingredients!$A$5:$A$304,0)),""),""))</f>
        <v>0</v>
      </c>
      <c r="L104" s="8">
        <f>IF(OR(B104="",C104=""),"",IFERROR(C104*IFERROR(INDEX(Ingredients!$I$5:$I$304,MATCH(B104,Ingredients!$A$5:$A$304,0)),""),""))</f>
        <v>0</v>
      </c>
      <c r="M104" s="8">
        <f>IF(OR(B104="",C104=""),"",IFERROR(C104*IFERROR(INDEX(Ingredients!$J$5:$J$304,MATCH(B104,Ingredients!$A$5:$A$304,0)),""),""))</f>
        <v>0</v>
      </c>
      <c r="N104" s="8">
        <f>IF(OR(B104="",C104=""),"",IFERROR(C104*IFERROR(INDEX(Ingredients!$K$5:$K$304,MATCH(B104,Ingredients!$A$5:$A$304,0)),""),""))</f>
        <v>0</v>
      </c>
      <c r="O104" s="8">
        <f>IF(OR(B104="",C104=""),"",IFERROR(C104*IFERROR(INDEX(Ingredients!$L$5:$L$304,MATCH(B104,Ingredients!$A$5:$A$304,0)),""),""))</f>
        <v>0</v>
      </c>
      <c r="P104" s="8">
        <f>IF(OR(H104="",A104=""),"",IFERROR(H104/SUMIFS('Recipe Ingredients'!$H$5:$H$1204,'Recipe Ingredients'!$A$5:$A$1204,A104),""))</f>
        <v>0</v>
      </c>
      <c r="Q104" s="8">
        <f>IF(H104="","",COUNTIFS($H$5:$H$1204,"&gt;"&amp;H104)+1)</f>
        <v>0</v>
      </c>
      <c r="R104" s="8">
        <f>IF(B104="","",SUMIFS(Pantry!$C$5:$C$304,Pantry!$A$5:$A$304,B104))</f>
        <v>0</v>
      </c>
      <c r="S104" s="8">
        <f>IF(OR(B104="",C104=""),"",MAX(0,C104-R104))</f>
        <v>0</v>
      </c>
      <c r="T104" s="26"/>
      <c r="U104" s="8">
        <f>IF(OR(T104="",T104=0,G104=""),"",T104*G104)</f>
        <v>0</v>
      </c>
      <c r="V104" s="8">
        <f>IF(OR(S104="",T104="",T104=0),"",CEILING(S104/T104,1))</f>
        <v>0</v>
      </c>
      <c r="W104" s="27"/>
      <c r="X104" s="29"/>
      <c r="Y104" s="8">
        <f>IF(OR(C104="",X104=""),"",C104*(1+X104))</f>
        <v>0</v>
      </c>
      <c r="Z104" s="8">
        <f>IF(B104="","",IFERROR(INDEX(Ingredients!$O$5:$O$304,MATCH(B104,Ingredients!$A$5:$A$304,0)),""))</f>
        <v>0</v>
      </c>
      <c r="AA104" s="8">
        <f>IF(B104="","",IF(R104&gt;=C104,"In pantry","To buy"))</f>
        <v>0</v>
      </c>
      <c r="AB104" s="8">
        <f>IF(A104="","",COUNTIFS($A$5:A104,A104))</f>
        <v>0</v>
      </c>
      <c r="AC104" s="8">
        <f>IF(B104="","",IF(COUNTIFS('Dietary Filters'!$C$5:$C$104,B104)&gt;0,"Check","OK"))</f>
        <v>0</v>
      </c>
      <c r="AD104" s="25"/>
    </row>
    <row r="105" spans="1:30">
      <c r="A105" s="7"/>
      <c r="B105" s="7"/>
      <c r="C105" s="26"/>
      <c r="D105" s="27"/>
      <c r="E105" s="8">
        <f>IF(B105="","",IFERROR(INDEX(Ingredients!$B$5:$B$304,MATCH(B105,Ingredients!$A$5:$A$304,0)),""))</f>
        <v>0</v>
      </c>
      <c r="F105" s="8">
        <f>IF(B105="","",IFERROR(INDEX(Ingredients!$E$5:$E$304,MATCH(B105,Ingredients!$A$5:$A$304,0)),""))</f>
        <v>0</v>
      </c>
      <c r="G105" s="8">
        <f>IF(B105="","",IFERROR(INDEX(Ingredients!$D$5:$D$304,MATCH(B105,Ingredients!$A$5:$A$304,0)),""))</f>
        <v>0</v>
      </c>
      <c r="H105" s="8">
        <f>IF(OR(B105="",C105=""),"",IFERROR(C105*G105,""))</f>
        <v>0</v>
      </c>
      <c r="I105" s="8">
        <f>IF(A105="","",IFERROR(INDEX(Recipes!$D$5:$D$204,MATCH(A105,Recipes!$A$5:$A$204,0)),""))</f>
        <v>0</v>
      </c>
      <c r="J105" s="8">
        <f>IF(OR(H105="",I105="",I105=0),"",IFERROR(H105/I105,""))</f>
        <v>0</v>
      </c>
      <c r="K105" s="8">
        <f>IF(OR(B105="",C105=""),"",IFERROR(C105*IFERROR(INDEX(Ingredients!$H$5:$H$304,MATCH(B105,Ingredients!$A$5:$A$304,0)),""),""))</f>
        <v>0</v>
      </c>
      <c r="L105" s="8">
        <f>IF(OR(B105="",C105=""),"",IFERROR(C105*IFERROR(INDEX(Ingredients!$I$5:$I$304,MATCH(B105,Ingredients!$A$5:$A$304,0)),""),""))</f>
        <v>0</v>
      </c>
      <c r="M105" s="8">
        <f>IF(OR(B105="",C105=""),"",IFERROR(C105*IFERROR(INDEX(Ingredients!$J$5:$J$304,MATCH(B105,Ingredients!$A$5:$A$304,0)),""),""))</f>
        <v>0</v>
      </c>
      <c r="N105" s="8">
        <f>IF(OR(B105="",C105=""),"",IFERROR(C105*IFERROR(INDEX(Ingredients!$K$5:$K$304,MATCH(B105,Ingredients!$A$5:$A$304,0)),""),""))</f>
        <v>0</v>
      </c>
      <c r="O105" s="8">
        <f>IF(OR(B105="",C105=""),"",IFERROR(C105*IFERROR(INDEX(Ingredients!$L$5:$L$304,MATCH(B105,Ingredients!$A$5:$A$304,0)),""),""))</f>
        <v>0</v>
      </c>
      <c r="P105" s="8">
        <f>IF(OR(H105="",A105=""),"",IFERROR(H105/SUMIFS('Recipe Ingredients'!$H$5:$H$1204,'Recipe Ingredients'!$A$5:$A$1204,A105),""))</f>
        <v>0</v>
      </c>
      <c r="Q105" s="8">
        <f>IF(H105="","",COUNTIFS($H$5:$H$1204,"&gt;"&amp;H105)+1)</f>
        <v>0</v>
      </c>
      <c r="R105" s="8">
        <f>IF(B105="","",SUMIFS(Pantry!$C$5:$C$304,Pantry!$A$5:$A$304,B105))</f>
        <v>0</v>
      </c>
      <c r="S105" s="8">
        <f>IF(OR(B105="",C105=""),"",MAX(0,C105-R105))</f>
        <v>0</v>
      </c>
      <c r="T105" s="26"/>
      <c r="U105" s="8">
        <f>IF(OR(T105="",T105=0,G105=""),"",T105*G105)</f>
        <v>0</v>
      </c>
      <c r="V105" s="8">
        <f>IF(OR(S105="",T105="",T105=0),"",CEILING(S105/T105,1))</f>
        <v>0</v>
      </c>
      <c r="W105" s="27"/>
      <c r="X105" s="29"/>
      <c r="Y105" s="8">
        <f>IF(OR(C105="",X105=""),"",C105*(1+X105))</f>
        <v>0</v>
      </c>
      <c r="Z105" s="8">
        <f>IF(B105="","",IFERROR(INDEX(Ingredients!$O$5:$O$304,MATCH(B105,Ingredients!$A$5:$A$304,0)),""))</f>
        <v>0</v>
      </c>
      <c r="AA105" s="8">
        <f>IF(B105="","",IF(R105&gt;=C105,"In pantry","To buy"))</f>
        <v>0</v>
      </c>
      <c r="AB105" s="8">
        <f>IF(A105="","",COUNTIFS($A$5:A105,A105))</f>
        <v>0</v>
      </c>
      <c r="AC105" s="8">
        <f>IF(B105="","",IF(COUNTIFS('Dietary Filters'!$C$5:$C$104,B105)&gt;0,"Check","OK"))</f>
        <v>0</v>
      </c>
      <c r="AD105" s="25"/>
    </row>
    <row r="106" spans="1:30">
      <c r="A106" s="7"/>
      <c r="B106" s="7"/>
      <c r="C106" s="26"/>
      <c r="D106" s="27"/>
      <c r="E106" s="8">
        <f>IF(B106="","",IFERROR(INDEX(Ingredients!$B$5:$B$304,MATCH(B106,Ingredients!$A$5:$A$304,0)),""))</f>
        <v>0</v>
      </c>
      <c r="F106" s="8">
        <f>IF(B106="","",IFERROR(INDEX(Ingredients!$E$5:$E$304,MATCH(B106,Ingredients!$A$5:$A$304,0)),""))</f>
        <v>0</v>
      </c>
      <c r="G106" s="8">
        <f>IF(B106="","",IFERROR(INDEX(Ingredients!$D$5:$D$304,MATCH(B106,Ingredients!$A$5:$A$304,0)),""))</f>
        <v>0</v>
      </c>
      <c r="H106" s="8">
        <f>IF(OR(B106="",C106=""),"",IFERROR(C106*G106,""))</f>
        <v>0</v>
      </c>
      <c r="I106" s="8">
        <f>IF(A106="","",IFERROR(INDEX(Recipes!$D$5:$D$204,MATCH(A106,Recipes!$A$5:$A$204,0)),""))</f>
        <v>0</v>
      </c>
      <c r="J106" s="8">
        <f>IF(OR(H106="",I106="",I106=0),"",IFERROR(H106/I106,""))</f>
        <v>0</v>
      </c>
      <c r="K106" s="8">
        <f>IF(OR(B106="",C106=""),"",IFERROR(C106*IFERROR(INDEX(Ingredients!$H$5:$H$304,MATCH(B106,Ingredients!$A$5:$A$304,0)),""),""))</f>
        <v>0</v>
      </c>
      <c r="L106" s="8">
        <f>IF(OR(B106="",C106=""),"",IFERROR(C106*IFERROR(INDEX(Ingredients!$I$5:$I$304,MATCH(B106,Ingredients!$A$5:$A$304,0)),""),""))</f>
        <v>0</v>
      </c>
      <c r="M106" s="8">
        <f>IF(OR(B106="",C106=""),"",IFERROR(C106*IFERROR(INDEX(Ingredients!$J$5:$J$304,MATCH(B106,Ingredients!$A$5:$A$304,0)),""),""))</f>
        <v>0</v>
      </c>
      <c r="N106" s="8">
        <f>IF(OR(B106="",C106=""),"",IFERROR(C106*IFERROR(INDEX(Ingredients!$K$5:$K$304,MATCH(B106,Ingredients!$A$5:$A$304,0)),""),""))</f>
        <v>0</v>
      </c>
      <c r="O106" s="8">
        <f>IF(OR(B106="",C106=""),"",IFERROR(C106*IFERROR(INDEX(Ingredients!$L$5:$L$304,MATCH(B106,Ingredients!$A$5:$A$304,0)),""),""))</f>
        <v>0</v>
      </c>
      <c r="P106" s="8">
        <f>IF(OR(H106="",A106=""),"",IFERROR(H106/SUMIFS('Recipe Ingredients'!$H$5:$H$1204,'Recipe Ingredients'!$A$5:$A$1204,A106),""))</f>
        <v>0</v>
      </c>
      <c r="Q106" s="8">
        <f>IF(H106="","",COUNTIFS($H$5:$H$1204,"&gt;"&amp;H106)+1)</f>
        <v>0</v>
      </c>
      <c r="R106" s="8">
        <f>IF(B106="","",SUMIFS(Pantry!$C$5:$C$304,Pantry!$A$5:$A$304,B106))</f>
        <v>0</v>
      </c>
      <c r="S106" s="8">
        <f>IF(OR(B106="",C106=""),"",MAX(0,C106-R106))</f>
        <v>0</v>
      </c>
      <c r="T106" s="26"/>
      <c r="U106" s="8">
        <f>IF(OR(T106="",T106=0,G106=""),"",T106*G106)</f>
        <v>0</v>
      </c>
      <c r="V106" s="8">
        <f>IF(OR(S106="",T106="",T106=0),"",CEILING(S106/T106,1))</f>
        <v>0</v>
      </c>
      <c r="W106" s="27"/>
      <c r="X106" s="29"/>
      <c r="Y106" s="8">
        <f>IF(OR(C106="",X106=""),"",C106*(1+X106))</f>
        <v>0</v>
      </c>
      <c r="Z106" s="8">
        <f>IF(B106="","",IFERROR(INDEX(Ingredients!$O$5:$O$304,MATCH(B106,Ingredients!$A$5:$A$304,0)),""))</f>
        <v>0</v>
      </c>
      <c r="AA106" s="8">
        <f>IF(B106="","",IF(R106&gt;=C106,"In pantry","To buy"))</f>
        <v>0</v>
      </c>
      <c r="AB106" s="8">
        <f>IF(A106="","",COUNTIFS($A$5:A106,A106))</f>
        <v>0</v>
      </c>
      <c r="AC106" s="8">
        <f>IF(B106="","",IF(COUNTIFS('Dietary Filters'!$C$5:$C$104,B106)&gt;0,"Check","OK"))</f>
        <v>0</v>
      </c>
      <c r="AD106" s="25"/>
    </row>
    <row r="107" spans="1:30">
      <c r="A107" s="7"/>
      <c r="B107" s="7"/>
      <c r="C107" s="26"/>
      <c r="D107" s="27"/>
      <c r="E107" s="8">
        <f>IF(B107="","",IFERROR(INDEX(Ingredients!$B$5:$B$304,MATCH(B107,Ingredients!$A$5:$A$304,0)),""))</f>
        <v>0</v>
      </c>
      <c r="F107" s="8">
        <f>IF(B107="","",IFERROR(INDEX(Ingredients!$E$5:$E$304,MATCH(B107,Ingredients!$A$5:$A$304,0)),""))</f>
        <v>0</v>
      </c>
      <c r="G107" s="8">
        <f>IF(B107="","",IFERROR(INDEX(Ingredients!$D$5:$D$304,MATCH(B107,Ingredients!$A$5:$A$304,0)),""))</f>
        <v>0</v>
      </c>
      <c r="H107" s="8">
        <f>IF(OR(B107="",C107=""),"",IFERROR(C107*G107,""))</f>
        <v>0</v>
      </c>
      <c r="I107" s="8">
        <f>IF(A107="","",IFERROR(INDEX(Recipes!$D$5:$D$204,MATCH(A107,Recipes!$A$5:$A$204,0)),""))</f>
        <v>0</v>
      </c>
      <c r="J107" s="8">
        <f>IF(OR(H107="",I107="",I107=0),"",IFERROR(H107/I107,""))</f>
        <v>0</v>
      </c>
      <c r="K107" s="8">
        <f>IF(OR(B107="",C107=""),"",IFERROR(C107*IFERROR(INDEX(Ingredients!$H$5:$H$304,MATCH(B107,Ingredients!$A$5:$A$304,0)),""),""))</f>
        <v>0</v>
      </c>
      <c r="L107" s="8">
        <f>IF(OR(B107="",C107=""),"",IFERROR(C107*IFERROR(INDEX(Ingredients!$I$5:$I$304,MATCH(B107,Ingredients!$A$5:$A$304,0)),""),""))</f>
        <v>0</v>
      </c>
      <c r="M107" s="8">
        <f>IF(OR(B107="",C107=""),"",IFERROR(C107*IFERROR(INDEX(Ingredients!$J$5:$J$304,MATCH(B107,Ingredients!$A$5:$A$304,0)),""),""))</f>
        <v>0</v>
      </c>
      <c r="N107" s="8">
        <f>IF(OR(B107="",C107=""),"",IFERROR(C107*IFERROR(INDEX(Ingredients!$K$5:$K$304,MATCH(B107,Ingredients!$A$5:$A$304,0)),""),""))</f>
        <v>0</v>
      </c>
      <c r="O107" s="8">
        <f>IF(OR(B107="",C107=""),"",IFERROR(C107*IFERROR(INDEX(Ingredients!$L$5:$L$304,MATCH(B107,Ingredients!$A$5:$A$304,0)),""),""))</f>
        <v>0</v>
      </c>
      <c r="P107" s="8">
        <f>IF(OR(H107="",A107=""),"",IFERROR(H107/SUMIFS('Recipe Ingredients'!$H$5:$H$1204,'Recipe Ingredients'!$A$5:$A$1204,A107),""))</f>
        <v>0</v>
      </c>
      <c r="Q107" s="8">
        <f>IF(H107="","",COUNTIFS($H$5:$H$1204,"&gt;"&amp;H107)+1)</f>
        <v>0</v>
      </c>
      <c r="R107" s="8">
        <f>IF(B107="","",SUMIFS(Pantry!$C$5:$C$304,Pantry!$A$5:$A$304,B107))</f>
        <v>0</v>
      </c>
      <c r="S107" s="8">
        <f>IF(OR(B107="",C107=""),"",MAX(0,C107-R107))</f>
        <v>0</v>
      </c>
      <c r="T107" s="26"/>
      <c r="U107" s="8">
        <f>IF(OR(T107="",T107=0,G107=""),"",T107*G107)</f>
        <v>0</v>
      </c>
      <c r="V107" s="8">
        <f>IF(OR(S107="",T107="",T107=0),"",CEILING(S107/T107,1))</f>
        <v>0</v>
      </c>
      <c r="W107" s="27"/>
      <c r="X107" s="29"/>
      <c r="Y107" s="8">
        <f>IF(OR(C107="",X107=""),"",C107*(1+X107))</f>
        <v>0</v>
      </c>
      <c r="Z107" s="8">
        <f>IF(B107="","",IFERROR(INDEX(Ingredients!$O$5:$O$304,MATCH(B107,Ingredients!$A$5:$A$304,0)),""))</f>
        <v>0</v>
      </c>
      <c r="AA107" s="8">
        <f>IF(B107="","",IF(R107&gt;=C107,"In pantry","To buy"))</f>
        <v>0</v>
      </c>
      <c r="AB107" s="8">
        <f>IF(A107="","",COUNTIFS($A$5:A107,A107))</f>
        <v>0</v>
      </c>
      <c r="AC107" s="8">
        <f>IF(B107="","",IF(COUNTIFS('Dietary Filters'!$C$5:$C$104,B107)&gt;0,"Check","OK"))</f>
        <v>0</v>
      </c>
      <c r="AD107" s="25"/>
    </row>
    <row r="108" spans="1:30">
      <c r="A108" s="7"/>
      <c r="B108" s="7"/>
      <c r="C108" s="26"/>
      <c r="D108" s="27"/>
      <c r="E108" s="8">
        <f>IF(B108="","",IFERROR(INDEX(Ingredients!$B$5:$B$304,MATCH(B108,Ingredients!$A$5:$A$304,0)),""))</f>
        <v>0</v>
      </c>
      <c r="F108" s="8">
        <f>IF(B108="","",IFERROR(INDEX(Ingredients!$E$5:$E$304,MATCH(B108,Ingredients!$A$5:$A$304,0)),""))</f>
        <v>0</v>
      </c>
      <c r="G108" s="8">
        <f>IF(B108="","",IFERROR(INDEX(Ingredients!$D$5:$D$304,MATCH(B108,Ingredients!$A$5:$A$304,0)),""))</f>
        <v>0</v>
      </c>
      <c r="H108" s="8">
        <f>IF(OR(B108="",C108=""),"",IFERROR(C108*G108,""))</f>
        <v>0</v>
      </c>
      <c r="I108" s="8">
        <f>IF(A108="","",IFERROR(INDEX(Recipes!$D$5:$D$204,MATCH(A108,Recipes!$A$5:$A$204,0)),""))</f>
        <v>0</v>
      </c>
      <c r="J108" s="8">
        <f>IF(OR(H108="",I108="",I108=0),"",IFERROR(H108/I108,""))</f>
        <v>0</v>
      </c>
      <c r="K108" s="8">
        <f>IF(OR(B108="",C108=""),"",IFERROR(C108*IFERROR(INDEX(Ingredients!$H$5:$H$304,MATCH(B108,Ingredients!$A$5:$A$304,0)),""),""))</f>
        <v>0</v>
      </c>
      <c r="L108" s="8">
        <f>IF(OR(B108="",C108=""),"",IFERROR(C108*IFERROR(INDEX(Ingredients!$I$5:$I$304,MATCH(B108,Ingredients!$A$5:$A$304,0)),""),""))</f>
        <v>0</v>
      </c>
      <c r="M108" s="8">
        <f>IF(OR(B108="",C108=""),"",IFERROR(C108*IFERROR(INDEX(Ingredients!$J$5:$J$304,MATCH(B108,Ingredients!$A$5:$A$304,0)),""),""))</f>
        <v>0</v>
      </c>
      <c r="N108" s="8">
        <f>IF(OR(B108="",C108=""),"",IFERROR(C108*IFERROR(INDEX(Ingredients!$K$5:$K$304,MATCH(B108,Ingredients!$A$5:$A$304,0)),""),""))</f>
        <v>0</v>
      </c>
      <c r="O108" s="8">
        <f>IF(OR(B108="",C108=""),"",IFERROR(C108*IFERROR(INDEX(Ingredients!$L$5:$L$304,MATCH(B108,Ingredients!$A$5:$A$304,0)),""),""))</f>
        <v>0</v>
      </c>
      <c r="P108" s="8">
        <f>IF(OR(H108="",A108=""),"",IFERROR(H108/SUMIFS('Recipe Ingredients'!$H$5:$H$1204,'Recipe Ingredients'!$A$5:$A$1204,A108),""))</f>
        <v>0</v>
      </c>
      <c r="Q108" s="8">
        <f>IF(H108="","",COUNTIFS($H$5:$H$1204,"&gt;"&amp;H108)+1)</f>
        <v>0</v>
      </c>
      <c r="R108" s="8">
        <f>IF(B108="","",SUMIFS(Pantry!$C$5:$C$304,Pantry!$A$5:$A$304,B108))</f>
        <v>0</v>
      </c>
      <c r="S108" s="8">
        <f>IF(OR(B108="",C108=""),"",MAX(0,C108-R108))</f>
        <v>0</v>
      </c>
      <c r="T108" s="26"/>
      <c r="U108" s="8">
        <f>IF(OR(T108="",T108=0,G108=""),"",T108*G108)</f>
        <v>0</v>
      </c>
      <c r="V108" s="8">
        <f>IF(OR(S108="",T108="",T108=0),"",CEILING(S108/T108,1))</f>
        <v>0</v>
      </c>
      <c r="W108" s="27"/>
      <c r="X108" s="29"/>
      <c r="Y108" s="8">
        <f>IF(OR(C108="",X108=""),"",C108*(1+X108))</f>
        <v>0</v>
      </c>
      <c r="Z108" s="8">
        <f>IF(B108="","",IFERROR(INDEX(Ingredients!$O$5:$O$304,MATCH(B108,Ingredients!$A$5:$A$304,0)),""))</f>
        <v>0</v>
      </c>
      <c r="AA108" s="8">
        <f>IF(B108="","",IF(R108&gt;=C108,"In pantry","To buy"))</f>
        <v>0</v>
      </c>
      <c r="AB108" s="8">
        <f>IF(A108="","",COUNTIFS($A$5:A108,A108))</f>
        <v>0</v>
      </c>
      <c r="AC108" s="8">
        <f>IF(B108="","",IF(COUNTIFS('Dietary Filters'!$C$5:$C$104,B108)&gt;0,"Check","OK"))</f>
        <v>0</v>
      </c>
      <c r="AD108" s="25"/>
    </row>
    <row r="109" spans="1:30">
      <c r="A109" s="7"/>
      <c r="B109" s="7"/>
      <c r="C109" s="26"/>
      <c r="D109" s="27"/>
      <c r="E109" s="8">
        <f>IF(B109="","",IFERROR(INDEX(Ingredients!$B$5:$B$304,MATCH(B109,Ingredients!$A$5:$A$304,0)),""))</f>
        <v>0</v>
      </c>
      <c r="F109" s="8">
        <f>IF(B109="","",IFERROR(INDEX(Ingredients!$E$5:$E$304,MATCH(B109,Ingredients!$A$5:$A$304,0)),""))</f>
        <v>0</v>
      </c>
      <c r="G109" s="8">
        <f>IF(B109="","",IFERROR(INDEX(Ingredients!$D$5:$D$304,MATCH(B109,Ingredients!$A$5:$A$304,0)),""))</f>
        <v>0</v>
      </c>
      <c r="H109" s="8">
        <f>IF(OR(B109="",C109=""),"",IFERROR(C109*G109,""))</f>
        <v>0</v>
      </c>
      <c r="I109" s="8">
        <f>IF(A109="","",IFERROR(INDEX(Recipes!$D$5:$D$204,MATCH(A109,Recipes!$A$5:$A$204,0)),""))</f>
        <v>0</v>
      </c>
      <c r="J109" s="8">
        <f>IF(OR(H109="",I109="",I109=0),"",IFERROR(H109/I109,""))</f>
        <v>0</v>
      </c>
      <c r="K109" s="8">
        <f>IF(OR(B109="",C109=""),"",IFERROR(C109*IFERROR(INDEX(Ingredients!$H$5:$H$304,MATCH(B109,Ingredients!$A$5:$A$304,0)),""),""))</f>
        <v>0</v>
      </c>
      <c r="L109" s="8">
        <f>IF(OR(B109="",C109=""),"",IFERROR(C109*IFERROR(INDEX(Ingredients!$I$5:$I$304,MATCH(B109,Ingredients!$A$5:$A$304,0)),""),""))</f>
        <v>0</v>
      </c>
      <c r="M109" s="8">
        <f>IF(OR(B109="",C109=""),"",IFERROR(C109*IFERROR(INDEX(Ingredients!$J$5:$J$304,MATCH(B109,Ingredients!$A$5:$A$304,0)),""),""))</f>
        <v>0</v>
      </c>
      <c r="N109" s="8">
        <f>IF(OR(B109="",C109=""),"",IFERROR(C109*IFERROR(INDEX(Ingredients!$K$5:$K$304,MATCH(B109,Ingredients!$A$5:$A$304,0)),""),""))</f>
        <v>0</v>
      </c>
      <c r="O109" s="8">
        <f>IF(OR(B109="",C109=""),"",IFERROR(C109*IFERROR(INDEX(Ingredients!$L$5:$L$304,MATCH(B109,Ingredients!$A$5:$A$304,0)),""),""))</f>
        <v>0</v>
      </c>
      <c r="P109" s="8">
        <f>IF(OR(H109="",A109=""),"",IFERROR(H109/SUMIFS('Recipe Ingredients'!$H$5:$H$1204,'Recipe Ingredients'!$A$5:$A$1204,A109),""))</f>
        <v>0</v>
      </c>
      <c r="Q109" s="8">
        <f>IF(H109="","",COUNTIFS($H$5:$H$1204,"&gt;"&amp;H109)+1)</f>
        <v>0</v>
      </c>
      <c r="R109" s="8">
        <f>IF(B109="","",SUMIFS(Pantry!$C$5:$C$304,Pantry!$A$5:$A$304,B109))</f>
        <v>0</v>
      </c>
      <c r="S109" s="8">
        <f>IF(OR(B109="",C109=""),"",MAX(0,C109-R109))</f>
        <v>0</v>
      </c>
      <c r="T109" s="26"/>
      <c r="U109" s="8">
        <f>IF(OR(T109="",T109=0,G109=""),"",T109*G109)</f>
        <v>0</v>
      </c>
      <c r="V109" s="8">
        <f>IF(OR(S109="",T109="",T109=0),"",CEILING(S109/T109,1))</f>
        <v>0</v>
      </c>
      <c r="W109" s="27"/>
      <c r="X109" s="29"/>
      <c r="Y109" s="8">
        <f>IF(OR(C109="",X109=""),"",C109*(1+X109))</f>
        <v>0</v>
      </c>
      <c r="Z109" s="8">
        <f>IF(B109="","",IFERROR(INDEX(Ingredients!$O$5:$O$304,MATCH(B109,Ingredients!$A$5:$A$304,0)),""))</f>
        <v>0</v>
      </c>
      <c r="AA109" s="8">
        <f>IF(B109="","",IF(R109&gt;=C109,"In pantry","To buy"))</f>
        <v>0</v>
      </c>
      <c r="AB109" s="8">
        <f>IF(A109="","",COUNTIFS($A$5:A109,A109))</f>
        <v>0</v>
      </c>
      <c r="AC109" s="8">
        <f>IF(B109="","",IF(COUNTIFS('Dietary Filters'!$C$5:$C$104,B109)&gt;0,"Check","OK"))</f>
        <v>0</v>
      </c>
      <c r="AD109" s="25"/>
    </row>
    <row r="110" spans="1:30">
      <c r="A110" s="7"/>
      <c r="B110" s="7"/>
      <c r="C110" s="26"/>
      <c r="D110" s="27"/>
      <c r="E110" s="8">
        <f>IF(B110="","",IFERROR(INDEX(Ingredients!$B$5:$B$304,MATCH(B110,Ingredients!$A$5:$A$304,0)),""))</f>
        <v>0</v>
      </c>
      <c r="F110" s="8">
        <f>IF(B110="","",IFERROR(INDEX(Ingredients!$E$5:$E$304,MATCH(B110,Ingredients!$A$5:$A$304,0)),""))</f>
        <v>0</v>
      </c>
      <c r="G110" s="8">
        <f>IF(B110="","",IFERROR(INDEX(Ingredients!$D$5:$D$304,MATCH(B110,Ingredients!$A$5:$A$304,0)),""))</f>
        <v>0</v>
      </c>
      <c r="H110" s="8">
        <f>IF(OR(B110="",C110=""),"",IFERROR(C110*G110,""))</f>
        <v>0</v>
      </c>
      <c r="I110" s="8">
        <f>IF(A110="","",IFERROR(INDEX(Recipes!$D$5:$D$204,MATCH(A110,Recipes!$A$5:$A$204,0)),""))</f>
        <v>0</v>
      </c>
      <c r="J110" s="8">
        <f>IF(OR(H110="",I110="",I110=0),"",IFERROR(H110/I110,""))</f>
        <v>0</v>
      </c>
      <c r="K110" s="8">
        <f>IF(OR(B110="",C110=""),"",IFERROR(C110*IFERROR(INDEX(Ingredients!$H$5:$H$304,MATCH(B110,Ingredients!$A$5:$A$304,0)),""),""))</f>
        <v>0</v>
      </c>
      <c r="L110" s="8">
        <f>IF(OR(B110="",C110=""),"",IFERROR(C110*IFERROR(INDEX(Ingredients!$I$5:$I$304,MATCH(B110,Ingredients!$A$5:$A$304,0)),""),""))</f>
        <v>0</v>
      </c>
      <c r="M110" s="8">
        <f>IF(OR(B110="",C110=""),"",IFERROR(C110*IFERROR(INDEX(Ingredients!$J$5:$J$304,MATCH(B110,Ingredients!$A$5:$A$304,0)),""),""))</f>
        <v>0</v>
      </c>
      <c r="N110" s="8">
        <f>IF(OR(B110="",C110=""),"",IFERROR(C110*IFERROR(INDEX(Ingredients!$K$5:$K$304,MATCH(B110,Ingredients!$A$5:$A$304,0)),""),""))</f>
        <v>0</v>
      </c>
      <c r="O110" s="8">
        <f>IF(OR(B110="",C110=""),"",IFERROR(C110*IFERROR(INDEX(Ingredients!$L$5:$L$304,MATCH(B110,Ingredients!$A$5:$A$304,0)),""),""))</f>
        <v>0</v>
      </c>
      <c r="P110" s="8">
        <f>IF(OR(H110="",A110=""),"",IFERROR(H110/SUMIFS('Recipe Ingredients'!$H$5:$H$1204,'Recipe Ingredients'!$A$5:$A$1204,A110),""))</f>
        <v>0</v>
      </c>
      <c r="Q110" s="8">
        <f>IF(H110="","",COUNTIFS($H$5:$H$1204,"&gt;"&amp;H110)+1)</f>
        <v>0</v>
      </c>
      <c r="R110" s="8">
        <f>IF(B110="","",SUMIFS(Pantry!$C$5:$C$304,Pantry!$A$5:$A$304,B110))</f>
        <v>0</v>
      </c>
      <c r="S110" s="8">
        <f>IF(OR(B110="",C110=""),"",MAX(0,C110-R110))</f>
        <v>0</v>
      </c>
      <c r="T110" s="26"/>
      <c r="U110" s="8">
        <f>IF(OR(T110="",T110=0,G110=""),"",T110*G110)</f>
        <v>0</v>
      </c>
      <c r="V110" s="8">
        <f>IF(OR(S110="",T110="",T110=0),"",CEILING(S110/T110,1))</f>
        <v>0</v>
      </c>
      <c r="W110" s="27"/>
      <c r="X110" s="29"/>
      <c r="Y110" s="8">
        <f>IF(OR(C110="",X110=""),"",C110*(1+X110))</f>
        <v>0</v>
      </c>
      <c r="Z110" s="8">
        <f>IF(B110="","",IFERROR(INDEX(Ingredients!$O$5:$O$304,MATCH(B110,Ingredients!$A$5:$A$304,0)),""))</f>
        <v>0</v>
      </c>
      <c r="AA110" s="8">
        <f>IF(B110="","",IF(R110&gt;=C110,"In pantry","To buy"))</f>
        <v>0</v>
      </c>
      <c r="AB110" s="8">
        <f>IF(A110="","",COUNTIFS($A$5:A110,A110))</f>
        <v>0</v>
      </c>
      <c r="AC110" s="8">
        <f>IF(B110="","",IF(COUNTIFS('Dietary Filters'!$C$5:$C$104,B110)&gt;0,"Check","OK"))</f>
        <v>0</v>
      </c>
      <c r="AD110" s="25"/>
    </row>
    <row r="111" spans="1:30">
      <c r="A111" s="7"/>
      <c r="B111" s="7"/>
      <c r="C111" s="26"/>
      <c r="D111" s="27"/>
      <c r="E111" s="8">
        <f>IF(B111="","",IFERROR(INDEX(Ingredients!$B$5:$B$304,MATCH(B111,Ingredients!$A$5:$A$304,0)),""))</f>
        <v>0</v>
      </c>
      <c r="F111" s="8">
        <f>IF(B111="","",IFERROR(INDEX(Ingredients!$E$5:$E$304,MATCH(B111,Ingredients!$A$5:$A$304,0)),""))</f>
        <v>0</v>
      </c>
      <c r="G111" s="8">
        <f>IF(B111="","",IFERROR(INDEX(Ingredients!$D$5:$D$304,MATCH(B111,Ingredients!$A$5:$A$304,0)),""))</f>
        <v>0</v>
      </c>
      <c r="H111" s="8">
        <f>IF(OR(B111="",C111=""),"",IFERROR(C111*G111,""))</f>
        <v>0</v>
      </c>
      <c r="I111" s="8">
        <f>IF(A111="","",IFERROR(INDEX(Recipes!$D$5:$D$204,MATCH(A111,Recipes!$A$5:$A$204,0)),""))</f>
        <v>0</v>
      </c>
      <c r="J111" s="8">
        <f>IF(OR(H111="",I111="",I111=0),"",IFERROR(H111/I111,""))</f>
        <v>0</v>
      </c>
      <c r="K111" s="8">
        <f>IF(OR(B111="",C111=""),"",IFERROR(C111*IFERROR(INDEX(Ingredients!$H$5:$H$304,MATCH(B111,Ingredients!$A$5:$A$304,0)),""),""))</f>
        <v>0</v>
      </c>
      <c r="L111" s="8">
        <f>IF(OR(B111="",C111=""),"",IFERROR(C111*IFERROR(INDEX(Ingredients!$I$5:$I$304,MATCH(B111,Ingredients!$A$5:$A$304,0)),""),""))</f>
        <v>0</v>
      </c>
      <c r="M111" s="8">
        <f>IF(OR(B111="",C111=""),"",IFERROR(C111*IFERROR(INDEX(Ingredients!$J$5:$J$304,MATCH(B111,Ingredients!$A$5:$A$304,0)),""),""))</f>
        <v>0</v>
      </c>
      <c r="N111" s="8">
        <f>IF(OR(B111="",C111=""),"",IFERROR(C111*IFERROR(INDEX(Ingredients!$K$5:$K$304,MATCH(B111,Ingredients!$A$5:$A$304,0)),""),""))</f>
        <v>0</v>
      </c>
      <c r="O111" s="8">
        <f>IF(OR(B111="",C111=""),"",IFERROR(C111*IFERROR(INDEX(Ingredients!$L$5:$L$304,MATCH(B111,Ingredients!$A$5:$A$304,0)),""),""))</f>
        <v>0</v>
      </c>
      <c r="P111" s="8">
        <f>IF(OR(H111="",A111=""),"",IFERROR(H111/SUMIFS('Recipe Ingredients'!$H$5:$H$1204,'Recipe Ingredients'!$A$5:$A$1204,A111),""))</f>
        <v>0</v>
      </c>
      <c r="Q111" s="8">
        <f>IF(H111="","",COUNTIFS($H$5:$H$1204,"&gt;"&amp;H111)+1)</f>
        <v>0</v>
      </c>
      <c r="R111" s="8">
        <f>IF(B111="","",SUMIFS(Pantry!$C$5:$C$304,Pantry!$A$5:$A$304,B111))</f>
        <v>0</v>
      </c>
      <c r="S111" s="8">
        <f>IF(OR(B111="",C111=""),"",MAX(0,C111-R111))</f>
        <v>0</v>
      </c>
      <c r="T111" s="26"/>
      <c r="U111" s="8">
        <f>IF(OR(T111="",T111=0,G111=""),"",T111*G111)</f>
        <v>0</v>
      </c>
      <c r="V111" s="8">
        <f>IF(OR(S111="",T111="",T111=0),"",CEILING(S111/T111,1))</f>
        <v>0</v>
      </c>
      <c r="W111" s="27"/>
      <c r="X111" s="29"/>
      <c r="Y111" s="8">
        <f>IF(OR(C111="",X111=""),"",C111*(1+X111))</f>
        <v>0</v>
      </c>
      <c r="Z111" s="8">
        <f>IF(B111="","",IFERROR(INDEX(Ingredients!$O$5:$O$304,MATCH(B111,Ingredients!$A$5:$A$304,0)),""))</f>
        <v>0</v>
      </c>
      <c r="AA111" s="8">
        <f>IF(B111="","",IF(R111&gt;=C111,"In pantry","To buy"))</f>
        <v>0</v>
      </c>
      <c r="AB111" s="8">
        <f>IF(A111="","",COUNTIFS($A$5:A111,A111))</f>
        <v>0</v>
      </c>
      <c r="AC111" s="8">
        <f>IF(B111="","",IF(COUNTIFS('Dietary Filters'!$C$5:$C$104,B111)&gt;0,"Check","OK"))</f>
        <v>0</v>
      </c>
      <c r="AD111" s="25"/>
    </row>
    <row r="112" spans="1:30">
      <c r="A112" s="7"/>
      <c r="B112" s="7"/>
      <c r="C112" s="26"/>
      <c r="D112" s="27"/>
      <c r="E112" s="8">
        <f>IF(B112="","",IFERROR(INDEX(Ingredients!$B$5:$B$304,MATCH(B112,Ingredients!$A$5:$A$304,0)),""))</f>
        <v>0</v>
      </c>
      <c r="F112" s="8">
        <f>IF(B112="","",IFERROR(INDEX(Ingredients!$E$5:$E$304,MATCH(B112,Ingredients!$A$5:$A$304,0)),""))</f>
        <v>0</v>
      </c>
      <c r="G112" s="8">
        <f>IF(B112="","",IFERROR(INDEX(Ingredients!$D$5:$D$304,MATCH(B112,Ingredients!$A$5:$A$304,0)),""))</f>
        <v>0</v>
      </c>
      <c r="H112" s="8">
        <f>IF(OR(B112="",C112=""),"",IFERROR(C112*G112,""))</f>
        <v>0</v>
      </c>
      <c r="I112" s="8">
        <f>IF(A112="","",IFERROR(INDEX(Recipes!$D$5:$D$204,MATCH(A112,Recipes!$A$5:$A$204,0)),""))</f>
        <v>0</v>
      </c>
      <c r="J112" s="8">
        <f>IF(OR(H112="",I112="",I112=0),"",IFERROR(H112/I112,""))</f>
        <v>0</v>
      </c>
      <c r="K112" s="8">
        <f>IF(OR(B112="",C112=""),"",IFERROR(C112*IFERROR(INDEX(Ingredients!$H$5:$H$304,MATCH(B112,Ingredients!$A$5:$A$304,0)),""),""))</f>
        <v>0</v>
      </c>
      <c r="L112" s="8">
        <f>IF(OR(B112="",C112=""),"",IFERROR(C112*IFERROR(INDEX(Ingredients!$I$5:$I$304,MATCH(B112,Ingredients!$A$5:$A$304,0)),""),""))</f>
        <v>0</v>
      </c>
      <c r="M112" s="8">
        <f>IF(OR(B112="",C112=""),"",IFERROR(C112*IFERROR(INDEX(Ingredients!$J$5:$J$304,MATCH(B112,Ingredients!$A$5:$A$304,0)),""),""))</f>
        <v>0</v>
      </c>
      <c r="N112" s="8">
        <f>IF(OR(B112="",C112=""),"",IFERROR(C112*IFERROR(INDEX(Ingredients!$K$5:$K$304,MATCH(B112,Ingredients!$A$5:$A$304,0)),""),""))</f>
        <v>0</v>
      </c>
      <c r="O112" s="8">
        <f>IF(OR(B112="",C112=""),"",IFERROR(C112*IFERROR(INDEX(Ingredients!$L$5:$L$304,MATCH(B112,Ingredients!$A$5:$A$304,0)),""),""))</f>
        <v>0</v>
      </c>
      <c r="P112" s="8">
        <f>IF(OR(H112="",A112=""),"",IFERROR(H112/SUMIFS('Recipe Ingredients'!$H$5:$H$1204,'Recipe Ingredients'!$A$5:$A$1204,A112),""))</f>
        <v>0</v>
      </c>
      <c r="Q112" s="8">
        <f>IF(H112="","",COUNTIFS($H$5:$H$1204,"&gt;"&amp;H112)+1)</f>
        <v>0</v>
      </c>
      <c r="R112" s="8">
        <f>IF(B112="","",SUMIFS(Pantry!$C$5:$C$304,Pantry!$A$5:$A$304,B112))</f>
        <v>0</v>
      </c>
      <c r="S112" s="8">
        <f>IF(OR(B112="",C112=""),"",MAX(0,C112-R112))</f>
        <v>0</v>
      </c>
      <c r="T112" s="26"/>
      <c r="U112" s="8">
        <f>IF(OR(T112="",T112=0,G112=""),"",T112*G112)</f>
        <v>0</v>
      </c>
      <c r="V112" s="8">
        <f>IF(OR(S112="",T112="",T112=0),"",CEILING(S112/T112,1))</f>
        <v>0</v>
      </c>
      <c r="W112" s="27"/>
      <c r="X112" s="29"/>
      <c r="Y112" s="8">
        <f>IF(OR(C112="",X112=""),"",C112*(1+X112))</f>
        <v>0</v>
      </c>
      <c r="Z112" s="8">
        <f>IF(B112="","",IFERROR(INDEX(Ingredients!$O$5:$O$304,MATCH(B112,Ingredients!$A$5:$A$304,0)),""))</f>
        <v>0</v>
      </c>
      <c r="AA112" s="8">
        <f>IF(B112="","",IF(R112&gt;=C112,"In pantry","To buy"))</f>
        <v>0</v>
      </c>
      <c r="AB112" s="8">
        <f>IF(A112="","",COUNTIFS($A$5:A112,A112))</f>
        <v>0</v>
      </c>
      <c r="AC112" s="8">
        <f>IF(B112="","",IF(COUNTIFS('Dietary Filters'!$C$5:$C$104,B112)&gt;0,"Check","OK"))</f>
        <v>0</v>
      </c>
      <c r="AD112" s="25"/>
    </row>
    <row r="113" spans="1:30">
      <c r="A113" s="7"/>
      <c r="B113" s="7"/>
      <c r="C113" s="26"/>
      <c r="D113" s="27"/>
      <c r="E113" s="8">
        <f>IF(B113="","",IFERROR(INDEX(Ingredients!$B$5:$B$304,MATCH(B113,Ingredients!$A$5:$A$304,0)),""))</f>
        <v>0</v>
      </c>
      <c r="F113" s="8">
        <f>IF(B113="","",IFERROR(INDEX(Ingredients!$E$5:$E$304,MATCH(B113,Ingredients!$A$5:$A$304,0)),""))</f>
        <v>0</v>
      </c>
      <c r="G113" s="8">
        <f>IF(B113="","",IFERROR(INDEX(Ingredients!$D$5:$D$304,MATCH(B113,Ingredients!$A$5:$A$304,0)),""))</f>
        <v>0</v>
      </c>
      <c r="H113" s="8">
        <f>IF(OR(B113="",C113=""),"",IFERROR(C113*G113,""))</f>
        <v>0</v>
      </c>
      <c r="I113" s="8">
        <f>IF(A113="","",IFERROR(INDEX(Recipes!$D$5:$D$204,MATCH(A113,Recipes!$A$5:$A$204,0)),""))</f>
        <v>0</v>
      </c>
      <c r="J113" s="8">
        <f>IF(OR(H113="",I113="",I113=0),"",IFERROR(H113/I113,""))</f>
        <v>0</v>
      </c>
      <c r="K113" s="8">
        <f>IF(OR(B113="",C113=""),"",IFERROR(C113*IFERROR(INDEX(Ingredients!$H$5:$H$304,MATCH(B113,Ingredients!$A$5:$A$304,0)),""),""))</f>
        <v>0</v>
      </c>
      <c r="L113" s="8">
        <f>IF(OR(B113="",C113=""),"",IFERROR(C113*IFERROR(INDEX(Ingredients!$I$5:$I$304,MATCH(B113,Ingredients!$A$5:$A$304,0)),""),""))</f>
        <v>0</v>
      </c>
      <c r="M113" s="8">
        <f>IF(OR(B113="",C113=""),"",IFERROR(C113*IFERROR(INDEX(Ingredients!$J$5:$J$304,MATCH(B113,Ingredients!$A$5:$A$304,0)),""),""))</f>
        <v>0</v>
      </c>
      <c r="N113" s="8">
        <f>IF(OR(B113="",C113=""),"",IFERROR(C113*IFERROR(INDEX(Ingredients!$K$5:$K$304,MATCH(B113,Ingredients!$A$5:$A$304,0)),""),""))</f>
        <v>0</v>
      </c>
      <c r="O113" s="8">
        <f>IF(OR(B113="",C113=""),"",IFERROR(C113*IFERROR(INDEX(Ingredients!$L$5:$L$304,MATCH(B113,Ingredients!$A$5:$A$304,0)),""),""))</f>
        <v>0</v>
      </c>
      <c r="P113" s="8">
        <f>IF(OR(H113="",A113=""),"",IFERROR(H113/SUMIFS('Recipe Ingredients'!$H$5:$H$1204,'Recipe Ingredients'!$A$5:$A$1204,A113),""))</f>
        <v>0</v>
      </c>
      <c r="Q113" s="8">
        <f>IF(H113="","",COUNTIFS($H$5:$H$1204,"&gt;"&amp;H113)+1)</f>
        <v>0</v>
      </c>
      <c r="R113" s="8">
        <f>IF(B113="","",SUMIFS(Pantry!$C$5:$C$304,Pantry!$A$5:$A$304,B113))</f>
        <v>0</v>
      </c>
      <c r="S113" s="8">
        <f>IF(OR(B113="",C113=""),"",MAX(0,C113-R113))</f>
        <v>0</v>
      </c>
      <c r="T113" s="26"/>
      <c r="U113" s="8">
        <f>IF(OR(T113="",T113=0,G113=""),"",T113*G113)</f>
        <v>0</v>
      </c>
      <c r="V113" s="8">
        <f>IF(OR(S113="",T113="",T113=0),"",CEILING(S113/T113,1))</f>
        <v>0</v>
      </c>
      <c r="W113" s="27"/>
      <c r="X113" s="29"/>
      <c r="Y113" s="8">
        <f>IF(OR(C113="",X113=""),"",C113*(1+X113))</f>
        <v>0</v>
      </c>
      <c r="Z113" s="8">
        <f>IF(B113="","",IFERROR(INDEX(Ingredients!$O$5:$O$304,MATCH(B113,Ingredients!$A$5:$A$304,0)),""))</f>
        <v>0</v>
      </c>
      <c r="AA113" s="8">
        <f>IF(B113="","",IF(R113&gt;=C113,"In pantry","To buy"))</f>
        <v>0</v>
      </c>
      <c r="AB113" s="8">
        <f>IF(A113="","",COUNTIFS($A$5:A113,A113))</f>
        <v>0</v>
      </c>
      <c r="AC113" s="8">
        <f>IF(B113="","",IF(COUNTIFS('Dietary Filters'!$C$5:$C$104,B113)&gt;0,"Check","OK"))</f>
        <v>0</v>
      </c>
      <c r="AD113" s="25"/>
    </row>
    <row r="114" spans="1:30">
      <c r="A114" s="7"/>
      <c r="B114" s="7"/>
      <c r="C114" s="26"/>
      <c r="D114" s="27"/>
      <c r="E114" s="8">
        <f>IF(B114="","",IFERROR(INDEX(Ingredients!$B$5:$B$304,MATCH(B114,Ingredients!$A$5:$A$304,0)),""))</f>
        <v>0</v>
      </c>
      <c r="F114" s="8">
        <f>IF(B114="","",IFERROR(INDEX(Ingredients!$E$5:$E$304,MATCH(B114,Ingredients!$A$5:$A$304,0)),""))</f>
        <v>0</v>
      </c>
      <c r="G114" s="8">
        <f>IF(B114="","",IFERROR(INDEX(Ingredients!$D$5:$D$304,MATCH(B114,Ingredients!$A$5:$A$304,0)),""))</f>
        <v>0</v>
      </c>
      <c r="H114" s="8">
        <f>IF(OR(B114="",C114=""),"",IFERROR(C114*G114,""))</f>
        <v>0</v>
      </c>
      <c r="I114" s="8">
        <f>IF(A114="","",IFERROR(INDEX(Recipes!$D$5:$D$204,MATCH(A114,Recipes!$A$5:$A$204,0)),""))</f>
        <v>0</v>
      </c>
      <c r="J114" s="8">
        <f>IF(OR(H114="",I114="",I114=0),"",IFERROR(H114/I114,""))</f>
        <v>0</v>
      </c>
      <c r="K114" s="8">
        <f>IF(OR(B114="",C114=""),"",IFERROR(C114*IFERROR(INDEX(Ingredients!$H$5:$H$304,MATCH(B114,Ingredients!$A$5:$A$304,0)),""),""))</f>
        <v>0</v>
      </c>
      <c r="L114" s="8">
        <f>IF(OR(B114="",C114=""),"",IFERROR(C114*IFERROR(INDEX(Ingredients!$I$5:$I$304,MATCH(B114,Ingredients!$A$5:$A$304,0)),""),""))</f>
        <v>0</v>
      </c>
      <c r="M114" s="8">
        <f>IF(OR(B114="",C114=""),"",IFERROR(C114*IFERROR(INDEX(Ingredients!$J$5:$J$304,MATCH(B114,Ingredients!$A$5:$A$304,0)),""),""))</f>
        <v>0</v>
      </c>
      <c r="N114" s="8">
        <f>IF(OR(B114="",C114=""),"",IFERROR(C114*IFERROR(INDEX(Ingredients!$K$5:$K$304,MATCH(B114,Ingredients!$A$5:$A$304,0)),""),""))</f>
        <v>0</v>
      </c>
      <c r="O114" s="8">
        <f>IF(OR(B114="",C114=""),"",IFERROR(C114*IFERROR(INDEX(Ingredients!$L$5:$L$304,MATCH(B114,Ingredients!$A$5:$A$304,0)),""),""))</f>
        <v>0</v>
      </c>
      <c r="P114" s="8">
        <f>IF(OR(H114="",A114=""),"",IFERROR(H114/SUMIFS('Recipe Ingredients'!$H$5:$H$1204,'Recipe Ingredients'!$A$5:$A$1204,A114),""))</f>
        <v>0</v>
      </c>
      <c r="Q114" s="8">
        <f>IF(H114="","",COUNTIFS($H$5:$H$1204,"&gt;"&amp;H114)+1)</f>
        <v>0</v>
      </c>
      <c r="R114" s="8">
        <f>IF(B114="","",SUMIFS(Pantry!$C$5:$C$304,Pantry!$A$5:$A$304,B114))</f>
        <v>0</v>
      </c>
      <c r="S114" s="8">
        <f>IF(OR(B114="",C114=""),"",MAX(0,C114-R114))</f>
        <v>0</v>
      </c>
      <c r="T114" s="26"/>
      <c r="U114" s="8">
        <f>IF(OR(T114="",T114=0,G114=""),"",T114*G114)</f>
        <v>0</v>
      </c>
      <c r="V114" s="8">
        <f>IF(OR(S114="",T114="",T114=0),"",CEILING(S114/T114,1))</f>
        <v>0</v>
      </c>
      <c r="W114" s="27"/>
      <c r="X114" s="29"/>
      <c r="Y114" s="8">
        <f>IF(OR(C114="",X114=""),"",C114*(1+X114))</f>
        <v>0</v>
      </c>
      <c r="Z114" s="8">
        <f>IF(B114="","",IFERROR(INDEX(Ingredients!$O$5:$O$304,MATCH(B114,Ingredients!$A$5:$A$304,0)),""))</f>
        <v>0</v>
      </c>
      <c r="AA114" s="8">
        <f>IF(B114="","",IF(R114&gt;=C114,"In pantry","To buy"))</f>
        <v>0</v>
      </c>
      <c r="AB114" s="8">
        <f>IF(A114="","",COUNTIFS($A$5:A114,A114))</f>
        <v>0</v>
      </c>
      <c r="AC114" s="8">
        <f>IF(B114="","",IF(COUNTIFS('Dietary Filters'!$C$5:$C$104,B114)&gt;0,"Check","OK"))</f>
        <v>0</v>
      </c>
      <c r="AD114" s="25"/>
    </row>
    <row r="115" spans="1:30">
      <c r="A115" s="7"/>
      <c r="B115" s="7"/>
      <c r="C115" s="26"/>
      <c r="D115" s="27"/>
      <c r="E115" s="8">
        <f>IF(B115="","",IFERROR(INDEX(Ingredients!$B$5:$B$304,MATCH(B115,Ingredients!$A$5:$A$304,0)),""))</f>
        <v>0</v>
      </c>
      <c r="F115" s="8">
        <f>IF(B115="","",IFERROR(INDEX(Ingredients!$E$5:$E$304,MATCH(B115,Ingredients!$A$5:$A$304,0)),""))</f>
        <v>0</v>
      </c>
      <c r="G115" s="8">
        <f>IF(B115="","",IFERROR(INDEX(Ingredients!$D$5:$D$304,MATCH(B115,Ingredients!$A$5:$A$304,0)),""))</f>
        <v>0</v>
      </c>
      <c r="H115" s="8">
        <f>IF(OR(B115="",C115=""),"",IFERROR(C115*G115,""))</f>
        <v>0</v>
      </c>
      <c r="I115" s="8">
        <f>IF(A115="","",IFERROR(INDEX(Recipes!$D$5:$D$204,MATCH(A115,Recipes!$A$5:$A$204,0)),""))</f>
        <v>0</v>
      </c>
      <c r="J115" s="8">
        <f>IF(OR(H115="",I115="",I115=0),"",IFERROR(H115/I115,""))</f>
        <v>0</v>
      </c>
      <c r="K115" s="8">
        <f>IF(OR(B115="",C115=""),"",IFERROR(C115*IFERROR(INDEX(Ingredients!$H$5:$H$304,MATCH(B115,Ingredients!$A$5:$A$304,0)),""),""))</f>
        <v>0</v>
      </c>
      <c r="L115" s="8">
        <f>IF(OR(B115="",C115=""),"",IFERROR(C115*IFERROR(INDEX(Ingredients!$I$5:$I$304,MATCH(B115,Ingredients!$A$5:$A$304,0)),""),""))</f>
        <v>0</v>
      </c>
      <c r="M115" s="8">
        <f>IF(OR(B115="",C115=""),"",IFERROR(C115*IFERROR(INDEX(Ingredients!$J$5:$J$304,MATCH(B115,Ingredients!$A$5:$A$304,0)),""),""))</f>
        <v>0</v>
      </c>
      <c r="N115" s="8">
        <f>IF(OR(B115="",C115=""),"",IFERROR(C115*IFERROR(INDEX(Ingredients!$K$5:$K$304,MATCH(B115,Ingredients!$A$5:$A$304,0)),""),""))</f>
        <v>0</v>
      </c>
      <c r="O115" s="8">
        <f>IF(OR(B115="",C115=""),"",IFERROR(C115*IFERROR(INDEX(Ingredients!$L$5:$L$304,MATCH(B115,Ingredients!$A$5:$A$304,0)),""),""))</f>
        <v>0</v>
      </c>
      <c r="P115" s="8">
        <f>IF(OR(H115="",A115=""),"",IFERROR(H115/SUMIFS('Recipe Ingredients'!$H$5:$H$1204,'Recipe Ingredients'!$A$5:$A$1204,A115),""))</f>
        <v>0</v>
      </c>
      <c r="Q115" s="8">
        <f>IF(H115="","",COUNTIFS($H$5:$H$1204,"&gt;"&amp;H115)+1)</f>
        <v>0</v>
      </c>
      <c r="R115" s="8">
        <f>IF(B115="","",SUMIFS(Pantry!$C$5:$C$304,Pantry!$A$5:$A$304,B115))</f>
        <v>0</v>
      </c>
      <c r="S115" s="8">
        <f>IF(OR(B115="",C115=""),"",MAX(0,C115-R115))</f>
        <v>0</v>
      </c>
      <c r="T115" s="26"/>
      <c r="U115" s="8">
        <f>IF(OR(T115="",T115=0,G115=""),"",T115*G115)</f>
        <v>0</v>
      </c>
      <c r="V115" s="8">
        <f>IF(OR(S115="",T115="",T115=0),"",CEILING(S115/T115,1))</f>
        <v>0</v>
      </c>
      <c r="W115" s="27"/>
      <c r="X115" s="29"/>
      <c r="Y115" s="8">
        <f>IF(OR(C115="",X115=""),"",C115*(1+X115))</f>
        <v>0</v>
      </c>
      <c r="Z115" s="8">
        <f>IF(B115="","",IFERROR(INDEX(Ingredients!$O$5:$O$304,MATCH(B115,Ingredients!$A$5:$A$304,0)),""))</f>
        <v>0</v>
      </c>
      <c r="AA115" s="8">
        <f>IF(B115="","",IF(R115&gt;=C115,"In pantry","To buy"))</f>
        <v>0</v>
      </c>
      <c r="AB115" s="8">
        <f>IF(A115="","",COUNTIFS($A$5:A115,A115))</f>
        <v>0</v>
      </c>
      <c r="AC115" s="8">
        <f>IF(B115="","",IF(COUNTIFS('Dietary Filters'!$C$5:$C$104,B115)&gt;0,"Check","OK"))</f>
        <v>0</v>
      </c>
      <c r="AD115" s="25"/>
    </row>
    <row r="116" spans="1:30">
      <c r="A116" s="7"/>
      <c r="B116" s="7"/>
      <c r="C116" s="26"/>
      <c r="D116" s="27"/>
      <c r="E116" s="8">
        <f>IF(B116="","",IFERROR(INDEX(Ingredients!$B$5:$B$304,MATCH(B116,Ingredients!$A$5:$A$304,0)),""))</f>
        <v>0</v>
      </c>
      <c r="F116" s="8">
        <f>IF(B116="","",IFERROR(INDEX(Ingredients!$E$5:$E$304,MATCH(B116,Ingredients!$A$5:$A$304,0)),""))</f>
        <v>0</v>
      </c>
      <c r="G116" s="8">
        <f>IF(B116="","",IFERROR(INDEX(Ingredients!$D$5:$D$304,MATCH(B116,Ingredients!$A$5:$A$304,0)),""))</f>
        <v>0</v>
      </c>
      <c r="H116" s="8">
        <f>IF(OR(B116="",C116=""),"",IFERROR(C116*G116,""))</f>
        <v>0</v>
      </c>
      <c r="I116" s="8">
        <f>IF(A116="","",IFERROR(INDEX(Recipes!$D$5:$D$204,MATCH(A116,Recipes!$A$5:$A$204,0)),""))</f>
        <v>0</v>
      </c>
      <c r="J116" s="8">
        <f>IF(OR(H116="",I116="",I116=0),"",IFERROR(H116/I116,""))</f>
        <v>0</v>
      </c>
      <c r="K116" s="8">
        <f>IF(OR(B116="",C116=""),"",IFERROR(C116*IFERROR(INDEX(Ingredients!$H$5:$H$304,MATCH(B116,Ingredients!$A$5:$A$304,0)),""),""))</f>
        <v>0</v>
      </c>
      <c r="L116" s="8">
        <f>IF(OR(B116="",C116=""),"",IFERROR(C116*IFERROR(INDEX(Ingredients!$I$5:$I$304,MATCH(B116,Ingredients!$A$5:$A$304,0)),""),""))</f>
        <v>0</v>
      </c>
      <c r="M116" s="8">
        <f>IF(OR(B116="",C116=""),"",IFERROR(C116*IFERROR(INDEX(Ingredients!$J$5:$J$304,MATCH(B116,Ingredients!$A$5:$A$304,0)),""),""))</f>
        <v>0</v>
      </c>
      <c r="N116" s="8">
        <f>IF(OR(B116="",C116=""),"",IFERROR(C116*IFERROR(INDEX(Ingredients!$K$5:$K$304,MATCH(B116,Ingredients!$A$5:$A$304,0)),""),""))</f>
        <v>0</v>
      </c>
      <c r="O116" s="8">
        <f>IF(OR(B116="",C116=""),"",IFERROR(C116*IFERROR(INDEX(Ingredients!$L$5:$L$304,MATCH(B116,Ingredients!$A$5:$A$304,0)),""),""))</f>
        <v>0</v>
      </c>
      <c r="P116" s="8">
        <f>IF(OR(H116="",A116=""),"",IFERROR(H116/SUMIFS('Recipe Ingredients'!$H$5:$H$1204,'Recipe Ingredients'!$A$5:$A$1204,A116),""))</f>
        <v>0</v>
      </c>
      <c r="Q116" s="8">
        <f>IF(H116="","",COUNTIFS($H$5:$H$1204,"&gt;"&amp;H116)+1)</f>
        <v>0</v>
      </c>
      <c r="R116" s="8">
        <f>IF(B116="","",SUMIFS(Pantry!$C$5:$C$304,Pantry!$A$5:$A$304,B116))</f>
        <v>0</v>
      </c>
      <c r="S116" s="8">
        <f>IF(OR(B116="",C116=""),"",MAX(0,C116-R116))</f>
        <v>0</v>
      </c>
      <c r="T116" s="26"/>
      <c r="U116" s="8">
        <f>IF(OR(T116="",T116=0,G116=""),"",T116*G116)</f>
        <v>0</v>
      </c>
      <c r="V116" s="8">
        <f>IF(OR(S116="",T116="",T116=0),"",CEILING(S116/T116,1))</f>
        <v>0</v>
      </c>
      <c r="W116" s="27"/>
      <c r="X116" s="29"/>
      <c r="Y116" s="8">
        <f>IF(OR(C116="",X116=""),"",C116*(1+X116))</f>
        <v>0</v>
      </c>
      <c r="Z116" s="8">
        <f>IF(B116="","",IFERROR(INDEX(Ingredients!$O$5:$O$304,MATCH(B116,Ingredients!$A$5:$A$304,0)),""))</f>
        <v>0</v>
      </c>
      <c r="AA116" s="8">
        <f>IF(B116="","",IF(R116&gt;=C116,"In pantry","To buy"))</f>
        <v>0</v>
      </c>
      <c r="AB116" s="8">
        <f>IF(A116="","",COUNTIFS($A$5:A116,A116))</f>
        <v>0</v>
      </c>
      <c r="AC116" s="8">
        <f>IF(B116="","",IF(COUNTIFS('Dietary Filters'!$C$5:$C$104,B116)&gt;0,"Check","OK"))</f>
        <v>0</v>
      </c>
      <c r="AD116" s="25"/>
    </row>
    <row r="117" spans="1:30">
      <c r="A117" s="7"/>
      <c r="B117" s="7"/>
      <c r="C117" s="26"/>
      <c r="D117" s="27"/>
      <c r="E117" s="8">
        <f>IF(B117="","",IFERROR(INDEX(Ingredients!$B$5:$B$304,MATCH(B117,Ingredients!$A$5:$A$304,0)),""))</f>
        <v>0</v>
      </c>
      <c r="F117" s="8">
        <f>IF(B117="","",IFERROR(INDEX(Ingredients!$E$5:$E$304,MATCH(B117,Ingredients!$A$5:$A$304,0)),""))</f>
        <v>0</v>
      </c>
      <c r="G117" s="8">
        <f>IF(B117="","",IFERROR(INDEX(Ingredients!$D$5:$D$304,MATCH(B117,Ingredients!$A$5:$A$304,0)),""))</f>
        <v>0</v>
      </c>
      <c r="H117" s="8">
        <f>IF(OR(B117="",C117=""),"",IFERROR(C117*G117,""))</f>
        <v>0</v>
      </c>
      <c r="I117" s="8">
        <f>IF(A117="","",IFERROR(INDEX(Recipes!$D$5:$D$204,MATCH(A117,Recipes!$A$5:$A$204,0)),""))</f>
        <v>0</v>
      </c>
      <c r="J117" s="8">
        <f>IF(OR(H117="",I117="",I117=0),"",IFERROR(H117/I117,""))</f>
        <v>0</v>
      </c>
      <c r="K117" s="8">
        <f>IF(OR(B117="",C117=""),"",IFERROR(C117*IFERROR(INDEX(Ingredients!$H$5:$H$304,MATCH(B117,Ingredients!$A$5:$A$304,0)),""),""))</f>
        <v>0</v>
      </c>
      <c r="L117" s="8">
        <f>IF(OR(B117="",C117=""),"",IFERROR(C117*IFERROR(INDEX(Ingredients!$I$5:$I$304,MATCH(B117,Ingredients!$A$5:$A$304,0)),""),""))</f>
        <v>0</v>
      </c>
      <c r="M117" s="8">
        <f>IF(OR(B117="",C117=""),"",IFERROR(C117*IFERROR(INDEX(Ingredients!$J$5:$J$304,MATCH(B117,Ingredients!$A$5:$A$304,0)),""),""))</f>
        <v>0</v>
      </c>
      <c r="N117" s="8">
        <f>IF(OR(B117="",C117=""),"",IFERROR(C117*IFERROR(INDEX(Ingredients!$K$5:$K$304,MATCH(B117,Ingredients!$A$5:$A$304,0)),""),""))</f>
        <v>0</v>
      </c>
      <c r="O117" s="8">
        <f>IF(OR(B117="",C117=""),"",IFERROR(C117*IFERROR(INDEX(Ingredients!$L$5:$L$304,MATCH(B117,Ingredients!$A$5:$A$304,0)),""),""))</f>
        <v>0</v>
      </c>
      <c r="P117" s="8">
        <f>IF(OR(H117="",A117=""),"",IFERROR(H117/SUMIFS('Recipe Ingredients'!$H$5:$H$1204,'Recipe Ingredients'!$A$5:$A$1204,A117),""))</f>
        <v>0</v>
      </c>
      <c r="Q117" s="8">
        <f>IF(H117="","",COUNTIFS($H$5:$H$1204,"&gt;"&amp;H117)+1)</f>
        <v>0</v>
      </c>
      <c r="R117" s="8">
        <f>IF(B117="","",SUMIFS(Pantry!$C$5:$C$304,Pantry!$A$5:$A$304,B117))</f>
        <v>0</v>
      </c>
      <c r="S117" s="8">
        <f>IF(OR(B117="",C117=""),"",MAX(0,C117-R117))</f>
        <v>0</v>
      </c>
      <c r="T117" s="26"/>
      <c r="U117" s="8">
        <f>IF(OR(T117="",T117=0,G117=""),"",T117*G117)</f>
        <v>0</v>
      </c>
      <c r="V117" s="8">
        <f>IF(OR(S117="",T117="",T117=0),"",CEILING(S117/T117,1))</f>
        <v>0</v>
      </c>
      <c r="W117" s="27"/>
      <c r="X117" s="29"/>
      <c r="Y117" s="8">
        <f>IF(OR(C117="",X117=""),"",C117*(1+X117))</f>
        <v>0</v>
      </c>
      <c r="Z117" s="8">
        <f>IF(B117="","",IFERROR(INDEX(Ingredients!$O$5:$O$304,MATCH(B117,Ingredients!$A$5:$A$304,0)),""))</f>
        <v>0</v>
      </c>
      <c r="AA117" s="8">
        <f>IF(B117="","",IF(R117&gt;=C117,"In pantry","To buy"))</f>
        <v>0</v>
      </c>
      <c r="AB117" s="8">
        <f>IF(A117="","",COUNTIFS($A$5:A117,A117))</f>
        <v>0</v>
      </c>
      <c r="AC117" s="8">
        <f>IF(B117="","",IF(COUNTIFS('Dietary Filters'!$C$5:$C$104,B117)&gt;0,"Check","OK"))</f>
        <v>0</v>
      </c>
      <c r="AD117" s="25"/>
    </row>
    <row r="118" spans="1:30">
      <c r="A118" s="7"/>
      <c r="B118" s="7"/>
      <c r="C118" s="26"/>
      <c r="D118" s="27"/>
      <c r="E118" s="8">
        <f>IF(B118="","",IFERROR(INDEX(Ingredients!$B$5:$B$304,MATCH(B118,Ingredients!$A$5:$A$304,0)),""))</f>
        <v>0</v>
      </c>
      <c r="F118" s="8">
        <f>IF(B118="","",IFERROR(INDEX(Ingredients!$E$5:$E$304,MATCH(B118,Ingredients!$A$5:$A$304,0)),""))</f>
        <v>0</v>
      </c>
      <c r="G118" s="8">
        <f>IF(B118="","",IFERROR(INDEX(Ingredients!$D$5:$D$304,MATCH(B118,Ingredients!$A$5:$A$304,0)),""))</f>
        <v>0</v>
      </c>
      <c r="H118" s="8">
        <f>IF(OR(B118="",C118=""),"",IFERROR(C118*G118,""))</f>
        <v>0</v>
      </c>
      <c r="I118" s="8">
        <f>IF(A118="","",IFERROR(INDEX(Recipes!$D$5:$D$204,MATCH(A118,Recipes!$A$5:$A$204,0)),""))</f>
        <v>0</v>
      </c>
      <c r="J118" s="8">
        <f>IF(OR(H118="",I118="",I118=0),"",IFERROR(H118/I118,""))</f>
        <v>0</v>
      </c>
      <c r="K118" s="8">
        <f>IF(OR(B118="",C118=""),"",IFERROR(C118*IFERROR(INDEX(Ingredients!$H$5:$H$304,MATCH(B118,Ingredients!$A$5:$A$304,0)),""),""))</f>
        <v>0</v>
      </c>
      <c r="L118" s="8">
        <f>IF(OR(B118="",C118=""),"",IFERROR(C118*IFERROR(INDEX(Ingredients!$I$5:$I$304,MATCH(B118,Ingredients!$A$5:$A$304,0)),""),""))</f>
        <v>0</v>
      </c>
      <c r="M118" s="8">
        <f>IF(OR(B118="",C118=""),"",IFERROR(C118*IFERROR(INDEX(Ingredients!$J$5:$J$304,MATCH(B118,Ingredients!$A$5:$A$304,0)),""),""))</f>
        <v>0</v>
      </c>
      <c r="N118" s="8">
        <f>IF(OR(B118="",C118=""),"",IFERROR(C118*IFERROR(INDEX(Ingredients!$K$5:$K$304,MATCH(B118,Ingredients!$A$5:$A$304,0)),""),""))</f>
        <v>0</v>
      </c>
      <c r="O118" s="8">
        <f>IF(OR(B118="",C118=""),"",IFERROR(C118*IFERROR(INDEX(Ingredients!$L$5:$L$304,MATCH(B118,Ingredients!$A$5:$A$304,0)),""),""))</f>
        <v>0</v>
      </c>
      <c r="P118" s="8">
        <f>IF(OR(H118="",A118=""),"",IFERROR(H118/SUMIFS('Recipe Ingredients'!$H$5:$H$1204,'Recipe Ingredients'!$A$5:$A$1204,A118),""))</f>
        <v>0</v>
      </c>
      <c r="Q118" s="8">
        <f>IF(H118="","",COUNTIFS($H$5:$H$1204,"&gt;"&amp;H118)+1)</f>
        <v>0</v>
      </c>
      <c r="R118" s="8">
        <f>IF(B118="","",SUMIFS(Pantry!$C$5:$C$304,Pantry!$A$5:$A$304,B118))</f>
        <v>0</v>
      </c>
      <c r="S118" s="8">
        <f>IF(OR(B118="",C118=""),"",MAX(0,C118-R118))</f>
        <v>0</v>
      </c>
      <c r="T118" s="26"/>
      <c r="U118" s="8">
        <f>IF(OR(T118="",T118=0,G118=""),"",T118*G118)</f>
        <v>0</v>
      </c>
      <c r="V118" s="8">
        <f>IF(OR(S118="",T118="",T118=0),"",CEILING(S118/T118,1))</f>
        <v>0</v>
      </c>
      <c r="W118" s="27"/>
      <c r="X118" s="29"/>
      <c r="Y118" s="8">
        <f>IF(OR(C118="",X118=""),"",C118*(1+X118))</f>
        <v>0</v>
      </c>
      <c r="Z118" s="8">
        <f>IF(B118="","",IFERROR(INDEX(Ingredients!$O$5:$O$304,MATCH(B118,Ingredients!$A$5:$A$304,0)),""))</f>
        <v>0</v>
      </c>
      <c r="AA118" s="8">
        <f>IF(B118="","",IF(R118&gt;=C118,"In pantry","To buy"))</f>
        <v>0</v>
      </c>
      <c r="AB118" s="8">
        <f>IF(A118="","",COUNTIFS($A$5:A118,A118))</f>
        <v>0</v>
      </c>
      <c r="AC118" s="8">
        <f>IF(B118="","",IF(COUNTIFS('Dietary Filters'!$C$5:$C$104,B118)&gt;0,"Check","OK"))</f>
        <v>0</v>
      </c>
      <c r="AD118" s="25"/>
    </row>
    <row r="119" spans="1:30">
      <c r="A119" s="7"/>
      <c r="B119" s="7"/>
      <c r="C119" s="26"/>
      <c r="D119" s="27"/>
      <c r="E119" s="8">
        <f>IF(B119="","",IFERROR(INDEX(Ingredients!$B$5:$B$304,MATCH(B119,Ingredients!$A$5:$A$304,0)),""))</f>
        <v>0</v>
      </c>
      <c r="F119" s="8">
        <f>IF(B119="","",IFERROR(INDEX(Ingredients!$E$5:$E$304,MATCH(B119,Ingredients!$A$5:$A$304,0)),""))</f>
        <v>0</v>
      </c>
      <c r="G119" s="8">
        <f>IF(B119="","",IFERROR(INDEX(Ingredients!$D$5:$D$304,MATCH(B119,Ingredients!$A$5:$A$304,0)),""))</f>
        <v>0</v>
      </c>
      <c r="H119" s="8">
        <f>IF(OR(B119="",C119=""),"",IFERROR(C119*G119,""))</f>
        <v>0</v>
      </c>
      <c r="I119" s="8">
        <f>IF(A119="","",IFERROR(INDEX(Recipes!$D$5:$D$204,MATCH(A119,Recipes!$A$5:$A$204,0)),""))</f>
        <v>0</v>
      </c>
      <c r="J119" s="8">
        <f>IF(OR(H119="",I119="",I119=0),"",IFERROR(H119/I119,""))</f>
        <v>0</v>
      </c>
      <c r="K119" s="8">
        <f>IF(OR(B119="",C119=""),"",IFERROR(C119*IFERROR(INDEX(Ingredients!$H$5:$H$304,MATCH(B119,Ingredients!$A$5:$A$304,0)),""),""))</f>
        <v>0</v>
      </c>
      <c r="L119" s="8">
        <f>IF(OR(B119="",C119=""),"",IFERROR(C119*IFERROR(INDEX(Ingredients!$I$5:$I$304,MATCH(B119,Ingredients!$A$5:$A$304,0)),""),""))</f>
        <v>0</v>
      </c>
      <c r="M119" s="8">
        <f>IF(OR(B119="",C119=""),"",IFERROR(C119*IFERROR(INDEX(Ingredients!$J$5:$J$304,MATCH(B119,Ingredients!$A$5:$A$304,0)),""),""))</f>
        <v>0</v>
      </c>
      <c r="N119" s="8">
        <f>IF(OR(B119="",C119=""),"",IFERROR(C119*IFERROR(INDEX(Ingredients!$K$5:$K$304,MATCH(B119,Ingredients!$A$5:$A$304,0)),""),""))</f>
        <v>0</v>
      </c>
      <c r="O119" s="8">
        <f>IF(OR(B119="",C119=""),"",IFERROR(C119*IFERROR(INDEX(Ingredients!$L$5:$L$304,MATCH(B119,Ingredients!$A$5:$A$304,0)),""),""))</f>
        <v>0</v>
      </c>
      <c r="P119" s="8">
        <f>IF(OR(H119="",A119=""),"",IFERROR(H119/SUMIFS('Recipe Ingredients'!$H$5:$H$1204,'Recipe Ingredients'!$A$5:$A$1204,A119),""))</f>
        <v>0</v>
      </c>
      <c r="Q119" s="8">
        <f>IF(H119="","",COUNTIFS($H$5:$H$1204,"&gt;"&amp;H119)+1)</f>
        <v>0</v>
      </c>
      <c r="R119" s="8">
        <f>IF(B119="","",SUMIFS(Pantry!$C$5:$C$304,Pantry!$A$5:$A$304,B119))</f>
        <v>0</v>
      </c>
      <c r="S119" s="8">
        <f>IF(OR(B119="",C119=""),"",MAX(0,C119-R119))</f>
        <v>0</v>
      </c>
      <c r="T119" s="26"/>
      <c r="U119" s="8">
        <f>IF(OR(T119="",T119=0,G119=""),"",T119*G119)</f>
        <v>0</v>
      </c>
      <c r="V119" s="8">
        <f>IF(OR(S119="",T119="",T119=0),"",CEILING(S119/T119,1))</f>
        <v>0</v>
      </c>
      <c r="W119" s="27"/>
      <c r="X119" s="29"/>
      <c r="Y119" s="8">
        <f>IF(OR(C119="",X119=""),"",C119*(1+X119))</f>
        <v>0</v>
      </c>
      <c r="Z119" s="8">
        <f>IF(B119="","",IFERROR(INDEX(Ingredients!$O$5:$O$304,MATCH(B119,Ingredients!$A$5:$A$304,0)),""))</f>
        <v>0</v>
      </c>
      <c r="AA119" s="8">
        <f>IF(B119="","",IF(R119&gt;=C119,"In pantry","To buy"))</f>
        <v>0</v>
      </c>
      <c r="AB119" s="8">
        <f>IF(A119="","",COUNTIFS($A$5:A119,A119))</f>
        <v>0</v>
      </c>
      <c r="AC119" s="8">
        <f>IF(B119="","",IF(COUNTIFS('Dietary Filters'!$C$5:$C$104,B119)&gt;0,"Check","OK"))</f>
        <v>0</v>
      </c>
      <c r="AD119" s="25"/>
    </row>
    <row r="120" spans="1:30">
      <c r="A120" s="7"/>
      <c r="B120" s="7"/>
      <c r="C120" s="26"/>
      <c r="D120" s="27"/>
      <c r="E120" s="8">
        <f>IF(B120="","",IFERROR(INDEX(Ingredients!$B$5:$B$304,MATCH(B120,Ingredients!$A$5:$A$304,0)),""))</f>
        <v>0</v>
      </c>
      <c r="F120" s="8">
        <f>IF(B120="","",IFERROR(INDEX(Ingredients!$E$5:$E$304,MATCH(B120,Ingredients!$A$5:$A$304,0)),""))</f>
        <v>0</v>
      </c>
      <c r="G120" s="8">
        <f>IF(B120="","",IFERROR(INDEX(Ingredients!$D$5:$D$304,MATCH(B120,Ingredients!$A$5:$A$304,0)),""))</f>
        <v>0</v>
      </c>
      <c r="H120" s="8">
        <f>IF(OR(B120="",C120=""),"",IFERROR(C120*G120,""))</f>
        <v>0</v>
      </c>
      <c r="I120" s="8">
        <f>IF(A120="","",IFERROR(INDEX(Recipes!$D$5:$D$204,MATCH(A120,Recipes!$A$5:$A$204,0)),""))</f>
        <v>0</v>
      </c>
      <c r="J120" s="8">
        <f>IF(OR(H120="",I120="",I120=0),"",IFERROR(H120/I120,""))</f>
        <v>0</v>
      </c>
      <c r="K120" s="8">
        <f>IF(OR(B120="",C120=""),"",IFERROR(C120*IFERROR(INDEX(Ingredients!$H$5:$H$304,MATCH(B120,Ingredients!$A$5:$A$304,0)),""),""))</f>
        <v>0</v>
      </c>
      <c r="L120" s="8">
        <f>IF(OR(B120="",C120=""),"",IFERROR(C120*IFERROR(INDEX(Ingredients!$I$5:$I$304,MATCH(B120,Ingredients!$A$5:$A$304,0)),""),""))</f>
        <v>0</v>
      </c>
      <c r="M120" s="8">
        <f>IF(OR(B120="",C120=""),"",IFERROR(C120*IFERROR(INDEX(Ingredients!$J$5:$J$304,MATCH(B120,Ingredients!$A$5:$A$304,0)),""),""))</f>
        <v>0</v>
      </c>
      <c r="N120" s="8">
        <f>IF(OR(B120="",C120=""),"",IFERROR(C120*IFERROR(INDEX(Ingredients!$K$5:$K$304,MATCH(B120,Ingredients!$A$5:$A$304,0)),""),""))</f>
        <v>0</v>
      </c>
      <c r="O120" s="8">
        <f>IF(OR(B120="",C120=""),"",IFERROR(C120*IFERROR(INDEX(Ingredients!$L$5:$L$304,MATCH(B120,Ingredients!$A$5:$A$304,0)),""),""))</f>
        <v>0</v>
      </c>
      <c r="P120" s="8">
        <f>IF(OR(H120="",A120=""),"",IFERROR(H120/SUMIFS('Recipe Ingredients'!$H$5:$H$1204,'Recipe Ingredients'!$A$5:$A$1204,A120),""))</f>
        <v>0</v>
      </c>
      <c r="Q120" s="8">
        <f>IF(H120="","",COUNTIFS($H$5:$H$1204,"&gt;"&amp;H120)+1)</f>
        <v>0</v>
      </c>
      <c r="R120" s="8">
        <f>IF(B120="","",SUMIFS(Pantry!$C$5:$C$304,Pantry!$A$5:$A$304,B120))</f>
        <v>0</v>
      </c>
      <c r="S120" s="8">
        <f>IF(OR(B120="",C120=""),"",MAX(0,C120-R120))</f>
        <v>0</v>
      </c>
      <c r="T120" s="26"/>
      <c r="U120" s="8">
        <f>IF(OR(T120="",T120=0,G120=""),"",T120*G120)</f>
        <v>0</v>
      </c>
      <c r="V120" s="8">
        <f>IF(OR(S120="",T120="",T120=0),"",CEILING(S120/T120,1))</f>
        <v>0</v>
      </c>
      <c r="W120" s="27"/>
      <c r="X120" s="29"/>
      <c r="Y120" s="8">
        <f>IF(OR(C120="",X120=""),"",C120*(1+X120))</f>
        <v>0</v>
      </c>
      <c r="Z120" s="8">
        <f>IF(B120="","",IFERROR(INDEX(Ingredients!$O$5:$O$304,MATCH(B120,Ingredients!$A$5:$A$304,0)),""))</f>
        <v>0</v>
      </c>
      <c r="AA120" s="8">
        <f>IF(B120="","",IF(R120&gt;=C120,"In pantry","To buy"))</f>
        <v>0</v>
      </c>
      <c r="AB120" s="8">
        <f>IF(A120="","",COUNTIFS($A$5:A120,A120))</f>
        <v>0</v>
      </c>
      <c r="AC120" s="8">
        <f>IF(B120="","",IF(COUNTIFS('Dietary Filters'!$C$5:$C$104,B120)&gt;0,"Check","OK"))</f>
        <v>0</v>
      </c>
      <c r="AD120" s="25"/>
    </row>
    <row r="121" spans="1:30">
      <c r="A121" s="7"/>
      <c r="B121" s="7"/>
      <c r="C121" s="26"/>
      <c r="D121" s="27"/>
      <c r="E121" s="8">
        <f>IF(B121="","",IFERROR(INDEX(Ingredients!$B$5:$B$304,MATCH(B121,Ingredients!$A$5:$A$304,0)),""))</f>
        <v>0</v>
      </c>
      <c r="F121" s="8">
        <f>IF(B121="","",IFERROR(INDEX(Ingredients!$E$5:$E$304,MATCH(B121,Ingredients!$A$5:$A$304,0)),""))</f>
        <v>0</v>
      </c>
      <c r="G121" s="8">
        <f>IF(B121="","",IFERROR(INDEX(Ingredients!$D$5:$D$304,MATCH(B121,Ingredients!$A$5:$A$304,0)),""))</f>
        <v>0</v>
      </c>
      <c r="H121" s="8">
        <f>IF(OR(B121="",C121=""),"",IFERROR(C121*G121,""))</f>
        <v>0</v>
      </c>
      <c r="I121" s="8">
        <f>IF(A121="","",IFERROR(INDEX(Recipes!$D$5:$D$204,MATCH(A121,Recipes!$A$5:$A$204,0)),""))</f>
        <v>0</v>
      </c>
      <c r="J121" s="8">
        <f>IF(OR(H121="",I121="",I121=0),"",IFERROR(H121/I121,""))</f>
        <v>0</v>
      </c>
      <c r="K121" s="8">
        <f>IF(OR(B121="",C121=""),"",IFERROR(C121*IFERROR(INDEX(Ingredients!$H$5:$H$304,MATCH(B121,Ingredients!$A$5:$A$304,0)),""),""))</f>
        <v>0</v>
      </c>
      <c r="L121" s="8">
        <f>IF(OR(B121="",C121=""),"",IFERROR(C121*IFERROR(INDEX(Ingredients!$I$5:$I$304,MATCH(B121,Ingredients!$A$5:$A$304,0)),""),""))</f>
        <v>0</v>
      </c>
      <c r="M121" s="8">
        <f>IF(OR(B121="",C121=""),"",IFERROR(C121*IFERROR(INDEX(Ingredients!$J$5:$J$304,MATCH(B121,Ingredients!$A$5:$A$304,0)),""),""))</f>
        <v>0</v>
      </c>
      <c r="N121" s="8">
        <f>IF(OR(B121="",C121=""),"",IFERROR(C121*IFERROR(INDEX(Ingredients!$K$5:$K$304,MATCH(B121,Ingredients!$A$5:$A$304,0)),""),""))</f>
        <v>0</v>
      </c>
      <c r="O121" s="8">
        <f>IF(OR(B121="",C121=""),"",IFERROR(C121*IFERROR(INDEX(Ingredients!$L$5:$L$304,MATCH(B121,Ingredients!$A$5:$A$304,0)),""),""))</f>
        <v>0</v>
      </c>
      <c r="P121" s="8">
        <f>IF(OR(H121="",A121=""),"",IFERROR(H121/SUMIFS('Recipe Ingredients'!$H$5:$H$1204,'Recipe Ingredients'!$A$5:$A$1204,A121),""))</f>
        <v>0</v>
      </c>
      <c r="Q121" s="8">
        <f>IF(H121="","",COUNTIFS($H$5:$H$1204,"&gt;"&amp;H121)+1)</f>
        <v>0</v>
      </c>
      <c r="R121" s="8">
        <f>IF(B121="","",SUMIFS(Pantry!$C$5:$C$304,Pantry!$A$5:$A$304,B121))</f>
        <v>0</v>
      </c>
      <c r="S121" s="8">
        <f>IF(OR(B121="",C121=""),"",MAX(0,C121-R121))</f>
        <v>0</v>
      </c>
      <c r="T121" s="26"/>
      <c r="U121" s="8">
        <f>IF(OR(T121="",T121=0,G121=""),"",T121*G121)</f>
        <v>0</v>
      </c>
      <c r="V121" s="8">
        <f>IF(OR(S121="",T121="",T121=0),"",CEILING(S121/T121,1))</f>
        <v>0</v>
      </c>
      <c r="W121" s="27"/>
      <c r="X121" s="29"/>
      <c r="Y121" s="8">
        <f>IF(OR(C121="",X121=""),"",C121*(1+X121))</f>
        <v>0</v>
      </c>
      <c r="Z121" s="8">
        <f>IF(B121="","",IFERROR(INDEX(Ingredients!$O$5:$O$304,MATCH(B121,Ingredients!$A$5:$A$304,0)),""))</f>
        <v>0</v>
      </c>
      <c r="AA121" s="8">
        <f>IF(B121="","",IF(R121&gt;=C121,"In pantry","To buy"))</f>
        <v>0</v>
      </c>
      <c r="AB121" s="8">
        <f>IF(A121="","",COUNTIFS($A$5:A121,A121))</f>
        <v>0</v>
      </c>
      <c r="AC121" s="8">
        <f>IF(B121="","",IF(COUNTIFS('Dietary Filters'!$C$5:$C$104,B121)&gt;0,"Check","OK"))</f>
        <v>0</v>
      </c>
      <c r="AD121" s="25"/>
    </row>
    <row r="122" spans="1:30">
      <c r="A122" s="7"/>
      <c r="B122" s="7"/>
      <c r="C122" s="26"/>
      <c r="D122" s="27"/>
      <c r="E122" s="8">
        <f>IF(B122="","",IFERROR(INDEX(Ingredients!$B$5:$B$304,MATCH(B122,Ingredients!$A$5:$A$304,0)),""))</f>
        <v>0</v>
      </c>
      <c r="F122" s="8">
        <f>IF(B122="","",IFERROR(INDEX(Ingredients!$E$5:$E$304,MATCH(B122,Ingredients!$A$5:$A$304,0)),""))</f>
        <v>0</v>
      </c>
      <c r="G122" s="8">
        <f>IF(B122="","",IFERROR(INDEX(Ingredients!$D$5:$D$304,MATCH(B122,Ingredients!$A$5:$A$304,0)),""))</f>
        <v>0</v>
      </c>
      <c r="H122" s="8">
        <f>IF(OR(B122="",C122=""),"",IFERROR(C122*G122,""))</f>
        <v>0</v>
      </c>
      <c r="I122" s="8">
        <f>IF(A122="","",IFERROR(INDEX(Recipes!$D$5:$D$204,MATCH(A122,Recipes!$A$5:$A$204,0)),""))</f>
        <v>0</v>
      </c>
      <c r="J122" s="8">
        <f>IF(OR(H122="",I122="",I122=0),"",IFERROR(H122/I122,""))</f>
        <v>0</v>
      </c>
      <c r="K122" s="8">
        <f>IF(OR(B122="",C122=""),"",IFERROR(C122*IFERROR(INDEX(Ingredients!$H$5:$H$304,MATCH(B122,Ingredients!$A$5:$A$304,0)),""),""))</f>
        <v>0</v>
      </c>
      <c r="L122" s="8">
        <f>IF(OR(B122="",C122=""),"",IFERROR(C122*IFERROR(INDEX(Ingredients!$I$5:$I$304,MATCH(B122,Ingredients!$A$5:$A$304,0)),""),""))</f>
        <v>0</v>
      </c>
      <c r="M122" s="8">
        <f>IF(OR(B122="",C122=""),"",IFERROR(C122*IFERROR(INDEX(Ingredients!$J$5:$J$304,MATCH(B122,Ingredients!$A$5:$A$304,0)),""),""))</f>
        <v>0</v>
      </c>
      <c r="N122" s="8">
        <f>IF(OR(B122="",C122=""),"",IFERROR(C122*IFERROR(INDEX(Ingredients!$K$5:$K$304,MATCH(B122,Ingredients!$A$5:$A$304,0)),""),""))</f>
        <v>0</v>
      </c>
      <c r="O122" s="8">
        <f>IF(OR(B122="",C122=""),"",IFERROR(C122*IFERROR(INDEX(Ingredients!$L$5:$L$304,MATCH(B122,Ingredients!$A$5:$A$304,0)),""),""))</f>
        <v>0</v>
      </c>
      <c r="P122" s="8">
        <f>IF(OR(H122="",A122=""),"",IFERROR(H122/SUMIFS('Recipe Ingredients'!$H$5:$H$1204,'Recipe Ingredients'!$A$5:$A$1204,A122),""))</f>
        <v>0</v>
      </c>
      <c r="Q122" s="8">
        <f>IF(H122="","",COUNTIFS($H$5:$H$1204,"&gt;"&amp;H122)+1)</f>
        <v>0</v>
      </c>
      <c r="R122" s="8">
        <f>IF(B122="","",SUMIFS(Pantry!$C$5:$C$304,Pantry!$A$5:$A$304,B122))</f>
        <v>0</v>
      </c>
      <c r="S122" s="8">
        <f>IF(OR(B122="",C122=""),"",MAX(0,C122-R122))</f>
        <v>0</v>
      </c>
      <c r="T122" s="26"/>
      <c r="U122" s="8">
        <f>IF(OR(T122="",T122=0,G122=""),"",T122*G122)</f>
        <v>0</v>
      </c>
      <c r="V122" s="8">
        <f>IF(OR(S122="",T122="",T122=0),"",CEILING(S122/T122,1))</f>
        <v>0</v>
      </c>
      <c r="W122" s="27"/>
      <c r="X122" s="29"/>
      <c r="Y122" s="8">
        <f>IF(OR(C122="",X122=""),"",C122*(1+X122))</f>
        <v>0</v>
      </c>
      <c r="Z122" s="8">
        <f>IF(B122="","",IFERROR(INDEX(Ingredients!$O$5:$O$304,MATCH(B122,Ingredients!$A$5:$A$304,0)),""))</f>
        <v>0</v>
      </c>
      <c r="AA122" s="8">
        <f>IF(B122="","",IF(R122&gt;=C122,"In pantry","To buy"))</f>
        <v>0</v>
      </c>
      <c r="AB122" s="8">
        <f>IF(A122="","",COUNTIFS($A$5:A122,A122))</f>
        <v>0</v>
      </c>
      <c r="AC122" s="8">
        <f>IF(B122="","",IF(COUNTIFS('Dietary Filters'!$C$5:$C$104,B122)&gt;0,"Check","OK"))</f>
        <v>0</v>
      </c>
      <c r="AD122" s="25"/>
    </row>
    <row r="123" spans="1:30">
      <c r="A123" s="7"/>
      <c r="B123" s="7"/>
      <c r="C123" s="26"/>
      <c r="D123" s="27"/>
      <c r="E123" s="8">
        <f>IF(B123="","",IFERROR(INDEX(Ingredients!$B$5:$B$304,MATCH(B123,Ingredients!$A$5:$A$304,0)),""))</f>
        <v>0</v>
      </c>
      <c r="F123" s="8">
        <f>IF(B123="","",IFERROR(INDEX(Ingredients!$E$5:$E$304,MATCH(B123,Ingredients!$A$5:$A$304,0)),""))</f>
        <v>0</v>
      </c>
      <c r="G123" s="8">
        <f>IF(B123="","",IFERROR(INDEX(Ingredients!$D$5:$D$304,MATCH(B123,Ingredients!$A$5:$A$304,0)),""))</f>
        <v>0</v>
      </c>
      <c r="H123" s="8">
        <f>IF(OR(B123="",C123=""),"",IFERROR(C123*G123,""))</f>
        <v>0</v>
      </c>
      <c r="I123" s="8">
        <f>IF(A123="","",IFERROR(INDEX(Recipes!$D$5:$D$204,MATCH(A123,Recipes!$A$5:$A$204,0)),""))</f>
        <v>0</v>
      </c>
      <c r="J123" s="8">
        <f>IF(OR(H123="",I123="",I123=0),"",IFERROR(H123/I123,""))</f>
        <v>0</v>
      </c>
      <c r="K123" s="8">
        <f>IF(OR(B123="",C123=""),"",IFERROR(C123*IFERROR(INDEX(Ingredients!$H$5:$H$304,MATCH(B123,Ingredients!$A$5:$A$304,0)),""),""))</f>
        <v>0</v>
      </c>
      <c r="L123" s="8">
        <f>IF(OR(B123="",C123=""),"",IFERROR(C123*IFERROR(INDEX(Ingredients!$I$5:$I$304,MATCH(B123,Ingredients!$A$5:$A$304,0)),""),""))</f>
        <v>0</v>
      </c>
      <c r="M123" s="8">
        <f>IF(OR(B123="",C123=""),"",IFERROR(C123*IFERROR(INDEX(Ingredients!$J$5:$J$304,MATCH(B123,Ingredients!$A$5:$A$304,0)),""),""))</f>
        <v>0</v>
      </c>
      <c r="N123" s="8">
        <f>IF(OR(B123="",C123=""),"",IFERROR(C123*IFERROR(INDEX(Ingredients!$K$5:$K$304,MATCH(B123,Ingredients!$A$5:$A$304,0)),""),""))</f>
        <v>0</v>
      </c>
      <c r="O123" s="8">
        <f>IF(OR(B123="",C123=""),"",IFERROR(C123*IFERROR(INDEX(Ingredients!$L$5:$L$304,MATCH(B123,Ingredients!$A$5:$A$304,0)),""),""))</f>
        <v>0</v>
      </c>
      <c r="P123" s="8">
        <f>IF(OR(H123="",A123=""),"",IFERROR(H123/SUMIFS('Recipe Ingredients'!$H$5:$H$1204,'Recipe Ingredients'!$A$5:$A$1204,A123),""))</f>
        <v>0</v>
      </c>
      <c r="Q123" s="8">
        <f>IF(H123="","",COUNTIFS($H$5:$H$1204,"&gt;"&amp;H123)+1)</f>
        <v>0</v>
      </c>
      <c r="R123" s="8">
        <f>IF(B123="","",SUMIFS(Pantry!$C$5:$C$304,Pantry!$A$5:$A$304,B123))</f>
        <v>0</v>
      </c>
      <c r="S123" s="8">
        <f>IF(OR(B123="",C123=""),"",MAX(0,C123-R123))</f>
        <v>0</v>
      </c>
      <c r="T123" s="26"/>
      <c r="U123" s="8">
        <f>IF(OR(T123="",T123=0,G123=""),"",T123*G123)</f>
        <v>0</v>
      </c>
      <c r="V123" s="8">
        <f>IF(OR(S123="",T123="",T123=0),"",CEILING(S123/T123,1))</f>
        <v>0</v>
      </c>
      <c r="W123" s="27"/>
      <c r="X123" s="29"/>
      <c r="Y123" s="8">
        <f>IF(OR(C123="",X123=""),"",C123*(1+X123))</f>
        <v>0</v>
      </c>
      <c r="Z123" s="8">
        <f>IF(B123="","",IFERROR(INDEX(Ingredients!$O$5:$O$304,MATCH(B123,Ingredients!$A$5:$A$304,0)),""))</f>
        <v>0</v>
      </c>
      <c r="AA123" s="8">
        <f>IF(B123="","",IF(R123&gt;=C123,"In pantry","To buy"))</f>
        <v>0</v>
      </c>
      <c r="AB123" s="8">
        <f>IF(A123="","",COUNTIFS($A$5:A123,A123))</f>
        <v>0</v>
      </c>
      <c r="AC123" s="8">
        <f>IF(B123="","",IF(COUNTIFS('Dietary Filters'!$C$5:$C$104,B123)&gt;0,"Check","OK"))</f>
        <v>0</v>
      </c>
      <c r="AD123" s="25"/>
    </row>
    <row r="124" spans="1:30">
      <c r="A124" s="7"/>
      <c r="B124" s="7"/>
      <c r="C124" s="26"/>
      <c r="D124" s="27"/>
      <c r="E124" s="8">
        <f>IF(B124="","",IFERROR(INDEX(Ingredients!$B$5:$B$304,MATCH(B124,Ingredients!$A$5:$A$304,0)),""))</f>
        <v>0</v>
      </c>
      <c r="F124" s="8">
        <f>IF(B124="","",IFERROR(INDEX(Ingredients!$E$5:$E$304,MATCH(B124,Ingredients!$A$5:$A$304,0)),""))</f>
        <v>0</v>
      </c>
      <c r="G124" s="8">
        <f>IF(B124="","",IFERROR(INDEX(Ingredients!$D$5:$D$304,MATCH(B124,Ingredients!$A$5:$A$304,0)),""))</f>
        <v>0</v>
      </c>
      <c r="H124" s="8">
        <f>IF(OR(B124="",C124=""),"",IFERROR(C124*G124,""))</f>
        <v>0</v>
      </c>
      <c r="I124" s="8">
        <f>IF(A124="","",IFERROR(INDEX(Recipes!$D$5:$D$204,MATCH(A124,Recipes!$A$5:$A$204,0)),""))</f>
        <v>0</v>
      </c>
      <c r="J124" s="8">
        <f>IF(OR(H124="",I124="",I124=0),"",IFERROR(H124/I124,""))</f>
        <v>0</v>
      </c>
      <c r="K124" s="8">
        <f>IF(OR(B124="",C124=""),"",IFERROR(C124*IFERROR(INDEX(Ingredients!$H$5:$H$304,MATCH(B124,Ingredients!$A$5:$A$304,0)),""),""))</f>
        <v>0</v>
      </c>
      <c r="L124" s="8">
        <f>IF(OR(B124="",C124=""),"",IFERROR(C124*IFERROR(INDEX(Ingredients!$I$5:$I$304,MATCH(B124,Ingredients!$A$5:$A$304,0)),""),""))</f>
        <v>0</v>
      </c>
      <c r="M124" s="8">
        <f>IF(OR(B124="",C124=""),"",IFERROR(C124*IFERROR(INDEX(Ingredients!$J$5:$J$304,MATCH(B124,Ingredients!$A$5:$A$304,0)),""),""))</f>
        <v>0</v>
      </c>
      <c r="N124" s="8">
        <f>IF(OR(B124="",C124=""),"",IFERROR(C124*IFERROR(INDEX(Ingredients!$K$5:$K$304,MATCH(B124,Ingredients!$A$5:$A$304,0)),""),""))</f>
        <v>0</v>
      </c>
      <c r="O124" s="8">
        <f>IF(OR(B124="",C124=""),"",IFERROR(C124*IFERROR(INDEX(Ingredients!$L$5:$L$304,MATCH(B124,Ingredients!$A$5:$A$304,0)),""),""))</f>
        <v>0</v>
      </c>
      <c r="P124" s="8">
        <f>IF(OR(H124="",A124=""),"",IFERROR(H124/SUMIFS('Recipe Ingredients'!$H$5:$H$1204,'Recipe Ingredients'!$A$5:$A$1204,A124),""))</f>
        <v>0</v>
      </c>
      <c r="Q124" s="8">
        <f>IF(H124="","",COUNTIFS($H$5:$H$1204,"&gt;"&amp;H124)+1)</f>
        <v>0</v>
      </c>
      <c r="R124" s="8">
        <f>IF(B124="","",SUMIFS(Pantry!$C$5:$C$304,Pantry!$A$5:$A$304,B124))</f>
        <v>0</v>
      </c>
      <c r="S124" s="8">
        <f>IF(OR(B124="",C124=""),"",MAX(0,C124-R124))</f>
        <v>0</v>
      </c>
      <c r="T124" s="26"/>
      <c r="U124" s="8">
        <f>IF(OR(T124="",T124=0,G124=""),"",T124*G124)</f>
        <v>0</v>
      </c>
      <c r="V124" s="8">
        <f>IF(OR(S124="",T124="",T124=0),"",CEILING(S124/T124,1))</f>
        <v>0</v>
      </c>
      <c r="W124" s="27"/>
      <c r="X124" s="29"/>
      <c r="Y124" s="8">
        <f>IF(OR(C124="",X124=""),"",C124*(1+X124))</f>
        <v>0</v>
      </c>
      <c r="Z124" s="8">
        <f>IF(B124="","",IFERROR(INDEX(Ingredients!$O$5:$O$304,MATCH(B124,Ingredients!$A$5:$A$304,0)),""))</f>
        <v>0</v>
      </c>
      <c r="AA124" s="8">
        <f>IF(B124="","",IF(R124&gt;=C124,"In pantry","To buy"))</f>
        <v>0</v>
      </c>
      <c r="AB124" s="8">
        <f>IF(A124="","",COUNTIFS($A$5:A124,A124))</f>
        <v>0</v>
      </c>
      <c r="AC124" s="8">
        <f>IF(B124="","",IF(COUNTIFS('Dietary Filters'!$C$5:$C$104,B124)&gt;0,"Check","OK"))</f>
        <v>0</v>
      </c>
      <c r="AD124" s="25"/>
    </row>
    <row r="125" spans="1:30">
      <c r="A125" s="7"/>
      <c r="B125" s="7"/>
      <c r="C125" s="26"/>
      <c r="D125" s="27"/>
      <c r="E125" s="8">
        <f>IF(B125="","",IFERROR(INDEX(Ingredients!$B$5:$B$304,MATCH(B125,Ingredients!$A$5:$A$304,0)),""))</f>
        <v>0</v>
      </c>
      <c r="F125" s="8">
        <f>IF(B125="","",IFERROR(INDEX(Ingredients!$E$5:$E$304,MATCH(B125,Ingredients!$A$5:$A$304,0)),""))</f>
        <v>0</v>
      </c>
      <c r="G125" s="8">
        <f>IF(B125="","",IFERROR(INDEX(Ingredients!$D$5:$D$304,MATCH(B125,Ingredients!$A$5:$A$304,0)),""))</f>
        <v>0</v>
      </c>
      <c r="H125" s="8">
        <f>IF(OR(B125="",C125=""),"",IFERROR(C125*G125,""))</f>
        <v>0</v>
      </c>
      <c r="I125" s="8">
        <f>IF(A125="","",IFERROR(INDEX(Recipes!$D$5:$D$204,MATCH(A125,Recipes!$A$5:$A$204,0)),""))</f>
        <v>0</v>
      </c>
      <c r="J125" s="8">
        <f>IF(OR(H125="",I125="",I125=0),"",IFERROR(H125/I125,""))</f>
        <v>0</v>
      </c>
      <c r="K125" s="8">
        <f>IF(OR(B125="",C125=""),"",IFERROR(C125*IFERROR(INDEX(Ingredients!$H$5:$H$304,MATCH(B125,Ingredients!$A$5:$A$304,0)),""),""))</f>
        <v>0</v>
      </c>
      <c r="L125" s="8">
        <f>IF(OR(B125="",C125=""),"",IFERROR(C125*IFERROR(INDEX(Ingredients!$I$5:$I$304,MATCH(B125,Ingredients!$A$5:$A$304,0)),""),""))</f>
        <v>0</v>
      </c>
      <c r="M125" s="8">
        <f>IF(OR(B125="",C125=""),"",IFERROR(C125*IFERROR(INDEX(Ingredients!$J$5:$J$304,MATCH(B125,Ingredients!$A$5:$A$304,0)),""),""))</f>
        <v>0</v>
      </c>
      <c r="N125" s="8">
        <f>IF(OR(B125="",C125=""),"",IFERROR(C125*IFERROR(INDEX(Ingredients!$K$5:$K$304,MATCH(B125,Ingredients!$A$5:$A$304,0)),""),""))</f>
        <v>0</v>
      </c>
      <c r="O125" s="8">
        <f>IF(OR(B125="",C125=""),"",IFERROR(C125*IFERROR(INDEX(Ingredients!$L$5:$L$304,MATCH(B125,Ingredients!$A$5:$A$304,0)),""),""))</f>
        <v>0</v>
      </c>
      <c r="P125" s="8">
        <f>IF(OR(H125="",A125=""),"",IFERROR(H125/SUMIFS('Recipe Ingredients'!$H$5:$H$1204,'Recipe Ingredients'!$A$5:$A$1204,A125),""))</f>
        <v>0</v>
      </c>
      <c r="Q125" s="8">
        <f>IF(H125="","",COUNTIFS($H$5:$H$1204,"&gt;"&amp;H125)+1)</f>
        <v>0</v>
      </c>
      <c r="R125" s="8">
        <f>IF(B125="","",SUMIFS(Pantry!$C$5:$C$304,Pantry!$A$5:$A$304,B125))</f>
        <v>0</v>
      </c>
      <c r="S125" s="8">
        <f>IF(OR(B125="",C125=""),"",MAX(0,C125-R125))</f>
        <v>0</v>
      </c>
      <c r="T125" s="26"/>
      <c r="U125" s="8">
        <f>IF(OR(T125="",T125=0,G125=""),"",T125*G125)</f>
        <v>0</v>
      </c>
      <c r="V125" s="8">
        <f>IF(OR(S125="",T125="",T125=0),"",CEILING(S125/T125,1))</f>
        <v>0</v>
      </c>
      <c r="W125" s="27"/>
      <c r="X125" s="29"/>
      <c r="Y125" s="8">
        <f>IF(OR(C125="",X125=""),"",C125*(1+X125))</f>
        <v>0</v>
      </c>
      <c r="Z125" s="8">
        <f>IF(B125="","",IFERROR(INDEX(Ingredients!$O$5:$O$304,MATCH(B125,Ingredients!$A$5:$A$304,0)),""))</f>
        <v>0</v>
      </c>
      <c r="AA125" s="8">
        <f>IF(B125="","",IF(R125&gt;=C125,"In pantry","To buy"))</f>
        <v>0</v>
      </c>
      <c r="AB125" s="8">
        <f>IF(A125="","",COUNTIFS($A$5:A125,A125))</f>
        <v>0</v>
      </c>
      <c r="AC125" s="8">
        <f>IF(B125="","",IF(COUNTIFS('Dietary Filters'!$C$5:$C$104,B125)&gt;0,"Check","OK"))</f>
        <v>0</v>
      </c>
      <c r="AD125" s="25"/>
    </row>
    <row r="126" spans="1:30">
      <c r="A126" s="7"/>
      <c r="B126" s="7"/>
      <c r="C126" s="26"/>
      <c r="D126" s="27"/>
      <c r="E126" s="8">
        <f>IF(B126="","",IFERROR(INDEX(Ingredients!$B$5:$B$304,MATCH(B126,Ingredients!$A$5:$A$304,0)),""))</f>
        <v>0</v>
      </c>
      <c r="F126" s="8">
        <f>IF(B126="","",IFERROR(INDEX(Ingredients!$E$5:$E$304,MATCH(B126,Ingredients!$A$5:$A$304,0)),""))</f>
        <v>0</v>
      </c>
      <c r="G126" s="8">
        <f>IF(B126="","",IFERROR(INDEX(Ingredients!$D$5:$D$304,MATCH(B126,Ingredients!$A$5:$A$304,0)),""))</f>
        <v>0</v>
      </c>
      <c r="H126" s="8">
        <f>IF(OR(B126="",C126=""),"",IFERROR(C126*G126,""))</f>
        <v>0</v>
      </c>
      <c r="I126" s="8">
        <f>IF(A126="","",IFERROR(INDEX(Recipes!$D$5:$D$204,MATCH(A126,Recipes!$A$5:$A$204,0)),""))</f>
        <v>0</v>
      </c>
      <c r="J126" s="8">
        <f>IF(OR(H126="",I126="",I126=0),"",IFERROR(H126/I126,""))</f>
        <v>0</v>
      </c>
      <c r="K126" s="8">
        <f>IF(OR(B126="",C126=""),"",IFERROR(C126*IFERROR(INDEX(Ingredients!$H$5:$H$304,MATCH(B126,Ingredients!$A$5:$A$304,0)),""),""))</f>
        <v>0</v>
      </c>
      <c r="L126" s="8">
        <f>IF(OR(B126="",C126=""),"",IFERROR(C126*IFERROR(INDEX(Ingredients!$I$5:$I$304,MATCH(B126,Ingredients!$A$5:$A$304,0)),""),""))</f>
        <v>0</v>
      </c>
      <c r="M126" s="8">
        <f>IF(OR(B126="",C126=""),"",IFERROR(C126*IFERROR(INDEX(Ingredients!$J$5:$J$304,MATCH(B126,Ingredients!$A$5:$A$304,0)),""),""))</f>
        <v>0</v>
      </c>
      <c r="N126" s="8">
        <f>IF(OR(B126="",C126=""),"",IFERROR(C126*IFERROR(INDEX(Ingredients!$K$5:$K$304,MATCH(B126,Ingredients!$A$5:$A$304,0)),""),""))</f>
        <v>0</v>
      </c>
      <c r="O126" s="8">
        <f>IF(OR(B126="",C126=""),"",IFERROR(C126*IFERROR(INDEX(Ingredients!$L$5:$L$304,MATCH(B126,Ingredients!$A$5:$A$304,0)),""),""))</f>
        <v>0</v>
      </c>
      <c r="P126" s="8">
        <f>IF(OR(H126="",A126=""),"",IFERROR(H126/SUMIFS('Recipe Ingredients'!$H$5:$H$1204,'Recipe Ingredients'!$A$5:$A$1204,A126),""))</f>
        <v>0</v>
      </c>
      <c r="Q126" s="8">
        <f>IF(H126="","",COUNTIFS($H$5:$H$1204,"&gt;"&amp;H126)+1)</f>
        <v>0</v>
      </c>
      <c r="R126" s="8">
        <f>IF(B126="","",SUMIFS(Pantry!$C$5:$C$304,Pantry!$A$5:$A$304,B126))</f>
        <v>0</v>
      </c>
      <c r="S126" s="8">
        <f>IF(OR(B126="",C126=""),"",MAX(0,C126-R126))</f>
        <v>0</v>
      </c>
      <c r="T126" s="26"/>
      <c r="U126" s="8">
        <f>IF(OR(T126="",T126=0,G126=""),"",T126*G126)</f>
        <v>0</v>
      </c>
      <c r="V126" s="8">
        <f>IF(OR(S126="",T126="",T126=0),"",CEILING(S126/T126,1))</f>
        <v>0</v>
      </c>
      <c r="W126" s="27"/>
      <c r="X126" s="29"/>
      <c r="Y126" s="8">
        <f>IF(OR(C126="",X126=""),"",C126*(1+X126))</f>
        <v>0</v>
      </c>
      <c r="Z126" s="8">
        <f>IF(B126="","",IFERROR(INDEX(Ingredients!$O$5:$O$304,MATCH(B126,Ingredients!$A$5:$A$304,0)),""))</f>
        <v>0</v>
      </c>
      <c r="AA126" s="8">
        <f>IF(B126="","",IF(R126&gt;=C126,"In pantry","To buy"))</f>
        <v>0</v>
      </c>
      <c r="AB126" s="8">
        <f>IF(A126="","",COUNTIFS($A$5:A126,A126))</f>
        <v>0</v>
      </c>
      <c r="AC126" s="8">
        <f>IF(B126="","",IF(COUNTIFS('Dietary Filters'!$C$5:$C$104,B126)&gt;0,"Check","OK"))</f>
        <v>0</v>
      </c>
      <c r="AD126" s="25"/>
    </row>
    <row r="127" spans="1:30">
      <c r="A127" s="7"/>
      <c r="B127" s="7"/>
      <c r="C127" s="26"/>
      <c r="D127" s="27"/>
      <c r="E127" s="8">
        <f>IF(B127="","",IFERROR(INDEX(Ingredients!$B$5:$B$304,MATCH(B127,Ingredients!$A$5:$A$304,0)),""))</f>
        <v>0</v>
      </c>
      <c r="F127" s="8">
        <f>IF(B127="","",IFERROR(INDEX(Ingredients!$E$5:$E$304,MATCH(B127,Ingredients!$A$5:$A$304,0)),""))</f>
        <v>0</v>
      </c>
      <c r="G127" s="8">
        <f>IF(B127="","",IFERROR(INDEX(Ingredients!$D$5:$D$304,MATCH(B127,Ingredients!$A$5:$A$304,0)),""))</f>
        <v>0</v>
      </c>
      <c r="H127" s="8">
        <f>IF(OR(B127="",C127=""),"",IFERROR(C127*G127,""))</f>
        <v>0</v>
      </c>
      <c r="I127" s="8">
        <f>IF(A127="","",IFERROR(INDEX(Recipes!$D$5:$D$204,MATCH(A127,Recipes!$A$5:$A$204,0)),""))</f>
        <v>0</v>
      </c>
      <c r="J127" s="8">
        <f>IF(OR(H127="",I127="",I127=0),"",IFERROR(H127/I127,""))</f>
        <v>0</v>
      </c>
      <c r="K127" s="8">
        <f>IF(OR(B127="",C127=""),"",IFERROR(C127*IFERROR(INDEX(Ingredients!$H$5:$H$304,MATCH(B127,Ingredients!$A$5:$A$304,0)),""),""))</f>
        <v>0</v>
      </c>
      <c r="L127" s="8">
        <f>IF(OR(B127="",C127=""),"",IFERROR(C127*IFERROR(INDEX(Ingredients!$I$5:$I$304,MATCH(B127,Ingredients!$A$5:$A$304,0)),""),""))</f>
        <v>0</v>
      </c>
      <c r="M127" s="8">
        <f>IF(OR(B127="",C127=""),"",IFERROR(C127*IFERROR(INDEX(Ingredients!$J$5:$J$304,MATCH(B127,Ingredients!$A$5:$A$304,0)),""),""))</f>
        <v>0</v>
      </c>
      <c r="N127" s="8">
        <f>IF(OR(B127="",C127=""),"",IFERROR(C127*IFERROR(INDEX(Ingredients!$K$5:$K$304,MATCH(B127,Ingredients!$A$5:$A$304,0)),""),""))</f>
        <v>0</v>
      </c>
      <c r="O127" s="8">
        <f>IF(OR(B127="",C127=""),"",IFERROR(C127*IFERROR(INDEX(Ingredients!$L$5:$L$304,MATCH(B127,Ingredients!$A$5:$A$304,0)),""),""))</f>
        <v>0</v>
      </c>
      <c r="P127" s="8">
        <f>IF(OR(H127="",A127=""),"",IFERROR(H127/SUMIFS('Recipe Ingredients'!$H$5:$H$1204,'Recipe Ingredients'!$A$5:$A$1204,A127),""))</f>
        <v>0</v>
      </c>
      <c r="Q127" s="8">
        <f>IF(H127="","",COUNTIFS($H$5:$H$1204,"&gt;"&amp;H127)+1)</f>
        <v>0</v>
      </c>
      <c r="R127" s="8">
        <f>IF(B127="","",SUMIFS(Pantry!$C$5:$C$304,Pantry!$A$5:$A$304,B127))</f>
        <v>0</v>
      </c>
      <c r="S127" s="8">
        <f>IF(OR(B127="",C127=""),"",MAX(0,C127-R127))</f>
        <v>0</v>
      </c>
      <c r="T127" s="26"/>
      <c r="U127" s="8">
        <f>IF(OR(T127="",T127=0,G127=""),"",T127*G127)</f>
        <v>0</v>
      </c>
      <c r="V127" s="8">
        <f>IF(OR(S127="",T127="",T127=0),"",CEILING(S127/T127,1))</f>
        <v>0</v>
      </c>
      <c r="W127" s="27"/>
      <c r="X127" s="29"/>
      <c r="Y127" s="8">
        <f>IF(OR(C127="",X127=""),"",C127*(1+X127))</f>
        <v>0</v>
      </c>
      <c r="Z127" s="8">
        <f>IF(B127="","",IFERROR(INDEX(Ingredients!$O$5:$O$304,MATCH(B127,Ingredients!$A$5:$A$304,0)),""))</f>
        <v>0</v>
      </c>
      <c r="AA127" s="8">
        <f>IF(B127="","",IF(R127&gt;=C127,"In pantry","To buy"))</f>
        <v>0</v>
      </c>
      <c r="AB127" s="8">
        <f>IF(A127="","",COUNTIFS($A$5:A127,A127))</f>
        <v>0</v>
      </c>
      <c r="AC127" s="8">
        <f>IF(B127="","",IF(COUNTIFS('Dietary Filters'!$C$5:$C$104,B127)&gt;0,"Check","OK"))</f>
        <v>0</v>
      </c>
      <c r="AD127" s="25"/>
    </row>
    <row r="128" spans="1:30">
      <c r="A128" s="7"/>
      <c r="B128" s="7"/>
      <c r="C128" s="26"/>
      <c r="D128" s="27"/>
      <c r="E128" s="8">
        <f>IF(B128="","",IFERROR(INDEX(Ingredients!$B$5:$B$304,MATCH(B128,Ingredients!$A$5:$A$304,0)),""))</f>
        <v>0</v>
      </c>
      <c r="F128" s="8">
        <f>IF(B128="","",IFERROR(INDEX(Ingredients!$E$5:$E$304,MATCH(B128,Ingredients!$A$5:$A$304,0)),""))</f>
        <v>0</v>
      </c>
      <c r="G128" s="8">
        <f>IF(B128="","",IFERROR(INDEX(Ingredients!$D$5:$D$304,MATCH(B128,Ingredients!$A$5:$A$304,0)),""))</f>
        <v>0</v>
      </c>
      <c r="H128" s="8">
        <f>IF(OR(B128="",C128=""),"",IFERROR(C128*G128,""))</f>
        <v>0</v>
      </c>
      <c r="I128" s="8">
        <f>IF(A128="","",IFERROR(INDEX(Recipes!$D$5:$D$204,MATCH(A128,Recipes!$A$5:$A$204,0)),""))</f>
        <v>0</v>
      </c>
      <c r="J128" s="8">
        <f>IF(OR(H128="",I128="",I128=0),"",IFERROR(H128/I128,""))</f>
        <v>0</v>
      </c>
      <c r="K128" s="8">
        <f>IF(OR(B128="",C128=""),"",IFERROR(C128*IFERROR(INDEX(Ingredients!$H$5:$H$304,MATCH(B128,Ingredients!$A$5:$A$304,0)),""),""))</f>
        <v>0</v>
      </c>
      <c r="L128" s="8">
        <f>IF(OR(B128="",C128=""),"",IFERROR(C128*IFERROR(INDEX(Ingredients!$I$5:$I$304,MATCH(B128,Ingredients!$A$5:$A$304,0)),""),""))</f>
        <v>0</v>
      </c>
      <c r="M128" s="8">
        <f>IF(OR(B128="",C128=""),"",IFERROR(C128*IFERROR(INDEX(Ingredients!$J$5:$J$304,MATCH(B128,Ingredients!$A$5:$A$304,0)),""),""))</f>
        <v>0</v>
      </c>
      <c r="N128" s="8">
        <f>IF(OR(B128="",C128=""),"",IFERROR(C128*IFERROR(INDEX(Ingredients!$K$5:$K$304,MATCH(B128,Ingredients!$A$5:$A$304,0)),""),""))</f>
        <v>0</v>
      </c>
      <c r="O128" s="8">
        <f>IF(OR(B128="",C128=""),"",IFERROR(C128*IFERROR(INDEX(Ingredients!$L$5:$L$304,MATCH(B128,Ingredients!$A$5:$A$304,0)),""),""))</f>
        <v>0</v>
      </c>
      <c r="P128" s="8">
        <f>IF(OR(H128="",A128=""),"",IFERROR(H128/SUMIFS('Recipe Ingredients'!$H$5:$H$1204,'Recipe Ingredients'!$A$5:$A$1204,A128),""))</f>
        <v>0</v>
      </c>
      <c r="Q128" s="8">
        <f>IF(H128="","",COUNTIFS($H$5:$H$1204,"&gt;"&amp;H128)+1)</f>
        <v>0</v>
      </c>
      <c r="R128" s="8">
        <f>IF(B128="","",SUMIFS(Pantry!$C$5:$C$304,Pantry!$A$5:$A$304,B128))</f>
        <v>0</v>
      </c>
      <c r="S128" s="8">
        <f>IF(OR(B128="",C128=""),"",MAX(0,C128-R128))</f>
        <v>0</v>
      </c>
      <c r="T128" s="26"/>
      <c r="U128" s="8">
        <f>IF(OR(T128="",T128=0,G128=""),"",T128*G128)</f>
        <v>0</v>
      </c>
      <c r="V128" s="8">
        <f>IF(OR(S128="",T128="",T128=0),"",CEILING(S128/T128,1))</f>
        <v>0</v>
      </c>
      <c r="W128" s="27"/>
      <c r="X128" s="29"/>
      <c r="Y128" s="8">
        <f>IF(OR(C128="",X128=""),"",C128*(1+X128))</f>
        <v>0</v>
      </c>
      <c r="Z128" s="8">
        <f>IF(B128="","",IFERROR(INDEX(Ingredients!$O$5:$O$304,MATCH(B128,Ingredients!$A$5:$A$304,0)),""))</f>
        <v>0</v>
      </c>
      <c r="AA128" s="8">
        <f>IF(B128="","",IF(R128&gt;=C128,"In pantry","To buy"))</f>
        <v>0</v>
      </c>
      <c r="AB128" s="8">
        <f>IF(A128="","",COUNTIFS($A$5:A128,A128))</f>
        <v>0</v>
      </c>
      <c r="AC128" s="8">
        <f>IF(B128="","",IF(COUNTIFS('Dietary Filters'!$C$5:$C$104,B128)&gt;0,"Check","OK"))</f>
        <v>0</v>
      </c>
      <c r="AD128" s="25"/>
    </row>
    <row r="129" spans="1:30">
      <c r="A129" s="7"/>
      <c r="B129" s="7"/>
      <c r="C129" s="26"/>
      <c r="D129" s="27"/>
      <c r="E129" s="8">
        <f>IF(B129="","",IFERROR(INDEX(Ingredients!$B$5:$B$304,MATCH(B129,Ingredients!$A$5:$A$304,0)),""))</f>
        <v>0</v>
      </c>
      <c r="F129" s="8">
        <f>IF(B129="","",IFERROR(INDEX(Ingredients!$E$5:$E$304,MATCH(B129,Ingredients!$A$5:$A$304,0)),""))</f>
        <v>0</v>
      </c>
      <c r="G129" s="8">
        <f>IF(B129="","",IFERROR(INDEX(Ingredients!$D$5:$D$304,MATCH(B129,Ingredients!$A$5:$A$304,0)),""))</f>
        <v>0</v>
      </c>
      <c r="H129" s="8">
        <f>IF(OR(B129="",C129=""),"",IFERROR(C129*G129,""))</f>
        <v>0</v>
      </c>
      <c r="I129" s="8">
        <f>IF(A129="","",IFERROR(INDEX(Recipes!$D$5:$D$204,MATCH(A129,Recipes!$A$5:$A$204,0)),""))</f>
        <v>0</v>
      </c>
      <c r="J129" s="8">
        <f>IF(OR(H129="",I129="",I129=0),"",IFERROR(H129/I129,""))</f>
        <v>0</v>
      </c>
      <c r="K129" s="8">
        <f>IF(OR(B129="",C129=""),"",IFERROR(C129*IFERROR(INDEX(Ingredients!$H$5:$H$304,MATCH(B129,Ingredients!$A$5:$A$304,0)),""),""))</f>
        <v>0</v>
      </c>
      <c r="L129" s="8">
        <f>IF(OR(B129="",C129=""),"",IFERROR(C129*IFERROR(INDEX(Ingredients!$I$5:$I$304,MATCH(B129,Ingredients!$A$5:$A$304,0)),""),""))</f>
        <v>0</v>
      </c>
      <c r="M129" s="8">
        <f>IF(OR(B129="",C129=""),"",IFERROR(C129*IFERROR(INDEX(Ingredients!$J$5:$J$304,MATCH(B129,Ingredients!$A$5:$A$304,0)),""),""))</f>
        <v>0</v>
      </c>
      <c r="N129" s="8">
        <f>IF(OR(B129="",C129=""),"",IFERROR(C129*IFERROR(INDEX(Ingredients!$K$5:$K$304,MATCH(B129,Ingredients!$A$5:$A$304,0)),""),""))</f>
        <v>0</v>
      </c>
      <c r="O129" s="8">
        <f>IF(OR(B129="",C129=""),"",IFERROR(C129*IFERROR(INDEX(Ingredients!$L$5:$L$304,MATCH(B129,Ingredients!$A$5:$A$304,0)),""),""))</f>
        <v>0</v>
      </c>
      <c r="P129" s="8">
        <f>IF(OR(H129="",A129=""),"",IFERROR(H129/SUMIFS('Recipe Ingredients'!$H$5:$H$1204,'Recipe Ingredients'!$A$5:$A$1204,A129),""))</f>
        <v>0</v>
      </c>
      <c r="Q129" s="8">
        <f>IF(H129="","",COUNTIFS($H$5:$H$1204,"&gt;"&amp;H129)+1)</f>
        <v>0</v>
      </c>
      <c r="R129" s="8">
        <f>IF(B129="","",SUMIFS(Pantry!$C$5:$C$304,Pantry!$A$5:$A$304,B129))</f>
        <v>0</v>
      </c>
      <c r="S129" s="8">
        <f>IF(OR(B129="",C129=""),"",MAX(0,C129-R129))</f>
        <v>0</v>
      </c>
      <c r="T129" s="26"/>
      <c r="U129" s="8">
        <f>IF(OR(T129="",T129=0,G129=""),"",T129*G129)</f>
        <v>0</v>
      </c>
      <c r="V129" s="8">
        <f>IF(OR(S129="",T129="",T129=0),"",CEILING(S129/T129,1))</f>
        <v>0</v>
      </c>
      <c r="W129" s="27"/>
      <c r="X129" s="29"/>
      <c r="Y129" s="8">
        <f>IF(OR(C129="",X129=""),"",C129*(1+X129))</f>
        <v>0</v>
      </c>
      <c r="Z129" s="8">
        <f>IF(B129="","",IFERROR(INDEX(Ingredients!$O$5:$O$304,MATCH(B129,Ingredients!$A$5:$A$304,0)),""))</f>
        <v>0</v>
      </c>
      <c r="AA129" s="8">
        <f>IF(B129="","",IF(R129&gt;=C129,"In pantry","To buy"))</f>
        <v>0</v>
      </c>
      <c r="AB129" s="8">
        <f>IF(A129="","",COUNTIFS($A$5:A129,A129))</f>
        <v>0</v>
      </c>
      <c r="AC129" s="8">
        <f>IF(B129="","",IF(COUNTIFS('Dietary Filters'!$C$5:$C$104,B129)&gt;0,"Check","OK"))</f>
        <v>0</v>
      </c>
      <c r="AD129" s="25"/>
    </row>
    <row r="130" spans="1:30">
      <c r="A130" s="7"/>
      <c r="B130" s="7"/>
      <c r="C130" s="26"/>
      <c r="D130" s="27"/>
      <c r="E130" s="8">
        <f>IF(B130="","",IFERROR(INDEX(Ingredients!$B$5:$B$304,MATCH(B130,Ingredients!$A$5:$A$304,0)),""))</f>
        <v>0</v>
      </c>
      <c r="F130" s="8">
        <f>IF(B130="","",IFERROR(INDEX(Ingredients!$E$5:$E$304,MATCH(B130,Ingredients!$A$5:$A$304,0)),""))</f>
        <v>0</v>
      </c>
      <c r="G130" s="8">
        <f>IF(B130="","",IFERROR(INDEX(Ingredients!$D$5:$D$304,MATCH(B130,Ingredients!$A$5:$A$304,0)),""))</f>
        <v>0</v>
      </c>
      <c r="H130" s="8">
        <f>IF(OR(B130="",C130=""),"",IFERROR(C130*G130,""))</f>
        <v>0</v>
      </c>
      <c r="I130" s="8">
        <f>IF(A130="","",IFERROR(INDEX(Recipes!$D$5:$D$204,MATCH(A130,Recipes!$A$5:$A$204,0)),""))</f>
        <v>0</v>
      </c>
      <c r="J130" s="8">
        <f>IF(OR(H130="",I130="",I130=0),"",IFERROR(H130/I130,""))</f>
        <v>0</v>
      </c>
      <c r="K130" s="8">
        <f>IF(OR(B130="",C130=""),"",IFERROR(C130*IFERROR(INDEX(Ingredients!$H$5:$H$304,MATCH(B130,Ingredients!$A$5:$A$304,0)),""),""))</f>
        <v>0</v>
      </c>
      <c r="L130" s="8">
        <f>IF(OR(B130="",C130=""),"",IFERROR(C130*IFERROR(INDEX(Ingredients!$I$5:$I$304,MATCH(B130,Ingredients!$A$5:$A$304,0)),""),""))</f>
        <v>0</v>
      </c>
      <c r="M130" s="8">
        <f>IF(OR(B130="",C130=""),"",IFERROR(C130*IFERROR(INDEX(Ingredients!$J$5:$J$304,MATCH(B130,Ingredients!$A$5:$A$304,0)),""),""))</f>
        <v>0</v>
      </c>
      <c r="N130" s="8">
        <f>IF(OR(B130="",C130=""),"",IFERROR(C130*IFERROR(INDEX(Ingredients!$K$5:$K$304,MATCH(B130,Ingredients!$A$5:$A$304,0)),""),""))</f>
        <v>0</v>
      </c>
      <c r="O130" s="8">
        <f>IF(OR(B130="",C130=""),"",IFERROR(C130*IFERROR(INDEX(Ingredients!$L$5:$L$304,MATCH(B130,Ingredients!$A$5:$A$304,0)),""),""))</f>
        <v>0</v>
      </c>
      <c r="P130" s="8">
        <f>IF(OR(H130="",A130=""),"",IFERROR(H130/SUMIFS('Recipe Ingredients'!$H$5:$H$1204,'Recipe Ingredients'!$A$5:$A$1204,A130),""))</f>
        <v>0</v>
      </c>
      <c r="Q130" s="8">
        <f>IF(H130="","",COUNTIFS($H$5:$H$1204,"&gt;"&amp;H130)+1)</f>
        <v>0</v>
      </c>
      <c r="R130" s="8">
        <f>IF(B130="","",SUMIFS(Pantry!$C$5:$C$304,Pantry!$A$5:$A$304,B130))</f>
        <v>0</v>
      </c>
      <c r="S130" s="8">
        <f>IF(OR(B130="",C130=""),"",MAX(0,C130-R130))</f>
        <v>0</v>
      </c>
      <c r="T130" s="26"/>
      <c r="U130" s="8">
        <f>IF(OR(T130="",T130=0,G130=""),"",T130*G130)</f>
        <v>0</v>
      </c>
      <c r="V130" s="8">
        <f>IF(OR(S130="",T130="",T130=0),"",CEILING(S130/T130,1))</f>
        <v>0</v>
      </c>
      <c r="W130" s="27"/>
      <c r="X130" s="29"/>
      <c r="Y130" s="8">
        <f>IF(OR(C130="",X130=""),"",C130*(1+X130))</f>
        <v>0</v>
      </c>
      <c r="Z130" s="8">
        <f>IF(B130="","",IFERROR(INDEX(Ingredients!$O$5:$O$304,MATCH(B130,Ingredients!$A$5:$A$304,0)),""))</f>
        <v>0</v>
      </c>
      <c r="AA130" s="8">
        <f>IF(B130="","",IF(R130&gt;=C130,"In pantry","To buy"))</f>
        <v>0</v>
      </c>
      <c r="AB130" s="8">
        <f>IF(A130="","",COUNTIFS($A$5:A130,A130))</f>
        <v>0</v>
      </c>
      <c r="AC130" s="8">
        <f>IF(B130="","",IF(COUNTIFS('Dietary Filters'!$C$5:$C$104,B130)&gt;0,"Check","OK"))</f>
        <v>0</v>
      </c>
      <c r="AD130" s="25"/>
    </row>
    <row r="131" spans="1:30">
      <c r="A131" s="7"/>
      <c r="B131" s="7"/>
      <c r="C131" s="26"/>
      <c r="D131" s="27"/>
      <c r="E131" s="8">
        <f>IF(B131="","",IFERROR(INDEX(Ingredients!$B$5:$B$304,MATCH(B131,Ingredients!$A$5:$A$304,0)),""))</f>
        <v>0</v>
      </c>
      <c r="F131" s="8">
        <f>IF(B131="","",IFERROR(INDEX(Ingredients!$E$5:$E$304,MATCH(B131,Ingredients!$A$5:$A$304,0)),""))</f>
        <v>0</v>
      </c>
      <c r="G131" s="8">
        <f>IF(B131="","",IFERROR(INDEX(Ingredients!$D$5:$D$304,MATCH(B131,Ingredients!$A$5:$A$304,0)),""))</f>
        <v>0</v>
      </c>
      <c r="H131" s="8">
        <f>IF(OR(B131="",C131=""),"",IFERROR(C131*G131,""))</f>
        <v>0</v>
      </c>
      <c r="I131" s="8">
        <f>IF(A131="","",IFERROR(INDEX(Recipes!$D$5:$D$204,MATCH(A131,Recipes!$A$5:$A$204,0)),""))</f>
        <v>0</v>
      </c>
      <c r="J131" s="8">
        <f>IF(OR(H131="",I131="",I131=0),"",IFERROR(H131/I131,""))</f>
        <v>0</v>
      </c>
      <c r="K131" s="8">
        <f>IF(OR(B131="",C131=""),"",IFERROR(C131*IFERROR(INDEX(Ingredients!$H$5:$H$304,MATCH(B131,Ingredients!$A$5:$A$304,0)),""),""))</f>
        <v>0</v>
      </c>
      <c r="L131" s="8">
        <f>IF(OR(B131="",C131=""),"",IFERROR(C131*IFERROR(INDEX(Ingredients!$I$5:$I$304,MATCH(B131,Ingredients!$A$5:$A$304,0)),""),""))</f>
        <v>0</v>
      </c>
      <c r="M131" s="8">
        <f>IF(OR(B131="",C131=""),"",IFERROR(C131*IFERROR(INDEX(Ingredients!$J$5:$J$304,MATCH(B131,Ingredients!$A$5:$A$304,0)),""),""))</f>
        <v>0</v>
      </c>
      <c r="N131" s="8">
        <f>IF(OR(B131="",C131=""),"",IFERROR(C131*IFERROR(INDEX(Ingredients!$K$5:$K$304,MATCH(B131,Ingredients!$A$5:$A$304,0)),""),""))</f>
        <v>0</v>
      </c>
      <c r="O131" s="8">
        <f>IF(OR(B131="",C131=""),"",IFERROR(C131*IFERROR(INDEX(Ingredients!$L$5:$L$304,MATCH(B131,Ingredients!$A$5:$A$304,0)),""),""))</f>
        <v>0</v>
      </c>
      <c r="P131" s="8">
        <f>IF(OR(H131="",A131=""),"",IFERROR(H131/SUMIFS('Recipe Ingredients'!$H$5:$H$1204,'Recipe Ingredients'!$A$5:$A$1204,A131),""))</f>
        <v>0</v>
      </c>
      <c r="Q131" s="8">
        <f>IF(H131="","",COUNTIFS($H$5:$H$1204,"&gt;"&amp;H131)+1)</f>
        <v>0</v>
      </c>
      <c r="R131" s="8">
        <f>IF(B131="","",SUMIFS(Pantry!$C$5:$C$304,Pantry!$A$5:$A$304,B131))</f>
        <v>0</v>
      </c>
      <c r="S131" s="8">
        <f>IF(OR(B131="",C131=""),"",MAX(0,C131-R131))</f>
        <v>0</v>
      </c>
      <c r="T131" s="26"/>
      <c r="U131" s="8">
        <f>IF(OR(T131="",T131=0,G131=""),"",T131*G131)</f>
        <v>0</v>
      </c>
      <c r="V131" s="8">
        <f>IF(OR(S131="",T131="",T131=0),"",CEILING(S131/T131,1))</f>
        <v>0</v>
      </c>
      <c r="W131" s="27"/>
      <c r="X131" s="29"/>
      <c r="Y131" s="8">
        <f>IF(OR(C131="",X131=""),"",C131*(1+X131))</f>
        <v>0</v>
      </c>
      <c r="Z131" s="8">
        <f>IF(B131="","",IFERROR(INDEX(Ingredients!$O$5:$O$304,MATCH(B131,Ingredients!$A$5:$A$304,0)),""))</f>
        <v>0</v>
      </c>
      <c r="AA131" s="8">
        <f>IF(B131="","",IF(R131&gt;=C131,"In pantry","To buy"))</f>
        <v>0</v>
      </c>
      <c r="AB131" s="8">
        <f>IF(A131="","",COUNTIFS($A$5:A131,A131))</f>
        <v>0</v>
      </c>
      <c r="AC131" s="8">
        <f>IF(B131="","",IF(COUNTIFS('Dietary Filters'!$C$5:$C$104,B131)&gt;0,"Check","OK"))</f>
        <v>0</v>
      </c>
      <c r="AD131" s="25"/>
    </row>
    <row r="132" spans="1:30">
      <c r="A132" s="7"/>
      <c r="B132" s="7"/>
      <c r="C132" s="26"/>
      <c r="D132" s="27"/>
      <c r="E132" s="8">
        <f>IF(B132="","",IFERROR(INDEX(Ingredients!$B$5:$B$304,MATCH(B132,Ingredients!$A$5:$A$304,0)),""))</f>
        <v>0</v>
      </c>
      <c r="F132" s="8">
        <f>IF(B132="","",IFERROR(INDEX(Ingredients!$E$5:$E$304,MATCH(B132,Ingredients!$A$5:$A$304,0)),""))</f>
        <v>0</v>
      </c>
      <c r="G132" s="8">
        <f>IF(B132="","",IFERROR(INDEX(Ingredients!$D$5:$D$304,MATCH(B132,Ingredients!$A$5:$A$304,0)),""))</f>
        <v>0</v>
      </c>
      <c r="H132" s="8">
        <f>IF(OR(B132="",C132=""),"",IFERROR(C132*G132,""))</f>
        <v>0</v>
      </c>
      <c r="I132" s="8">
        <f>IF(A132="","",IFERROR(INDEX(Recipes!$D$5:$D$204,MATCH(A132,Recipes!$A$5:$A$204,0)),""))</f>
        <v>0</v>
      </c>
      <c r="J132" s="8">
        <f>IF(OR(H132="",I132="",I132=0),"",IFERROR(H132/I132,""))</f>
        <v>0</v>
      </c>
      <c r="K132" s="8">
        <f>IF(OR(B132="",C132=""),"",IFERROR(C132*IFERROR(INDEX(Ingredients!$H$5:$H$304,MATCH(B132,Ingredients!$A$5:$A$304,0)),""),""))</f>
        <v>0</v>
      </c>
      <c r="L132" s="8">
        <f>IF(OR(B132="",C132=""),"",IFERROR(C132*IFERROR(INDEX(Ingredients!$I$5:$I$304,MATCH(B132,Ingredients!$A$5:$A$304,0)),""),""))</f>
        <v>0</v>
      </c>
      <c r="M132" s="8">
        <f>IF(OR(B132="",C132=""),"",IFERROR(C132*IFERROR(INDEX(Ingredients!$J$5:$J$304,MATCH(B132,Ingredients!$A$5:$A$304,0)),""),""))</f>
        <v>0</v>
      </c>
      <c r="N132" s="8">
        <f>IF(OR(B132="",C132=""),"",IFERROR(C132*IFERROR(INDEX(Ingredients!$K$5:$K$304,MATCH(B132,Ingredients!$A$5:$A$304,0)),""),""))</f>
        <v>0</v>
      </c>
      <c r="O132" s="8">
        <f>IF(OR(B132="",C132=""),"",IFERROR(C132*IFERROR(INDEX(Ingredients!$L$5:$L$304,MATCH(B132,Ingredients!$A$5:$A$304,0)),""),""))</f>
        <v>0</v>
      </c>
      <c r="P132" s="8">
        <f>IF(OR(H132="",A132=""),"",IFERROR(H132/SUMIFS('Recipe Ingredients'!$H$5:$H$1204,'Recipe Ingredients'!$A$5:$A$1204,A132),""))</f>
        <v>0</v>
      </c>
      <c r="Q132" s="8">
        <f>IF(H132="","",COUNTIFS($H$5:$H$1204,"&gt;"&amp;H132)+1)</f>
        <v>0</v>
      </c>
      <c r="R132" s="8">
        <f>IF(B132="","",SUMIFS(Pantry!$C$5:$C$304,Pantry!$A$5:$A$304,B132))</f>
        <v>0</v>
      </c>
      <c r="S132" s="8">
        <f>IF(OR(B132="",C132=""),"",MAX(0,C132-R132))</f>
        <v>0</v>
      </c>
      <c r="T132" s="26"/>
      <c r="U132" s="8">
        <f>IF(OR(T132="",T132=0,G132=""),"",T132*G132)</f>
        <v>0</v>
      </c>
      <c r="V132" s="8">
        <f>IF(OR(S132="",T132="",T132=0),"",CEILING(S132/T132,1))</f>
        <v>0</v>
      </c>
      <c r="W132" s="27"/>
      <c r="X132" s="29"/>
      <c r="Y132" s="8">
        <f>IF(OR(C132="",X132=""),"",C132*(1+X132))</f>
        <v>0</v>
      </c>
      <c r="Z132" s="8">
        <f>IF(B132="","",IFERROR(INDEX(Ingredients!$O$5:$O$304,MATCH(B132,Ingredients!$A$5:$A$304,0)),""))</f>
        <v>0</v>
      </c>
      <c r="AA132" s="8">
        <f>IF(B132="","",IF(R132&gt;=C132,"In pantry","To buy"))</f>
        <v>0</v>
      </c>
      <c r="AB132" s="8">
        <f>IF(A132="","",COUNTIFS($A$5:A132,A132))</f>
        <v>0</v>
      </c>
      <c r="AC132" s="8">
        <f>IF(B132="","",IF(COUNTIFS('Dietary Filters'!$C$5:$C$104,B132)&gt;0,"Check","OK"))</f>
        <v>0</v>
      </c>
      <c r="AD132" s="25"/>
    </row>
    <row r="133" spans="1:30">
      <c r="A133" s="7"/>
      <c r="B133" s="7"/>
      <c r="C133" s="26"/>
      <c r="D133" s="27"/>
      <c r="E133" s="8">
        <f>IF(B133="","",IFERROR(INDEX(Ingredients!$B$5:$B$304,MATCH(B133,Ingredients!$A$5:$A$304,0)),""))</f>
        <v>0</v>
      </c>
      <c r="F133" s="8">
        <f>IF(B133="","",IFERROR(INDEX(Ingredients!$E$5:$E$304,MATCH(B133,Ingredients!$A$5:$A$304,0)),""))</f>
        <v>0</v>
      </c>
      <c r="G133" s="8">
        <f>IF(B133="","",IFERROR(INDEX(Ingredients!$D$5:$D$304,MATCH(B133,Ingredients!$A$5:$A$304,0)),""))</f>
        <v>0</v>
      </c>
      <c r="H133" s="8">
        <f>IF(OR(B133="",C133=""),"",IFERROR(C133*G133,""))</f>
        <v>0</v>
      </c>
      <c r="I133" s="8">
        <f>IF(A133="","",IFERROR(INDEX(Recipes!$D$5:$D$204,MATCH(A133,Recipes!$A$5:$A$204,0)),""))</f>
        <v>0</v>
      </c>
      <c r="J133" s="8">
        <f>IF(OR(H133="",I133="",I133=0),"",IFERROR(H133/I133,""))</f>
        <v>0</v>
      </c>
      <c r="K133" s="8">
        <f>IF(OR(B133="",C133=""),"",IFERROR(C133*IFERROR(INDEX(Ingredients!$H$5:$H$304,MATCH(B133,Ingredients!$A$5:$A$304,0)),""),""))</f>
        <v>0</v>
      </c>
      <c r="L133" s="8">
        <f>IF(OR(B133="",C133=""),"",IFERROR(C133*IFERROR(INDEX(Ingredients!$I$5:$I$304,MATCH(B133,Ingredients!$A$5:$A$304,0)),""),""))</f>
        <v>0</v>
      </c>
      <c r="M133" s="8">
        <f>IF(OR(B133="",C133=""),"",IFERROR(C133*IFERROR(INDEX(Ingredients!$J$5:$J$304,MATCH(B133,Ingredients!$A$5:$A$304,0)),""),""))</f>
        <v>0</v>
      </c>
      <c r="N133" s="8">
        <f>IF(OR(B133="",C133=""),"",IFERROR(C133*IFERROR(INDEX(Ingredients!$K$5:$K$304,MATCH(B133,Ingredients!$A$5:$A$304,0)),""),""))</f>
        <v>0</v>
      </c>
      <c r="O133" s="8">
        <f>IF(OR(B133="",C133=""),"",IFERROR(C133*IFERROR(INDEX(Ingredients!$L$5:$L$304,MATCH(B133,Ingredients!$A$5:$A$304,0)),""),""))</f>
        <v>0</v>
      </c>
      <c r="P133" s="8">
        <f>IF(OR(H133="",A133=""),"",IFERROR(H133/SUMIFS('Recipe Ingredients'!$H$5:$H$1204,'Recipe Ingredients'!$A$5:$A$1204,A133),""))</f>
        <v>0</v>
      </c>
      <c r="Q133" s="8">
        <f>IF(H133="","",COUNTIFS($H$5:$H$1204,"&gt;"&amp;H133)+1)</f>
        <v>0</v>
      </c>
      <c r="R133" s="8">
        <f>IF(B133="","",SUMIFS(Pantry!$C$5:$C$304,Pantry!$A$5:$A$304,B133))</f>
        <v>0</v>
      </c>
      <c r="S133" s="8">
        <f>IF(OR(B133="",C133=""),"",MAX(0,C133-R133))</f>
        <v>0</v>
      </c>
      <c r="T133" s="26"/>
      <c r="U133" s="8">
        <f>IF(OR(T133="",T133=0,G133=""),"",T133*G133)</f>
        <v>0</v>
      </c>
      <c r="V133" s="8">
        <f>IF(OR(S133="",T133="",T133=0),"",CEILING(S133/T133,1))</f>
        <v>0</v>
      </c>
      <c r="W133" s="27"/>
      <c r="X133" s="29"/>
      <c r="Y133" s="8">
        <f>IF(OR(C133="",X133=""),"",C133*(1+X133))</f>
        <v>0</v>
      </c>
      <c r="Z133" s="8">
        <f>IF(B133="","",IFERROR(INDEX(Ingredients!$O$5:$O$304,MATCH(B133,Ingredients!$A$5:$A$304,0)),""))</f>
        <v>0</v>
      </c>
      <c r="AA133" s="8">
        <f>IF(B133="","",IF(R133&gt;=C133,"In pantry","To buy"))</f>
        <v>0</v>
      </c>
      <c r="AB133" s="8">
        <f>IF(A133="","",COUNTIFS($A$5:A133,A133))</f>
        <v>0</v>
      </c>
      <c r="AC133" s="8">
        <f>IF(B133="","",IF(COUNTIFS('Dietary Filters'!$C$5:$C$104,B133)&gt;0,"Check","OK"))</f>
        <v>0</v>
      </c>
      <c r="AD133" s="25"/>
    </row>
    <row r="134" spans="1:30">
      <c r="A134" s="7"/>
      <c r="B134" s="7"/>
      <c r="C134" s="26"/>
      <c r="D134" s="27"/>
      <c r="E134" s="8">
        <f>IF(B134="","",IFERROR(INDEX(Ingredients!$B$5:$B$304,MATCH(B134,Ingredients!$A$5:$A$304,0)),""))</f>
        <v>0</v>
      </c>
      <c r="F134" s="8">
        <f>IF(B134="","",IFERROR(INDEX(Ingredients!$E$5:$E$304,MATCH(B134,Ingredients!$A$5:$A$304,0)),""))</f>
        <v>0</v>
      </c>
      <c r="G134" s="8">
        <f>IF(B134="","",IFERROR(INDEX(Ingredients!$D$5:$D$304,MATCH(B134,Ingredients!$A$5:$A$304,0)),""))</f>
        <v>0</v>
      </c>
      <c r="H134" s="8">
        <f>IF(OR(B134="",C134=""),"",IFERROR(C134*G134,""))</f>
        <v>0</v>
      </c>
      <c r="I134" s="8">
        <f>IF(A134="","",IFERROR(INDEX(Recipes!$D$5:$D$204,MATCH(A134,Recipes!$A$5:$A$204,0)),""))</f>
        <v>0</v>
      </c>
      <c r="J134" s="8">
        <f>IF(OR(H134="",I134="",I134=0),"",IFERROR(H134/I134,""))</f>
        <v>0</v>
      </c>
      <c r="K134" s="8">
        <f>IF(OR(B134="",C134=""),"",IFERROR(C134*IFERROR(INDEX(Ingredients!$H$5:$H$304,MATCH(B134,Ingredients!$A$5:$A$304,0)),""),""))</f>
        <v>0</v>
      </c>
      <c r="L134" s="8">
        <f>IF(OR(B134="",C134=""),"",IFERROR(C134*IFERROR(INDEX(Ingredients!$I$5:$I$304,MATCH(B134,Ingredients!$A$5:$A$304,0)),""),""))</f>
        <v>0</v>
      </c>
      <c r="M134" s="8">
        <f>IF(OR(B134="",C134=""),"",IFERROR(C134*IFERROR(INDEX(Ingredients!$J$5:$J$304,MATCH(B134,Ingredients!$A$5:$A$304,0)),""),""))</f>
        <v>0</v>
      </c>
      <c r="N134" s="8">
        <f>IF(OR(B134="",C134=""),"",IFERROR(C134*IFERROR(INDEX(Ingredients!$K$5:$K$304,MATCH(B134,Ingredients!$A$5:$A$304,0)),""),""))</f>
        <v>0</v>
      </c>
      <c r="O134" s="8">
        <f>IF(OR(B134="",C134=""),"",IFERROR(C134*IFERROR(INDEX(Ingredients!$L$5:$L$304,MATCH(B134,Ingredients!$A$5:$A$304,0)),""),""))</f>
        <v>0</v>
      </c>
      <c r="P134" s="8">
        <f>IF(OR(H134="",A134=""),"",IFERROR(H134/SUMIFS('Recipe Ingredients'!$H$5:$H$1204,'Recipe Ingredients'!$A$5:$A$1204,A134),""))</f>
        <v>0</v>
      </c>
      <c r="Q134" s="8">
        <f>IF(H134="","",COUNTIFS($H$5:$H$1204,"&gt;"&amp;H134)+1)</f>
        <v>0</v>
      </c>
      <c r="R134" s="8">
        <f>IF(B134="","",SUMIFS(Pantry!$C$5:$C$304,Pantry!$A$5:$A$304,B134))</f>
        <v>0</v>
      </c>
      <c r="S134" s="8">
        <f>IF(OR(B134="",C134=""),"",MAX(0,C134-R134))</f>
        <v>0</v>
      </c>
      <c r="T134" s="26"/>
      <c r="U134" s="8">
        <f>IF(OR(T134="",T134=0,G134=""),"",T134*G134)</f>
        <v>0</v>
      </c>
      <c r="V134" s="8">
        <f>IF(OR(S134="",T134="",T134=0),"",CEILING(S134/T134,1))</f>
        <v>0</v>
      </c>
      <c r="W134" s="27"/>
      <c r="X134" s="29"/>
      <c r="Y134" s="8">
        <f>IF(OR(C134="",X134=""),"",C134*(1+X134))</f>
        <v>0</v>
      </c>
      <c r="Z134" s="8">
        <f>IF(B134="","",IFERROR(INDEX(Ingredients!$O$5:$O$304,MATCH(B134,Ingredients!$A$5:$A$304,0)),""))</f>
        <v>0</v>
      </c>
      <c r="AA134" s="8">
        <f>IF(B134="","",IF(R134&gt;=C134,"In pantry","To buy"))</f>
        <v>0</v>
      </c>
      <c r="AB134" s="8">
        <f>IF(A134="","",COUNTIFS($A$5:A134,A134))</f>
        <v>0</v>
      </c>
      <c r="AC134" s="8">
        <f>IF(B134="","",IF(COUNTIFS('Dietary Filters'!$C$5:$C$104,B134)&gt;0,"Check","OK"))</f>
        <v>0</v>
      </c>
      <c r="AD134" s="25"/>
    </row>
    <row r="135" spans="1:30">
      <c r="A135" s="7"/>
      <c r="B135" s="7"/>
      <c r="C135" s="26"/>
      <c r="D135" s="27"/>
      <c r="E135" s="8">
        <f>IF(B135="","",IFERROR(INDEX(Ingredients!$B$5:$B$304,MATCH(B135,Ingredients!$A$5:$A$304,0)),""))</f>
        <v>0</v>
      </c>
      <c r="F135" s="8">
        <f>IF(B135="","",IFERROR(INDEX(Ingredients!$E$5:$E$304,MATCH(B135,Ingredients!$A$5:$A$304,0)),""))</f>
        <v>0</v>
      </c>
      <c r="G135" s="8">
        <f>IF(B135="","",IFERROR(INDEX(Ingredients!$D$5:$D$304,MATCH(B135,Ingredients!$A$5:$A$304,0)),""))</f>
        <v>0</v>
      </c>
      <c r="H135" s="8">
        <f>IF(OR(B135="",C135=""),"",IFERROR(C135*G135,""))</f>
        <v>0</v>
      </c>
      <c r="I135" s="8">
        <f>IF(A135="","",IFERROR(INDEX(Recipes!$D$5:$D$204,MATCH(A135,Recipes!$A$5:$A$204,0)),""))</f>
        <v>0</v>
      </c>
      <c r="J135" s="8">
        <f>IF(OR(H135="",I135="",I135=0),"",IFERROR(H135/I135,""))</f>
        <v>0</v>
      </c>
      <c r="K135" s="8">
        <f>IF(OR(B135="",C135=""),"",IFERROR(C135*IFERROR(INDEX(Ingredients!$H$5:$H$304,MATCH(B135,Ingredients!$A$5:$A$304,0)),""),""))</f>
        <v>0</v>
      </c>
      <c r="L135" s="8">
        <f>IF(OR(B135="",C135=""),"",IFERROR(C135*IFERROR(INDEX(Ingredients!$I$5:$I$304,MATCH(B135,Ingredients!$A$5:$A$304,0)),""),""))</f>
        <v>0</v>
      </c>
      <c r="M135" s="8">
        <f>IF(OR(B135="",C135=""),"",IFERROR(C135*IFERROR(INDEX(Ingredients!$J$5:$J$304,MATCH(B135,Ingredients!$A$5:$A$304,0)),""),""))</f>
        <v>0</v>
      </c>
      <c r="N135" s="8">
        <f>IF(OR(B135="",C135=""),"",IFERROR(C135*IFERROR(INDEX(Ingredients!$K$5:$K$304,MATCH(B135,Ingredients!$A$5:$A$304,0)),""),""))</f>
        <v>0</v>
      </c>
      <c r="O135" s="8">
        <f>IF(OR(B135="",C135=""),"",IFERROR(C135*IFERROR(INDEX(Ingredients!$L$5:$L$304,MATCH(B135,Ingredients!$A$5:$A$304,0)),""),""))</f>
        <v>0</v>
      </c>
      <c r="P135" s="8">
        <f>IF(OR(H135="",A135=""),"",IFERROR(H135/SUMIFS('Recipe Ingredients'!$H$5:$H$1204,'Recipe Ingredients'!$A$5:$A$1204,A135),""))</f>
        <v>0</v>
      </c>
      <c r="Q135" s="8">
        <f>IF(H135="","",COUNTIFS($H$5:$H$1204,"&gt;"&amp;H135)+1)</f>
        <v>0</v>
      </c>
      <c r="R135" s="8">
        <f>IF(B135="","",SUMIFS(Pantry!$C$5:$C$304,Pantry!$A$5:$A$304,B135))</f>
        <v>0</v>
      </c>
      <c r="S135" s="8">
        <f>IF(OR(B135="",C135=""),"",MAX(0,C135-R135))</f>
        <v>0</v>
      </c>
      <c r="T135" s="26"/>
      <c r="U135" s="8">
        <f>IF(OR(T135="",T135=0,G135=""),"",T135*G135)</f>
        <v>0</v>
      </c>
      <c r="V135" s="8">
        <f>IF(OR(S135="",T135="",T135=0),"",CEILING(S135/T135,1))</f>
        <v>0</v>
      </c>
      <c r="W135" s="27"/>
      <c r="X135" s="29"/>
      <c r="Y135" s="8">
        <f>IF(OR(C135="",X135=""),"",C135*(1+X135))</f>
        <v>0</v>
      </c>
      <c r="Z135" s="8">
        <f>IF(B135="","",IFERROR(INDEX(Ingredients!$O$5:$O$304,MATCH(B135,Ingredients!$A$5:$A$304,0)),""))</f>
        <v>0</v>
      </c>
      <c r="AA135" s="8">
        <f>IF(B135="","",IF(R135&gt;=C135,"In pantry","To buy"))</f>
        <v>0</v>
      </c>
      <c r="AB135" s="8">
        <f>IF(A135="","",COUNTIFS($A$5:A135,A135))</f>
        <v>0</v>
      </c>
      <c r="AC135" s="8">
        <f>IF(B135="","",IF(COUNTIFS('Dietary Filters'!$C$5:$C$104,B135)&gt;0,"Check","OK"))</f>
        <v>0</v>
      </c>
      <c r="AD135" s="25"/>
    </row>
    <row r="136" spans="1:30">
      <c r="A136" s="7"/>
      <c r="B136" s="7"/>
      <c r="C136" s="26"/>
      <c r="D136" s="27"/>
      <c r="E136" s="8">
        <f>IF(B136="","",IFERROR(INDEX(Ingredients!$B$5:$B$304,MATCH(B136,Ingredients!$A$5:$A$304,0)),""))</f>
        <v>0</v>
      </c>
      <c r="F136" s="8">
        <f>IF(B136="","",IFERROR(INDEX(Ingredients!$E$5:$E$304,MATCH(B136,Ingredients!$A$5:$A$304,0)),""))</f>
        <v>0</v>
      </c>
      <c r="G136" s="8">
        <f>IF(B136="","",IFERROR(INDEX(Ingredients!$D$5:$D$304,MATCH(B136,Ingredients!$A$5:$A$304,0)),""))</f>
        <v>0</v>
      </c>
      <c r="H136" s="8">
        <f>IF(OR(B136="",C136=""),"",IFERROR(C136*G136,""))</f>
        <v>0</v>
      </c>
      <c r="I136" s="8">
        <f>IF(A136="","",IFERROR(INDEX(Recipes!$D$5:$D$204,MATCH(A136,Recipes!$A$5:$A$204,0)),""))</f>
        <v>0</v>
      </c>
      <c r="J136" s="8">
        <f>IF(OR(H136="",I136="",I136=0),"",IFERROR(H136/I136,""))</f>
        <v>0</v>
      </c>
      <c r="K136" s="8">
        <f>IF(OR(B136="",C136=""),"",IFERROR(C136*IFERROR(INDEX(Ingredients!$H$5:$H$304,MATCH(B136,Ingredients!$A$5:$A$304,0)),""),""))</f>
        <v>0</v>
      </c>
      <c r="L136" s="8">
        <f>IF(OR(B136="",C136=""),"",IFERROR(C136*IFERROR(INDEX(Ingredients!$I$5:$I$304,MATCH(B136,Ingredients!$A$5:$A$304,0)),""),""))</f>
        <v>0</v>
      </c>
      <c r="M136" s="8">
        <f>IF(OR(B136="",C136=""),"",IFERROR(C136*IFERROR(INDEX(Ingredients!$J$5:$J$304,MATCH(B136,Ingredients!$A$5:$A$304,0)),""),""))</f>
        <v>0</v>
      </c>
      <c r="N136" s="8">
        <f>IF(OR(B136="",C136=""),"",IFERROR(C136*IFERROR(INDEX(Ingredients!$K$5:$K$304,MATCH(B136,Ingredients!$A$5:$A$304,0)),""),""))</f>
        <v>0</v>
      </c>
      <c r="O136" s="8">
        <f>IF(OR(B136="",C136=""),"",IFERROR(C136*IFERROR(INDEX(Ingredients!$L$5:$L$304,MATCH(B136,Ingredients!$A$5:$A$304,0)),""),""))</f>
        <v>0</v>
      </c>
      <c r="P136" s="8">
        <f>IF(OR(H136="",A136=""),"",IFERROR(H136/SUMIFS('Recipe Ingredients'!$H$5:$H$1204,'Recipe Ingredients'!$A$5:$A$1204,A136),""))</f>
        <v>0</v>
      </c>
      <c r="Q136" s="8">
        <f>IF(H136="","",COUNTIFS($H$5:$H$1204,"&gt;"&amp;H136)+1)</f>
        <v>0</v>
      </c>
      <c r="R136" s="8">
        <f>IF(B136="","",SUMIFS(Pantry!$C$5:$C$304,Pantry!$A$5:$A$304,B136))</f>
        <v>0</v>
      </c>
      <c r="S136" s="8">
        <f>IF(OR(B136="",C136=""),"",MAX(0,C136-R136))</f>
        <v>0</v>
      </c>
      <c r="T136" s="26"/>
      <c r="U136" s="8">
        <f>IF(OR(T136="",T136=0,G136=""),"",T136*G136)</f>
        <v>0</v>
      </c>
      <c r="V136" s="8">
        <f>IF(OR(S136="",T136="",T136=0),"",CEILING(S136/T136,1))</f>
        <v>0</v>
      </c>
      <c r="W136" s="27"/>
      <c r="X136" s="29"/>
      <c r="Y136" s="8">
        <f>IF(OR(C136="",X136=""),"",C136*(1+X136))</f>
        <v>0</v>
      </c>
      <c r="Z136" s="8">
        <f>IF(B136="","",IFERROR(INDEX(Ingredients!$O$5:$O$304,MATCH(B136,Ingredients!$A$5:$A$304,0)),""))</f>
        <v>0</v>
      </c>
      <c r="AA136" s="8">
        <f>IF(B136="","",IF(R136&gt;=C136,"In pantry","To buy"))</f>
        <v>0</v>
      </c>
      <c r="AB136" s="8">
        <f>IF(A136="","",COUNTIFS($A$5:A136,A136))</f>
        <v>0</v>
      </c>
      <c r="AC136" s="8">
        <f>IF(B136="","",IF(COUNTIFS('Dietary Filters'!$C$5:$C$104,B136)&gt;0,"Check","OK"))</f>
        <v>0</v>
      </c>
      <c r="AD136" s="25"/>
    </row>
    <row r="137" spans="1:30">
      <c r="A137" s="7"/>
      <c r="B137" s="7"/>
      <c r="C137" s="26"/>
      <c r="D137" s="27"/>
      <c r="E137" s="8">
        <f>IF(B137="","",IFERROR(INDEX(Ingredients!$B$5:$B$304,MATCH(B137,Ingredients!$A$5:$A$304,0)),""))</f>
        <v>0</v>
      </c>
      <c r="F137" s="8">
        <f>IF(B137="","",IFERROR(INDEX(Ingredients!$E$5:$E$304,MATCH(B137,Ingredients!$A$5:$A$304,0)),""))</f>
        <v>0</v>
      </c>
      <c r="G137" s="8">
        <f>IF(B137="","",IFERROR(INDEX(Ingredients!$D$5:$D$304,MATCH(B137,Ingredients!$A$5:$A$304,0)),""))</f>
        <v>0</v>
      </c>
      <c r="H137" s="8">
        <f>IF(OR(B137="",C137=""),"",IFERROR(C137*G137,""))</f>
        <v>0</v>
      </c>
      <c r="I137" s="8">
        <f>IF(A137="","",IFERROR(INDEX(Recipes!$D$5:$D$204,MATCH(A137,Recipes!$A$5:$A$204,0)),""))</f>
        <v>0</v>
      </c>
      <c r="J137" s="8">
        <f>IF(OR(H137="",I137="",I137=0),"",IFERROR(H137/I137,""))</f>
        <v>0</v>
      </c>
      <c r="K137" s="8">
        <f>IF(OR(B137="",C137=""),"",IFERROR(C137*IFERROR(INDEX(Ingredients!$H$5:$H$304,MATCH(B137,Ingredients!$A$5:$A$304,0)),""),""))</f>
        <v>0</v>
      </c>
      <c r="L137" s="8">
        <f>IF(OR(B137="",C137=""),"",IFERROR(C137*IFERROR(INDEX(Ingredients!$I$5:$I$304,MATCH(B137,Ingredients!$A$5:$A$304,0)),""),""))</f>
        <v>0</v>
      </c>
      <c r="M137" s="8">
        <f>IF(OR(B137="",C137=""),"",IFERROR(C137*IFERROR(INDEX(Ingredients!$J$5:$J$304,MATCH(B137,Ingredients!$A$5:$A$304,0)),""),""))</f>
        <v>0</v>
      </c>
      <c r="N137" s="8">
        <f>IF(OR(B137="",C137=""),"",IFERROR(C137*IFERROR(INDEX(Ingredients!$K$5:$K$304,MATCH(B137,Ingredients!$A$5:$A$304,0)),""),""))</f>
        <v>0</v>
      </c>
      <c r="O137" s="8">
        <f>IF(OR(B137="",C137=""),"",IFERROR(C137*IFERROR(INDEX(Ingredients!$L$5:$L$304,MATCH(B137,Ingredients!$A$5:$A$304,0)),""),""))</f>
        <v>0</v>
      </c>
      <c r="P137" s="8">
        <f>IF(OR(H137="",A137=""),"",IFERROR(H137/SUMIFS('Recipe Ingredients'!$H$5:$H$1204,'Recipe Ingredients'!$A$5:$A$1204,A137),""))</f>
        <v>0</v>
      </c>
      <c r="Q137" s="8">
        <f>IF(H137="","",COUNTIFS($H$5:$H$1204,"&gt;"&amp;H137)+1)</f>
        <v>0</v>
      </c>
      <c r="R137" s="8">
        <f>IF(B137="","",SUMIFS(Pantry!$C$5:$C$304,Pantry!$A$5:$A$304,B137))</f>
        <v>0</v>
      </c>
      <c r="S137" s="8">
        <f>IF(OR(B137="",C137=""),"",MAX(0,C137-R137))</f>
        <v>0</v>
      </c>
      <c r="T137" s="26"/>
      <c r="U137" s="8">
        <f>IF(OR(T137="",T137=0,G137=""),"",T137*G137)</f>
        <v>0</v>
      </c>
      <c r="V137" s="8">
        <f>IF(OR(S137="",T137="",T137=0),"",CEILING(S137/T137,1))</f>
        <v>0</v>
      </c>
      <c r="W137" s="27"/>
      <c r="X137" s="29"/>
      <c r="Y137" s="8">
        <f>IF(OR(C137="",X137=""),"",C137*(1+X137))</f>
        <v>0</v>
      </c>
      <c r="Z137" s="8">
        <f>IF(B137="","",IFERROR(INDEX(Ingredients!$O$5:$O$304,MATCH(B137,Ingredients!$A$5:$A$304,0)),""))</f>
        <v>0</v>
      </c>
      <c r="AA137" s="8">
        <f>IF(B137="","",IF(R137&gt;=C137,"In pantry","To buy"))</f>
        <v>0</v>
      </c>
      <c r="AB137" s="8">
        <f>IF(A137="","",COUNTIFS($A$5:A137,A137))</f>
        <v>0</v>
      </c>
      <c r="AC137" s="8">
        <f>IF(B137="","",IF(COUNTIFS('Dietary Filters'!$C$5:$C$104,B137)&gt;0,"Check","OK"))</f>
        <v>0</v>
      </c>
      <c r="AD137" s="25"/>
    </row>
    <row r="138" spans="1:30">
      <c r="A138" s="7"/>
      <c r="B138" s="7"/>
      <c r="C138" s="26"/>
      <c r="D138" s="27"/>
      <c r="E138" s="8">
        <f>IF(B138="","",IFERROR(INDEX(Ingredients!$B$5:$B$304,MATCH(B138,Ingredients!$A$5:$A$304,0)),""))</f>
        <v>0</v>
      </c>
      <c r="F138" s="8">
        <f>IF(B138="","",IFERROR(INDEX(Ingredients!$E$5:$E$304,MATCH(B138,Ingredients!$A$5:$A$304,0)),""))</f>
        <v>0</v>
      </c>
      <c r="G138" s="8">
        <f>IF(B138="","",IFERROR(INDEX(Ingredients!$D$5:$D$304,MATCH(B138,Ingredients!$A$5:$A$304,0)),""))</f>
        <v>0</v>
      </c>
      <c r="H138" s="8">
        <f>IF(OR(B138="",C138=""),"",IFERROR(C138*G138,""))</f>
        <v>0</v>
      </c>
      <c r="I138" s="8">
        <f>IF(A138="","",IFERROR(INDEX(Recipes!$D$5:$D$204,MATCH(A138,Recipes!$A$5:$A$204,0)),""))</f>
        <v>0</v>
      </c>
      <c r="J138" s="8">
        <f>IF(OR(H138="",I138="",I138=0),"",IFERROR(H138/I138,""))</f>
        <v>0</v>
      </c>
      <c r="K138" s="8">
        <f>IF(OR(B138="",C138=""),"",IFERROR(C138*IFERROR(INDEX(Ingredients!$H$5:$H$304,MATCH(B138,Ingredients!$A$5:$A$304,0)),""),""))</f>
        <v>0</v>
      </c>
      <c r="L138" s="8">
        <f>IF(OR(B138="",C138=""),"",IFERROR(C138*IFERROR(INDEX(Ingredients!$I$5:$I$304,MATCH(B138,Ingredients!$A$5:$A$304,0)),""),""))</f>
        <v>0</v>
      </c>
      <c r="M138" s="8">
        <f>IF(OR(B138="",C138=""),"",IFERROR(C138*IFERROR(INDEX(Ingredients!$J$5:$J$304,MATCH(B138,Ingredients!$A$5:$A$304,0)),""),""))</f>
        <v>0</v>
      </c>
      <c r="N138" s="8">
        <f>IF(OR(B138="",C138=""),"",IFERROR(C138*IFERROR(INDEX(Ingredients!$K$5:$K$304,MATCH(B138,Ingredients!$A$5:$A$304,0)),""),""))</f>
        <v>0</v>
      </c>
      <c r="O138" s="8">
        <f>IF(OR(B138="",C138=""),"",IFERROR(C138*IFERROR(INDEX(Ingredients!$L$5:$L$304,MATCH(B138,Ingredients!$A$5:$A$304,0)),""),""))</f>
        <v>0</v>
      </c>
      <c r="P138" s="8">
        <f>IF(OR(H138="",A138=""),"",IFERROR(H138/SUMIFS('Recipe Ingredients'!$H$5:$H$1204,'Recipe Ingredients'!$A$5:$A$1204,A138),""))</f>
        <v>0</v>
      </c>
      <c r="Q138" s="8">
        <f>IF(H138="","",COUNTIFS($H$5:$H$1204,"&gt;"&amp;H138)+1)</f>
        <v>0</v>
      </c>
      <c r="R138" s="8">
        <f>IF(B138="","",SUMIFS(Pantry!$C$5:$C$304,Pantry!$A$5:$A$304,B138))</f>
        <v>0</v>
      </c>
      <c r="S138" s="8">
        <f>IF(OR(B138="",C138=""),"",MAX(0,C138-R138))</f>
        <v>0</v>
      </c>
      <c r="T138" s="26"/>
      <c r="U138" s="8">
        <f>IF(OR(T138="",T138=0,G138=""),"",T138*G138)</f>
        <v>0</v>
      </c>
      <c r="V138" s="8">
        <f>IF(OR(S138="",T138="",T138=0),"",CEILING(S138/T138,1))</f>
        <v>0</v>
      </c>
      <c r="W138" s="27"/>
      <c r="X138" s="29"/>
      <c r="Y138" s="8">
        <f>IF(OR(C138="",X138=""),"",C138*(1+X138))</f>
        <v>0</v>
      </c>
      <c r="Z138" s="8">
        <f>IF(B138="","",IFERROR(INDEX(Ingredients!$O$5:$O$304,MATCH(B138,Ingredients!$A$5:$A$304,0)),""))</f>
        <v>0</v>
      </c>
      <c r="AA138" s="8">
        <f>IF(B138="","",IF(R138&gt;=C138,"In pantry","To buy"))</f>
        <v>0</v>
      </c>
      <c r="AB138" s="8">
        <f>IF(A138="","",COUNTIFS($A$5:A138,A138))</f>
        <v>0</v>
      </c>
      <c r="AC138" s="8">
        <f>IF(B138="","",IF(COUNTIFS('Dietary Filters'!$C$5:$C$104,B138)&gt;0,"Check","OK"))</f>
        <v>0</v>
      </c>
      <c r="AD138" s="25"/>
    </row>
    <row r="139" spans="1:30">
      <c r="A139" s="7"/>
      <c r="B139" s="7"/>
      <c r="C139" s="26"/>
      <c r="D139" s="27"/>
      <c r="E139" s="8">
        <f>IF(B139="","",IFERROR(INDEX(Ingredients!$B$5:$B$304,MATCH(B139,Ingredients!$A$5:$A$304,0)),""))</f>
        <v>0</v>
      </c>
      <c r="F139" s="8">
        <f>IF(B139="","",IFERROR(INDEX(Ingredients!$E$5:$E$304,MATCH(B139,Ingredients!$A$5:$A$304,0)),""))</f>
        <v>0</v>
      </c>
      <c r="G139" s="8">
        <f>IF(B139="","",IFERROR(INDEX(Ingredients!$D$5:$D$304,MATCH(B139,Ingredients!$A$5:$A$304,0)),""))</f>
        <v>0</v>
      </c>
      <c r="H139" s="8">
        <f>IF(OR(B139="",C139=""),"",IFERROR(C139*G139,""))</f>
        <v>0</v>
      </c>
      <c r="I139" s="8">
        <f>IF(A139="","",IFERROR(INDEX(Recipes!$D$5:$D$204,MATCH(A139,Recipes!$A$5:$A$204,0)),""))</f>
        <v>0</v>
      </c>
      <c r="J139" s="8">
        <f>IF(OR(H139="",I139="",I139=0),"",IFERROR(H139/I139,""))</f>
        <v>0</v>
      </c>
      <c r="K139" s="8">
        <f>IF(OR(B139="",C139=""),"",IFERROR(C139*IFERROR(INDEX(Ingredients!$H$5:$H$304,MATCH(B139,Ingredients!$A$5:$A$304,0)),""),""))</f>
        <v>0</v>
      </c>
      <c r="L139" s="8">
        <f>IF(OR(B139="",C139=""),"",IFERROR(C139*IFERROR(INDEX(Ingredients!$I$5:$I$304,MATCH(B139,Ingredients!$A$5:$A$304,0)),""),""))</f>
        <v>0</v>
      </c>
      <c r="M139" s="8">
        <f>IF(OR(B139="",C139=""),"",IFERROR(C139*IFERROR(INDEX(Ingredients!$J$5:$J$304,MATCH(B139,Ingredients!$A$5:$A$304,0)),""),""))</f>
        <v>0</v>
      </c>
      <c r="N139" s="8">
        <f>IF(OR(B139="",C139=""),"",IFERROR(C139*IFERROR(INDEX(Ingredients!$K$5:$K$304,MATCH(B139,Ingredients!$A$5:$A$304,0)),""),""))</f>
        <v>0</v>
      </c>
      <c r="O139" s="8">
        <f>IF(OR(B139="",C139=""),"",IFERROR(C139*IFERROR(INDEX(Ingredients!$L$5:$L$304,MATCH(B139,Ingredients!$A$5:$A$304,0)),""),""))</f>
        <v>0</v>
      </c>
      <c r="P139" s="8">
        <f>IF(OR(H139="",A139=""),"",IFERROR(H139/SUMIFS('Recipe Ingredients'!$H$5:$H$1204,'Recipe Ingredients'!$A$5:$A$1204,A139),""))</f>
        <v>0</v>
      </c>
      <c r="Q139" s="8">
        <f>IF(H139="","",COUNTIFS($H$5:$H$1204,"&gt;"&amp;H139)+1)</f>
        <v>0</v>
      </c>
      <c r="R139" s="8">
        <f>IF(B139="","",SUMIFS(Pantry!$C$5:$C$304,Pantry!$A$5:$A$304,B139))</f>
        <v>0</v>
      </c>
      <c r="S139" s="8">
        <f>IF(OR(B139="",C139=""),"",MAX(0,C139-R139))</f>
        <v>0</v>
      </c>
      <c r="T139" s="26"/>
      <c r="U139" s="8">
        <f>IF(OR(T139="",T139=0,G139=""),"",T139*G139)</f>
        <v>0</v>
      </c>
      <c r="V139" s="8">
        <f>IF(OR(S139="",T139="",T139=0),"",CEILING(S139/T139,1))</f>
        <v>0</v>
      </c>
      <c r="W139" s="27"/>
      <c r="X139" s="29"/>
      <c r="Y139" s="8">
        <f>IF(OR(C139="",X139=""),"",C139*(1+X139))</f>
        <v>0</v>
      </c>
      <c r="Z139" s="8">
        <f>IF(B139="","",IFERROR(INDEX(Ingredients!$O$5:$O$304,MATCH(B139,Ingredients!$A$5:$A$304,0)),""))</f>
        <v>0</v>
      </c>
      <c r="AA139" s="8">
        <f>IF(B139="","",IF(R139&gt;=C139,"In pantry","To buy"))</f>
        <v>0</v>
      </c>
      <c r="AB139" s="8">
        <f>IF(A139="","",COUNTIFS($A$5:A139,A139))</f>
        <v>0</v>
      </c>
      <c r="AC139" s="8">
        <f>IF(B139="","",IF(COUNTIFS('Dietary Filters'!$C$5:$C$104,B139)&gt;0,"Check","OK"))</f>
        <v>0</v>
      </c>
      <c r="AD139" s="25"/>
    </row>
    <row r="140" spans="1:30">
      <c r="A140" s="7"/>
      <c r="B140" s="7"/>
      <c r="C140" s="26"/>
      <c r="D140" s="27"/>
      <c r="E140" s="8">
        <f>IF(B140="","",IFERROR(INDEX(Ingredients!$B$5:$B$304,MATCH(B140,Ingredients!$A$5:$A$304,0)),""))</f>
        <v>0</v>
      </c>
      <c r="F140" s="8">
        <f>IF(B140="","",IFERROR(INDEX(Ingredients!$E$5:$E$304,MATCH(B140,Ingredients!$A$5:$A$304,0)),""))</f>
        <v>0</v>
      </c>
      <c r="G140" s="8">
        <f>IF(B140="","",IFERROR(INDEX(Ingredients!$D$5:$D$304,MATCH(B140,Ingredients!$A$5:$A$304,0)),""))</f>
        <v>0</v>
      </c>
      <c r="H140" s="8">
        <f>IF(OR(B140="",C140=""),"",IFERROR(C140*G140,""))</f>
        <v>0</v>
      </c>
      <c r="I140" s="8">
        <f>IF(A140="","",IFERROR(INDEX(Recipes!$D$5:$D$204,MATCH(A140,Recipes!$A$5:$A$204,0)),""))</f>
        <v>0</v>
      </c>
      <c r="J140" s="8">
        <f>IF(OR(H140="",I140="",I140=0),"",IFERROR(H140/I140,""))</f>
        <v>0</v>
      </c>
      <c r="K140" s="8">
        <f>IF(OR(B140="",C140=""),"",IFERROR(C140*IFERROR(INDEX(Ingredients!$H$5:$H$304,MATCH(B140,Ingredients!$A$5:$A$304,0)),""),""))</f>
        <v>0</v>
      </c>
      <c r="L140" s="8">
        <f>IF(OR(B140="",C140=""),"",IFERROR(C140*IFERROR(INDEX(Ingredients!$I$5:$I$304,MATCH(B140,Ingredients!$A$5:$A$304,0)),""),""))</f>
        <v>0</v>
      </c>
      <c r="M140" s="8">
        <f>IF(OR(B140="",C140=""),"",IFERROR(C140*IFERROR(INDEX(Ingredients!$J$5:$J$304,MATCH(B140,Ingredients!$A$5:$A$304,0)),""),""))</f>
        <v>0</v>
      </c>
      <c r="N140" s="8">
        <f>IF(OR(B140="",C140=""),"",IFERROR(C140*IFERROR(INDEX(Ingredients!$K$5:$K$304,MATCH(B140,Ingredients!$A$5:$A$304,0)),""),""))</f>
        <v>0</v>
      </c>
      <c r="O140" s="8">
        <f>IF(OR(B140="",C140=""),"",IFERROR(C140*IFERROR(INDEX(Ingredients!$L$5:$L$304,MATCH(B140,Ingredients!$A$5:$A$304,0)),""),""))</f>
        <v>0</v>
      </c>
      <c r="P140" s="8">
        <f>IF(OR(H140="",A140=""),"",IFERROR(H140/SUMIFS('Recipe Ingredients'!$H$5:$H$1204,'Recipe Ingredients'!$A$5:$A$1204,A140),""))</f>
        <v>0</v>
      </c>
      <c r="Q140" s="8">
        <f>IF(H140="","",COUNTIFS($H$5:$H$1204,"&gt;"&amp;H140)+1)</f>
        <v>0</v>
      </c>
      <c r="R140" s="8">
        <f>IF(B140="","",SUMIFS(Pantry!$C$5:$C$304,Pantry!$A$5:$A$304,B140))</f>
        <v>0</v>
      </c>
      <c r="S140" s="8">
        <f>IF(OR(B140="",C140=""),"",MAX(0,C140-R140))</f>
        <v>0</v>
      </c>
      <c r="T140" s="26"/>
      <c r="U140" s="8">
        <f>IF(OR(T140="",T140=0,G140=""),"",T140*G140)</f>
        <v>0</v>
      </c>
      <c r="V140" s="8">
        <f>IF(OR(S140="",T140="",T140=0),"",CEILING(S140/T140,1))</f>
        <v>0</v>
      </c>
      <c r="W140" s="27"/>
      <c r="X140" s="29"/>
      <c r="Y140" s="8">
        <f>IF(OR(C140="",X140=""),"",C140*(1+X140))</f>
        <v>0</v>
      </c>
      <c r="Z140" s="8">
        <f>IF(B140="","",IFERROR(INDEX(Ingredients!$O$5:$O$304,MATCH(B140,Ingredients!$A$5:$A$304,0)),""))</f>
        <v>0</v>
      </c>
      <c r="AA140" s="8">
        <f>IF(B140="","",IF(R140&gt;=C140,"In pantry","To buy"))</f>
        <v>0</v>
      </c>
      <c r="AB140" s="8">
        <f>IF(A140="","",COUNTIFS($A$5:A140,A140))</f>
        <v>0</v>
      </c>
      <c r="AC140" s="8">
        <f>IF(B140="","",IF(COUNTIFS('Dietary Filters'!$C$5:$C$104,B140)&gt;0,"Check","OK"))</f>
        <v>0</v>
      </c>
      <c r="AD140" s="25"/>
    </row>
    <row r="141" spans="1:30">
      <c r="A141" s="7"/>
      <c r="B141" s="7"/>
      <c r="C141" s="26"/>
      <c r="D141" s="27"/>
      <c r="E141" s="8">
        <f>IF(B141="","",IFERROR(INDEX(Ingredients!$B$5:$B$304,MATCH(B141,Ingredients!$A$5:$A$304,0)),""))</f>
        <v>0</v>
      </c>
      <c r="F141" s="8">
        <f>IF(B141="","",IFERROR(INDEX(Ingredients!$E$5:$E$304,MATCH(B141,Ingredients!$A$5:$A$304,0)),""))</f>
        <v>0</v>
      </c>
      <c r="G141" s="8">
        <f>IF(B141="","",IFERROR(INDEX(Ingredients!$D$5:$D$304,MATCH(B141,Ingredients!$A$5:$A$304,0)),""))</f>
        <v>0</v>
      </c>
      <c r="H141" s="8">
        <f>IF(OR(B141="",C141=""),"",IFERROR(C141*G141,""))</f>
        <v>0</v>
      </c>
      <c r="I141" s="8">
        <f>IF(A141="","",IFERROR(INDEX(Recipes!$D$5:$D$204,MATCH(A141,Recipes!$A$5:$A$204,0)),""))</f>
        <v>0</v>
      </c>
      <c r="J141" s="8">
        <f>IF(OR(H141="",I141="",I141=0),"",IFERROR(H141/I141,""))</f>
        <v>0</v>
      </c>
      <c r="K141" s="8">
        <f>IF(OR(B141="",C141=""),"",IFERROR(C141*IFERROR(INDEX(Ingredients!$H$5:$H$304,MATCH(B141,Ingredients!$A$5:$A$304,0)),""),""))</f>
        <v>0</v>
      </c>
      <c r="L141" s="8">
        <f>IF(OR(B141="",C141=""),"",IFERROR(C141*IFERROR(INDEX(Ingredients!$I$5:$I$304,MATCH(B141,Ingredients!$A$5:$A$304,0)),""),""))</f>
        <v>0</v>
      </c>
      <c r="M141" s="8">
        <f>IF(OR(B141="",C141=""),"",IFERROR(C141*IFERROR(INDEX(Ingredients!$J$5:$J$304,MATCH(B141,Ingredients!$A$5:$A$304,0)),""),""))</f>
        <v>0</v>
      </c>
      <c r="N141" s="8">
        <f>IF(OR(B141="",C141=""),"",IFERROR(C141*IFERROR(INDEX(Ingredients!$K$5:$K$304,MATCH(B141,Ingredients!$A$5:$A$304,0)),""),""))</f>
        <v>0</v>
      </c>
      <c r="O141" s="8">
        <f>IF(OR(B141="",C141=""),"",IFERROR(C141*IFERROR(INDEX(Ingredients!$L$5:$L$304,MATCH(B141,Ingredients!$A$5:$A$304,0)),""),""))</f>
        <v>0</v>
      </c>
      <c r="P141" s="8">
        <f>IF(OR(H141="",A141=""),"",IFERROR(H141/SUMIFS('Recipe Ingredients'!$H$5:$H$1204,'Recipe Ingredients'!$A$5:$A$1204,A141),""))</f>
        <v>0</v>
      </c>
      <c r="Q141" s="8">
        <f>IF(H141="","",COUNTIFS($H$5:$H$1204,"&gt;"&amp;H141)+1)</f>
        <v>0</v>
      </c>
      <c r="R141" s="8">
        <f>IF(B141="","",SUMIFS(Pantry!$C$5:$C$304,Pantry!$A$5:$A$304,B141))</f>
        <v>0</v>
      </c>
      <c r="S141" s="8">
        <f>IF(OR(B141="",C141=""),"",MAX(0,C141-R141))</f>
        <v>0</v>
      </c>
      <c r="T141" s="26"/>
      <c r="U141" s="8">
        <f>IF(OR(T141="",T141=0,G141=""),"",T141*G141)</f>
        <v>0</v>
      </c>
      <c r="V141" s="8">
        <f>IF(OR(S141="",T141="",T141=0),"",CEILING(S141/T141,1))</f>
        <v>0</v>
      </c>
      <c r="W141" s="27"/>
      <c r="X141" s="29"/>
      <c r="Y141" s="8">
        <f>IF(OR(C141="",X141=""),"",C141*(1+X141))</f>
        <v>0</v>
      </c>
      <c r="Z141" s="8">
        <f>IF(B141="","",IFERROR(INDEX(Ingredients!$O$5:$O$304,MATCH(B141,Ingredients!$A$5:$A$304,0)),""))</f>
        <v>0</v>
      </c>
      <c r="AA141" s="8">
        <f>IF(B141="","",IF(R141&gt;=C141,"In pantry","To buy"))</f>
        <v>0</v>
      </c>
      <c r="AB141" s="8">
        <f>IF(A141="","",COUNTIFS($A$5:A141,A141))</f>
        <v>0</v>
      </c>
      <c r="AC141" s="8">
        <f>IF(B141="","",IF(COUNTIFS('Dietary Filters'!$C$5:$C$104,B141)&gt;0,"Check","OK"))</f>
        <v>0</v>
      </c>
      <c r="AD141" s="25"/>
    </row>
    <row r="142" spans="1:30">
      <c r="A142" s="7"/>
      <c r="B142" s="7"/>
      <c r="C142" s="26"/>
      <c r="D142" s="27"/>
      <c r="E142" s="8">
        <f>IF(B142="","",IFERROR(INDEX(Ingredients!$B$5:$B$304,MATCH(B142,Ingredients!$A$5:$A$304,0)),""))</f>
        <v>0</v>
      </c>
      <c r="F142" s="8">
        <f>IF(B142="","",IFERROR(INDEX(Ingredients!$E$5:$E$304,MATCH(B142,Ingredients!$A$5:$A$304,0)),""))</f>
        <v>0</v>
      </c>
      <c r="G142" s="8">
        <f>IF(B142="","",IFERROR(INDEX(Ingredients!$D$5:$D$304,MATCH(B142,Ingredients!$A$5:$A$304,0)),""))</f>
        <v>0</v>
      </c>
      <c r="H142" s="8">
        <f>IF(OR(B142="",C142=""),"",IFERROR(C142*G142,""))</f>
        <v>0</v>
      </c>
      <c r="I142" s="8">
        <f>IF(A142="","",IFERROR(INDEX(Recipes!$D$5:$D$204,MATCH(A142,Recipes!$A$5:$A$204,0)),""))</f>
        <v>0</v>
      </c>
      <c r="J142" s="8">
        <f>IF(OR(H142="",I142="",I142=0),"",IFERROR(H142/I142,""))</f>
        <v>0</v>
      </c>
      <c r="K142" s="8">
        <f>IF(OR(B142="",C142=""),"",IFERROR(C142*IFERROR(INDEX(Ingredients!$H$5:$H$304,MATCH(B142,Ingredients!$A$5:$A$304,0)),""),""))</f>
        <v>0</v>
      </c>
      <c r="L142" s="8">
        <f>IF(OR(B142="",C142=""),"",IFERROR(C142*IFERROR(INDEX(Ingredients!$I$5:$I$304,MATCH(B142,Ingredients!$A$5:$A$304,0)),""),""))</f>
        <v>0</v>
      </c>
      <c r="M142" s="8">
        <f>IF(OR(B142="",C142=""),"",IFERROR(C142*IFERROR(INDEX(Ingredients!$J$5:$J$304,MATCH(B142,Ingredients!$A$5:$A$304,0)),""),""))</f>
        <v>0</v>
      </c>
      <c r="N142" s="8">
        <f>IF(OR(B142="",C142=""),"",IFERROR(C142*IFERROR(INDEX(Ingredients!$K$5:$K$304,MATCH(B142,Ingredients!$A$5:$A$304,0)),""),""))</f>
        <v>0</v>
      </c>
      <c r="O142" s="8">
        <f>IF(OR(B142="",C142=""),"",IFERROR(C142*IFERROR(INDEX(Ingredients!$L$5:$L$304,MATCH(B142,Ingredients!$A$5:$A$304,0)),""),""))</f>
        <v>0</v>
      </c>
      <c r="P142" s="8">
        <f>IF(OR(H142="",A142=""),"",IFERROR(H142/SUMIFS('Recipe Ingredients'!$H$5:$H$1204,'Recipe Ingredients'!$A$5:$A$1204,A142),""))</f>
        <v>0</v>
      </c>
      <c r="Q142" s="8">
        <f>IF(H142="","",COUNTIFS($H$5:$H$1204,"&gt;"&amp;H142)+1)</f>
        <v>0</v>
      </c>
      <c r="R142" s="8">
        <f>IF(B142="","",SUMIFS(Pantry!$C$5:$C$304,Pantry!$A$5:$A$304,B142))</f>
        <v>0</v>
      </c>
      <c r="S142" s="8">
        <f>IF(OR(B142="",C142=""),"",MAX(0,C142-R142))</f>
        <v>0</v>
      </c>
      <c r="T142" s="26"/>
      <c r="U142" s="8">
        <f>IF(OR(T142="",T142=0,G142=""),"",T142*G142)</f>
        <v>0</v>
      </c>
      <c r="V142" s="8">
        <f>IF(OR(S142="",T142="",T142=0),"",CEILING(S142/T142,1))</f>
        <v>0</v>
      </c>
      <c r="W142" s="27"/>
      <c r="X142" s="29"/>
      <c r="Y142" s="8">
        <f>IF(OR(C142="",X142=""),"",C142*(1+X142))</f>
        <v>0</v>
      </c>
      <c r="Z142" s="8">
        <f>IF(B142="","",IFERROR(INDEX(Ingredients!$O$5:$O$304,MATCH(B142,Ingredients!$A$5:$A$304,0)),""))</f>
        <v>0</v>
      </c>
      <c r="AA142" s="8">
        <f>IF(B142="","",IF(R142&gt;=C142,"In pantry","To buy"))</f>
        <v>0</v>
      </c>
      <c r="AB142" s="8">
        <f>IF(A142="","",COUNTIFS($A$5:A142,A142))</f>
        <v>0</v>
      </c>
      <c r="AC142" s="8">
        <f>IF(B142="","",IF(COUNTIFS('Dietary Filters'!$C$5:$C$104,B142)&gt;0,"Check","OK"))</f>
        <v>0</v>
      </c>
      <c r="AD142" s="25"/>
    </row>
    <row r="143" spans="1:30">
      <c r="A143" s="7"/>
      <c r="B143" s="7"/>
      <c r="C143" s="26"/>
      <c r="D143" s="27"/>
      <c r="E143" s="8">
        <f>IF(B143="","",IFERROR(INDEX(Ingredients!$B$5:$B$304,MATCH(B143,Ingredients!$A$5:$A$304,0)),""))</f>
        <v>0</v>
      </c>
      <c r="F143" s="8">
        <f>IF(B143="","",IFERROR(INDEX(Ingredients!$E$5:$E$304,MATCH(B143,Ingredients!$A$5:$A$304,0)),""))</f>
        <v>0</v>
      </c>
      <c r="G143" s="8">
        <f>IF(B143="","",IFERROR(INDEX(Ingredients!$D$5:$D$304,MATCH(B143,Ingredients!$A$5:$A$304,0)),""))</f>
        <v>0</v>
      </c>
      <c r="H143" s="8">
        <f>IF(OR(B143="",C143=""),"",IFERROR(C143*G143,""))</f>
        <v>0</v>
      </c>
      <c r="I143" s="8">
        <f>IF(A143="","",IFERROR(INDEX(Recipes!$D$5:$D$204,MATCH(A143,Recipes!$A$5:$A$204,0)),""))</f>
        <v>0</v>
      </c>
      <c r="J143" s="8">
        <f>IF(OR(H143="",I143="",I143=0),"",IFERROR(H143/I143,""))</f>
        <v>0</v>
      </c>
      <c r="K143" s="8">
        <f>IF(OR(B143="",C143=""),"",IFERROR(C143*IFERROR(INDEX(Ingredients!$H$5:$H$304,MATCH(B143,Ingredients!$A$5:$A$304,0)),""),""))</f>
        <v>0</v>
      </c>
      <c r="L143" s="8">
        <f>IF(OR(B143="",C143=""),"",IFERROR(C143*IFERROR(INDEX(Ingredients!$I$5:$I$304,MATCH(B143,Ingredients!$A$5:$A$304,0)),""),""))</f>
        <v>0</v>
      </c>
      <c r="M143" s="8">
        <f>IF(OR(B143="",C143=""),"",IFERROR(C143*IFERROR(INDEX(Ingredients!$J$5:$J$304,MATCH(B143,Ingredients!$A$5:$A$304,0)),""),""))</f>
        <v>0</v>
      </c>
      <c r="N143" s="8">
        <f>IF(OR(B143="",C143=""),"",IFERROR(C143*IFERROR(INDEX(Ingredients!$K$5:$K$304,MATCH(B143,Ingredients!$A$5:$A$304,0)),""),""))</f>
        <v>0</v>
      </c>
      <c r="O143" s="8">
        <f>IF(OR(B143="",C143=""),"",IFERROR(C143*IFERROR(INDEX(Ingredients!$L$5:$L$304,MATCH(B143,Ingredients!$A$5:$A$304,0)),""),""))</f>
        <v>0</v>
      </c>
      <c r="P143" s="8">
        <f>IF(OR(H143="",A143=""),"",IFERROR(H143/SUMIFS('Recipe Ingredients'!$H$5:$H$1204,'Recipe Ingredients'!$A$5:$A$1204,A143),""))</f>
        <v>0</v>
      </c>
      <c r="Q143" s="8">
        <f>IF(H143="","",COUNTIFS($H$5:$H$1204,"&gt;"&amp;H143)+1)</f>
        <v>0</v>
      </c>
      <c r="R143" s="8">
        <f>IF(B143="","",SUMIFS(Pantry!$C$5:$C$304,Pantry!$A$5:$A$304,B143))</f>
        <v>0</v>
      </c>
      <c r="S143" s="8">
        <f>IF(OR(B143="",C143=""),"",MAX(0,C143-R143))</f>
        <v>0</v>
      </c>
      <c r="T143" s="26"/>
      <c r="U143" s="8">
        <f>IF(OR(T143="",T143=0,G143=""),"",T143*G143)</f>
        <v>0</v>
      </c>
      <c r="V143" s="8">
        <f>IF(OR(S143="",T143="",T143=0),"",CEILING(S143/T143,1))</f>
        <v>0</v>
      </c>
      <c r="W143" s="27"/>
      <c r="X143" s="29"/>
      <c r="Y143" s="8">
        <f>IF(OR(C143="",X143=""),"",C143*(1+X143))</f>
        <v>0</v>
      </c>
      <c r="Z143" s="8">
        <f>IF(B143="","",IFERROR(INDEX(Ingredients!$O$5:$O$304,MATCH(B143,Ingredients!$A$5:$A$304,0)),""))</f>
        <v>0</v>
      </c>
      <c r="AA143" s="8">
        <f>IF(B143="","",IF(R143&gt;=C143,"In pantry","To buy"))</f>
        <v>0</v>
      </c>
      <c r="AB143" s="8">
        <f>IF(A143="","",COUNTIFS($A$5:A143,A143))</f>
        <v>0</v>
      </c>
      <c r="AC143" s="8">
        <f>IF(B143="","",IF(COUNTIFS('Dietary Filters'!$C$5:$C$104,B143)&gt;0,"Check","OK"))</f>
        <v>0</v>
      </c>
      <c r="AD143" s="25"/>
    </row>
    <row r="144" spans="1:30">
      <c r="A144" s="7"/>
      <c r="B144" s="7"/>
      <c r="C144" s="26"/>
      <c r="D144" s="27"/>
      <c r="E144" s="8">
        <f>IF(B144="","",IFERROR(INDEX(Ingredients!$B$5:$B$304,MATCH(B144,Ingredients!$A$5:$A$304,0)),""))</f>
        <v>0</v>
      </c>
      <c r="F144" s="8">
        <f>IF(B144="","",IFERROR(INDEX(Ingredients!$E$5:$E$304,MATCH(B144,Ingredients!$A$5:$A$304,0)),""))</f>
        <v>0</v>
      </c>
      <c r="G144" s="8">
        <f>IF(B144="","",IFERROR(INDEX(Ingredients!$D$5:$D$304,MATCH(B144,Ingredients!$A$5:$A$304,0)),""))</f>
        <v>0</v>
      </c>
      <c r="H144" s="8">
        <f>IF(OR(B144="",C144=""),"",IFERROR(C144*G144,""))</f>
        <v>0</v>
      </c>
      <c r="I144" s="8">
        <f>IF(A144="","",IFERROR(INDEX(Recipes!$D$5:$D$204,MATCH(A144,Recipes!$A$5:$A$204,0)),""))</f>
        <v>0</v>
      </c>
      <c r="J144" s="8">
        <f>IF(OR(H144="",I144="",I144=0),"",IFERROR(H144/I144,""))</f>
        <v>0</v>
      </c>
      <c r="K144" s="8">
        <f>IF(OR(B144="",C144=""),"",IFERROR(C144*IFERROR(INDEX(Ingredients!$H$5:$H$304,MATCH(B144,Ingredients!$A$5:$A$304,0)),""),""))</f>
        <v>0</v>
      </c>
      <c r="L144" s="8">
        <f>IF(OR(B144="",C144=""),"",IFERROR(C144*IFERROR(INDEX(Ingredients!$I$5:$I$304,MATCH(B144,Ingredients!$A$5:$A$304,0)),""),""))</f>
        <v>0</v>
      </c>
      <c r="M144" s="8">
        <f>IF(OR(B144="",C144=""),"",IFERROR(C144*IFERROR(INDEX(Ingredients!$J$5:$J$304,MATCH(B144,Ingredients!$A$5:$A$304,0)),""),""))</f>
        <v>0</v>
      </c>
      <c r="N144" s="8">
        <f>IF(OR(B144="",C144=""),"",IFERROR(C144*IFERROR(INDEX(Ingredients!$K$5:$K$304,MATCH(B144,Ingredients!$A$5:$A$304,0)),""),""))</f>
        <v>0</v>
      </c>
      <c r="O144" s="8">
        <f>IF(OR(B144="",C144=""),"",IFERROR(C144*IFERROR(INDEX(Ingredients!$L$5:$L$304,MATCH(B144,Ingredients!$A$5:$A$304,0)),""),""))</f>
        <v>0</v>
      </c>
      <c r="P144" s="8">
        <f>IF(OR(H144="",A144=""),"",IFERROR(H144/SUMIFS('Recipe Ingredients'!$H$5:$H$1204,'Recipe Ingredients'!$A$5:$A$1204,A144),""))</f>
        <v>0</v>
      </c>
      <c r="Q144" s="8">
        <f>IF(H144="","",COUNTIFS($H$5:$H$1204,"&gt;"&amp;H144)+1)</f>
        <v>0</v>
      </c>
      <c r="R144" s="8">
        <f>IF(B144="","",SUMIFS(Pantry!$C$5:$C$304,Pantry!$A$5:$A$304,B144))</f>
        <v>0</v>
      </c>
      <c r="S144" s="8">
        <f>IF(OR(B144="",C144=""),"",MAX(0,C144-R144))</f>
        <v>0</v>
      </c>
      <c r="T144" s="26"/>
      <c r="U144" s="8">
        <f>IF(OR(T144="",T144=0,G144=""),"",T144*G144)</f>
        <v>0</v>
      </c>
      <c r="V144" s="8">
        <f>IF(OR(S144="",T144="",T144=0),"",CEILING(S144/T144,1))</f>
        <v>0</v>
      </c>
      <c r="W144" s="27"/>
      <c r="X144" s="29"/>
      <c r="Y144" s="8">
        <f>IF(OR(C144="",X144=""),"",C144*(1+X144))</f>
        <v>0</v>
      </c>
      <c r="Z144" s="8">
        <f>IF(B144="","",IFERROR(INDEX(Ingredients!$O$5:$O$304,MATCH(B144,Ingredients!$A$5:$A$304,0)),""))</f>
        <v>0</v>
      </c>
      <c r="AA144" s="8">
        <f>IF(B144="","",IF(R144&gt;=C144,"In pantry","To buy"))</f>
        <v>0</v>
      </c>
      <c r="AB144" s="8">
        <f>IF(A144="","",COUNTIFS($A$5:A144,A144))</f>
        <v>0</v>
      </c>
      <c r="AC144" s="8">
        <f>IF(B144="","",IF(COUNTIFS('Dietary Filters'!$C$5:$C$104,B144)&gt;0,"Check","OK"))</f>
        <v>0</v>
      </c>
      <c r="AD144" s="25"/>
    </row>
    <row r="145" spans="1:30">
      <c r="A145" s="7"/>
      <c r="B145" s="7"/>
      <c r="C145" s="26"/>
      <c r="D145" s="27"/>
      <c r="E145" s="8">
        <f>IF(B145="","",IFERROR(INDEX(Ingredients!$B$5:$B$304,MATCH(B145,Ingredients!$A$5:$A$304,0)),""))</f>
        <v>0</v>
      </c>
      <c r="F145" s="8">
        <f>IF(B145="","",IFERROR(INDEX(Ingredients!$E$5:$E$304,MATCH(B145,Ingredients!$A$5:$A$304,0)),""))</f>
        <v>0</v>
      </c>
      <c r="G145" s="8">
        <f>IF(B145="","",IFERROR(INDEX(Ingredients!$D$5:$D$304,MATCH(B145,Ingredients!$A$5:$A$304,0)),""))</f>
        <v>0</v>
      </c>
      <c r="H145" s="8">
        <f>IF(OR(B145="",C145=""),"",IFERROR(C145*G145,""))</f>
        <v>0</v>
      </c>
      <c r="I145" s="8">
        <f>IF(A145="","",IFERROR(INDEX(Recipes!$D$5:$D$204,MATCH(A145,Recipes!$A$5:$A$204,0)),""))</f>
        <v>0</v>
      </c>
      <c r="J145" s="8">
        <f>IF(OR(H145="",I145="",I145=0),"",IFERROR(H145/I145,""))</f>
        <v>0</v>
      </c>
      <c r="K145" s="8">
        <f>IF(OR(B145="",C145=""),"",IFERROR(C145*IFERROR(INDEX(Ingredients!$H$5:$H$304,MATCH(B145,Ingredients!$A$5:$A$304,0)),""),""))</f>
        <v>0</v>
      </c>
      <c r="L145" s="8">
        <f>IF(OR(B145="",C145=""),"",IFERROR(C145*IFERROR(INDEX(Ingredients!$I$5:$I$304,MATCH(B145,Ingredients!$A$5:$A$304,0)),""),""))</f>
        <v>0</v>
      </c>
      <c r="M145" s="8">
        <f>IF(OR(B145="",C145=""),"",IFERROR(C145*IFERROR(INDEX(Ingredients!$J$5:$J$304,MATCH(B145,Ingredients!$A$5:$A$304,0)),""),""))</f>
        <v>0</v>
      </c>
      <c r="N145" s="8">
        <f>IF(OR(B145="",C145=""),"",IFERROR(C145*IFERROR(INDEX(Ingredients!$K$5:$K$304,MATCH(B145,Ingredients!$A$5:$A$304,0)),""),""))</f>
        <v>0</v>
      </c>
      <c r="O145" s="8">
        <f>IF(OR(B145="",C145=""),"",IFERROR(C145*IFERROR(INDEX(Ingredients!$L$5:$L$304,MATCH(B145,Ingredients!$A$5:$A$304,0)),""),""))</f>
        <v>0</v>
      </c>
      <c r="P145" s="8">
        <f>IF(OR(H145="",A145=""),"",IFERROR(H145/SUMIFS('Recipe Ingredients'!$H$5:$H$1204,'Recipe Ingredients'!$A$5:$A$1204,A145),""))</f>
        <v>0</v>
      </c>
      <c r="Q145" s="8">
        <f>IF(H145="","",COUNTIFS($H$5:$H$1204,"&gt;"&amp;H145)+1)</f>
        <v>0</v>
      </c>
      <c r="R145" s="8">
        <f>IF(B145="","",SUMIFS(Pantry!$C$5:$C$304,Pantry!$A$5:$A$304,B145))</f>
        <v>0</v>
      </c>
      <c r="S145" s="8">
        <f>IF(OR(B145="",C145=""),"",MAX(0,C145-R145))</f>
        <v>0</v>
      </c>
      <c r="T145" s="26"/>
      <c r="U145" s="8">
        <f>IF(OR(T145="",T145=0,G145=""),"",T145*G145)</f>
        <v>0</v>
      </c>
      <c r="V145" s="8">
        <f>IF(OR(S145="",T145="",T145=0),"",CEILING(S145/T145,1))</f>
        <v>0</v>
      </c>
      <c r="W145" s="27"/>
      <c r="X145" s="29"/>
      <c r="Y145" s="8">
        <f>IF(OR(C145="",X145=""),"",C145*(1+X145))</f>
        <v>0</v>
      </c>
      <c r="Z145" s="8">
        <f>IF(B145="","",IFERROR(INDEX(Ingredients!$O$5:$O$304,MATCH(B145,Ingredients!$A$5:$A$304,0)),""))</f>
        <v>0</v>
      </c>
      <c r="AA145" s="8">
        <f>IF(B145="","",IF(R145&gt;=C145,"In pantry","To buy"))</f>
        <v>0</v>
      </c>
      <c r="AB145" s="8">
        <f>IF(A145="","",COUNTIFS($A$5:A145,A145))</f>
        <v>0</v>
      </c>
      <c r="AC145" s="8">
        <f>IF(B145="","",IF(COUNTIFS('Dietary Filters'!$C$5:$C$104,B145)&gt;0,"Check","OK"))</f>
        <v>0</v>
      </c>
      <c r="AD145" s="25"/>
    </row>
    <row r="146" spans="1:30">
      <c r="A146" s="7"/>
      <c r="B146" s="7"/>
      <c r="C146" s="26"/>
      <c r="D146" s="27"/>
      <c r="E146" s="8">
        <f>IF(B146="","",IFERROR(INDEX(Ingredients!$B$5:$B$304,MATCH(B146,Ingredients!$A$5:$A$304,0)),""))</f>
        <v>0</v>
      </c>
      <c r="F146" s="8">
        <f>IF(B146="","",IFERROR(INDEX(Ingredients!$E$5:$E$304,MATCH(B146,Ingredients!$A$5:$A$304,0)),""))</f>
        <v>0</v>
      </c>
      <c r="G146" s="8">
        <f>IF(B146="","",IFERROR(INDEX(Ingredients!$D$5:$D$304,MATCH(B146,Ingredients!$A$5:$A$304,0)),""))</f>
        <v>0</v>
      </c>
      <c r="H146" s="8">
        <f>IF(OR(B146="",C146=""),"",IFERROR(C146*G146,""))</f>
        <v>0</v>
      </c>
      <c r="I146" s="8">
        <f>IF(A146="","",IFERROR(INDEX(Recipes!$D$5:$D$204,MATCH(A146,Recipes!$A$5:$A$204,0)),""))</f>
        <v>0</v>
      </c>
      <c r="J146" s="8">
        <f>IF(OR(H146="",I146="",I146=0),"",IFERROR(H146/I146,""))</f>
        <v>0</v>
      </c>
      <c r="K146" s="8">
        <f>IF(OR(B146="",C146=""),"",IFERROR(C146*IFERROR(INDEX(Ingredients!$H$5:$H$304,MATCH(B146,Ingredients!$A$5:$A$304,0)),""),""))</f>
        <v>0</v>
      </c>
      <c r="L146" s="8">
        <f>IF(OR(B146="",C146=""),"",IFERROR(C146*IFERROR(INDEX(Ingredients!$I$5:$I$304,MATCH(B146,Ingredients!$A$5:$A$304,0)),""),""))</f>
        <v>0</v>
      </c>
      <c r="M146" s="8">
        <f>IF(OR(B146="",C146=""),"",IFERROR(C146*IFERROR(INDEX(Ingredients!$J$5:$J$304,MATCH(B146,Ingredients!$A$5:$A$304,0)),""),""))</f>
        <v>0</v>
      </c>
      <c r="N146" s="8">
        <f>IF(OR(B146="",C146=""),"",IFERROR(C146*IFERROR(INDEX(Ingredients!$K$5:$K$304,MATCH(B146,Ingredients!$A$5:$A$304,0)),""),""))</f>
        <v>0</v>
      </c>
      <c r="O146" s="8">
        <f>IF(OR(B146="",C146=""),"",IFERROR(C146*IFERROR(INDEX(Ingredients!$L$5:$L$304,MATCH(B146,Ingredients!$A$5:$A$304,0)),""),""))</f>
        <v>0</v>
      </c>
      <c r="P146" s="8">
        <f>IF(OR(H146="",A146=""),"",IFERROR(H146/SUMIFS('Recipe Ingredients'!$H$5:$H$1204,'Recipe Ingredients'!$A$5:$A$1204,A146),""))</f>
        <v>0</v>
      </c>
      <c r="Q146" s="8">
        <f>IF(H146="","",COUNTIFS($H$5:$H$1204,"&gt;"&amp;H146)+1)</f>
        <v>0</v>
      </c>
      <c r="R146" s="8">
        <f>IF(B146="","",SUMIFS(Pantry!$C$5:$C$304,Pantry!$A$5:$A$304,B146))</f>
        <v>0</v>
      </c>
      <c r="S146" s="8">
        <f>IF(OR(B146="",C146=""),"",MAX(0,C146-R146))</f>
        <v>0</v>
      </c>
      <c r="T146" s="26"/>
      <c r="U146" s="8">
        <f>IF(OR(T146="",T146=0,G146=""),"",T146*G146)</f>
        <v>0</v>
      </c>
      <c r="V146" s="8">
        <f>IF(OR(S146="",T146="",T146=0),"",CEILING(S146/T146,1))</f>
        <v>0</v>
      </c>
      <c r="W146" s="27"/>
      <c r="X146" s="29"/>
      <c r="Y146" s="8">
        <f>IF(OR(C146="",X146=""),"",C146*(1+X146))</f>
        <v>0</v>
      </c>
      <c r="Z146" s="8">
        <f>IF(B146="","",IFERROR(INDEX(Ingredients!$O$5:$O$304,MATCH(B146,Ingredients!$A$5:$A$304,0)),""))</f>
        <v>0</v>
      </c>
      <c r="AA146" s="8">
        <f>IF(B146="","",IF(R146&gt;=C146,"In pantry","To buy"))</f>
        <v>0</v>
      </c>
      <c r="AB146" s="8">
        <f>IF(A146="","",COUNTIFS($A$5:A146,A146))</f>
        <v>0</v>
      </c>
      <c r="AC146" s="8">
        <f>IF(B146="","",IF(COUNTIFS('Dietary Filters'!$C$5:$C$104,B146)&gt;0,"Check","OK"))</f>
        <v>0</v>
      </c>
      <c r="AD146" s="25"/>
    </row>
    <row r="147" spans="1:30">
      <c r="A147" s="7"/>
      <c r="B147" s="7"/>
      <c r="C147" s="26"/>
      <c r="D147" s="27"/>
      <c r="E147" s="8">
        <f>IF(B147="","",IFERROR(INDEX(Ingredients!$B$5:$B$304,MATCH(B147,Ingredients!$A$5:$A$304,0)),""))</f>
        <v>0</v>
      </c>
      <c r="F147" s="8">
        <f>IF(B147="","",IFERROR(INDEX(Ingredients!$E$5:$E$304,MATCH(B147,Ingredients!$A$5:$A$304,0)),""))</f>
        <v>0</v>
      </c>
      <c r="G147" s="8">
        <f>IF(B147="","",IFERROR(INDEX(Ingredients!$D$5:$D$304,MATCH(B147,Ingredients!$A$5:$A$304,0)),""))</f>
        <v>0</v>
      </c>
      <c r="H147" s="8">
        <f>IF(OR(B147="",C147=""),"",IFERROR(C147*G147,""))</f>
        <v>0</v>
      </c>
      <c r="I147" s="8">
        <f>IF(A147="","",IFERROR(INDEX(Recipes!$D$5:$D$204,MATCH(A147,Recipes!$A$5:$A$204,0)),""))</f>
        <v>0</v>
      </c>
      <c r="J147" s="8">
        <f>IF(OR(H147="",I147="",I147=0),"",IFERROR(H147/I147,""))</f>
        <v>0</v>
      </c>
      <c r="K147" s="8">
        <f>IF(OR(B147="",C147=""),"",IFERROR(C147*IFERROR(INDEX(Ingredients!$H$5:$H$304,MATCH(B147,Ingredients!$A$5:$A$304,0)),""),""))</f>
        <v>0</v>
      </c>
      <c r="L147" s="8">
        <f>IF(OR(B147="",C147=""),"",IFERROR(C147*IFERROR(INDEX(Ingredients!$I$5:$I$304,MATCH(B147,Ingredients!$A$5:$A$304,0)),""),""))</f>
        <v>0</v>
      </c>
      <c r="M147" s="8">
        <f>IF(OR(B147="",C147=""),"",IFERROR(C147*IFERROR(INDEX(Ingredients!$J$5:$J$304,MATCH(B147,Ingredients!$A$5:$A$304,0)),""),""))</f>
        <v>0</v>
      </c>
      <c r="N147" s="8">
        <f>IF(OR(B147="",C147=""),"",IFERROR(C147*IFERROR(INDEX(Ingredients!$K$5:$K$304,MATCH(B147,Ingredients!$A$5:$A$304,0)),""),""))</f>
        <v>0</v>
      </c>
      <c r="O147" s="8">
        <f>IF(OR(B147="",C147=""),"",IFERROR(C147*IFERROR(INDEX(Ingredients!$L$5:$L$304,MATCH(B147,Ingredients!$A$5:$A$304,0)),""),""))</f>
        <v>0</v>
      </c>
      <c r="P147" s="8">
        <f>IF(OR(H147="",A147=""),"",IFERROR(H147/SUMIFS('Recipe Ingredients'!$H$5:$H$1204,'Recipe Ingredients'!$A$5:$A$1204,A147),""))</f>
        <v>0</v>
      </c>
      <c r="Q147" s="8">
        <f>IF(H147="","",COUNTIFS($H$5:$H$1204,"&gt;"&amp;H147)+1)</f>
        <v>0</v>
      </c>
      <c r="R147" s="8">
        <f>IF(B147="","",SUMIFS(Pantry!$C$5:$C$304,Pantry!$A$5:$A$304,B147))</f>
        <v>0</v>
      </c>
      <c r="S147" s="8">
        <f>IF(OR(B147="",C147=""),"",MAX(0,C147-R147))</f>
        <v>0</v>
      </c>
      <c r="T147" s="26"/>
      <c r="U147" s="8">
        <f>IF(OR(T147="",T147=0,G147=""),"",T147*G147)</f>
        <v>0</v>
      </c>
      <c r="V147" s="8">
        <f>IF(OR(S147="",T147="",T147=0),"",CEILING(S147/T147,1))</f>
        <v>0</v>
      </c>
      <c r="W147" s="27"/>
      <c r="X147" s="29"/>
      <c r="Y147" s="8">
        <f>IF(OR(C147="",X147=""),"",C147*(1+X147))</f>
        <v>0</v>
      </c>
      <c r="Z147" s="8">
        <f>IF(B147="","",IFERROR(INDEX(Ingredients!$O$5:$O$304,MATCH(B147,Ingredients!$A$5:$A$304,0)),""))</f>
        <v>0</v>
      </c>
      <c r="AA147" s="8">
        <f>IF(B147="","",IF(R147&gt;=C147,"In pantry","To buy"))</f>
        <v>0</v>
      </c>
      <c r="AB147" s="8">
        <f>IF(A147="","",COUNTIFS($A$5:A147,A147))</f>
        <v>0</v>
      </c>
      <c r="AC147" s="8">
        <f>IF(B147="","",IF(COUNTIFS('Dietary Filters'!$C$5:$C$104,B147)&gt;0,"Check","OK"))</f>
        <v>0</v>
      </c>
      <c r="AD147" s="25"/>
    </row>
    <row r="148" spans="1:30">
      <c r="A148" s="7"/>
      <c r="B148" s="7"/>
      <c r="C148" s="26"/>
      <c r="D148" s="27"/>
      <c r="E148" s="8">
        <f>IF(B148="","",IFERROR(INDEX(Ingredients!$B$5:$B$304,MATCH(B148,Ingredients!$A$5:$A$304,0)),""))</f>
        <v>0</v>
      </c>
      <c r="F148" s="8">
        <f>IF(B148="","",IFERROR(INDEX(Ingredients!$E$5:$E$304,MATCH(B148,Ingredients!$A$5:$A$304,0)),""))</f>
        <v>0</v>
      </c>
      <c r="G148" s="8">
        <f>IF(B148="","",IFERROR(INDEX(Ingredients!$D$5:$D$304,MATCH(B148,Ingredients!$A$5:$A$304,0)),""))</f>
        <v>0</v>
      </c>
      <c r="H148" s="8">
        <f>IF(OR(B148="",C148=""),"",IFERROR(C148*G148,""))</f>
        <v>0</v>
      </c>
      <c r="I148" s="8">
        <f>IF(A148="","",IFERROR(INDEX(Recipes!$D$5:$D$204,MATCH(A148,Recipes!$A$5:$A$204,0)),""))</f>
        <v>0</v>
      </c>
      <c r="J148" s="8">
        <f>IF(OR(H148="",I148="",I148=0),"",IFERROR(H148/I148,""))</f>
        <v>0</v>
      </c>
      <c r="K148" s="8">
        <f>IF(OR(B148="",C148=""),"",IFERROR(C148*IFERROR(INDEX(Ingredients!$H$5:$H$304,MATCH(B148,Ingredients!$A$5:$A$304,0)),""),""))</f>
        <v>0</v>
      </c>
      <c r="L148" s="8">
        <f>IF(OR(B148="",C148=""),"",IFERROR(C148*IFERROR(INDEX(Ingredients!$I$5:$I$304,MATCH(B148,Ingredients!$A$5:$A$304,0)),""),""))</f>
        <v>0</v>
      </c>
      <c r="M148" s="8">
        <f>IF(OR(B148="",C148=""),"",IFERROR(C148*IFERROR(INDEX(Ingredients!$J$5:$J$304,MATCH(B148,Ingredients!$A$5:$A$304,0)),""),""))</f>
        <v>0</v>
      </c>
      <c r="N148" s="8">
        <f>IF(OR(B148="",C148=""),"",IFERROR(C148*IFERROR(INDEX(Ingredients!$K$5:$K$304,MATCH(B148,Ingredients!$A$5:$A$304,0)),""),""))</f>
        <v>0</v>
      </c>
      <c r="O148" s="8">
        <f>IF(OR(B148="",C148=""),"",IFERROR(C148*IFERROR(INDEX(Ingredients!$L$5:$L$304,MATCH(B148,Ingredients!$A$5:$A$304,0)),""),""))</f>
        <v>0</v>
      </c>
      <c r="P148" s="8">
        <f>IF(OR(H148="",A148=""),"",IFERROR(H148/SUMIFS('Recipe Ingredients'!$H$5:$H$1204,'Recipe Ingredients'!$A$5:$A$1204,A148),""))</f>
        <v>0</v>
      </c>
      <c r="Q148" s="8">
        <f>IF(H148="","",COUNTIFS($H$5:$H$1204,"&gt;"&amp;H148)+1)</f>
        <v>0</v>
      </c>
      <c r="R148" s="8">
        <f>IF(B148="","",SUMIFS(Pantry!$C$5:$C$304,Pantry!$A$5:$A$304,B148))</f>
        <v>0</v>
      </c>
      <c r="S148" s="8">
        <f>IF(OR(B148="",C148=""),"",MAX(0,C148-R148))</f>
        <v>0</v>
      </c>
      <c r="T148" s="26"/>
      <c r="U148" s="8">
        <f>IF(OR(T148="",T148=0,G148=""),"",T148*G148)</f>
        <v>0</v>
      </c>
      <c r="V148" s="8">
        <f>IF(OR(S148="",T148="",T148=0),"",CEILING(S148/T148,1))</f>
        <v>0</v>
      </c>
      <c r="W148" s="27"/>
      <c r="X148" s="29"/>
      <c r="Y148" s="8">
        <f>IF(OR(C148="",X148=""),"",C148*(1+X148))</f>
        <v>0</v>
      </c>
      <c r="Z148" s="8">
        <f>IF(B148="","",IFERROR(INDEX(Ingredients!$O$5:$O$304,MATCH(B148,Ingredients!$A$5:$A$304,0)),""))</f>
        <v>0</v>
      </c>
      <c r="AA148" s="8">
        <f>IF(B148="","",IF(R148&gt;=C148,"In pantry","To buy"))</f>
        <v>0</v>
      </c>
      <c r="AB148" s="8">
        <f>IF(A148="","",COUNTIFS($A$5:A148,A148))</f>
        <v>0</v>
      </c>
      <c r="AC148" s="8">
        <f>IF(B148="","",IF(COUNTIFS('Dietary Filters'!$C$5:$C$104,B148)&gt;0,"Check","OK"))</f>
        <v>0</v>
      </c>
      <c r="AD148" s="25"/>
    </row>
    <row r="149" spans="1:30">
      <c r="A149" s="7"/>
      <c r="B149" s="7"/>
      <c r="C149" s="26"/>
      <c r="D149" s="27"/>
      <c r="E149" s="8">
        <f>IF(B149="","",IFERROR(INDEX(Ingredients!$B$5:$B$304,MATCH(B149,Ingredients!$A$5:$A$304,0)),""))</f>
        <v>0</v>
      </c>
      <c r="F149" s="8">
        <f>IF(B149="","",IFERROR(INDEX(Ingredients!$E$5:$E$304,MATCH(B149,Ingredients!$A$5:$A$304,0)),""))</f>
        <v>0</v>
      </c>
      <c r="G149" s="8">
        <f>IF(B149="","",IFERROR(INDEX(Ingredients!$D$5:$D$304,MATCH(B149,Ingredients!$A$5:$A$304,0)),""))</f>
        <v>0</v>
      </c>
      <c r="H149" s="8">
        <f>IF(OR(B149="",C149=""),"",IFERROR(C149*G149,""))</f>
        <v>0</v>
      </c>
      <c r="I149" s="8">
        <f>IF(A149="","",IFERROR(INDEX(Recipes!$D$5:$D$204,MATCH(A149,Recipes!$A$5:$A$204,0)),""))</f>
        <v>0</v>
      </c>
      <c r="J149" s="8">
        <f>IF(OR(H149="",I149="",I149=0),"",IFERROR(H149/I149,""))</f>
        <v>0</v>
      </c>
      <c r="K149" s="8">
        <f>IF(OR(B149="",C149=""),"",IFERROR(C149*IFERROR(INDEX(Ingredients!$H$5:$H$304,MATCH(B149,Ingredients!$A$5:$A$304,0)),""),""))</f>
        <v>0</v>
      </c>
      <c r="L149" s="8">
        <f>IF(OR(B149="",C149=""),"",IFERROR(C149*IFERROR(INDEX(Ingredients!$I$5:$I$304,MATCH(B149,Ingredients!$A$5:$A$304,0)),""),""))</f>
        <v>0</v>
      </c>
      <c r="M149" s="8">
        <f>IF(OR(B149="",C149=""),"",IFERROR(C149*IFERROR(INDEX(Ingredients!$J$5:$J$304,MATCH(B149,Ingredients!$A$5:$A$304,0)),""),""))</f>
        <v>0</v>
      </c>
      <c r="N149" s="8">
        <f>IF(OR(B149="",C149=""),"",IFERROR(C149*IFERROR(INDEX(Ingredients!$K$5:$K$304,MATCH(B149,Ingredients!$A$5:$A$304,0)),""),""))</f>
        <v>0</v>
      </c>
      <c r="O149" s="8">
        <f>IF(OR(B149="",C149=""),"",IFERROR(C149*IFERROR(INDEX(Ingredients!$L$5:$L$304,MATCH(B149,Ingredients!$A$5:$A$304,0)),""),""))</f>
        <v>0</v>
      </c>
      <c r="P149" s="8">
        <f>IF(OR(H149="",A149=""),"",IFERROR(H149/SUMIFS('Recipe Ingredients'!$H$5:$H$1204,'Recipe Ingredients'!$A$5:$A$1204,A149),""))</f>
        <v>0</v>
      </c>
      <c r="Q149" s="8">
        <f>IF(H149="","",COUNTIFS($H$5:$H$1204,"&gt;"&amp;H149)+1)</f>
        <v>0</v>
      </c>
      <c r="R149" s="8">
        <f>IF(B149="","",SUMIFS(Pantry!$C$5:$C$304,Pantry!$A$5:$A$304,B149))</f>
        <v>0</v>
      </c>
      <c r="S149" s="8">
        <f>IF(OR(B149="",C149=""),"",MAX(0,C149-R149))</f>
        <v>0</v>
      </c>
      <c r="T149" s="26"/>
      <c r="U149" s="8">
        <f>IF(OR(T149="",T149=0,G149=""),"",T149*G149)</f>
        <v>0</v>
      </c>
      <c r="V149" s="8">
        <f>IF(OR(S149="",T149="",T149=0),"",CEILING(S149/T149,1))</f>
        <v>0</v>
      </c>
      <c r="W149" s="27"/>
      <c r="X149" s="29"/>
      <c r="Y149" s="8">
        <f>IF(OR(C149="",X149=""),"",C149*(1+X149))</f>
        <v>0</v>
      </c>
      <c r="Z149" s="8">
        <f>IF(B149="","",IFERROR(INDEX(Ingredients!$O$5:$O$304,MATCH(B149,Ingredients!$A$5:$A$304,0)),""))</f>
        <v>0</v>
      </c>
      <c r="AA149" s="8">
        <f>IF(B149="","",IF(R149&gt;=C149,"In pantry","To buy"))</f>
        <v>0</v>
      </c>
      <c r="AB149" s="8">
        <f>IF(A149="","",COUNTIFS($A$5:A149,A149))</f>
        <v>0</v>
      </c>
      <c r="AC149" s="8">
        <f>IF(B149="","",IF(COUNTIFS('Dietary Filters'!$C$5:$C$104,B149)&gt;0,"Check","OK"))</f>
        <v>0</v>
      </c>
      <c r="AD149" s="25"/>
    </row>
    <row r="150" spans="1:30">
      <c r="A150" s="7"/>
      <c r="B150" s="7"/>
      <c r="C150" s="26"/>
      <c r="D150" s="27"/>
      <c r="E150" s="8">
        <f>IF(B150="","",IFERROR(INDEX(Ingredients!$B$5:$B$304,MATCH(B150,Ingredients!$A$5:$A$304,0)),""))</f>
        <v>0</v>
      </c>
      <c r="F150" s="8">
        <f>IF(B150="","",IFERROR(INDEX(Ingredients!$E$5:$E$304,MATCH(B150,Ingredients!$A$5:$A$304,0)),""))</f>
        <v>0</v>
      </c>
      <c r="G150" s="8">
        <f>IF(B150="","",IFERROR(INDEX(Ingredients!$D$5:$D$304,MATCH(B150,Ingredients!$A$5:$A$304,0)),""))</f>
        <v>0</v>
      </c>
      <c r="H150" s="8">
        <f>IF(OR(B150="",C150=""),"",IFERROR(C150*G150,""))</f>
        <v>0</v>
      </c>
      <c r="I150" s="8">
        <f>IF(A150="","",IFERROR(INDEX(Recipes!$D$5:$D$204,MATCH(A150,Recipes!$A$5:$A$204,0)),""))</f>
        <v>0</v>
      </c>
      <c r="J150" s="8">
        <f>IF(OR(H150="",I150="",I150=0),"",IFERROR(H150/I150,""))</f>
        <v>0</v>
      </c>
      <c r="K150" s="8">
        <f>IF(OR(B150="",C150=""),"",IFERROR(C150*IFERROR(INDEX(Ingredients!$H$5:$H$304,MATCH(B150,Ingredients!$A$5:$A$304,0)),""),""))</f>
        <v>0</v>
      </c>
      <c r="L150" s="8">
        <f>IF(OR(B150="",C150=""),"",IFERROR(C150*IFERROR(INDEX(Ingredients!$I$5:$I$304,MATCH(B150,Ingredients!$A$5:$A$304,0)),""),""))</f>
        <v>0</v>
      </c>
      <c r="M150" s="8">
        <f>IF(OR(B150="",C150=""),"",IFERROR(C150*IFERROR(INDEX(Ingredients!$J$5:$J$304,MATCH(B150,Ingredients!$A$5:$A$304,0)),""),""))</f>
        <v>0</v>
      </c>
      <c r="N150" s="8">
        <f>IF(OR(B150="",C150=""),"",IFERROR(C150*IFERROR(INDEX(Ingredients!$K$5:$K$304,MATCH(B150,Ingredients!$A$5:$A$304,0)),""),""))</f>
        <v>0</v>
      </c>
      <c r="O150" s="8">
        <f>IF(OR(B150="",C150=""),"",IFERROR(C150*IFERROR(INDEX(Ingredients!$L$5:$L$304,MATCH(B150,Ingredients!$A$5:$A$304,0)),""),""))</f>
        <v>0</v>
      </c>
      <c r="P150" s="8">
        <f>IF(OR(H150="",A150=""),"",IFERROR(H150/SUMIFS('Recipe Ingredients'!$H$5:$H$1204,'Recipe Ingredients'!$A$5:$A$1204,A150),""))</f>
        <v>0</v>
      </c>
      <c r="Q150" s="8">
        <f>IF(H150="","",COUNTIFS($H$5:$H$1204,"&gt;"&amp;H150)+1)</f>
        <v>0</v>
      </c>
      <c r="R150" s="8">
        <f>IF(B150="","",SUMIFS(Pantry!$C$5:$C$304,Pantry!$A$5:$A$304,B150))</f>
        <v>0</v>
      </c>
      <c r="S150" s="8">
        <f>IF(OR(B150="",C150=""),"",MAX(0,C150-R150))</f>
        <v>0</v>
      </c>
      <c r="T150" s="26"/>
      <c r="U150" s="8">
        <f>IF(OR(T150="",T150=0,G150=""),"",T150*G150)</f>
        <v>0</v>
      </c>
      <c r="V150" s="8">
        <f>IF(OR(S150="",T150="",T150=0),"",CEILING(S150/T150,1))</f>
        <v>0</v>
      </c>
      <c r="W150" s="27"/>
      <c r="X150" s="29"/>
      <c r="Y150" s="8">
        <f>IF(OR(C150="",X150=""),"",C150*(1+X150))</f>
        <v>0</v>
      </c>
      <c r="Z150" s="8">
        <f>IF(B150="","",IFERROR(INDEX(Ingredients!$O$5:$O$304,MATCH(B150,Ingredients!$A$5:$A$304,0)),""))</f>
        <v>0</v>
      </c>
      <c r="AA150" s="8">
        <f>IF(B150="","",IF(R150&gt;=C150,"In pantry","To buy"))</f>
        <v>0</v>
      </c>
      <c r="AB150" s="8">
        <f>IF(A150="","",COUNTIFS($A$5:A150,A150))</f>
        <v>0</v>
      </c>
      <c r="AC150" s="8">
        <f>IF(B150="","",IF(COUNTIFS('Dietary Filters'!$C$5:$C$104,B150)&gt;0,"Check","OK"))</f>
        <v>0</v>
      </c>
      <c r="AD150" s="25"/>
    </row>
    <row r="151" spans="1:30">
      <c r="A151" s="7"/>
      <c r="B151" s="7"/>
      <c r="C151" s="26"/>
      <c r="D151" s="27"/>
      <c r="E151" s="8">
        <f>IF(B151="","",IFERROR(INDEX(Ingredients!$B$5:$B$304,MATCH(B151,Ingredients!$A$5:$A$304,0)),""))</f>
        <v>0</v>
      </c>
      <c r="F151" s="8">
        <f>IF(B151="","",IFERROR(INDEX(Ingredients!$E$5:$E$304,MATCH(B151,Ingredients!$A$5:$A$304,0)),""))</f>
        <v>0</v>
      </c>
      <c r="G151" s="8">
        <f>IF(B151="","",IFERROR(INDEX(Ingredients!$D$5:$D$304,MATCH(B151,Ingredients!$A$5:$A$304,0)),""))</f>
        <v>0</v>
      </c>
      <c r="H151" s="8">
        <f>IF(OR(B151="",C151=""),"",IFERROR(C151*G151,""))</f>
        <v>0</v>
      </c>
      <c r="I151" s="8">
        <f>IF(A151="","",IFERROR(INDEX(Recipes!$D$5:$D$204,MATCH(A151,Recipes!$A$5:$A$204,0)),""))</f>
        <v>0</v>
      </c>
      <c r="J151" s="8">
        <f>IF(OR(H151="",I151="",I151=0),"",IFERROR(H151/I151,""))</f>
        <v>0</v>
      </c>
      <c r="K151" s="8">
        <f>IF(OR(B151="",C151=""),"",IFERROR(C151*IFERROR(INDEX(Ingredients!$H$5:$H$304,MATCH(B151,Ingredients!$A$5:$A$304,0)),""),""))</f>
        <v>0</v>
      </c>
      <c r="L151" s="8">
        <f>IF(OR(B151="",C151=""),"",IFERROR(C151*IFERROR(INDEX(Ingredients!$I$5:$I$304,MATCH(B151,Ingredients!$A$5:$A$304,0)),""),""))</f>
        <v>0</v>
      </c>
      <c r="M151" s="8">
        <f>IF(OR(B151="",C151=""),"",IFERROR(C151*IFERROR(INDEX(Ingredients!$J$5:$J$304,MATCH(B151,Ingredients!$A$5:$A$304,0)),""),""))</f>
        <v>0</v>
      </c>
      <c r="N151" s="8">
        <f>IF(OR(B151="",C151=""),"",IFERROR(C151*IFERROR(INDEX(Ingredients!$K$5:$K$304,MATCH(B151,Ingredients!$A$5:$A$304,0)),""),""))</f>
        <v>0</v>
      </c>
      <c r="O151" s="8">
        <f>IF(OR(B151="",C151=""),"",IFERROR(C151*IFERROR(INDEX(Ingredients!$L$5:$L$304,MATCH(B151,Ingredients!$A$5:$A$304,0)),""),""))</f>
        <v>0</v>
      </c>
      <c r="P151" s="8">
        <f>IF(OR(H151="",A151=""),"",IFERROR(H151/SUMIFS('Recipe Ingredients'!$H$5:$H$1204,'Recipe Ingredients'!$A$5:$A$1204,A151),""))</f>
        <v>0</v>
      </c>
      <c r="Q151" s="8">
        <f>IF(H151="","",COUNTIFS($H$5:$H$1204,"&gt;"&amp;H151)+1)</f>
        <v>0</v>
      </c>
      <c r="R151" s="8">
        <f>IF(B151="","",SUMIFS(Pantry!$C$5:$C$304,Pantry!$A$5:$A$304,B151))</f>
        <v>0</v>
      </c>
      <c r="S151" s="8">
        <f>IF(OR(B151="",C151=""),"",MAX(0,C151-R151))</f>
        <v>0</v>
      </c>
      <c r="T151" s="26"/>
      <c r="U151" s="8">
        <f>IF(OR(T151="",T151=0,G151=""),"",T151*G151)</f>
        <v>0</v>
      </c>
      <c r="V151" s="8">
        <f>IF(OR(S151="",T151="",T151=0),"",CEILING(S151/T151,1))</f>
        <v>0</v>
      </c>
      <c r="W151" s="27"/>
      <c r="X151" s="29"/>
      <c r="Y151" s="8">
        <f>IF(OR(C151="",X151=""),"",C151*(1+X151))</f>
        <v>0</v>
      </c>
      <c r="Z151" s="8">
        <f>IF(B151="","",IFERROR(INDEX(Ingredients!$O$5:$O$304,MATCH(B151,Ingredients!$A$5:$A$304,0)),""))</f>
        <v>0</v>
      </c>
      <c r="AA151" s="8">
        <f>IF(B151="","",IF(R151&gt;=C151,"In pantry","To buy"))</f>
        <v>0</v>
      </c>
      <c r="AB151" s="8">
        <f>IF(A151="","",COUNTIFS($A$5:A151,A151))</f>
        <v>0</v>
      </c>
      <c r="AC151" s="8">
        <f>IF(B151="","",IF(COUNTIFS('Dietary Filters'!$C$5:$C$104,B151)&gt;0,"Check","OK"))</f>
        <v>0</v>
      </c>
      <c r="AD151" s="25"/>
    </row>
    <row r="152" spans="1:30">
      <c r="A152" s="7"/>
      <c r="B152" s="7"/>
      <c r="C152" s="26"/>
      <c r="D152" s="27"/>
      <c r="E152" s="8">
        <f>IF(B152="","",IFERROR(INDEX(Ingredients!$B$5:$B$304,MATCH(B152,Ingredients!$A$5:$A$304,0)),""))</f>
        <v>0</v>
      </c>
      <c r="F152" s="8">
        <f>IF(B152="","",IFERROR(INDEX(Ingredients!$E$5:$E$304,MATCH(B152,Ingredients!$A$5:$A$304,0)),""))</f>
        <v>0</v>
      </c>
      <c r="G152" s="8">
        <f>IF(B152="","",IFERROR(INDEX(Ingredients!$D$5:$D$304,MATCH(B152,Ingredients!$A$5:$A$304,0)),""))</f>
        <v>0</v>
      </c>
      <c r="H152" s="8">
        <f>IF(OR(B152="",C152=""),"",IFERROR(C152*G152,""))</f>
        <v>0</v>
      </c>
      <c r="I152" s="8">
        <f>IF(A152="","",IFERROR(INDEX(Recipes!$D$5:$D$204,MATCH(A152,Recipes!$A$5:$A$204,0)),""))</f>
        <v>0</v>
      </c>
      <c r="J152" s="8">
        <f>IF(OR(H152="",I152="",I152=0),"",IFERROR(H152/I152,""))</f>
        <v>0</v>
      </c>
      <c r="K152" s="8">
        <f>IF(OR(B152="",C152=""),"",IFERROR(C152*IFERROR(INDEX(Ingredients!$H$5:$H$304,MATCH(B152,Ingredients!$A$5:$A$304,0)),""),""))</f>
        <v>0</v>
      </c>
      <c r="L152" s="8">
        <f>IF(OR(B152="",C152=""),"",IFERROR(C152*IFERROR(INDEX(Ingredients!$I$5:$I$304,MATCH(B152,Ingredients!$A$5:$A$304,0)),""),""))</f>
        <v>0</v>
      </c>
      <c r="M152" s="8">
        <f>IF(OR(B152="",C152=""),"",IFERROR(C152*IFERROR(INDEX(Ingredients!$J$5:$J$304,MATCH(B152,Ingredients!$A$5:$A$304,0)),""),""))</f>
        <v>0</v>
      </c>
      <c r="N152" s="8">
        <f>IF(OR(B152="",C152=""),"",IFERROR(C152*IFERROR(INDEX(Ingredients!$K$5:$K$304,MATCH(B152,Ingredients!$A$5:$A$304,0)),""),""))</f>
        <v>0</v>
      </c>
      <c r="O152" s="8">
        <f>IF(OR(B152="",C152=""),"",IFERROR(C152*IFERROR(INDEX(Ingredients!$L$5:$L$304,MATCH(B152,Ingredients!$A$5:$A$304,0)),""),""))</f>
        <v>0</v>
      </c>
      <c r="P152" s="8">
        <f>IF(OR(H152="",A152=""),"",IFERROR(H152/SUMIFS('Recipe Ingredients'!$H$5:$H$1204,'Recipe Ingredients'!$A$5:$A$1204,A152),""))</f>
        <v>0</v>
      </c>
      <c r="Q152" s="8">
        <f>IF(H152="","",COUNTIFS($H$5:$H$1204,"&gt;"&amp;H152)+1)</f>
        <v>0</v>
      </c>
      <c r="R152" s="8">
        <f>IF(B152="","",SUMIFS(Pantry!$C$5:$C$304,Pantry!$A$5:$A$304,B152))</f>
        <v>0</v>
      </c>
      <c r="S152" s="8">
        <f>IF(OR(B152="",C152=""),"",MAX(0,C152-R152))</f>
        <v>0</v>
      </c>
      <c r="T152" s="26"/>
      <c r="U152" s="8">
        <f>IF(OR(T152="",T152=0,G152=""),"",T152*G152)</f>
        <v>0</v>
      </c>
      <c r="V152" s="8">
        <f>IF(OR(S152="",T152="",T152=0),"",CEILING(S152/T152,1))</f>
        <v>0</v>
      </c>
      <c r="W152" s="27"/>
      <c r="X152" s="29"/>
      <c r="Y152" s="8">
        <f>IF(OR(C152="",X152=""),"",C152*(1+X152))</f>
        <v>0</v>
      </c>
      <c r="Z152" s="8">
        <f>IF(B152="","",IFERROR(INDEX(Ingredients!$O$5:$O$304,MATCH(B152,Ingredients!$A$5:$A$304,0)),""))</f>
        <v>0</v>
      </c>
      <c r="AA152" s="8">
        <f>IF(B152="","",IF(R152&gt;=C152,"In pantry","To buy"))</f>
        <v>0</v>
      </c>
      <c r="AB152" s="8">
        <f>IF(A152="","",COUNTIFS($A$5:A152,A152))</f>
        <v>0</v>
      </c>
      <c r="AC152" s="8">
        <f>IF(B152="","",IF(COUNTIFS('Dietary Filters'!$C$5:$C$104,B152)&gt;0,"Check","OK"))</f>
        <v>0</v>
      </c>
      <c r="AD152" s="25"/>
    </row>
    <row r="153" spans="1:30">
      <c r="A153" s="7"/>
      <c r="B153" s="7"/>
      <c r="C153" s="26"/>
      <c r="D153" s="27"/>
      <c r="E153" s="8">
        <f>IF(B153="","",IFERROR(INDEX(Ingredients!$B$5:$B$304,MATCH(B153,Ingredients!$A$5:$A$304,0)),""))</f>
        <v>0</v>
      </c>
      <c r="F153" s="8">
        <f>IF(B153="","",IFERROR(INDEX(Ingredients!$E$5:$E$304,MATCH(B153,Ingredients!$A$5:$A$304,0)),""))</f>
        <v>0</v>
      </c>
      <c r="G153" s="8">
        <f>IF(B153="","",IFERROR(INDEX(Ingredients!$D$5:$D$304,MATCH(B153,Ingredients!$A$5:$A$304,0)),""))</f>
        <v>0</v>
      </c>
      <c r="H153" s="8">
        <f>IF(OR(B153="",C153=""),"",IFERROR(C153*G153,""))</f>
        <v>0</v>
      </c>
      <c r="I153" s="8">
        <f>IF(A153="","",IFERROR(INDEX(Recipes!$D$5:$D$204,MATCH(A153,Recipes!$A$5:$A$204,0)),""))</f>
        <v>0</v>
      </c>
      <c r="J153" s="8">
        <f>IF(OR(H153="",I153="",I153=0),"",IFERROR(H153/I153,""))</f>
        <v>0</v>
      </c>
      <c r="K153" s="8">
        <f>IF(OR(B153="",C153=""),"",IFERROR(C153*IFERROR(INDEX(Ingredients!$H$5:$H$304,MATCH(B153,Ingredients!$A$5:$A$304,0)),""),""))</f>
        <v>0</v>
      </c>
      <c r="L153" s="8">
        <f>IF(OR(B153="",C153=""),"",IFERROR(C153*IFERROR(INDEX(Ingredients!$I$5:$I$304,MATCH(B153,Ingredients!$A$5:$A$304,0)),""),""))</f>
        <v>0</v>
      </c>
      <c r="M153" s="8">
        <f>IF(OR(B153="",C153=""),"",IFERROR(C153*IFERROR(INDEX(Ingredients!$J$5:$J$304,MATCH(B153,Ingredients!$A$5:$A$304,0)),""),""))</f>
        <v>0</v>
      </c>
      <c r="N153" s="8">
        <f>IF(OR(B153="",C153=""),"",IFERROR(C153*IFERROR(INDEX(Ingredients!$K$5:$K$304,MATCH(B153,Ingredients!$A$5:$A$304,0)),""),""))</f>
        <v>0</v>
      </c>
      <c r="O153" s="8">
        <f>IF(OR(B153="",C153=""),"",IFERROR(C153*IFERROR(INDEX(Ingredients!$L$5:$L$304,MATCH(B153,Ingredients!$A$5:$A$304,0)),""),""))</f>
        <v>0</v>
      </c>
      <c r="P153" s="8">
        <f>IF(OR(H153="",A153=""),"",IFERROR(H153/SUMIFS('Recipe Ingredients'!$H$5:$H$1204,'Recipe Ingredients'!$A$5:$A$1204,A153),""))</f>
        <v>0</v>
      </c>
      <c r="Q153" s="8">
        <f>IF(H153="","",COUNTIFS($H$5:$H$1204,"&gt;"&amp;H153)+1)</f>
        <v>0</v>
      </c>
      <c r="R153" s="8">
        <f>IF(B153="","",SUMIFS(Pantry!$C$5:$C$304,Pantry!$A$5:$A$304,B153))</f>
        <v>0</v>
      </c>
      <c r="S153" s="8">
        <f>IF(OR(B153="",C153=""),"",MAX(0,C153-R153))</f>
        <v>0</v>
      </c>
      <c r="T153" s="26"/>
      <c r="U153" s="8">
        <f>IF(OR(T153="",T153=0,G153=""),"",T153*G153)</f>
        <v>0</v>
      </c>
      <c r="V153" s="8">
        <f>IF(OR(S153="",T153="",T153=0),"",CEILING(S153/T153,1))</f>
        <v>0</v>
      </c>
      <c r="W153" s="27"/>
      <c r="X153" s="29"/>
      <c r="Y153" s="8">
        <f>IF(OR(C153="",X153=""),"",C153*(1+X153))</f>
        <v>0</v>
      </c>
      <c r="Z153" s="8">
        <f>IF(B153="","",IFERROR(INDEX(Ingredients!$O$5:$O$304,MATCH(B153,Ingredients!$A$5:$A$304,0)),""))</f>
        <v>0</v>
      </c>
      <c r="AA153" s="8">
        <f>IF(B153="","",IF(R153&gt;=C153,"In pantry","To buy"))</f>
        <v>0</v>
      </c>
      <c r="AB153" s="8">
        <f>IF(A153="","",COUNTIFS($A$5:A153,A153))</f>
        <v>0</v>
      </c>
      <c r="AC153" s="8">
        <f>IF(B153="","",IF(COUNTIFS('Dietary Filters'!$C$5:$C$104,B153)&gt;0,"Check","OK"))</f>
        <v>0</v>
      </c>
      <c r="AD153" s="25"/>
    </row>
    <row r="154" spans="1:30">
      <c r="A154" s="7"/>
      <c r="B154" s="7"/>
      <c r="C154" s="26"/>
      <c r="D154" s="27"/>
      <c r="E154" s="8">
        <f>IF(B154="","",IFERROR(INDEX(Ingredients!$B$5:$B$304,MATCH(B154,Ingredients!$A$5:$A$304,0)),""))</f>
        <v>0</v>
      </c>
      <c r="F154" s="8">
        <f>IF(B154="","",IFERROR(INDEX(Ingredients!$E$5:$E$304,MATCH(B154,Ingredients!$A$5:$A$304,0)),""))</f>
        <v>0</v>
      </c>
      <c r="G154" s="8">
        <f>IF(B154="","",IFERROR(INDEX(Ingredients!$D$5:$D$304,MATCH(B154,Ingredients!$A$5:$A$304,0)),""))</f>
        <v>0</v>
      </c>
      <c r="H154" s="8">
        <f>IF(OR(B154="",C154=""),"",IFERROR(C154*G154,""))</f>
        <v>0</v>
      </c>
      <c r="I154" s="8">
        <f>IF(A154="","",IFERROR(INDEX(Recipes!$D$5:$D$204,MATCH(A154,Recipes!$A$5:$A$204,0)),""))</f>
        <v>0</v>
      </c>
      <c r="J154" s="8">
        <f>IF(OR(H154="",I154="",I154=0),"",IFERROR(H154/I154,""))</f>
        <v>0</v>
      </c>
      <c r="K154" s="8">
        <f>IF(OR(B154="",C154=""),"",IFERROR(C154*IFERROR(INDEX(Ingredients!$H$5:$H$304,MATCH(B154,Ingredients!$A$5:$A$304,0)),""),""))</f>
        <v>0</v>
      </c>
      <c r="L154" s="8">
        <f>IF(OR(B154="",C154=""),"",IFERROR(C154*IFERROR(INDEX(Ingredients!$I$5:$I$304,MATCH(B154,Ingredients!$A$5:$A$304,0)),""),""))</f>
        <v>0</v>
      </c>
      <c r="M154" s="8">
        <f>IF(OR(B154="",C154=""),"",IFERROR(C154*IFERROR(INDEX(Ingredients!$J$5:$J$304,MATCH(B154,Ingredients!$A$5:$A$304,0)),""),""))</f>
        <v>0</v>
      </c>
      <c r="N154" s="8">
        <f>IF(OR(B154="",C154=""),"",IFERROR(C154*IFERROR(INDEX(Ingredients!$K$5:$K$304,MATCH(B154,Ingredients!$A$5:$A$304,0)),""),""))</f>
        <v>0</v>
      </c>
      <c r="O154" s="8">
        <f>IF(OR(B154="",C154=""),"",IFERROR(C154*IFERROR(INDEX(Ingredients!$L$5:$L$304,MATCH(B154,Ingredients!$A$5:$A$304,0)),""),""))</f>
        <v>0</v>
      </c>
      <c r="P154" s="8">
        <f>IF(OR(H154="",A154=""),"",IFERROR(H154/SUMIFS('Recipe Ingredients'!$H$5:$H$1204,'Recipe Ingredients'!$A$5:$A$1204,A154),""))</f>
        <v>0</v>
      </c>
      <c r="Q154" s="8">
        <f>IF(H154="","",COUNTIFS($H$5:$H$1204,"&gt;"&amp;H154)+1)</f>
        <v>0</v>
      </c>
      <c r="R154" s="8">
        <f>IF(B154="","",SUMIFS(Pantry!$C$5:$C$304,Pantry!$A$5:$A$304,B154))</f>
        <v>0</v>
      </c>
      <c r="S154" s="8">
        <f>IF(OR(B154="",C154=""),"",MAX(0,C154-R154))</f>
        <v>0</v>
      </c>
      <c r="T154" s="26"/>
      <c r="U154" s="8">
        <f>IF(OR(T154="",T154=0,G154=""),"",T154*G154)</f>
        <v>0</v>
      </c>
      <c r="V154" s="8">
        <f>IF(OR(S154="",T154="",T154=0),"",CEILING(S154/T154,1))</f>
        <v>0</v>
      </c>
      <c r="W154" s="27"/>
      <c r="X154" s="29"/>
      <c r="Y154" s="8">
        <f>IF(OR(C154="",X154=""),"",C154*(1+X154))</f>
        <v>0</v>
      </c>
      <c r="Z154" s="8">
        <f>IF(B154="","",IFERROR(INDEX(Ingredients!$O$5:$O$304,MATCH(B154,Ingredients!$A$5:$A$304,0)),""))</f>
        <v>0</v>
      </c>
      <c r="AA154" s="8">
        <f>IF(B154="","",IF(R154&gt;=C154,"In pantry","To buy"))</f>
        <v>0</v>
      </c>
      <c r="AB154" s="8">
        <f>IF(A154="","",COUNTIFS($A$5:A154,A154))</f>
        <v>0</v>
      </c>
      <c r="AC154" s="8">
        <f>IF(B154="","",IF(COUNTIFS('Dietary Filters'!$C$5:$C$104,B154)&gt;0,"Check","OK"))</f>
        <v>0</v>
      </c>
      <c r="AD154" s="25"/>
    </row>
    <row r="155" spans="1:30">
      <c r="A155" s="7"/>
      <c r="B155" s="7"/>
      <c r="C155" s="26"/>
      <c r="D155" s="27"/>
      <c r="E155" s="8">
        <f>IF(B155="","",IFERROR(INDEX(Ingredients!$B$5:$B$304,MATCH(B155,Ingredients!$A$5:$A$304,0)),""))</f>
        <v>0</v>
      </c>
      <c r="F155" s="8">
        <f>IF(B155="","",IFERROR(INDEX(Ingredients!$E$5:$E$304,MATCH(B155,Ingredients!$A$5:$A$304,0)),""))</f>
        <v>0</v>
      </c>
      <c r="G155" s="8">
        <f>IF(B155="","",IFERROR(INDEX(Ingredients!$D$5:$D$304,MATCH(B155,Ingredients!$A$5:$A$304,0)),""))</f>
        <v>0</v>
      </c>
      <c r="H155" s="8">
        <f>IF(OR(B155="",C155=""),"",IFERROR(C155*G155,""))</f>
        <v>0</v>
      </c>
      <c r="I155" s="8">
        <f>IF(A155="","",IFERROR(INDEX(Recipes!$D$5:$D$204,MATCH(A155,Recipes!$A$5:$A$204,0)),""))</f>
        <v>0</v>
      </c>
      <c r="J155" s="8">
        <f>IF(OR(H155="",I155="",I155=0),"",IFERROR(H155/I155,""))</f>
        <v>0</v>
      </c>
      <c r="K155" s="8">
        <f>IF(OR(B155="",C155=""),"",IFERROR(C155*IFERROR(INDEX(Ingredients!$H$5:$H$304,MATCH(B155,Ingredients!$A$5:$A$304,0)),""),""))</f>
        <v>0</v>
      </c>
      <c r="L155" s="8">
        <f>IF(OR(B155="",C155=""),"",IFERROR(C155*IFERROR(INDEX(Ingredients!$I$5:$I$304,MATCH(B155,Ingredients!$A$5:$A$304,0)),""),""))</f>
        <v>0</v>
      </c>
      <c r="M155" s="8">
        <f>IF(OR(B155="",C155=""),"",IFERROR(C155*IFERROR(INDEX(Ingredients!$J$5:$J$304,MATCH(B155,Ingredients!$A$5:$A$304,0)),""),""))</f>
        <v>0</v>
      </c>
      <c r="N155" s="8">
        <f>IF(OR(B155="",C155=""),"",IFERROR(C155*IFERROR(INDEX(Ingredients!$K$5:$K$304,MATCH(B155,Ingredients!$A$5:$A$304,0)),""),""))</f>
        <v>0</v>
      </c>
      <c r="O155" s="8">
        <f>IF(OR(B155="",C155=""),"",IFERROR(C155*IFERROR(INDEX(Ingredients!$L$5:$L$304,MATCH(B155,Ingredients!$A$5:$A$304,0)),""),""))</f>
        <v>0</v>
      </c>
      <c r="P155" s="8">
        <f>IF(OR(H155="",A155=""),"",IFERROR(H155/SUMIFS('Recipe Ingredients'!$H$5:$H$1204,'Recipe Ingredients'!$A$5:$A$1204,A155),""))</f>
        <v>0</v>
      </c>
      <c r="Q155" s="8">
        <f>IF(H155="","",COUNTIFS($H$5:$H$1204,"&gt;"&amp;H155)+1)</f>
        <v>0</v>
      </c>
      <c r="R155" s="8">
        <f>IF(B155="","",SUMIFS(Pantry!$C$5:$C$304,Pantry!$A$5:$A$304,B155))</f>
        <v>0</v>
      </c>
      <c r="S155" s="8">
        <f>IF(OR(B155="",C155=""),"",MAX(0,C155-R155))</f>
        <v>0</v>
      </c>
      <c r="T155" s="26"/>
      <c r="U155" s="8">
        <f>IF(OR(T155="",T155=0,G155=""),"",T155*G155)</f>
        <v>0</v>
      </c>
      <c r="V155" s="8">
        <f>IF(OR(S155="",T155="",T155=0),"",CEILING(S155/T155,1))</f>
        <v>0</v>
      </c>
      <c r="W155" s="27"/>
      <c r="X155" s="29"/>
      <c r="Y155" s="8">
        <f>IF(OR(C155="",X155=""),"",C155*(1+X155))</f>
        <v>0</v>
      </c>
      <c r="Z155" s="8">
        <f>IF(B155="","",IFERROR(INDEX(Ingredients!$O$5:$O$304,MATCH(B155,Ingredients!$A$5:$A$304,0)),""))</f>
        <v>0</v>
      </c>
      <c r="AA155" s="8">
        <f>IF(B155="","",IF(R155&gt;=C155,"In pantry","To buy"))</f>
        <v>0</v>
      </c>
      <c r="AB155" s="8">
        <f>IF(A155="","",COUNTIFS($A$5:A155,A155))</f>
        <v>0</v>
      </c>
      <c r="AC155" s="8">
        <f>IF(B155="","",IF(COUNTIFS('Dietary Filters'!$C$5:$C$104,B155)&gt;0,"Check","OK"))</f>
        <v>0</v>
      </c>
      <c r="AD155" s="25"/>
    </row>
    <row r="156" spans="1:30">
      <c r="A156" s="7"/>
      <c r="B156" s="7"/>
      <c r="C156" s="26"/>
      <c r="D156" s="27"/>
      <c r="E156" s="8">
        <f>IF(B156="","",IFERROR(INDEX(Ingredients!$B$5:$B$304,MATCH(B156,Ingredients!$A$5:$A$304,0)),""))</f>
        <v>0</v>
      </c>
      <c r="F156" s="8">
        <f>IF(B156="","",IFERROR(INDEX(Ingredients!$E$5:$E$304,MATCH(B156,Ingredients!$A$5:$A$304,0)),""))</f>
        <v>0</v>
      </c>
      <c r="G156" s="8">
        <f>IF(B156="","",IFERROR(INDEX(Ingredients!$D$5:$D$304,MATCH(B156,Ingredients!$A$5:$A$304,0)),""))</f>
        <v>0</v>
      </c>
      <c r="H156" s="8">
        <f>IF(OR(B156="",C156=""),"",IFERROR(C156*G156,""))</f>
        <v>0</v>
      </c>
      <c r="I156" s="8">
        <f>IF(A156="","",IFERROR(INDEX(Recipes!$D$5:$D$204,MATCH(A156,Recipes!$A$5:$A$204,0)),""))</f>
        <v>0</v>
      </c>
      <c r="J156" s="8">
        <f>IF(OR(H156="",I156="",I156=0),"",IFERROR(H156/I156,""))</f>
        <v>0</v>
      </c>
      <c r="K156" s="8">
        <f>IF(OR(B156="",C156=""),"",IFERROR(C156*IFERROR(INDEX(Ingredients!$H$5:$H$304,MATCH(B156,Ingredients!$A$5:$A$304,0)),""),""))</f>
        <v>0</v>
      </c>
      <c r="L156" s="8">
        <f>IF(OR(B156="",C156=""),"",IFERROR(C156*IFERROR(INDEX(Ingredients!$I$5:$I$304,MATCH(B156,Ingredients!$A$5:$A$304,0)),""),""))</f>
        <v>0</v>
      </c>
      <c r="M156" s="8">
        <f>IF(OR(B156="",C156=""),"",IFERROR(C156*IFERROR(INDEX(Ingredients!$J$5:$J$304,MATCH(B156,Ingredients!$A$5:$A$304,0)),""),""))</f>
        <v>0</v>
      </c>
      <c r="N156" s="8">
        <f>IF(OR(B156="",C156=""),"",IFERROR(C156*IFERROR(INDEX(Ingredients!$K$5:$K$304,MATCH(B156,Ingredients!$A$5:$A$304,0)),""),""))</f>
        <v>0</v>
      </c>
      <c r="O156" s="8">
        <f>IF(OR(B156="",C156=""),"",IFERROR(C156*IFERROR(INDEX(Ingredients!$L$5:$L$304,MATCH(B156,Ingredients!$A$5:$A$304,0)),""),""))</f>
        <v>0</v>
      </c>
      <c r="P156" s="8">
        <f>IF(OR(H156="",A156=""),"",IFERROR(H156/SUMIFS('Recipe Ingredients'!$H$5:$H$1204,'Recipe Ingredients'!$A$5:$A$1204,A156),""))</f>
        <v>0</v>
      </c>
      <c r="Q156" s="8">
        <f>IF(H156="","",COUNTIFS($H$5:$H$1204,"&gt;"&amp;H156)+1)</f>
        <v>0</v>
      </c>
      <c r="R156" s="8">
        <f>IF(B156="","",SUMIFS(Pantry!$C$5:$C$304,Pantry!$A$5:$A$304,B156))</f>
        <v>0</v>
      </c>
      <c r="S156" s="8">
        <f>IF(OR(B156="",C156=""),"",MAX(0,C156-R156))</f>
        <v>0</v>
      </c>
      <c r="T156" s="26"/>
      <c r="U156" s="8">
        <f>IF(OR(T156="",T156=0,G156=""),"",T156*G156)</f>
        <v>0</v>
      </c>
      <c r="V156" s="8">
        <f>IF(OR(S156="",T156="",T156=0),"",CEILING(S156/T156,1))</f>
        <v>0</v>
      </c>
      <c r="W156" s="27"/>
      <c r="X156" s="29"/>
      <c r="Y156" s="8">
        <f>IF(OR(C156="",X156=""),"",C156*(1+X156))</f>
        <v>0</v>
      </c>
      <c r="Z156" s="8">
        <f>IF(B156="","",IFERROR(INDEX(Ingredients!$O$5:$O$304,MATCH(B156,Ingredients!$A$5:$A$304,0)),""))</f>
        <v>0</v>
      </c>
      <c r="AA156" s="8">
        <f>IF(B156="","",IF(R156&gt;=C156,"In pantry","To buy"))</f>
        <v>0</v>
      </c>
      <c r="AB156" s="8">
        <f>IF(A156="","",COUNTIFS($A$5:A156,A156))</f>
        <v>0</v>
      </c>
      <c r="AC156" s="8">
        <f>IF(B156="","",IF(COUNTIFS('Dietary Filters'!$C$5:$C$104,B156)&gt;0,"Check","OK"))</f>
        <v>0</v>
      </c>
      <c r="AD156" s="25"/>
    </row>
    <row r="157" spans="1:30">
      <c r="A157" s="7"/>
      <c r="B157" s="7"/>
      <c r="C157" s="26"/>
      <c r="D157" s="27"/>
      <c r="E157" s="8">
        <f>IF(B157="","",IFERROR(INDEX(Ingredients!$B$5:$B$304,MATCH(B157,Ingredients!$A$5:$A$304,0)),""))</f>
        <v>0</v>
      </c>
      <c r="F157" s="8">
        <f>IF(B157="","",IFERROR(INDEX(Ingredients!$E$5:$E$304,MATCH(B157,Ingredients!$A$5:$A$304,0)),""))</f>
        <v>0</v>
      </c>
      <c r="G157" s="8">
        <f>IF(B157="","",IFERROR(INDEX(Ingredients!$D$5:$D$304,MATCH(B157,Ingredients!$A$5:$A$304,0)),""))</f>
        <v>0</v>
      </c>
      <c r="H157" s="8">
        <f>IF(OR(B157="",C157=""),"",IFERROR(C157*G157,""))</f>
        <v>0</v>
      </c>
      <c r="I157" s="8">
        <f>IF(A157="","",IFERROR(INDEX(Recipes!$D$5:$D$204,MATCH(A157,Recipes!$A$5:$A$204,0)),""))</f>
        <v>0</v>
      </c>
      <c r="J157" s="8">
        <f>IF(OR(H157="",I157="",I157=0),"",IFERROR(H157/I157,""))</f>
        <v>0</v>
      </c>
      <c r="K157" s="8">
        <f>IF(OR(B157="",C157=""),"",IFERROR(C157*IFERROR(INDEX(Ingredients!$H$5:$H$304,MATCH(B157,Ingredients!$A$5:$A$304,0)),""),""))</f>
        <v>0</v>
      </c>
      <c r="L157" s="8">
        <f>IF(OR(B157="",C157=""),"",IFERROR(C157*IFERROR(INDEX(Ingredients!$I$5:$I$304,MATCH(B157,Ingredients!$A$5:$A$304,0)),""),""))</f>
        <v>0</v>
      </c>
      <c r="M157" s="8">
        <f>IF(OR(B157="",C157=""),"",IFERROR(C157*IFERROR(INDEX(Ingredients!$J$5:$J$304,MATCH(B157,Ingredients!$A$5:$A$304,0)),""),""))</f>
        <v>0</v>
      </c>
      <c r="N157" s="8">
        <f>IF(OR(B157="",C157=""),"",IFERROR(C157*IFERROR(INDEX(Ingredients!$K$5:$K$304,MATCH(B157,Ingredients!$A$5:$A$304,0)),""),""))</f>
        <v>0</v>
      </c>
      <c r="O157" s="8">
        <f>IF(OR(B157="",C157=""),"",IFERROR(C157*IFERROR(INDEX(Ingredients!$L$5:$L$304,MATCH(B157,Ingredients!$A$5:$A$304,0)),""),""))</f>
        <v>0</v>
      </c>
      <c r="P157" s="8">
        <f>IF(OR(H157="",A157=""),"",IFERROR(H157/SUMIFS('Recipe Ingredients'!$H$5:$H$1204,'Recipe Ingredients'!$A$5:$A$1204,A157),""))</f>
        <v>0</v>
      </c>
      <c r="Q157" s="8">
        <f>IF(H157="","",COUNTIFS($H$5:$H$1204,"&gt;"&amp;H157)+1)</f>
        <v>0</v>
      </c>
      <c r="R157" s="8">
        <f>IF(B157="","",SUMIFS(Pantry!$C$5:$C$304,Pantry!$A$5:$A$304,B157))</f>
        <v>0</v>
      </c>
      <c r="S157" s="8">
        <f>IF(OR(B157="",C157=""),"",MAX(0,C157-R157))</f>
        <v>0</v>
      </c>
      <c r="T157" s="26"/>
      <c r="U157" s="8">
        <f>IF(OR(T157="",T157=0,G157=""),"",T157*G157)</f>
        <v>0</v>
      </c>
      <c r="V157" s="8">
        <f>IF(OR(S157="",T157="",T157=0),"",CEILING(S157/T157,1))</f>
        <v>0</v>
      </c>
      <c r="W157" s="27"/>
      <c r="X157" s="29"/>
      <c r="Y157" s="8">
        <f>IF(OR(C157="",X157=""),"",C157*(1+X157))</f>
        <v>0</v>
      </c>
      <c r="Z157" s="8">
        <f>IF(B157="","",IFERROR(INDEX(Ingredients!$O$5:$O$304,MATCH(B157,Ingredients!$A$5:$A$304,0)),""))</f>
        <v>0</v>
      </c>
      <c r="AA157" s="8">
        <f>IF(B157="","",IF(R157&gt;=C157,"In pantry","To buy"))</f>
        <v>0</v>
      </c>
      <c r="AB157" s="8">
        <f>IF(A157="","",COUNTIFS($A$5:A157,A157))</f>
        <v>0</v>
      </c>
      <c r="AC157" s="8">
        <f>IF(B157="","",IF(COUNTIFS('Dietary Filters'!$C$5:$C$104,B157)&gt;0,"Check","OK"))</f>
        <v>0</v>
      </c>
      <c r="AD157" s="25"/>
    </row>
    <row r="158" spans="1:30">
      <c r="A158" s="7"/>
      <c r="B158" s="7"/>
      <c r="C158" s="26"/>
      <c r="D158" s="27"/>
      <c r="E158" s="8">
        <f>IF(B158="","",IFERROR(INDEX(Ingredients!$B$5:$B$304,MATCH(B158,Ingredients!$A$5:$A$304,0)),""))</f>
        <v>0</v>
      </c>
      <c r="F158" s="8">
        <f>IF(B158="","",IFERROR(INDEX(Ingredients!$E$5:$E$304,MATCH(B158,Ingredients!$A$5:$A$304,0)),""))</f>
        <v>0</v>
      </c>
      <c r="G158" s="8">
        <f>IF(B158="","",IFERROR(INDEX(Ingredients!$D$5:$D$304,MATCH(B158,Ingredients!$A$5:$A$304,0)),""))</f>
        <v>0</v>
      </c>
      <c r="H158" s="8">
        <f>IF(OR(B158="",C158=""),"",IFERROR(C158*G158,""))</f>
        <v>0</v>
      </c>
      <c r="I158" s="8">
        <f>IF(A158="","",IFERROR(INDEX(Recipes!$D$5:$D$204,MATCH(A158,Recipes!$A$5:$A$204,0)),""))</f>
        <v>0</v>
      </c>
      <c r="J158" s="8">
        <f>IF(OR(H158="",I158="",I158=0),"",IFERROR(H158/I158,""))</f>
        <v>0</v>
      </c>
      <c r="K158" s="8">
        <f>IF(OR(B158="",C158=""),"",IFERROR(C158*IFERROR(INDEX(Ingredients!$H$5:$H$304,MATCH(B158,Ingredients!$A$5:$A$304,0)),""),""))</f>
        <v>0</v>
      </c>
      <c r="L158" s="8">
        <f>IF(OR(B158="",C158=""),"",IFERROR(C158*IFERROR(INDEX(Ingredients!$I$5:$I$304,MATCH(B158,Ingredients!$A$5:$A$304,0)),""),""))</f>
        <v>0</v>
      </c>
      <c r="M158" s="8">
        <f>IF(OR(B158="",C158=""),"",IFERROR(C158*IFERROR(INDEX(Ingredients!$J$5:$J$304,MATCH(B158,Ingredients!$A$5:$A$304,0)),""),""))</f>
        <v>0</v>
      </c>
      <c r="N158" s="8">
        <f>IF(OR(B158="",C158=""),"",IFERROR(C158*IFERROR(INDEX(Ingredients!$K$5:$K$304,MATCH(B158,Ingredients!$A$5:$A$304,0)),""),""))</f>
        <v>0</v>
      </c>
      <c r="O158" s="8">
        <f>IF(OR(B158="",C158=""),"",IFERROR(C158*IFERROR(INDEX(Ingredients!$L$5:$L$304,MATCH(B158,Ingredients!$A$5:$A$304,0)),""),""))</f>
        <v>0</v>
      </c>
      <c r="P158" s="8">
        <f>IF(OR(H158="",A158=""),"",IFERROR(H158/SUMIFS('Recipe Ingredients'!$H$5:$H$1204,'Recipe Ingredients'!$A$5:$A$1204,A158),""))</f>
        <v>0</v>
      </c>
      <c r="Q158" s="8">
        <f>IF(H158="","",COUNTIFS($H$5:$H$1204,"&gt;"&amp;H158)+1)</f>
        <v>0</v>
      </c>
      <c r="R158" s="8">
        <f>IF(B158="","",SUMIFS(Pantry!$C$5:$C$304,Pantry!$A$5:$A$304,B158))</f>
        <v>0</v>
      </c>
      <c r="S158" s="8">
        <f>IF(OR(B158="",C158=""),"",MAX(0,C158-R158))</f>
        <v>0</v>
      </c>
      <c r="T158" s="26"/>
      <c r="U158" s="8">
        <f>IF(OR(T158="",T158=0,G158=""),"",T158*G158)</f>
        <v>0</v>
      </c>
      <c r="V158" s="8">
        <f>IF(OR(S158="",T158="",T158=0),"",CEILING(S158/T158,1))</f>
        <v>0</v>
      </c>
      <c r="W158" s="27"/>
      <c r="X158" s="29"/>
      <c r="Y158" s="8">
        <f>IF(OR(C158="",X158=""),"",C158*(1+X158))</f>
        <v>0</v>
      </c>
      <c r="Z158" s="8">
        <f>IF(B158="","",IFERROR(INDEX(Ingredients!$O$5:$O$304,MATCH(B158,Ingredients!$A$5:$A$304,0)),""))</f>
        <v>0</v>
      </c>
      <c r="AA158" s="8">
        <f>IF(B158="","",IF(R158&gt;=C158,"In pantry","To buy"))</f>
        <v>0</v>
      </c>
      <c r="AB158" s="8">
        <f>IF(A158="","",COUNTIFS($A$5:A158,A158))</f>
        <v>0</v>
      </c>
      <c r="AC158" s="8">
        <f>IF(B158="","",IF(COUNTIFS('Dietary Filters'!$C$5:$C$104,B158)&gt;0,"Check","OK"))</f>
        <v>0</v>
      </c>
      <c r="AD158" s="25"/>
    </row>
    <row r="159" spans="1:30">
      <c r="A159" s="7"/>
      <c r="B159" s="7"/>
      <c r="C159" s="26"/>
      <c r="D159" s="27"/>
      <c r="E159" s="8">
        <f>IF(B159="","",IFERROR(INDEX(Ingredients!$B$5:$B$304,MATCH(B159,Ingredients!$A$5:$A$304,0)),""))</f>
        <v>0</v>
      </c>
      <c r="F159" s="8">
        <f>IF(B159="","",IFERROR(INDEX(Ingredients!$E$5:$E$304,MATCH(B159,Ingredients!$A$5:$A$304,0)),""))</f>
        <v>0</v>
      </c>
      <c r="G159" s="8">
        <f>IF(B159="","",IFERROR(INDEX(Ingredients!$D$5:$D$304,MATCH(B159,Ingredients!$A$5:$A$304,0)),""))</f>
        <v>0</v>
      </c>
      <c r="H159" s="8">
        <f>IF(OR(B159="",C159=""),"",IFERROR(C159*G159,""))</f>
        <v>0</v>
      </c>
      <c r="I159" s="8">
        <f>IF(A159="","",IFERROR(INDEX(Recipes!$D$5:$D$204,MATCH(A159,Recipes!$A$5:$A$204,0)),""))</f>
        <v>0</v>
      </c>
      <c r="J159" s="8">
        <f>IF(OR(H159="",I159="",I159=0),"",IFERROR(H159/I159,""))</f>
        <v>0</v>
      </c>
      <c r="K159" s="8">
        <f>IF(OR(B159="",C159=""),"",IFERROR(C159*IFERROR(INDEX(Ingredients!$H$5:$H$304,MATCH(B159,Ingredients!$A$5:$A$304,0)),""),""))</f>
        <v>0</v>
      </c>
      <c r="L159" s="8">
        <f>IF(OR(B159="",C159=""),"",IFERROR(C159*IFERROR(INDEX(Ingredients!$I$5:$I$304,MATCH(B159,Ingredients!$A$5:$A$304,0)),""),""))</f>
        <v>0</v>
      </c>
      <c r="M159" s="8">
        <f>IF(OR(B159="",C159=""),"",IFERROR(C159*IFERROR(INDEX(Ingredients!$J$5:$J$304,MATCH(B159,Ingredients!$A$5:$A$304,0)),""),""))</f>
        <v>0</v>
      </c>
      <c r="N159" s="8">
        <f>IF(OR(B159="",C159=""),"",IFERROR(C159*IFERROR(INDEX(Ingredients!$K$5:$K$304,MATCH(B159,Ingredients!$A$5:$A$304,0)),""),""))</f>
        <v>0</v>
      </c>
      <c r="O159" s="8">
        <f>IF(OR(B159="",C159=""),"",IFERROR(C159*IFERROR(INDEX(Ingredients!$L$5:$L$304,MATCH(B159,Ingredients!$A$5:$A$304,0)),""),""))</f>
        <v>0</v>
      </c>
      <c r="P159" s="8">
        <f>IF(OR(H159="",A159=""),"",IFERROR(H159/SUMIFS('Recipe Ingredients'!$H$5:$H$1204,'Recipe Ingredients'!$A$5:$A$1204,A159),""))</f>
        <v>0</v>
      </c>
      <c r="Q159" s="8">
        <f>IF(H159="","",COUNTIFS($H$5:$H$1204,"&gt;"&amp;H159)+1)</f>
        <v>0</v>
      </c>
      <c r="R159" s="8">
        <f>IF(B159="","",SUMIFS(Pantry!$C$5:$C$304,Pantry!$A$5:$A$304,B159))</f>
        <v>0</v>
      </c>
      <c r="S159" s="8">
        <f>IF(OR(B159="",C159=""),"",MAX(0,C159-R159))</f>
        <v>0</v>
      </c>
      <c r="T159" s="26"/>
      <c r="U159" s="8">
        <f>IF(OR(T159="",T159=0,G159=""),"",T159*G159)</f>
        <v>0</v>
      </c>
      <c r="V159" s="8">
        <f>IF(OR(S159="",T159="",T159=0),"",CEILING(S159/T159,1))</f>
        <v>0</v>
      </c>
      <c r="W159" s="27"/>
      <c r="X159" s="29"/>
      <c r="Y159" s="8">
        <f>IF(OR(C159="",X159=""),"",C159*(1+X159))</f>
        <v>0</v>
      </c>
      <c r="Z159" s="8">
        <f>IF(B159="","",IFERROR(INDEX(Ingredients!$O$5:$O$304,MATCH(B159,Ingredients!$A$5:$A$304,0)),""))</f>
        <v>0</v>
      </c>
      <c r="AA159" s="8">
        <f>IF(B159="","",IF(R159&gt;=C159,"In pantry","To buy"))</f>
        <v>0</v>
      </c>
      <c r="AB159" s="8">
        <f>IF(A159="","",COUNTIFS($A$5:A159,A159))</f>
        <v>0</v>
      </c>
      <c r="AC159" s="8">
        <f>IF(B159="","",IF(COUNTIFS('Dietary Filters'!$C$5:$C$104,B159)&gt;0,"Check","OK"))</f>
        <v>0</v>
      </c>
      <c r="AD159" s="25"/>
    </row>
    <row r="160" spans="1:30">
      <c r="A160" s="7"/>
      <c r="B160" s="7"/>
      <c r="C160" s="26"/>
      <c r="D160" s="27"/>
      <c r="E160" s="8">
        <f>IF(B160="","",IFERROR(INDEX(Ingredients!$B$5:$B$304,MATCH(B160,Ingredients!$A$5:$A$304,0)),""))</f>
        <v>0</v>
      </c>
      <c r="F160" s="8">
        <f>IF(B160="","",IFERROR(INDEX(Ingredients!$E$5:$E$304,MATCH(B160,Ingredients!$A$5:$A$304,0)),""))</f>
        <v>0</v>
      </c>
      <c r="G160" s="8">
        <f>IF(B160="","",IFERROR(INDEX(Ingredients!$D$5:$D$304,MATCH(B160,Ingredients!$A$5:$A$304,0)),""))</f>
        <v>0</v>
      </c>
      <c r="H160" s="8">
        <f>IF(OR(B160="",C160=""),"",IFERROR(C160*G160,""))</f>
        <v>0</v>
      </c>
      <c r="I160" s="8">
        <f>IF(A160="","",IFERROR(INDEX(Recipes!$D$5:$D$204,MATCH(A160,Recipes!$A$5:$A$204,0)),""))</f>
        <v>0</v>
      </c>
      <c r="J160" s="8">
        <f>IF(OR(H160="",I160="",I160=0),"",IFERROR(H160/I160,""))</f>
        <v>0</v>
      </c>
      <c r="K160" s="8">
        <f>IF(OR(B160="",C160=""),"",IFERROR(C160*IFERROR(INDEX(Ingredients!$H$5:$H$304,MATCH(B160,Ingredients!$A$5:$A$304,0)),""),""))</f>
        <v>0</v>
      </c>
      <c r="L160" s="8">
        <f>IF(OR(B160="",C160=""),"",IFERROR(C160*IFERROR(INDEX(Ingredients!$I$5:$I$304,MATCH(B160,Ingredients!$A$5:$A$304,0)),""),""))</f>
        <v>0</v>
      </c>
      <c r="M160" s="8">
        <f>IF(OR(B160="",C160=""),"",IFERROR(C160*IFERROR(INDEX(Ingredients!$J$5:$J$304,MATCH(B160,Ingredients!$A$5:$A$304,0)),""),""))</f>
        <v>0</v>
      </c>
      <c r="N160" s="8">
        <f>IF(OR(B160="",C160=""),"",IFERROR(C160*IFERROR(INDEX(Ingredients!$K$5:$K$304,MATCH(B160,Ingredients!$A$5:$A$304,0)),""),""))</f>
        <v>0</v>
      </c>
      <c r="O160" s="8">
        <f>IF(OR(B160="",C160=""),"",IFERROR(C160*IFERROR(INDEX(Ingredients!$L$5:$L$304,MATCH(B160,Ingredients!$A$5:$A$304,0)),""),""))</f>
        <v>0</v>
      </c>
      <c r="P160" s="8">
        <f>IF(OR(H160="",A160=""),"",IFERROR(H160/SUMIFS('Recipe Ingredients'!$H$5:$H$1204,'Recipe Ingredients'!$A$5:$A$1204,A160),""))</f>
        <v>0</v>
      </c>
      <c r="Q160" s="8">
        <f>IF(H160="","",COUNTIFS($H$5:$H$1204,"&gt;"&amp;H160)+1)</f>
        <v>0</v>
      </c>
      <c r="R160" s="8">
        <f>IF(B160="","",SUMIFS(Pantry!$C$5:$C$304,Pantry!$A$5:$A$304,B160))</f>
        <v>0</v>
      </c>
      <c r="S160" s="8">
        <f>IF(OR(B160="",C160=""),"",MAX(0,C160-R160))</f>
        <v>0</v>
      </c>
      <c r="T160" s="26"/>
      <c r="U160" s="8">
        <f>IF(OR(T160="",T160=0,G160=""),"",T160*G160)</f>
        <v>0</v>
      </c>
      <c r="V160" s="8">
        <f>IF(OR(S160="",T160="",T160=0),"",CEILING(S160/T160,1))</f>
        <v>0</v>
      </c>
      <c r="W160" s="27"/>
      <c r="X160" s="29"/>
      <c r="Y160" s="8">
        <f>IF(OR(C160="",X160=""),"",C160*(1+X160))</f>
        <v>0</v>
      </c>
      <c r="Z160" s="8">
        <f>IF(B160="","",IFERROR(INDEX(Ingredients!$O$5:$O$304,MATCH(B160,Ingredients!$A$5:$A$304,0)),""))</f>
        <v>0</v>
      </c>
      <c r="AA160" s="8">
        <f>IF(B160="","",IF(R160&gt;=C160,"In pantry","To buy"))</f>
        <v>0</v>
      </c>
      <c r="AB160" s="8">
        <f>IF(A160="","",COUNTIFS($A$5:A160,A160))</f>
        <v>0</v>
      </c>
      <c r="AC160" s="8">
        <f>IF(B160="","",IF(COUNTIFS('Dietary Filters'!$C$5:$C$104,B160)&gt;0,"Check","OK"))</f>
        <v>0</v>
      </c>
      <c r="AD160" s="25"/>
    </row>
    <row r="161" spans="1:30">
      <c r="A161" s="7"/>
      <c r="B161" s="7"/>
      <c r="C161" s="26"/>
      <c r="D161" s="27"/>
      <c r="E161" s="8">
        <f>IF(B161="","",IFERROR(INDEX(Ingredients!$B$5:$B$304,MATCH(B161,Ingredients!$A$5:$A$304,0)),""))</f>
        <v>0</v>
      </c>
      <c r="F161" s="8">
        <f>IF(B161="","",IFERROR(INDEX(Ingredients!$E$5:$E$304,MATCH(B161,Ingredients!$A$5:$A$304,0)),""))</f>
        <v>0</v>
      </c>
      <c r="G161" s="8">
        <f>IF(B161="","",IFERROR(INDEX(Ingredients!$D$5:$D$304,MATCH(B161,Ingredients!$A$5:$A$304,0)),""))</f>
        <v>0</v>
      </c>
      <c r="H161" s="8">
        <f>IF(OR(B161="",C161=""),"",IFERROR(C161*G161,""))</f>
        <v>0</v>
      </c>
      <c r="I161" s="8">
        <f>IF(A161="","",IFERROR(INDEX(Recipes!$D$5:$D$204,MATCH(A161,Recipes!$A$5:$A$204,0)),""))</f>
        <v>0</v>
      </c>
      <c r="J161" s="8">
        <f>IF(OR(H161="",I161="",I161=0),"",IFERROR(H161/I161,""))</f>
        <v>0</v>
      </c>
      <c r="K161" s="8">
        <f>IF(OR(B161="",C161=""),"",IFERROR(C161*IFERROR(INDEX(Ingredients!$H$5:$H$304,MATCH(B161,Ingredients!$A$5:$A$304,0)),""),""))</f>
        <v>0</v>
      </c>
      <c r="L161" s="8">
        <f>IF(OR(B161="",C161=""),"",IFERROR(C161*IFERROR(INDEX(Ingredients!$I$5:$I$304,MATCH(B161,Ingredients!$A$5:$A$304,0)),""),""))</f>
        <v>0</v>
      </c>
      <c r="M161" s="8">
        <f>IF(OR(B161="",C161=""),"",IFERROR(C161*IFERROR(INDEX(Ingredients!$J$5:$J$304,MATCH(B161,Ingredients!$A$5:$A$304,0)),""),""))</f>
        <v>0</v>
      </c>
      <c r="N161" s="8">
        <f>IF(OR(B161="",C161=""),"",IFERROR(C161*IFERROR(INDEX(Ingredients!$K$5:$K$304,MATCH(B161,Ingredients!$A$5:$A$304,0)),""),""))</f>
        <v>0</v>
      </c>
      <c r="O161" s="8">
        <f>IF(OR(B161="",C161=""),"",IFERROR(C161*IFERROR(INDEX(Ingredients!$L$5:$L$304,MATCH(B161,Ingredients!$A$5:$A$304,0)),""),""))</f>
        <v>0</v>
      </c>
      <c r="P161" s="8">
        <f>IF(OR(H161="",A161=""),"",IFERROR(H161/SUMIFS('Recipe Ingredients'!$H$5:$H$1204,'Recipe Ingredients'!$A$5:$A$1204,A161),""))</f>
        <v>0</v>
      </c>
      <c r="Q161" s="8">
        <f>IF(H161="","",COUNTIFS($H$5:$H$1204,"&gt;"&amp;H161)+1)</f>
        <v>0</v>
      </c>
      <c r="R161" s="8">
        <f>IF(B161="","",SUMIFS(Pantry!$C$5:$C$304,Pantry!$A$5:$A$304,B161))</f>
        <v>0</v>
      </c>
      <c r="S161" s="8">
        <f>IF(OR(B161="",C161=""),"",MAX(0,C161-R161))</f>
        <v>0</v>
      </c>
      <c r="T161" s="26"/>
      <c r="U161" s="8">
        <f>IF(OR(T161="",T161=0,G161=""),"",T161*G161)</f>
        <v>0</v>
      </c>
      <c r="V161" s="8">
        <f>IF(OR(S161="",T161="",T161=0),"",CEILING(S161/T161,1))</f>
        <v>0</v>
      </c>
      <c r="W161" s="27"/>
      <c r="X161" s="29"/>
      <c r="Y161" s="8">
        <f>IF(OR(C161="",X161=""),"",C161*(1+X161))</f>
        <v>0</v>
      </c>
      <c r="Z161" s="8">
        <f>IF(B161="","",IFERROR(INDEX(Ingredients!$O$5:$O$304,MATCH(B161,Ingredients!$A$5:$A$304,0)),""))</f>
        <v>0</v>
      </c>
      <c r="AA161" s="8">
        <f>IF(B161="","",IF(R161&gt;=C161,"In pantry","To buy"))</f>
        <v>0</v>
      </c>
      <c r="AB161" s="8">
        <f>IF(A161="","",COUNTIFS($A$5:A161,A161))</f>
        <v>0</v>
      </c>
      <c r="AC161" s="8">
        <f>IF(B161="","",IF(COUNTIFS('Dietary Filters'!$C$5:$C$104,B161)&gt;0,"Check","OK"))</f>
        <v>0</v>
      </c>
      <c r="AD161" s="25"/>
    </row>
    <row r="162" spans="1:30">
      <c r="A162" s="7"/>
      <c r="B162" s="7"/>
      <c r="C162" s="26"/>
      <c r="D162" s="27"/>
      <c r="E162" s="8">
        <f>IF(B162="","",IFERROR(INDEX(Ingredients!$B$5:$B$304,MATCH(B162,Ingredients!$A$5:$A$304,0)),""))</f>
        <v>0</v>
      </c>
      <c r="F162" s="8">
        <f>IF(B162="","",IFERROR(INDEX(Ingredients!$E$5:$E$304,MATCH(B162,Ingredients!$A$5:$A$304,0)),""))</f>
        <v>0</v>
      </c>
      <c r="G162" s="8">
        <f>IF(B162="","",IFERROR(INDEX(Ingredients!$D$5:$D$304,MATCH(B162,Ingredients!$A$5:$A$304,0)),""))</f>
        <v>0</v>
      </c>
      <c r="H162" s="8">
        <f>IF(OR(B162="",C162=""),"",IFERROR(C162*G162,""))</f>
        <v>0</v>
      </c>
      <c r="I162" s="8">
        <f>IF(A162="","",IFERROR(INDEX(Recipes!$D$5:$D$204,MATCH(A162,Recipes!$A$5:$A$204,0)),""))</f>
        <v>0</v>
      </c>
      <c r="J162" s="8">
        <f>IF(OR(H162="",I162="",I162=0),"",IFERROR(H162/I162,""))</f>
        <v>0</v>
      </c>
      <c r="K162" s="8">
        <f>IF(OR(B162="",C162=""),"",IFERROR(C162*IFERROR(INDEX(Ingredients!$H$5:$H$304,MATCH(B162,Ingredients!$A$5:$A$304,0)),""),""))</f>
        <v>0</v>
      </c>
      <c r="L162" s="8">
        <f>IF(OR(B162="",C162=""),"",IFERROR(C162*IFERROR(INDEX(Ingredients!$I$5:$I$304,MATCH(B162,Ingredients!$A$5:$A$304,0)),""),""))</f>
        <v>0</v>
      </c>
      <c r="M162" s="8">
        <f>IF(OR(B162="",C162=""),"",IFERROR(C162*IFERROR(INDEX(Ingredients!$J$5:$J$304,MATCH(B162,Ingredients!$A$5:$A$304,0)),""),""))</f>
        <v>0</v>
      </c>
      <c r="N162" s="8">
        <f>IF(OR(B162="",C162=""),"",IFERROR(C162*IFERROR(INDEX(Ingredients!$K$5:$K$304,MATCH(B162,Ingredients!$A$5:$A$304,0)),""),""))</f>
        <v>0</v>
      </c>
      <c r="O162" s="8">
        <f>IF(OR(B162="",C162=""),"",IFERROR(C162*IFERROR(INDEX(Ingredients!$L$5:$L$304,MATCH(B162,Ingredients!$A$5:$A$304,0)),""),""))</f>
        <v>0</v>
      </c>
      <c r="P162" s="8">
        <f>IF(OR(H162="",A162=""),"",IFERROR(H162/SUMIFS('Recipe Ingredients'!$H$5:$H$1204,'Recipe Ingredients'!$A$5:$A$1204,A162),""))</f>
        <v>0</v>
      </c>
      <c r="Q162" s="8">
        <f>IF(H162="","",COUNTIFS($H$5:$H$1204,"&gt;"&amp;H162)+1)</f>
        <v>0</v>
      </c>
      <c r="R162" s="8">
        <f>IF(B162="","",SUMIFS(Pantry!$C$5:$C$304,Pantry!$A$5:$A$304,B162))</f>
        <v>0</v>
      </c>
      <c r="S162" s="8">
        <f>IF(OR(B162="",C162=""),"",MAX(0,C162-R162))</f>
        <v>0</v>
      </c>
      <c r="T162" s="26"/>
      <c r="U162" s="8">
        <f>IF(OR(T162="",T162=0,G162=""),"",T162*G162)</f>
        <v>0</v>
      </c>
      <c r="V162" s="8">
        <f>IF(OR(S162="",T162="",T162=0),"",CEILING(S162/T162,1))</f>
        <v>0</v>
      </c>
      <c r="W162" s="27"/>
      <c r="X162" s="29"/>
      <c r="Y162" s="8">
        <f>IF(OR(C162="",X162=""),"",C162*(1+X162))</f>
        <v>0</v>
      </c>
      <c r="Z162" s="8">
        <f>IF(B162="","",IFERROR(INDEX(Ingredients!$O$5:$O$304,MATCH(B162,Ingredients!$A$5:$A$304,0)),""))</f>
        <v>0</v>
      </c>
      <c r="AA162" s="8">
        <f>IF(B162="","",IF(R162&gt;=C162,"In pantry","To buy"))</f>
        <v>0</v>
      </c>
      <c r="AB162" s="8">
        <f>IF(A162="","",COUNTIFS($A$5:A162,A162))</f>
        <v>0</v>
      </c>
      <c r="AC162" s="8">
        <f>IF(B162="","",IF(COUNTIFS('Dietary Filters'!$C$5:$C$104,B162)&gt;0,"Check","OK"))</f>
        <v>0</v>
      </c>
      <c r="AD162" s="25"/>
    </row>
    <row r="163" spans="1:30">
      <c r="A163" s="7"/>
      <c r="B163" s="7"/>
      <c r="C163" s="26"/>
      <c r="D163" s="27"/>
      <c r="E163" s="8">
        <f>IF(B163="","",IFERROR(INDEX(Ingredients!$B$5:$B$304,MATCH(B163,Ingredients!$A$5:$A$304,0)),""))</f>
        <v>0</v>
      </c>
      <c r="F163" s="8">
        <f>IF(B163="","",IFERROR(INDEX(Ingredients!$E$5:$E$304,MATCH(B163,Ingredients!$A$5:$A$304,0)),""))</f>
        <v>0</v>
      </c>
      <c r="G163" s="8">
        <f>IF(B163="","",IFERROR(INDEX(Ingredients!$D$5:$D$304,MATCH(B163,Ingredients!$A$5:$A$304,0)),""))</f>
        <v>0</v>
      </c>
      <c r="H163" s="8">
        <f>IF(OR(B163="",C163=""),"",IFERROR(C163*G163,""))</f>
        <v>0</v>
      </c>
      <c r="I163" s="8">
        <f>IF(A163="","",IFERROR(INDEX(Recipes!$D$5:$D$204,MATCH(A163,Recipes!$A$5:$A$204,0)),""))</f>
        <v>0</v>
      </c>
      <c r="J163" s="8">
        <f>IF(OR(H163="",I163="",I163=0),"",IFERROR(H163/I163,""))</f>
        <v>0</v>
      </c>
      <c r="K163" s="8">
        <f>IF(OR(B163="",C163=""),"",IFERROR(C163*IFERROR(INDEX(Ingredients!$H$5:$H$304,MATCH(B163,Ingredients!$A$5:$A$304,0)),""),""))</f>
        <v>0</v>
      </c>
      <c r="L163" s="8">
        <f>IF(OR(B163="",C163=""),"",IFERROR(C163*IFERROR(INDEX(Ingredients!$I$5:$I$304,MATCH(B163,Ingredients!$A$5:$A$304,0)),""),""))</f>
        <v>0</v>
      </c>
      <c r="M163" s="8">
        <f>IF(OR(B163="",C163=""),"",IFERROR(C163*IFERROR(INDEX(Ingredients!$J$5:$J$304,MATCH(B163,Ingredients!$A$5:$A$304,0)),""),""))</f>
        <v>0</v>
      </c>
      <c r="N163" s="8">
        <f>IF(OR(B163="",C163=""),"",IFERROR(C163*IFERROR(INDEX(Ingredients!$K$5:$K$304,MATCH(B163,Ingredients!$A$5:$A$304,0)),""),""))</f>
        <v>0</v>
      </c>
      <c r="O163" s="8">
        <f>IF(OR(B163="",C163=""),"",IFERROR(C163*IFERROR(INDEX(Ingredients!$L$5:$L$304,MATCH(B163,Ingredients!$A$5:$A$304,0)),""),""))</f>
        <v>0</v>
      </c>
      <c r="P163" s="8">
        <f>IF(OR(H163="",A163=""),"",IFERROR(H163/SUMIFS('Recipe Ingredients'!$H$5:$H$1204,'Recipe Ingredients'!$A$5:$A$1204,A163),""))</f>
        <v>0</v>
      </c>
      <c r="Q163" s="8">
        <f>IF(H163="","",COUNTIFS($H$5:$H$1204,"&gt;"&amp;H163)+1)</f>
        <v>0</v>
      </c>
      <c r="R163" s="8">
        <f>IF(B163="","",SUMIFS(Pantry!$C$5:$C$304,Pantry!$A$5:$A$304,B163))</f>
        <v>0</v>
      </c>
      <c r="S163" s="8">
        <f>IF(OR(B163="",C163=""),"",MAX(0,C163-R163))</f>
        <v>0</v>
      </c>
      <c r="T163" s="26"/>
      <c r="U163" s="8">
        <f>IF(OR(T163="",T163=0,G163=""),"",T163*G163)</f>
        <v>0</v>
      </c>
      <c r="V163" s="8">
        <f>IF(OR(S163="",T163="",T163=0),"",CEILING(S163/T163,1))</f>
        <v>0</v>
      </c>
      <c r="W163" s="27"/>
      <c r="X163" s="29"/>
      <c r="Y163" s="8">
        <f>IF(OR(C163="",X163=""),"",C163*(1+X163))</f>
        <v>0</v>
      </c>
      <c r="Z163" s="8">
        <f>IF(B163="","",IFERROR(INDEX(Ingredients!$O$5:$O$304,MATCH(B163,Ingredients!$A$5:$A$304,0)),""))</f>
        <v>0</v>
      </c>
      <c r="AA163" s="8">
        <f>IF(B163="","",IF(R163&gt;=C163,"In pantry","To buy"))</f>
        <v>0</v>
      </c>
      <c r="AB163" s="8">
        <f>IF(A163="","",COUNTIFS($A$5:A163,A163))</f>
        <v>0</v>
      </c>
      <c r="AC163" s="8">
        <f>IF(B163="","",IF(COUNTIFS('Dietary Filters'!$C$5:$C$104,B163)&gt;0,"Check","OK"))</f>
        <v>0</v>
      </c>
      <c r="AD163" s="25"/>
    </row>
    <row r="164" spans="1:30">
      <c r="A164" s="7"/>
      <c r="B164" s="7"/>
      <c r="C164" s="26"/>
      <c r="D164" s="27"/>
      <c r="E164" s="8">
        <f>IF(B164="","",IFERROR(INDEX(Ingredients!$B$5:$B$304,MATCH(B164,Ingredients!$A$5:$A$304,0)),""))</f>
        <v>0</v>
      </c>
      <c r="F164" s="8">
        <f>IF(B164="","",IFERROR(INDEX(Ingredients!$E$5:$E$304,MATCH(B164,Ingredients!$A$5:$A$304,0)),""))</f>
        <v>0</v>
      </c>
      <c r="G164" s="8">
        <f>IF(B164="","",IFERROR(INDEX(Ingredients!$D$5:$D$304,MATCH(B164,Ingredients!$A$5:$A$304,0)),""))</f>
        <v>0</v>
      </c>
      <c r="H164" s="8">
        <f>IF(OR(B164="",C164=""),"",IFERROR(C164*G164,""))</f>
        <v>0</v>
      </c>
      <c r="I164" s="8">
        <f>IF(A164="","",IFERROR(INDEX(Recipes!$D$5:$D$204,MATCH(A164,Recipes!$A$5:$A$204,0)),""))</f>
        <v>0</v>
      </c>
      <c r="J164" s="8">
        <f>IF(OR(H164="",I164="",I164=0),"",IFERROR(H164/I164,""))</f>
        <v>0</v>
      </c>
      <c r="K164" s="8">
        <f>IF(OR(B164="",C164=""),"",IFERROR(C164*IFERROR(INDEX(Ingredients!$H$5:$H$304,MATCH(B164,Ingredients!$A$5:$A$304,0)),""),""))</f>
        <v>0</v>
      </c>
      <c r="L164" s="8">
        <f>IF(OR(B164="",C164=""),"",IFERROR(C164*IFERROR(INDEX(Ingredients!$I$5:$I$304,MATCH(B164,Ingredients!$A$5:$A$304,0)),""),""))</f>
        <v>0</v>
      </c>
      <c r="M164" s="8">
        <f>IF(OR(B164="",C164=""),"",IFERROR(C164*IFERROR(INDEX(Ingredients!$J$5:$J$304,MATCH(B164,Ingredients!$A$5:$A$304,0)),""),""))</f>
        <v>0</v>
      </c>
      <c r="N164" s="8">
        <f>IF(OR(B164="",C164=""),"",IFERROR(C164*IFERROR(INDEX(Ingredients!$K$5:$K$304,MATCH(B164,Ingredients!$A$5:$A$304,0)),""),""))</f>
        <v>0</v>
      </c>
      <c r="O164" s="8">
        <f>IF(OR(B164="",C164=""),"",IFERROR(C164*IFERROR(INDEX(Ingredients!$L$5:$L$304,MATCH(B164,Ingredients!$A$5:$A$304,0)),""),""))</f>
        <v>0</v>
      </c>
      <c r="P164" s="8">
        <f>IF(OR(H164="",A164=""),"",IFERROR(H164/SUMIFS('Recipe Ingredients'!$H$5:$H$1204,'Recipe Ingredients'!$A$5:$A$1204,A164),""))</f>
        <v>0</v>
      </c>
      <c r="Q164" s="8">
        <f>IF(H164="","",COUNTIFS($H$5:$H$1204,"&gt;"&amp;H164)+1)</f>
        <v>0</v>
      </c>
      <c r="R164" s="8">
        <f>IF(B164="","",SUMIFS(Pantry!$C$5:$C$304,Pantry!$A$5:$A$304,B164))</f>
        <v>0</v>
      </c>
      <c r="S164" s="8">
        <f>IF(OR(B164="",C164=""),"",MAX(0,C164-R164))</f>
        <v>0</v>
      </c>
      <c r="T164" s="26"/>
      <c r="U164" s="8">
        <f>IF(OR(T164="",T164=0,G164=""),"",T164*G164)</f>
        <v>0</v>
      </c>
      <c r="V164" s="8">
        <f>IF(OR(S164="",T164="",T164=0),"",CEILING(S164/T164,1))</f>
        <v>0</v>
      </c>
      <c r="W164" s="27"/>
      <c r="X164" s="29"/>
      <c r="Y164" s="8">
        <f>IF(OR(C164="",X164=""),"",C164*(1+X164))</f>
        <v>0</v>
      </c>
      <c r="Z164" s="8">
        <f>IF(B164="","",IFERROR(INDEX(Ingredients!$O$5:$O$304,MATCH(B164,Ingredients!$A$5:$A$304,0)),""))</f>
        <v>0</v>
      </c>
      <c r="AA164" s="8">
        <f>IF(B164="","",IF(R164&gt;=C164,"In pantry","To buy"))</f>
        <v>0</v>
      </c>
      <c r="AB164" s="8">
        <f>IF(A164="","",COUNTIFS($A$5:A164,A164))</f>
        <v>0</v>
      </c>
      <c r="AC164" s="8">
        <f>IF(B164="","",IF(COUNTIFS('Dietary Filters'!$C$5:$C$104,B164)&gt;0,"Check","OK"))</f>
        <v>0</v>
      </c>
      <c r="AD164" s="25"/>
    </row>
    <row r="165" spans="1:30">
      <c r="A165" s="7"/>
      <c r="B165" s="7"/>
      <c r="C165" s="26"/>
      <c r="D165" s="27"/>
      <c r="E165" s="8">
        <f>IF(B165="","",IFERROR(INDEX(Ingredients!$B$5:$B$304,MATCH(B165,Ingredients!$A$5:$A$304,0)),""))</f>
        <v>0</v>
      </c>
      <c r="F165" s="8">
        <f>IF(B165="","",IFERROR(INDEX(Ingredients!$E$5:$E$304,MATCH(B165,Ingredients!$A$5:$A$304,0)),""))</f>
        <v>0</v>
      </c>
      <c r="G165" s="8">
        <f>IF(B165="","",IFERROR(INDEX(Ingredients!$D$5:$D$304,MATCH(B165,Ingredients!$A$5:$A$304,0)),""))</f>
        <v>0</v>
      </c>
      <c r="H165" s="8">
        <f>IF(OR(B165="",C165=""),"",IFERROR(C165*G165,""))</f>
        <v>0</v>
      </c>
      <c r="I165" s="8">
        <f>IF(A165="","",IFERROR(INDEX(Recipes!$D$5:$D$204,MATCH(A165,Recipes!$A$5:$A$204,0)),""))</f>
        <v>0</v>
      </c>
      <c r="J165" s="8">
        <f>IF(OR(H165="",I165="",I165=0),"",IFERROR(H165/I165,""))</f>
        <v>0</v>
      </c>
      <c r="K165" s="8">
        <f>IF(OR(B165="",C165=""),"",IFERROR(C165*IFERROR(INDEX(Ingredients!$H$5:$H$304,MATCH(B165,Ingredients!$A$5:$A$304,0)),""),""))</f>
        <v>0</v>
      </c>
      <c r="L165" s="8">
        <f>IF(OR(B165="",C165=""),"",IFERROR(C165*IFERROR(INDEX(Ingredients!$I$5:$I$304,MATCH(B165,Ingredients!$A$5:$A$304,0)),""),""))</f>
        <v>0</v>
      </c>
      <c r="M165" s="8">
        <f>IF(OR(B165="",C165=""),"",IFERROR(C165*IFERROR(INDEX(Ingredients!$J$5:$J$304,MATCH(B165,Ingredients!$A$5:$A$304,0)),""),""))</f>
        <v>0</v>
      </c>
      <c r="N165" s="8">
        <f>IF(OR(B165="",C165=""),"",IFERROR(C165*IFERROR(INDEX(Ingredients!$K$5:$K$304,MATCH(B165,Ingredients!$A$5:$A$304,0)),""),""))</f>
        <v>0</v>
      </c>
      <c r="O165" s="8">
        <f>IF(OR(B165="",C165=""),"",IFERROR(C165*IFERROR(INDEX(Ingredients!$L$5:$L$304,MATCH(B165,Ingredients!$A$5:$A$304,0)),""),""))</f>
        <v>0</v>
      </c>
      <c r="P165" s="8">
        <f>IF(OR(H165="",A165=""),"",IFERROR(H165/SUMIFS('Recipe Ingredients'!$H$5:$H$1204,'Recipe Ingredients'!$A$5:$A$1204,A165),""))</f>
        <v>0</v>
      </c>
      <c r="Q165" s="8">
        <f>IF(H165="","",COUNTIFS($H$5:$H$1204,"&gt;"&amp;H165)+1)</f>
        <v>0</v>
      </c>
      <c r="R165" s="8">
        <f>IF(B165="","",SUMIFS(Pantry!$C$5:$C$304,Pantry!$A$5:$A$304,B165))</f>
        <v>0</v>
      </c>
      <c r="S165" s="8">
        <f>IF(OR(B165="",C165=""),"",MAX(0,C165-R165))</f>
        <v>0</v>
      </c>
      <c r="T165" s="26"/>
      <c r="U165" s="8">
        <f>IF(OR(T165="",T165=0,G165=""),"",T165*G165)</f>
        <v>0</v>
      </c>
      <c r="V165" s="8">
        <f>IF(OR(S165="",T165="",T165=0),"",CEILING(S165/T165,1))</f>
        <v>0</v>
      </c>
      <c r="W165" s="27"/>
      <c r="X165" s="29"/>
      <c r="Y165" s="8">
        <f>IF(OR(C165="",X165=""),"",C165*(1+X165))</f>
        <v>0</v>
      </c>
      <c r="Z165" s="8">
        <f>IF(B165="","",IFERROR(INDEX(Ingredients!$O$5:$O$304,MATCH(B165,Ingredients!$A$5:$A$304,0)),""))</f>
        <v>0</v>
      </c>
      <c r="AA165" s="8">
        <f>IF(B165="","",IF(R165&gt;=C165,"In pantry","To buy"))</f>
        <v>0</v>
      </c>
      <c r="AB165" s="8">
        <f>IF(A165="","",COUNTIFS($A$5:A165,A165))</f>
        <v>0</v>
      </c>
      <c r="AC165" s="8">
        <f>IF(B165="","",IF(COUNTIFS('Dietary Filters'!$C$5:$C$104,B165)&gt;0,"Check","OK"))</f>
        <v>0</v>
      </c>
      <c r="AD165" s="25"/>
    </row>
    <row r="166" spans="1:30">
      <c r="A166" s="7"/>
      <c r="B166" s="7"/>
      <c r="C166" s="26"/>
      <c r="D166" s="27"/>
      <c r="E166" s="8">
        <f>IF(B166="","",IFERROR(INDEX(Ingredients!$B$5:$B$304,MATCH(B166,Ingredients!$A$5:$A$304,0)),""))</f>
        <v>0</v>
      </c>
      <c r="F166" s="8">
        <f>IF(B166="","",IFERROR(INDEX(Ingredients!$E$5:$E$304,MATCH(B166,Ingredients!$A$5:$A$304,0)),""))</f>
        <v>0</v>
      </c>
      <c r="G166" s="8">
        <f>IF(B166="","",IFERROR(INDEX(Ingredients!$D$5:$D$304,MATCH(B166,Ingredients!$A$5:$A$304,0)),""))</f>
        <v>0</v>
      </c>
      <c r="H166" s="8">
        <f>IF(OR(B166="",C166=""),"",IFERROR(C166*G166,""))</f>
        <v>0</v>
      </c>
      <c r="I166" s="8">
        <f>IF(A166="","",IFERROR(INDEX(Recipes!$D$5:$D$204,MATCH(A166,Recipes!$A$5:$A$204,0)),""))</f>
        <v>0</v>
      </c>
      <c r="J166" s="8">
        <f>IF(OR(H166="",I166="",I166=0),"",IFERROR(H166/I166,""))</f>
        <v>0</v>
      </c>
      <c r="K166" s="8">
        <f>IF(OR(B166="",C166=""),"",IFERROR(C166*IFERROR(INDEX(Ingredients!$H$5:$H$304,MATCH(B166,Ingredients!$A$5:$A$304,0)),""),""))</f>
        <v>0</v>
      </c>
      <c r="L166" s="8">
        <f>IF(OR(B166="",C166=""),"",IFERROR(C166*IFERROR(INDEX(Ingredients!$I$5:$I$304,MATCH(B166,Ingredients!$A$5:$A$304,0)),""),""))</f>
        <v>0</v>
      </c>
      <c r="M166" s="8">
        <f>IF(OR(B166="",C166=""),"",IFERROR(C166*IFERROR(INDEX(Ingredients!$J$5:$J$304,MATCH(B166,Ingredients!$A$5:$A$304,0)),""),""))</f>
        <v>0</v>
      </c>
      <c r="N166" s="8">
        <f>IF(OR(B166="",C166=""),"",IFERROR(C166*IFERROR(INDEX(Ingredients!$K$5:$K$304,MATCH(B166,Ingredients!$A$5:$A$304,0)),""),""))</f>
        <v>0</v>
      </c>
      <c r="O166" s="8">
        <f>IF(OR(B166="",C166=""),"",IFERROR(C166*IFERROR(INDEX(Ingredients!$L$5:$L$304,MATCH(B166,Ingredients!$A$5:$A$304,0)),""),""))</f>
        <v>0</v>
      </c>
      <c r="P166" s="8">
        <f>IF(OR(H166="",A166=""),"",IFERROR(H166/SUMIFS('Recipe Ingredients'!$H$5:$H$1204,'Recipe Ingredients'!$A$5:$A$1204,A166),""))</f>
        <v>0</v>
      </c>
      <c r="Q166" s="8">
        <f>IF(H166="","",COUNTIFS($H$5:$H$1204,"&gt;"&amp;H166)+1)</f>
        <v>0</v>
      </c>
      <c r="R166" s="8">
        <f>IF(B166="","",SUMIFS(Pantry!$C$5:$C$304,Pantry!$A$5:$A$304,B166))</f>
        <v>0</v>
      </c>
      <c r="S166" s="8">
        <f>IF(OR(B166="",C166=""),"",MAX(0,C166-R166))</f>
        <v>0</v>
      </c>
      <c r="T166" s="26"/>
      <c r="U166" s="8">
        <f>IF(OR(T166="",T166=0,G166=""),"",T166*G166)</f>
        <v>0</v>
      </c>
      <c r="V166" s="8">
        <f>IF(OR(S166="",T166="",T166=0),"",CEILING(S166/T166,1))</f>
        <v>0</v>
      </c>
      <c r="W166" s="27"/>
      <c r="X166" s="29"/>
      <c r="Y166" s="8">
        <f>IF(OR(C166="",X166=""),"",C166*(1+X166))</f>
        <v>0</v>
      </c>
      <c r="Z166" s="8">
        <f>IF(B166="","",IFERROR(INDEX(Ingredients!$O$5:$O$304,MATCH(B166,Ingredients!$A$5:$A$304,0)),""))</f>
        <v>0</v>
      </c>
      <c r="AA166" s="8">
        <f>IF(B166="","",IF(R166&gt;=C166,"In pantry","To buy"))</f>
        <v>0</v>
      </c>
      <c r="AB166" s="8">
        <f>IF(A166="","",COUNTIFS($A$5:A166,A166))</f>
        <v>0</v>
      </c>
      <c r="AC166" s="8">
        <f>IF(B166="","",IF(COUNTIFS('Dietary Filters'!$C$5:$C$104,B166)&gt;0,"Check","OK"))</f>
        <v>0</v>
      </c>
      <c r="AD166" s="25"/>
    </row>
    <row r="167" spans="1:30">
      <c r="A167" s="7"/>
      <c r="B167" s="7"/>
      <c r="C167" s="26"/>
      <c r="D167" s="27"/>
      <c r="E167" s="8">
        <f>IF(B167="","",IFERROR(INDEX(Ingredients!$B$5:$B$304,MATCH(B167,Ingredients!$A$5:$A$304,0)),""))</f>
        <v>0</v>
      </c>
      <c r="F167" s="8">
        <f>IF(B167="","",IFERROR(INDEX(Ingredients!$E$5:$E$304,MATCH(B167,Ingredients!$A$5:$A$304,0)),""))</f>
        <v>0</v>
      </c>
      <c r="G167" s="8">
        <f>IF(B167="","",IFERROR(INDEX(Ingredients!$D$5:$D$304,MATCH(B167,Ingredients!$A$5:$A$304,0)),""))</f>
        <v>0</v>
      </c>
      <c r="H167" s="8">
        <f>IF(OR(B167="",C167=""),"",IFERROR(C167*G167,""))</f>
        <v>0</v>
      </c>
      <c r="I167" s="8">
        <f>IF(A167="","",IFERROR(INDEX(Recipes!$D$5:$D$204,MATCH(A167,Recipes!$A$5:$A$204,0)),""))</f>
        <v>0</v>
      </c>
      <c r="J167" s="8">
        <f>IF(OR(H167="",I167="",I167=0),"",IFERROR(H167/I167,""))</f>
        <v>0</v>
      </c>
      <c r="K167" s="8">
        <f>IF(OR(B167="",C167=""),"",IFERROR(C167*IFERROR(INDEX(Ingredients!$H$5:$H$304,MATCH(B167,Ingredients!$A$5:$A$304,0)),""),""))</f>
        <v>0</v>
      </c>
      <c r="L167" s="8">
        <f>IF(OR(B167="",C167=""),"",IFERROR(C167*IFERROR(INDEX(Ingredients!$I$5:$I$304,MATCH(B167,Ingredients!$A$5:$A$304,0)),""),""))</f>
        <v>0</v>
      </c>
      <c r="M167" s="8">
        <f>IF(OR(B167="",C167=""),"",IFERROR(C167*IFERROR(INDEX(Ingredients!$J$5:$J$304,MATCH(B167,Ingredients!$A$5:$A$304,0)),""),""))</f>
        <v>0</v>
      </c>
      <c r="N167" s="8">
        <f>IF(OR(B167="",C167=""),"",IFERROR(C167*IFERROR(INDEX(Ingredients!$K$5:$K$304,MATCH(B167,Ingredients!$A$5:$A$304,0)),""),""))</f>
        <v>0</v>
      </c>
      <c r="O167" s="8">
        <f>IF(OR(B167="",C167=""),"",IFERROR(C167*IFERROR(INDEX(Ingredients!$L$5:$L$304,MATCH(B167,Ingredients!$A$5:$A$304,0)),""),""))</f>
        <v>0</v>
      </c>
      <c r="P167" s="8">
        <f>IF(OR(H167="",A167=""),"",IFERROR(H167/SUMIFS('Recipe Ingredients'!$H$5:$H$1204,'Recipe Ingredients'!$A$5:$A$1204,A167),""))</f>
        <v>0</v>
      </c>
      <c r="Q167" s="8">
        <f>IF(H167="","",COUNTIFS($H$5:$H$1204,"&gt;"&amp;H167)+1)</f>
        <v>0</v>
      </c>
      <c r="R167" s="8">
        <f>IF(B167="","",SUMIFS(Pantry!$C$5:$C$304,Pantry!$A$5:$A$304,B167))</f>
        <v>0</v>
      </c>
      <c r="S167" s="8">
        <f>IF(OR(B167="",C167=""),"",MAX(0,C167-R167))</f>
        <v>0</v>
      </c>
      <c r="T167" s="26"/>
      <c r="U167" s="8">
        <f>IF(OR(T167="",T167=0,G167=""),"",T167*G167)</f>
        <v>0</v>
      </c>
      <c r="V167" s="8">
        <f>IF(OR(S167="",T167="",T167=0),"",CEILING(S167/T167,1))</f>
        <v>0</v>
      </c>
      <c r="W167" s="27"/>
      <c r="X167" s="29"/>
      <c r="Y167" s="8">
        <f>IF(OR(C167="",X167=""),"",C167*(1+X167))</f>
        <v>0</v>
      </c>
      <c r="Z167" s="8">
        <f>IF(B167="","",IFERROR(INDEX(Ingredients!$O$5:$O$304,MATCH(B167,Ingredients!$A$5:$A$304,0)),""))</f>
        <v>0</v>
      </c>
      <c r="AA167" s="8">
        <f>IF(B167="","",IF(R167&gt;=C167,"In pantry","To buy"))</f>
        <v>0</v>
      </c>
      <c r="AB167" s="8">
        <f>IF(A167="","",COUNTIFS($A$5:A167,A167))</f>
        <v>0</v>
      </c>
      <c r="AC167" s="8">
        <f>IF(B167="","",IF(COUNTIFS('Dietary Filters'!$C$5:$C$104,B167)&gt;0,"Check","OK"))</f>
        <v>0</v>
      </c>
      <c r="AD167" s="25"/>
    </row>
    <row r="168" spans="1:30">
      <c r="A168" s="7"/>
      <c r="B168" s="7"/>
      <c r="C168" s="26"/>
      <c r="D168" s="27"/>
      <c r="E168" s="8">
        <f>IF(B168="","",IFERROR(INDEX(Ingredients!$B$5:$B$304,MATCH(B168,Ingredients!$A$5:$A$304,0)),""))</f>
        <v>0</v>
      </c>
      <c r="F168" s="8">
        <f>IF(B168="","",IFERROR(INDEX(Ingredients!$E$5:$E$304,MATCH(B168,Ingredients!$A$5:$A$304,0)),""))</f>
        <v>0</v>
      </c>
      <c r="G168" s="8">
        <f>IF(B168="","",IFERROR(INDEX(Ingredients!$D$5:$D$304,MATCH(B168,Ingredients!$A$5:$A$304,0)),""))</f>
        <v>0</v>
      </c>
      <c r="H168" s="8">
        <f>IF(OR(B168="",C168=""),"",IFERROR(C168*G168,""))</f>
        <v>0</v>
      </c>
      <c r="I168" s="8">
        <f>IF(A168="","",IFERROR(INDEX(Recipes!$D$5:$D$204,MATCH(A168,Recipes!$A$5:$A$204,0)),""))</f>
        <v>0</v>
      </c>
      <c r="J168" s="8">
        <f>IF(OR(H168="",I168="",I168=0),"",IFERROR(H168/I168,""))</f>
        <v>0</v>
      </c>
      <c r="K168" s="8">
        <f>IF(OR(B168="",C168=""),"",IFERROR(C168*IFERROR(INDEX(Ingredients!$H$5:$H$304,MATCH(B168,Ingredients!$A$5:$A$304,0)),""),""))</f>
        <v>0</v>
      </c>
      <c r="L168" s="8">
        <f>IF(OR(B168="",C168=""),"",IFERROR(C168*IFERROR(INDEX(Ingredients!$I$5:$I$304,MATCH(B168,Ingredients!$A$5:$A$304,0)),""),""))</f>
        <v>0</v>
      </c>
      <c r="M168" s="8">
        <f>IF(OR(B168="",C168=""),"",IFERROR(C168*IFERROR(INDEX(Ingredients!$J$5:$J$304,MATCH(B168,Ingredients!$A$5:$A$304,0)),""),""))</f>
        <v>0</v>
      </c>
      <c r="N168" s="8">
        <f>IF(OR(B168="",C168=""),"",IFERROR(C168*IFERROR(INDEX(Ingredients!$K$5:$K$304,MATCH(B168,Ingredients!$A$5:$A$304,0)),""),""))</f>
        <v>0</v>
      </c>
      <c r="O168" s="8">
        <f>IF(OR(B168="",C168=""),"",IFERROR(C168*IFERROR(INDEX(Ingredients!$L$5:$L$304,MATCH(B168,Ingredients!$A$5:$A$304,0)),""),""))</f>
        <v>0</v>
      </c>
      <c r="P168" s="8">
        <f>IF(OR(H168="",A168=""),"",IFERROR(H168/SUMIFS('Recipe Ingredients'!$H$5:$H$1204,'Recipe Ingredients'!$A$5:$A$1204,A168),""))</f>
        <v>0</v>
      </c>
      <c r="Q168" s="8">
        <f>IF(H168="","",COUNTIFS($H$5:$H$1204,"&gt;"&amp;H168)+1)</f>
        <v>0</v>
      </c>
      <c r="R168" s="8">
        <f>IF(B168="","",SUMIFS(Pantry!$C$5:$C$304,Pantry!$A$5:$A$304,B168))</f>
        <v>0</v>
      </c>
      <c r="S168" s="8">
        <f>IF(OR(B168="",C168=""),"",MAX(0,C168-R168))</f>
        <v>0</v>
      </c>
      <c r="T168" s="26"/>
      <c r="U168" s="8">
        <f>IF(OR(T168="",T168=0,G168=""),"",T168*G168)</f>
        <v>0</v>
      </c>
      <c r="V168" s="8">
        <f>IF(OR(S168="",T168="",T168=0),"",CEILING(S168/T168,1))</f>
        <v>0</v>
      </c>
      <c r="W168" s="27"/>
      <c r="X168" s="29"/>
      <c r="Y168" s="8">
        <f>IF(OR(C168="",X168=""),"",C168*(1+X168))</f>
        <v>0</v>
      </c>
      <c r="Z168" s="8">
        <f>IF(B168="","",IFERROR(INDEX(Ingredients!$O$5:$O$304,MATCH(B168,Ingredients!$A$5:$A$304,0)),""))</f>
        <v>0</v>
      </c>
      <c r="AA168" s="8">
        <f>IF(B168="","",IF(R168&gt;=C168,"In pantry","To buy"))</f>
        <v>0</v>
      </c>
      <c r="AB168" s="8">
        <f>IF(A168="","",COUNTIFS($A$5:A168,A168))</f>
        <v>0</v>
      </c>
      <c r="AC168" s="8">
        <f>IF(B168="","",IF(COUNTIFS('Dietary Filters'!$C$5:$C$104,B168)&gt;0,"Check","OK"))</f>
        <v>0</v>
      </c>
      <c r="AD168" s="25"/>
    </row>
    <row r="169" spans="1:30">
      <c r="A169" s="7"/>
      <c r="B169" s="7"/>
      <c r="C169" s="26"/>
      <c r="D169" s="27"/>
      <c r="E169" s="8">
        <f>IF(B169="","",IFERROR(INDEX(Ingredients!$B$5:$B$304,MATCH(B169,Ingredients!$A$5:$A$304,0)),""))</f>
        <v>0</v>
      </c>
      <c r="F169" s="8">
        <f>IF(B169="","",IFERROR(INDEX(Ingredients!$E$5:$E$304,MATCH(B169,Ingredients!$A$5:$A$304,0)),""))</f>
        <v>0</v>
      </c>
      <c r="G169" s="8">
        <f>IF(B169="","",IFERROR(INDEX(Ingredients!$D$5:$D$304,MATCH(B169,Ingredients!$A$5:$A$304,0)),""))</f>
        <v>0</v>
      </c>
      <c r="H169" s="8">
        <f>IF(OR(B169="",C169=""),"",IFERROR(C169*G169,""))</f>
        <v>0</v>
      </c>
      <c r="I169" s="8">
        <f>IF(A169="","",IFERROR(INDEX(Recipes!$D$5:$D$204,MATCH(A169,Recipes!$A$5:$A$204,0)),""))</f>
        <v>0</v>
      </c>
      <c r="J169" s="8">
        <f>IF(OR(H169="",I169="",I169=0),"",IFERROR(H169/I169,""))</f>
        <v>0</v>
      </c>
      <c r="K169" s="8">
        <f>IF(OR(B169="",C169=""),"",IFERROR(C169*IFERROR(INDEX(Ingredients!$H$5:$H$304,MATCH(B169,Ingredients!$A$5:$A$304,0)),""),""))</f>
        <v>0</v>
      </c>
      <c r="L169" s="8">
        <f>IF(OR(B169="",C169=""),"",IFERROR(C169*IFERROR(INDEX(Ingredients!$I$5:$I$304,MATCH(B169,Ingredients!$A$5:$A$304,0)),""),""))</f>
        <v>0</v>
      </c>
      <c r="M169" s="8">
        <f>IF(OR(B169="",C169=""),"",IFERROR(C169*IFERROR(INDEX(Ingredients!$J$5:$J$304,MATCH(B169,Ingredients!$A$5:$A$304,0)),""),""))</f>
        <v>0</v>
      </c>
      <c r="N169" s="8">
        <f>IF(OR(B169="",C169=""),"",IFERROR(C169*IFERROR(INDEX(Ingredients!$K$5:$K$304,MATCH(B169,Ingredients!$A$5:$A$304,0)),""),""))</f>
        <v>0</v>
      </c>
      <c r="O169" s="8">
        <f>IF(OR(B169="",C169=""),"",IFERROR(C169*IFERROR(INDEX(Ingredients!$L$5:$L$304,MATCH(B169,Ingredients!$A$5:$A$304,0)),""),""))</f>
        <v>0</v>
      </c>
      <c r="P169" s="8">
        <f>IF(OR(H169="",A169=""),"",IFERROR(H169/SUMIFS('Recipe Ingredients'!$H$5:$H$1204,'Recipe Ingredients'!$A$5:$A$1204,A169),""))</f>
        <v>0</v>
      </c>
      <c r="Q169" s="8">
        <f>IF(H169="","",COUNTIFS($H$5:$H$1204,"&gt;"&amp;H169)+1)</f>
        <v>0</v>
      </c>
      <c r="R169" s="8">
        <f>IF(B169="","",SUMIFS(Pantry!$C$5:$C$304,Pantry!$A$5:$A$304,B169))</f>
        <v>0</v>
      </c>
      <c r="S169" s="8">
        <f>IF(OR(B169="",C169=""),"",MAX(0,C169-R169))</f>
        <v>0</v>
      </c>
      <c r="T169" s="26"/>
      <c r="U169" s="8">
        <f>IF(OR(T169="",T169=0,G169=""),"",T169*G169)</f>
        <v>0</v>
      </c>
      <c r="V169" s="8">
        <f>IF(OR(S169="",T169="",T169=0),"",CEILING(S169/T169,1))</f>
        <v>0</v>
      </c>
      <c r="W169" s="27"/>
      <c r="X169" s="29"/>
      <c r="Y169" s="8">
        <f>IF(OR(C169="",X169=""),"",C169*(1+X169))</f>
        <v>0</v>
      </c>
      <c r="Z169" s="8">
        <f>IF(B169="","",IFERROR(INDEX(Ingredients!$O$5:$O$304,MATCH(B169,Ingredients!$A$5:$A$304,0)),""))</f>
        <v>0</v>
      </c>
      <c r="AA169" s="8">
        <f>IF(B169="","",IF(R169&gt;=C169,"In pantry","To buy"))</f>
        <v>0</v>
      </c>
      <c r="AB169" s="8">
        <f>IF(A169="","",COUNTIFS($A$5:A169,A169))</f>
        <v>0</v>
      </c>
      <c r="AC169" s="8">
        <f>IF(B169="","",IF(COUNTIFS('Dietary Filters'!$C$5:$C$104,B169)&gt;0,"Check","OK"))</f>
        <v>0</v>
      </c>
      <c r="AD169" s="25"/>
    </row>
    <row r="170" spans="1:30">
      <c r="A170" s="7"/>
      <c r="B170" s="7"/>
      <c r="C170" s="26"/>
      <c r="D170" s="27"/>
      <c r="E170" s="8">
        <f>IF(B170="","",IFERROR(INDEX(Ingredients!$B$5:$B$304,MATCH(B170,Ingredients!$A$5:$A$304,0)),""))</f>
        <v>0</v>
      </c>
      <c r="F170" s="8">
        <f>IF(B170="","",IFERROR(INDEX(Ingredients!$E$5:$E$304,MATCH(B170,Ingredients!$A$5:$A$304,0)),""))</f>
        <v>0</v>
      </c>
      <c r="G170" s="8">
        <f>IF(B170="","",IFERROR(INDEX(Ingredients!$D$5:$D$304,MATCH(B170,Ingredients!$A$5:$A$304,0)),""))</f>
        <v>0</v>
      </c>
      <c r="H170" s="8">
        <f>IF(OR(B170="",C170=""),"",IFERROR(C170*G170,""))</f>
        <v>0</v>
      </c>
      <c r="I170" s="8">
        <f>IF(A170="","",IFERROR(INDEX(Recipes!$D$5:$D$204,MATCH(A170,Recipes!$A$5:$A$204,0)),""))</f>
        <v>0</v>
      </c>
      <c r="J170" s="8">
        <f>IF(OR(H170="",I170="",I170=0),"",IFERROR(H170/I170,""))</f>
        <v>0</v>
      </c>
      <c r="K170" s="8">
        <f>IF(OR(B170="",C170=""),"",IFERROR(C170*IFERROR(INDEX(Ingredients!$H$5:$H$304,MATCH(B170,Ingredients!$A$5:$A$304,0)),""),""))</f>
        <v>0</v>
      </c>
      <c r="L170" s="8">
        <f>IF(OR(B170="",C170=""),"",IFERROR(C170*IFERROR(INDEX(Ingredients!$I$5:$I$304,MATCH(B170,Ingredients!$A$5:$A$304,0)),""),""))</f>
        <v>0</v>
      </c>
      <c r="M170" s="8">
        <f>IF(OR(B170="",C170=""),"",IFERROR(C170*IFERROR(INDEX(Ingredients!$J$5:$J$304,MATCH(B170,Ingredients!$A$5:$A$304,0)),""),""))</f>
        <v>0</v>
      </c>
      <c r="N170" s="8">
        <f>IF(OR(B170="",C170=""),"",IFERROR(C170*IFERROR(INDEX(Ingredients!$K$5:$K$304,MATCH(B170,Ingredients!$A$5:$A$304,0)),""),""))</f>
        <v>0</v>
      </c>
      <c r="O170" s="8">
        <f>IF(OR(B170="",C170=""),"",IFERROR(C170*IFERROR(INDEX(Ingredients!$L$5:$L$304,MATCH(B170,Ingredients!$A$5:$A$304,0)),""),""))</f>
        <v>0</v>
      </c>
      <c r="P170" s="8">
        <f>IF(OR(H170="",A170=""),"",IFERROR(H170/SUMIFS('Recipe Ingredients'!$H$5:$H$1204,'Recipe Ingredients'!$A$5:$A$1204,A170),""))</f>
        <v>0</v>
      </c>
      <c r="Q170" s="8">
        <f>IF(H170="","",COUNTIFS($H$5:$H$1204,"&gt;"&amp;H170)+1)</f>
        <v>0</v>
      </c>
      <c r="R170" s="8">
        <f>IF(B170="","",SUMIFS(Pantry!$C$5:$C$304,Pantry!$A$5:$A$304,B170))</f>
        <v>0</v>
      </c>
      <c r="S170" s="8">
        <f>IF(OR(B170="",C170=""),"",MAX(0,C170-R170))</f>
        <v>0</v>
      </c>
      <c r="T170" s="26"/>
      <c r="U170" s="8">
        <f>IF(OR(T170="",T170=0,G170=""),"",T170*G170)</f>
        <v>0</v>
      </c>
      <c r="V170" s="8">
        <f>IF(OR(S170="",T170="",T170=0),"",CEILING(S170/T170,1))</f>
        <v>0</v>
      </c>
      <c r="W170" s="27"/>
      <c r="X170" s="29"/>
      <c r="Y170" s="8">
        <f>IF(OR(C170="",X170=""),"",C170*(1+X170))</f>
        <v>0</v>
      </c>
      <c r="Z170" s="8">
        <f>IF(B170="","",IFERROR(INDEX(Ingredients!$O$5:$O$304,MATCH(B170,Ingredients!$A$5:$A$304,0)),""))</f>
        <v>0</v>
      </c>
      <c r="AA170" s="8">
        <f>IF(B170="","",IF(R170&gt;=C170,"In pantry","To buy"))</f>
        <v>0</v>
      </c>
      <c r="AB170" s="8">
        <f>IF(A170="","",COUNTIFS($A$5:A170,A170))</f>
        <v>0</v>
      </c>
      <c r="AC170" s="8">
        <f>IF(B170="","",IF(COUNTIFS('Dietary Filters'!$C$5:$C$104,B170)&gt;0,"Check","OK"))</f>
        <v>0</v>
      </c>
      <c r="AD170" s="25"/>
    </row>
    <row r="171" spans="1:30">
      <c r="A171" s="7"/>
      <c r="B171" s="7"/>
      <c r="C171" s="26"/>
      <c r="D171" s="27"/>
      <c r="E171" s="8">
        <f>IF(B171="","",IFERROR(INDEX(Ingredients!$B$5:$B$304,MATCH(B171,Ingredients!$A$5:$A$304,0)),""))</f>
        <v>0</v>
      </c>
      <c r="F171" s="8">
        <f>IF(B171="","",IFERROR(INDEX(Ingredients!$E$5:$E$304,MATCH(B171,Ingredients!$A$5:$A$304,0)),""))</f>
        <v>0</v>
      </c>
      <c r="G171" s="8">
        <f>IF(B171="","",IFERROR(INDEX(Ingredients!$D$5:$D$304,MATCH(B171,Ingredients!$A$5:$A$304,0)),""))</f>
        <v>0</v>
      </c>
      <c r="H171" s="8">
        <f>IF(OR(B171="",C171=""),"",IFERROR(C171*G171,""))</f>
        <v>0</v>
      </c>
      <c r="I171" s="8">
        <f>IF(A171="","",IFERROR(INDEX(Recipes!$D$5:$D$204,MATCH(A171,Recipes!$A$5:$A$204,0)),""))</f>
        <v>0</v>
      </c>
      <c r="J171" s="8">
        <f>IF(OR(H171="",I171="",I171=0),"",IFERROR(H171/I171,""))</f>
        <v>0</v>
      </c>
      <c r="K171" s="8">
        <f>IF(OR(B171="",C171=""),"",IFERROR(C171*IFERROR(INDEX(Ingredients!$H$5:$H$304,MATCH(B171,Ingredients!$A$5:$A$304,0)),""),""))</f>
        <v>0</v>
      </c>
      <c r="L171" s="8">
        <f>IF(OR(B171="",C171=""),"",IFERROR(C171*IFERROR(INDEX(Ingredients!$I$5:$I$304,MATCH(B171,Ingredients!$A$5:$A$304,0)),""),""))</f>
        <v>0</v>
      </c>
      <c r="M171" s="8">
        <f>IF(OR(B171="",C171=""),"",IFERROR(C171*IFERROR(INDEX(Ingredients!$J$5:$J$304,MATCH(B171,Ingredients!$A$5:$A$304,0)),""),""))</f>
        <v>0</v>
      </c>
      <c r="N171" s="8">
        <f>IF(OR(B171="",C171=""),"",IFERROR(C171*IFERROR(INDEX(Ingredients!$K$5:$K$304,MATCH(B171,Ingredients!$A$5:$A$304,0)),""),""))</f>
        <v>0</v>
      </c>
      <c r="O171" s="8">
        <f>IF(OR(B171="",C171=""),"",IFERROR(C171*IFERROR(INDEX(Ingredients!$L$5:$L$304,MATCH(B171,Ingredients!$A$5:$A$304,0)),""),""))</f>
        <v>0</v>
      </c>
      <c r="P171" s="8">
        <f>IF(OR(H171="",A171=""),"",IFERROR(H171/SUMIFS('Recipe Ingredients'!$H$5:$H$1204,'Recipe Ingredients'!$A$5:$A$1204,A171),""))</f>
        <v>0</v>
      </c>
      <c r="Q171" s="8">
        <f>IF(H171="","",COUNTIFS($H$5:$H$1204,"&gt;"&amp;H171)+1)</f>
        <v>0</v>
      </c>
      <c r="R171" s="8">
        <f>IF(B171="","",SUMIFS(Pantry!$C$5:$C$304,Pantry!$A$5:$A$304,B171))</f>
        <v>0</v>
      </c>
      <c r="S171" s="8">
        <f>IF(OR(B171="",C171=""),"",MAX(0,C171-R171))</f>
        <v>0</v>
      </c>
      <c r="T171" s="26"/>
      <c r="U171" s="8">
        <f>IF(OR(T171="",T171=0,G171=""),"",T171*G171)</f>
        <v>0</v>
      </c>
      <c r="V171" s="8">
        <f>IF(OR(S171="",T171="",T171=0),"",CEILING(S171/T171,1))</f>
        <v>0</v>
      </c>
      <c r="W171" s="27"/>
      <c r="X171" s="29"/>
      <c r="Y171" s="8">
        <f>IF(OR(C171="",X171=""),"",C171*(1+X171))</f>
        <v>0</v>
      </c>
      <c r="Z171" s="8">
        <f>IF(B171="","",IFERROR(INDEX(Ingredients!$O$5:$O$304,MATCH(B171,Ingredients!$A$5:$A$304,0)),""))</f>
        <v>0</v>
      </c>
      <c r="AA171" s="8">
        <f>IF(B171="","",IF(R171&gt;=C171,"In pantry","To buy"))</f>
        <v>0</v>
      </c>
      <c r="AB171" s="8">
        <f>IF(A171="","",COUNTIFS($A$5:A171,A171))</f>
        <v>0</v>
      </c>
      <c r="AC171" s="8">
        <f>IF(B171="","",IF(COUNTIFS('Dietary Filters'!$C$5:$C$104,B171)&gt;0,"Check","OK"))</f>
        <v>0</v>
      </c>
      <c r="AD171" s="25"/>
    </row>
    <row r="172" spans="1:30">
      <c r="A172" s="7"/>
      <c r="B172" s="7"/>
      <c r="C172" s="26"/>
      <c r="D172" s="27"/>
      <c r="E172" s="8">
        <f>IF(B172="","",IFERROR(INDEX(Ingredients!$B$5:$B$304,MATCH(B172,Ingredients!$A$5:$A$304,0)),""))</f>
        <v>0</v>
      </c>
      <c r="F172" s="8">
        <f>IF(B172="","",IFERROR(INDEX(Ingredients!$E$5:$E$304,MATCH(B172,Ingredients!$A$5:$A$304,0)),""))</f>
        <v>0</v>
      </c>
      <c r="G172" s="8">
        <f>IF(B172="","",IFERROR(INDEX(Ingredients!$D$5:$D$304,MATCH(B172,Ingredients!$A$5:$A$304,0)),""))</f>
        <v>0</v>
      </c>
      <c r="H172" s="8">
        <f>IF(OR(B172="",C172=""),"",IFERROR(C172*G172,""))</f>
        <v>0</v>
      </c>
      <c r="I172" s="8">
        <f>IF(A172="","",IFERROR(INDEX(Recipes!$D$5:$D$204,MATCH(A172,Recipes!$A$5:$A$204,0)),""))</f>
        <v>0</v>
      </c>
      <c r="J172" s="8">
        <f>IF(OR(H172="",I172="",I172=0),"",IFERROR(H172/I172,""))</f>
        <v>0</v>
      </c>
      <c r="K172" s="8">
        <f>IF(OR(B172="",C172=""),"",IFERROR(C172*IFERROR(INDEX(Ingredients!$H$5:$H$304,MATCH(B172,Ingredients!$A$5:$A$304,0)),""),""))</f>
        <v>0</v>
      </c>
      <c r="L172" s="8">
        <f>IF(OR(B172="",C172=""),"",IFERROR(C172*IFERROR(INDEX(Ingredients!$I$5:$I$304,MATCH(B172,Ingredients!$A$5:$A$304,0)),""),""))</f>
        <v>0</v>
      </c>
      <c r="M172" s="8">
        <f>IF(OR(B172="",C172=""),"",IFERROR(C172*IFERROR(INDEX(Ingredients!$J$5:$J$304,MATCH(B172,Ingredients!$A$5:$A$304,0)),""),""))</f>
        <v>0</v>
      </c>
      <c r="N172" s="8">
        <f>IF(OR(B172="",C172=""),"",IFERROR(C172*IFERROR(INDEX(Ingredients!$K$5:$K$304,MATCH(B172,Ingredients!$A$5:$A$304,0)),""),""))</f>
        <v>0</v>
      </c>
      <c r="O172" s="8">
        <f>IF(OR(B172="",C172=""),"",IFERROR(C172*IFERROR(INDEX(Ingredients!$L$5:$L$304,MATCH(B172,Ingredients!$A$5:$A$304,0)),""),""))</f>
        <v>0</v>
      </c>
      <c r="P172" s="8">
        <f>IF(OR(H172="",A172=""),"",IFERROR(H172/SUMIFS('Recipe Ingredients'!$H$5:$H$1204,'Recipe Ingredients'!$A$5:$A$1204,A172),""))</f>
        <v>0</v>
      </c>
      <c r="Q172" s="8">
        <f>IF(H172="","",COUNTIFS($H$5:$H$1204,"&gt;"&amp;H172)+1)</f>
        <v>0</v>
      </c>
      <c r="R172" s="8">
        <f>IF(B172="","",SUMIFS(Pantry!$C$5:$C$304,Pantry!$A$5:$A$304,B172))</f>
        <v>0</v>
      </c>
      <c r="S172" s="8">
        <f>IF(OR(B172="",C172=""),"",MAX(0,C172-R172))</f>
        <v>0</v>
      </c>
      <c r="T172" s="26"/>
      <c r="U172" s="8">
        <f>IF(OR(T172="",T172=0,G172=""),"",T172*G172)</f>
        <v>0</v>
      </c>
      <c r="V172" s="8">
        <f>IF(OR(S172="",T172="",T172=0),"",CEILING(S172/T172,1))</f>
        <v>0</v>
      </c>
      <c r="W172" s="27"/>
      <c r="X172" s="29"/>
      <c r="Y172" s="8">
        <f>IF(OR(C172="",X172=""),"",C172*(1+X172))</f>
        <v>0</v>
      </c>
      <c r="Z172" s="8">
        <f>IF(B172="","",IFERROR(INDEX(Ingredients!$O$5:$O$304,MATCH(B172,Ingredients!$A$5:$A$304,0)),""))</f>
        <v>0</v>
      </c>
      <c r="AA172" s="8">
        <f>IF(B172="","",IF(R172&gt;=C172,"In pantry","To buy"))</f>
        <v>0</v>
      </c>
      <c r="AB172" s="8">
        <f>IF(A172="","",COUNTIFS($A$5:A172,A172))</f>
        <v>0</v>
      </c>
      <c r="AC172" s="8">
        <f>IF(B172="","",IF(COUNTIFS('Dietary Filters'!$C$5:$C$104,B172)&gt;0,"Check","OK"))</f>
        <v>0</v>
      </c>
      <c r="AD172" s="25"/>
    </row>
    <row r="173" spans="1:30">
      <c r="A173" s="7"/>
      <c r="B173" s="7"/>
      <c r="C173" s="26"/>
      <c r="D173" s="27"/>
      <c r="E173" s="8">
        <f>IF(B173="","",IFERROR(INDEX(Ingredients!$B$5:$B$304,MATCH(B173,Ingredients!$A$5:$A$304,0)),""))</f>
        <v>0</v>
      </c>
      <c r="F173" s="8">
        <f>IF(B173="","",IFERROR(INDEX(Ingredients!$E$5:$E$304,MATCH(B173,Ingredients!$A$5:$A$304,0)),""))</f>
        <v>0</v>
      </c>
      <c r="G173" s="8">
        <f>IF(B173="","",IFERROR(INDEX(Ingredients!$D$5:$D$304,MATCH(B173,Ingredients!$A$5:$A$304,0)),""))</f>
        <v>0</v>
      </c>
      <c r="H173" s="8">
        <f>IF(OR(B173="",C173=""),"",IFERROR(C173*G173,""))</f>
        <v>0</v>
      </c>
      <c r="I173" s="8">
        <f>IF(A173="","",IFERROR(INDEX(Recipes!$D$5:$D$204,MATCH(A173,Recipes!$A$5:$A$204,0)),""))</f>
        <v>0</v>
      </c>
      <c r="J173" s="8">
        <f>IF(OR(H173="",I173="",I173=0),"",IFERROR(H173/I173,""))</f>
        <v>0</v>
      </c>
      <c r="K173" s="8">
        <f>IF(OR(B173="",C173=""),"",IFERROR(C173*IFERROR(INDEX(Ingredients!$H$5:$H$304,MATCH(B173,Ingredients!$A$5:$A$304,0)),""),""))</f>
        <v>0</v>
      </c>
      <c r="L173" s="8">
        <f>IF(OR(B173="",C173=""),"",IFERROR(C173*IFERROR(INDEX(Ingredients!$I$5:$I$304,MATCH(B173,Ingredients!$A$5:$A$304,0)),""),""))</f>
        <v>0</v>
      </c>
      <c r="M173" s="8">
        <f>IF(OR(B173="",C173=""),"",IFERROR(C173*IFERROR(INDEX(Ingredients!$J$5:$J$304,MATCH(B173,Ingredients!$A$5:$A$304,0)),""),""))</f>
        <v>0</v>
      </c>
      <c r="N173" s="8">
        <f>IF(OR(B173="",C173=""),"",IFERROR(C173*IFERROR(INDEX(Ingredients!$K$5:$K$304,MATCH(B173,Ingredients!$A$5:$A$304,0)),""),""))</f>
        <v>0</v>
      </c>
      <c r="O173" s="8">
        <f>IF(OR(B173="",C173=""),"",IFERROR(C173*IFERROR(INDEX(Ingredients!$L$5:$L$304,MATCH(B173,Ingredients!$A$5:$A$304,0)),""),""))</f>
        <v>0</v>
      </c>
      <c r="P173" s="8">
        <f>IF(OR(H173="",A173=""),"",IFERROR(H173/SUMIFS('Recipe Ingredients'!$H$5:$H$1204,'Recipe Ingredients'!$A$5:$A$1204,A173),""))</f>
        <v>0</v>
      </c>
      <c r="Q173" s="8">
        <f>IF(H173="","",COUNTIFS($H$5:$H$1204,"&gt;"&amp;H173)+1)</f>
        <v>0</v>
      </c>
      <c r="R173" s="8">
        <f>IF(B173="","",SUMIFS(Pantry!$C$5:$C$304,Pantry!$A$5:$A$304,B173))</f>
        <v>0</v>
      </c>
      <c r="S173" s="8">
        <f>IF(OR(B173="",C173=""),"",MAX(0,C173-R173))</f>
        <v>0</v>
      </c>
      <c r="T173" s="26"/>
      <c r="U173" s="8">
        <f>IF(OR(T173="",T173=0,G173=""),"",T173*G173)</f>
        <v>0</v>
      </c>
      <c r="V173" s="8">
        <f>IF(OR(S173="",T173="",T173=0),"",CEILING(S173/T173,1))</f>
        <v>0</v>
      </c>
      <c r="W173" s="27"/>
      <c r="X173" s="29"/>
      <c r="Y173" s="8">
        <f>IF(OR(C173="",X173=""),"",C173*(1+X173))</f>
        <v>0</v>
      </c>
      <c r="Z173" s="8">
        <f>IF(B173="","",IFERROR(INDEX(Ingredients!$O$5:$O$304,MATCH(B173,Ingredients!$A$5:$A$304,0)),""))</f>
        <v>0</v>
      </c>
      <c r="AA173" s="8">
        <f>IF(B173="","",IF(R173&gt;=C173,"In pantry","To buy"))</f>
        <v>0</v>
      </c>
      <c r="AB173" s="8">
        <f>IF(A173="","",COUNTIFS($A$5:A173,A173))</f>
        <v>0</v>
      </c>
      <c r="AC173" s="8">
        <f>IF(B173="","",IF(COUNTIFS('Dietary Filters'!$C$5:$C$104,B173)&gt;0,"Check","OK"))</f>
        <v>0</v>
      </c>
      <c r="AD173" s="25"/>
    </row>
    <row r="174" spans="1:30">
      <c r="A174" s="7"/>
      <c r="B174" s="7"/>
      <c r="C174" s="26"/>
      <c r="D174" s="27"/>
      <c r="E174" s="8">
        <f>IF(B174="","",IFERROR(INDEX(Ingredients!$B$5:$B$304,MATCH(B174,Ingredients!$A$5:$A$304,0)),""))</f>
        <v>0</v>
      </c>
      <c r="F174" s="8">
        <f>IF(B174="","",IFERROR(INDEX(Ingredients!$E$5:$E$304,MATCH(B174,Ingredients!$A$5:$A$304,0)),""))</f>
        <v>0</v>
      </c>
      <c r="G174" s="8">
        <f>IF(B174="","",IFERROR(INDEX(Ingredients!$D$5:$D$304,MATCH(B174,Ingredients!$A$5:$A$304,0)),""))</f>
        <v>0</v>
      </c>
      <c r="H174" s="8">
        <f>IF(OR(B174="",C174=""),"",IFERROR(C174*G174,""))</f>
        <v>0</v>
      </c>
      <c r="I174" s="8">
        <f>IF(A174="","",IFERROR(INDEX(Recipes!$D$5:$D$204,MATCH(A174,Recipes!$A$5:$A$204,0)),""))</f>
        <v>0</v>
      </c>
      <c r="J174" s="8">
        <f>IF(OR(H174="",I174="",I174=0),"",IFERROR(H174/I174,""))</f>
        <v>0</v>
      </c>
      <c r="K174" s="8">
        <f>IF(OR(B174="",C174=""),"",IFERROR(C174*IFERROR(INDEX(Ingredients!$H$5:$H$304,MATCH(B174,Ingredients!$A$5:$A$304,0)),""),""))</f>
        <v>0</v>
      </c>
      <c r="L174" s="8">
        <f>IF(OR(B174="",C174=""),"",IFERROR(C174*IFERROR(INDEX(Ingredients!$I$5:$I$304,MATCH(B174,Ingredients!$A$5:$A$304,0)),""),""))</f>
        <v>0</v>
      </c>
      <c r="M174" s="8">
        <f>IF(OR(B174="",C174=""),"",IFERROR(C174*IFERROR(INDEX(Ingredients!$J$5:$J$304,MATCH(B174,Ingredients!$A$5:$A$304,0)),""),""))</f>
        <v>0</v>
      </c>
      <c r="N174" s="8">
        <f>IF(OR(B174="",C174=""),"",IFERROR(C174*IFERROR(INDEX(Ingredients!$K$5:$K$304,MATCH(B174,Ingredients!$A$5:$A$304,0)),""),""))</f>
        <v>0</v>
      </c>
      <c r="O174" s="8">
        <f>IF(OR(B174="",C174=""),"",IFERROR(C174*IFERROR(INDEX(Ingredients!$L$5:$L$304,MATCH(B174,Ingredients!$A$5:$A$304,0)),""),""))</f>
        <v>0</v>
      </c>
      <c r="P174" s="8">
        <f>IF(OR(H174="",A174=""),"",IFERROR(H174/SUMIFS('Recipe Ingredients'!$H$5:$H$1204,'Recipe Ingredients'!$A$5:$A$1204,A174),""))</f>
        <v>0</v>
      </c>
      <c r="Q174" s="8">
        <f>IF(H174="","",COUNTIFS($H$5:$H$1204,"&gt;"&amp;H174)+1)</f>
        <v>0</v>
      </c>
      <c r="R174" s="8">
        <f>IF(B174="","",SUMIFS(Pantry!$C$5:$C$304,Pantry!$A$5:$A$304,B174))</f>
        <v>0</v>
      </c>
      <c r="S174" s="8">
        <f>IF(OR(B174="",C174=""),"",MAX(0,C174-R174))</f>
        <v>0</v>
      </c>
      <c r="T174" s="26"/>
      <c r="U174" s="8">
        <f>IF(OR(T174="",T174=0,G174=""),"",T174*G174)</f>
        <v>0</v>
      </c>
      <c r="V174" s="8">
        <f>IF(OR(S174="",T174="",T174=0),"",CEILING(S174/T174,1))</f>
        <v>0</v>
      </c>
      <c r="W174" s="27"/>
      <c r="X174" s="29"/>
      <c r="Y174" s="8">
        <f>IF(OR(C174="",X174=""),"",C174*(1+X174))</f>
        <v>0</v>
      </c>
      <c r="Z174" s="8">
        <f>IF(B174="","",IFERROR(INDEX(Ingredients!$O$5:$O$304,MATCH(B174,Ingredients!$A$5:$A$304,0)),""))</f>
        <v>0</v>
      </c>
      <c r="AA174" s="8">
        <f>IF(B174="","",IF(R174&gt;=C174,"In pantry","To buy"))</f>
        <v>0</v>
      </c>
      <c r="AB174" s="8">
        <f>IF(A174="","",COUNTIFS($A$5:A174,A174))</f>
        <v>0</v>
      </c>
      <c r="AC174" s="8">
        <f>IF(B174="","",IF(COUNTIFS('Dietary Filters'!$C$5:$C$104,B174)&gt;0,"Check","OK"))</f>
        <v>0</v>
      </c>
      <c r="AD174" s="25"/>
    </row>
    <row r="175" spans="1:30">
      <c r="A175" s="7"/>
      <c r="B175" s="7"/>
      <c r="C175" s="26"/>
      <c r="D175" s="27"/>
      <c r="E175" s="8">
        <f>IF(B175="","",IFERROR(INDEX(Ingredients!$B$5:$B$304,MATCH(B175,Ingredients!$A$5:$A$304,0)),""))</f>
        <v>0</v>
      </c>
      <c r="F175" s="8">
        <f>IF(B175="","",IFERROR(INDEX(Ingredients!$E$5:$E$304,MATCH(B175,Ingredients!$A$5:$A$304,0)),""))</f>
        <v>0</v>
      </c>
      <c r="G175" s="8">
        <f>IF(B175="","",IFERROR(INDEX(Ingredients!$D$5:$D$304,MATCH(B175,Ingredients!$A$5:$A$304,0)),""))</f>
        <v>0</v>
      </c>
      <c r="H175" s="8">
        <f>IF(OR(B175="",C175=""),"",IFERROR(C175*G175,""))</f>
        <v>0</v>
      </c>
      <c r="I175" s="8">
        <f>IF(A175="","",IFERROR(INDEX(Recipes!$D$5:$D$204,MATCH(A175,Recipes!$A$5:$A$204,0)),""))</f>
        <v>0</v>
      </c>
      <c r="J175" s="8">
        <f>IF(OR(H175="",I175="",I175=0),"",IFERROR(H175/I175,""))</f>
        <v>0</v>
      </c>
      <c r="K175" s="8">
        <f>IF(OR(B175="",C175=""),"",IFERROR(C175*IFERROR(INDEX(Ingredients!$H$5:$H$304,MATCH(B175,Ingredients!$A$5:$A$304,0)),""),""))</f>
        <v>0</v>
      </c>
      <c r="L175" s="8">
        <f>IF(OR(B175="",C175=""),"",IFERROR(C175*IFERROR(INDEX(Ingredients!$I$5:$I$304,MATCH(B175,Ingredients!$A$5:$A$304,0)),""),""))</f>
        <v>0</v>
      </c>
      <c r="M175" s="8">
        <f>IF(OR(B175="",C175=""),"",IFERROR(C175*IFERROR(INDEX(Ingredients!$J$5:$J$304,MATCH(B175,Ingredients!$A$5:$A$304,0)),""),""))</f>
        <v>0</v>
      </c>
      <c r="N175" s="8">
        <f>IF(OR(B175="",C175=""),"",IFERROR(C175*IFERROR(INDEX(Ingredients!$K$5:$K$304,MATCH(B175,Ingredients!$A$5:$A$304,0)),""),""))</f>
        <v>0</v>
      </c>
      <c r="O175" s="8">
        <f>IF(OR(B175="",C175=""),"",IFERROR(C175*IFERROR(INDEX(Ingredients!$L$5:$L$304,MATCH(B175,Ingredients!$A$5:$A$304,0)),""),""))</f>
        <v>0</v>
      </c>
      <c r="P175" s="8">
        <f>IF(OR(H175="",A175=""),"",IFERROR(H175/SUMIFS('Recipe Ingredients'!$H$5:$H$1204,'Recipe Ingredients'!$A$5:$A$1204,A175),""))</f>
        <v>0</v>
      </c>
      <c r="Q175" s="8">
        <f>IF(H175="","",COUNTIFS($H$5:$H$1204,"&gt;"&amp;H175)+1)</f>
        <v>0</v>
      </c>
      <c r="R175" s="8">
        <f>IF(B175="","",SUMIFS(Pantry!$C$5:$C$304,Pantry!$A$5:$A$304,B175))</f>
        <v>0</v>
      </c>
      <c r="S175" s="8">
        <f>IF(OR(B175="",C175=""),"",MAX(0,C175-R175))</f>
        <v>0</v>
      </c>
      <c r="T175" s="26"/>
      <c r="U175" s="8">
        <f>IF(OR(T175="",T175=0,G175=""),"",T175*G175)</f>
        <v>0</v>
      </c>
      <c r="V175" s="8">
        <f>IF(OR(S175="",T175="",T175=0),"",CEILING(S175/T175,1))</f>
        <v>0</v>
      </c>
      <c r="W175" s="27"/>
      <c r="X175" s="29"/>
      <c r="Y175" s="8">
        <f>IF(OR(C175="",X175=""),"",C175*(1+X175))</f>
        <v>0</v>
      </c>
      <c r="Z175" s="8">
        <f>IF(B175="","",IFERROR(INDEX(Ingredients!$O$5:$O$304,MATCH(B175,Ingredients!$A$5:$A$304,0)),""))</f>
        <v>0</v>
      </c>
      <c r="AA175" s="8">
        <f>IF(B175="","",IF(R175&gt;=C175,"In pantry","To buy"))</f>
        <v>0</v>
      </c>
      <c r="AB175" s="8">
        <f>IF(A175="","",COUNTIFS($A$5:A175,A175))</f>
        <v>0</v>
      </c>
      <c r="AC175" s="8">
        <f>IF(B175="","",IF(COUNTIFS('Dietary Filters'!$C$5:$C$104,B175)&gt;0,"Check","OK"))</f>
        <v>0</v>
      </c>
      <c r="AD175" s="25"/>
    </row>
    <row r="176" spans="1:30">
      <c r="A176" s="7"/>
      <c r="B176" s="7"/>
      <c r="C176" s="26"/>
      <c r="D176" s="27"/>
      <c r="E176" s="8">
        <f>IF(B176="","",IFERROR(INDEX(Ingredients!$B$5:$B$304,MATCH(B176,Ingredients!$A$5:$A$304,0)),""))</f>
        <v>0</v>
      </c>
      <c r="F176" s="8">
        <f>IF(B176="","",IFERROR(INDEX(Ingredients!$E$5:$E$304,MATCH(B176,Ingredients!$A$5:$A$304,0)),""))</f>
        <v>0</v>
      </c>
      <c r="G176" s="8">
        <f>IF(B176="","",IFERROR(INDEX(Ingredients!$D$5:$D$304,MATCH(B176,Ingredients!$A$5:$A$304,0)),""))</f>
        <v>0</v>
      </c>
      <c r="H176" s="8">
        <f>IF(OR(B176="",C176=""),"",IFERROR(C176*G176,""))</f>
        <v>0</v>
      </c>
      <c r="I176" s="8">
        <f>IF(A176="","",IFERROR(INDEX(Recipes!$D$5:$D$204,MATCH(A176,Recipes!$A$5:$A$204,0)),""))</f>
        <v>0</v>
      </c>
      <c r="J176" s="8">
        <f>IF(OR(H176="",I176="",I176=0),"",IFERROR(H176/I176,""))</f>
        <v>0</v>
      </c>
      <c r="K176" s="8">
        <f>IF(OR(B176="",C176=""),"",IFERROR(C176*IFERROR(INDEX(Ingredients!$H$5:$H$304,MATCH(B176,Ingredients!$A$5:$A$304,0)),""),""))</f>
        <v>0</v>
      </c>
      <c r="L176" s="8">
        <f>IF(OR(B176="",C176=""),"",IFERROR(C176*IFERROR(INDEX(Ingredients!$I$5:$I$304,MATCH(B176,Ingredients!$A$5:$A$304,0)),""),""))</f>
        <v>0</v>
      </c>
      <c r="M176" s="8">
        <f>IF(OR(B176="",C176=""),"",IFERROR(C176*IFERROR(INDEX(Ingredients!$J$5:$J$304,MATCH(B176,Ingredients!$A$5:$A$304,0)),""),""))</f>
        <v>0</v>
      </c>
      <c r="N176" s="8">
        <f>IF(OR(B176="",C176=""),"",IFERROR(C176*IFERROR(INDEX(Ingredients!$K$5:$K$304,MATCH(B176,Ingredients!$A$5:$A$304,0)),""),""))</f>
        <v>0</v>
      </c>
      <c r="O176" s="8">
        <f>IF(OR(B176="",C176=""),"",IFERROR(C176*IFERROR(INDEX(Ingredients!$L$5:$L$304,MATCH(B176,Ingredients!$A$5:$A$304,0)),""),""))</f>
        <v>0</v>
      </c>
      <c r="P176" s="8">
        <f>IF(OR(H176="",A176=""),"",IFERROR(H176/SUMIFS('Recipe Ingredients'!$H$5:$H$1204,'Recipe Ingredients'!$A$5:$A$1204,A176),""))</f>
        <v>0</v>
      </c>
      <c r="Q176" s="8">
        <f>IF(H176="","",COUNTIFS($H$5:$H$1204,"&gt;"&amp;H176)+1)</f>
        <v>0</v>
      </c>
      <c r="R176" s="8">
        <f>IF(B176="","",SUMIFS(Pantry!$C$5:$C$304,Pantry!$A$5:$A$304,B176))</f>
        <v>0</v>
      </c>
      <c r="S176" s="8">
        <f>IF(OR(B176="",C176=""),"",MAX(0,C176-R176))</f>
        <v>0</v>
      </c>
      <c r="T176" s="26"/>
      <c r="U176" s="8">
        <f>IF(OR(T176="",T176=0,G176=""),"",T176*G176)</f>
        <v>0</v>
      </c>
      <c r="V176" s="8">
        <f>IF(OR(S176="",T176="",T176=0),"",CEILING(S176/T176,1))</f>
        <v>0</v>
      </c>
      <c r="W176" s="27"/>
      <c r="X176" s="29"/>
      <c r="Y176" s="8">
        <f>IF(OR(C176="",X176=""),"",C176*(1+X176))</f>
        <v>0</v>
      </c>
      <c r="Z176" s="8">
        <f>IF(B176="","",IFERROR(INDEX(Ingredients!$O$5:$O$304,MATCH(B176,Ingredients!$A$5:$A$304,0)),""))</f>
        <v>0</v>
      </c>
      <c r="AA176" s="8">
        <f>IF(B176="","",IF(R176&gt;=C176,"In pantry","To buy"))</f>
        <v>0</v>
      </c>
      <c r="AB176" s="8">
        <f>IF(A176="","",COUNTIFS($A$5:A176,A176))</f>
        <v>0</v>
      </c>
      <c r="AC176" s="8">
        <f>IF(B176="","",IF(COUNTIFS('Dietary Filters'!$C$5:$C$104,B176)&gt;0,"Check","OK"))</f>
        <v>0</v>
      </c>
      <c r="AD176" s="25"/>
    </row>
    <row r="177" spans="1:30">
      <c r="A177" s="7"/>
      <c r="B177" s="7"/>
      <c r="C177" s="26"/>
      <c r="D177" s="27"/>
      <c r="E177" s="8">
        <f>IF(B177="","",IFERROR(INDEX(Ingredients!$B$5:$B$304,MATCH(B177,Ingredients!$A$5:$A$304,0)),""))</f>
        <v>0</v>
      </c>
      <c r="F177" s="8">
        <f>IF(B177="","",IFERROR(INDEX(Ingredients!$E$5:$E$304,MATCH(B177,Ingredients!$A$5:$A$304,0)),""))</f>
        <v>0</v>
      </c>
      <c r="G177" s="8">
        <f>IF(B177="","",IFERROR(INDEX(Ingredients!$D$5:$D$304,MATCH(B177,Ingredients!$A$5:$A$304,0)),""))</f>
        <v>0</v>
      </c>
      <c r="H177" s="8">
        <f>IF(OR(B177="",C177=""),"",IFERROR(C177*G177,""))</f>
        <v>0</v>
      </c>
      <c r="I177" s="8">
        <f>IF(A177="","",IFERROR(INDEX(Recipes!$D$5:$D$204,MATCH(A177,Recipes!$A$5:$A$204,0)),""))</f>
        <v>0</v>
      </c>
      <c r="J177" s="8">
        <f>IF(OR(H177="",I177="",I177=0),"",IFERROR(H177/I177,""))</f>
        <v>0</v>
      </c>
      <c r="K177" s="8">
        <f>IF(OR(B177="",C177=""),"",IFERROR(C177*IFERROR(INDEX(Ingredients!$H$5:$H$304,MATCH(B177,Ingredients!$A$5:$A$304,0)),""),""))</f>
        <v>0</v>
      </c>
      <c r="L177" s="8">
        <f>IF(OR(B177="",C177=""),"",IFERROR(C177*IFERROR(INDEX(Ingredients!$I$5:$I$304,MATCH(B177,Ingredients!$A$5:$A$304,0)),""),""))</f>
        <v>0</v>
      </c>
      <c r="M177" s="8">
        <f>IF(OR(B177="",C177=""),"",IFERROR(C177*IFERROR(INDEX(Ingredients!$J$5:$J$304,MATCH(B177,Ingredients!$A$5:$A$304,0)),""),""))</f>
        <v>0</v>
      </c>
      <c r="N177" s="8">
        <f>IF(OR(B177="",C177=""),"",IFERROR(C177*IFERROR(INDEX(Ingredients!$K$5:$K$304,MATCH(B177,Ingredients!$A$5:$A$304,0)),""),""))</f>
        <v>0</v>
      </c>
      <c r="O177" s="8">
        <f>IF(OR(B177="",C177=""),"",IFERROR(C177*IFERROR(INDEX(Ingredients!$L$5:$L$304,MATCH(B177,Ingredients!$A$5:$A$304,0)),""),""))</f>
        <v>0</v>
      </c>
      <c r="P177" s="8">
        <f>IF(OR(H177="",A177=""),"",IFERROR(H177/SUMIFS('Recipe Ingredients'!$H$5:$H$1204,'Recipe Ingredients'!$A$5:$A$1204,A177),""))</f>
        <v>0</v>
      </c>
      <c r="Q177" s="8">
        <f>IF(H177="","",COUNTIFS($H$5:$H$1204,"&gt;"&amp;H177)+1)</f>
        <v>0</v>
      </c>
      <c r="R177" s="8">
        <f>IF(B177="","",SUMIFS(Pantry!$C$5:$C$304,Pantry!$A$5:$A$304,B177))</f>
        <v>0</v>
      </c>
      <c r="S177" s="8">
        <f>IF(OR(B177="",C177=""),"",MAX(0,C177-R177))</f>
        <v>0</v>
      </c>
      <c r="T177" s="26"/>
      <c r="U177" s="8">
        <f>IF(OR(T177="",T177=0,G177=""),"",T177*G177)</f>
        <v>0</v>
      </c>
      <c r="V177" s="8">
        <f>IF(OR(S177="",T177="",T177=0),"",CEILING(S177/T177,1))</f>
        <v>0</v>
      </c>
      <c r="W177" s="27"/>
      <c r="X177" s="29"/>
      <c r="Y177" s="8">
        <f>IF(OR(C177="",X177=""),"",C177*(1+X177))</f>
        <v>0</v>
      </c>
      <c r="Z177" s="8">
        <f>IF(B177="","",IFERROR(INDEX(Ingredients!$O$5:$O$304,MATCH(B177,Ingredients!$A$5:$A$304,0)),""))</f>
        <v>0</v>
      </c>
      <c r="AA177" s="8">
        <f>IF(B177="","",IF(R177&gt;=C177,"In pantry","To buy"))</f>
        <v>0</v>
      </c>
      <c r="AB177" s="8">
        <f>IF(A177="","",COUNTIFS($A$5:A177,A177))</f>
        <v>0</v>
      </c>
      <c r="AC177" s="8">
        <f>IF(B177="","",IF(COUNTIFS('Dietary Filters'!$C$5:$C$104,B177)&gt;0,"Check","OK"))</f>
        <v>0</v>
      </c>
      <c r="AD177" s="25"/>
    </row>
    <row r="178" spans="1:30">
      <c r="A178" s="7"/>
      <c r="B178" s="7"/>
      <c r="C178" s="26"/>
      <c r="D178" s="27"/>
      <c r="E178" s="8">
        <f>IF(B178="","",IFERROR(INDEX(Ingredients!$B$5:$B$304,MATCH(B178,Ingredients!$A$5:$A$304,0)),""))</f>
        <v>0</v>
      </c>
      <c r="F178" s="8">
        <f>IF(B178="","",IFERROR(INDEX(Ingredients!$E$5:$E$304,MATCH(B178,Ingredients!$A$5:$A$304,0)),""))</f>
        <v>0</v>
      </c>
      <c r="G178" s="8">
        <f>IF(B178="","",IFERROR(INDEX(Ingredients!$D$5:$D$304,MATCH(B178,Ingredients!$A$5:$A$304,0)),""))</f>
        <v>0</v>
      </c>
      <c r="H178" s="8">
        <f>IF(OR(B178="",C178=""),"",IFERROR(C178*G178,""))</f>
        <v>0</v>
      </c>
      <c r="I178" s="8">
        <f>IF(A178="","",IFERROR(INDEX(Recipes!$D$5:$D$204,MATCH(A178,Recipes!$A$5:$A$204,0)),""))</f>
        <v>0</v>
      </c>
      <c r="J178" s="8">
        <f>IF(OR(H178="",I178="",I178=0),"",IFERROR(H178/I178,""))</f>
        <v>0</v>
      </c>
      <c r="K178" s="8">
        <f>IF(OR(B178="",C178=""),"",IFERROR(C178*IFERROR(INDEX(Ingredients!$H$5:$H$304,MATCH(B178,Ingredients!$A$5:$A$304,0)),""),""))</f>
        <v>0</v>
      </c>
      <c r="L178" s="8">
        <f>IF(OR(B178="",C178=""),"",IFERROR(C178*IFERROR(INDEX(Ingredients!$I$5:$I$304,MATCH(B178,Ingredients!$A$5:$A$304,0)),""),""))</f>
        <v>0</v>
      </c>
      <c r="M178" s="8">
        <f>IF(OR(B178="",C178=""),"",IFERROR(C178*IFERROR(INDEX(Ingredients!$J$5:$J$304,MATCH(B178,Ingredients!$A$5:$A$304,0)),""),""))</f>
        <v>0</v>
      </c>
      <c r="N178" s="8">
        <f>IF(OR(B178="",C178=""),"",IFERROR(C178*IFERROR(INDEX(Ingredients!$K$5:$K$304,MATCH(B178,Ingredients!$A$5:$A$304,0)),""),""))</f>
        <v>0</v>
      </c>
      <c r="O178" s="8">
        <f>IF(OR(B178="",C178=""),"",IFERROR(C178*IFERROR(INDEX(Ingredients!$L$5:$L$304,MATCH(B178,Ingredients!$A$5:$A$304,0)),""),""))</f>
        <v>0</v>
      </c>
      <c r="P178" s="8">
        <f>IF(OR(H178="",A178=""),"",IFERROR(H178/SUMIFS('Recipe Ingredients'!$H$5:$H$1204,'Recipe Ingredients'!$A$5:$A$1204,A178),""))</f>
        <v>0</v>
      </c>
      <c r="Q178" s="8">
        <f>IF(H178="","",COUNTIFS($H$5:$H$1204,"&gt;"&amp;H178)+1)</f>
        <v>0</v>
      </c>
      <c r="R178" s="8">
        <f>IF(B178="","",SUMIFS(Pantry!$C$5:$C$304,Pantry!$A$5:$A$304,B178))</f>
        <v>0</v>
      </c>
      <c r="S178" s="8">
        <f>IF(OR(B178="",C178=""),"",MAX(0,C178-R178))</f>
        <v>0</v>
      </c>
      <c r="T178" s="26"/>
      <c r="U178" s="8">
        <f>IF(OR(T178="",T178=0,G178=""),"",T178*G178)</f>
        <v>0</v>
      </c>
      <c r="V178" s="8">
        <f>IF(OR(S178="",T178="",T178=0),"",CEILING(S178/T178,1))</f>
        <v>0</v>
      </c>
      <c r="W178" s="27"/>
      <c r="X178" s="29"/>
      <c r="Y178" s="8">
        <f>IF(OR(C178="",X178=""),"",C178*(1+X178))</f>
        <v>0</v>
      </c>
      <c r="Z178" s="8">
        <f>IF(B178="","",IFERROR(INDEX(Ingredients!$O$5:$O$304,MATCH(B178,Ingredients!$A$5:$A$304,0)),""))</f>
        <v>0</v>
      </c>
      <c r="AA178" s="8">
        <f>IF(B178="","",IF(R178&gt;=C178,"In pantry","To buy"))</f>
        <v>0</v>
      </c>
      <c r="AB178" s="8">
        <f>IF(A178="","",COUNTIFS($A$5:A178,A178))</f>
        <v>0</v>
      </c>
      <c r="AC178" s="8">
        <f>IF(B178="","",IF(COUNTIFS('Dietary Filters'!$C$5:$C$104,B178)&gt;0,"Check","OK"))</f>
        <v>0</v>
      </c>
      <c r="AD178" s="25"/>
    </row>
    <row r="179" spans="1:30">
      <c r="A179" s="7"/>
      <c r="B179" s="7"/>
      <c r="C179" s="26"/>
      <c r="D179" s="27"/>
      <c r="E179" s="8">
        <f>IF(B179="","",IFERROR(INDEX(Ingredients!$B$5:$B$304,MATCH(B179,Ingredients!$A$5:$A$304,0)),""))</f>
        <v>0</v>
      </c>
      <c r="F179" s="8">
        <f>IF(B179="","",IFERROR(INDEX(Ingredients!$E$5:$E$304,MATCH(B179,Ingredients!$A$5:$A$304,0)),""))</f>
        <v>0</v>
      </c>
      <c r="G179" s="8">
        <f>IF(B179="","",IFERROR(INDEX(Ingredients!$D$5:$D$304,MATCH(B179,Ingredients!$A$5:$A$304,0)),""))</f>
        <v>0</v>
      </c>
      <c r="H179" s="8">
        <f>IF(OR(B179="",C179=""),"",IFERROR(C179*G179,""))</f>
        <v>0</v>
      </c>
      <c r="I179" s="8">
        <f>IF(A179="","",IFERROR(INDEX(Recipes!$D$5:$D$204,MATCH(A179,Recipes!$A$5:$A$204,0)),""))</f>
        <v>0</v>
      </c>
      <c r="J179" s="8">
        <f>IF(OR(H179="",I179="",I179=0),"",IFERROR(H179/I179,""))</f>
        <v>0</v>
      </c>
      <c r="K179" s="8">
        <f>IF(OR(B179="",C179=""),"",IFERROR(C179*IFERROR(INDEX(Ingredients!$H$5:$H$304,MATCH(B179,Ingredients!$A$5:$A$304,0)),""),""))</f>
        <v>0</v>
      </c>
      <c r="L179" s="8">
        <f>IF(OR(B179="",C179=""),"",IFERROR(C179*IFERROR(INDEX(Ingredients!$I$5:$I$304,MATCH(B179,Ingredients!$A$5:$A$304,0)),""),""))</f>
        <v>0</v>
      </c>
      <c r="M179" s="8">
        <f>IF(OR(B179="",C179=""),"",IFERROR(C179*IFERROR(INDEX(Ingredients!$J$5:$J$304,MATCH(B179,Ingredients!$A$5:$A$304,0)),""),""))</f>
        <v>0</v>
      </c>
      <c r="N179" s="8">
        <f>IF(OR(B179="",C179=""),"",IFERROR(C179*IFERROR(INDEX(Ingredients!$K$5:$K$304,MATCH(B179,Ingredients!$A$5:$A$304,0)),""),""))</f>
        <v>0</v>
      </c>
      <c r="O179" s="8">
        <f>IF(OR(B179="",C179=""),"",IFERROR(C179*IFERROR(INDEX(Ingredients!$L$5:$L$304,MATCH(B179,Ingredients!$A$5:$A$304,0)),""),""))</f>
        <v>0</v>
      </c>
      <c r="P179" s="8">
        <f>IF(OR(H179="",A179=""),"",IFERROR(H179/SUMIFS('Recipe Ingredients'!$H$5:$H$1204,'Recipe Ingredients'!$A$5:$A$1204,A179),""))</f>
        <v>0</v>
      </c>
      <c r="Q179" s="8">
        <f>IF(H179="","",COUNTIFS($H$5:$H$1204,"&gt;"&amp;H179)+1)</f>
        <v>0</v>
      </c>
      <c r="R179" s="8">
        <f>IF(B179="","",SUMIFS(Pantry!$C$5:$C$304,Pantry!$A$5:$A$304,B179))</f>
        <v>0</v>
      </c>
      <c r="S179" s="8">
        <f>IF(OR(B179="",C179=""),"",MAX(0,C179-R179))</f>
        <v>0</v>
      </c>
      <c r="T179" s="26"/>
      <c r="U179" s="8">
        <f>IF(OR(T179="",T179=0,G179=""),"",T179*G179)</f>
        <v>0</v>
      </c>
      <c r="V179" s="8">
        <f>IF(OR(S179="",T179="",T179=0),"",CEILING(S179/T179,1))</f>
        <v>0</v>
      </c>
      <c r="W179" s="27"/>
      <c r="X179" s="29"/>
      <c r="Y179" s="8">
        <f>IF(OR(C179="",X179=""),"",C179*(1+X179))</f>
        <v>0</v>
      </c>
      <c r="Z179" s="8">
        <f>IF(B179="","",IFERROR(INDEX(Ingredients!$O$5:$O$304,MATCH(B179,Ingredients!$A$5:$A$304,0)),""))</f>
        <v>0</v>
      </c>
      <c r="AA179" s="8">
        <f>IF(B179="","",IF(R179&gt;=C179,"In pantry","To buy"))</f>
        <v>0</v>
      </c>
      <c r="AB179" s="8">
        <f>IF(A179="","",COUNTIFS($A$5:A179,A179))</f>
        <v>0</v>
      </c>
      <c r="AC179" s="8">
        <f>IF(B179="","",IF(COUNTIFS('Dietary Filters'!$C$5:$C$104,B179)&gt;0,"Check","OK"))</f>
        <v>0</v>
      </c>
      <c r="AD179" s="25"/>
    </row>
    <row r="180" spans="1:30">
      <c r="A180" s="7"/>
      <c r="B180" s="7"/>
      <c r="C180" s="26"/>
      <c r="D180" s="27"/>
      <c r="E180" s="8">
        <f>IF(B180="","",IFERROR(INDEX(Ingredients!$B$5:$B$304,MATCH(B180,Ingredients!$A$5:$A$304,0)),""))</f>
        <v>0</v>
      </c>
      <c r="F180" s="8">
        <f>IF(B180="","",IFERROR(INDEX(Ingredients!$E$5:$E$304,MATCH(B180,Ingredients!$A$5:$A$304,0)),""))</f>
        <v>0</v>
      </c>
      <c r="G180" s="8">
        <f>IF(B180="","",IFERROR(INDEX(Ingredients!$D$5:$D$304,MATCH(B180,Ingredients!$A$5:$A$304,0)),""))</f>
        <v>0</v>
      </c>
      <c r="H180" s="8">
        <f>IF(OR(B180="",C180=""),"",IFERROR(C180*G180,""))</f>
        <v>0</v>
      </c>
      <c r="I180" s="8">
        <f>IF(A180="","",IFERROR(INDEX(Recipes!$D$5:$D$204,MATCH(A180,Recipes!$A$5:$A$204,0)),""))</f>
        <v>0</v>
      </c>
      <c r="J180" s="8">
        <f>IF(OR(H180="",I180="",I180=0),"",IFERROR(H180/I180,""))</f>
        <v>0</v>
      </c>
      <c r="K180" s="8">
        <f>IF(OR(B180="",C180=""),"",IFERROR(C180*IFERROR(INDEX(Ingredients!$H$5:$H$304,MATCH(B180,Ingredients!$A$5:$A$304,0)),""),""))</f>
        <v>0</v>
      </c>
      <c r="L180" s="8">
        <f>IF(OR(B180="",C180=""),"",IFERROR(C180*IFERROR(INDEX(Ingredients!$I$5:$I$304,MATCH(B180,Ingredients!$A$5:$A$304,0)),""),""))</f>
        <v>0</v>
      </c>
      <c r="M180" s="8">
        <f>IF(OR(B180="",C180=""),"",IFERROR(C180*IFERROR(INDEX(Ingredients!$J$5:$J$304,MATCH(B180,Ingredients!$A$5:$A$304,0)),""),""))</f>
        <v>0</v>
      </c>
      <c r="N180" s="8">
        <f>IF(OR(B180="",C180=""),"",IFERROR(C180*IFERROR(INDEX(Ingredients!$K$5:$K$304,MATCH(B180,Ingredients!$A$5:$A$304,0)),""),""))</f>
        <v>0</v>
      </c>
      <c r="O180" s="8">
        <f>IF(OR(B180="",C180=""),"",IFERROR(C180*IFERROR(INDEX(Ingredients!$L$5:$L$304,MATCH(B180,Ingredients!$A$5:$A$304,0)),""),""))</f>
        <v>0</v>
      </c>
      <c r="P180" s="8">
        <f>IF(OR(H180="",A180=""),"",IFERROR(H180/SUMIFS('Recipe Ingredients'!$H$5:$H$1204,'Recipe Ingredients'!$A$5:$A$1204,A180),""))</f>
        <v>0</v>
      </c>
      <c r="Q180" s="8">
        <f>IF(H180="","",COUNTIFS($H$5:$H$1204,"&gt;"&amp;H180)+1)</f>
        <v>0</v>
      </c>
      <c r="R180" s="8">
        <f>IF(B180="","",SUMIFS(Pantry!$C$5:$C$304,Pantry!$A$5:$A$304,B180))</f>
        <v>0</v>
      </c>
      <c r="S180" s="8">
        <f>IF(OR(B180="",C180=""),"",MAX(0,C180-R180))</f>
        <v>0</v>
      </c>
      <c r="T180" s="26"/>
      <c r="U180" s="8">
        <f>IF(OR(T180="",T180=0,G180=""),"",T180*G180)</f>
        <v>0</v>
      </c>
      <c r="V180" s="8">
        <f>IF(OR(S180="",T180="",T180=0),"",CEILING(S180/T180,1))</f>
        <v>0</v>
      </c>
      <c r="W180" s="27"/>
      <c r="X180" s="29"/>
      <c r="Y180" s="8">
        <f>IF(OR(C180="",X180=""),"",C180*(1+X180))</f>
        <v>0</v>
      </c>
      <c r="Z180" s="8">
        <f>IF(B180="","",IFERROR(INDEX(Ingredients!$O$5:$O$304,MATCH(B180,Ingredients!$A$5:$A$304,0)),""))</f>
        <v>0</v>
      </c>
      <c r="AA180" s="8">
        <f>IF(B180="","",IF(R180&gt;=C180,"In pantry","To buy"))</f>
        <v>0</v>
      </c>
      <c r="AB180" s="8">
        <f>IF(A180="","",COUNTIFS($A$5:A180,A180))</f>
        <v>0</v>
      </c>
      <c r="AC180" s="8">
        <f>IF(B180="","",IF(COUNTIFS('Dietary Filters'!$C$5:$C$104,B180)&gt;0,"Check","OK"))</f>
        <v>0</v>
      </c>
      <c r="AD180" s="25"/>
    </row>
    <row r="181" spans="1:30">
      <c r="A181" s="7"/>
      <c r="B181" s="7"/>
      <c r="C181" s="26"/>
      <c r="D181" s="27"/>
      <c r="E181" s="8">
        <f>IF(B181="","",IFERROR(INDEX(Ingredients!$B$5:$B$304,MATCH(B181,Ingredients!$A$5:$A$304,0)),""))</f>
        <v>0</v>
      </c>
      <c r="F181" s="8">
        <f>IF(B181="","",IFERROR(INDEX(Ingredients!$E$5:$E$304,MATCH(B181,Ingredients!$A$5:$A$304,0)),""))</f>
        <v>0</v>
      </c>
      <c r="G181" s="8">
        <f>IF(B181="","",IFERROR(INDEX(Ingredients!$D$5:$D$304,MATCH(B181,Ingredients!$A$5:$A$304,0)),""))</f>
        <v>0</v>
      </c>
      <c r="H181" s="8">
        <f>IF(OR(B181="",C181=""),"",IFERROR(C181*G181,""))</f>
        <v>0</v>
      </c>
      <c r="I181" s="8">
        <f>IF(A181="","",IFERROR(INDEX(Recipes!$D$5:$D$204,MATCH(A181,Recipes!$A$5:$A$204,0)),""))</f>
        <v>0</v>
      </c>
      <c r="J181" s="8">
        <f>IF(OR(H181="",I181="",I181=0),"",IFERROR(H181/I181,""))</f>
        <v>0</v>
      </c>
      <c r="K181" s="8">
        <f>IF(OR(B181="",C181=""),"",IFERROR(C181*IFERROR(INDEX(Ingredients!$H$5:$H$304,MATCH(B181,Ingredients!$A$5:$A$304,0)),""),""))</f>
        <v>0</v>
      </c>
      <c r="L181" s="8">
        <f>IF(OR(B181="",C181=""),"",IFERROR(C181*IFERROR(INDEX(Ingredients!$I$5:$I$304,MATCH(B181,Ingredients!$A$5:$A$304,0)),""),""))</f>
        <v>0</v>
      </c>
      <c r="M181" s="8">
        <f>IF(OR(B181="",C181=""),"",IFERROR(C181*IFERROR(INDEX(Ingredients!$J$5:$J$304,MATCH(B181,Ingredients!$A$5:$A$304,0)),""),""))</f>
        <v>0</v>
      </c>
      <c r="N181" s="8">
        <f>IF(OR(B181="",C181=""),"",IFERROR(C181*IFERROR(INDEX(Ingredients!$K$5:$K$304,MATCH(B181,Ingredients!$A$5:$A$304,0)),""),""))</f>
        <v>0</v>
      </c>
      <c r="O181" s="8">
        <f>IF(OR(B181="",C181=""),"",IFERROR(C181*IFERROR(INDEX(Ingredients!$L$5:$L$304,MATCH(B181,Ingredients!$A$5:$A$304,0)),""),""))</f>
        <v>0</v>
      </c>
      <c r="P181" s="8">
        <f>IF(OR(H181="",A181=""),"",IFERROR(H181/SUMIFS('Recipe Ingredients'!$H$5:$H$1204,'Recipe Ingredients'!$A$5:$A$1204,A181),""))</f>
        <v>0</v>
      </c>
      <c r="Q181" s="8">
        <f>IF(H181="","",COUNTIFS($H$5:$H$1204,"&gt;"&amp;H181)+1)</f>
        <v>0</v>
      </c>
      <c r="R181" s="8">
        <f>IF(B181="","",SUMIFS(Pantry!$C$5:$C$304,Pantry!$A$5:$A$304,B181))</f>
        <v>0</v>
      </c>
      <c r="S181" s="8">
        <f>IF(OR(B181="",C181=""),"",MAX(0,C181-R181))</f>
        <v>0</v>
      </c>
      <c r="T181" s="26"/>
      <c r="U181" s="8">
        <f>IF(OR(T181="",T181=0,G181=""),"",T181*G181)</f>
        <v>0</v>
      </c>
      <c r="V181" s="8">
        <f>IF(OR(S181="",T181="",T181=0),"",CEILING(S181/T181,1))</f>
        <v>0</v>
      </c>
      <c r="W181" s="27"/>
      <c r="X181" s="29"/>
      <c r="Y181" s="8">
        <f>IF(OR(C181="",X181=""),"",C181*(1+X181))</f>
        <v>0</v>
      </c>
      <c r="Z181" s="8">
        <f>IF(B181="","",IFERROR(INDEX(Ingredients!$O$5:$O$304,MATCH(B181,Ingredients!$A$5:$A$304,0)),""))</f>
        <v>0</v>
      </c>
      <c r="AA181" s="8">
        <f>IF(B181="","",IF(R181&gt;=C181,"In pantry","To buy"))</f>
        <v>0</v>
      </c>
      <c r="AB181" s="8">
        <f>IF(A181="","",COUNTIFS($A$5:A181,A181))</f>
        <v>0</v>
      </c>
      <c r="AC181" s="8">
        <f>IF(B181="","",IF(COUNTIFS('Dietary Filters'!$C$5:$C$104,B181)&gt;0,"Check","OK"))</f>
        <v>0</v>
      </c>
      <c r="AD181" s="25"/>
    </row>
    <row r="182" spans="1:30">
      <c r="A182" s="7"/>
      <c r="B182" s="7"/>
      <c r="C182" s="26"/>
      <c r="D182" s="27"/>
      <c r="E182" s="8">
        <f>IF(B182="","",IFERROR(INDEX(Ingredients!$B$5:$B$304,MATCH(B182,Ingredients!$A$5:$A$304,0)),""))</f>
        <v>0</v>
      </c>
      <c r="F182" s="8">
        <f>IF(B182="","",IFERROR(INDEX(Ingredients!$E$5:$E$304,MATCH(B182,Ingredients!$A$5:$A$304,0)),""))</f>
        <v>0</v>
      </c>
      <c r="G182" s="8">
        <f>IF(B182="","",IFERROR(INDEX(Ingredients!$D$5:$D$304,MATCH(B182,Ingredients!$A$5:$A$304,0)),""))</f>
        <v>0</v>
      </c>
      <c r="H182" s="8">
        <f>IF(OR(B182="",C182=""),"",IFERROR(C182*G182,""))</f>
        <v>0</v>
      </c>
      <c r="I182" s="8">
        <f>IF(A182="","",IFERROR(INDEX(Recipes!$D$5:$D$204,MATCH(A182,Recipes!$A$5:$A$204,0)),""))</f>
        <v>0</v>
      </c>
      <c r="J182" s="8">
        <f>IF(OR(H182="",I182="",I182=0),"",IFERROR(H182/I182,""))</f>
        <v>0</v>
      </c>
      <c r="K182" s="8">
        <f>IF(OR(B182="",C182=""),"",IFERROR(C182*IFERROR(INDEX(Ingredients!$H$5:$H$304,MATCH(B182,Ingredients!$A$5:$A$304,0)),""),""))</f>
        <v>0</v>
      </c>
      <c r="L182" s="8">
        <f>IF(OR(B182="",C182=""),"",IFERROR(C182*IFERROR(INDEX(Ingredients!$I$5:$I$304,MATCH(B182,Ingredients!$A$5:$A$304,0)),""),""))</f>
        <v>0</v>
      </c>
      <c r="M182" s="8">
        <f>IF(OR(B182="",C182=""),"",IFERROR(C182*IFERROR(INDEX(Ingredients!$J$5:$J$304,MATCH(B182,Ingredients!$A$5:$A$304,0)),""),""))</f>
        <v>0</v>
      </c>
      <c r="N182" s="8">
        <f>IF(OR(B182="",C182=""),"",IFERROR(C182*IFERROR(INDEX(Ingredients!$K$5:$K$304,MATCH(B182,Ingredients!$A$5:$A$304,0)),""),""))</f>
        <v>0</v>
      </c>
      <c r="O182" s="8">
        <f>IF(OR(B182="",C182=""),"",IFERROR(C182*IFERROR(INDEX(Ingredients!$L$5:$L$304,MATCH(B182,Ingredients!$A$5:$A$304,0)),""),""))</f>
        <v>0</v>
      </c>
      <c r="P182" s="8">
        <f>IF(OR(H182="",A182=""),"",IFERROR(H182/SUMIFS('Recipe Ingredients'!$H$5:$H$1204,'Recipe Ingredients'!$A$5:$A$1204,A182),""))</f>
        <v>0</v>
      </c>
      <c r="Q182" s="8">
        <f>IF(H182="","",COUNTIFS($H$5:$H$1204,"&gt;"&amp;H182)+1)</f>
        <v>0</v>
      </c>
      <c r="R182" s="8">
        <f>IF(B182="","",SUMIFS(Pantry!$C$5:$C$304,Pantry!$A$5:$A$304,B182))</f>
        <v>0</v>
      </c>
      <c r="S182" s="8">
        <f>IF(OR(B182="",C182=""),"",MAX(0,C182-R182))</f>
        <v>0</v>
      </c>
      <c r="T182" s="26"/>
      <c r="U182" s="8">
        <f>IF(OR(T182="",T182=0,G182=""),"",T182*G182)</f>
        <v>0</v>
      </c>
      <c r="V182" s="8">
        <f>IF(OR(S182="",T182="",T182=0),"",CEILING(S182/T182,1))</f>
        <v>0</v>
      </c>
      <c r="W182" s="27"/>
      <c r="X182" s="29"/>
      <c r="Y182" s="8">
        <f>IF(OR(C182="",X182=""),"",C182*(1+X182))</f>
        <v>0</v>
      </c>
      <c r="Z182" s="8">
        <f>IF(B182="","",IFERROR(INDEX(Ingredients!$O$5:$O$304,MATCH(B182,Ingredients!$A$5:$A$304,0)),""))</f>
        <v>0</v>
      </c>
      <c r="AA182" s="8">
        <f>IF(B182="","",IF(R182&gt;=C182,"In pantry","To buy"))</f>
        <v>0</v>
      </c>
      <c r="AB182" s="8">
        <f>IF(A182="","",COUNTIFS($A$5:A182,A182))</f>
        <v>0</v>
      </c>
      <c r="AC182" s="8">
        <f>IF(B182="","",IF(COUNTIFS('Dietary Filters'!$C$5:$C$104,B182)&gt;0,"Check","OK"))</f>
        <v>0</v>
      </c>
      <c r="AD182" s="25"/>
    </row>
    <row r="183" spans="1:30">
      <c r="A183" s="7"/>
      <c r="B183" s="7"/>
      <c r="C183" s="26"/>
      <c r="D183" s="27"/>
      <c r="E183" s="8">
        <f>IF(B183="","",IFERROR(INDEX(Ingredients!$B$5:$B$304,MATCH(B183,Ingredients!$A$5:$A$304,0)),""))</f>
        <v>0</v>
      </c>
      <c r="F183" s="8">
        <f>IF(B183="","",IFERROR(INDEX(Ingredients!$E$5:$E$304,MATCH(B183,Ingredients!$A$5:$A$304,0)),""))</f>
        <v>0</v>
      </c>
      <c r="G183" s="8">
        <f>IF(B183="","",IFERROR(INDEX(Ingredients!$D$5:$D$304,MATCH(B183,Ingredients!$A$5:$A$304,0)),""))</f>
        <v>0</v>
      </c>
      <c r="H183" s="8">
        <f>IF(OR(B183="",C183=""),"",IFERROR(C183*G183,""))</f>
        <v>0</v>
      </c>
      <c r="I183" s="8">
        <f>IF(A183="","",IFERROR(INDEX(Recipes!$D$5:$D$204,MATCH(A183,Recipes!$A$5:$A$204,0)),""))</f>
        <v>0</v>
      </c>
      <c r="J183" s="8">
        <f>IF(OR(H183="",I183="",I183=0),"",IFERROR(H183/I183,""))</f>
        <v>0</v>
      </c>
      <c r="K183" s="8">
        <f>IF(OR(B183="",C183=""),"",IFERROR(C183*IFERROR(INDEX(Ingredients!$H$5:$H$304,MATCH(B183,Ingredients!$A$5:$A$304,0)),""),""))</f>
        <v>0</v>
      </c>
      <c r="L183" s="8">
        <f>IF(OR(B183="",C183=""),"",IFERROR(C183*IFERROR(INDEX(Ingredients!$I$5:$I$304,MATCH(B183,Ingredients!$A$5:$A$304,0)),""),""))</f>
        <v>0</v>
      </c>
      <c r="M183" s="8">
        <f>IF(OR(B183="",C183=""),"",IFERROR(C183*IFERROR(INDEX(Ingredients!$J$5:$J$304,MATCH(B183,Ingredients!$A$5:$A$304,0)),""),""))</f>
        <v>0</v>
      </c>
      <c r="N183" s="8">
        <f>IF(OR(B183="",C183=""),"",IFERROR(C183*IFERROR(INDEX(Ingredients!$K$5:$K$304,MATCH(B183,Ingredients!$A$5:$A$304,0)),""),""))</f>
        <v>0</v>
      </c>
      <c r="O183" s="8">
        <f>IF(OR(B183="",C183=""),"",IFERROR(C183*IFERROR(INDEX(Ingredients!$L$5:$L$304,MATCH(B183,Ingredients!$A$5:$A$304,0)),""),""))</f>
        <v>0</v>
      </c>
      <c r="P183" s="8">
        <f>IF(OR(H183="",A183=""),"",IFERROR(H183/SUMIFS('Recipe Ingredients'!$H$5:$H$1204,'Recipe Ingredients'!$A$5:$A$1204,A183),""))</f>
        <v>0</v>
      </c>
      <c r="Q183" s="8">
        <f>IF(H183="","",COUNTIFS($H$5:$H$1204,"&gt;"&amp;H183)+1)</f>
        <v>0</v>
      </c>
      <c r="R183" s="8">
        <f>IF(B183="","",SUMIFS(Pantry!$C$5:$C$304,Pantry!$A$5:$A$304,B183))</f>
        <v>0</v>
      </c>
      <c r="S183" s="8">
        <f>IF(OR(B183="",C183=""),"",MAX(0,C183-R183))</f>
        <v>0</v>
      </c>
      <c r="T183" s="26"/>
      <c r="U183" s="8">
        <f>IF(OR(T183="",T183=0,G183=""),"",T183*G183)</f>
        <v>0</v>
      </c>
      <c r="V183" s="8">
        <f>IF(OR(S183="",T183="",T183=0),"",CEILING(S183/T183,1))</f>
        <v>0</v>
      </c>
      <c r="W183" s="27"/>
      <c r="X183" s="29"/>
      <c r="Y183" s="8">
        <f>IF(OR(C183="",X183=""),"",C183*(1+X183))</f>
        <v>0</v>
      </c>
      <c r="Z183" s="8">
        <f>IF(B183="","",IFERROR(INDEX(Ingredients!$O$5:$O$304,MATCH(B183,Ingredients!$A$5:$A$304,0)),""))</f>
        <v>0</v>
      </c>
      <c r="AA183" s="8">
        <f>IF(B183="","",IF(R183&gt;=C183,"In pantry","To buy"))</f>
        <v>0</v>
      </c>
      <c r="AB183" s="8">
        <f>IF(A183="","",COUNTIFS($A$5:A183,A183))</f>
        <v>0</v>
      </c>
      <c r="AC183" s="8">
        <f>IF(B183="","",IF(COUNTIFS('Dietary Filters'!$C$5:$C$104,B183)&gt;0,"Check","OK"))</f>
        <v>0</v>
      </c>
      <c r="AD183" s="25"/>
    </row>
    <row r="184" spans="1:30">
      <c r="A184" s="7"/>
      <c r="B184" s="7"/>
      <c r="C184" s="26"/>
      <c r="D184" s="27"/>
      <c r="E184" s="8">
        <f>IF(B184="","",IFERROR(INDEX(Ingredients!$B$5:$B$304,MATCH(B184,Ingredients!$A$5:$A$304,0)),""))</f>
        <v>0</v>
      </c>
      <c r="F184" s="8">
        <f>IF(B184="","",IFERROR(INDEX(Ingredients!$E$5:$E$304,MATCH(B184,Ingredients!$A$5:$A$304,0)),""))</f>
        <v>0</v>
      </c>
      <c r="G184" s="8">
        <f>IF(B184="","",IFERROR(INDEX(Ingredients!$D$5:$D$304,MATCH(B184,Ingredients!$A$5:$A$304,0)),""))</f>
        <v>0</v>
      </c>
      <c r="H184" s="8">
        <f>IF(OR(B184="",C184=""),"",IFERROR(C184*G184,""))</f>
        <v>0</v>
      </c>
      <c r="I184" s="8">
        <f>IF(A184="","",IFERROR(INDEX(Recipes!$D$5:$D$204,MATCH(A184,Recipes!$A$5:$A$204,0)),""))</f>
        <v>0</v>
      </c>
      <c r="J184" s="8">
        <f>IF(OR(H184="",I184="",I184=0),"",IFERROR(H184/I184,""))</f>
        <v>0</v>
      </c>
      <c r="K184" s="8">
        <f>IF(OR(B184="",C184=""),"",IFERROR(C184*IFERROR(INDEX(Ingredients!$H$5:$H$304,MATCH(B184,Ingredients!$A$5:$A$304,0)),""),""))</f>
        <v>0</v>
      </c>
      <c r="L184" s="8">
        <f>IF(OR(B184="",C184=""),"",IFERROR(C184*IFERROR(INDEX(Ingredients!$I$5:$I$304,MATCH(B184,Ingredients!$A$5:$A$304,0)),""),""))</f>
        <v>0</v>
      </c>
      <c r="M184" s="8">
        <f>IF(OR(B184="",C184=""),"",IFERROR(C184*IFERROR(INDEX(Ingredients!$J$5:$J$304,MATCH(B184,Ingredients!$A$5:$A$304,0)),""),""))</f>
        <v>0</v>
      </c>
      <c r="N184" s="8">
        <f>IF(OR(B184="",C184=""),"",IFERROR(C184*IFERROR(INDEX(Ingredients!$K$5:$K$304,MATCH(B184,Ingredients!$A$5:$A$304,0)),""),""))</f>
        <v>0</v>
      </c>
      <c r="O184" s="8">
        <f>IF(OR(B184="",C184=""),"",IFERROR(C184*IFERROR(INDEX(Ingredients!$L$5:$L$304,MATCH(B184,Ingredients!$A$5:$A$304,0)),""),""))</f>
        <v>0</v>
      </c>
      <c r="P184" s="8">
        <f>IF(OR(H184="",A184=""),"",IFERROR(H184/SUMIFS('Recipe Ingredients'!$H$5:$H$1204,'Recipe Ingredients'!$A$5:$A$1204,A184),""))</f>
        <v>0</v>
      </c>
      <c r="Q184" s="8">
        <f>IF(H184="","",COUNTIFS($H$5:$H$1204,"&gt;"&amp;H184)+1)</f>
        <v>0</v>
      </c>
      <c r="R184" s="8">
        <f>IF(B184="","",SUMIFS(Pantry!$C$5:$C$304,Pantry!$A$5:$A$304,B184))</f>
        <v>0</v>
      </c>
      <c r="S184" s="8">
        <f>IF(OR(B184="",C184=""),"",MAX(0,C184-R184))</f>
        <v>0</v>
      </c>
      <c r="T184" s="26"/>
      <c r="U184" s="8">
        <f>IF(OR(T184="",T184=0,G184=""),"",T184*G184)</f>
        <v>0</v>
      </c>
      <c r="V184" s="8">
        <f>IF(OR(S184="",T184="",T184=0),"",CEILING(S184/T184,1))</f>
        <v>0</v>
      </c>
      <c r="W184" s="27"/>
      <c r="X184" s="29"/>
      <c r="Y184" s="8">
        <f>IF(OR(C184="",X184=""),"",C184*(1+X184))</f>
        <v>0</v>
      </c>
      <c r="Z184" s="8">
        <f>IF(B184="","",IFERROR(INDEX(Ingredients!$O$5:$O$304,MATCH(B184,Ingredients!$A$5:$A$304,0)),""))</f>
        <v>0</v>
      </c>
      <c r="AA184" s="8">
        <f>IF(B184="","",IF(R184&gt;=C184,"In pantry","To buy"))</f>
        <v>0</v>
      </c>
      <c r="AB184" s="8">
        <f>IF(A184="","",COUNTIFS($A$5:A184,A184))</f>
        <v>0</v>
      </c>
      <c r="AC184" s="8">
        <f>IF(B184="","",IF(COUNTIFS('Dietary Filters'!$C$5:$C$104,B184)&gt;0,"Check","OK"))</f>
        <v>0</v>
      </c>
      <c r="AD184" s="25"/>
    </row>
    <row r="185" spans="1:30">
      <c r="A185" s="7"/>
      <c r="B185" s="7"/>
      <c r="C185" s="26"/>
      <c r="D185" s="27"/>
      <c r="E185" s="8">
        <f>IF(B185="","",IFERROR(INDEX(Ingredients!$B$5:$B$304,MATCH(B185,Ingredients!$A$5:$A$304,0)),""))</f>
        <v>0</v>
      </c>
      <c r="F185" s="8">
        <f>IF(B185="","",IFERROR(INDEX(Ingredients!$E$5:$E$304,MATCH(B185,Ingredients!$A$5:$A$304,0)),""))</f>
        <v>0</v>
      </c>
      <c r="G185" s="8">
        <f>IF(B185="","",IFERROR(INDEX(Ingredients!$D$5:$D$304,MATCH(B185,Ingredients!$A$5:$A$304,0)),""))</f>
        <v>0</v>
      </c>
      <c r="H185" s="8">
        <f>IF(OR(B185="",C185=""),"",IFERROR(C185*G185,""))</f>
        <v>0</v>
      </c>
      <c r="I185" s="8">
        <f>IF(A185="","",IFERROR(INDEX(Recipes!$D$5:$D$204,MATCH(A185,Recipes!$A$5:$A$204,0)),""))</f>
        <v>0</v>
      </c>
      <c r="J185" s="8">
        <f>IF(OR(H185="",I185="",I185=0),"",IFERROR(H185/I185,""))</f>
        <v>0</v>
      </c>
      <c r="K185" s="8">
        <f>IF(OR(B185="",C185=""),"",IFERROR(C185*IFERROR(INDEX(Ingredients!$H$5:$H$304,MATCH(B185,Ingredients!$A$5:$A$304,0)),""),""))</f>
        <v>0</v>
      </c>
      <c r="L185" s="8">
        <f>IF(OR(B185="",C185=""),"",IFERROR(C185*IFERROR(INDEX(Ingredients!$I$5:$I$304,MATCH(B185,Ingredients!$A$5:$A$304,0)),""),""))</f>
        <v>0</v>
      </c>
      <c r="M185" s="8">
        <f>IF(OR(B185="",C185=""),"",IFERROR(C185*IFERROR(INDEX(Ingredients!$J$5:$J$304,MATCH(B185,Ingredients!$A$5:$A$304,0)),""),""))</f>
        <v>0</v>
      </c>
      <c r="N185" s="8">
        <f>IF(OR(B185="",C185=""),"",IFERROR(C185*IFERROR(INDEX(Ingredients!$K$5:$K$304,MATCH(B185,Ingredients!$A$5:$A$304,0)),""),""))</f>
        <v>0</v>
      </c>
      <c r="O185" s="8">
        <f>IF(OR(B185="",C185=""),"",IFERROR(C185*IFERROR(INDEX(Ingredients!$L$5:$L$304,MATCH(B185,Ingredients!$A$5:$A$304,0)),""),""))</f>
        <v>0</v>
      </c>
      <c r="P185" s="8">
        <f>IF(OR(H185="",A185=""),"",IFERROR(H185/SUMIFS('Recipe Ingredients'!$H$5:$H$1204,'Recipe Ingredients'!$A$5:$A$1204,A185),""))</f>
        <v>0</v>
      </c>
      <c r="Q185" s="8">
        <f>IF(H185="","",COUNTIFS($H$5:$H$1204,"&gt;"&amp;H185)+1)</f>
        <v>0</v>
      </c>
      <c r="R185" s="8">
        <f>IF(B185="","",SUMIFS(Pantry!$C$5:$C$304,Pantry!$A$5:$A$304,B185))</f>
        <v>0</v>
      </c>
      <c r="S185" s="8">
        <f>IF(OR(B185="",C185=""),"",MAX(0,C185-R185))</f>
        <v>0</v>
      </c>
      <c r="T185" s="26"/>
      <c r="U185" s="8">
        <f>IF(OR(T185="",T185=0,G185=""),"",T185*G185)</f>
        <v>0</v>
      </c>
      <c r="V185" s="8">
        <f>IF(OR(S185="",T185="",T185=0),"",CEILING(S185/T185,1))</f>
        <v>0</v>
      </c>
      <c r="W185" s="27"/>
      <c r="X185" s="29"/>
      <c r="Y185" s="8">
        <f>IF(OR(C185="",X185=""),"",C185*(1+X185))</f>
        <v>0</v>
      </c>
      <c r="Z185" s="8">
        <f>IF(B185="","",IFERROR(INDEX(Ingredients!$O$5:$O$304,MATCH(B185,Ingredients!$A$5:$A$304,0)),""))</f>
        <v>0</v>
      </c>
      <c r="AA185" s="8">
        <f>IF(B185="","",IF(R185&gt;=C185,"In pantry","To buy"))</f>
        <v>0</v>
      </c>
      <c r="AB185" s="8">
        <f>IF(A185="","",COUNTIFS($A$5:A185,A185))</f>
        <v>0</v>
      </c>
      <c r="AC185" s="8">
        <f>IF(B185="","",IF(COUNTIFS('Dietary Filters'!$C$5:$C$104,B185)&gt;0,"Check","OK"))</f>
        <v>0</v>
      </c>
      <c r="AD185" s="25"/>
    </row>
    <row r="186" spans="1:30">
      <c r="A186" s="7"/>
      <c r="B186" s="7"/>
      <c r="C186" s="26"/>
      <c r="D186" s="27"/>
      <c r="E186" s="8">
        <f>IF(B186="","",IFERROR(INDEX(Ingredients!$B$5:$B$304,MATCH(B186,Ingredients!$A$5:$A$304,0)),""))</f>
        <v>0</v>
      </c>
      <c r="F186" s="8">
        <f>IF(B186="","",IFERROR(INDEX(Ingredients!$E$5:$E$304,MATCH(B186,Ingredients!$A$5:$A$304,0)),""))</f>
        <v>0</v>
      </c>
      <c r="G186" s="8">
        <f>IF(B186="","",IFERROR(INDEX(Ingredients!$D$5:$D$304,MATCH(B186,Ingredients!$A$5:$A$304,0)),""))</f>
        <v>0</v>
      </c>
      <c r="H186" s="8">
        <f>IF(OR(B186="",C186=""),"",IFERROR(C186*G186,""))</f>
        <v>0</v>
      </c>
      <c r="I186" s="8">
        <f>IF(A186="","",IFERROR(INDEX(Recipes!$D$5:$D$204,MATCH(A186,Recipes!$A$5:$A$204,0)),""))</f>
        <v>0</v>
      </c>
      <c r="J186" s="8">
        <f>IF(OR(H186="",I186="",I186=0),"",IFERROR(H186/I186,""))</f>
        <v>0</v>
      </c>
      <c r="K186" s="8">
        <f>IF(OR(B186="",C186=""),"",IFERROR(C186*IFERROR(INDEX(Ingredients!$H$5:$H$304,MATCH(B186,Ingredients!$A$5:$A$304,0)),""),""))</f>
        <v>0</v>
      </c>
      <c r="L186" s="8">
        <f>IF(OR(B186="",C186=""),"",IFERROR(C186*IFERROR(INDEX(Ingredients!$I$5:$I$304,MATCH(B186,Ingredients!$A$5:$A$304,0)),""),""))</f>
        <v>0</v>
      </c>
      <c r="M186" s="8">
        <f>IF(OR(B186="",C186=""),"",IFERROR(C186*IFERROR(INDEX(Ingredients!$J$5:$J$304,MATCH(B186,Ingredients!$A$5:$A$304,0)),""),""))</f>
        <v>0</v>
      </c>
      <c r="N186" s="8">
        <f>IF(OR(B186="",C186=""),"",IFERROR(C186*IFERROR(INDEX(Ingredients!$K$5:$K$304,MATCH(B186,Ingredients!$A$5:$A$304,0)),""),""))</f>
        <v>0</v>
      </c>
      <c r="O186" s="8">
        <f>IF(OR(B186="",C186=""),"",IFERROR(C186*IFERROR(INDEX(Ingredients!$L$5:$L$304,MATCH(B186,Ingredients!$A$5:$A$304,0)),""),""))</f>
        <v>0</v>
      </c>
      <c r="P186" s="8">
        <f>IF(OR(H186="",A186=""),"",IFERROR(H186/SUMIFS('Recipe Ingredients'!$H$5:$H$1204,'Recipe Ingredients'!$A$5:$A$1204,A186),""))</f>
        <v>0</v>
      </c>
      <c r="Q186" s="8">
        <f>IF(H186="","",COUNTIFS($H$5:$H$1204,"&gt;"&amp;H186)+1)</f>
        <v>0</v>
      </c>
      <c r="R186" s="8">
        <f>IF(B186="","",SUMIFS(Pantry!$C$5:$C$304,Pantry!$A$5:$A$304,B186))</f>
        <v>0</v>
      </c>
      <c r="S186" s="8">
        <f>IF(OR(B186="",C186=""),"",MAX(0,C186-R186))</f>
        <v>0</v>
      </c>
      <c r="T186" s="26"/>
      <c r="U186" s="8">
        <f>IF(OR(T186="",T186=0,G186=""),"",T186*G186)</f>
        <v>0</v>
      </c>
      <c r="V186" s="8">
        <f>IF(OR(S186="",T186="",T186=0),"",CEILING(S186/T186,1))</f>
        <v>0</v>
      </c>
      <c r="W186" s="27"/>
      <c r="X186" s="29"/>
      <c r="Y186" s="8">
        <f>IF(OR(C186="",X186=""),"",C186*(1+X186))</f>
        <v>0</v>
      </c>
      <c r="Z186" s="8">
        <f>IF(B186="","",IFERROR(INDEX(Ingredients!$O$5:$O$304,MATCH(B186,Ingredients!$A$5:$A$304,0)),""))</f>
        <v>0</v>
      </c>
      <c r="AA186" s="8">
        <f>IF(B186="","",IF(R186&gt;=C186,"In pantry","To buy"))</f>
        <v>0</v>
      </c>
      <c r="AB186" s="8">
        <f>IF(A186="","",COUNTIFS($A$5:A186,A186))</f>
        <v>0</v>
      </c>
      <c r="AC186" s="8">
        <f>IF(B186="","",IF(COUNTIFS('Dietary Filters'!$C$5:$C$104,B186)&gt;0,"Check","OK"))</f>
        <v>0</v>
      </c>
      <c r="AD186" s="25"/>
    </row>
    <row r="187" spans="1:30">
      <c r="A187" s="7"/>
      <c r="B187" s="7"/>
      <c r="C187" s="26"/>
      <c r="D187" s="27"/>
      <c r="E187" s="8">
        <f>IF(B187="","",IFERROR(INDEX(Ingredients!$B$5:$B$304,MATCH(B187,Ingredients!$A$5:$A$304,0)),""))</f>
        <v>0</v>
      </c>
      <c r="F187" s="8">
        <f>IF(B187="","",IFERROR(INDEX(Ingredients!$E$5:$E$304,MATCH(B187,Ingredients!$A$5:$A$304,0)),""))</f>
        <v>0</v>
      </c>
      <c r="G187" s="8">
        <f>IF(B187="","",IFERROR(INDEX(Ingredients!$D$5:$D$304,MATCH(B187,Ingredients!$A$5:$A$304,0)),""))</f>
        <v>0</v>
      </c>
      <c r="H187" s="8">
        <f>IF(OR(B187="",C187=""),"",IFERROR(C187*G187,""))</f>
        <v>0</v>
      </c>
      <c r="I187" s="8">
        <f>IF(A187="","",IFERROR(INDEX(Recipes!$D$5:$D$204,MATCH(A187,Recipes!$A$5:$A$204,0)),""))</f>
        <v>0</v>
      </c>
      <c r="J187" s="8">
        <f>IF(OR(H187="",I187="",I187=0),"",IFERROR(H187/I187,""))</f>
        <v>0</v>
      </c>
      <c r="K187" s="8">
        <f>IF(OR(B187="",C187=""),"",IFERROR(C187*IFERROR(INDEX(Ingredients!$H$5:$H$304,MATCH(B187,Ingredients!$A$5:$A$304,0)),""),""))</f>
        <v>0</v>
      </c>
      <c r="L187" s="8">
        <f>IF(OR(B187="",C187=""),"",IFERROR(C187*IFERROR(INDEX(Ingredients!$I$5:$I$304,MATCH(B187,Ingredients!$A$5:$A$304,0)),""),""))</f>
        <v>0</v>
      </c>
      <c r="M187" s="8">
        <f>IF(OR(B187="",C187=""),"",IFERROR(C187*IFERROR(INDEX(Ingredients!$J$5:$J$304,MATCH(B187,Ingredients!$A$5:$A$304,0)),""),""))</f>
        <v>0</v>
      </c>
      <c r="N187" s="8">
        <f>IF(OR(B187="",C187=""),"",IFERROR(C187*IFERROR(INDEX(Ingredients!$K$5:$K$304,MATCH(B187,Ingredients!$A$5:$A$304,0)),""),""))</f>
        <v>0</v>
      </c>
      <c r="O187" s="8">
        <f>IF(OR(B187="",C187=""),"",IFERROR(C187*IFERROR(INDEX(Ingredients!$L$5:$L$304,MATCH(B187,Ingredients!$A$5:$A$304,0)),""),""))</f>
        <v>0</v>
      </c>
      <c r="P187" s="8">
        <f>IF(OR(H187="",A187=""),"",IFERROR(H187/SUMIFS('Recipe Ingredients'!$H$5:$H$1204,'Recipe Ingredients'!$A$5:$A$1204,A187),""))</f>
        <v>0</v>
      </c>
      <c r="Q187" s="8">
        <f>IF(H187="","",COUNTIFS($H$5:$H$1204,"&gt;"&amp;H187)+1)</f>
        <v>0</v>
      </c>
      <c r="R187" s="8">
        <f>IF(B187="","",SUMIFS(Pantry!$C$5:$C$304,Pantry!$A$5:$A$304,B187))</f>
        <v>0</v>
      </c>
      <c r="S187" s="8">
        <f>IF(OR(B187="",C187=""),"",MAX(0,C187-R187))</f>
        <v>0</v>
      </c>
      <c r="T187" s="26"/>
      <c r="U187" s="8">
        <f>IF(OR(T187="",T187=0,G187=""),"",T187*G187)</f>
        <v>0</v>
      </c>
      <c r="V187" s="8">
        <f>IF(OR(S187="",T187="",T187=0),"",CEILING(S187/T187,1))</f>
        <v>0</v>
      </c>
      <c r="W187" s="27"/>
      <c r="X187" s="29"/>
      <c r="Y187" s="8">
        <f>IF(OR(C187="",X187=""),"",C187*(1+X187))</f>
        <v>0</v>
      </c>
      <c r="Z187" s="8">
        <f>IF(B187="","",IFERROR(INDEX(Ingredients!$O$5:$O$304,MATCH(B187,Ingredients!$A$5:$A$304,0)),""))</f>
        <v>0</v>
      </c>
      <c r="AA187" s="8">
        <f>IF(B187="","",IF(R187&gt;=C187,"In pantry","To buy"))</f>
        <v>0</v>
      </c>
      <c r="AB187" s="8">
        <f>IF(A187="","",COUNTIFS($A$5:A187,A187))</f>
        <v>0</v>
      </c>
      <c r="AC187" s="8">
        <f>IF(B187="","",IF(COUNTIFS('Dietary Filters'!$C$5:$C$104,B187)&gt;0,"Check","OK"))</f>
        <v>0</v>
      </c>
      <c r="AD187" s="25"/>
    </row>
    <row r="188" spans="1:30">
      <c r="A188" s="7"/>
      <c r="B188" s="7"/>
      <c r="C188" s="26"/>
      <c r="D188" s="27"/>
      <c r="E188" s="8">
        <f>IF(B188="","",IFERROR(INDEX(Ingredients!$B$5:$B$304,MATCH(B188,Ingredients!$A$5:$A$304,0)),""))</f>
        <v>0</v>
      </c>
      <c r="F188" s="8">
        <f>IF(B188="","",IFERROR(INDEX(Ingredients!$E$5:$E$304,MATCH(B188,Ingredients!$A$5:$A$304,0)),""))</f>
        <v>0</v>
      </c>
      <c r="G188" s="8">
        <f>IF(B188="","",IFERROR(INDEX(Ingredients!$D$5:$D$304,MATCH(B188,Ingredients!$A$5:$A$304,0)),""))</f>
        <v>0</v>
      </c>
      <c r="H188" s="8">
        <f>IF(OR(B188="",C188=""),"",IFERROR(C188*G188,""))</f>
        <v>0</v>
      </c>
      <c r="I188" s="8">
        <f>IF(A188="","",IFERROR(INDEX(Recipes!$D$5:$D$204,MATCH(A188,Recipes!$A$5:$A$204,0)),""))</f>
        <v>0</v>
      </c>
      <c r="J188" s="8">
        <f>IF(OR(H188="",I188="",I188=0),"",IFERROR(H188/I188,""))</f>
        <v>0</v>
      </c>
      <c r="K188" s="8">
        <f>IF(OR(B188="",C188=""),"",IFERROR(C188*IFERROR(INDEX(Ingredients!$H$5:$H$304,MATCH(B188,Ingredients!$A$5:$A$304,0)),""),""))</f>
        <v>0</v>
      </c>
      <c r="L188" s="8">
        <f>IF(OR(B188="",C188=""),"",IFERROR(C188*IFERROR(INDEX(Ingredients!$I$5:$I$304,MATCH(B188,Ingredients!$A$5:$A$304,0)),""),""))</f>
        <v>0</v>
      </c>
      <c r="M188" s="8">
        <f>IF(OR(B188="",C188=""),"",IFERROR(C188*IFERROR(INDEX(Ingredients!$J$5:$J$304,MATCH(B188,Ingredients!$A$5:$A$304,0)),""),""))</f>
        <v>0</v>
      </c>
      <c r="N188" s="8">
        <f>IF(OR(B188="",C188=""),"",IFERROR(C188*IFERROR(INDEX(Ingredients!$K$5:$K$304,MATCH(B188,Ingredients!$A$5:$A$304,0)),""),""))</f>
        <v>0</v>
      </c>
      <c r="O188" s="8">
        <f>IF(OR(B188="",C188=""),"",IFERROR(C188*IFERROR(INDEX(Ingredients!$L$5:$L$304,MATCH(B188,Ingredients!$A$5:$A$304,0)),""),""))</f>
        <v>0</v>
      </c>
      <c r="P188" s="8">
        <f>IF(OR(H188="",A188=""),"",IFERROR(H188/SUMIFS('Recipe Ingredients'!$H$5:$H$1204,'Recipe Ingredients'!$A$5:$A$1204,A188),""))</f>
        <v>0</v>
      </c>
      <c r="Q188" s="8">
        <f>IF(H188="","",COUNTIFS($H$5:$H$1204,"&gt;"&amp;H188)+1)</f>
        <v>0</v>
      </c>
      <c r="R188" s="8">
        <f>IF(B188="","",SUMIFS(Pantry!$C$5:$C$304,Pantry!$A$5:$A$304,B188))</f>
        <v>0</v>
      </c>
      <c r="S188" s="8">
        <f>IF(OR(B188="",C188=""),"",MAX(0,C188-R188))</f>
        <v>0</v>
      </c>
      <c r="T188" s="26"/>
      <c r="U188" s="8">
        <f>IF(OR(T188="",T188=0,G188=""),"",T188*G188)</f>
        <v>0</v>
      </c>
      <c r="V188" s="8">
        <f>IF(OR(S188="",T188="",T188=0),"",CEILING(S188/T188,1))</f>
        <v>0</v>
      </c>
      <c r="W188" s="27"/>
      <c r="X188" s="29"/>
      <c r="Y188" s="8">
        <f>IF(OR(C188="",X188=""),"",C188*(1+X188))</f>
        <v>0</v>
      </c>
      <c r="Z188" s="8">
        <f>IF(B188="","",IFERROR(INDEX(Ingredients!$O$5:$O$304,MATCH(B188,Ingredients!$A$5:$A$304,0)),""))</f>
        <v>0</v>
      </c>
      <c r="AA188" s="8">
        <f>IF(B188="","",IF(R188&gt;=C188,"In pantry","To buy"))</f>
        <v>0</v>
      </c>
      <c r="AB188" s="8">
        <f>IF(A188="","",COUNTIFS($A$5:A188,A188))</f>
        <v>0</v>
      </c>
      <c r="AC188" s="8">
        <f>IF(B188="","",IF(COUNTIFS('Dietary Filters'!$C$5:$C$104,B188)&gt;0,"Check","OK"))</f>
        <v>0</v>
      </c>
      <c r="AD188" s="25"/>
    </row>
    <row r="189" spans="1:30">
      <c r="A189" s="7"/>
      <c r="B189" s="7"/>
      <c r="C189" s="26"/>
      <c r="D189" s="27"/>
      <c r="E189" s="8">
        <f>IF(B189="","",IFERROR(INDEX(Ingredients!$B$5:$B$304,MATCH(B189,Ingredients!$A$5:$A$304,0)),""))</f>
        <v>0</v>
      </c>
      <c r="F189" s="8">
        <f>IF(B189="","",IFERROR(INDEX(Ingredients!$E$5:$E$304,MATCH(B189,Ingredients!$A$5:$A$304,0)),""))</f>
        <v>0</v>
      </c>
      <c r="G189" s="8">
        <f>IF(B189="","",IFERROR(INDEX(Ingredients!$D$5:$D$304,MATCH(B189,Ingredients!$A$5:$A$304,0)),""))</f>
        <v>0</v>
      </c>
      <c r="H189" s="8">
        <f>IF(OR(B189="",C189=""),"",IFERROR(C189*G189,""))</f>
        <v>0</v>
      </c>
      <c r="I189" s="8">
        <f>IF(A189="","",IFERROR(INDEX(Recipes!$D$5:$D$204,MATCH(A189,Recipes!$A$5:$A$204,0)),""))</f>
        <v>0</v>
      </c>
      <c r="J189" s="8">
        <f>IF(OR(H189="",I189="",I189=0),"",IFERROR(H189/I189,""))</f>
        <v>0</v>
      </c>
      <c r="K189" s="8">
        <f>IF(OR(B189="",C189=""),"",IFERROR(C189*IFERROR(INDEX(Ingredients!$H$5:$H$304,MATCH(B189,Ingredients!$A$5:$A$304,0)),""),""))</f>
        <v>0</v>
      </c>
      <c r="L189" s="8">
        <f>IF(OR(B189="",C189=""),"",IFERROR(C189*IFERROR(INDEX(Ingredients!$I$5:$I$304,MATCH(B189,Ingredients!$A$5:$A$304,0)),""),""))</f>
        <v>0</v>
      </c>
      <c r="M189" s="8">
        <f>IF(OR(B189="",C189=""),"",IFERROR(C189*IFERROR(INDEX(Ingredients!$J$5:$J$304,MATCH(B189,Ingredients!$A$5:$A$304,0)),""),""))</f>
        <v>0</v>
      </c>
      <c r="N189" s="8">
        <f>IF(OR(B189="",C189=""),"",IFERROR(C189*IFERROR(INDEX(Ingredients!$K$5:$K$304,MATCH(B189,Ingredients!$A$5:$A$304,0)),""),""))</f>
        <v>0</v>
      </c>
      <c r="O189" s="8">
        <f>IF(OR(B189="",C189=""),"",IFERROR(C189*IFERROR(INDEX(Ingredients!$L$5:$L$304,MATCH(B189,Ingredients!$A$5:$A$304,0)),""),""))</f>
        <v>0</v>
      </c>
      <c r="P189" s="8">
        <f>IF(OR(H189="",A189=""),"",IFERROR(H189/SUMIFS('Recipe Ingredients'!$H$5:$H$1204,'Recipe Ingredients'!$A$5:$A$1204,A189),""))</f>
        <v>0</v>
      </c>
      <c r="Q189" s="8">
        <f>IF(H189="","",COUNTIFS($H$5:$H$1204,"&gt;"&amp;H189)+1)</f>
        <v>0</v>
      </c>
      <c r="R189" s="8">
        <f>IF(B189="","",SUMIFS(Pantry!$C$5:$C$304,Pantry!$A$5:$A$304,B189))</f>
        <v>0</v>
      </c>
      <c r="S189" s="8">
        <f>IF(OR(B189="",C189=""),"",MAX(0,C189-R189))</f>
        <v>0</v>
      </c>
      <c r="T189" s="26"/>
      <c r="U189" s="8">
        <f>IF(OR(T189="",T189=0,G189=""),"",T189*G189)</f>
        <v>0</v>
      </c>
      <c r="V189" s="8">
        <f>IF(OR(S189="",T189="",T189=0),"",CEILING(S189/T189,1))</f>
        <v>0</v>
      </c>
      <c r="W189" s="27"/>
      <c r="X189" s="29"/>
      <c r="Y189" s="8">
        <f>IF(OR(C189="",X189=""),"",C189*(1+X189))</f>
        <v>0</v>
      </c>
      <c r="Z189" s="8">
        <f>IF(B189="","",IFERROR(INDEX(Ingredients!$O$5:$O$304,MATCH(B189,Ingredients!$A$5:$A$304,0)),""))</f>
        <v>0</v>
      </c>
      <c r="AA189" s="8">
        <f>IF(B189="","",IF(R189&gt;=C189,"In pantry","To buy"))</f>
        <v>0</v>
      </c>
      <c r="AB189" s="8">
        <f>IF(A189="","",COUNTIFS($A$5:A189,A189))</f>
        <v>0</v>
      </c>
      <c r="AC189" s="8">
        <f>IF(B189="","",IF(COUNTIFS('Dietary Filters'!$C$5:$C$104,B189)&gt;0,"Check","OK"))</f>
        <v>0</v>
      </c>
      <c r="AD189" s="25"/>
    </row>
    <row r="190" spans="1:30">
      <c r="A190" s="7"/>
      <c r="B190" s="7"/>
      <c r="C190" s="26"/>
      <c r="D190" s="27"/>
      <c r="E190" s="8">
        <f>IF(B190="","",IFERROR(INDEX(Ingredients!$B$5:$B$304,MATCH(B190,Ingredients!$A$5:$A$304,0)),""))</f>
        <v>0</v>
      </c>
      <c r="F190" s="8">
        <f>IF(B190="","",IFERROR(INDEX(Ingredients!$E$5:$E$304,MATCH(B190,Ingredients!$A$5:$A$304,0)),""))</f>
        <v>0</v>
      </c>
      <c r="G190" s="8">
        <f>IF(B190="","",IFERROR(INDEX(Ingredients!$D$5:$D$304,MATCH(B190,Ingredients!$A$5:$A$304,0)),""))</f>
        <v>0</v>
      </c>
      <c r="H190" s="8">
        <f>IF(OR(B190="",C190=""),"",IFERROR(C190*G190,""))</f>
        <v>0</v>
      </c>
      <c r="I190" s="8">
        <f>IF(A190="","",IFERROR(INDEX(Recipes!$D$5:$D$204,MATCH(A190,Recipes!$A$5:$A$204,0)),""))</f>
        <v>0</v>
      </c>
      <c r="J190" s="8">
        <f>IF(OR(H190="",I190="",I190=0),"",IFERROR(H190/I190,""))</f>
        <v>0</v>
      </c>
      <c r="K190" s="8">
        <f>IF(OR(B190="",C190=""),"",IFERROR(C190*IFERROR(INDEX(Ingredients!$H$5:$H$304,MATCH(B190,Ingredients!$A$5:$A$304,0)),""),""))</f>
        <v>0</v>
      </c>
      <c r="L190" s="8">
        <f>IF(OR(B190="",C190=""),"",IFERROR(C190*IFERROR(INDEX(Ingredients!$I$5:$I$304,MATCH(B190,Ingredients!$A$5:$A$304,0)),""),""))</f>
        <v>0</v>
      </c>
      <c r="M190" s="8">
        <f>IF(OR(B190="",C190=""),"",IFERROR(C190*IFERROR(INDEX(Ingredients!$J$5:$J$304,MATCH(B190,Ingredients!$A$5:$A$304,0)),""),""))</f>
        <v>0</v>
      </c>
      <c r="N190" s="8">
        <f>IF(OR(B190="",C190=""),"",IFERROR(C190*IFERROR(INDEX(Ingredients!$K$5:$K$304,MATCH(B190,Ingredients!$A$5:$A$304,0)),""),""))</f>
        <v>0</v>
      </c>
      <c r="O190" s="8">
        <f>IF(OR(B190="",C190=""),"",IFERROR(C190*IFERROR(INDEX(Ingredients!$L$5:$L$304,MATCH(B190,Ingredients!$A$5:$A$304,0)),""),""))</f>
        <v>0</v>
      </c>
      <c r="P190" s="8">
        <f>IF(OR(H190="",A190=""),"",IFERROR(H190/SUMIFS('Recipe Ingredients'!$H$5:$H$1204,'Recipe Ingredients'!$A$5:$A$1204,A190),""))</f>
        <v>0</v>
      </c>
      <c r="Q190" s="8">
        <f>IF(H190="","",COUNTIFS($H$5:$H$1204,"&gt;"&amp;H190)+1)</f>
        <v>0</v>
      </c>
      <c r="R190" s="8">
        <f>IF(B190="","",SUMIFS(Pantry!$C$5:$C$304,Pantry!$A$5:$A$304,B190))</f>
        <v>0</v>
      </c>
      <c r="S190" s="8">
        <f>IF(OR(B190="",C190=""),"",MAX(0,C190-R190))</f>
        <v>0</v>
      </c>
      <c r="T190" s="26"/>
      <c r="U190" s="8">
        <f>IF(OR(T190="",T190=0,G190=""),"",T190*G190)</f>
        <v>0</v>
      </c>
      <c r="V190" s="8">
        <f>IF(OR(S190="",T190="",T190=0),"",CEILING(S190/T190,1))</f>
        <v>0</v>
      </c>
      <c r="W190" s="27"/>
      <c r="X190" s="29"/>
      <c r="Y190" s="8">
        <f>IF(OR(C190="",X190=""),"",C190*(1+X190))</f>
        <v>0</v>
      </c>
      <c r="Z190" s="8">
        <f>IF(B190="","",IFERROR(INDEX(Ingredients!$O$5:$O$304,MATCH(B190,Ingredients!$A$5:$A$304,0)),""))</f>
        <v>0</v>
      </c>
      <c r="AA190" s="8">
        <f>IF(B190="","",IF(R190&gt;=C190,"In pantry","To buy"))</f>
        <v>0</v>
      </c>
      <c r="AB190" s="8">
        <f>IF(A190="","",COUNTIFS($A$5:A190,A190))</f>
        <v>0</v>
      </c>
      <c r="AC190" s="8">
        <f>IF(B190="","",IF(COUNTIFS('Dietary Filters'!$C$5:$C$104,B190)&gt;0,"Check","OK"))</f>
        <v>0</v>
      </c>
      <c r="AD190" s="25"/>
    </row>
    <row r="191" spans="1:30">
      <c r="A191" s="7"/>
      <c r="B191" s="7"/>
      <c r="C191" s="26"/>
      <c r="D191" s="27"/>
      <c r="E191" s="8">
        <f>IF(B191="","",IFERROR(INDEX(Ingredients!$B$5:$B$304,MATCH(B191,Ingredients!$A$5:$A$304,0)),""))</f>
        <v>0</v>
      </c>
      <c r="F191" s="8">
        <f>IF(B191="","",IFERROR(INDEX(Ingredients!$E$5:$E$304,MATCH(B191,Ingredients!$A$5:$A$304,0)),""))</f>
        <v>0</v>
      </c>
      <c r="G191" s="8">
        <f>IF(B191="","",IFERROR(INDEX(Ingredients!$D$5:$D$304,MATCH(B191,Ingredients!$A$5:$A$304,0)),""))</f>
        <v>0</v>
      </c>
      <c r="H191" s="8">
        <f>IF(OR(B191="",C191=""),"",IFERROR(C191*G191,""))</f>
        <v>0</v>
      </c>
      <c r="I191" s="8">
        <f>IF(A191="","",IFERROR(INDEX(Recipes!$D$5:$D$204,MATCH(A191,Recipes!$A$5:$A$204,0)),""))</f>
        <v>0</v>
      </c>
      <c r="J191" s="8">
        <f>IF(OR(H191="",I191="",I191=0),"",IFERROR(H191/I191,""))</f>
        <v>0</v>
      </c>
      <c r="K191" s="8">
        <f>IF(OR(B191="",C191=""),"",IFERROR(C191*IFERROR(INDEX(Ingredients!$H$5:$H$304,MATCH(B191,Ingredients!$A$5:$A$304,0)),""),""))</f>
        <v>0</v>
      </c>
      <c r="L191" s="8">
        <f>IF(OR(B191="",C191=""),"",IFERROR(C191*IFERROR(INDEX(Ingredients!$I$5:$I$304,MATCH(B191,Ingredients!$A$5:$A$304,0)),""),""))</f>
        <v>0</v>
      </c>
      <c r="M191" s="8">
        <f>IF(OR(B191="",C191=""),"",IFERROR(C191*IFERROR(INDEX(Ingredients!$J$5:$J$304,MATCH(B191,Ingredients!$A$5:$A$304,0)),""),""))</f>
        <v>0</v>
      </c>
      <c r="N191" s="8">
        <f>IF(OR(B191="",C191=""),"",IFERROR(C191*IFERROR(INDEX(Ingredients!$K$5:$K$304,MATCH(B191,Ingredients!$A$5:$A$304,0)),""),""))</f>
        <v>0</v>
      </c>
      <c r="O191" s="8">
        <f>IF(OR(B191="",C191=""),"",IFERROR(C191*IFERROR(INDEX(Ingredients!$L$5:$L$304,MATCH(B191,Ingredients!$A$5:$A$304,0)),""),""))</f>
        <v>0</v>
      </c>
      <c r="P191" s="8">
        <f>IF(OR(H191="",A191=""),"",IFERROR(H191/SUMIFS('Recipe Ingredients'!$H$5:$H$1204,'Recipe Ingredients'!$A$5:$A$1204,A191),""))</f>
        <v>0</v>
      </c>
      <c r="Q191" s="8">
        <f>IF(H191="","",COUNTIFS($H$5:$H$1204,"&gt;"&amp;H191)+1)</f>
        <v>0</v>
      </c>
      <c r="R191" s="8">
        <f>IF(B191="","",SUMIFS(Pantry!$C$5:$C$304,Pantry!$A$5:$A$304,B191))</f>
        <v>0</v>
      </c>
      <c r="S191" s="8">
        <f>IF(OR(B191="",C191=""),"",MAX(0,C191-R191))</f>
        <v>0</v>
      </c>
      <c r="T191" s="26"/>
      <c r="U191" s="8">
        <f>IF(OR(T191="",T191=0,G191=""),"",T191*G191)</f>
        <v>0</v>
      </c>
      <c r="V191" s="8">
        <f>IF(OR(S191="",T191="",T191=0),"",CEILING(S191/T191,1))</f>
        <v>0</v>
      </c>
      <c r="W191" s="27"/>
      <c r="X191" s="29"/>
      <c r="Y191" s="8">
        <f>IF(OR(C191="",X191=""),"",C191*(1+X191))</f>
        <v>0</v>
      </c>
      <c r="Z191" s="8">
        <f>IF(B191="","",IFERROR(INDEX(Ingredients!$O$5:$O$304,MATCH(B191,Ingredients!$A$5:$A$304,0)),""))</f>
        <v>0</v>
      </c>
      <c r="AA191" s="8">
        <f>IF(B191="","",IF(R191&gt;=C191,"In pantry","To buy"))</f>
        <v>0</v>
      </c>
      <c r="AB191" s="8">
        <f>IF(A191="","",COUNTIFS($A$5:A191,A191))</f>
        <v>0</v>
      </c>
      <c r="AC191" s="8">
        <f>IF(B191="","",IF(COUNTIFS('Dietary Filters'!$C$5:$C$104,B191)&gt;0,"Check","OK"))</f>
        <v>0</v>
      </c>
      <c r="AD191" s="25"/>
    </row>
    <row r="192" spans="1:30">
      <c r="A192" s="7"/>
      <c r="B192" s="7"/>
      <c r="C192" s="26"/>
      <c r="D192" s="27"/>
      <c r="E192" s="8">
        <f>IF(B192="","",IFERROR(INDEX(Ingredients!$B$5:$B$304,MATCH(B192,Ingredients!$A$5:$A$304,0)),""))</f>
        <v>0</v>
      </c>
      <c r="F192" s="8">
        <f>IF(B192="","",IFERROR(INDEX(Ingredients!$E$5:$E$304,MATCH(B192,Ingredients!$A$5:$A$304,0)),""))</f>
        <v>0</v>
      </c>
      <c r="G192" s="8">
        <f>IF(B192="","",IFERROR(INDEX(Ingredients!$D$5:$D$304,MATCH(B192,Ingredients!$A$5:$A$304,0)),""))</f>
        <v>0</v>
      </c>
      <c r="H192" s="8">
        <f>IF(OR(B192="",C192=""),"",IFERROR(C192*G192,""))</f>
        <v>0</v>
      </c>
      <c r="I192" s="8">
        <f>IF(A192="","",IFERROR(INDEX(Recipes!$D$5:$D$204,MATCH(A192,Recipes!$A$5:$A$204,0)),""))</f>
        <v>0</v>
      </c>
      <c r="J192" s="8">
        <f>IF(OR(H192="",I192="",I192=0),"",IFERROR(H192/I192,""))</f>
        <v>0</v>
      </c>
      <c r="K192" s="8">
        <f>IF(OR(B192="",C192=""),"",IFERROR(C192*IFERROR(INDEX(Ingredients!$H$5:$H$304,MATCH(B192,Ingredients!$A$5:$A$304,0)),""),""))</f>
        <v>0</v>
      </c>
      <c r="L192" s="8">
        <f>IF(OR(B192="",C192=""),"",IFERROR(C192*IFERROR(INDEX(Ingredients!$I$5:$I$304,MATCH(B192,Ingredients!$A$5:$A$304,0)),""),""))</f>
        <v>0</v>
      </c>
      <c r="M192" s="8">
        <f>IF(OR(B192="",C192=""),"",IFERROR(C192*IFERROR(INDEX(Ingredients!$J$5:$J$304,MATCH(B192,Ingredients!$A$5:$A$304,0)),""),""))</f>
        <v>0</v>
      </c>
      <c r="N192" s="8">
        <f>IF(OR(B192="",C192=""),"",IFERROR(C192*IFERROR(INDEX(Ingredients!$K$5:$K$304,MATCH(B192,Ingredients!$A$5:$A$304,0)),""),""))</f>
        <v>0</v>
      </c>
      <c r="O192" s="8">
        <f>IF(OR(B192="",C192=""),"",IFERROR(C192*IFERROR(INDEX(Ingredients!$L$5:$L$304,MATCH(B192,Ingredients!$A$5:$A$304,0)),""),""))</f>
        <v>0</v>
      </c>
      <c r="P192" s="8">
        <f>IF(OR(H192="",A192=""),"",IFERROR(H192/SUMIFS('Recipe Ingredients'!$H$5:$H$1204,'Recipe Ingredients'!$A$5:$A$1204,A192),""))</f>
        <v>0</v>
      </c>
      <c r="Q192" s="8">
        <f>IF(H192="","",COUNTIFS($H$5:$H$1204,"&gt;"&amp;H192)+1)</f>
        <v>0</v>
      </c>
      <c r="R192" s="8">
        <f>IF(B192="","",SUMIFS(Pantry!$C$5:$C$304,Pantry!$A$5:$A$304,B192))</f>
        <v>0</v>
      </c>
      <c r="S192" s="8">
        <f>IF(OR(B192="",C192=""),"",MAX(0,C192-R192))</f>
        <v>0</v>
      </c>
      <c r="T192" s="26"/>
      <c r="U192" s="8">
        <f>IF(OR(T192="",T192=0,G192=""),"",T192*G192)</f>
        <v>0</v>
      </c>
      <c r="V192" s="8">
        <f>IF(OR(S192="",T192="",T192=0),"",CEILING(S192/T192,1))</f>
        <v>0</v>
      </c>
      <c r="W192" s="27"/>
      <c r="X192" s="29"/>
      <c r="Y192" s="8">
        <f>IF(OR(C192="",X192=""),"",C192*(1+X192))</f>
        <v>0</v>
      </c>
      <c r="Z192" s="8">
        <f>IF(B192="","",IFERROR(INDEX(Ingredients!$O$5:$O$304,MATCH(B192,Ingredients!$A$5:$A$304,0)),""))</f>
        <v>0</v>
      </c>
      <c r="AA192" s="8">
        <f>IF(B192="","",IF(R192&gt;=C192,"In pantry","To buy"))</f>
        <v>0</v>
      </c>
      <c r="AB192" s="8">
        <f>IF(A192="","",COUNTIFS($A$5:A192,A192))</f>
        <v>0</v>
      </c>
      <c r="AC192" s="8">
        <f>IF(B192="","",IF(COUNTIFS('Dietary Filters'!$C$5:$C$104,B192)&gt;0,"Check","OK"))</f>
        <v>0</v>
      </c>
      <c r="AD192" s="25"/>
    </row>
    <row r="193" spans="1:30">
      <c r="A193" s="7"/>
      <c r="B193" s="7"/>
      <c r="C193" s="26"/>
      <c r="D193" s="27"/>
      <c r="E193" s="8">
        <f>IF(B193="","",IFERROR(INDEX(Ingredients!$B$5:$B$304,MATCH(B193,Ingredients!$A$5:$A$304,0)),""))</f>
        <v>0</v>
      </c>
      <c r="F193" s="8">
        <f>IF(B193="","",IFERROR(INDEX(Ingredients!$E$5:$E$304,MATCH(B193,Ingredients!$A$5:$A$304,0)),""))</f>
        <v>0</v>
      </c>
      <c r="G193" s="8">
        <f>IF(B193="","",IFERROR(INDEX(Ingredients!$D$5:$D$304,MATCH(B193,Ingredients!$A$5:$A$304,0)),""))</f>
        <v>0</v>
      </c>
      <c r="H193" s="8">
        <f>IF(OR(B193="",C193=""),"",IFERROR(C193*G193,""))</f>
        <v>0</v>
      </c>
      <c r="I193" s="8">
        <f>IF(A193="","",IFERROR(INDEX(Recipes!$D$5:$D$204,MATCH(A193,Recipes!$A$5:$A$204,0)),""))</f>
        <v>0</v>
      </c>
      <c r="J193" s="8">
        <f>IF(OR(H193="",I193="",I193=0),"",IFERROR(H193/I193,""))</f>
        <v>0</v>
      </c>
      <c r="K193" s="8">
        <f>IF(OR(B193="",C193=""),"",IFERROR(C193*IFERROR(INDEX(Ingredients!$H$5:$H$304,MATCH(B193,Ingredients!$A$5:$A$304,0)),""),""))</f>
        <v>0</v>
      </c>
      <c r="L193" s="8">
        <f>IF(OR(B193="",C193=""),"",IFERROR(C193*IFERROR(INDEX(Ingredients!$I$5:$I$304,MATCH(B193,Ingredients!$A$5:$A$304,0)),""),""))</f>
        <v>0</v>
      </c>
      <c r="M193" s="8">
        <f>IF(OR(B193="",C193=""),"",IFERROR(C193*IFERROR(INDEX(Ingredients!$J$5:$J$304,MATCH(B193,Ingredients!$A$5:$A$304,0)),""),""))</f>
        <v>0</v>
      </c>
      <c r="N193" s="8">
        <f>IF(OR(B193="",C193=""),"",IFERROR(C193*IFERROR(INDEX(Ingredients!$K$5:$K$304,MATCH(B193,Ingredients!$A$5:$A$304,0)),""),""))</f>
        <v>0</v>
      </c>
      <c r="O193" s="8">
        <f>IF(OR(B193="",C193=""),"",IFERROR(C193*IFERROR(INDEX(Ingredients!$L$5:$L$304,MATCH(B193,Ingredients!$A$5:$A$304,0)),""),""))</f>
        <v>0</v>
      </c>
      <c r="P193" s="8">
        <f>IF(OR(H193="",A193=""),"",IFERROR(H193/SUMIFS('Recipe Ingredients'!$H$5:$H$1204,'Recipe Ingredients'!$A$5:$A$1204,A193),""))</f>
        <v>0</v>
      </c>
      <c r="Q193" s="8">
        <f>IF(H193="","",COUNTIFS($H$5:$H$1204,"&gt;"&amp;H193)+1)</f>
        <v>0</v>
      </c>
      <c r="R193" s="8">
        <f>IF(B193="","",SUMIFS(Pantry!$C$5:$C$304,Pantry!$A$5:$A$304,B193))</f>
        <v>0</v>
      </c>
      <c r="S193" s="8">
        <f>IF(OR(B193="",C193=""),"",MAX(0,C193-R193))</f>
        <v>0</v>
      </c>
      <c r="T193" s="26"/>
      <c r="U193" s="8">
        <f>IF(OR(T193="",T193=0,G193=""),"",T193*G193)</f>
        <v>0</v>
      </c>
      <c r="V193" s="8">
        <f>IF(OR(S193="",T193="",T193=0),"",CEILING(S193/T193,1))</f>
        <v>0</v>
      </c>
      <c r="W193" s="27"/>
      <c r="X193" s="29"/>
      <c r="Y193" s="8">
        <f>IF(OR(C193="",X193=""),"",C193*(1+X193))</f>
        <v>0</v>
      </c>
      <c r="Z193" s="8">
        <f>IF(B193="","",IFERROR(INDEX(Ingredients!$O$5:$O$304,MATCH(B193,Ingredients!$A$5:$A$304,0)),""))</f>
        <v>0</v>
      </c>
      <c r="AA193" s="8">
        <f>IF(B193="","",IF(R193&gt;=C193,"In pantry","To buy"))</f>
        <v>0</v>
      </c>
      <c r="AB193" s="8">
        <f>IF(A193="","",COUNTIFS($A$5:A193,A193))</f>
        <v>0</v>
      </c>
      <c r="AC193" s="8">
        <f>IF(B193="","",IF(COUNTIFS('Dietary Filters'!$C$5:$C$104,B193)&gt;0,"Check","OK"))</f>
        <v>0</v>
      </c>
      <c r="AD193" s="25"/>
    </row>
    <row r="194" spans="1:30">
      <c r="A194" s="7"/>
      <c r="B194" s="7"/>
      <c r="C194" s="26"/>
      <c r="D194" s="27"/>
      <c r="E194" s="8">
        <f>IF(B194="","",IFERROR(INDEX(Ingredients!$B$5:$B$304,MATCH(B194,Ingredients!$A$5:$A$304,0)),""))</f>
        <v>0</v>
      </c>
      <c r="F194" s="8">
        <f>IF(B194="","",IFERROR(INDEX(Ingredients!$E$5:$E$304,MATCH(B194,Ingredients!$A$5:$A$304,0)),""))</f>
        <v>0</v>
      </c>
      <c r="G194" s="8">
        <f>IF(B194="","",IFERROR(INDEX(Ingredients!$D$5:$D$304,MATCH(B194,Ingredients!$A$5:$A$304,0)),""))</f>
        <v>0</v>
      </c>
      <c r="H194" s="8">
        <f>IF(OR(B194="",C194=""),"",IFERROR(C194*G194,""))</f>
        <v>0</v>
      </c>
      <c r="I194" s="8">
        <f>IF(A194="","",IFERROR(INDEX(Recipes!$D$5:$D$204,MATCH(A194,Recipes!$A$5:$A$204,0)),""))</f>
        <v>0</v>
      </c>
      <c r="J194" s="8">
        <f>IF(OR(H194="",I194="",I194=0),"",IFERROR(H194/I194,""))</f>
        <v>0</v>
      </c>
      <c r="K194" s="8">
        <f>IF(OR(B194="",C194=""),"",IFERROR(C194*IFERROR(INDEX(Ingredients!$H$5:$H$304,MATCH(B194,Ingredients!$A$5:$A$304,0)),""),""))</f>
        <v>0</v>
      </c>
      <c r="L194" s="8">
        <f>IF(OR(B194="",C194=""),"",IFERROR(C194*IFERROR(INDEX(Ingredients!$I$5:$I$304,MATCH(B194,Ingredients!$A$5:$A$304,0)),""),""))</f>
        <v>0</v>
      </c>
      <c r="M194" s="8">
        <f>IF(OR(B194="",C194=""),"",IFERROR(C194*IFERROR(INDEX(Ingredients!$J$5:$J$304,MATCH(B194,Ingredients!$A$5:$A$304,0)),""),""))</f>
        <v>0</v>
      </c>
      <c r="N194" s="8">
        <f>IF(OR(B194="",C194=""),"",IFERROR(C194*IFERROR(INDEX(Ingredients!$K$5:$K$304,MATCH(B194,Ingredients!$A$5:$A$304,0)),""),""))</f>
        <v>0</v>
      </c>
      <c r="O194" s="8">
        <f>IF(OR(B194="",C194=""),"",IFERROR(C194*IFERROR(INDEX(Ingredients!$L$5:$L$304,MATCH(B194,Ingredients!$A$5:$A$304,0)),""),""))</f>
        <v>0</v>
      </c>
      <c r="P194" s="8">
        <f>IF(OR(H194="",A194=""),"",IFERROR(H194/SUMIFS('Recipe Ingredients'!$H$5:$H$1204,'Recipe Ingredients'!$A$5:$A$1204,A194),""))</f>
        <v>0</v>
      </c>
      <c r="Q194" s="8">
        <f>IF(H194="","",COUNTIFS($H$5:$H$1204,"&gt;"&amp;H194)+1)</f>
        <v>0</v>
      </c>
      <c r="R194" s="8">
        <f>IF(B194="","",SUMIFS(Pantry!$C$5:$C$304,Pantry!$A$5:$A$304,B194))</f>
        <v>0</v>
      </c>
      <c r="S194" s="8">
        <f>IF(OR(B194="",C194=""),"",MAX(0,C194-R194))</f>
        <v>0</v>
      </c>
      <c r="T194" s="26"/>
      <c r="U194" s="8">
        <f>IF(OR(T194="",T194=0,G194=""),"",T194*G194)</f>
        <v>0</v>
      </c>
      <c r="V194" s="8">
        <f>IF(OR(S194="",T194="",T194=0),"",CEILING(S194/T194,1))</f>
        <v>0</v>
      </c>
      <c r="W194" s="27"/>
      <c r="X194" s="29"/>
      <c r="Y194" s="8">
        <f>IF(OR(C194="",X194=""),"",C194*(1+X194))</f>
        <v>0</v>
      </c>
      <c r="Z194" s="8">
        <f>IF(B194="","",IFERROR(INDEX(Ingredients!$O$5:$O$304,MATCH(B194,Ingredients!$A$5:$A$304,0)),""))</f>
        <v>0</v>
      </c>
      <c r="AA194" s="8">
        <f>IF(B194="","",IF(R194&gt;=C194,"In pantry","To buy"))</f>
        <v>0</v>
      </c>
      <c r="AB194" s="8">
        <f>IF(A194="","",COUNTIFS($A$5:A194,A194))</f>
        <v>0</v>
      </c>
      <c r="AC194" s="8">
        <f>IF(B194="","",IF(COUNTIFS('Dietary Filters'!$C$5:$C$104,B194)&gt;0,"Check","OK"))</f>
        <v>0</v>
      </c>
      <c r="AD194" s="25"/>
    </row>
    <row r="195" spans="1:30">
      <c r="A195" s="7"/>
      <c r="B195" s="7"/>
      <c r="C195" s="26"/>
      <c r="D195" s="27"/>
      <c r="E195" s="8">
        <f>IF(B195="","",IFERROR(INDEX(Ingredients!$B$5:$B$304,MATCH(B195,Ingredients!$A$5:$A$304,0)),""))</f>
        <v>0</v>
      </c>
      <c r="F195" s="8">
        <f>IF(B195="","",IFERROR(INDEX(Ingredients!$E$5:$E$304,MATCH(B195,Ingredients!$A$5:$A$304,0)),""))</f>
        <v>0</v>
      </c>
      <c r="G195" s="8">
        <f>IF(B195="","",IFERROR(INDEX(Ingredients!$D$5:$D$304,MATCH(B195,Ingredients!$A$5:$A$304,0)),""))</f>
        <v>0</v>
      </c>
      <c r="H195" s="8">
        <f>IF(OR(B195="",C195=""),"",IFERROR(C195*G195,""))</f>
        <v>0</v>
      </c>
      <c r="I195" s="8">
        <f>IF(A195="","",IFERROR(INDEX(Recipes!$D$5:$D$204,MATCH(A195,Recipes!$A$5:$A$204,0)),""))</f>
        <v>0</v>
      </c>
      <c r="J195" s="8">
        <f>IF(OR(H195="",I195="",I195=0),"",IFERROR(H195/I195,""))</f>
        <v>0</v>
      </c>
      <c r="K195" s="8">
        <f>IF(OR(B195="",C195=""),"",IFERROR(C195*IFERROR(INDEX(Ingredients!$H$5:$H$304,MATCH(B195,Ingredients!$A$5:$A$304,0)),""),""))</f>
        <v>0</v>
      </c>
      <c r="L195" s="8">
        <f>IF(OR(B195="",C195=""),"",IFERROR(C195*IFERROR(INDEX(Ingredients!$I$5:$I$304,MATCH(B195,Ingredients!$A$5:$A$304,0)),""),""))</f>
        <v>0</v>
      </c>
      <c r="M195" s="8">
        <f>IF(OR(B195="",C195=""),"",IFERROR(C195*IFERROR(INDEX(Ingredients!$J$5:$J$304,MATCH(B195,Ingredients!$A$5:$A$304,0)),""),""))</f>
        <v>0</v>
      </c>
      <c r="N195" s="8">
        <f>IF(OR(B195="",C195=""),"",IFERROR(C195*IFERROR(INDEX(Ingredients!$K$5:$K$304,MATCH(B195,Ingredients!$A$5:$A$304,0)),""),""))</f>
        <v>0</v>
      </c>
      <c r="O195" s="8">
        <f>IF(OR(B195="",C195=""),"",IFERROR(C195*IFERROR(INDEX(Ingredients!$L$5:$L$304,MATCH(B195,Ingredients!$A$5:$A$304,0)),""),""))</f>
        <v>0</v>
      </c>
      <c r="P195" s="8">
        <f>IF(OR(H195="",A195=""),"",IFERROR(H195/SUMIFS('Recipe Ingredients'!$H$5:$H$1204,'Recipe Ingredients'!$A$5:$A$1204,A195),""))</f>
        <v>0</v>
      </c>
      <c r="Q195" s="8">
        <f>IF(H195="","",COUNTIFS($H$5:$H$1204,"&gt;"&amp;H195)+1)</f>
        <v>0</v>
      </c>
      <c r="R195" s="8">
        <f>IF(B195="","",SUMIFS(Pantry!$C$5:$C$304,Pantry!$A$5:$A$304,B195))</f>
        <v>0</v>
      </c>
      <c r="S195" s="8">
        <f>IF(OR(B195="",C195=""),"",MAX(0,C195-R195))</f>
        <v>0</v>
      </c>
      <c r="T195" s="26"/>
      <c r="U195" s="8">
        <f>IF(OR(T195="",T195=0,G195=""),"",T195*G195)</f>
        <v>0</v>
      </c>
      <c r="V195" s="8">
        <f>IF(OR(S195="",T195="",T195=0),"",CEILING(S195/T195,1))</f>
        <v>0</v>
      </c>
      <c r="W195" s="27"/>
      <c r="X195" s="29"/>
      <c r="Y195" s="8">
        <f>IF(OR(C195="",X195=""),"",C195*(1+X195))</f>
        <v>0</v>
      </c>
      <c r="Z195" s="8">
        <f>IF(B195="","",IFERROR(INDEX(Ingredients!$O$5:$O$304,MATCH(B195,Ingredients!$A$5:$A$304,0)),""))</f>
        <v>0</v>
      </c>
      <c r="AA195" s="8">
        <f>IF(B195="","",IF(R195&gt;=C195,"In pantry","To buy"))</f>
        <v>0</v>
      </c>
      <c r="AB195" s="8">
        <f>IF(A195="","",COUNTIFS($A$5:A195,A195))</f>
        <v>0</v>
      </c>
      <c r="AC195" s="8">
        <f>IF(B195="","",IF(COUNTIFS('Dietary Filters'!$C$5:$C$104,B195)&gt;0,"Check","OK"))</f>
        <v>0</v>
      </c>
      <c r="AD195" s="25"/>
    </row>
    <row r="196" spans="1:30">
      <c r="A196" s="7"/>
      <c r="B196" s="7"/>
      <c r="C196" s="26"/>
      <c r="D196" s="27"/>
      <c r="E196" s="8">
        <f>IF(B196="","",IFERROR(INDEX(Ingredients!$B$5:$B$304,MATCH(B196,Ingredients!$A$5:$A$304,0)),""))</f>
        <v>0</v>
      </c>
      <c r="F196" s="8">
        <f>IF(B196="","",IFERROR(INDEX(Ingredients!$E$5:$E$304,MATCH(B196,Ingredients!$A$5:$A$304,0)),""))</f>
        <v>0</v>
      </c>
      <c r="G196" s="8">
        <f>IF(B196="","",IFERROR(INDEX(Ingredients!$D$5:$D$304,MATCH(B196,Ingredients!$A$5:$A$304,0)),""))</f>
        <v>0</v>
      </c>
      <c r="H196" s="8">
        <f>IF(OR(B196="",C196=""),"",IFERROR(C196*G196,""))</f>
        <v>0</v>
      </c>
      <c r="I196" s="8">
        <f>IF(A196="","",IFERROR(INDEX(Recipes!$D$5:$D$204,MATCH(A196,Recipes!$A$5:$A$204,0)),""))</f>
        <v>0</v>
      </c>
      <c r="J196" s="8">
        <f>IF(OR(H196="",I196="",I196=0),"",IFERROR(H196/I196,""))</f>
        <v>0</v>
      </c>
      <c r="K196" s="8">
        <f>IF(OR(B196="",C196=""),"",IFERROR(C196*IFERROR(INDEX(Ingredients!$H$5:$H$304,MATCH(B196,Ingredients!$A$5:$A$304,0)),""),""))</f>
        <v>0</v>
      </c>
      <c r="L196" s="8">
        <f>IF(OR(B196="",C196=""),"",IFERROR(C196*IFERROR(INDEX(Ingredients!$I$5:$I$304,MATCH(B196,Ingredients!$A$5:$A$304,0)),""),""))</f>
        <v>0</v>
      </c>
      <c r="M196" s="8">
        <f>IF(OR(B196="",C196=""),"",IFERROR(C196*IFERROR(INDEX(Ingredients!$J$5:$J$304,MATCH(B196,Ingredients!$A$5:$A$304,0)),""),""))</f>
        <v>0</v>
      </c>
      <c r="N196" s="8">
        <f>IF(OR(B196="",C196=""),"",IFERROR(C196*IFERROR(INDEX(Ingredients!$K$5:$K$304,MATCH(B196,Ingredients!$A$5:$A$304,0)),""),""))</f>
        <v>0</v>
      </c>
      <c r="O196" s="8">
        <f>IF(OR(B196="",C196=""),"",IFERROR(C196*IFERROR(INDEX(Ingredients!$L$5:$L$304,MATCH(B196,Ingredients!$A$5:$A$304,0)),""),""))</f>
        <v>0</v>
      </c>
      <c r="P196" s="8">
        <f>IF(OR(H196="",A196=""),"",IFERROR(H196/SUMIFS('Recipe Ingredients'!$H$5:$H$1204,'Recipe Ingredients'!$A$5:$A$1204,A196),""))</f>
        <v>0</v>
      </c>
      <c r="Q196" s="8">
        <f>IF(H196="","",COUNTIFS($H$5:$H$1204,"&gt;"&amp;H196)+1)</f>
        <v>0</v>
      </c>
      <c r="R196" s="8">
        <f>IF(B196="","",SUMIFS(Pantry!$C$5:$C$304,Pantry!$A$5:$A$304,B196))</f>
        <v>0</v>
      </c>
      <c r="S196" s="8">
        <f>IF(OR(B196="",C196=""),"",MAX(0,C196-R196))</f>
        <v>0</v>
      </c>
      <c r="T196" s="26"/>
      <c r="U196" s="8">
        <f>IF(OR(T196="",T196=0,G196=""),"",T196*G196)</f>
        <v>0</v>
      </c>
      <c r="V196" s="8">
        <f>IF(OR(S196="",T196="",T196=0),"",CEILING(S196/T196,1))</f>
        <v>0</v>
      </c>
      <c r="W196" s="27"/>
      <c r="X196" s="29"/>
      <c r="Y196" s="8">
        <f>IF(OR(C196="",X196=""),"",C196*(1+X196))</f>
        <v>0</v>
      </c>
      <c r="Z196" s="8">
        <f>IF(B196="","",IFERROR(INDEX(Ingredients!$O$5:$O$304,MATCH(B196,Ingredients!$A$5:$A$304,0)),""))</f>
        <v>0</v>
      </c>
      <c r="AA196" s="8">
        <f>IF(B196="","",IF(R196&gt;=C196,"In pantry","To buy"))</f>
        <v>0</v>
      </c>
      <c r="AB196" s="8">
        <f>IF(A196="","",COUNTIFS($A$5:A196,A196))</f>
        <v>0</v>
      </c>
      <c r="AC196" s="8">
        <f>IF(B196="","",IF(COUNTIFS('Dietary Filters'!$C$5:$C$104,B196)&gt;0,"Check","OK"))</f>
        <v>0</v>
      </c>
      <c r="AD196" s="25"/>
    </row>
    <row r="197" spans="1:30">
      <c r="A197" s="7"/>
      <c r="B197" s="7"/>
      <c r="C197" s="26"/>
      <c r="D197" s="27"/>
      <c r="E197" s="8">
        <f>IF(B197="","",IFERROR(INDEX(Ingredients!$B$5:$B$304,MATCH(B197,Ingredients!$A$5:$A$304,0)),""))</f>
        <v>0</v>
      </c>
      <c r="F197" s="8">
        <f>IF(B197="","",IFERROR(INDEX(Ingredients!$E$5:$E$304,MATCH(B197,Ingredients!$A$5:$A$304,0)),""))</f>
        <v>0</v>
      </c>
      <c r="G197" s="8">
        <f>IF(B197="","",IFERROR(INDEX(Ingredients!$D$5:$D$304,MATCH(B197,Ingredients!$A$5:$A$304,0)),""))</f>
        <v>0</v>
      </c>
      <c r="H197" s="8">
        <f>IF(OR(B197="",C197=""),"",IFERROR(C197*G197,""))</f>
        <v>0</v>
      </c>
      <c r="I197" s="8">
        <f>IF(A197="","",IFERROR(INDEX(Recipes!$D$5:$D$204,MATCH(A197,Recipes!$A$5:$A$204,0)),""))</f>
        <v>0</v>
      </c>
      <c r="J197" s="8">
        <f>IF(OR(H197="",I197="",I197=0),"",IFERROR(H197/I197,""))</f>
        <v>0</v>
      </c>
      <c r="K197" s="8">
        <f>IF(OR(B197="",C197=""),"",IFERROR(C197*IFERROR(INDEX(Ingredients!$H$5:$H$304,MATCH(B197,Ingredients!$A$5:$A$304,0)),""),""))</f>
        <v>0</v>
      </c>
      <c r="L197" s="8">
        <f>IF(OR(B197="",C197=""),"",IFERROR(C197*IFERROR(INDEX(Ingredients!$I$5:$I$304,MATCH(B197,Ingredients!$A$5:$A$304,0)),""),""))</f>
        <v>0</v>
      </c>
      <c r="M197" s="8">
        <f>IF(OR(B197="",C197=""),"",IFERROR(C197*IFERROR(INDEX(Ingredients!$J$5:$J$304,MATCH(B197,Ingredients!$A$5:$A$304,0)),""),""))</f>
        <v>0</v>
      </c>
      <c r="N197" s="8">
        <f>IF(OR(B197="",C197=""),"",IFERROR(C197*IFERROR(INDEX(Ingredients!$K$5:$K$304,MATCH(B197,Ingredients!$A$5:$A$304,0)),""),""))</f>
        <v>0</v>
      </c>
      <c r="O197" s="8">
        <f>IF(OR(B197="",C197=""),"",IFERROR(C197*IFERROR(INDEX(Ingredients!$L$5:$L$304,MATCH(B197,Ingredients!$A$5:$A$304,0)),""),""))</f>
        <v>0</v>
      </c>
      <c r="P197" s="8">
        <f>IF(OR(H197="",A197=""),"",IFERROR(H197/SUMIFS('Recipe Ingredients'!$H$5:$H$1204,'Recipe Ingredients'!$A$5:$A$1204,A197),""))</f>
        <v>0</v>
      </c>
      <c r="Q197" s="8">
        <f>IF(H197="","",COUNTIFS($H$5:$H$1204,"&gt;"&amp;H197)+1)</f>
        <v>0</v>
      </c>
      <c r="R197" s="8">
        <f>IF(B197="","",SUMIFS(Pantry!$C$5:$C$304,Pantry!$A$5:$A$304,B197))</f>
        <v>0</v>
      </c>
      <c r="S197" s="8">
        <f>IF(OR(B197="",C197=""),"",MAX(0,C197-R197))</f>
        <v>0</v>
      </c>
      <c r="T197" s="26"/>
      <c r="U197" s="8">
        <f>IF(OR(T197="",T197=0,G197=""),"",T197*G197)</f>
        <v>0</v>
      </c>
      <c r="V197" s="8">
        <f>IF(OR(S197="",T197="",T197=0),"",CEILING(S197/T197,1))</f>
        <v>0</v>
      </c>
      <c r="W197" s="27"/>
      <c r="X197" s="29"/>
      <c r="Y197" s="8">
        <f>IF(OR(C197="",X197=""),"",C197*(1+X197))</f>
        <v>0</v>
      </c>
      <c r="Z197" s="8">
        <f>IF(B197="","",IFERROR(INDEX(Ingredients!$O$5:$O$304,MATCH(B197,Ingredients!$A$5:$A$304,0)),""))</f>
        <v>0</v>
      </c>
      <c r="AA197" s="8">
        <f>IF(B197="","",IF(R197&gt;=C197,"In pantry","To buy"))</f>
        <v>0</v>
      </c>
      <c r="AB197" s="8">
        <f>IF(A197="","",COUNTIFS($A$5:A197,A197))</f>
        <v>0</v>
      </c>
      <c r="AC197" s="8">
        <f>IF(B197="","",IF(COUNTIFS('Dietary Filters'!$C$5:$C$104,B197)&gt;0,"Check","OK"))</f>
        <v>0</v>
      </c>
      <c r="AD197" s="25"/>
    </row>
    <row r="198" spans="1:30">
      <c r="A198" s="7"/>
      <c r="B198" s="7"/>
      <c r="C198" s="26"/>
      <c r="D198" s="27"/>
      <c r="E198" s="8">
        <f>IF(B198="","",IFERROR(INDEX(Ingredients!$B$5:$B$304,MATCH(B198,Ingredients!$A$5:$A$304,0)),""))</f>
        <v>0</v>
      </c>
      <c r="F198" s="8">
        <f>IF(B198="","",IFERROR(INDEX(Ingredients!$E$5:$E$304,MATCH(B198,Ingredients!$A$5:$A$304,0)),""))</f>
        <v>0</v>
      </c>
      <c r="G198" s="8">
        <f>IF(B198="","",IFERROR(INDEX(Ingredients!$D$5:$D$304,MATCH(B198,Ingredients!$A$5:$A$304,0)),""))</f>
        <v>0</v>
      </c>
      <c r="H198" s="8">
        <f>IF(OR(B198="",C198=""),"",IFERROR(C198*G198,""))</f>
        <v>0</v>
      </c>
      <c r="I198" s="8">
        <f>IF(A198="","",IFERROR(INDEX(Recipes!$D$5:$D$204,MATCH(A198,Recipes!$A$5:$A$204,0)),""))</f>
        <v>0</v>
      </c>
      <c r="J198" s="8">
        <f>IF(OR(H198="",I198="",I198=0),"",IFERROR(H198/I198,""))</f>
        <v>0</v>
      </c>
      <c r="K198" s="8">
        <f>IF(OR(B198="",C198=""),"",IFERROR(C198*IFERROR(INDEX(Ingredients!$H$5:$H$304,MATCH(B198,Ingredients!$A$5:$A$304,0)),""),""))</f>
        <v>0</v>
      </c>
      <c r="L198" s="8">
        <f>IF(OR(B198="",C198=""),"",IFERROR(C198*IFERROR(INDEX(Ingredients!$I$5:$I$304,MATCH(B198,Ingredients!$A$5:$A$304,0)),""),""))</f>
        <v>0</v>
      </c>
      <c r="M198" s="8">
        <f>IF(OR(B198="",C198=""),"",IFERROR(C198*IFERROR(INDEX(Ingredients!$J$5:$J$304,MATCH(B198,Ingredients!$A$5:$A$304,0)),""),""))</f>
        <v>0</v>
      </c>
      <c r="N198" s="8">
        <f>IF(OR(B198="",C198=""),"",IFERROR(C198*IFERROR(INDEX(Ingredients!$K$5:$K$304,MATCH(B198,Ingredients!$A$5:$A$304,0)),""),""))</f>
        <v>0</v>
      </c>
      <c r="O198" s="8">
        <f>IF(OR(B198="",C198=""),"",IFERROR(C198*IFERROR(INDEX(Ingredients!$L$5:$L$304,MATCH(B198,Ingredients!$A$5:$A$304,0)),""),""))</f>
        <v>0</v>
      </c>
      <c r="P198" s="8">
        <f>IF(OR(H198="",A198=""),"",IFERROR(H198/SUMIFS('Recipe Ingredients'!$H$5:$H$1204,'Recipe Ingredients'!$A$5:$A$1204,A198),""))</f>
        <v>0</v>
      </c>
      <c r="Q198" s="8">
        <f>IF(H198="","",COUNTIFS($H$5:$H$1204,"&gt;"&amp;H198)+1)</f>
        <v>0</v>
      </c>
      <c r="R198" s="8">
        <f>IF(B198="","",SUMIFS(Pantry!$C$5:$C$304,Pantry!$A$5:$A$304,B198))</f>
        <v>0</v>
      </c>
      <c r="S198" s="8">
        <f>IF(OR(B198="",C198=""),"",MAX(0,C198-R198))</f>
        <v>0</v>
      </c>
      <c r="T198" s="26"/>
      <c r="U198" s="8">
        <f>IF(OR(T198="",T198=0,G198=""),"",T198*G198)</f>
        <v>0</v>
      </c>
      <c r="V198" s="8">
        <f>IF(OR(S198="",T198="",T198=0),"",CEILING(S198/T198,1))</f>
        <v>0</v>
      </c>
      <c r="W198" s="27"/>
      <c r="X198" s="29"/>
      <c r="Y198" s="8">
        <f>IF(OR(C198="",X198=""),"",C198*(1+X198))</f>
        <v>0</v>
      </c>
      <c r="Z198" s="8">
        <f>IF(B198="","",IFERROR(INDEX(Ingredients!$O$5:$O$304,MATCH(B198,Ingredients!$A$5:$A$304,0)),""))</f>
        <v>0</v>
      </c>
      <c r="AA198" s="8">
        <f>IF(B198="","",IF(R198&gt;=C198,"In pantry","To buy"))</f>
        <v>0</v>
      </c>
      <c r="AB198" s="8">
        <f>IF(A198="","",COUNTIFS($A$5:A198,A198))</f>
        <v>0</v>
      </c>
      <c r="AC198" s="8">
        <f>IF(B198="","",IF(COUNTIFS('Dietary Filters'!$C$5:$C$104,B198)&gt;0,"Check","OK"))</f>
        <v>0</v>
      </c>
      <c r="AD198" s="25"/>
    </row>
    <row r="199" spans="1:30">
      <c r="A199" s="7"/>
      <c r="B199" s="7"/>
      <c r="C199" s="26"/>
      <c r="D199" s="27"/>
      <c r="E199" s="8">
        <f>IF(B199="","",IFERROR(INDEX(Ingredients!$B$5:$B$304,MATCH(B199,Ingredients!$A$5:$A$304,0)),""))</f>
        <v>0</v>
      </c>
      <c r="F199" s="8">
        <f>IF(B199="","",IFERROR(INDEX(Ingredients!$E$5:$E$304,MATCH(B199,Ingredients!$A$5:$A$304,0)),""))</f>
        <v>0</v>
      </c>
      <c r="G199" s="8">
        <f>IF(B199="","",IFERROR(INDEX(Ingredients!$D$5:$D$304,MATCH(B199,Ingredients!$A$5:$A$304,0)),""))</f>
        <v>0</v>
      </c>
      <c r="H199" s="8">
        <f>IF(OR(B199="",C199=""),"",IFERROR(C199*G199,""))</f>
        <v>0</v>
      </c>
      <c r="I199" s="8">
        <f>IF(A199="","",IFERROR(INDEX(Recipes!$D$5:$D$204,MATCH(A199,Recipes!$A$5:$A$204,0)),""))</f>
        <v>0</v>
      </c>
      <c r="J199" s="8">
        <f>IF(OR(H199="",I199="",I199=0),"",IFERROR(H199/I199,""))</f>
        <v>0</v>
      </c>
      <c r="K199" s="8">
        <f>IF(OR(B199="",C199=""),"",IFERROR(C199*IFERROR(INDEX(Ingredients!$H$5:$H$304,MATCH(B199,Ingredients!$A$5:$A$304,0)),""),""))</f>
        <v>0</v>
      </c>
      <c r="L199" s="8">
        <f>IF(OR(B199="",C199=""),"",IFERROR(C199*IFERROR(INDEX(Ingredients!$I$5:$I$304,MATCH(B199,Ingredients!$A$5:$A$304,0)),""),""))</f>
        <v>0</v>
      </c>
      <c r="M199" s="8">
        <f>IF(OR(B199="",C199=""),"",IFERROR(C199*IFERROR(INDEX(Ingredients!$J$5:$J$304,MATCH(B199,Ingredients!$A$5:$A$304,0)),""),""))</f>
        <v>0</v>
      </c>
      <c r="N199" s="8">
        <f>IF(OR(B199="",C199=""),"",IFERROR(C199*IFERROR(INDEX(Ingredients!$K$5:$K$304,MATCH(B199,Ingredients!$A$5:$A$304,0)),""),""))</f>
        <v>0</v>
      </c>
      <c r="O199" s="8">
        <f>IF(OR(B199="",C199=""),"",IFERROR(C199*IFERROR(INDEX(Ingredients!$L$5:$L$304,MATCH(B199,Ingredients!$A$5:$A$304,0)),""),""))</f>
        <v>0</v>
      </c>
      <c r="P199" s="8">
        <f>IF(OR(H199="",A199=""),"",IFERROR(H199/SUMIFS('Recipe Ingredients'!$H$5:$H$1204,'Recipe Ingredients'!$A$5:$A$1204,A199),""))</f>
        <v>0</v>
      </c>
      <c r="Q199" s="8">
        <f>IF(H199="","",COUNTIFS($H$5:$H$1204,"&gt;"&amp;H199)+1)</f>
        <v>0</v>
      </c>
      <c r="R199" s="8">
        <f>IF(B199="","",SUMIFS(Pantry!$C$5:$C$304,Pantry!$A$5:$A$304,B199))</f>
        <v>0</v>
      </c>
      <c r="S199" s="8">
        <f>IF(OR(B199="",C199=""),"",MAX(0,C199-R199))</f>
        <v>0</v>
      </c>
      <c r="T199" s="26"/>
      <c r="U199" s="8">
        <f>IF(OR(T199="",T199=0,G199=""),"",T199*G199)</f>
        <v>0</v>
      </c>
      <c r="V199" s="8">
        <f>IF(OR(S199="",T199="",T199=0),"",CEILING(S199/T199,1))</f>
        <v>0</v>
      </c>
      <c r="W199" s="27"/>
      <c r="X199" s="29"/>
      <c r="Y199" s="8">
        <f>IF(OR(C199="",X199=""),"",C199*(1+X199))</f>
        <v>0</v>
      </c>
      <c r="Z199" s="8">
        <f>IF(B199="","",IFERROR(INDEX(Ingredients!$O$5:$O$304,MATCH(B199,Ingredients!$A$5:$A$304,0)),""))</f>
        <v>0</v>
      </c>
      <c r="AA199" s="8">
        <f>IF(B199="","",IF(R199&gt;=C199,"In pantry","To buy"))</f>
        <v>0</v>
      </c>
      <c r="AB199" s="8">
        <f>IF(A199="","",COUNTIFS($A$5:A199,A199))</f>
        <v>0</v>
      </c>
      <c r="AC199" s="8">
        <f>IF(B199="","",IF(COUNTIFS('Dietary Filters'!$C$5:$C$104,B199)&gt;0,"Check","OK"))</f>
        <v>0</v>
      </c>
      <c r="AD199" s="25"/>
    </row>
    <row r="200" spans="1:30">
      <c r="A200" s="7"/>
      <c r="B200" s="7"/>
      <c r="C200" s="26"/>
      <c r="D200" s="27"/>
      <c r="E200" s="8">
        <f>IF(B200="","",IFERROR(INDEX(Ingredients!$B$5:$B$304,MATCH(B200,Ingredients!$A$5:$A$304,0)),""))</f>
        <v>0</v>
      </c>
      <c r="F200" s="8">
        <f>IF(B200="","",IFERROR(INDEX(Ingredients!$E$5:$E$304,MATCH(B200,Ingredients!$A$5:$A$304,0)),""))</f>
        <v>0</v>
      </c>
      <c r="G200" s="8">
        <f>IF(B200="","",IFERROR(INDEX(Ingredients!$D$5:$D$304,MATCH(B200,Ingredients!$A$5:$A$304,0)),""))</f>
        <v>0</v>
      </c>
      <c r="H200" s="8">
        <f>IF(OR(B200="",C200=""),"",IFERROR(C200*G200,""))</f>
        <v>0</v>
      </c>
      <c r="I200" s="8">
        <f>IF(A200="","",IFERROR(INDEX(Recipes!$D$5:$D$204,MATCH(A200,Recipes!$A$5:$A$204,0)),""))</f>
        <v>0</v>
      </c>
      <c r="J200" s="8">
        <f>IF(OR(H200="",I200="",I200=0),"",IFERROR(H200/I200,""))</f>
        <v>0</v>
      </c>
      <c r="K200" s="8">
        <f>IF(OR(B200="",C200=""),"",IFERROR(C200*IFERROR(INDEX(Ingredients!$H$5:$H$304,MATCH(B200,Ingredients!$A$5:$A$304,0)),""),""))</f>
        <v>0</v>
      </c>
      <c r="L200" s="8">
        <f>IF(OR(B200="",C200=""),"",IFERROR(C200*IFERROR(INDEX(Ingredients!$I$5:$I$304,MATCH(B200,Ingredients!$A$5:$A$304,0)),""),""))</f>
        <v>0</v>
      </c>
      <c r="M200" s="8">
        <f>IF(OR(B200="",C200=""),"",IFERROR(C200*IFERROR(INDEX(Ingredients!$J$5:$J$304,MATCH(B200,Ingredients!$A$5:$A$304,0)),""),""))</f>
        <v>0</v>
      </c>
      <c r="N200" s="8">
        <f>IF(OR(B200="",C200=""),"",IFERROR(C200*IFERROR(INDEX(Ingredients!$K$5:$K$304,MATCH(B200,Ingredients!$A$5:$A$304,0)),""),""))</f>
        <v>0</v>
      </c>
      <c r="O200" s="8">
        <f>IF(OR(B200="",C200=""),"",IFERROR(C200*IFERROR(INDEX(Ingredients!$L$5:$L$304,MATCH(B200,Ingredients!$A$5:$A$304,0)),""),""))</f>
        <v>0</v>
      </c>
      <c r="P200" s="8">
        <f>IF(OR(H200="",A200=""),"",IFERROR(H200/SUMIFS('Recipe Ingredients'!$H$5:$H$1204,'Recipe Ingredients'!$A$5:$A$1204,A200),""))</f>
        <v>0</v>
      </c>
      <c r="Q200" s="8">
        <f>IF(H200="","",COUNTIFS($H$5:$H$1204,"&gt;"&amp;H200)+1)</f>
        <v>0</v>
      </c>
      <c r="R200" s="8">
        <f>IF(B200="","",SUMIFS(Pantry!$C$5:$C$304,Pantry!$A$5:$A$304,B200))</f>
        <v>0</v>
      </c>
      <c r="S200" s="8">
        <f>IF(OR(B200="",C200=""),"",MAX(0,C200-R200))</f>
        <v>0</v>
      </c>
      <c r="T200" s="26"/>
      <c r="U200" s="8">
        <f>IF(OR(T200="",T200=0,G200=""),"",T200*G200)</f>
        <v>0</v>
      </c>
      <c r="V200" s="8">
        <f>IF(OR(S200="",T200="",T200=0),"",CEILING(S200/T200,1))</f>
        <v>0</v>
      </c>
      <c r="W200" s="27"/>
      <c r="X200" s="29"/>
      <c r="Y200" s="8">
        <f>IF(OR(C200="",X200=""),"",C200*(1+X200))</f>
        <v>0</v>
      </c>
      <c r="Z200" s="8">
        <f>IF(B200="","",IFERROR(INDEX(Ingredients!$O$5:$O$304,MATCH(B200,Ingredients!$A$5:$A$304,0)),""))</f>
        <v>0</v>
      </c>
      <c r="AA200" s="8">
        <f>IF(B200="","",IF(R200&gt;=C200,"In pantry","To buy"))</f>
        <v>0</v>
      </c>
      <c r="AB200" s="8">
        <f>IF(A200="","",COUNTIFS($A$5:A200,A200))</f>
        <v>0</v>
      </c>
      <c r="AC200" s="8">
        <f>IF(B200="","",IF(COUNTIFS('Dietary Filters'!$C$5:$C$104,B200)&gt;0,"Check","OK"))</f>
        <v>0</v>
      </c>
      <c r="AD200" s="25"/>
    </row>
    <row r="201" spans="1:30">
      <c r="A201" s="7"/>
      <c r="B201" s="7"/>
      <c r="C201" s="26"/>
      <c r="D201" s="27"/>
      <c r="E201" s="8">
        <f>IF(B201="","",IFERROR(INDEX(Ingredients!$B$5:$B$304,MATCH(B201,Ingredients!$A$5:$A$304,0)),""))</f>
        <v>0</v>
      </c>
      <c r="F201" s="8">
        <f>IF(B201="","",IFERROR(INDEX(Ingredients!$E$5:$E$304,MATCH(B201,Ingredients!$A$5:$A$304,0)),""))</f>
        <v>0</v>
      </c>
      <c r="G201" s="8">
        <f>IF(B201="","",IFERROR(INDEX(Ingredients!$D$5:$D$304,MATCH(B201,Ingredients!$A$5:$A$304,0)),""))</f>
        <v>0</v>
      </c>
      <c r="H201" s="8">
        <f>IF(OR(B201="",C201=""),"",IFERROR(C201*G201,""))</f>
        <v>0</v>
      </c>
      <c r="I201" s="8">
        <f>IF(A201="","",IFERROR(INDEX(Recipes!$D$5:$D$204,MATCH(A201,Recipes!$A$5:$A$204,0)),""))</f>
        <v>0</v>
      </c>
      <c r="J201" s="8">
        <f>IF(OR(H201="",I201="",I201=0),"",IFERROR(H201/I201,""))</f>
        <v>0</v>
      </c>
      <c r="K201" s="8">
        <f>IF(OR(B201="",C201=""),"",IFERROR(C201*IFERROR(INDEX(Ingredients!$H$5:$H$304,MATCH(B201,Ingredients!$A$5:$A$304,0)),""),""))</f>
        <v>0</v>
      </c>
      <c r="L201" s="8">
        <f>IF(OR(B201="",C201=""),"",IFERROR(C201*IFERROR(INDEX(Ingredients!$I$5:$I$304,MATCH(B201,Ingredients!$A$5:$A$304,0)),""),""))</f>
        <v>0</v>
      </c>
      <c r="M201" s="8">
        <f>IF(OR(B201="",C201=""),"",IFERROR(C201*IFERROR(INDEX(Ingredients!$J$5:$J$304,MATCH(B201,Ingredients!$A$5:$A$304,0)),""),""))</f>
        <v>0</v>
      </c>
      <c r="N201" s="8">
        <f>IF(OR(B201="",C201=""),"",IFERROR(C201*IFERROR(INDEX(Ingredients!$K$5:$K$304,MATCH(B201,Ingredients!$A$5:$A$304,0)),""),""))</f>
        <v>0</v>
      </c>
      <c r="O201" s="8">
        <f>IF(OR(B201="",C201=""),"",IFERROR(C201*IFERROR(INDEX(Ingredients!$L$5:$L$304,MATCH(B201,Ingredients!$A$5:$A$304,0)),""),""))</f>
        <v>0</v>
      </c>
      <c r="P201" s="8">
        <f>IF(OR(H201="",A201=""),"",IFERROR(H201/SUMIFS('Recipe Ingredients'!$H$5:$H$1204,'Recipe Ingredients'!$A$5:$A$1204,A201),""))</f>
        <v>0</v>
      </c>
      <c r="Q201" s="8">
        <f>IF(H201="","",COUNTIFS($H$5:$H$1204,"&gt;"&amp;H201)+1)</f>
        <v>0</v>
      </c>
      <c r="R201" s="8">
        <f>IF(B201="","",SUMIFS(Pantry!$C$5:$C$304,Pantry!$A$5:$A$304,B201))</f>
        <v>0</v>
      </c>
      <c r="S201" s="8">
        <f>IF(OR(B201="",C201=""),"",MAX(0,C201-R201))</f>
        <v>0</v>
      </c>
      <c r="T201" s="26"/>
      <c r="U201" s="8">
        <f>IF(OR(T201="",T201=0,G201=""),"",T201*G201)</f>
        <v>0</v>
      </c>
      <c r="V201" s="8">
        <f>IF(OR(S201="",T201="",T201=0),"",CEILING(S201/T201,1))</f>
        <v>0</v>
      </c>
      <c r="W201" s="27"/>
      <c r="X201" s="29"/>
      <c r="Y201" s="8">
        <f>IF(OR(C201="",X201=""),"",C201*(1+X201))</f>
        <v>0</v>
      </c>
      <c r="Z201" s="8">
        <f>IF(B201="","",IFERROR(INDEX(Ingredients!$O$5:$O$304,MATCH(B201,Ingredients!$A$5:$A$304,0)),""))</f>
        <v>0</v>
      </c>
      <c r="AA201" s="8">
        <f>IF(B201="","",IF(R201&gt;=C201,"In pantry","To buy"))</f>
        <v>0</v>
      </c>
      <c r="AB201" s="8">
        <f>IF(A201="","",COUNTIFS($A$5:A201,A201))</f>
        <v>0</v>
      </c>
      <c r="AC201" s="8">
        <f>IF(B201="","",IF(COUNTIFS('Dietary Filters'!$C$5:$C$104,B201)&gt;0,"Check","OK"))</f>
        <v>0</v>
      </c>
      <c r="AD201" s="25"/>
    </row>
    <row r="202" spans="1:30">
      <c r="A202" s="7"/>
      <c r="B202" s="7"/>
      <c r="C202" s="26"/>
      <c r="D202" s="27"/>
      <c r="E202" s="8">
        <f>IF(B202="","",IFERROR(INDEX(Ingredients!$B$5:$B$304,MATCH(B202,Ingredients!$A$5:$A$304,0)),""))</f>
        <v>0</v>
      </c>
      <c r="F202" s="8">
        <f>IF(B202="","",IFERROR(INDEX(Ingredients!$E$5:$E$304,MATCH(B202,Ingredients!$A$5:$A$304,0)),""))</f>
        <v>0</v>
      </c>
      <c r="G202" s="8">
        <f>IF(B202="","",IFERROR(INDEX(Ingredients!$D$5:$D$304,MATCH(B202,Ingredients!$A$5:$A$304,0)),""))</f>
        <v>0</v>
      </c>
      <c r="H202" s="8">
        <f>IF(OR(B202="",C202=""),"",IFERROR(C202*G202,""))</f>
        <v>0</v>
      </c>
      <c r="I202" s="8">
        <f>IF(A202="","",IFERROR(INDEX(Recipes!$D$5:$D$204,MATCH(A202,Recipes!$A$5:$A$204,0)),""))</f>
        <v>0</v>
      </c>
      <c r="J202" s="8">
        <f>IF(OR(H202="",I202="",I202=0),"",IFERROR(H202/I202,""))</f>
        <v>0</v>
      </c>
      <c r="K202" s="8">
        <f>IF(OR(B202="",C202=""),"",IFERROR(C202*IFERROR(INDEX(Ingredients!$H$5:$H$304,MATCH(B202,Ingredients!$A$5:$A$304,0)),""),""))</f>
        <v>0</v>
      </c>
      <c r="L202" s="8">
        <f>IF(OR(B202="",C202=""),"",IFERROR(C202*IFERROR(INDEX(Ingredients!$I$5:$I$304,MATCH(B202,Ingredients!$A$5:$A$304,0)),""),""))</f>
        <v>0</v>
      </c>
      <c r="M202" s="8">
        <f>IF(OR(B202="",C202=""),"",IFERROR(C202*IFERROR(INDEX(Ingredients!$J$5:$J$304,MATCH(B202,Ingredients!$A$5:$A$304,0)),""),""))</f>
        <v>0</v>
      </c>
      <c r="N202" s="8">
        <f>IF(OR(B202="",C202=""),"",IFERROR(C202*IFERROR(INDEX(Ingredients!$K$5:$K$304,MATCH(B202,Ingredients!$A$5:$A$304,0)),""),""))</f>
        <v>0</v>
      </c>
      <c r="O202" s="8">
        <f>IF(OR(B202="",C202=""),"",IFERROR(C202*IFERROR(INDEX(Ingredients!$L$5:$L$304,MATCH(B202,Ingredients!$A$5:$A$304,0)),""),""))</f>
        <v>0</v>
      </c>
      <c r="P202" s="8">
        <f>IF(OR(H202="",A202=""),"",IFERROR(H202/SUMIFS('Recipe Ingredients'!$H$5:$H$1204,'Recipe Ingredients'!$A$5:$A$1204,A202),""))</f>
        <v>0</v>
      </c>
      <c r="Q202" s="8">
        <f>IF(H202="","",COUNTIFS($H$5:$H$1204,"&gt;"&amp;H202)+1)</f>
        <v>0</v>
      </c>
      <c r="R202" s="8">
        <f>IF(B202="","",SUMIFS(Pantry!$C$5:$C$304,Pantry!$A$5:$A$304,B202))</f>
        <v>0</v>
      </c>
      <c r="S202" s="8">
        <f>IF(OR(B202="",C202=""),"",MAX(0,C202-R202))</f>
        <v>0</v>
      </c>
      <c r="T202" s="26"/>
      <c r="U202" s="8">
        <f>IF(OR(T202="",T202=0,G202=""),"",T202*G202)</f>
        <v>0</v>
      </c>
      <c r="V202" s="8">
        <f>IF(OR(S202="",T202="",T202=0),"",CEILING(S202/T202,1))</f>
        <v>0</v>
      </c>
      <c r="W202" s="27"/>
      <c r="X202" s="29"/>
      <c r="Y202" s="8">
        <f>IF(OR(C202="",X202=""),"",C202*(1+X202))</f>
        <v>0</v>
      </c>
      <c r="Z202" s="8">
        <f>IF(B202="","",IFERROR(INDEX(Ingredients!$O$5:$O$304,MATCH(B202,Ingredients!$A$5:$A$304,0)),""))</f>
        <v>0</v>
      </c>
      <c r="AA202" s="8">
        <f>IF(B202="","",IF(R202&gt;=C202,"In pantry","To buy"))</f>
        <v>0</v>
      </c>
      <c r="AB202" s="8">
        <f>IF(A202="","",COUNTIFS($A$5:A202,A202))</f>
        <v>0</v>
      </c>
      <c r="AC202" s="8">
        <f>IF(B202="","",IF(COUNTIFS('Dietary Filters'!$C$5:$C$104,B202)&gt;0,"Check","OK"))</f>
        <v>0</v>
      </c>
      <c r="AD202" s="25"/>
    </row>
    <row r="203" spans="1:30">
      <c r="A203" s="7"/>
      <c r="B203" s="7"/>
      <c r="C203" s="26"/>
      <c r="D203" s="27"/>
      <c r="E203" s="8">
        <f>IF(B203="","",IFERROR(INDEX(Ingredients!$B$5:$B$304,MATCH(B203,Ingredients!$A$5:$A$304,0)),""))</f>
        <v>0</v>
      </c>
      <c r="F203" s="8">
        <f>IF(B203="","",IFERROR(INDEX(Ingredients!$E$5:$E$304,MATCH(B203,Ingredients!$A$5:$A$304,0)),""))</f>
        <v>0</v>
      </c>
      <c r="G203" s="8">
        <f>IF(B203="","",IFERROR(INDEX(Ingredients!$D$5:$D$304,MATCH(B203,Ingredients!$A$5:$A$304,0)),""))</f>
        <v>0</v>
      </c>
      <c r="H203" s="8">
        <f>IF(OR(B203="",C203=""),"",IFERROR(C203*G203,""))</f>
        <v>0</v>
      </c>
      <c r="I203" s="8">
        <f>IF(A203="","",IFERROR(INDEX(Recipes!$D$5:$D$204,MATCH(A203,Recipes!$A$5:$A$204,0)),""))</f>
        <v>0</v>
      </c>
      <c r="J203" s="8">
        <f>IF(OR(H203="",I203="",I203=0),"",IFERROR(H203/I203,""))</f>
        <v>0</v>
      </c>
      <c r="K203" s="8">
        <f>IF(OR(B203="",C203=""),"",IFERROR(C203*IFERROR(INDEX(Ingredients!$H$5:$H$304,MATCH(B203,Ingredients!$A$5:$A$304,0)),""),""))</f>
        <v>0</v>
      </c>
      <c r="L203" s="8">
        <f>IF(OR(B203="",C203=""),"",IFERROR(C203*IFERROR(INDEX(Ingredients!$I$5:$I$304,MATCH(B203,Ingredients!$A$5:$A$304,0)),""),""))</f>
        <v>0</v>
      </c>
      <c r="M203" s="8">
        <f>IF(OR(B203="",C203=""),"",IFERROR(C203*IFERROR(INDEX(Ingredients!$J$5:$J$304,MATCH(B203,Ingredients!$A$5:$A$304,0)),""),""))</f>
        <v>0</v>
      </c>
      <c r="N203" s="8">
        <f>IF(OR(B203="",C203=""),"",IFERROR(C203*IFERROR(INDEX(Ingredients!$K$5:$K$304,MATCH(B203,Ingredients!$A$5:$A$304,0)),""),""))</f>
        <v>0</v>
      </c>
      <c r="O203" s="8">
        <f>IF(OR(B203="",C203=""),"",IFERROR(C203*IFERROR(INDEX(Ingredients!$L$5:$L$304,MATCH(B203,Ingredients!$A$5:$A$304,0)),""),""))</f>
        <v>0</v>
      </c>
      <c r="P203" s="8">
        <f>IF(OR(H203="",A203=""),"",IFERROR(H203/SUMIFS('Recipe Ingredients'!$H$5:$H$1204,'Recipe Ingredients'!$A$5:$A$1204,A203),""))</f>
        <v>0</v>
      </c>
      <c r="Q203" s="8">
        <f>IF(H203="","",COUNTIFS($H$5:$H$1204,"&gt;"&amp;H203)+1)</f>
        <v>0</v>
      </c>
      <c r="R203" s="8">
        <f>IF(B203="","",SUMIFS(Pantry!$C$5:$C$304,Pantry!$A$5:$A$304,B203))</f>
        <v>0</v>
      </c>
      <c r="S203" s="8">
        <f>IF(OR(B203="",C203=""),"",MAX(0,C203-R203))</f>
        <v>0</v>
      </c>
      <c r="T203" s="26"/>
      <c r="U203" s="8">
        <f>IF(OR(T203="",T203=0,G203=""),"",T203*G203)</f>
        <v>0</v>
      </c>
      <c r="V203" s="8">
        <f>IF(OR(S203="",T203="",T203=0),"",CEILING(S203/T203,1))</f>
        <v>0</v>
      </c>
      <c r="W203" s="27"/>
      <c r="X203" s="29"/>
      <c r="Y203" s="8">
        <f>IF(OR(C203="",X203=""),"",C203*(1+X203))</f>
        <v>0</v>
      </c>
      <c r="Z203" s="8">
        <f>IF(B203="","",IFERROR(INDEX(Ingredients!$O$5:$O$304,MATCH(B203,Ingredients!$A$5:$A$304,0)),""))</f>
        <v>0</v>
      </c>
      <c r="AA203" s="8">
        <f>IF(B203="","",IF(R203&gt;=C203,"In pantry","To buy"))</f>
        <v>0</v>
      </c>
      <c r="AB203" s="8">
        <f>IF(A203="","",COUNTIFS($A$5:A203,A203))</f>
        <v>0</v>
      </c>
      <c r="AC203" s="8">
        <f>IF(B203="","",IF(COUNTIFS('Dietary Filters'!$C$5:$C$104,B203)&gt;0,"Check","OK"))</f>
        <v>0</v>
      </c>
      <c r="AD203" s="25"/>
    </row>
    <row r="204" spans="1:30">
      <c r="A204" s="7"/>
      <c r="B204" s="7"/>
      <c r="C204" s="26"/>
      <c r="D204" s="27"/>
      <c r="E204" s="8">
        <f>IF(B204="","",IFERROR(INDEX(Ingredients!$B$5:$B$304,MATCH(B204,Ingredients!$A$5:$A$304,0)),""))</f>
        <v>0</v>
      </c>
      <c r="F204" s="8">
        <f>IF(B204="","",IFERROR(INDEX(Ingredients!$E$5:$E$304,MATCH(B204,Ingredients!$A$5:$A$304,0)),""))</f>
        <v>0</v>
      </c>
      <c r="G204" s="8">
        <f>IF(B204="","",IFERROR(INDEX(Ingredients!$D$5:$D$304,MATCH(B204,Ingredients!$A$5:$A$304,0)),""))</f>
        <v>0</v>
      </c>
      <c r="H204" s="8">
        <f>IF(OR(B204="",C204=""),"",IFERROR(C204*G204,""))</f>
        <v>0</v>
      </c>
      <c r="I204" s="8">
        <f>IF(A204="","",IFERROR(INDEX(Recipes!$D$5:$D$204,MATCH(A204,Recipes!$A$5:$A$204,0)),""))</f>
        <v>0</v>
      </c>
      <c r="J204" s="8">
        <f>IF(OR(H204="",I204="",I204=0),"",IFERROR(H204/I204,""))</f>
        <v>0</v>
      </c>
      <c r="K204" s="8">
        <f>IF(OR(B204="",C204=""),"",IFERROR(C204*IFERROR(INDEX(Ingredients!$H$5:$H$304,MATCH(B204,Ingredients!$A$5:$A$304,0)),""),""))</f>
        <v>0</v>
      </c>
      <c r="L204" s="8">
        <f>IF(OR(B204="",C204=""),"",IFERROR(C204*IFERROR(INDEX(Ingredients!$I$5:$I$304,MATCH(B204,Ingredients!$A$5:$A$304,0)),""),""))</f>
        <v>0</v>
      </c>
      <c r="M204" s="8">
        <f>IF(OR(B204="",C204=""),"",IFERROR(C204*IFERROR(INDEX(Ingredients!$J$5:$J$304,MATCH(B204,Ingredients!$A$5:$A$304,0)),""),""))</f>
        <v>0</v>
      </c>
      <c r="N204" s="8">
        <f>IF(OR(B204="",C204=""),"",IFERROR(C204*IFERROR(INDEX(Ingredients!$K$5:$K$304,MATCH(B204,Ingredients!$A$5:$A$304,0)),""),""))</f>
        <v>0</v>
      </c>
      <c r="O204" s="8">
        <f>IF(OR(B204="",C204=""),"",IFERROR(C204*IFERROR(INDEX(Ingredients!$L$5:$L$304,MATCH(B204,Ingredients!$A$5:$A$304,0)),""),""))</f>
        <v>0</v>
      </c>
      <c r="P204" s="8">
        <f>IF(OR(H204="",A204=""),"",IFERROR(H204/SUMIFS('Recipe Ingredients'!$H$5:$H$1204,'Recipe Ingredients'!$A$5:$A$1204,A204),""))</f>
        <v>0</v>
      </c>
      <c r="Q204" s="8">
        <f>IF(H204="","",COUNTIFS($H$5:$H$1204,"&gt;"&amp;H204)+1)</f>
        <v>0</v>
      </c>
      <c r="R204" s="8">
        <f>IF(B204="","",SUMIFS(Pantry!$C$5:$C$304,Pantry!$A$5:$A$304,B204))</f>
        <v>0</v>
      </c>
      <c r="S204" s="8">
        <f>IF(OR(B204="",C204=""),"",MAX(0,C204-R204))</f>
        <v>0</v>
      </c>
      <c r="T204" s="26"/>
      <c r="U204" s="8">
        <f>IF(OR(T204="",T204=0,G204=""),"",T204*G204)</f>
        <v>0</v>
      </c>
      <c r="V204" s="8">
        <f>IF(OR(S204="",T204="",T204=0),"",CEILING(S204/T204,1))</f>
        <v>0</v>
      </c>
      <c r="W204" s="27"/>
      <c r="X204" s="29"/>
      <c r="Y204" s="8">
        <f>IF(OR(C204="",X204=""),"",C204*(1+X204))</f>
        <v>0</v>
      </c>
      <c r="Z204" s="8">
        <f>IF(B204="","",IFERROR(INDEX(Ingredients!$O$5:$O$304,MATCH(B204,Ingredients!$A$5:$A$304,0)),""))</f>
        <v>0</v>
      </c>
      <c r="AA204" s="8">
        <f>IF(B204="","",IF(R204&gt;=C204,"In pantry","To buy"))</f>
        <v>0</v>
      </c>
      <c r="AB204" s="8">
        <f>IF(A204="","",COUNTIFS($A$5:A204,A204))</f>
        <v>0</v>
      </c>
      <c r="AC204" s="8">
        <f>IF(B204="","",IF(COUNTIFS('Dietary Filters'!$C$5:$C$104,B204)&gt;0,"Check","OK"))</f>
        <v>0</v>
      </c>
      <c r="AD204" s="25"/>
    </row>
    <row r="205" spans="1:30">
      <c r="A205" s="7"/>
      <c r="B205" s="7"/>
      <c r="C205" s="26"/>
      <c r="D205" s="27"/>
      <c r="E205" s="8">
        <f>IF(B205="","",IFERROR(INDEX(Ingredients!$B$5:$B$304,MATCH(B205,Ingredients!$A$5:$A$304,0)),""))</f>
        <v>0</v>
      </c>
      <c r="F205" s="8">
        <f>IF(B205="","",IFERROR(INDEX(Ingredients!$E$5:$E$304,MATCH(B205,Ingredients!$A$5:$A$304,0)),""))</f>
        <v>0</v>
      </c>
      <c r="G205" s="8">
        <f>IF(B205="","",IFERROR(INDEX(Ingredients!$D$5:$D$304,MATCH(B205,Ingredients!$A$5:$A$304,0)),""))</f>
        <v>0</v>
      </c>
      <c r="H205" s="8">
        <f>IF(OR(B205="",C205=""),"",IFERROR(C205*G205,""))</f>
        <v>0</v>
      </c>
      <c r="I205" s="8">
        <f>IF(A205="","",IFERROR(INDEX(Recipes!$D$5:$D$204,MATCH(A205,Recipes!$A$5:$A$204,0)),""))</f>
        <v>0</v>
      </c>
      <c r="J205" s="8">
        <f>IF(OR(H205="",I205="",I205=0),"",IFERROR(H205/I205,""))</f>
        <v>0</v>
      </c>
      <c r="K205" s="8">
        <f>IF(OR(B205="",C205=""),"",IFERROR(C205*IFERROR(INDEX(Ingredients!$H$5:$H$304,MATCH(B205,Ingredients!$A$5:$A$304,0)),""),""))</f>
        <v>0</v>
      </c>
      <c r="L205" s="8">
        <f>IF(OR(B205="",C205=""),"",IFERROR(C205*IFERROR(INDEX(Ingredients!$I$5:$I$304,MATCH(B205,Ingredients!$A$5:$A$304,0)),""),""))</f>
        <v>0</v>
      </c>
      <c r="M205" s="8">
        <f>IF(OR(B205="",C205=""),"",IFERROR(C205*IFERROR(INDEX(Ingredients!$J$5:$J$304,MATCH(B205,Ingredients!$A$5:$A$304,0)),""),""))</f>
        <v>0</v>
      </c>
      <c r="N205" s="8">
        <f>IF(OR(B205="",C205=""),"",IFERROR(C205*IFERROR(INDEX(Ingredients!$K$5:$K$304,MATCH(B205,Ingredients!$A$5:$A$304,0)),""),""))</f>
        <v>0</v>
      </c>
      <c r="O205" s="8">
        <f>IF(OR(B205="",C205=""),"",IFERROR(C205*IFERROR(INDEX(Ingredients!$L$5:$L$304,MATCH(B205,Ingredients!$A$5:$A$304,0)),""),""))</f>
        <v>0</v>
      </c>
      <c r="P205" s="8">
        <f>IF(OR(H205="",A205=""),"",IFERROR(H205/SUMIFS('Recipe Ingredients'!$H$5:$H$1204,'Recipe Ingredients'!$A$5:$A$1204,A205),""))</f>
        <v>0</v>
      </c>
      <c r="Q205" s="8">
        <f>IF(H205="","",COUNTIFS($H$5:$H$1204,"&gt;"&amp;H205)+1)</f>
        <v>0</v>
      </c>
      <c r="R205" s="8">
        <f>IF(B205="","",SUMIFS(Pantry!$C$5:$C$304,Pantry!$A$5:$A$304,B205))</f>
        <v>0</v>
      </c>
      <c r="S205" s="8">
        <f>IF(OR(B205="",C205=""),"",MAX(0,C205-R205))</f>
        <v>0</v>
      </c>
      <c r="T205" s="26"/>
      <c r="U205" s="8">
        <f>IF(OR(T205="",T205=0,G205=""),"",T205*G205)</f>
        <v>0</v>
      </c>
      <c r="V205" s="8">
        <f>IF(OR(S205="",T205="",T205=0),"",CEILING(S205/T205,1))</f>
        <v>0</v>
      </c>
      <c r="W205" s="27"/>
      <c r="X205" s="29"/>
      <c r="Y205" s="8">
        <f>IF(OR(C205="",X205=""),"",C205*(1+X205))</f>
        <v>0</v>
      </c>
      <c r="Z205" s="8">
        <f>IF(B205="","",IFERROR(INDEX(Ingredients!$O$5:$O$304,MATCH(B205,Ingredients!$A$5:$A$304,0)),""))</f>
        <v>0</v>
      </c>
      <c r="AA205" s="8">
        <f>IF(B205="","",IF(R205&gt;=C205,"In pantry","To buy"))</f>
        <v>0</v>
      </c>
      <c r="AB205" s="8">
        <f>IF(A205="","",COUNTIFS($A$5:A205,A205))</f>
        <v>0</v>
      </c>
      <c r="AC205" s="8">
        <f>IF(B205="","",IF(COUNTIFS('Dietary Filters'!$C$5:$C$104,B205)&gt;0,"Check","OK"))</f>
        <v>0</v>
      </c>
      <c r="AD205" s="25"/>
    </row>
    <row r="206" spans="1:30">
      <c r="A206" s="7"/>
      <c r="B206" s="7"/>
      <c r="C206" s="26"/>
      <c r="D206" s="27"/>
      <c r="E206" s="8">
        <f>IF(B206="","",IFERROR(INDEX(Ingredients!$B$5:$B$304,MATCH(B206,Ingredients!$A$5:$A$304,0)),""))</f>
        <v>0</v>
      </c>
      <c r="F206" s="8">
        <f>IF(B206="","",IFERROR(INDEX(Ingredients!$E$5:$E$304,MATCH(B206,Ingredients!$A$5:$A$304,0)),""))</f>
        <v>0</v>
      </c>
      <c r="G206" s="8">
        <f>IF(B206="","",IFERROR(INDEX(Ingredients!$D$5:$D$304,MATCH(B206,Ingredients!$A$5:$A$304,0)),""))</f>
        <v>0</v>
      </c>
      <c r="H206" s="8">
        <f>IF(OR(B206="",C206=""),"",IFERROR(C206*G206,""))</f>
        <v>0</v>
      </c>
      <c r="I206" s="8">
        <f>IF(A206="","",IFERROR(INDEX(Recipes!$D$5:$D$204,MATCH(A206,Recipes!$A$5:$A$204,0)),""))</f>
        <v>0</v>
      </c>
      <c r="J206" s="8">
        <f>IF(OR(H206="",I206="",I206=0),"",IFERROR(H206/I206,""))</f>
        <v>0</v>
      </c>
      <c r="K206" s="8">
        <f>IF(OR(B206="",C206=""),"",IFERROR(C206*IFERROR(INDEX(Ingredients!$H$5:$H$304,MATCH(B206,Ingredients!$A$5:$A$304,0)),""),""))</f>
        <v>0</v>
      </c>
      <c r="L206" s="8">
        <f>IF(OR(B206="",C206=""),"",IFERROR(C206*IFERROR(INDEX(Ingredients!$I$5:$I$304,MATCH(B206,Ingredients!$A$5:$A$304,0)),""),""))</f>
        <v>0</v>
      </c>
      <c r="M206" s="8">
        <f>IF(OR(B206="",C206=""),"",IFERROR(C206*IFERROR(INDEX(Ingredients!$J$5:$J$304,MATCH(B206,Ingredients!$A$5:$A$304,0)),""),""))</f>
        <v>0</v>
      </c>
      <c r="N206" s="8">
        <f>IF(OR(B206="",C206=""),"",IFERROR(C206*IFERROR(INDEX(Ingredients!$K$5:$K$304,MATCH(B206,Ingredients!$A$5:$A$304,0)),""),""))</f>
        <v>0</v>
      </c>
      <c r="O206" s="8">
        <f>IF(OR(B206="",C206=""),"",IFERROR(C206*IFERROR(INDEX(Ingredients!$L$5:$L$304,MATCH(B206,Ingredients!$A$5:$A$304,0)),""),""))</f>
        <v>0</v>
      </c>
      <c r="P206" s="8">
        <f>IF(OR(H206="",A206=""),"",IFERROR(H206/SUMIFS('Recipe Ingredients'!$H$5:$H$1204,'Recipe Ingredients'!$A$5:$A$1204,A206),""))</f>
        <v>0</v>
      </c>
      <c r="Q206" s="8">
        <f>IF(H206="","",COUNTIFS($H$5:$H$1204,"&gt;"&amp;H206)+1)</f>
        <v>0</v>
      </c>
      <c r="R206" s="8">
        <f>IF(B206="","",SUMIFS(Pantry!$C$5:$C$304,Pantry!$A$5:$A$304,B206))</f>
        <v>0</v>
      </c>
      <c r="S206" s="8">
        <f>IF(OR(B206="",C206=""),"",MAX(0,C206-R206))</f>
        <v>0</v>
      </c>
      <c r="T206" s="26"/>
      <c r="U206" s="8">
        <f>IF(OR(T206="",T206=0,G206=""),"",T206*G206)</f>
        <v>0</v>
      </c>
      <c r="V206" s="8">
        <f>IF(OR(S206="",T206="",T206=0),"",CEILING(S206/T206,1))</f>
        <v>0</v>
      </c>
      <c r="W206" s="27"/>
      <c r="X206" s="29"/>
      <c r="Y206" s="8">
        <f>IF(OR(C206="",X206=""),"",C206*(1+X206))</f>
        <v>0</v>
      </c>
      <c r="Z206" s="8">
        <f>IF(B206="","",IFERROR(INDEX(Ingredients!$O$5:$O$304,MATCH(B206,Ingredients!$A$5:$A$304,0)),""))</f>
        <v>0</v>
      </c>
      <c r="AA206" s="8">
        <f>IF(B206="","",IF(R206&gt;=C206,"In pantry","To buy"))</f>
        <v>0</v>
      </c>
      <c r="AB206" s="8">
        <f>IF(A206="","",COUNTIFS($A$5:A206,A206))</f>
        <v>0</v>
      </c>
      <c r="AC206" s="8">
        <f>IF(B206="","",IF(COUNTIFS('Dietary Filters'!$C$5:$C$104,B206)&gt;0,"Check","OK"))</f>
        <v>0</v>
      </c>
      <c r="AD206" s="25"/>
    </row>
    <row r="207" spans="1:30">
      <c r="A207" s="7"/>
      <c r="B207" s="7"/>
      <c r="C207" s="26"/>
      <c r="D207" s="27"/>
      <c r="E207" s="8">
        <f>IF(B207="","",IFERROR(INDEX(Ingredients!$B$5:$B$304,MATCH(B207,Ingredients!$A$5:$A$304,0)),""))</f>
        <v>0</v>
      </c>
      <c r="F207" s="8">
        <f>IF(B207="","",IFERROR(INDEX(Ingredients!$E$5:$E$304,MATCH(B207,Ingredients!$A$5:$A$304,0)),""))</f>
        <v>0</v>
      </c>
      <c r="G207" s="8">
        <f>IF(B207="","",IFERROR(INDEX(Ingredients!$D$5:$D$304,MATCH(B207,Ingredients!$A$5:$A$304,0)),""))</f>
        <v>0</v>
      </c>
      <c r="H207" s="8">
        <f>IF(OR(B207="",C207=""),"",IFERROR(C207*G207,""))</f>
        <v>0</v>
      </c>
      <c r="I207" s="8">
        <f>IF(A207="","",IFERROR(INDEX(Recipes!$D$5:$D$204,MATCH(A207,Recipes!$A$5:$A$204,0)),""))</f>
        <v>0</v>
      </c>
      <c r="J207" s="8">
        <f>IF(OR(H207="",I207="",I207=0),"",IFERROR(H207/I207,""))</f>
        <v>0</v>
      </c>
      <c r="K207" s="8">
        <f>IF(OR(B207="",C207=""),"",IFERROR(C207*IFERROR(INDEX(Ingredients!$H$5:$H$304,MATCH(B207,Ingredients!$A$5:$A$304,0)),""),""))</f>
        <v>0</v>
      </c>
      <c r="L207" s="8">
        <f>IF(OR(B207="",C207=""),"",IFERROR(C207*IFERROR(INDEX(Ingredients!$I$5:$I$304,MATCH(B207,Ingredients!$A$5:$A$304,0)),""),""))</f>
        <v>0</v>
      </c>
      <c r="M207" s="8">
        <f>IF(OR(B207="",C207=""),"",IFERROR(C207*IFERROR(INDEX(Ingredients!$J$5:$J$304,MATCH(B207,Ingredients!$A$5:$A$304,0)),""),""))</f>
        <v>0</v>
      </c>
      <c r="N207" s="8">
        <f>IF(OR(B207="",C207=""),"",IFERROR(C207*IFERROR(INDEX(Ingredients!$K$5:$K$304,MATCH(B207,Ingredients!$A$5:$A$304,0)),""),""))</f>
        <v>0</v>
      </c>
      <c r="O207" s="8">
        <f>IF(OR(B207="",C207=""),"",IFERROR(C207*IFERROR(INDEX(Ingredients!$L$5:$L$304,MATCH(B207,Ingredients!$A$5:$A$304,0)),""),""))</f>
        <v>0</v>
      </c>
      <c r="P207" s="8">
        <f>IF(OR(H207="",A207=""),"",IFERROR(H207/SUMIFS('Recipe Ingredients'!$H$5:$H$1204,'Recipe Ingredients'!$A$5:$A$1204,A207),""))</f>
        <v>0</v>
      </c>
      <c r="Q207" s="8">
        <f>IF(H207="","",COUNTIFS($H$5:$H$1204,"&gt;"&amp;H207)+1)</f>
        <v>0</v>
      </c>
      <c r="R207" s="8">
        <f>IF(B207="","",SUMIFS(Pantry!$C$5:$C$304,Pantry!$A$5:$A$304,B207))</f>
        <v>0</v>
      </c>
      <c r="S207" s="8">
        <f>IF(OR(B207="",C207=""),"",MAX(0,C207-R207))</f>
        <v>0</v>
      </c>
      <c r="T207" s="26"/>
      <c r="U207" s="8">
        <f>IF(OR(T207="",T207=0,G207=""),"",T207*G207)</f>
        <v>0</v>
      </c>
      <c r="V207" s="8">
        <f>IF(OR(S207="",T207="",T207=0),"",CEILING(S207/T207,1))</f>
        <v>0</v>
      </c>
      <c r="W207" s="27"/>
      <c r="X207" s="29"/>
      <c r="Y207" s="8">
        <f>IF(OR(C207="",X207=""),"",C207*(1+X207))</f>
        <v>0</v>
      </c>
      <c r="Z207" s="8">
        <f>IF(B207="","",IFERROR(INDEX(Ingredients!$O$5:$O$304,MATCH(B207,Ingredients!$A$5:$A$304,0)),""))</f>
        <v>0</v>
      </c>
      <c r="AA207" s="8">
        <f>IF(B207="","",IF(R207&gt;=C207,"In pantry","To buy"))</f>
        <v>0</v>
      </c>
      <c r="AB207" s="8">
        <f>IF(A207="","",COUNTIFS($A$5:A207,A207))</f>
        <v>0</v>
      </c>
      <c r="AC207" s="8">
        <f>IF(B207="","",IF(COUNTIFS('Dietary Filters'!$C$5:$C$104,B207)&gt;0,"Check","OK"))</f>
        <v>0</v>
      </c>
      <c r="AD207" s="25"/>
    </row>
    <row r="208" spans="1:30">
      <c r="A208" s="7"/>
      <c r="B208" s="7"/>
      <c r="C208" s="26"/>
      <c r="D208" s="27"/>
      <c r="E208" s="8">
        <f>IF(B208="","",IFERROR(INDEX(Ingredients!$B$5:$B$304,MATCH(B208,Ingredients!$A$5:$A$304,0)),""))</f>
        <v>0</v>
      </c>
      <c r="F208" s="8">
        <f>IF(B208="","",IFERROR(INDEX(Ingredients!$E$5:$E$304,MATCH(B208,Ingredients!$A$5:$A$304,0)),""))</f>
        <v>0</v>
      </c>
      <c r="G208" s="8">
        <f>IF(B208="","",IFERROR(INDEX(Ingredients!$D$5:$D$304,MATCH(B208,Ingredients!$A$5:$A$304,0)),""))</f>
        <v>0</v>
      </c>
      <c r="H208" s="8">
        <f>IF(OR(B208="",C208=""),"",IFERROR(C208*G208,""))</f>
        <v>0</v>
      </c>
      <c r="I208" s="8">
        <f>IF(A208="","",IFERROR(INDEX(Recipes!$D$5:$D$204,MATCH(A208,Recipes!$A$5:$A$204,0)),""))</f>
        <v>0</v>
      </c>
      <c r="J208" s="8">
        <f>IF(OR(H208="",I208="",I208=0),"",IFERROR(H208/I208,""))</f>
        <v>0</v>
      </c>
      <c r="K208" s="8">
        <f>IF(OR(B208="",C208=""),"",IFERROR(C208*IFERROR(INDEX(Ingredients!$H$5:$H$304,MATCH(B208,Ingredients!$A$5:$A$304,0)),""),""))</f>
        <v>0</v>
      </c>
      <c r="L208" s="8">
        <f>IF(OR(B208="",C208=""),"",IFERROR(C208*IFERROR(INDEX(Ingredients!$I$5:$I$304,MATCH(B208,Ingredients!$A$5:$A$304,0)),""),""))</f>
        <v>0</v>
      </c>
      <c r="M208" s="8">
        <f>IF(OR(B208="",C208=""),"",IFERROR(C208*IFERROR(INDEX(Ingredients!$J$5:$J$304,MATCH(B208,Ingredients!$A$5:$A$304,0)),""),""))</f>
        <v>0</v>
      </c>
      <c r="N208" s="8">
        <f>IF(OR(B208="",C208=""),"",IFERROR(C208*IFERROR(INDEX(Ingredients!$K$5:$K$304,MATCH(B208,Ingredients!$A$5:$A$304,0)),""),""))</f>
        <v>0</v>
      </c>
      <c r="O208" s="8">
        <f>IF(OR(B208="",C208=""),"",IFERROR(C208*IFERROR(INDEX(Ingredients!$L$5:$L$304,MATCH(B208,Ingredients!$A$5:$A$304,0)),""),""))</f>
        <v>0</v>
      </c>
      <c r="P208" s="8">
        <f>IF(OR(H208="",A208=""),"",IFERROR(H208/SUMIFS('Recipe Ingredients'!$H$5:$H$1204,'Recipe Ingredients'!$A$5:$A$1204,A208),""))</f>
        <v>0</v>
      </c>
      <c r="Q208" s="8">
        <f>IF(H208="","",COUNTIFS($H$5:$H$1204,"&gt;"&amp;H208)+1)</f>
        <v>0</v>
      </c>
      <c r="R208" s="8">
        <f>IF(B208="","",SUMIFS(Pantry!$C$5:$C$304,Pantry!$A$5:$A$304,B208))</f>
        <v>0</v>
      </c>
      <c r="S208" s="8">
        <f>IF(OR(B208="",C208=""),"",MAX(0,C208-R208))</f>
        <v>0</v>
      </c>
      <c r="T208" s="26"/>
      <c r="U208" s="8">
        <f>IF(OR(T208="",T208=0,G208=""),"",T208*G208)</f>
        <v>0</v>
      </c>
      <c r="V208" s="8">
        <f>IF(OR(S208="",T208="",T208=0),"",CEILING(S208/T208,1))</f>
        <v>0</v>
      </c>
      <c r="W208" s="27"/>
      <c r="X208" s="29"/>
      <c r="Y208" s="8">
        <f>IF(OR(C208="",X208=""),"",C208*(1+X208))</f>
        <v>0</v>
      </c>
      <c r="Z208" s="8">
        <f>IF(B208="","",IFERROR(INDEX(Ingredients!$O$5:$O$304,MATCH(B208,Ingredients!$A$5:$A$304,0)),""))</f>
        <v>0</v>
      </c>
      <c r="AA208" s="8">
        <f>IF(B208="","",IF(R208&gt;=C208,"In pantry","To buy"))</f>
        <v>0</v>
      </c>
      <c r="AB208" s="8">
        <f>IF(A208="","",COUNTIFS($A$5:A208,A208))</f>
        <v>0</v>
      </c>
      <c r="AC208" s="8">
        <f>IF(B208="","",IF(COUNTIFS('Dietary Filters'!$C$5:$C$104,B208)&gt;0,"Check","OK"))</f>
        <v>0</v>
      </c>
      <c r="AD208" s="25"/>
    </row>
    <row r="209" spans="1:30">
      <c r="A209" s="7"/>
      <c r="B209" s="7"/>
      <c r="C209" s="26"/>
      <c r="D209" s="27"/>
      <c r="E209" s="8">
        <f>IF(B209="","",IFERROR(INDEX(Ingredients!$B$5:$B$304,MATCH(B209,Ingredients!$A$5:$A$304,0)),""))</f>
        <v>0</v>
      </c>
      <c r="F209" s="8">
        <f>IF(B209="","",IFERROR(INDEX(Ingredients!$E$5:$E$304,MATCH(B209,Ingredients!$A$5:$A$304,0)),""))</f>
        <v>0</v>
      </c>
      <c r="G209" s="8">
        <f>IF(B209="","",IFERROR(INDEX(Ingredients!$D$5:$D$304,MATCH(B209,Ingredients!$A$5:$A$304,0)),""))</f>
        <v>0</v>
      </c>
      <c r="H209" s="8">
        <f>IF(OR(B209="",C209=""),"",IFERROR(C209*G209,""))</f>
        <v>0</v>
      </c>
      <c r="I209" s="8">
        <f>IF(A209="","",IFERROR(INDEX(Recipes!$D$5:$D$204,MATCH(A209,Recipes!$A$5:$A$204,0)),""))</f>
        <v>0</v>
      </c>
      <c r="J209" s="8">
        <f>IF(OR(H209="",I209="",I209=0),"",IFERROR(H209/I209,""))</f>
        <v>0</v>
      </c>
      <c r="K209" s="8">
        <f>IF(OR(B209="",C209=""),"",IFERROR(C209*IFERROR(INDEX(Ingredients!$H$5:$H$304,MATCH(B209,Ingredients!$A$5:$A$304,0)),""),""))</f>
        <v>0</v>
      </c>
      <c r="L209" s="8">
        <f>IF(OR(B209="",C209=""),"",IFERROR(C209*IFERROR(INDEX(Ingredients!$I$5:$I$304,MATCH(B209,Ingredients!$A$5:$A$304,0)),""),""))</f>
        <v>0</v>
      </c>
      <c r="M209" s="8">
        <f>IF(OR(B209="",C209=""),"",IFERROR(C209*IFERROR(INDEX(Ingredients!$J$5:$J$304,MATCH(B209,Ingredients!$A$5:$A$304,0)),""),""))</f>
        <v>0</v>
      </c>
      <c r="N209" s="8">
        <f>IF(OR(B209="",C209=""),"",IFERROR(C209*IFERROR(INDEX(Ingredients!$K$5:$K$304,MATCH(B209,Ingredients!$A$5:$A$304,0)),""),""))</f>
        <v>0</v>
      </c>
      <c r="O209" s="8">
        <f>IF(OR(B209="",C209=""),"",IFERROR(C209*IFERROR(INDEX(Ingredients!$L$5:$L$304,MATCH(B209,Ingredients!$A$5:$A$304,0)),""),""))</f>
        <v>0</v>
      </c>
      <c r="P209" s="8">
        <f>IF(OR(H209="",A209=""),"",IFERROR(H209/SUMIFS('Recipe Ingredients'!$H$5:$H$1204,'Recipe Ingredients'!$A$5:$A$1204,A209),""))</f>
        <v>0</v>
      </c>
      <c r="Q209" s="8">
        <f>IF(H209="","",COUNTIFS($H$5:$H$1204,"&gt;"&amp;H209)+1)</f>
        <v>0</v>
      </c>
      <c r="R209" s="8">
        <f>IF(B209="","",SUMIFS(Pantry!$C$5:$C$304,Pantry!$A$5:$A$304,B209))</f>
        <v>0</v>
      </c>
      <c r="S209" s="8">
        <f>IF(OR(B209="",C209=""),"",MAX(0,C209-R209))</f>
        <v>0</v>
      </c>
      <c r="T209" s="26"/>
      <c r="U209" s="8">
        <f>IF(OR(T209="",T209=0,G209=""),"",T209*G209)</f>
        <v>0</v>
      </c>
      <c r="V209" s="8">
        <f>IF(OR(S209="",T209="",T209=0),"",CEILING(S209/T209,1))</f>
        <v>0</v>
      </c>
      <c r="W209" s="27"/>
      <c r="X209" s="29"/>
      <c r="Y209" s="8">
        <f>IF(OR(C209="",X209=""),"",C209*(1+X209))</f>
        <v>0</v>
      </c>
      <c r="Z209" s="8">
        <f>IF(B209="","",IFERROR(INDEX(Ingredients!$O$5:$O$304,MATCH(B209,Ingredients!$A$5:$A$304,0)),""))</f>
        <v>0</v>
      </c>
      <c r="AA209" s="8">
        <f>IF(B209="","",IF(R209&gt;=C209,"In pantry","To buy"))</f>
        <v>0</v>
      </c>
      <c r="AB209" s="8">
        <f>IF(A209="","",COUNTIFS($A$5:A209,A209))</f>
        <v>0</v>
      </c>
      <c r="AC209" s="8">
        <f>IF(B209="","",IF(COUNTIFS('Dietary Filters'!$C$5:$C$104,B209)&gt;0,"Check","OK"))</f>
        <v>0</v>
      </c>
      <c r="AD209" s="25"/>
    </row>
    <row r="210" spans="1:30">
      <c r="A210" s="7"/>
      <c r="B210" s="7"/>
      <c r="C210" s="26"/>
      <c r="D210" s="27"/>
      <c r="E210" s="8">
        <f>IF(B210="","",IFERROR(INDEX(Ingredients!$B$5:$B$304,MATCH(B210,Ingredients!$A$5:$A$304,0)),""))</f>
        <v>0</v>
      </c>
      <c r="F210" s="8">
        <f>IF(B210="","",IFERROR(INDEX(Ingredients!$E$5:$E$304,MATCH(B210,Ingredients!$A$5:$A$304,0)),""))</f>
        <v>0</v>
      </c>
      <c r="G210" s="8">
        <f>IF(B210="","",IFERROR(INDEX(Ingredients!$D$5:$D$304,MATCH(B210,Ingredients!$A$5:$A$304,0)),""))</f>
        <v>0</v>
      </c>
      <c r="H210" s="8">
        <f>IF(OR(B210="",C210=""),"",IFERROR(C210*G210,""))</f>
        <v>0</v>
      </c>
      <c r="I210" s="8">
        <f>IF(A210="","",IFERROR(INDEX(Recipes!$D$5:$D$204,MATCH(A210,Recipes!$A$5:$A$204,0)),""))</f>
        <v>0</v>
      </c>
      <c r="J210" s="8">
        <f>IF(OR(H210="",I210="",I210=0),"",IFERROR(H210/I210,""))</f>
        <v>0</v>
      </c>
      <c r="K210" s="8">
        <f>IF(OR(B210="",C210=""),"",IFERROR(C210*IFERROR(INDEX(Ingredients!$H$5:$H$304,MATCH(B210,Ingredients!$A$5:$A$304,0)),""),""))</f>
        <v>0</v>
      </c>
      <c r="L210" s="8">
        <f>IF(OR(B210="",C210=""),"",IFERROR(C210*IFERROR(INDEX(Ingredients!$I$5:$I$304,MATCH(B210,Ingredients!$A$5:$A$304,0)),""),""))</f>
        <v>0</v>
      </c>
      <c r="M210" s="8">
        <f>IF(OR(B210="",C210=""),"",IFERROR(C210*IFERROR(INDEX(Ingredients!$J$5:$J$304,MATCH(B210,Ingredients!$A$5:$A$304,0)),""),""))</f>
        <v>0</v>
      </c>
      <c r="N210" s="8">
        <f>IF(OR(B210="",C210=""),"",IFERROR(C210*IFERROR(INDEX(Ingredients!$K$5:$K$304,MATCH(B210,Ingredients!$A$5:$A$304,0)),""),""))</f>
        <v>0</v>
      </c>
      <c r="O210" s="8">
        <f>IF(OR(B210="",C210=""),"",IFERROR(C210*IFERROR(INDEX(Ingredients!$L$5:$L$304,MATCH(B210,Ingredients!$A$5:$A$304,0)),""),""))</f>
        <v>0</v>
      </c>
      <c r="P210" s="8">
        <f>IF(OR(H210="",A210=""),"",IFERROR(H210/SUMIFS('Recipe Ingredients'!$H$5:$H$1204,'Recipe Ingredients'!$A$5:$A$1204,A210),""))</f>
        <v>0</v>
      </c>
      <c r="Q210" s="8">
        <f>IF(H210="","",COUNTIFS($H$5:$H$1204,"&gt;"&amp;H210)+1)</f>
        <v>0</v>
      </c>
      <c r="R210" s="8">
        <f>IF(B210="","",SUMIFS(Pantry!$C$5:$C$304,Pantry!$A$5:$A$304,B210))</f>
        <v>0</v>
      </c>
      <c r="S210" s="8">
        <f>IF(OR(B210="",C210=""),"",MAX(0,C210-R210))</f>
        <v>0</v>
      </c>
      <c r="T210" s="26"/>
      <c r="U210" s="8">
        <f>IF(OR(T210="",T210=0,G210=""),"",T210*G210)</f>
        <v>0</v>
      </c>
      <c r="V210" s="8">
        <f>IF(OR(S210="",T210="",T210=0),"",CEILING(S210/T210,1))</f>
        <v>0</v>
      </c>
      <c r="W210" s="27"/>
      <c r="X210" s="29"/>
      <c r="Y210" s="8">
        <f>IF(OR(C210="",X210=""),"",C210*(1+X210))</f>
        <v>0</v>
      </c>
      <c r="Z210" s="8">
        <f>IF(B210="","",IFERROR(INDEX(Ingredients!$O$5:$O$304,MATCH(B210,Ingredients!$A$5:$A$304,0)),""))</f>
        <v>0</v>
      </c>
      <c r="AA210" s="8">
        <f>IF(B210="","",IF(R210&gt;=C210,"In pantry","To buy"))</f>
        <v>0</v>
      </c>
      <c r="AB210" s="8">
        <f>IF(A210="","",COUNTIFS($A$5:A210,A210))</f>
        <v>0</v>
      </c>
      <c r="AC210" s="8">
        <f>IF(B210="","",IF(COUNTIFS('Dietary Filters'!$C$5:$C$104,B210)&gt;0,"Check","OK"))</f>
        <v>0</v>
      </c>
      <c r="AD210" s="25"/>
    </row>
    <row r="211" spans="1:30">
      <c r="A211" s="7"/>
      <c r="B211" s="7"/>
      <c r="C211" s="26"/>
      <c r="D211" s="27"/>
      <c r="E211" s="8">
        <f>IF(B211="","",IFERROR(INDEX(Ingredients!$B$5:$B$304,MATCH(B211,Ingredients!$A$5:$A$304,0)),""))</f>
        <v>0</v>
      </c>
      <c r="F211" s="8">
        <f>IF(B211="","",IFERROR(INDEX(Ingredients!$E$5:$E$304,MATCH(B211,Ingredients!$A$5:$A$304,0)),""))</f>
        <v>0</v>
      </c>
      <c r="G211" s="8">
        <f>IF(B211="","",IFERROR(INDEX(Ingredients!$D$5:$D$304,MATCH(B211,Ingredients!$A$5:$A$304,0)),""))</f>
        <v>0</v>
      </c>
      <c r="H211" s="8">
        <f>IF(OR(B211="",C211=""),"",IFERROR(C211*G211,""))</f>
        <v>0</v>
      </c>
      <c r="I211" s="8">
        <f>IF(A211="","",IFERROR(INDEX(Recipes!$D$5:$D$204,MATCH(A211,Recipes!$A$5:$A$204,0)),""))</f>
        <v>0</v>
      </c>
      <c r="J211" s="8">
        <f>IF(OR(H211="",I211="",I211=0),"",IFERROR(H211/I211,""))</f>
        <v>0</v>
      </c>
      <c r="K211" s="8">
        <f>IF(OR(B211="",C211=""),"",IFERROR(C211*IFERROR(INDEX(Ingredients!$H$5:$H$304,MATCH(B211,Ingredients!$A$5:$A$304,0)),""),""))</f>
        <v>0</v>
      </c>
      <c r="L211" s="8">
        <f>IF(OR(B211="",C211=""),"",IFERROR(C211*IFERROR(INDEX(Ingredients!$I$5:$I$304,MATCH(B211,Ingredients!$A$5:$A$304,0)),""),""))</f>
        <v>0</v>
      </c>
      <c r="M211" s="8">
        <f>IF(OR(B211="",C211=""),"",IFERROR(C211*IFERROR(INDEX(Ingredients!$J$5:$J$304,MATCH(B211,Ingredients!$A$5:$A$304,0)),""),""))</f>
        <v>0</v>
      </c>
      <c r="N211" s="8">
        <f>IF(OR(B211="",C211=""),"",IFERROR(C211*IFERROR(INDEX(Ingredients!$K$5:$K$304,MATCH(B211,Ingredients!$A$5:$A$304,0)),""),""))</f>
        <v>0</v>
      </c>
      <c r="O211" s="8">
        <f>IF(OR(B211="",C211=""),"",IFERROR(C211*IFERROR(INDEX(Ingredients!$L$5:$L$304,MATCH(B211,Ingredients!$A$5:$A$304,0)),""),""))</f>
        <v>0</v>
      </c>
      <c r="P211" s="8">
        <f>IF(OR(H211="",A211=""),"",IFERROR(H211/SUMIFS('Recipe Ingredients'!$H$5:$H$1204,'Recipe Ingredients'!$A$5:$A$1204,A211),""))</f>
        <v>0</v>
      </c>
      <c r="Q211" s="8">
        <f>IF(H211="","",COUNTIFS($H$5:$H$1204,"&gt;"&amp;H211)+1)</f>
        <v>0</v>
      </c>
      <c r="R211" s="8">
        <f>IF(B211="","",SUMIFS(Pantry!$C$5:$C$304,Pantry!$A$5:$A$304,B211))</f>
        <v>0</v>
      </c>
      <c r="S211" s="8">
        <f>IF(OR(B211="",C211=""),"",MAX(0,C211-R211))</f>
        <v>0</v>
      </c>
      <c r="T211" s="26"/>
      <c r="U211" s="8">
        <f>IF(OR(T211="",T211=0,G211=""),"",T211*G211)</f>
        <v>0</v>
      </c>
      <c r="V211" s="8">
        <f>IF(OR(S211="",T211="",T211=0),"",CEILING(S211/T211,1))</f>
        <v>0</v>
      </c>
      <c r="W211" s="27"/>
      <c r="X211" s="29"/>
      <c r="Y211" s="8">
        <f>IF(OR(C211="",X211=""),"",C211*(1+X211))</f>
        <v>0</v>
      </c>
      <c r="Z211" s="8">
        <f>IF(B211="","",IFERROR(INDEX(Ingredients!$O$5:$O$304,MATCH(B211,Ingredients!$A$5:$A$304,0)),""))</f>
        <v>0</v>
      </c>
      <c r="AA211" s="8">
        <f>IF(B211="","",IF(R211&gt;=C211,"In pantry","To buy"))</f>
        <v>0</v>
      </c>
      <c r="AB211" s="8">
        <f>IF(A211="","",COUNTIFS($A$5:A211,A211))</f>
        <v>0</v>
      </c>
      <c r="AC211" s="8">
        <f>IF(B211="","",IF(COUNTIFS('Dietary Filters'!$C$5:$C$104,B211)&gt;0,"Check","OK"))</f>
        <v>0</v>
      </c>
      <c r="AD211" s="25"/>
    </row>
    <row r="212" spans="1:30">
      <c r="A212" s="7"/>
      <c r="B212" s="7"/>
      <c r="C212" s="26"/>
      <c r="D212" s="27"/>
      <c r="E212" s="8">
        <f>IF(B212="","",IFERROR(INDEX(Ingredients!$B$5:$B$304,MATCH(B212,Ingredients!$A$5:$A$304,0)),""))</f>
        <v>0</v>
      </c>
      <c r="F212" s="8">
        <f>IF(B212="","",IFERROR(INDEX(Ingredients!$E$5:$E$304,MATCH(B212,Ingredients!$A$5:$A$304,0)),""))</f>
        <v>0</v>
      </c>
      <c r="G212" s="8">
        <f>IF(B212="","",IFERROR(INDEX(Ingredients!$D$5:$D$304,MATCH(B212,Ingredients!$A$5:$A$304,0)),""))</f>
        <v>0</v>
      </c>
      <c r="H212" s="8">
        <f>IF(OR(B212="",C212=""),"",IFERROR(C212*G212,""))</f>
        <v>0</v>
      </c>
      <c r="I212" s="8">
        <f>IF(A212="","",IFERROR(INDEX(Recipes!$D$5:$D$204,MATCH(A212,Recipes!$A$5:$A$204,0)),""))</f>
        <v>0</v>
      </c>
      <c r="J212" s="8">
        <f>IF(OR(H212="",I212="",I212=0),"",IFERROR(H212/I212,""))</f>
        <v>0</v>
      </c>
      <c r="K212" s="8">
        <f>IF(OR(B212="",C212=""),"",IFERROR(C212*IFERROR(INDEX(Ingredients!$H$5:$H$304,MATCH(B212,Ingredients!$A$5:$A$304,0)),""),""))</f>
        <v>0</v>
      </c>
      <c r="L212" s="8">
        <f>IF(OR(B212="",C212=""),"",IFERROR(C212*IFERROR(INDEX(Ingredients!$I$5:$I$304,MATCH(B212,Ingredients!$A$5:$A$304,0)),""),""))</f>
        <v>0</v>
      </c>
      <c r="M212" s="8">
        <f>IF(OR(B212="",C212=""),"",IFERROR(C212*IFERROR(INDEX(Ingredients!$J$5:$J$304,MATCH(B212,Ingredients!$A$5:$A$304,0)),""),""))</f>
        <v>0</v>
      </c>
      <c r="N212" s="8">
        <f>IF(OR(B212="",C212=""),"",IFERROR(C212*IFERROR(INDEX(Ingredients!$K$5:$K$304,MATCH(B212,Ingredients!$A$5:$A$304,0)),""),""))</f>
        <v>0</v>
      </c>
      <c r="O212" s="8">
        <f>IF(OR(B212="",C212=""),"",IFERROR(C212*IFERROR(INDEX(Ingredients!$L$5:$L$304,MATCH(B212,Ingredients!$A$5:$A$304,0)),""),""))</f>
        <v>0</v>
      </c>
      <c r="P212" s="8">
        <f>IF(OR(H212="",A212=""),"",IFERROR(H212/SUMIFS('Recipe Ingredients'!$H$5:$H$1204,'Recipe Ingredients'!$A$5:$A$1204,A212),""))</f>
        <v>0</v>
      </c>
      <c r="Q212" s="8">
        <f>IF(H212="","",COUNTIFS($H$5:$H$1204,"&gt;"&amp;H212)+1)</f>
        <v>0</v>
      </c>
      <c r="R212" s="8">
        <f>IF(B212="","",SUMIFS(Pantry!$C$5:$C$304,Pantry!$A$5:$A$304,B212))</f>
        <v>0</v>
      </c>
      <c r="S212" s="8">
        <f>IF(OR(B212="",C212=""),"",MAX(0,C212-R212))</f>
        <v>0</v>
      </c>
      <c r="T212" s="26"/>
      <c r="U212" s="8">
        <f>IF(OR(T212="",T212=0,G212=""),"",T212*G212)</f>
        <v>0</v>
      </c>
      <c r="V212" s="8">
        <f>IF(OR(S212="",T212="",T212=0),"",CEILING(S212/T212,1))</f>
        <v>0</v>
      </c>
      <c r="W212" s="27"/>
      <c r="X212" s="29"/>
      <c r="Y212" s="8">
        <f>IF(OR(C212="",X212=""),"",C212*(1+X212))</f>
        <v>0</v>
      </c>
      <c r="Z212" s="8">
        <f>IF(B212="","",IFERROR(INDEX(Ingredients!$O$5:$O$304,MATCH(B212,Ingredients!$A$5:$A$304,0)),""))</f>
        <v>0</v>
      </c>
      <c r="AA212" s="8">
        <f>IF(B212="","",IF(R212&gt;=C212,"In pantry","To buy"))</f>
        <v>0</v>
      </c>
      <c r="AB212" s="8">
        <f>IF(A212="","",COUNTIFS($A$5:A212,A212))</f>
        <v>0</v>
      </c>
      <c r="AC212" s="8">
        <f>IF(B212="","",IF(COUNTIFS('Dietary Filters'!$C$5:$C$104,B212)&gt;0,"Check","OK"))</f>
        <v>0</v>
      </c>
      <c r="AD212" s="25"/>
    </row>
    <row r="213" spans="1:30">
      <c r="A213" s="7"/>
      <c r="B213" s="7"/>
      <c r="C213" s="26"/>
      <c r="D213" s="27"/>
      <c r="E213" s="8">
        <f>IF(B213="","",IFERROR(INDEX(Ingredients!$B$5:$B$304,MATCH(B213,Ingredients!$A$5:$A$304,0)),""))</f>
        <v>0</v>
      </c>
      <c r="F213" s="8">
        <f>IF(B213="","",IFERROR(INDEX(Ingredients!$E$5:$E$304,MATCH(B213,Ingredients!$A$5:$A$304,0)),""))</f>
        <v>0</v>
      </c>
      <c r="G213" s="8">
        <f>IF(B213="","",IFERROR(INDEX(Ingredients!$D$5:$D$304,MATCH(B213,Ingredients!$A$5:$A$304,0)),""))</f>
        <v>0</v>
      </c>
      <c r="H213" s="8">
        <f>IF(OR(B213="",C213=""),"",IFERROR(C213*G213,""))</f>
        <v>0</v>
      </c>
      <c r="I213" s="8">
        <f>IF(A213="","",IFERROR(INDEX(Recipes!$D$5:$D$204,MATCH(A213,Recipes!$A$5:$A$204,0)),""))</f>
        <v>0</v>
      </c>
      <c r="J213" s="8">
        <f>IF(OR(H213="",I213="",I213=0),"",IFERROR(H213/I213,""))</f>
        <v>0</v>
      </c>
      <c r="K213" s="8">
        <f>IF(OR(B213="",C213=""),"",IFERROR(C213*IFERROR(INDEX(Ingredients!$H$5:$H$304,MATCH(B213,Ingredients!$A$5:$A$304,0)),""),""))</f>
        <v>0</v>
      </c>
      <c r="L213" s="8">
        <f>IF(OR(B213="",C213=""),"",IFERROR(C213*IFERROR(INDEX(Ingredients!$I$5:$I$304,MATCH(B213,Ingredients!$A$5:$A$304,0)),""),""))</f>
        <v>0</v>
      </c>
      <c r="M213" s="8">
        <f>IF(OR(B213="",C213=""),"",IFERROR(C213*IFERROR(INDEX(Ingredients!$J$5:$J$304,MATCH(B213,Ingredients!$A$5:$A$304,0)),""),""))</f>
        <v>0</v>
      </c>
      <c r="N213" s="8">
        <f>IF(OR(B213="",C213=""),"",IFERROR(C213*IFERROR(INDEX(Ingredients!$K$5:$K$304,MATCH(B213,Ingredients!$A$5:$A$304,0)),""),""))</f>
        <v>0</v>
      </c>
      <c r="O213" s="8">
        <f>IF(OR(B213="",C213=""),"",IFERROR(C213*IFERROR(INDEX(Ingredients!$L$5:$L$304,MATCH(B213,Ingredients!$A$5:$A$304,0)),""),""))</f>
        <v>0</v>
      </c>
      <c r="P213" s="8">
        <f>IF(OR(H213="",A213=""),"",IFERROR(H213/SUMIFS('Recipe Ingredients'!$H$5:$H$1204,'Recipe Ingredients'!$A$5:$A$1204,A213),""))</f>
        <v>0</v>
      </c>
      <c r="Q213" s="8">
        <f>IF(H213="","",COUNTIFS($H$5:$H$1204,"&gt;"&amp;H213)+1)</f>
        <v>0</v>
      </c>
      <c r="R213" s="8">
        <f>IF(B213="","",SUMIFS(Pantry!$C$5:$C$304,Pantry!$A$5:$A$304,B213))</f>
        <v>0</v>
      </c>
      <c r="S213" s="8">
        <f>IF(OR(B213="",C213=""),"",MAX(0,C213-R213))</f>
        <v>0</v>
      </c>
      <c r="T213" s="26"/>
      <c r="U213" s="8">
        <f>IF(OR(T213="",T213=0,G213=""),"",T213*G213)</f>
        <v>0</v>
      </c>
      <c r="V213" s="8">
        <f>IF(OR(S213="",T213="",T213=0),"",CEILING(S213/T213,1))</f>
        <v>0</v>
      </c>
      <c r="W213" s="27"/>
      <c r="X213" s="29"/>
      <c r="Y213" s="8">
        <f>IF(OR(C213="",X213=""),"",C213*(1+X213))</f>
        <v>0</v>
      </c>
      <c r="Z213" s="8">
        <f>IF(B213="","",IFERROR(INDEX(Ingredients!$O$5:$O$304,MATCH(B213,Ingredients!$A$5:$A$304,0)),""))</f>
        <v>0</v>
      </c>
      <c r="AA213" s="8">
        <f>IF(B213="","",IF(R213&gt;=C213,"In pantry","To buy"))</f>
        <v>0</v>
      </c>
      <c r="AB213" s="8">
        <f>IF(A213="","",COUNTIFS($A$5:A213,A213))</f>
        <v>0</v>
      </c>
      <c r="AC213" s="8">
        <f>IF(B213="","",IF(COUNTIFS('Dietary Filters'!$C$5:$C$104,B213)&gt;0,"Check","OK"))</f>
        <v>0</v>
      </c>
      <c r="AD213" s="25"/>
    </row>
    <row r="214" spans="1:30">
      <c r="A214" s="7"/>
      <c r="B214" s="7"/>
      <c r="C214" s="26"/>
      <c r="D214" s="27"/>
      <c r="E214" s="8">
        <f>IF(B214="","",IFERROR(INDEX(Ingredients!$B$5:$B$304,MATCH(B214,Ingredients!$A$5:$A$304,0)),""))</f>
        <v>0</v>
      </c>
      <c r="F214" s="8">
        <f>IF(B214="","",IFERROR(INDEX(Ingredients!$E$5:$E$304,MATCH(B214,Ingredients!$A$5:$A$304,0)),""))</f>
        <v>0</v>
      </c>
      <c r="G214" s="8">
        <f>IF(B214="","",IFERROR(INDEX(Ingredients!$D$5:$D$304,MATCH(B214,Ingredients!$A$5:$A$304,0)),""))</f>
        <v>0</v>
      </c>
      <c r="H214" s="8">
        <f>IF(OR(B214="",C214=""),"",IFERROR(C214*G214,""))</f>
        <v>0</v>
      </c>
      <c r="I214" s="8">
        <f>IF(A214="","",IFERROR(INDEX(Recipes!$D$5:$D$204,MATCH(A214,Recipes!$A$5:$A$204,0)),""))</f>
        <v>0</v>
      </c>
      <c r="J214" s="8">
        <f>IF(OR(H214="",I214="",I214=0),"",IFERROR(H214/I214,""))</f>
        <v>0</v>
      </c>
      <c r="K214" s="8">
        <f>IF(OR(B214="",C214=""),"",IFERROR(C214*IFERROR(INDEX(Ingredients!$H$5:$H$304,MATCH(B214,Ingredients!$A$5:$A$304,0)),""),""))</f>
        <v>0</v>
      </c>
      <c r="L214" s="8">
        <f>IF(OR(B214="",C214=""),"",IFERROR(C214*IFERROR(INDEX(Ingredients!$I$5:$I$304,MATCH(B214,Ingredients!$A$5:$A$304,0)),""),""))</f>
        <v>0</v>
      </c>
      <c r="M214" s="8">
        <f>IF(OR(B214="",C214=""),"",IFERROR(C214*IFERROR(INDEX(Ingredients!$J$5:$J$304,MATCH(B214,Ingredients!$A$5:$A$304,0)),""),""))</f>
        <v>0</v>
      </c>
      <c r="N214" s="8">
        <f>IF(OR(B214="",C214=""),"",IFERROR(C214*IFERROR(INDEX(Ingredients!$K$5:$K$304,MATCH(B214,Ingredients!$A$5:$A$304,0)),""),""))</f>
        <v>0</v>
      </c>
      <c r="O214" s="8">
        <f>IF(OR(B214="",C214=""),"",IFERROR(C214*IFERROR(INDEX(Ingredients!$L$5:$L$304,MATCH(B214,Ingredients!$A$5:$A$304,0)),""),""))</f>
        <v>0</v>
      </c>
      <c r="P214" s="8">
        <f>IF(OR(H214="",A214=""),"",IFERROR(H214/SUMIFS('Recipe Ingredients'!$H$5:$H$1204,'Recipe Ingredients'!$A$5:$A$1204,A214),""))</f>
        <v>0</v>
      </c>
      <c r="Q214" s="8">
        <f>IF(H214="","",COUNTIFS($H$5:$H$1204,"&gt;"&amp;H214)+1)</f>
        <v>0</v>
      </c>
      <c r="R214" s="8">
        <f>IF(B214="","",SUMIFS(Pantry!$C$5:$C$304,Pantry!$A$5:$A$304,B214))</f>
        <v>0</v>
      </c>
      <c r="S214" s="8">
        <f>IF(OR(B214="",C214=""),"",MAX(0,C214-R214))</f>
        <v>0</v>
      </c>
      <c r="T214" s="26"/>
      <c r="U214" s="8">
        <f>IF(OR(T214="",T214=0,G214=""),"",T214*G214)</f>
        <v>0</v>
      </c>
      <c r="V214" s="8">
        <f>IF(OR(S214="",T214="",T214=0),"",CEILING(S214/T214,1))</f>
        <v>0</v>
      </c>
      <c r="W214" s="27"/>
      <c r="X214" s="29"/>
      <c r="Y214" s="8">
        <f>IF(OR(C214="",X214=""),"",C214*(1+X214))</f>
        <v>0</v>
      </c>
      <c r="Z214" s="8">
        <f>IF(B214="","",IFERROR(INDEX(Ingredients!$O$5:$O$304,MATCH(B214,Ingredients!$A$5:$A$304,0)),""))</f>
        <v>0</v>
      </c>
      <c r="AA214" s="8">
        <f>IF(B214="","",IF(R214&gt;=C214,"In pantry","To buy"))</f>
        <v>0</v>
      </c>
      <c r="AB214" s="8">
        <f>IF(A214="","",COUNTIFS($A$5:A214,A214))</f>
        <v>0</v>
      </c>
      <c r="AC214" s="8">
        <f>IF(B214="","",IF(COUNTIFS('Dietary Filters'!$C$5:$C$104,B214)&gt;0,"Check","OK"))</f>
        <v>0</v>
      </c>
      <c r="AD214" s="25"/>
    </row>
    <row r="215" spans="1:30">
      <c r="A215" s="7"/>
      <c r="B215" s="7"/>
      <c r="C215" s="26"/>
      <c r="D215" s="27"/>
      <c r="E215" s="8">
        <f>IF(B215="","",IFERROR(INDEX(Ingredients!$B$5:$B$304,MATCH(B215,Ingredients!$A$5:$A$304,0)),""))</f>
        <v>0</v>
      </c>
      <c r="F215" s="8">
        <f>IF(B215="","",IFERROR(INDEX(Ingredients!$E$5:$E$304,MATCH(B215,Ingredients!$A$5:$A$304,0)),""))</f>
        <v>0</v>
      </c>
      <c r="G215" s="8">
        <f>IF(B215="","",IFERROR(INDEX(Ingredients!$D$5:$D$304,MATCH(B215,Ingredients!$A$5:$A$304,0)),""))</f>
        <v>0</v>
      </c>
      <c r="H215" s="8">
        <f>IF(OR(B215="",C215=""),"",IFERROR(C215*G215,""))</f>
        <v>0</v>
      </c>
      <c r="I215" s="8">
        <f>IF(A215="","",IFERROR(INDEX(Recipes!$D$5:$D$204,MATCH(A215,Recipes!$A$5:$A$204,0)),""))</f>
        <v>0</v>
      </c>
      <c r="J215" s="8">
        <f>IF(OR(H215="",I215="",I215=0),"",IFERROR(H215/I215,""))</f>
        <v>0</v>
      </c>
      <c r="K215" s="8">
        <f>IF(OR(B215="",C215=""),"",IFERROR(C215*IFERROR(INDEX(Ingredients!$H$5:$H$304,MATCH(B215,Ingredients!$A$5:$A$304,0)),""),""))</f>
        <v>0</v>
      </c>
      <c r="L215" s="8">
        <f>IF(OR(B215="",C215=""),"",IFERROR(C215*IFERROR(INDEX(Ingredients!$I$5:$I$304,MATCH(B215,Ingredients!$A$5:$A$304,0)),""),""))</f>
        <v>0</v>
      </c>
      <c r="M215" s="8">
        <f>IF(OR(B215="",C215=""),"",IFERROR(C215*IFERROR(INDEX(Ingredients!$J$5:$J$304,MATCH(B215,Ingredients!$A$5:$A$304,0)),""),""))</f>
        <v>0</v>
      </c>
      <c r="N215" s="8">
        <f>IF(OR(B215="",C215=""),"",IFERROR(C215*IFERROR(INDEX(Ingredients!$K$5:$K$304,MATCH(B215,Ingredients!$A$5:$A$304,0)),""),""))</f>
        <v>0</v>
      </c>
      <c r="O215" s="8">
        <f>IF(OR(B215="",C215=""),"",IFERROR(C215*IFERROR(INDEX(Ingredients!$L$5:$L$304,MATCH(B215,Ingredients!$A$5:$A$304,0)),""),""))</f>
        <v>0</v>
      </c>
      <c r="P215" s="8">
        <f>IF(OR(H215="",A215=""),"",IFERROR(H215/SUMIFS('Recipe Ingredients'!$H$5:$H$1204,'Recipe Ingredients'!$A$5:$A$1204,A215),""))</f>
        <v>0</v>
      </c>
      <c r="Q215" s="8">
        <f>IF(H215="","",COUNTIFS($H$5:$H$1204,"&gt;"&amp;H215)+1)</f>
        <v>0</v>
      </c>
      <c r="R215" s="8">
        <f>IF(B215="","",SUMIFS(Pantry!$C$5:$C$304,Pantry!$A$5:$A$304,B215))</f>
        <v>0</v>
      </c>
      <c r="S215" s="8">
        <f>IF(OR(B215="",C215=""),"",MAX(0,C215-R215))</f>
        <v>0</v>
      </c>
      <c r="T215" s="26"/>
      <c r="U215" s="8">
        <f>IF(OR(T215="",T215=0,G215=""),"",T215*G215)</f>
        <v>0</v>
      </c>
      <c r="V215" s="8">
        <f>IF(OR(S215="",T215="",T215=0),"",CEILING(S215/T215,1))</f>
        <v>0</v>
      </c>
      <c r="W215" s="27"/>
      <c r="X215" s="29"/>
      <c r="Y215" s="8">
        <f>IF(OR(C215="",X215=""),"",C215*(1+X215))</f>
        <v>0</v>
      </c>
      <c r="Z215" s="8">
        <f>IF(B215="","",IFERROR(INDEX(Ingredients!$O$5:$O$304,MATCH(B215,Ingredients!$A$5:$A$304,0)),""))</f>
        <v>0</v>
      </c>
      <c r="AA215" s="8">
        <f>IF(B215="","",IF(R215&gt;=C215,"In pantry","To buy"))</f>
        <v>0</v>
      </c>
      <c r="AB215" s="8">
        <f>IF(A215="","",COUNTIFS($A$5:A215,A215))</f>
        <v>0</v>
      </c>
      <c r="AC215" s="8">
        <f>IF(B215="","",IF(COUNTIFS('Dietary Filters'!$C$5:$C$104,B215)&gt;0,"Check","OK"))</f>
        <v>0</v>
      </c>
      <c r="AD215" s="25"/>
    </row>
    <row r="216" spans="1:30">
      <c r="A216" s="7"/>
      <c r="B216" s="7"/>
      <c r="C216" s="26"/>
      <c r="D216" s="27"/>
      <c r="E216" s="8">
        <f>IF(B216="","",IFERROR(INDEX(Ingredients!$B$5:$B$304,MATCH(B216,Ingredients!$A$5:$A$304,0)),""))</f>
        <v>0</v>
      </c>
      <c r="F216" s="8">
        <f>IF(B216="","",IFERROR(INDEX(Ingredients!$E$5:$E$304,MATCH(B216,Ingredients!$A$5:$A$304,0)),""))</f>
        <v>0</v>
      </c>
      <c r="G216" s="8">
        <f>IF(B216="","",IFERROR(INDEX(Ingredients!$D$5:$D$304,MATCH(B216,Ingredients!$A$5:$A$304,0)),""))</f>
        <v>0</v>
      </c>
      <c r="H216" s="8">
        <f>IF(OR(B216="",C216=""),"",IFERROR(C216*G216,""))</f>
        <v>0</v>
      </c>
      <c r="I216" s="8">
        <f>IF(A216="","",IFERROR(INDEX(Recipes!$D$5:$D$204,MATCH(A216,Recipes!$A$5:$A$204,0)),""))</f>
        <v>0</v>
      </c>
      <c r="J216" s="8">
        <f>IF(OR(H216="",I216="",I216=0),"",IFERROR(H216/I216,""))</f>
        <v>0</v>
      </c>
      <c r="K216" s="8">
        <f>IF(OR(B216="",C216=""),"",IFERROR(C216*IFERROR(INDEX(Ingredients!$H$5:$H$304,MATCH(B216,Ingredients!$A$5:$A$304,0)),""),""))</f>
        <v>0</v>
      </c>
      <c r="L216" s="8">
        <f>IF(OR(B216="",C216=""),"",IFERROR(C216*IFERROR(INDEX(Ingredients!$I$5:$I$304,MATCH(B216,Ingredients!$A$5:$A$304,0)),""),""))</f>
        <v>0</v>
      </c>
      <c r="M216" s="8">
        <f>IF(OR(B216="",C216=""),"",IFERROR(C216*IFERROR(INDEX(Ingredients!$J$5:$J$304,MATCH(B216,Ingredients!$A$5:$A$304,0)),""),""))</f>
        <v>0</v>
      </c>
      <c r="N216" s="8">
        <f>IF(OR(B216="",C216=""),"",IFERROR(C216*IFERROR(INDEX(Ingredients!$K$5:$K$304,MATCH(B216,Ingredients!$A$5:$A$304,0)),""),""))</f>
        <v>0</v>
      </c>
      <c r="O216" s="8">
        <f>IF(OR(B216="",C216=""),"",IFERROR(C216*IFERROR(INDEX(Ingredients!$L$5:$L$304,MATCH(B216,Ingredients!$A$5:$A$304,0)),""),""))</f>
        <v>0</v>
      </c>
      <c r="P216" s="8">
        <f>IF(OR(H216="",A216=""),"",IFERROR(H216/SUMIFS('Recipe Ingredients'!$H$5:$H$1204,'Recipe Ingredients'!$A$5:$A$1204,A216),""))</f>
        <v>0</v>
      </c>
      <c r="Q216" s="8">
        <f>IF(H216="","",COUNTIFS($H$5:$H$1204,"&gt;"&amp;H216)+1)</f>
        <v>0</v>
      </c>
      <c r="R216" s="8">
        <f>IF(B216="","",SUMIFS(Pantry!$C$5:$C$304,Pantry!$A$5:$A$304,B216))</f>
        <v>0</v>
      </c>
      <c r="S216" s="8">
        <f>IF(OR(B216="",C216=""),"",MAX(0,C216-R216))</f>
        <v>0</v>
      </c>
      <c r="T216" s="26"/>
      <c r="U216" s="8">
        <f>IF(OR(T216="",T216=0,G216=""),"",T216*G216)</f>
        <v>0</v>
      </c>
      <c r="V216" s="8">
        <f>IF(OR(S216="",T216="",T216=0),"",CEILING(S216/T216,1))</f>
        <v>0</v>
      </c>
      <c r="W216" s="27"/>
      <c r="X216" s="29"/>
      <c r="Y216" s="8">
        <f>IF(OR(C216="",X216=""),"",C216*(1+X216))</f>
        <v>0</v>
      </c>
      <c r="Z216" s="8">
        <f>IF(B216="","",IFERROR(INDEX(Ingredients!$O$5:$O$304,MATCH(B216,Ingredients!$A$5:$A$304,0)),""))</f>
        <v>0</v>
      </c>
      <c r="AA216" s="8">
        <f>IF(B216="","",IF(R216&gt;=C216,"In pantry","To buy"))</f>
        <v>0</v>
      </c>
      <c r="AB216" s="8">
        <f>IF(A216="","",COUNTIFS($A$5:A216,A216))</f>
        <v>0</v>
      </c>
      <c r="AC216" s="8">
        <f>IF(B216="","",IF(COUNTIFS('Dietary Filters'!$C$5:$C$104,B216)&gt;0,"Check","OK"))</f>
        <v>0</v>
      </c>
      <c r="AD216" s="25"/>
    </row>
    <row r="217" spans="1:30">
      <c r="A217" s="7"/>
      <c r="B217" s="7"/>
      <c r="C217" s="26"/>
      <c r="D217" s="27"/>
      <c r="E217" s="8">
        <f>IF(B217="","",IFERROR(INDEX(Ingredients!$B$5:$B$304,MATCH(B217,Ingredients!$A$5:$A$304,0)),""))</f>
        <v>0</v>
      </c>
      <c r="F217" s="8">
        <f>IF(B217="","",IFERROR(INDEX(Ingredients!$E$5:$E$304,MATCH(B217,Ingredients!$A$5:$A$304,0)),""))</f>
        <v>0</v>
      </c>
      <c r="G217" s="8">
        <f>IF(B217="","",IFERROR(INDEX(Ingredients!$D$5:$D$304,MATCH(B217,Ingredients!$A$5:$A$304,0)),""))</f>
        <v>0</v>
      </c>
      <c r="H217" s="8">
        <f>IF(OR(B217="",C217=""),"",IFERROR(C217*G217,""))</f>
        <v>0</v>
      </c>
      <c r="I217" s="8">
        <f>IF(A217="","",IFERROR(INDEX(Recipes!$D$5:$D$204,MATCH(A217,Recipes!$A$5:$A$204,0)),""))</f>
        <v>0</v>
      </c>
      <c r="J217" s="8">
        <f>IF(OR(H217="",I217="",I217=0),"",IFERROR(H217/I217,""))</f>
        <v>0</v>
      </c>
      <c r="K217" s="8">
        <f>IF(OR(B217="",C217=""),"",IFERROR(C217*IFERROR(INDEX(Ingredients!$H$5:$H$304,MATCH(B217,Ingredients!$A$5:$A$304,0)),""),""))</f>
        <v>0</v>
      </c>
      <c r="L217" s="8">
        <f>IF(OR(B217="",C217=""),"",IFERROR(C217*IFERROR(INDEX(Ingredients!$I$5:$I$304,MATCH(B217,Ingredients!$A$5:$A$304,0)),""),""))</f>
        <v>0</v>
      </c>
      <c r="M217" s="8">
        <f>IF(OR(B217="",C217=""),"",IFERROR(C217*IFERROR(INDEX(Ingredients!$J$5:$J$304,MATCH(B217,Ingredients!$A$5:$A$304,0)),""),""))</f>
        <v>0</v>
      </c>
      <c r="N217" s="8">
        <f>IF(OR(B217="",C217=""),"",IFERROR(C217*IFERROR(INDEX(Ingredients!$K$5:$K$304,MATCH(B217,Ingredients!$A$5:$A$304,0)),""),""))</f>
        <v>0</v>
      </c>
      <c r="O217" s="8">
        <f>IF(OR(B217="",C217=""),"",IFERROR(C217*IFERROR(INDEX(Ingredients!$L$5:$L$304,MATCH(B217,Ingredients!$A$5:$A$304,0)),""),""))</f>
        <v>0</v>
      </c>
      <c r="P217" s="8">
        <f>IF(OR(H217="",A217=""),"",IFERROR(H217/SUMIFS('Recipe Ingredients'!$H$5:$H$1204,'Recipe Ingredients'!$A$5:$A$1204,A217),""))</f>
        <v>0</v>
      </c>
      <c r="Q217" s="8">
        <f>IF(H217="","",COUNTIFS($H$5:$H$1204,"&gt;"&amp;H217)+1)</f>
        <v>0</v>
      </c>
      <c r="R217" s="8">
        <f>IF(B217="","",SUMIFS(Pantry!$C$5:$C$304,Pantry!$A$5:$A$304,B217))</f>
        <v>0</v>
      </c>
      <c r="S217" s="8">
        <f>IF(OR(B217="",C217=""),"",MAX(0,C217-R217))</f>
        <v>0</v>
      </c>
      <c r="T217" s="26"/>
      <c r="U217" s="8">
        <f>IF(OR(T217="",T217=0,G217=""),"",T217*G217)</f>
        <v>0</v>
      </c>
      <c r="V217" s="8">
        <f>IF(OR(S217="",T217="",T217=0),"",CEILING(S217/T217,1))</f>
        <v>0</v>
      </c>
      <c r="W217" s="27"/>
      <c r="X217" s="29"/>
      <c r="Y217" s="8">
        <f>IF(OR(C217="",X217=""),"",C217*(1+X217))</f>
        <v>0</v>
      </c>
      <c r="Z217" s="8">
        <f>IF(B217="","",IFERROR(INDEX(Ingredients!$O$5:$O$304,MATCH(B217,Ingredients!$A$5:$A$304,0)),""))</f>
        <v>0</v>
      </c>
      <c r="AA217" s="8">
        <f>IF(B217="","",IF(R217&gt;=C217,"In pantry","To buy"))</f>
        <v>0</v>
      </c>
      <c r="AB217" s="8">
        <f>IF(A217="","",COUNTIFS($A$5:A217,A217))</f>
        <v>0</v>
      </c>
      <c r="AC217" s="8">
        <f>IF(B217="","",IF(COUNTIFS('Dietary Filters'!$C$5:$C$104,B217)&gt;0,"Check","OK"))</f>
        <v>0</v>
      </c>
      <c r="AD217" s="25"/>
    </row>
    <row r="218" spans="1:30">
      <c r="A218" s="7"/>
      <c r="B218" s="7"/>
      <c r="C218" s="26"/>
      <c r="D218" s="27"/>
      <c r="E218" s="8">
        <f>IF(B218="","",IFERROR(INDEX(Ingredients!$B$5:$B$304,MATCH(B218,Ingredients!$A$5:$A$304,0)),""))</f>
        <v>0</v>
      </c>
      <c r="F218" s="8">
        <f>IF(B218="","",IFERROR(INDEX(Ingredients!$E$5:$E$304,MATCH(B218,Ingredients!$A$5:$A$304,0)),""))</f>
        <v>0</v>
      </c>
      <c r="G218" s="8">
        <f>IF(B218="","",IFERROR(INDEX(Ingredients!$D$5:$D$304,MATCH(B218,Ingredients!$A$5:$A$304,0)),""))</f>
        <v>0</v>
      </c>
      <c r="H218" s="8">
        <f>IF(OR(B218="",C218=""),"",IFERROR(C218*G218,""))</f>
        <v>0</v>
      </c>
      <c r="I218" s="8">
        <f>IF(A218="","",IFERROR(INDEX(Recipes!$D$5:$D$204,MATCH(A218,Recipes!$A$5:$A$204,0)),""))</f>
        <v>0</v>
      </c>
      <c r="J218" s="8">
        <f>IF(OR(H218="",I218="",I218=0),"",IFERROR(H218/I218,""))</f>
        <v>0</v>
      </c>
      <c r="K218" s="8">
        <f>IF(OR(B218="",C218=""),"",IFERROR(C218*IFERROR(INDEX(Ingredients!$H$5:$H$304,MATCH(B218,Ingredients!$A$5:$A$304,0)),""),""))</f>
        <v>0</v>
      </c>
      <c r="L218" s="8">
        <f>IF(OR(B218="",C218=""),"",IFERROR(C218*IFERROR(INDEX(Ingredients!$I$5:$I$304,MATCH(B218,Ingredients!$A$5:$A$304,0)),""),""))</f>
        <v>0</v>
      </c>
      <c r="M218" s="8">
        <f>IF(OR(B218="",C218=""),"",IFERROR(C218*IFERROR(INDEX(Ingredients!$J$5:$J$304,MATCH(B218,Ingredients!$A$5:$A$304,0)),""),""))</f>
        <v>0</v>
      </c>
      <c r="N218" s="8">
        <f>IF(OR(B218="",C218=""),"",IFERROR(C218*IFERROR(INDEX(Ingredients!$K$5:$K$304,MATCH(B218,Ingredients!$A$5:$A$304,0)),""),""))</f>
        <v>0</v>
      </c>
      <c r="O218" s="8">
        <f>IF(OR(B218="",C218=""),"",IFERROR(C218*IFERROR(INDEX(Ingredients!$L$5:$L$304,MATCH(B218,Ingredients!$A$5:$A$304,0)),""),""))</f>
        <v>0</v>
      </c>
      <c r="P218" s="8">
        <f>IF(OR(H218="",A218=""),"",IFERROR(H218/SUMIFS('Recipe Ingredients'!$H$5:$H$1204,'Recipe Ingredients'!$A$5:$A$1204,A218),""))</f>
        <v>0</v>
      </c>
      <c r="Q218" s="8">
        <f>IF(H218="","",COUNTIFS($H$5:$H$1204,"&gt;"&amp;H218)+1)</f>
        <v>0</v>
      </c>
      <c r="R218" s="8">
        <f>IF(B218="","",SUMIFS(Pantry!$C$5:$C$304,Pantry!$A$5:$A$304,B218))</f>
        <v>0</v>
      </c>
      <c r="S218" s="8">
        <f>IF(OR(B218="",C218=""),"",MAX(0,C218-R218))</f>
        <v>0</v>
      </c>
      <c r="T218" s="26"/>
      <c r="U218" s="8">
        <f>IF(OR(T218="",T218=0,G218=""),"",T218*G218)</f>
        <v>0</v>
      </c>
      <c r="V218" s="8">
        <f>IF(OR(S218="",T218="",T218=0),"",CEILING(S218/T218,1))</f>
        <v>0</v>
      </c>
      <c r="W218" s="27"/>
      <c r="X218" s="29"/>
      <c r="Y218" s="8">
        <f>IF(OR(C218="",X218=""),"",C218*(1+X218))</f>
        <v>0</v>
      </c>
      <c r="Z218" s="8">
        <f>IF(B218="","",IFERROR(INDEX(Ingredients!$O$5:$O$304,MATCH(B218,Ingredients!$A$5:$A$304,0)),""))</f>
        <v>0</v>
      </c>
      <c r="AA218" s="8">
        <f>IF(B218="","",IF(R218&gt;=C218,"In pantry","To buy"))</f>
        <v>0</v>
      </c>
      <c r="AB218" s="8">
        <f>IF(A218="","",COUNTIFS($A$5:A218,A218))</f>
        <v>0</v>
      </c>
      <c r="AC218" s="8">
        <f>IF(B218="","",IF(COUNTIFS('Dietary Filters'!$C$5:$C$104,B218)&gt;0,"Check","OK"))</f>
        <v>0</v>
      </c>
      <c r="AD218" s="25"/>
    </row>
    <row r="219" spans="1:30">
      <c r="A219" s="7"/>
      <c r="B219" s="7"/>
      <c r="C219" s="26"/>
      <c r="D219" s="27"/>
      <c r="E219" s="8">
        <f>IF(B219="","",IFERROR(INDEX(Ingredients!$B$5:$B$304,MATCH(B219,Ingredients!$A$5:$A$304,0)),""))</f>
        <v>0</v>
      </c>
      <c r="F219" s="8">
        <f>IF(B219="","",IFERROR(INDEX(Ingredients!$E$5:$E$304,MATCH(B219,Ingredients!$A$5:$A$304,0)),""))</f>
        <v>0</v>
      </c>
      <c r="G219" s="8">
        <f>IF(B219="","",IFERROR(INDEX(Ingredients!$D$5:$D$304,MATCH(B219,Ingredients!$A$5:$A$304,0)),""))</f>
        <v>0</v>
      </c>
      <c r="H219" s="8">
        <f>IF(OR(B219="",C219=""),"",IFERROR(C219*G219,""))</f>
        <v>0</v>
      </c>
      <c r="I219" s="8">
        <f>IF(A219="","",IFERROR(INDEX(Recipes!$D$5:$D$204,MATCH(A219,Recipes!$A$5:$A$204,0)),""))</f>
        <v>0</v>
      </c>
      <c r="J219" s="8">
        <f>IF(OR(H219="",I219="",I219=0),"",IFERROR(H219/I219,""))</f>
        <v>0</v>
      </c>
      <c r="K219" s="8">
        <f>IF(OR(B219="",C219=""),"",IFERROR(C219*IFERROR(INDEX(Ingredients!$H$5:$H$304,MATCH(B219,Ingredients!$A$5:$A$304,0)),""),""))</f>
        <v>0</v>
      </c>
      <c r="L219" s="8">
        <f>IF(OR(B219="",C219=""),"",IFERROR(C219*IFERROR(INDEX(Ingredients!$I$5:$I$304,MATCH(B219,Ingredients!$A$5:$A$304,0)),""),""))</f>
        <v>0</v>
      </c>
      <c r="M219" s="8">
        <f>IF(OR(B219="",C219=""),"",IFERROR(C219*IFERROR(INDEX(Ingredients!$J$5:$J$304,MATCH(B219,Ingredients!$A$5:$A$304,0)),""),""))</f>
        <v>0</v>
      </c>
      <c r="N219" s="8">
        <f>IF(OR(B219="",C219=""),"",IFERROR(C219*IFERROR(INDEX(Ingredients!$K$5:$K$304,MATCH(B219,Ingredients!$A$5:$A$304,0)),""),""))</f>
        <v>0</v>
      </c>
      <c r="O219" s="8">
        <f>IF(OR(B219="",C219=""),"",IFERROR(C219*IFERROR(INDEX(Ingredients!$L$5:$L$304,MATCH(B219,Ingredients!$A$5:$A$304,0)),""),""))</f>
        <v>0</v>
      </c>
      <c r="P219" s="8">
        <f>IF(OR(H219="",A219=""),"",IFERROR(H219/SUMIFS('Recipe Ingredients'!$H$5:$H$1204,'Recipe Ingredients'!$A$5:$A$1204,A219),""))</f>
        <v>0</v>
      </c>
      <c r="Q219" s="8">
        <f>IF(H219="","",COUNTIFS($H$5:$H$1204,"&gt;"&amp;H219)+1)</f>
        <v>0</v>
      </c>
      <c r="R219" s="8">
        <f>IF(B219="","",SUMIFS(Pantry!$C$5:$C$304,Pantry!$A$5:$A$304,B219))</f>
        <v>0</v>
      </c>
      <c r="S219" s="8">
        <f>IF(OR(B219="",C219=""),"",MAX(0,C219-R219))</f>
        <v>0</v>
      </c>
      <c r="T219" s="26"/>
      <c r="U219" s="8">
        <f>IF(OR(T219="",T219=0,G219=""),"",T219*G219)</f>
        <v>0</v>
      </c>
      <c r="V219" s="8">
        <f>IF(OR(S219="",T219="",T219=0),"",CEILING(S219/T219,1))</f>
        <v>0</v>
      </c>
      <c r="W219" s="27"/>
      <c r="X219" s="29"/>
      <c r="Y219" s="8">
        <f>IF(OR(C219="",X219=""),"",C219*(1+X219))</f>
        <v>0</v>
      </c>
      <c r="Z219" s="8">
        <f>IF(B219="","",IFERROR(INDEX(Ingredients!$O$5:$O$304,MATCH(B219,Ingredients!$A$5:$A$304,0)),""))</f>
        <v>0</v>
      </c>
      <c r="AA219" s="8">
        <f>IF(B219="","",IF(R219&gt;=C219,"In pantry","To buy"))</f>
        <v>0</v>
      </c>
      <c r="AB219" s="8">
        <f>IF(A219="","",COUNTIFS($A$5:A219,A219))</f>
        <v>0</v>
      </c>
      <c r="AC219" s="8">
        <f>IF(B219="","",IF(COUNTIFS('Dietary Filters'!$C$5:$C$104,B219)&gt;0,"Check","OK"))</f>
        <v>0</v>
      </c>
      <c r="AD219" s="25"/>
    </row>
    <row r="220" spans="1:30">
      <c r="A220" s="7"/>
      <c r="B220" s="7"/>
      <c r="C220" s="26"/>
      <c r="D220" s="27"/>
      <c r="E220" s="8">
        <f>IF(B220="","",IFERROR(INDEX(Ingredients!$B$5:$B$304,MATCH(B220,Ingredients!$A$5:$A$304,0)),""))</f>
        <v>0</v>
      </c>
      <c r="F220" s="8">
        <f>IF(B220="","",IFERROR(INDEX(Ingredients!$E$5:$E$304,MATCH(B220,Ingredients!$A$5:$A$304,0)),""))</f>
        <v>0</v>
      </c>
      <c r="G220" s="8">
        <f>IF(B220="","",IFERROR(INDEX(Ingredients!$D$5:$D$304,MATCH(B220,Ingredients!$A$5:$A$304,0)),""))</f>
        <v>0</v>
      </c>
      <c r="H220" s="8">
        <f>IF(OR(B220="",C220=""),"",IFERROR(C220*G220,""))</f>
        <v>0</v>
      </c>
      <c r="I220" s="8">
        <f>IF(A220="","",IFERROR(INDEX(Recipes!$D$5:$D$204,MATCH(A220,Recipes!$A$5:$A$204,0)),""))</f>
        <v>0</v>
      </c>
      <c r="J220" s="8">
        <f>IF(OR(H220="",I220="",I220=0),"",IFERROR(H220/I220,""))</f>
        <v>0</v>
      </c>
      <c r="K220" s="8">
        <f>IF(OR(B220="",C220=""),"",IFERROR(C220*IFERROR(INDEX(Ingredients!$H$5:$H$304,MATCH(B220,Ingredients!$A$5:$A$304,0)),""),""))</f>
        <v>0</v>
      </c>
      <c r="L220" s="8">
        <f>IF(OR(B220="",C220=""),"",IFERROR(C220*IFERROR(INDEX(Ingredients!$I$5:$I$304,MATCH(B220,Ingredients!$A$5:$A$304,0)),""),""))</f>
        <v>0</v>
      </c>
      <c r="M220" s="8">
        <f>IF(OR(B220="",C220=""),"",IFERROR(C220*IFERROR(INDEX(Ingredients!$J$5:$J$304,MATCH(B220,Ingredients!$A$5:$A$304,0)),""),""))</f>
        <v>0</v>
      </c>
      <c r="N220" s="8">
        <f>IF(OR(B220="",C220=""),"",IFERROR(C220*IFERROR(INDEX(Ingredients!$K$5:$K$304,MATCH(B220,Ingredients!$A$5:$A$304,0)),""),""))</f>
        <v>0</v>
      </c>
      <c r="O220" s="8">
        <f>IF(OR(B220="",C220=""),"",IFERROR(C220*IFERROR(INDEX(Ingredients!$L$5:$L$304,MATCH(B220,Ingredients!$A$5:$A$304,0)),""),""))</f>
        <v>0</v>
      </c>
      <c r="P220" s="8">
        <f>IF(OR(H220="",A220=""),"",IFERROR(H220/SUMIFS('Recipe Ingredients'!$H$5:$H$1204,'Recipe Ingredients'!$A$5:$A$1204,A220),""))</f>
        <v>0</v>
      </c>
      <c r="Q220" s="8">
        <f>IF(H220="","",COUNTIFS($H$5:$H$1204,"&gt;"&amp;H220)+1)</f>
        <v>0</v>
      </c>
      <c r="R220" s="8">
        <f>IF(B220="","",SUMIFS(Pantry!$C$5:$C$304,Pantry!$A$5:$A$304,B220))</f>
        <v>0</v>
      </c>
      <c r="S220" s="8">
        <f>IF(OR(B220="",C220=""),"",MAX(0,C220-R220))</f>
        <v>0</v>
      </c>
      <c r="T220" s="26"/>
      <c r="U220" s="8">
        <f>IF(OR(T220="",T220=0,G220=""),"",T220*G220)</f>
        <v>0</v>
      </c>
      <c r="V220" s="8">
        <f>IF(OR(S220="",T220="",T220=0),"",CEILING(S220/T220,1))</f>
        <v>0</v>
      </c>
      <c r="W220" s="27"/>
      <c r="X220" s="29"/>
      <c r="Y220" s="8">
        <f>IF(OR(C220="",X220=""),"",C220*(1+X220))</f>
        <v>0</v>
      </c>
      <c r="Z220" s="8">
        <f>IF(B220="","",IFERROR(INDEX(Ingredients!$O$5:$O$304,MATCH(B220,Ingredients!$A$5:$A$304,0)),""))</f>
        <v>0</v>
      </c>
      <c r="AA220" s="8">
        <f>IF(B220="","",IF(R220&gt;=C220,"In pantry","To buy"))</f>
        <v>0</v>
      </c>
      <c r="AB220" s="8">
        <f>IF(A220="","",COUNTIFS($A$5:A220,A220))</f>
        <v>0</v>
      </c>
      <c r="AC220" s="8">
        <f>IF(B220="","",IF(COUNTIFS('Dietary Filters'!$C$5:$C$104,B220)&gt;0,"Check","OK"))</f>
        <v>0</v>
      </c>
      <c r="AD220" s="25"/>
    </row>
    <row r="221" spans="1:30">
      <c r="A221" s="7"/>
      <c r="B221" s="7"/>
      <c r="C221" s="26"/>
      <c r="D221" s="27"/>
      <c r="E221" s="8">
        <f>IF(B221="","",IFERROR(INDEX(Ingredients!$B$5:$B$304,MATCH(B221,Ingredients!$A$5:$A$304,0)),""))</f>
        <v>0</v>
      </c>
      <c r="F221" s="8">
        <f>IF(B221="","",IFERROR(INDEX(Ingredients!$E$5:$E$304,MATCH(B221,Ingredients!$A$5:$A$304,0)),""))</f>
        <v>0</v>
      </c>
      <c r="G221" s="8">
        <f>IF(B221="","",IFERROR(INDEX(Ingredients!$D$5:$D$304,MATCH(B221,Ingredients!$A$5:$A$304,0)),""))</f>
        <v>0</v>
      </c>
      <c r="H221" s="8">
        <f>IF(OR(B221="",C221=""),"",IFERROR(C221*G221,""))</f>
        <v>0</v>
      </c>
      <c r="I221" s="8">
        <f>IF(A221="","",IFERROR(INDEX(Recipes!$D$5:$D$204,MATCH(A221,Recipes!$A$5:$A$204,0)),""))</f>
        <v>0</v>
      </c>
      <c r="J221" s="8">
        <f>IF(OR(H221="",I221="",I221=0),"",IFERROR(H221/I221,""))</f>
        <v>0</v>
      </c>
      <c r="K221" s="8">
        <f>IF(OR(B221="",C221=""),"",IFERROR(C221*IFERROR(INDEX(Ingredients!$H$5:$H$304,MATCH(B221,Ingredients!$A$5:$A$304,0)),""),""))</f>
        <v>0</v>
      </c>
      <c r="L221" s="8">
        <f>IF(OR(B221="",C221=""),"",IFERROR(C221*IFERROR(INDEX(Ingredients!$I$5:$I$304,MATCH(B221,Ingredients!$A$5:$A$304,0)),""),""))</f>
        <v>0</v>
      </c>
      <c r="M221" s="8">
        <f>IF(OR(B221="",C221=""),"",IFERROR(C221*IFERROR(INDEX(Ingredients!$J$5:$J$304,MATCH(B221,Ingredients!$A$5:$A$304,0)),""),""))</f>
        <v>0</v>
      </c>
      <c r="N221" s="8">
        <f>IF(OR(B221="",C221=""),"",IFERROR(C221*IFERROR(INDEX(Ingredients!$K$5:$K$304,MATCH(B221,Ingredients!$A$5:$A$304,0)),""),""))</f>
        <v>0</v>
      </c>
      <c r="O221" s="8">
        <f>IF(OR(B221="",C221=""),"",IFERROR(C221*IFERROR(INDEX(Ingredients!$L$5:$L$304,MATCH(B221,Ingredients!$A$5:$A$304,0)),""),""))</f>
        <v>0</v>
      </c>
      <c r="P221" s="8">
        <f>IF(OR(H221="",A221=""),"",IFERROR(H221/SUMIFS('Recipe Ingredients'!$H$5:$H$1204,'Recipe Ingredients'!$A$5:$A$1204,A221),""))</f>
        <v>0</v>
      </c>
      <c r="Q221" s="8">
        <f>IF(H221="","",COUNTIFS($H$5:$H$1204,"&gt;"&amp;H221)+1)</f>
        <v>0</v>
      </c>
      <c r="R221" s="8">
        <f>IF(B221="","",SUMIFS(Pantry!$C$5:$C$304,Pantry!$A$5:$A$304,B221))</f>
        <v>0</v>
      </c>
      <c r="S221" s="8">
        <f>IF(OR(B221="",C221=""),"",MAX(0,C221-R221))</f>
        <v>0</v>
      </c>
      <c r="T221" s="26"/>
      <c r="U221" s="8">
        <f>IF(OR(T221="",T221=0,G221=""),"",T221*G221)</f>
        <v>0</v>
      </c>
      <c r="V221" s="8">
        <f>IF(OR(S221="",T221="",T221=0),"",CEILING(S221/T221,1))</f>
        <v>0</v>
      </c>
      <c r="W221" s="27"/>
      <c r="X221" s="29"/>
      <c r="Y221" s="8">
        <f>IF(OR(C221="",X221=""),"",C221*(1+X221))</f>
        <v>0</v>
      </c>
      <c r="Z221" s="8">
        <f>IF(B221="","",IFERROR(INDEX(Ingredients!$O$5:$O$304,MATCH(B221,Ingredients!$A$5:$A$304,0)),""))</f>
        <v>0</v>
      </c>
      <c r="AA221" s="8">
        <f>IF(B221="","",IF(R221&gt;=C221,"In pantry","To buy"))</f>
        <v>0</v>
      </c>
      <c r="AB221" s="8">
        <f>IF(A221="","",COUNTIFS($A$5:A221,A221))</f>
        <v>0</v>
      </c>
      <c r="AC221" s="8">
        <f>IF(B221="","",IF(COUNTIFS('Dietary Filters'!$C$5:$C$104,B221)&gt;0,"Check","OK"))</f>
        <v>0</v>
      </c>
      <c r="AD221" s="25"/>
    </row>
    <row r="222" spans="1:30">
      <c r="A222" s="7"/>
      <c r="B222" s="7"/>
      <c r="C222" s="26"/>
      <c r="D222" s="27"/>
      <c r="E222" s="8">
        <f>IF(B222="","",IFERROR(INDEX(Ingredients!$B$5:$B$304,MATCH(B222,Ingredients!$A$5:$A$304,0)),""))</f>
        <v>0</v>
      </c>
      <c r="F222" s="8">
        <f>IF(B222="","",IFERROR(INDEX(Ingredients!$E$5:$E$304,MATCH(B222,Ingredients!$A$5:$A$304,0)),""))</f>
        <v>0</v>
      </c>
      <c r="G222" s="8">
        <f>IF(B222="","",IFERROR(INDEX(Ingredients!$D$5:$D$304,MATCH(B222,Ingredients!$A$5:$A$304,0)),""))</f>
        <v>0</v>
      </c>
      <c r="H222" s="8">
        <f>IF(OR(B222="",C222=""),"",IFERROR(C222*G222,""))</f>
        <v>0</v>
      </c>
      <c r="I222" s="8">
        <f>IF(A222="","",IFERROR(INDEX(Recipes!$D$5:$D$204,MATCH(A222,Recipes!$A$5:$A$204,0)),""))</f>
        <v>0</v>
      </c>
      <c r="J222" s="8">
        <f>IF(OR(H222="",I222="",I222=0),"",IFERROR(H222/I222,""))</f>
        <v>0</v>
      </c>
      <c r="K222" s="8">
        <f>IF(OR(B222="",C222=""),"",IFERROR(C222*IFERROR(INDEX(Ingredients!$H$5:$H$304,MATCH(B222,Ingredients!$A$5:$A$304,0)),""),""))</f>
        <v>0</v>
      </c>
      <c r="L222" s="8">
        <f>IF(OR(B222="",C222=""),"",IFERROR(C222*IFERROR(INDEX(Ingredients!$I$5:$I$304,MATCH(B222,Ingredients!$A$5:$A$304,0)),""),""))</f>
        <v>0</v>
      </c>
      <c r="M222" s="8">
        <f>IF(OR(B222="",C222=""),"",IFERROR(C222*IFERROR(INDEX(Ingredients!$J$5:$J$304,MATCH(B222,Ingredients!$A$5:$A$304,0)),""),""))</f>
        <v>0</v>
      </c>
      <c r="N222" s="8">
        <f>IF(OR(B222="",C222=""),"",IFERROR(C222*IFERROR(INDEX(Ingredients!$K$5:$K$304,MATCH(B222,Ingredients!$A$5:$A$304,0)),""),""))</f>
        <v>0</v>
      </c>
      <c r="O222" s="8">
        <f>IF(OR(B222="",C222=""),"",IFERROR(C222*IFERROR(INDEX(Ingredients!$L$5:$L$304,MATCH(B222,Ingredients!$A$5:$A$304,0)),""),""))</f>
        <v>0</v>
      </c>
      <c r="P222" s="8">
        <f>IF(OR(H222="",A222=""),"",IFERROR(H222/SUMIFS('Recipe Ingredients'!$H$5:$H$1204,'Recipe Ingredients'!$A$5:$A$1204,A222),""))</f>
        <v>0</v>
      </c>
      <c r="Q222" s="8">
        <f>IF(H222="","",COUNTIFS($H$5:$H$1204,"&gt;"&amp;H222)+1)</f>
        <v>0</v>
      </c>
      <c r="R222" s="8">
        <f>IF(B222="","",SUMIFS(Pantry!$C$5:$C$304,Pantry!$A$5:$A$304,B222))</f>
        <v>0</v>
      </c>
      <c r="S222" s="8">
        <f>IF(OR(B222="",C222=""),"",MAX(0,C222-R222))</f>
        <v>0</v>
      </c>
      <c r="T222" s="26"/>
      <c r="U222" s="8">
        <f>IF(OR(T222="",T222=0,G222=""),"",T222*G222)</f>
        <v>0</v>
      </c>
      <c r="V222" s="8">
        <f>IF(OR(S222="",T222="",T222=0),"",CEILING(S222/T222,1))</f>
        <v>0</v>
      </c>
      <c r="W222" s="27"/>
      <c r="X222" s="29"/>
      <c r="Y222" s="8">
        <f>IF(OR(C222="",X222=""),"",C222*(1+X222))</f>
        <v>0</v>
      </c>
      <c r="Z222" s="8">
        <f>IF(B222="","",IFERROR(INDEX(Ingredients!$O$5:$O$304,MATCH(B222,Ingredients!$A$5:$A$304,0)),""))</f>
        <v>0</v>
      </c>
      <c r="AA222" s="8">
        <f>IF(B222="","",IF(R222&gt;=C222,"In pantry","To buy"))</f>
        <v>0</v>
      </c>
      <c r="AB222" s="8">
        <f>IF(A222="","",COUNTIFS($A$5:A222,A222))</f>
        <v>0</v>
      </c>
      <c r="AC222" s="8">
        <f>IF(B222="","",IF(COUNTIFS('Dietary Filters'!$C$5:$C$104,B222)&gt;0,"Check","OK"))</f>
        <v>0</v>
      </c>
      <c r="AD222" s="25"/>
    </row>
    <row r="223" spans="1:30">
      <c r="A223" s="7"/>
      <c r="B223" s="7"/>
      <c r="C223" s="26"/>
      <c r="D223" s="27"/>
      <c r="E223" s="8">
        <f>IF(B223="","",IFERROR(INDEX(Ingredients!$B$5:$B$304,MATCH(B223,Ingredients!$A$5:$A$304,0)),""))</f>
        <v>0</v>
      </c>
      <c r="F223" s="8">
        <f>IF(B223="","",IFERROR(INDEX(Ingredients!$E$5:$E$304,MATCH(B223,Ingredients!$A$5:$A$304,0)),""))</f>
        <v>0</v>
      </c>
      <c r="G223" s="8">
        <f>IF(B223="","",IFERROR(INDEX(Ingredients!$D$5:$D$304,MATCH(B223,Ingredients!$A$5:$A$304,0)),""))</f>
        <v>0</v>
      </c>
      <c r="H223" s="8">
        <f>IF(OR(B223="",C223=""),"",IFERROR(C223*G223,""))</f>
        <v>0</v>
      </c>
      <c r="I223" s="8">
        <f>IF(A223="","",IFERROR(INDEX(Recipes!$D$5:$D$204,MATCH(A223,Recipes!$A$5:$A$204,0)),""))</f>
        <v>0</v>
      </c>
      <c r="J223" s="8">
        <f>IF(OR(H223="",I223="",I223=0),"",IFERROR(H223/I223,""))</f>
        <v>0</v>
      </c>
      <c r="K223" s="8">
        <f>IF(OR(B223="",C223=""),"",IFERROR(C223*IFERROR(INDEX(Ingredients!$H$5:$H$304,MATCH(B223,Ingredients!$A$5:$A$304,0)),""),""))</f>
        <v>0</v>
      </c>
      <c r="L223" s="8">
        <f>IF(OR(B223="",C223=""),"",IFERROR(C223*IFERROR(INDEX(Ingredients!$I$5:$I$304,MATCH(B223,Ingredients!$A$5:$A$304,0)),""),""))</f>
        <v>0</v>
      </c>
      <c r="M223" s="8">
        <f>IF(OR(B223="",C223=""),"",IFERROR(C223*IFERROR(INDEX(Ingredients!$J$5:$J$304,MATCH(B223,Ingredients!$A$5:$A$304,0)),""),""))</f>
        <v>0</v>
      </c>
      <c r="N223" s="8">
        <f>IF(OR(B223="",C223=""),"",IFERROR(C223*IFERROR(INDEX(Ingredients!$K$5:$K$304,MATCH(B223,Ingredients!$A$5:$A$304,0)),""),""))</f>
        <v>0</v>
      </c>
      <c r="O223" s="8">
        <f>IF(OR(B223="",C223=""),"",IFERROR(C223*IFERROR(INDEX(Ingredients!$L$5:$L$304,MATCH(B223,Ingredients!$A$5:$A$304,0)),""),""))</f>
        <v>0</v>
      </c>
      <c r="P223" s="8">
        <f>IF(OR(H223="",A223=""),"",IFERROR(H223/SUMIFS('Recipe Ingredients'!$H$5:$H$1204,'Recipe Ingredients'!$A$5:$A$1204,A223),""))</f>
        <v>0</v>
      </c>
      <c r="Q223" s="8">
        <f>IF(H223="","",COUNTIFS($H$5:$H$1204,"&gt;"&amp;H223)+1)</f>
        <v>0</v>
      </c>
      <c r="R223" s="8">
        <f>IF(B223="","",SUMIFS(Pantry!$C$5:$C$304,Pantry!$A$5:$A$304,B223))</f>
        <v>0</v>
      </c>
      <c r="S223" s="8">
        <f>IF(OR(B223="",C223=""),"",MAX(0,C223-R223))</f>
        <v>0</v>
      </c>
      <c r="T223" s="26"/>
      <c r="U223" s="8">
        <f>IF(OR(T223="",T223=0,G223=""),"",T223*G223)</f>
        <v>0</v>
      </c>
      <c r="V223" s="8">
        <f>IF(OR(S223="",T223="",T223=0),"",CEILING(S223/T223,1))</f>
        <v>0</v>
      </c>
      <c r="W223" s="27"/>
      <c r="X223" s="29"/>
      <c r="Y223" s="8">
        <f>IF(OR(C223="",X223=""),"",C223*(1+X223))</f>
        <v>0</v>
      </c>
      <c r="Z223" s="8">
        <f>IF(B223="","",IFERROR(INDEX(Ingredients!$O$5:$O$304,MATCH(B223,Ingredients!$A$5:$A$304,0)),""))</f>
        <v>0</v>
      </c>
      <c r="AA223" s="8">
        <f>IF(B223="","",IF(R223&gt;=C223,"In pantry","To buy"))</f>
        <v>0</v>
      </c>
      <c r="AB223" s="8">
        <f>IF(A223="","",COUNTIFS($A$5:A223,A223))</f>
        <v>0</v>
      </c>
      <c r="AC223" s="8">
        <f>IF(B223="","",IF(COUNTIFS('Dietary Filters'!$C$5:$C$104,B223)&gt;0,"Check","OK"))</f>
        <v>0</v>
      </c>
      <c r="AD223" s="25"/>
    </row>
    <row r="224" spans="1:30">
      <c r="A224" s="7"/>
      <c r="B224" s="7"/>
      <c r="C224" s="26"/>
      <c r="D224" s="27"/>
      <c r="E224" s="8">
        <f>IF(B224="","",IFERROR(INDEX(Ingredients!$B$5:$B$304,MATCH(B224,Ingredients!$A$5:$A$304,0)),""))</f>
        <v>0</v>
      </c>
      <c r="F224" s="8">
        <f>IF(B224="","",IFERROR(INDEX(Ingredients!$E$5:$E$304,MATCH(B224,Ingredients!$A$5:$A$304,0)),""))</f>
        <v>0</v>
      </c>
      <c r="G224" s="8">
        <f>IF(B224="","",IFERROR(INDEX(Ingredients!$D$5:$D$304,MATCH(B224,Ingredients!$A$5:$A$304,0)),""))</f>
        <v>0</v>
      </c>
      <c r="H224" s="8">
        <f>IF(OR(B224="",C224=""),"",IFERROR(C224*G224,""))</f>
        <v>0</v>
      </c>
      <c r="I224" s="8">
        <f>IF(A224="","",IFERROR(INDEX(Recipes!$D$5:$D$204,MATCH(A224,Recipes!$A$5:$A$204,0)),""))</f>
        <v>0</v>
      </c>
      <c r="J224" s="8">
        <f>IF(OR(H224="",I224="",I224=0),"",IFERROR(H224/I224,""))</f>
        <v>0</v>
      </c>
      <c r="K224" s="8">
        <f>IF(OR(B224="",C224=""),"",IFERROR(C224*IFERROR(INDEX(Ingredients!$H$5:$H$304,MATCH(B224,Ingredients!$A$5:$A$304,0)),""),""))</f>
        <v>0</v>
      </c>
      <c r="L224" s="8">
        <f>IF(OR(B224="",C224=""),"",IFERROR(C224*IFERROR(INDEX(Ingredients!$I$5:$I$304,MATCH(B224,Ingredients!$A$5:$A$304,0)),""),""))</f>
        <v>0</v>
      </c>
      <c r="M224" s="8">
        <f>IF(OR(B224="",C224=""),"",IFERROR(C224*IFERROR(INDEX(Ingredients!$J$5:$J$304,MATCH(B224,Ingredients!$A$5:$A$304,0)),""),""))</f>
        <v>0</v>
      </c>
      <c r="N224" s="8">
        <f>IF(OR(B224="",C224=""),"",IFERROR(C224*IFERROR(INDEX(Ingredients!$K$5:$K$304,MATCH(B224,Ingredients!$A$5:$A$304,0)),""),""))</f>
        <v>0</v>
      </c>
      <c r="O224" s="8">
        <f>IF(OR(B224="",C224=""),"",IFERROR(C224*IFERROR(INDEX(Ingredients!$L$5:$L$304,MATCH(B224,Ingredients!$A$5:$A$304,0)),""),""))</f>
        <v>0</v>
      </c>
      <c r="P224" s="8">
        <f>IF(OR(H224="",A224=""),"",IFERROR(H224/SUMIFS('Recipe Ingredients'!$H$5:$H$1204,'Recipe Ingredients'!$A$5:$A$1204,A224),""))</f>
        <v>0</v>
      </c>
      <c r="Q224" s="8">
        <f>IF(H224="","",COUNTIFS($H$5:$H$1204,"&gt;"&amp;H224)+1)</f>
        <v>0</v>
      </c>
      <c r="R224" s="8">
        <f>IF(B224="","",SUMIFS(Pantry!$C$5:$C$304,Pantry!$A$5:$A$304,B224))</f>
        <v>0</v>
      </c>
      <c r="S224" s="8">
        <f>IF(OR(B224="",C224=""),"",MAX(0,C224-R224))</f>
        <v>0</v>
      </c>
      <c r="T224" s="26"/>
      <c r="U224" s="8">
        <f>IF(OR(T224="",T224=0,G224=""),"",T224*G224)</f>
        <v>0</v>
      </c>
      <c r="V224" s="8">
        <f>IF(OR(S224="",T224="",T224=0),"",CEILING(S224/T224,1))</f>
        <v>0</v>
      </c>
      <c r="W224" s="27"/>
      <c r="X224" s="29"/>
      <c r="Y224" s="8">
        <f>IF(OR(C224="",X224=""),"",C224*(1+X224))</f>
        <v>0</v>
      </c>
      <c r="Z224" s="8">
        <f>IF(B224="","",IFERROR(INDEX(Ingredients!$O$5:$O$304,MATCH(B224,Ingredients!$A$5:$A$304,0)),""))</f>
        <v>0</v>
      </c>
      <c r="AA224" s="8">
        <f>IF(B224="","",IF(R224&gt;=C224,"In pantry","To buy"))</f>
        <v>0</v>
      </c>
      <c r="AB224" s="8">
        <f>IF(A224="","",COUNTIFS($A$5:A224,A224))</f>
        <v>0</v>
      </c>
      <c r="AC224" s="8">
        <f>IF(B224="","",IF(COUNTIFS('Dietary Filters'!$C$5:$C$104,B224)&gt;0,"Check","OK"))</f>
        <v>0</v>
      </c>
      <c r="AD224" s="25"/>
    </row>
    <row r="225" spans="1:30">
      <c r="A225" s="7"/>
      <c r="B225" s="7"/>
      <c r="C225" s="26"/>
      <c r="D225" s="27"/>
      <c r="E225" s="8">
        <f>IF(B225="","",IFERROR(INDEX(Ingredients!$B$5:$B$304,MATCH(B225,Ingredients!$A$5:$A$304,0)),""))</f>
        <v>0</v>
      </c>
      <c r="F225" s="8">
        <f>IF(B225="","",IFERROR(INDEX(Ingredients!$E$5:$E$304,MATCH(B225,Ingredients!$A$5:$A$304,0)),""))</f>
        <v>0</v>
      </c>
      <c r="G225" s="8">
        <f>IF(B225="","",IFERROR(INDEX(Ingredients!$D$5:$D$304,MATCH(B225,Ingredients!$A$5:$A$304,0)),""))</f>
        <v>0</v>
      </c>
      <c r="H225" s="8">
        <f>IF(OR(B225="",C225=""),"",IFERROR(C225*G225,""))</f>
        <v>0</v>
      </c>
      <c r="I225" s="8">
        <f>IF(A225="","",IFERROR(INDEX(Recipes!$D$5:$D$204,MATCH(A225,Recipes!$A$5:$A$204,0)),""))</f>
        <v>0</v>
      </c>
      <c r="J225" s="8">
        <f>IF(OR(H225="",I225="",I225=0),"",IFERROR(H225/I225,""))</f>
        <v>0</v>
      </c>
      <c r="K225" s="8">
        <f>IF(OR(B225="",C225=""),"",IFERROR(C225*IFERROR(INDEX(Ingredients!$H$5:$H$304,MATCH(B225,Ingredients!$A$5:$A$304,0)),""),""))</f>
        <v>0</v>
      </c>
      <c r="L225" s="8">
        <f>IF(OR(B225="",C225=""),"",IFERROR(C225*IFERROR(INDEX(Ingredients!$I$5:$I$304,MATCH(B225,Ingredients!$A$5:$A$304,0)),""),""))</f>
        <v>0</v>
      </c>
      <c r="M225" s="8">
        <f>IF(OR(B225="",C225=""),"",IFERROR(C225*IFERROR(INDEX(Ingredients!$J$5:$J$304,MATCH(B225,Ingredients!$A$5:$A$304,0)),""),""))</f>
        <v>0</v>
      </c>
      <c r="N225" s="8">
        <f>IF(OR(B225="",C225=""),"",IFERROR(C225*IFERROR(INDEX(Ingredients!$K$5:$K$304,MATCH(B225,Ingredients!$A$5:$A$304,0)),""),""))</f>
        <v>0</v>
      </c>
      <c r="O225" s="8">
        <f>IF(OR(B225="",C225=""),"",IFERROR(C225*IFERROR(INDEX(Ingredients!$L$5:$L$304,MATCH(B225,Ingredients!$A$5:$A$304,0)),""),""))</f>
        <v>0</v>
      </c>
      <c r="P225" s="8">
        <f>IF(OR(H225="",A225=""),"",IFERROR(H225/SUMIFS('Recipe Ingredients'!$H$5:$H$1204,'Recipe Ingredients'!$A$5:$A$1204,A225),""))</f>
        <v>0</v>
      </c>
      <c r="Q225" s="8">
        <f>IF(H225="","",COUNTIFS($H$5:$H$1204,"&gt;"&amp;H225)+1)</f>
        <v>0</v>
      </c>
      <c r="R225" s="8">
        <f>IF(B225="","",SUMIFS(Pantry!$C$5:$C$304,Pantry!$A$5:$A$304,B225))</f>
        <v>0</v>
      </c>
      <c r="S225" s="8">
        <f>IF(OR(B225="",C225=""),"",MAX(0,C225-R225))</f>
        <v>0</v>
      </c>
      <c r="T225" s="26"/>
      <c r="U225" s="8">
        <f>IF(OR(T225="",T225=0,G225=""),"",T225*G225)</f>
        <v>0</v>
      </c>
      <c r="V225" s="8">
        <f>IF(OR(S225="",T225="",T225=0),"",CEILING(S225/T225,1))</f>
        <v>0</v>
      </c>
      <c r="W225" s="27"/>
      <c r="X225" s="29"/>
      <c r="Y225" s="8">
        <f>IF(OR(C225="",X225=""),"",C225*(1+X225))</f>
        <v>0</v>
      </c>
      <c r="Z225" s="8">
        <f>IF(B225="","",IFERROR(INDEX(Ingredients!$O$5:$O$304,MATCH(B225,Ingredients!$A$5:$A$304,0)),""))</f>
        <v>0</v>
      </c>
      <c r="AA225" s="8">
        <f>IF(B225="","",IF(R225&gt;=C225,"In pantry","To buy"))</f>
        <v>0</v>
      </c>
      <c r="AB225" s="8">
        <f>IF(A225="","",COUNTIFS($A$5:A225,A225))</f>
        <v>0</v>
      </c>
      <c r="AC225" s="8">
        <f>IF(B225="","",IF(COUNTIFS('Dietary Filters'!$C$5:$C$104,B225)&gt;0,"Check","OK"))</f>
        <v>0</v>
      </c>
      <c r="AD225" s="25"/>
    </row>
    <row r="226" spans="1:30">
      <c r="A226" s="7"/>
      <c r="B226" s="7"/>
      <c r="C226" s="26"/>
      <c r="D226" s="27"/>
      <c r="E226" s="8">
        <f>IF(B226="","",IFERROR(INDEX(Ingredients!$B$5:$B$304,MATCH(B226,Ingredients!$A$5:$A$304,0)),""))</f>
        <v>0</v>
      </c>
      <c r="F226" s="8">
        <f>IF(B226="","",IFERROR(INDEX(Ingredients!$E$5:$E$304,MATCH(B226,Ingredients!$A$5:$A$304,0)),""))</f>
        <v>0</v>
      </c>
      <c r="G226" s="8">
        <f>IF(B226="","",IFERROR(INDEX(Ingredients!$D$5:$D$304,MATCH(B226,Ingredients!$A$5:$A$304,0)),""))</f>
        <v>0</v>
      </c>
      <c r="H226" s="8">
        <f>IF(OR(B226="",C226=""),"",IFERROR(C226*G226,""))</f>
        <v>0</v>
      </c>
      <c r="I226" s="8">
        <f>IF(A226="","",IFERROR(INDEX(Recipes!$D$5:$D$204,MATCH(A226,Recipes!$A$5:$A$204,0)),""))</f>
        <v>0</v>
      </c>
      <c r="J226" s="8">
        <f>IF(OR(H226="",I226="",I226=0),"",IFERROR(H226/I226,""))</f>
        <v>0</v>
      </c>
      <c r="K226" s="8">
        <f>IF(OR(B226="",C226=""),"",IFERROR(C226*IFERROR(INDEX(Ingredients!$H$5:$H$304,MATCH(B226,Ingredients!$A$5:$A$304,0)),""),""))</f>
        <v>0</v>
      </c>
      <c r="L226" s="8">
        <f>IF(OR(B226="",C226=""),"",IFERROR(C226*IFERROR(INDEX(Ingredients!$I$5:$I$304,MATCH(B226,Ingredients!$A$5:$A$304,0)),""),""))</f>
        <v>0</v>
      </c>
      <c r="M226" s="8">
        <f>IF(OR(B226="",C226=""),"",IFERROR(C226*IFERROR(INDEX(Ingredients!$J$5:$J$304,MATCH(B226,Ingredients!$A$5:$A$304,0)),""),""))</f>
        <v>0</v>
      </c>
      <c r="N226" s="8">
        <f>IF(OR(B226="",C226=""),"",IFERROR(C226*IFERROR(INDEX(Ingredients!$K$5:$K$304,MATCH(B226,Ingredients!$A$5:$A$304,0)),""),""))</f>
        <v>0</v>
      </c>
      <c r="O226" s="8">
        <f>IF(OR(B226="",C226=""),"",IFERROR(C226*IFERROR(INDEX(Ingredients!$L$5:$L$304,MATCH(B226,Ingredients!$A$5:$A$304,0)),""),""))</f>
        <v>0</v>
      </c>
      <c r="P226" s="8">
        <f>IF(OR(H226="",A226=""),"",IFERROR(H226/SUMIFS('Recipe Ingredients'!$H$5:$H$1204,'Recipe Ingredients'!$A$5:$A$1204,A226),""))</f>
        <v>0</v>
      </c>
      <c r="Q226" s="8">
        <f>IF(H226="","",COUNTIFS($H$5:$H$1204,"&gt;"&amp;H226)+1)</f>
        <v>0</v>
      </c>
      <c r="R226" s="8">
        <f>IF(B226="","",SUMIFS(Pantry!$C$5:$C$304,Pantry!$A$5:$A$304,B226))</f>
        <v>0</v>
      </c>
      <c r="S226" s="8">
        <f>IF(OR(B226="",C226=""),"",MAX(0,C226-R226))</f>
        <v>0</v>
      </c>
      <c r="T226" s="26"/>
      <c r="U226" s="8">
        <f>IF(OR(T226="",T226=0,G226=""),"",T226*G226)</f>
        <v>0</v>
      </c>
      <c r="V226" s="8">
        <f>IF(OR(S226="",T226="",T226=0),"",CEILING(S226/T226,1))</f>
        <v>0</v>
      </c>
      <c r="W226" s="27"/>
      <c r="X226" s="29"/>
      <c r="Y226" s="8">
        <f>IF(OR(C226="",X226=""),"",C226*(1+X226))</f>
        <v>0</v>
      </c>
      <c r="Z226" s="8">
        <f>IF(B226="","",IFERROR(INDEX(Ingredients!$O$5:$O$304,MATCH(B226,Ingredients!$A$5:$A$304,0)),""))</f>
        <v>0</v>
      </c>
      <c r="AA226" s="8">
        <f>IF(B226="","",IF(R226&gt;=C226,"In pantry","To buy"))</f>
        <v>0</v>
      </c>
      <c r="AB226" s="8">
        <f>IF(A226="","",COUNTIFS($A$5:A226,A226))</f>
        <v>0</v>
      </c>
      <c r="AC226" s="8">
        <f>IF(B226="","",IF(COUNTIFS('Dietary Filters'!$C$5:$C$104,B226)&gt;0,"Check","OK"))</f>
        <v>0</v>
      </c>
      <c r="AD226" s="25"/>
    </row>
    <row r="227" spans="1:30">
      <c r="A227" s="7"/>
      <c r="B227" s="7"/>
      <c r="C227" s="26"/>
      <c r="D227" s="27"/>
      <c r="E227" s="8">
        <f>IF(B227="","",IFERROR(INDEX(Ingredients!$B$5:$B$304,MATCH(B227,Ingredients!$A$5:$A$304,0)),""))</f>
        <v>0</v>
      </c>
      <c r="F227" s="8">
        <f>IF(B227="","",IFERROR(INDEX(Ingredients!$E$5:$E$304,MATCH(B227,Ingredients!$A$5:$A$304,0)),""))</f>
        <v>0</v>
      </c>
      <c r="G227" s="8">
        <f>IF(B227="","",IFERROR(INDEX(Ingredients!$D$5:$D$304,MATCH(B227,Ingredients!$A$5:$A$304,0)),""))</f>
        <v>0</v>
      </c>
      <c r="H227" s="8">
        <f>IF(OR(B227="",C227=""),"",IFERROR(C227*G227,""))</f>
        <v>0</v>
      </c>
      <c r="I227" s="8">
        <f>IF(A227="","",IFERROR(INDEX(Recipes!$D$5:$D$204,MATCH(A227,Recipes!$A$5:$A$204,0)),""))</f>
        <v>0</v>
      </c>
      <c r="J227" s="8">
        <f>IF(OR(H227="",I227="",I227=0),"",IFERROR(H227/I227,""))</f>
        <v>0</v>
      </c>
      <c r="K227" s="8">
        <f>IF(OR(B227="",C227=""),"",IFERROR(C227*IFERROR(INDEX(Ingredients!$H$5:$H$304,MATCH(B227,Ingredients!$A$5:$A$304,0)),""),""))</f>
        <v>0</v>
      </c>
      <c r="L227" s="8">
        <f>IF(OR(B227="",C227=""),"",IFERROR(C227*IFERROR(INDEX(Ingredients!$I$5:$I$304,MATCH(B227,Ingredients!$A$5:$A$304,0)),""),""))</f>
        <v>0</v>
      </c>
      <c r="M227" s="8">
        <f>IF(OR(B227="",C227=""),"",IFERROR(C227*IFERROR(INDEX(Ingredients!$J$5:$J$304,MATCH(B227,Ingredients!$A$5:$A$304,0)),""),""))</f>
        <v>0</v>
      </c>
      <c r="N227" s="8">
        <f>IF(OR(B227="",C227=""),"",IFERROR(C227*IFERROR(INDEX(Ingredients!$K$5:$K$304,MATCH(B227,Ingredients!$A$5:$A$304,0)),""),""))</f>
        <v>0</v>
      </c>
      <c r="O227" s="8">
        <f>IF(OR(B227="",C227=""),"",IFERROR(C227*IFERROR(INDEX(Ingredients!$L$5:$L$304,MATCH(B227,Ingredients!$A$5:$A$304,0)),""),""))</f>
        <v>0</v>
      </c>
      <c r="P227" s="8">
        <f>IF(OR(H227="",A227=""),"",IFERROR(H227/SUMIFS('Recipe Ingredients'!$H$5:$H$1204,'Recipe Ingredients'!$A$5:$A$1204,A227),""))</f>
        <v>0</v>
      </c>
      <c r="Q227" s="8">
        <f>IF(H227="","",COUNTIFS($H$5:$H$1204,"&gt;"&amp;H227)+1)</f>
        <v>0</v>
      </c>
      <c r="R227" s="8">
        <f>IF(B227="","",SUMIFS(Pantry!$C$5:$C$304,Pantry!$A$5:$A$304,B227))</f>
        <v>0</v>
      </c>
      <c r="S227" s="8">
        <f>IF(OR(B227="",C227=""),"",MAX(0,C227-R227))</f>
        <v>0</v>
      </c>
      <c r="T227" s="26"/>
      <c r="U227" s="8">
        <f>IF(OR(T227="",T227=0,G227=""),"",T227*G227)</f>
        <v>0</v>
      </c>
      <c r="V227" s="8">
        <f>IF(OR(S227="",T227="",T227=0),"",CEILING(S227/T227,1))</f>
        <v>0</v>
      </c>
      <c r="W227" s="27"/>
      <c r="X227" s="29"/>
      <c r="Y227" s="8">
        <f>IF(OR(C227="",X227=""),"",C227*(1+X227))</f>
        <v>0</v>
      </c>
      <c r="Z227" s="8">
        <f>IF(B227="","",IFERROR(INDEX(Ingredients!$O$5:$O$304,MATCH(B227,Ingredients!$A$5:$A$304,0)),""))</f>
        <v>0</v>
      </c>
      <c r="AA227" s="8">
        <f>IF(B227="","",IF(R227&gt;=C227,"In pantry","To buy"))</f>
        <v>0</v>
      </c>
      <c r="AB227" s="8">
        <f>IF(A227="","",COUNTIFS($A$5:A227,A227))</f>
        <v>0</v>
      </c>
      <c r="AC227" s="8">
        <f>IF(B227="","",IF(COUNTIFS('Dietary Filters'!$C$5:$C$104,B227)&gt;0,"Check","OK"))</f>
        <v>0</v>
      </c>
      <c r="AD227" s="25"/>
    </row>
    <row r="228" spans="1:30">
      <c r="A228" s="7"/>
      <c r="B228" s="7"/>
      <c r="C228" s="26"/>
      <c r="D228" s="27"/>
      <c r="E228" s="8">
        <f>IF(B228="","",IFERROR(INDEX(Ingredients!$B$5:$B$304,MATCH(B228,Ingredients!$A$5:$A$304,0)),""))</f>
        <v>0</v>
      </c>
      <c r="F228" s="8">
        <f>IF(B228="","",IFERROR(INDEX(Ingredients!$E$5:$E$304,MATCH(B228,Ingredients!$A$5:$A$304,0)),""))</f>
        <v>0</v>
      </c>
      <c r="G228" s="8">
        <f>IF(B228="","",IFERROR(INDEX(Ingredients!$D$5:$D$304,MATCH(B228,Ingredients!$A$5:$A$304,0)),""))</f>
        <v>0</v>
      </c>
      <c r="H228" s="8">
        <f>IF(OR(B228="",C228=""),"",IFERROR(C228*G228,""))</f>
        <v>0</v>
      </c>
      <c r="I228" s="8">
        <f>IF(A228="","",IFERROR(INDEX(Recipes!$D$5:$D$204,MATCH(A228,Recipes!$A$5:$A$204,0)),""))</f>
        <v>0</v>
      </c>
      <c r="J228" s="8">
        <f>IF(OR(H228="",I228="",I228=0),"",IFERROR(H228/I228,""))</f>
        <v>0</v>
      </c>
      <c r="K228" s="8">
        <f>IF(OR(B228="",C228=""),"",IFERROR(C228*IFERROR(INDEX(Ingredients!$H$5:$H$304,MATCH(B228,Ingredients!$A$5:$A$304,0)),""),""))</f>
        <v>0</v>
      </c>
      <c r="L228" s="8">
        <f>IF(OR(B228="",C228=""),"",IFERROR(C228*IFERROR(INDEX(Ingredients!$I$5:$I$304,MATCH(B228,Ingredients!$A$5:$A$304,0)),""),""))</f>
        <v>0</v>
      </c>
      <c r="M228" s="8">
        <f>IF(OR(B228="",C228=""),"",IFERROR(C228*IFERROR(INDEX(Ingredients!$J$5:$J$304,MATCH(B228,Ingredients!$A$5:$A$304,0)),""),""))</f>
        <v>0</v>
      </c>
      <c r="N228" s="8">
        <f>IF(OR(B228="",C228=""),"",IFERROR(C228*IFERROR(INDEX(Ingredients!$K$5:$K$304,MATCH(B228,Ingredients!$A$5:$A$304,0)),""),""))</f>
        <v>0</v>
      </c>
      <c r="O228" s="8">
        <f>IF(OR(B228="",C228=""),"",IFERROR(C228*IFERROR(INDEX(Ingredients!$L$5:$L$304,MATCH(B228,Ingredients!$A$5:$A$304,0)),""),""))</f>
        <v>0</v>
      </c>
      <c r="P228" s="8">
        <f>IF(OR(H228="",A228=""),"",IFERROR(H228/SUMIFS('Recipe Ingredients'!$H$5:$H$1204,'Recipe Ingredients'!$A$5:$A$1204,A228),""))</f>
        <v>0</v>
      </c>
      <c r="Q228" s="8">
        <f>IF(H228="","",COUNTIFS($H$5:$H$1204,"&gt;"&amp;H228)+1)</f>
        <v>0</v>
      </c>
      <c r="R228" s="8">
        <f>IF(B228="","",SUMIFS(Pantry!$C$5:$C$304,Pantry!$A$5:$A$304,B228))</f>
        <v>0</v>
      </c>
      <c r="S228" s="8">
        <f>IF(OR(B228="",C228=""),"",MAX(0,C228-R228))</f>
        <v>0</v>
      </c>
      <c r="T228" s="26"/>
      <c r="U228" s="8">
        <f>IF(OR(T228="",T228=0,G228=""),"",T228*G228)</f>
        <v>0</v>
      </c>
      <c r="V228" s="8">
        <f>IF(OR(S228="",T228="",T228=0),"",CEILING(S228/T228,1))</f>
        <v>0</v>
      </c>
      <c r="W228" s="27"/>
      <c r="X228" s="29"/>
      <c r="Y228" s="8">
        <f>IF(OR(C228="",X228=""),"",C228*(1+X228))</f>
        <v>0</v>
      </c>
      <c r="Z228" s="8">
        <f>IF(B228="","",IFERROR(INDEX(Ingredients!$O$5:$O$304,MATCH(B228,Ingredients!$A$5:$A$304,0)),""))</f>
        <v>0</v>
      </c>
      <c r="AA228" s="8">
        <f>IF(B228="","",IF(R228&gt;=C228,"In pantry","To buy"))</f>
        <v>0</v>
      </c>
      <c r="AB228" s="8">
        <f>IF(A228="","",COUNTIFS($A$5:A228,A228))</f>
        <v>0</v>
      </c>
      <c r="AC228" s="8">
        <f>IF(B228="","",IF(COUNTIFS('Dietary Filters'!$C$5:$C$104,B228)&gt;0,"Check","OK"))</f>
        <v>0</v>
      </c>
      <c r="AD228" s="25"/>
    </row>
    <row r="229" spans="1:30">
      <c r="A229" s="7"/>
      <c r="B229" s="7"/>
      <c r="C229" s="26"/>
      <c r="D229" s="27"/>
      <c r="E229" s="8">
        <f>IF(B229="","",IFERROR(INDEX(Ingredients!$B$5:$B$304,MATCH(B229,Ingredients!$A$5:$A$304,0)),""))</f>
        <v>0</v>
      </c>
      <c r="F229" s="8">
        <f>IF(B229="","",IFERROR(INDEX(Ingredients!$E$5:$E$304,MATCH(B229,Ingredients!$A$5:$A$304,0)),""))</f>
        <v>0</v>
      </c>
      <c r="G229" s="8">
        <f>IF(B229="","",IFERROR(INDEX(Ingredients!$D$5:$D$304,MATCH(B229,Ingredients!$A$5:$A$304,0)),""))</f>
        <v>0</v>
      </c>
      <c r="H229" s="8">
        <f>IF(OR(B229="",C229=""),"",IFERROR(C229*G229,""))</f>
        <v>0</v>
      </c>
      <c r="I229" s="8">
        <f>IF(A229="","",IFERROR(INDEX(Recipes!$D$5:$D$204,MATCH(A229,Recipes!$A$5:$A$204,0)),""))</f>
        <v>0</v>
      </c>
      <c r="J229" s="8">
        <f>IF(OR(H229="",I229="",I229=0),"",IFERROR(H229/I229,""))</f>
        <v>0</v>
      </c>
      <c r="K229" s="8">
        <f>IF(OR(B229="",C229=""),"",IFERROR(C229*IFERROR(INDEX(Ingredients!$H$5:$H$304,MATCH(B229,Ingredients!$A$5:$A$304,0)),""),""))</f>
        <v>0</v>
      </c>
      <c r="L229" s="8">
        <f>IF(OR(B229="",C229=""),"",IFERROR(C229*IFERROR(INDEX(Ingredients!$I$5:$I$304,MATCH(B229,Ingredients!$A$5:$A$304,0)),""),""))</f>
        <v>0</v>
      </c>
      <c r="M229" s="8">
        <f>IF(OR(B229="",C229=""),"",IFERROR(C229*IFERROR(INDEX(Ingredients!$J$5:$J$304,MATCH(B229,Ingredients!$A$5:$A$304,0)),""),""))</f>
        <v>0</v>
      </c>
      <c r="N229" s="8">
        <f>IF(OR(B229="",C229=""),"",IFERROR(C229*IFERROR(INDEX(Ingredients!$K$5:$K$304,MATCH(B229,Ingredients!$A$5:$A$304,0)),""),""))</f>
        <v>0</v>
      </c>
      <c r="O229" s="8">
        <f>IF(OR(B229="",C229=""),"",IFERROR(C229*IFERROR(INDEX(Ingredients!$L$5:$L$304,MATCH(B229,Ingredients!$A$5:$A$304,0)),""),""))</f>
        <v>0</v>
      </c>
      <c r="P229" s="8">
        <f>IF(OR(H229="",A229=""),"",IFERROR(H229/SUMIFS('Recipe Ingredients'!$H$5:$H$1204,'Recipe Ingredients'!$A$5:$A$1204,A229),""))</f>
        <v>0</v>
      </c>
      <c r="Q229" s="8">
        <f>IF(H229="","",COUNTIFS($H$5:$H$1204,"&gt;"&amp;H229)+1)</f>
        <v>0</v>
      </c>
      <c r="R229" s="8">
        <f>IF(B229="","",SUMIFS(Pantry!$C$5:$C$304,Pantry!$A$5:$A$304,B229))</f>
        <v>0</v>
      </c>
      <c r="S229" s="8">
        <f>IF(OR(B229="",C229=""),"",MAX(0,C229-R229))</f>
        <v>0</v>
      </c>
      <c r="T229" s="26"/>
      <c r="U229" s="8">
        <f>IF(OR(T229="",T229=0,G229=""),"",T229*G229)</f>
        <v>0</v>
      </c>
      <c r="V229" s="8">
        <f>IF(OR(S229="",T229="",T229=0),"",CEILING(S229/T229,1))</f>
        <v>0</v>
      </c>
      <c r="W229" s="27"/>
      <c r="X229" s="29"/>
      <c r="Y229" s="8">
        <f>IF(OR(C229="",X229=""),"",C229*(1+X229))</f>
        <v>0</v>
      </c>
      <c r="Z229" s="8">
        <f>IF(B229="","",IFERROR(INDEX(Ingredients!$O$5:$O$304,MATCH(B229,Ingredients!$A$5:$A$304,0)),""))</f>
        <v>0</v>
      </c>
      <c r="AA229" s="8">
        <f>IF(B229="","",IF(R229&gt;=C229,"In pantry","To buy"))</f>
        <v>0</v>
      </c>
      <c r="AB229" s="8">
        <f>IF(A229="","",COUNTIFS($A$5:A229,A229))</f>
        <v>0</v>
      </c>
      <c r="AC229" s="8">
        <f>IF(B229="","",IF(COUNTIFS('Dietary Filters'!$C$5:$C$104,B229)&gt;0,"Check","OK"))</f>
        <v>0</v>
      </c>
      <c r="AD229" s="25"/>
    </row>
    <row r="230" spans="1:30">
      <c r="A230" s="7"/>
      <c r="B230" s="7"/>
      <c r="C230" s="26"/>
      <c r="D230" s="27"/>
      <c r="E230" s="8">
        <f>IF(B230="","",IFERROR(INDEX(Ingredients!$B$5:$B$304,MATCH(B230,Ingredients!$A$5:$A$304,0)),""))</f>
        <v>0</v>
      </c>
      <c r="F230" s="8">
        <f>IF(B230="","",IFERROR(INDEX(Ingredients!$E$5:$E$304,MATCH(B230,Ingredients!$A$5:$A$304,0)),""))</f>
        <v>0</v>
      </c>
      <c r="G230" s="8">
        <f>IF(B230="","",IFERROR(INDEX(Ingredients!$D$5:$D$304,MATCH(B230,Ingredients!$A$5:$A$304,0)),""))</f>
        <v>0</v>
      </c>
      <c r="H230" s="8">
        <f>IF(OR(B230="",C230=""),"",IFERROR(C230*G230,""))</f>
        <v>0</v>
      </c>
      <c r="I230" s="8">
        <f>IF(A230="","",IFERROR(INDEX(Recipes!$D$5:$D$204,MATCH(A230,Recipes!$A$5:$A$204,0)),""))</f>
        <v>0</v>
      </c>
      <c r="J230" s="8">
        <f>IF(OR(H230="",I230="",I230=0),"",IFERROR(H230/I230,""))</f>
        <v>0</v>
      </c>
      <c r="K230" s="8">
        <f>IF(OR(B230="",C230=""),"",IFERROR(C230*IFERROR(INDEX(Ingredients!$H$5:$H$304,MATCH(B230,Ingredients!$A$5:$A$304,0)),""),""))</f>
        <v>0</v>
      </c>
      <c r="L230" s="8">
        <f>IF(OR(B230="",C230=""),"",IFERROR(C230*IFERROR(INDEX(Ingredients!$I$5:$I$304,MATCH(B230,Ingredients!$A$5:$A$304,0)),""),""))</f>
        <v>0</v>
      </c>
      <c r="M230" s="8">
        <f>IF(OR(B230="",C230=""),"",IFERROR(C230*IFERROR(INDEX(Ingredients!$J$5:$J$304,MATCH(B230,Ingredients!$A$5:$A$304,0)),""),""))</f>
        <v>0</v>
      </c>
      <c r="N230" s="8">
        <f>IF(OR(B230="",C230=""),"",IFERROR(C230*IFERROR(INDEX(Ingredients!$K$5:$K$304,MATCH(B230,Ingredients!$A$5:$A$304,0)),""),""))</f>
        <v>0</v>
      </c>
      <c r="O230" s="8">
        <f>IF(OR(B230="",C230=""),"",IFERROR(C230*IFERROR(INDEX(Ingredients!$L$5:$L$304,MATCH(B230,Ingredients!$A$5:$A$304,0)),""),""))</f>
        <v>0</v>
      </c>
      <c r="P230" s="8">
        <f>IF(OR(H230="",A230=""),"",IFERROR(H230/SUMIFS('Recipe Ingredients'!$H$5:$H$1204,'Recipe Ingredients'!$A$5:$A$1204,A230),""))</f>
        <v>0</v>
      </c>
      <c r="Q230" s="8">
        <f>IF(H230="","",COUNTIFS($H$5:$H$1204,"&gt;"&amp;H230)+1)</f>
        <v>0</v>
      </c>
      <c r="R230" s="8">
        <f>IF(B230="","",SUMIFS(Pantry!$C$5:$C$304,Pantry!$A$5:$A$304,B230))</f>
        <v>0</v>
      </c>
      <c r="S230" s="8">
        <f>IF(OR(B230="",C230=""),"",MAX(0,C230-R230))</f>
        <v>0</v>
      </c>
      <c r="T230" s="26"/>
      <c r="U230" s="8">
        <f>IF(OR(T230="",T230=0,G230=""),"",T230*G230)</f>
        <v>0</v>
      </c>
      <c r="V230" s="8">
        <f>IF(OR(S230="",T230="",T230=0),"",CEILING(S230/T230,1))</f>
        <v>0</v>
      </c>
      <c r="W230" s="27"/>
      <c r="X230" s="29"/>
      <c r="Y230" s="8">
        <f>IF(OR(C230="",X230=""),"",C230*(1+X230))</f>
        <v>0</v>
      </c>
      <c r="Z230" s="8">
        <f>IF(B230="","",IFERROR(INDEX(Ingredients!$O$5:$O$304,MATCH(B230,Ingredients!$A$5:$A$304,0)),""))</f>
        <v>0</v>
      </c>
      <c r="AA230" s="8">
        <f>IF(B230="","",IF(R230&gt;=C230,"In pantry","To buy"))</f>
        <v>0</v>
      </c>
      <c r="AB230" s="8">
        <f>IF(A230="","",COUNTIFS($A$5:A230,A230))</f>
        <v>0</v>
      </c>
      <c r="AC230" s="8">
        <f>IF(B230="","",IF(COUNTIFS('Dietary Filters'!$C$5:$C$104,B230)&gt;0,"Check","OK"))</f>
        <v>0</v>
      </c>
      <c r="AD230" s="25"/>
    </row>
    <row r="231" spans="1:30">
      <c r="A231" s="7"/>
      <c r="B231" s="7"/>
      <c r="C231" s="26"/>
      <c r="D231" s="27"/>
      <c r="E231" s="8">
        <f>IF(B231="","",IFERROR(INDEX(Ingredients!$B$5:$B$304,MATCH(B231,Ingredients!$A$5:$A$304,0)),""))</f>
        <v>0</v>
      </c>
      <c r="F231" s="8">
        <f>IF(B231="","",IFERROR(INDEX(Ingredients!$E$5:$E$304,MATCH(B231,Ingredients!$A$5:$A$304,0)),""))</f>
        <v>0</v>
      </c>
      <c r="G231" s="8">
        <f>IF(B231="","",IFERROR(INDEX(Ingredients!$D$5:$D$304,MATCH(B231,Ingredients!$A$5:$A$304,0)),""))</f>
        <v>0</v>
      </c>
      <c r="H231" s="8">
        <f>IF(OR(B231="",C231=""),"",IFERROR(C231*G231,""))</f>
        <v>0</v>
      </c>
      <c r="I231" s="8">
        <f>IF(A231="","",IFERROR(INDEX(Recipes!$D$5:$D$204,MATCH(A231,Recipes!$A$5:$A$204,0)),""))</f>
        <v>0</v>
      </c>
      <c r="J231" s="8">
        <f>IF(OR(H231="",I231="",I231=0),"",IFERROR(H231/I231,""))</f>
        <v>0</v>
      </c>
      <c r="K231" s="8">
        <f>IF(OR(B231="",C231=""),"",IFERROR(C231*IFERROR(INDEX(Ingredients!$H$5:$H$304,MATCH(B231,Ingredients!$A$5:$A$304,0)),""),""))</f>
        <v>0</v>
      </c>
      <c r="L231" s="8">
        <f>IF(OR(B231="",C231=""),"",IFERROR(C231*IFERROR(INDEX(Ingredients!$I$5:$I$304,MATCH(B231,Ingredients!$A$5:$A$304,0)),""),""))</f>
        <v>0</v>
      </c>
      <c r="M231" s="8">
        <f>IF(OR(B231="",C231=""),"",IFERROR(C231*IFERROR(INDEX(Ingredients!$J$5:$J$304,MATCH(B231,Ingredients!$A$5:$A$304,0)),""),""))</f>
        <v>0</v>
      </c>
      <c r="N231" s="8">
        <f>IF(OR(B231="",C231=""),"",IFERROR(C231*IFERROR(INDEX(Ingredients!$K$5:$K$304,MATCH(B231,Ingredients!$A$5:$A$304,0)),""),""))</f>
        <v>0</v>
      </c>
      <c r="O231" s="8">
        <f>IF(OR(B231="",C231=""),"",IFERROR(C231*IFERROR(INDEX(Ingredients!$L$5:$L$304,MATCH(B231,Ingredients!$A$5:$A$304,0)),""),""))</f>
        <v>0</v>
      </c>
      <c r="P231" s="8">
        <f>IF(OR(H231="",A231=""),"",IFERROR(H231/SUMIFS('Recipe Ingredients'!$H$5:$H$1204,'Recipe Ingredients'!$A$5:$A$1204,A231),""))</f>
        <v>0</v>
      </c>
      <c r="Q231" s="8">
        <f>IF(H231="","",COUNTIFS($H$5:$H$1204,"&gt;"&amp;H231)+1)</f>
        <v>0</v>
      </c>
      <c r="R231" s="8">
        <f>IF(B231="","",SUMIFS(Pantry!$C$5:$C$304,Pantry!$A$5:$A$304,B231))</f>
        <v>0</v>
      </c>
      <c r="S231" s="8">
        <f>IF(OR(B231="",C231=""),"",MAX(0,C231-R231))</f>
        <v>0</v>
      </c>
      <c r="T231" s="26"/>
      <c r="U231" s="8">
        <f>IF(OR(T231="",T231=0,G231=""),"",T231*G231)</f>
        <v>0</v>
      </c>
      <c r="V231" s="8">
        <f>IF(OR(S231="",T231="",T231=0),"",CEILING(S231/T231,1))</f>
        <v>0</v>
      </c>
      <c r="W231" s="27"/>
      <c r="X231" s="29"/>
      <c r="Y231" s="8">
        <f>IF(OR(C231="",X231=""),"",C231*(1+X231))</f>
        <v>0</v>
      </c>
      <c r="Z231" s="8">
        <f>IF(B231="","",IFERROR(INDEX(Ingredients!$O$5:$O$304,MATCH(B231,Ingredients!$A$5:$A$304,0)),""))</f>
        <v>0</v>
      </c>
      <c r="AA231" s="8">
        <f>IF(B231="","",IF(R231&gt;=C231,"In pantry","To buy"))</f>
        <v>0</v>
      </c>
      <c r="AB231" s="8">
        <f>IF(A231="","",COUNTIFS($A$5:A231,A231))</f>
        <v>0</v>
      </c>
      <c r="AC231" s="8">
        <f>IF(B231="","",IF(COUNTIFS('Dietary Filters'!$C$5:$C$104,B231)&gt;0,"Check","OK"))</f>
        <v>0</v>
      </c>
      <c r="AD231" s="25"/>
    </row>
    <row r="232" spans="1:30">
      <c r="A232" s="7"/>
      <c r="B232" s="7"/>
      <c r="C232" s="26"/>
      <c r="D232" s="27"/>
      <c r="E232" s="8">
        <f>IF(B232="","",IFERROR(INDEX(Ingredients!$B$5:$B$304,MATCH(B232,Ingredients!$A$5:$A$304,0)),""))</f>
        <v>0</v>
      </c>
      <c r="F232" s="8">
        <f>IF(B232="","",IFERROR(INDEX(Ingredients!$E$5:$E$304,MATCH(B232,Ingredients!$A$5:$A$304,0)),""))</f>
        <v>0</v>
      </c>
      <c r="G232" s="8">
        <f>IF(B232="","",IFERROR(INDEX(Ingredients!$D$5:$D$304,MATCH(B232,Ingredients!$A$5:$A$304,0)),""))</f>
        <v>0</v>
      </c>
      <c r="H232" s="8">
        <f>IF(OR(B232="",C232=""),"",IFERROR(C232*G232,""))</f>
        <v>0</v>
      </c>
      <c r="I232" s="8">
        <f>IF(A232="","",IFERROR(INDEX(Recipes!$D$5:$D$204,MATCH(A232,Recipes!$A$5:$A$204,0)),""))</f>
        <v>0</v>
      </c>
      <c r="J232" s="8">
        <f>IF(OR(H232="",I232="",I232=0),"",IFERROR(H232/I232,""))</f>
        <v>0</v>
      </c>
      <c r="K232" s="8">
        <f>IF(OR(B232="",C232=""),"",IFERROR(C232*IFERROR(INDEX(Ingredients!$H$5:$H$304,MATCH(B232,Ingredients!$A$5:$A$304,0)),""),""))</f>
        <v>0</v>
      </c>
      <c r="L232" s="8">
        <f>IF(OR(B232="",C232=""),"",IFERROR(C232*IFERROR(INDEX(Ingredients!$I$5:$I$304,MATCH(B232,Ingredients!$A$5:$A$304,0)),""),""))</f>
        <v>0</v>
      </c>
      <c r="M232" s="8">
        <f>IF(OR(B232="",C232=""),"",IFERROR(C232*IFERROR(INDEX(Ingredients!$J$5:$J$304,MATCH(B232,Ingredients!$A$5:$A$304,0)),""),""))</f>
        <v>0</v>
      </c>
      <c r="N232" s="8">
        <f>IF(OR(B232="",C232=""),"",IFERROR(C232*IFERROR(INDEX(Ingredients!$K$5:$K$304,MATCH(B232,Ingredients!$A$5:$A$304,0)),""),""))</f>
        <v>0</v>
      </c>
      <c r="O232" s="8">
        <f>IF(OR(B232="",C232=""),"",IFERROR(C232*IFERROR(INDEX(Ingredients!$L$5:$L$304,MATCH(B232,Ingredients!$A$5:$A$304,0)),""),""))</f>
        <v>0</v>
      </c>
      <c r="P232" s="8">
        <f>IF(OR(H232="",A232=""),"",IFERROR(H232/SUMIFS('Recipe Ingredients'!$H$5:$H$1204,'Recipe Ingredients'!$A$5:$A$1204,A232),""))</f>
        <v>0</v>
      </c>
      <c r="Q232" s="8">
        <f>IF(H232="","",COUNTIFS($H$5:$H$1204,"&gt;"&amp;H232)+1)</f>
        <v>0</v>
      </c>
      <c r="R232" s="8">
        <f>IF(B232="","",SUMIFS(Pantry!$C$5:$C$304,Pantry!$A$5:$A$304,B232))</f>
        <v>0</v>
      </c>
      <c r="S232" s="8">
        <f>IF(OR(B232="",C232=""),"",MAX(0,C232-R232))</f>
        <v>0</v>
      </c>
      <c r="T232" s="26"/>
      <c r="U232" s="8">
        <f>IF(OR(T232="",T232=0,G232=""),"",T232*G232)</f>
        <v>0</v>
      </c>
      <c r="V232" s="8">
        <f>IF(OR(S232="",T232="",T232=0),"",CEILING(S232/T232,1))</f>
        <v>0</v>
      </c>
      <c r="W232" s="27"/>
      <c r="X232" s="29"/>
      <c r="Y232" s="8">
        <f>IF(OR(C232="",X232=""),"",C232*(1+X232))</f>
        <v>0</v>
      </c>
      <c r="Z232" s="8">
        <f>IF(B232="","",IFERROR(INDEX(Ingredients!$O$5:$O$304,MATCH(B232,Ingredients!$A$5:$A$304,0)),""))</f>
        <v>0</v>
      </c>
      <c r="AA232" s="8">
        <f>IF(B232="","",IF(R232&gt;=C232,"In pantry","To buy"))</f>
        <v>0</v>
      </c>
      <c r="AB232" s="8">
        <f>IF(A232="","",COUNTIFS($A$5:A232,A232))</f>
        <v>0</v>
      </c>
      <c r="AC232" s="8">
        <f>IF(B232="","",IF(COUNTIFS('Dietary Filters'!$C$5:$C$104,B232)&gt;0,"Check","OK"))</f>
        <v>0</v>
      </c>
      <c r="AD232" s="25"/>
    </row>
    <row r="233" spans="1:30">
      <c r="A233" s="7"/>
      <c r="B233" s="7"/>
      <c r="C233" s="26"/>
      <c r="D233" s="27"/>
      <c r="E233" s="8">
        <f>IF(B233="","",IFERROR(INDEX(Ingredients!$B$5:$B$304,MATCH(B233,Ingredients!$A$5:$A$304,0)),""))</f>
        <v>0</v>
      </c>
      <c r="F233" s="8">
        <f>IF(B233="","",IFERROR(INDEX(Ingredients!$E$5:$E$304,MATCH(B233,Ingredients!$A$5:$A$304,0)),""))</f>
        <v>0</v>
      </c>
      <c r="G233" s="8">
        <f>IF(B233="","",IFERROR(INDEX(Ingredients!$D$5:$D$304,MATCH(B233,Ingredients!$A$5:$A$304,0)),""))</f>
        <v>0</v>
      </c>
      <c r="H233" s="8">
        <f>IF(OR(B233="",C233=""),"",IFERROR(C233*G233,""))</f>
        <v>0</v>
      </c>
      <c r="I233" s="8">
        <f>IF(A233="","",IFERROR(INDEX(Recipes!$D$5:$D$204,MATCH(A233,Recipes!$A$5:$A$204,0)),""))</f>
        <v>0</v>
      </c>
      <c r="J233" s="8">
        <f>IF(OR(H233="",I233="",I233=0),"",IFERROR(H233/I233,""))</f>
        <v>0</v>
      </c>
      <c r="K233" s="8">
        <f>IF(OR(B233="",C233=""),"",IFERROR(C233*IFERROR(INDEX(Ingredients!$H$5:$H$304,MATCH(B233,Ingredients!$A$5:$A$304,0)),""),""))</f>
        <v>0</v>
      </c>
      <c r="L233" s="8">
        <f>IF(OR(B233="",C233=""),"",IFERROR(C233*IFERROR(INDEX(Ingredients!$I$5:$I$304,MATCH(B233,Ingredients!$A$5:$A$304,0)),""),""))</f>
        <v>0</v>
      </c>
      <c r="M233" s="8">
        <f>IF(OR(B233="",C233=""),"",IFERROR(C233*IFERROR(INDEX(Ingredients!$J$5:$J$304,MATCH(B233,Ingredients!$A$5:$A$304,0)),""),""))</f>
        <v>0</v>
      </c>
      <c r="N233" s="8">
        <f>IF(OR(B233="",C233=""),"",IFERROR(C233*IFERROR(INDEX(Ingredients!$K$5:$K$304,MATCH(B233,Ingredients!$A$5:$A$304,0)),""),""))</f>
        <v>0</v>
      </c>
      <c r="O233" s="8">
        <f>IF(OR(B233="",C233=""),"",IFERROR(C233*IFERROR(INDEX(Ingredients!$L$5:$L$304,MATCH(B233,Ingredients!$A$5:$A$304,0)),""),""))</f>
        <v>0</v>
      </c>
      <c r="P233" s="8">
        <f>IF(OR(H233="",A233=""),"",IFERROR(H233/SUMIFS('Recipe Ingredients'!$H$5:$H$1204,'Recipe Ingredients'!$A$5:$A$1204,A233),""))</f>
        <v>0</v>
      </c>
      <c r="Q233" s="8">
        <f>IF(H233="","",COUNTIFS($H$5:$H$1204,"&gt;"&amp;H233)+1)</f>
        <v>0</v>
      </c>
      <c r="R233" s="8">
        <f>IF(B233="","",SUMIFS(Pantry!$C$5:$C$304,Pantry!$A$5:$A$304,B233))</f>
        <v>0</v>
      </c>
      <c r="S233" s="8">
        <f>IF(OR(B233="",C233=""),"",MAX(0,C233-R233))</f>
        <v>0</v>
      </c>
      <c r="T233" s="26"/>
      <c r="U233" s="8">
        <f>IF(OR(T233="",T233=0,G233=""),"",T233*G233)</f>
        <v>0</v>
      </c>
      <c r="V233" s="8">
        <f>IF(OR(S233="",T233="",T233=0),"",CEILING(S233/T233,1))</f>
        <v>0</v>
      </c>
      <c r="W233" s="27"/>
      <c r="X233" s="29"/>
      <c r="Y233" s="8">
        <f>IF(OR(C233="",X233=""),"",C233*(1+X233))</f>
        <v>0</v>
      </c>
      <c r="Z233" s="8">
        <f>IF(B233="","",IFERROR(INDEX(Ingredients!$O$5:$O$304,MATCH(B233,Ingredients!$A$5:$A$304,0)),""))</f>
        <v>0</v>
      </c>
      <c r="AA233" s="8">
        <f>IF(B233="","",IF(R233&gt;=C233,"In pantry","To buy"))</f>
        <v>0</v>
      </c>
      <c r="AB233" s="8">
        <f>IF(A233="","",COUNTIFS($A$5:A233,A233))</f>
        <v>0</v>
      </c>
      <c r="AC233" s="8">
        <f>IF(B233="","",IF(COUNTIFS('Dietary Filters'!$C$5:$C$104,B233)&gt;0,"Check","OK"))</f>
        <v>0</v>
      </c>
      <c r="AD233" s="25"/>
    </row>
    <row r="234" spans="1:30">
      <c r="A234" s="7"/>
      <c r="B234" s="7"/>
      <c r="C234" s="26"/>
      <c r="D234" s="27"/>
      <c r="E234" s="8">
        <f>IF(B234="","",IFERROR(INDEX(Ingredients!$B$5:$B$304,MATCH(B234,Ingredients!$A$5:$A$304,0)),""))</f>
        <v>0</v>
      </c>
      <c r="F234" s="8">
        <f>IF(B234="","",IFERROR(INDEX(Ingredients!$E$5:$E$304,MATCH(B234,Ingredients!$A$5:$A$304,0)),""))</f>
        <v>0</v>
      </c>
      <c r="G234" s="8">
        <f>IF(B234="","",IFERROR(INDEX(Ingredients!$D$5:$D$304,MATCH(B234,Ingredients!$A$5:$A$304,0)),""))</f>
        <v>0</v>
      </c>
      <c r="H234" s="8">
        <f>IF(OR(B234="",C234=""),"",IFERROR(C234*G234,""))</f>
        <v>0</v>
      </c>
      <c r="I234" s="8">
        <f>IF(A234="","",IFERROR(INDEX(Recipes!$D$5:$D$204,MATCH(A234,Recipes!$A$5:$A$204,0)),""))</f>
        <v>0</v>
      </c>
      <c r="J234" s="8">
        <f>IF(OR(H234="",I234="",I234=0),"",IFERROR(H234/I234,""))</f>
        <v>0</v>
      </c>
      <c r="K234" s="8">
        <f>IF(OR(B234="",C234=""),"",IFERROR(C234*IFERROR(INDEX(Ingredients!$H$5:$H$304,MATCH(B234,Ingredients!$A$5:$A$304,0)),""),""))</f>
        <v>0</v>
      </c>
      <c r="L234" s="8">
        <f>IF(OR(B234="",C234=""),"",IFERROR(C234*IFERROR(INDEX(Ingredients!$I$5:$I$304,MATCH(B234,Ingredients!$A$5:$A$304,0)),""),""))</f>
        <v>0</v>
      </c>
      <c r="M234" s="8">
        <f>IF(OR(B234="",C234=""),"",IFERROR(C234*IFERROR(INDEX(Ingredients!$J$5:$J$304,MATCH(B234,Ingredients!$A$5:$A$304,0)),""),""))</f>
        <v>0</v>
      </c>
      <c r="N234" s="8">
        <f>IF(OR(B234="",C234=""),"",IFERROR(C234*IFERROR(INDEX(Ingredients!$K$5:$K$304,MATCH(B234,Ingredients!$A$5:$A$304,0)),""),""))</f>
        <v>0</v>
      </c>
      <c r="O234" s="8">
        <f>IF(OR(B234="",C234=""),"",IFERROR(C234*IFERROR(INDEX(Ingredients!$L$5:$L$304,MATCH(B234,Ingredients!$A$5:$A$304,0)),""),""))</f>
        <v>0</v>
      </c>
      <c r="P234" s="8">
        <f>IF(OR(H234="",A234=""),"",IFERROR(H234/SUMIFS('Recipe Ingredients'!$H$5:$H$1204,'Recipe Ingredients'!$A$5:$A$1204,A234),""))</f>
        <v>0</v>
      </c>
      <c r="Q234" s="8">
        <f>IF(H234="","",COUNTIFS($H$5:$H$1204,"&gt;"&amp;H234)+1)</f>
        <v>0</v>
      </c>
      <c r="R234" s="8">
        <f>IF(B234="","",SUMIFS(Pantry!$C$5:$C$304,Pantry!$A$5:$A$304,B234))</f>
        <v>0</v>
      </c>
      <c r="S234" s="8">
        <f>IF(OR(B234="",C234=""),"",MAX(0,C234-R234))</f>
        <v>0</v>
      </c>
      <c r="T234" s="26"/>
      <c r="U234" s="8">
        <f>IF(OR(T234="",T234=0,G234=""),"",T234*G234)</f>
        <v>0</v>
      </c>
      <c r="V234" s="8">
        <f>IF(OR(S234="",T234="",T234=0),"",CEILING(S234/T234,1))</f>
        <v>0</v>
      </c>
      <c r="W234" s="27"/>
      <c r="X234" s="29"/>
      <c r="Y234" s="8">
        <f>IF(OR(C234="",X234=""),"",C234*(1+X234))</f>
        <v>0</v>
      </c>
      <c r="Z234" s="8">
        <f>IF(B234="","",IFERROR(INDEX(Ingredients!$O$5:$O$304,MATCH(B234,Ingredients!$A$5:$A$304,0)),""))</f>
        <v>0</v>
      </c>
      <c r="AA234" s="8">
        <f>IF(B234="","",IF(R234&gt;=C234,"In pantry","To buy"))</f>
        <v>0</v>
      </c>
      <c r="AB234" s="8">
        <f>IF(A234="","",COUNTIFS($A$5:A234,A234))</f>
        <v>0</v>
      </c>
      <c r="AC234" s="8">
        <f>IF(B234="","",IF(COUNTIFS('Dietary Filters'!$C$5:$C$104,B234)&gt;0,"Check","OK"))</f>
        <v>0</v>
      </c>
      <c r="AD234" s="25"/>
    </row>
    <row r="235" spans="1:30">
      <c r="A235" s="7"/>
      <c r="B235" s="7"/>
      <c r="C235" s="26"/>
      <c r="D235" s="27"/>
      <c r="E235" s="8">
        <f>IF(B235="","",IFERROR(INDEX(Ingredients!$B$5:$B$304,MATCH(B235,Ingredients!$A$5:$A$304,0)),""))</f>
        <v>0</v>
      </c>
      <c r="F235" s="8">
        <f>IF(B235="","",IFERROR(INDEX(Ingredients!$E$5:$E$304,MATCH(B235,Ingredients!$A$5:$A$304,0)),""))</f>
        <v>0</v>
      </c>
      <c r="G235" s="8">
        <f>IF(B235="","",IFERROR(INDEX(Ingredients!$D$5:$D$304,MATCH(B235,Ingredients!$A$5:$A$304,0)),""))</f>
        <v>0</v>
      </c>
      <c r="H235" s="8">
        <f>IF(OR(B235="",C235=""),"",IFERROR(C235*G235,""))</f>
        <v>0</v>
      </c>
      <c r="I235" s="8">
        <f>IF(A235="","",IFERROR(INDEX(Recipes!$D$5:$D$204,MATCH(A235,Recipes!$A$5:$A$204,0)),""))</f>
        <v>0</v>
      </c>
      <c r="J235" s="8">
        <f>IF(OR(H235="",I235="",I235=0),"",IFERROR(H235/I235,""))</f>
        <v>0</v>
      </c>
      <c r="K235" s="8">
        <f>IF(OR(B235="",C235=""),"",IFERROR(C235*IFERROR(INDEX(Ingredients!$H$5:$H$304,MATCH(B235,Ingredients!$A$5:$A$304,0)),""),""))</f>
        <v>0</v>
      </c>
      <c r="L235" s="8">
        <f>IF(OR(B235="",C235=""),"",IFERROR(C235*IFERROR(INDEX(Ingredients!$I$5:$I$304,MATCH(B235,Ingredients!$A$5:$A$304,0)),""),""))</f>
        <v>0</v>
      </c>
      <c r="M235" s="8">
        <f>IF(OR(B235="",C235=""),"",IFERROR(C235*IFERROR(INDEX(Ingredients!$J$5:$J$304,MATCH(B235,Ingredients!$A$5:$A$304,0)),""),""))</f>
        <v>0</v>
      </c>
      <c r="N235" s="8">
        <f>IF(OR(B235="",C235=""),"",IFERROR(C235*IFERROR(INDEX(Ingredients!$K$5:$K$304,MATCH(B235,Ingredients!$A$5:$A$304,0)),""),""))</f>
        <v>0</v>
      </c>
      <c r="O235" s="8">
        <f>IF(OR(B235="",C235=""),"",IFERROR(C235*IFERROR(INDEX(Ingredients!$L$5:$L$304,MATCH(B235,Ingredients!$A$5:$A$304,0)),""),""))</f>
        <v>0</v>
      </c>
      <c r="P235" s="8">
        <f>IF(OR(H235="",A235=""),"",IFERROR(H235/SUMIFS('Recipe Ingredients'!$H$5:$H$1204,'Recipe Ingredients'!$A$5:$A$1204,A235),""))</f>
        <v>0</v>
      </c>
      <c r="Q235" s="8">
        <f>IF(H235="","",COUNTIFS($H$5:$H$1204,"&gt;"&amp;H235)+1)</f>
        <v>0</v>
      </c>
      <c r="R235" s="8">
        <f>IF(B235="","",SUMIFS(Pantry!$C$5:$C$304,Pantry!$A$5:$A$304,B235))</f>
        <v>0</v>
      </c>
      <c r="S235" s="8">
        <f>IF(OR(B235="",C235=""),"",MAX(0,C235-R235))</f>
        <v>0</v>
      </c>
      <c r="T235" s="26"/>
      <c r="U235" s="8">
        <f>IF(OR(T235="",T235=0,G235=""),"",T235*G235)</f>
        <v>0</v>
      </c>
      <c r="V235" s="8">
        <f>IF(OR(S235="",T235="",T235=0),"",CEILING(S235/T235,1))</f>
        <v>0</v>
      </c>
      <c r="W235" s="27"/>
      <c r="X235" s="29"/>
      <c r="Y235" s="8">
        <f>IF(OR(C235="",X235=""),"",C235*(1+X235))</f>
        <v>0</v>
      </c>
      <c r="Z235" s="8">
        <f>IF(B235="","",IFERROR(INDEX(Ingredients!$O$5:$O$304,MATCH(B235,Ingredients!$A$5:$A$304,0)),""))</f>
        <v>0</v>
      </c>
      <c r="AA235" s="8">
        <f>IF(B235="","",IF(R235&gt;=C235,"In pantry","To buy"))</f>
        <v>0</v>
      </c>
      <c r="AB235" s="8">
        <f>IF(A235="","",COUNTIFS($A$5:A235,A235))</f>
        <v>0</v>
      </c>
      <c r="AC235" s="8">
        <f>IF(B235="","",IF(COUNTIFS('Dietary Filters'!$C$5:$C$104,B235)&gt;0,"Check","OK"))</f>
        <v>0</v>
      </c>
      <c r="AD235" s="25"/>
    </row>
    <row r="236" spans="1:30">
      <c r="A236" s="7"/>
      <c r="B236" s="7"/>
      <c r="C236" s="26"/>
      <c r="D236" s="27"/>
      <c r="E236" s="8">
        <f>IF(B236="","",IFERROR(INDEX(Ingredients!$B$5:$B$304,MATCH(B236,Ingredients!$A$5:$A$304,0)),""))</f>
        <v>0</v>
      </c>
      <c r="F236" s="8">
        <f>IF(B236="","",IFERROR(INDEX(Ingredients!$E$5:$E$304,MATCH(B236,Ingredients!$A$5:$A$304,0)),""))</f>
        <v>0</v>
      </c>
      <c r="G236" s="8">
        <f>IF(B236="","",IFERROR(INDEX(Ingredients!$D$5:$D$304,MATCH(B236,Ingredients!$A$5:$A$304,0)),""))</f>
        <v>0</v>
      </c>
      <c r="H236" s="8">
        <f>IF(OR(B236="",C236=""),"",IFERROR(C236*G236,""))</f>
        <v>0</v>
      </c>
      <c r="I236" s="8">
        <f>IF(A236="","",IFERROR(INDEX(Recipes!$D$5:$D$204,MATCH(A236,Recipes!$A$5:$A$204,0)),""))</f>
        <v>0</v>
      </c>
      <c r="J236" s="8">
        <f>IF(OR(H236="",I236="",I236=0),"",IFERROR(H236/I236,""))</f>
        <v>0</v>
      </c>
      <c r="K236" s="8">
        <f>IF(OR(B236="",C236=""),"",IFERROR(C236*IFERROR(INDEX(Ingredients!$H$5:$H$304,MATCH(B236,Ingredients!$A$5:$A$304,0)),""),""))</f>
        <v>0</v>
      </c>
      <c r="L236" s="8">
        <f>IF(OR(B236="",C236=""),"",IFERROR(C236*IFERROR(INDEX(Ingredients!$I$5:$I$304,MATCH(B236,Ingredients!$A$5:$A$304,0)),""),""))</f>
        <v>0</v>
      </c>
      <c r="M236" s="8">
        <f>IF(OR(B236="",C236=""),"",IFERROR(C236*IFERROR(INDEX(Ingredients!$J$5:$J$304,MATCH(B236,Ingredients!$A$5:$A$304,0)),""),""))</f>
        <v>0</v>
      </c>
      <c r="N236" s="8">
        <f>IF(OR(B236="",C236=""),"",IFERROR(C236*IFERROR(INDEX(Ingredients!$K$5:$K$304,MATCH(B236,Ingredients!$A$5:$A$304,0)),""),""))</f>
        <v>0</v>
      </c>
      <c r="O236" s="8">
        <f>IF(OR(B236="",C236=""),"",IFERROR(C236*IFERROR(INDEX(Ingredients!$L$5:$L$304,MATCH(B236,Ingredients!$A$5:$A$304,0)),""),""))</f>
        <v>0</v>
      </c>
      <c r="P236" s="8">
        <f>IF(OR(H236="",A236=""),"",IFERROR(H236/SUMIFS('Recipe Ingredients'!$H$5:$H$1204,'Recipe Ingredients'!$A$5:$A$1204,A236),""))</f>
        <v>0</v>
      </c>
      <c r="Q236" s="8">
        <f>IF(H236="","",COUNTIFS($H$5:$H$1204,"&gt;"&amp;H236)+1)</f>
        <v>0</v>
      </c>
      <c r="R236" s="8">
        <f>IF(B236="","",SUMIFS(Pantry!$C$5:$C$304,Pantry!$A$5:$A$304,B236))</f>
        <v>0</v>
      </c>
      <c r="S236" s="8">
        <f>IF(OR(B236="",C236=""),"",MAX(0,C236-R236))</f>
        <v>0</v>
      </c>
      <c r="T236" s="26"/>
      <c r="U236" s="8">
        <f>IF(OR(T236="",T236=0,G236=""),"",T236*G236)</f>
        <v>0</v>
      </c>
      <c r="V236" s="8">
        <f>IF(OR(S236="",T236="",T236=0),"",CEILING(S236/T236,1))</f>
        <v>0</v>
      </c>
      <c r="W236" s="27"/>
      <c r="X236" s="29"/>
      <c r="Y236" s="8">
        <f>IF(OR(C236="",X236=""),"",C236*(1+X236))</f>
        <v>0</v>
      </c>
      <c r="Z236" s="8">
        <f>IF(B236="","",IFERROR(INDEX(Ingredients!$O$5:$O$304,MATCH(B236,Ingredients!$A$5:$A$304,0)),""))</f>
        <v>0</v>
      </c>
      <c r="AA236" s="8">
        <f>IF(B236="","",IF(R236&gt;=C236,"In pantry","To buy"))</f>
        <v>0</v>
      </c>
      <c r="AB236" s="8">
        <f>IF(A236="","",COUNTIFS($A$5:A236,A236))</f>
        <v>0</v>
      </c>
      <c r="AC236" s="8">
        <f>IF(B236="","",IF(COUNTIFS('Dietary Filters'!$C$5:$C$104,B236)&gt;0,"Check","OK"))</f>
        <v>0</v>
      </c>
      <c r="AD236" s="25"/>
    </row>
    <row r="237" spans="1:30">
      <c r="A237" s="7"/>
      <c r="B237" s="7"/>
      <c r="C237" s="26"/>
      <c r="D237" s="27"/>
      <c r="E237" s="8">
        <f>IF(B237="","",IFERROR(INDEX(Ingredients!$B$5:$B$304,MATCH(B237,Ingredients!$A$5:$A$304,0)),""))</f>
        <v>0</v>
      </c>
      <c r="F237" s="8">
        <f>IF(B237="","",IFERROR(INDEX(Ingredients!$E$5:$E$304,MATCH(B237,Ingredients!$A$5:$A$304,0)),""))</f>
        <v>0</v>
      </c>
      <c r="G237" s="8">
        <f>IF(B237="","",IFERROR(INDEX(Ingredients!$D$5:$D$304,MATCH(B237,Ingredients!$A$5:$A$304,0)),""))</f>
        <v>0</v>
      </c>
      <c r="H237" s="8">
        <f>IF(OR(B237="",C237=""),"",IFERROR(C237*G237,""))</f>
        <v>0</v>
      </c>
      <c r="I237" s="8">
        <f>IF(A237="","",IFERROR(INDEX(Recipes!$D$5:$D$204,MATCH(A237,Recipes!$A$5:$A$204,0)),""))</f>
        <v>0</v>
      </c>
      <c r="J237" s="8">
        <f>IF(OR(H237="",I237="",I237=0),"",IFERROR(H237/I237,""))</f>
        <v>0</v>
      </c>
      <c r="K237" s="8">
        <f>IF(OR(B237="",C237=""),"",IFERROR(C237*IFERROR(INDEX(Ingredients!$H$5:$H$304,MATCH(B237,Ingredients!$A$5:$A$304,0)),""),""))</f>
        <v>0</v>
      </c>
      <c r="L237" s="8">
        <f>IF(OR(B237="",C237=""),"",IFERROR(C237*IFERROR(INDEX(Ingredients!$I$5:$I$304,MATCH(B237,Ingredients!$A$5:$A$304,0)),""),""))</f>
        <v>0</v>
      </c>
      <c r="M237" s="8">
        <f>IF(OR(B237="",C237=""),"",IFERROR(C237*IFERROR(INDEX(Ingredients!$J$5:$J$304,MATCH(B237,Ingredients!$A$5:$A$304,0)),""),""))</f>
        <v>0</v>
      </c>
      <c r="N237" s="8">
        <f>IF(OR(B237="",C237=""),"",IFERROR(C237*IFERROR(INDEX(Ingredients!$K$5:$K$304,MATCH(B237,Ingredients!$A$5:$A$304,0)),""),""))</f>
        <v>0</v>
      </c>
      <c r="O237" s="8">
        <f>IF(OR(B237="",C237=""),"",IFERROR(C237*IFERROR(INDEX(Ingredients!$L$5:$L$304,MATCH(B237,Ingredients!$A$5:$A$304,0)),""),""))</f>
        <v>0</v>
      </c>
      <c r="P237" s="8">
        <f>IF(OR(H237="",A237=""),"",IFERROR(H237/SUMIFS('Recipe Ingredients'!$H$5:$H$1204,'Recipe Ingredients'!$A$5:$A$1204,A237),""))</f>
        <v>0</v>
      </c>
      <c r="Q237" s="8">
        <f>IF(H237="","",COUNTIFS($H$5:$H$1204,"&gt;"&amp;H237)+1)</f>
        <v>0</v>
      </c>
      <c r="R237" s="8">
        <f>IF(B237="","",SUMIFS(Pantry!$C$5:$C$304,Pantry!$A$5:$A$304,B237))</f>
        <v>0</v>
      </c>
      <c r="S237" s="8">
        <f>IF(OR(B237="",C237=""),"",MAX(0,C237-R237))</f>
        <v>0</v>
      </c>
      <c r="T237" s="26"/>
      <c r="U237" s="8">
        <f>IF(OR(T237="",T237=0,G237=""),"",T237*G237)</f>
        <v>0</v>
      </c>
      <c r="V237" s="8">
        <f>IF(OR(S237="",T237="",T237=0),"",CEILING(S237/T237,1))</f>
        <v>0</v>
      </c>
      <c r="W237" s="27"/>
      <c r="X237" s="29"/>
      <c r="Y237" s="8">
        <f>IF(OR(C237="",X237=""),"",C237*(1+X237))</f>
        <v>0</v>
      </c>
      <c r="Z237" s="8">
        <f>IF(B237="","",IFERROR(INDEX(Ingredients!$O$5:$O$304,MATCH(B237,Ingredients!$A$5:$A$304,0)),""))</f>
        <v>0</v>
      </c>
      <c r="AA237" s="8">
        <f>IF(B237="","",IF(R237&gt;=C237,"In pantry","To buy"))</f>
        <v>0</v>
      </c>
      <c r="AB237" s="8">
        <f>IF(A237="","",COUNTIFS($A$5:A237,A237))</f>
        <v>0</v>
      </c>
      <c r="AC237" s="8">
        <f>IF(B237="","",IF(COUNTIFS('Dietary Filters'!$C$5:$C$104,B237)&gt;0,"Check","OK"))</f>
        <v>0</v>
      </c>
      <c r="AD237" s="25"/>
    </row>
    <row r="238" spans="1:30">
      <c r="A238" s="7"/>
      <c r="B238" s="7"/>
      <c r="C238" s="26"/>
      <c r="D238" s="27"/>
      <c r="E238" s="8">
        <f>IF(B238="","",IFERROR(INDEX(Ingredients!$B$5:$B$304,MATCH(B238,Ingredients!$A$5:$A$304,0)),""))</f>
        <v>0</v>
      </c>
      <c r="F238" s="8">
        <f>IF(B238="","",IFERROR(INDEX(Ingredients!$E$5:$E$304,MATCH(B238,Ingredients!$A$5:$A$304,0)),""))</f>
        <v>0</v>
      </c>
      <c r="G238" s="8">
        <f>IF(B238="","",IFERROR(INDEX(Ingredients!$D$5:$D$304,MATCH(B238,Ingredients!$A$5:$A$304,0)),""))</f>
        <v>0</v>
      </c>
      <c r="H238" s="8">
        <f>IF(OR(B238="",C238=""),"",IFERROR(C238*G238,""))</f>
        <v>0</v>
      </c>
      <c r="I238" s="8">
        <f>IF(A238="","",IFERROR(INDEX(Recipes!$D$5:$D$204,MATCH(A238,Recipes!$A$5:$A$204,0)),""))</f>
        <v>0</v>
      </c>
      <c r="J238" s="8">
        <f>IF(OR(H238="",I238="",I238=0),"",IFERROR(H238/I238,""))</f>
        <v>0</v>
      </c>
      <c r="K238" s="8">
        <f>IF(OR(B238="",C238=""),"",IFERROR(C238*IFERROR(INDEX(Ingredients!$H$5:$H$304,MATCH(B238,Ingredients!$A$5:$A$304,0)),""),""))</f>
        <v>0</v>
      </c>
      <c r="L238" s="8">
        <f>IF(OR(B238="",C238=""),"",IFERROR(C238*IFERROR(INDEX(Ingredients!$I$5:$I$304,MATCH(B238,Ingredients!$A$5:$A$304,0)),""),""))</f>
        <v>0</v>
      </c>
      <c r="M238" s="8">
        <f>IF(OR(B238="",C238=""),"",IFERROR(C238*IFERROR(INDEX(Ingredients!$J$5:$J$304,MATCH(B238,Ingredients!$A$5:$A$304,0)),""),""))</f>
        <v>0</v>
      </c>
      <c r="N238" s="8">
        <f>IF(OR(B238="",C238=""),"",IFERROR(C238*IFERROR(INDEX(Ingredients!$K$5:$K$304,MATCH(B238,Ingredients!$A$5:$A$304,0)),""),""))</f>
        <v>0</v>
      </c>
      <c r="O238" s="8">
        <f>IF(OR(B238="",C238=""),"",IFERROR(C238*IFERROR(INDEX(Ingredients!$L$5:$L$304,MATCH(B238,Ingredients!$A$5:$A$304,0)),""),""))</f>
        <v>0</v>
      </c>
      <c r="P238" s="8">
        <f>IF(OR(H238="",A238=""),"",IFERROR(H238/SUMIFS('Recipe Ingredients'!$H$5:$H$1204,'Recipe Ingredients'!$A$5:$A$1204,A238),""))</f>
        <v>0</v>
      </c>
      <c r="Q238" s="8">
        <f>IF(H238="","",COUNTIFS($H$5:$H$1204,"&gt;"&amp;H238)+1)</f>
        <v>0</v>
      </c>
      <c r="R238" s="8">
        <f>IF(B238="","",SUMIFS(Pantry!$C$5:$C$304,Pantry!$A$5:$A$304,B238))</f>
        <v>0</v>
      </c>
      <c r="S238" s="8">
        <f>IF(OR(B238="",C238=""),"",MAX(0,C238-R238))</f>
        <v>0</v>
      </c>
      <c r="T238" s="26"/>
      <c r="U238" s="8">
        <f>IF(OR(T238="",T238=0,G238=""),"",T238*G238)</f>
        <v>0</v>
      </c>
      <c r="V238" s="8">
        <f>IF(OR(S238="",T238="",T238=0),"",CEILING(S238/T238,1))</f>
        <v>0</v>
      </c>
      <c r="W238" s="27"/>
      <c r="X238" s="29"/>
      <c r="Y238" s="8">
        <f>IF(OR(C238="",X238=""),"",C238*(1+X238))</f>
        <v>0</v>
      </c>
      <c r="Z238" s="8">
        <f>IF(B238="","",IFERROR(INDEX(Ingredients!$O$5:$O$304,MATCH(B238,Ingredients!$A$5:$A$304,0)),""))</f>
        <v>0</v>
      </c>
      <c r="AA238" s="8">
        <f>IF(B238="","",IF(R238&gt;=C238,"In pantry","To buy"))</f>
        <v>0</v>
      </c>
      <c r="AB238" s="8">
        <f>IF(A238="","",COUNTIFS($A$5:A238,A238))</f>
        <v>0</v>
      </c>
      <c r="AC238" s="8">
        <f>IF(B238="","",IF(COUNTIFS('Dietary Filters'!$C$5:$C$104,B238)&gt;0,"Check","OK"))</f>
        <v>0</v>
      </c>
      <c r="AD238" s="25"/>
    </row>
    <row r="239" spans="1:30">
      <c r="A239" s="7"/>
      <c r="B239" s="7"/>
      <c r="C239" s="26"/>
      <c r="D239" s="27"/>
      <c r="E239" s="8">
        <f>IF(B239="","",IFERROR(INDEX(Ingredients!$B$5:$B$304,MATCH(B239,Ingredients!$A$5:$A$304,0)),""))</f>
        <v>0</v>
      </c>
      <c r="F239" s="8">
        <f>IF(B239="","",IFERROR(INDEX(Ingredients!$E$5:$E$304,MATCH(B239,Ingredients!$A$5:$A$304,0)),""))</f>
        <v>0</v>
      </c>
      <c r="G239" s="8">
        <f>IF(B239="","",IFERROR(INDEX(Ingredients!$D$5:$D$304,MATCH(B239,Ingredients!$A$5:$A$304,0)),""))</f>
        <v>0</v>
      </c>
      <c r="H239" s="8">
        <f>IF(OR(B239="",C239=""),"",IFERROR(C239*G239,""))</f>
        <v>0</v>
      </c>
      <c r="I239" s="8">
        <f>IF(A239="","",IFERROR(INDEX(Recipes!$D$5:$D$204,MATCH(A239,Recipes!$A$5:$A$204,0)),""))</f>
        <v>0</v>
      </c>
      <c r="J239" s="8">
        <f>IF(OR(H239="",I239="",I239=0),"",IFERROR(H239/I239,""))</f>
        <v>0</v>
      </c>
      <c r="K239" s="8">
        <f>IF(OR(B239="",C239=""),"",IFERROR(C239*IFERROR(INDEX(Ingredients!$H$5:$H$304,MATCH(B239,Ingredients!$A$5:$A$304,0)),""),""))</f>
        <v>0</v>
      </c>
      <c r="L239" s="8">
        <f>IF(OR(B239="",C239=""),"",IFERROR(C239*IFERROR(INDEX(Ingredients!$I$5:$I$304,MATCH(B239,Ingredients!$A$5:$A$304,0)),""),""))</f>
        <v>0</v>
      </c>
      <c r="M239" s="8">
        <f>IF(OR(B239="",C239=""),"",IFERROR(C239*IFERROR(INDEX(Ingredients!$J$5:$J$304,MATCH(B239,Ingredients!$A$5:$A$304,0)),""),""))</f>
        <v>0</v>
      </c>
      <c r="N239" s="8">
        <f>IF(OR(B239="",C239=""),"",IFERROR(C239*IFERROR(INDEX(Ingredients!$K$5:$K$304,MATCH(B239,Ingredients!$A$5:$A$304,0)),""),""))</f>
        <v>0</v>
      </c>
      <c r="O239" s="8">
        <f>IF(OR(B239="",C239=""),"",IFERROR(C239*IFERROR(INDEX(Ingredients!$L$5:$L$304,MATCH(B239,Ingredients!$A$5:$A$304,0)),""),""))</f>
        <v>0</v>
      </c>
      <c r="P239" s="8">
        <f>IF(OR(H239="",A239=""),"",IFERROR(H239/SUMIFS('Recipe Ingredients'!$H$5:$H$1204,'Recipe Ingredients'!$A$5:$A$1204,A239),""))</f>
        <v>0</v>
      </c>
      <c r="Q239" s="8">
        <f>IF(H239="","",COUNTIFS($H$5:$H$1204,"&gt;"&amp;H239)+1)</f>
        <v>0</v>
      </c>
      <c r="R239" s="8">
        <f>IF(B239="","",SUMIFS(Pantry!$C$5:$C$304,Pantry!$A$5:$A$304,B239))</f>
        <v>0</v>
      </c>
      <c r="S239" s="8">
        <f>IF(OR(B239="",C239=""),"",MAX(0,C239-R239))</f>
        <v>0</v>
      </c>
      <c r="T239" s="26"/>
      <c r="U239" s="8">
        <f>IF(OR(T239="",T239=0,G239=""),"",T239*G239)</f>
        <v>0</v>
      </c>
      <c r="V239" s="8">
        <f>IF(OR(S239="",T239="",T239=0),"",CEILING(S239/T239,1))</f>
        <v>0</v>
      </c>
      <c r="W239" s="27"/>
      <c r="X239" s="29"/>
      <c r="Y239" s="8">
        <f>IF(OR(C239="",X239=""),"",C239*(1+X239))</f>
        <v>0</v>
      </c>
      <c r="Z239" s="8">
        <f>IF(B239="","",IFERROR(INDEX(Ingredients!$O$5:$O$304,MATCH(B239,Ingredients!$A$5:$A$304,0)),""))</f>
        <v>0</v>
      </c>
      <c r="AA239" s="8">
        <f>IF(B239="","",IF(R239&gt;=C239,"In pantry","To buy"))</f>
        <v>0</v>
      </c>
      <c r="AB239" s="8">
        <f>IF(A239="","",COUNTIFS($A$5:A239,A239))</f>
        <v>0</v>
      </c>
      <c r="AC239" s="8">
        <f>IF(B239="","",IF(COUNTIFS('Dietary Filters'!$C$5:$C$104,B239)&gt;0,"Check","OK"))</f>
        <v>0</v>
      </c>
      <c r="AD239" s="25"/>
    </row>
    <row r="240" spans="1:30">
      <c r="A240" s="7"/>
      <c r="B240" s="7"/>
      <c r="C240" s="26"/>
      <c r="D240" s="27"/>
      <c r="E240" s="8">
        <f>IF(B240="","",IFERROR(INDEX(Ingredients!$B$5:$B$304,MATCH(B240,Ingredients!$A$5:$A$304,0)),""))</f>
        <v>0</v>
      </c>
      <c r="F240" s="8">
        <f>IF(B240="","",IFERROR(INDEX(Ingredients!$E$5:$E$304,MATCH(B240,Ingredients!$A$5:$A$304,0)),""))</f>
        <v>0</v>
      </c>
      <c r="G240" s="8">
        <f>IF(B240="","",IFERROR(INDEX(Ingredients!$D$5:$D$304,MATCH(B240,Ingredients!$A$5:$A$304,0)),""))</f>
        <v>0</v>
      </c>
      <c r="H240" s="8">
        <f>IF(OR(B240="",C240=""),"",IFERROR(C240*G240,""))</f>
        <v>0</v>
      </c>
      <c r="I240" s="8">
        <f>IF(A240="","",IFERROR(INDEX(Recipes!$D$5:$D$204,MATCH(A240,Recipes!$A$5:$A$204,0)),""))</f>
        <v>0</v>
      </c>
      <c r="J240" s="8">
        <f>IF(OR(H240="",I240="",I240=0),"",IFERROR(H240/I240,""))</f>
        <v>0</v>
      </c>
      <c r="K240" s="8">
        <f>IF(OR(B240="",C240=""),"",IFERROR(C240*IFERROR(INDEX(Ingredients!$H$5:$H$304,MATCH(B240,Ingredients!$A$5:$A$304,0)),""),""))</f>
        <v>0</v>
      </c>
      <c r="L240" s="8">
        <f>IF(OR(B240="",C240=""),"",IFERROR(C240*IFERROR(INDEX(Ingredients!$I$5:$I$304,MATCH(B240,Ingredients!$A$5:$A$304,0)),""),""))</f>
        <v>0</v>
      </c>
      <c r="M240" s="8">
        <f>IF(OR(B240="",C240=""),"",IFERROR(C240*IFERROR(INDEX(Ingredients!$J$5:$J$304,MATCH(B240,Ingredients!$A$5:$A$304,0)),""),""))</f>
        <v>0</v>
      </c>
      <c r="N240" s="8">
        <f>IF(OR(B240="",C240=""),"",IFERROR(C240*IFERROR(INDEX(Ingredients!$K$5:$K$304,MATCH(B240,Ingredients!$A$5:$A$304,0)),""),""))</f>
        <v>0</v>
      </c>
      <c r="O240" s="8">
        <f>IF(OR(B240="",C240=""),"",IFERROR(C240*IFERROR(INDEX(Ingredients!$L$5:$L$304,MATCH(B240,Ingredients!$A$5:$A$304,0)),""),""))</f>
        <v>0</v>
      </c>
      <c r="P240" s="8">
        <f>IF(OR(H240="",A240=""),"",IFERROR(H240/SUMIFS('Recipe Ingredients'!$H$5:$H$1204,'Recipe Ingredients'!$A$5:$A$1204,A240),""))</f>
        <v>0</v>
      </c>
      <c r="Q240" s="8">
        <f>IF(H240="","",COUNTIFS($H$5:$H$1204,"&gt;"&amp;H240)+1)</f>
        <v>0</v>
      </c>
      <c r="R240" s="8">
        <f>IF(B240="","",SUMIFS(Pantry!$C$5:$C$304,Pantry!$A$5:$A$304,B240))</f>
        <v>0</v>
      </c>
      <c r="S240" s="8">
        <f>IF(OR(B240="",C240=""),"",MAX(0,C240-R240))</f>
        <v>0</v>
      </c>
      <c r="T240" s="26"/>
      <c r="U240" s="8">
        <f>IF(OR(T240="",T240=0,G240=""),"",T240*G240)</f>
        <v>0</v>
      </c>
      <c r="V240" s="8">
        <f>IF(OR(S240="",T240="",T240=0),"",CEILING(S240/T240,1))</f>
        <v>0</v>
      </c>
      <c r="W240" s="27"/>
      <c r="X240" s="29"/>
      <c r="Y240" s="8">
        <f>IF(OR(C240="",X240=""),"",C240*(1+X240))</f>
        <v>0</v>
      </c>
      <c r="Z240" s="8">
        <f>IF(B240="","",IFERROR(INDEX(Ingredients!$O$5:$O$304,MATCH(B240,Ingredients!$A$5:$A$304,0)),""))</f>
        <v>0</v>
      </c>
      <c r="AA240" s="8">
        <f>IF(B240="","",IF(R240&gt;=C240,"In pantry","To buy"))</f>
        <v>0</v>
      </c>
      <c r="AB240" s="8">
        <f>IF(A240="","",COUNTIFS($A$5:A240,A240))</f>
        <v>0</v>
      </c>
      <c r="AC240" s="8">
        <f>IF(B240="","",IF(COUNTIFS('Dietary Filters'!$C$5:$C$104,B240)&gt;0,"Check","OK"))</f>
        <v>0</v>
      </c>
      <c r="AD240" s="25"/>
    </row>
    <row r="241" spans="1:30">
      <c r="A241" s="7"/>
      <c r="B241" s="7"/>
      <c r="C241" s="26"/>
      <c r="D241" s="27"/>
      <c r="E241" s="8">
        <f>IF(B241="","",IFERROR(INDEX(Ingredients!$B$5:$B$304,MATCH(B241,Ingredients!$A$5:$A$304,0)),""))</f>
        <v>0</v>
      </c>
      <c r="F241" s="8">
        <f>IF(B241="","",IFERROR(INDEX(Ingredients!$E$5:$E$304,MATCH(B241,Ingredients!$A$5:$A$304,0)),""))</f>
        <v>0</v>
      </c>
      <c r="G241" s="8">
        <f>IF(B241="","",IFERROR(INDEX(Ingredients!$D$5:$D$304,MATCH(B241,Ingredients!$A$5:$A$304,0)),""))</f>
        <v>0</v>
      </c>
      <c r="H241" s="8">
        <f>IF(OR(B241="",C241=""),"",IFERROR(C241*G241,""))</f>
        <v>0</v>
      </c>
      <c r="I241" s="8">
        <f>IF(A241="","",IFERROR(INDEX(Recipes!$D$5:$D$204,MATCH(A241,Recipes!$A$5:$A$204,0)),""))</f>
        <v>0</v>
      </c>
      <c r="J241" s="8">
        <f>IF(OR(H241="",I241="",I241=0),"",IFERROR(H241/I241,""))</f>
        <v>0</v>
      </c>
      <c r="K241" s="8">
        <f>IF(OR(B241="",C241=""),"",IFERROR(C241*IFERROR(INDEX(Ingredients!$H$5:$H$304,MATCH(B241,Ingredients!$A$5:$A$304,0)),""),""))</f>
        <v>0</v>
      </c>
      <c r="L241" s="8">
        <f>IF(OR(B241="",C241=""),"",IFERROR(C241*IFERROR(INDEX(Ingredients!$I$5:$I$304,MATCH(B241,Ingredients!$A$5:$A$304,0)),""),""))</f>
        <v>0</v>
      </c>
      <c r="M241" s="8">
        <f>IF(OR(B241="",C241=""),"",IFERROR(C241*IFERROR(INDEX(Ingredients!$J$5:$J$304,MATCH(B241,Ingredients!$A$5:$A$304,0)),""),""))</f>
        <v>0</v>
      </c>
      <c r="N241" s="8">
        <f>IF(OR(B241="",C241=""),"",IFERROR(C241*IFERROR(INDEX(Ingredients!$K$5:$K$304,MATCH(B241,Ingredients!$A$5:$A$304,0)),""),""))</f>
        <v>0</v>
      </c>
      <c r="O241" s="8">
        <f>IF(OR(B241="",C241=""),"",IFERROR(C241*IFERROR(INDEX(Ingredients!$L$5:$L$304,MATCH(B241,Ingredients!$A$5:$A$304,0)),""),""))</f>
        <v>0</v>
      </c>
      <c r="P241" s="8">
        <f>IF(OR(H241="",A241=""),"",IFERROR(H241/SUMIFS('Recipe Ingredients'!$H$5:$H$1204,'Recipe Ingredients'!$A$5:$A$1204,A241),""))</f>
        <v>0</v>
      </c>
      <c r="Q241" s="8">
        <f>IF(H241="","",COUNTIFS($H$5:$H$1204,"&gt;"&amp;H241)+1)</f>
        <v>0</v>
      </c>
      <c r="R241" s="8">
        <f>IF(B241="","",SUMIFS(Pantry!$C$5:$C$304,Pantry!$A$5:$A$304,B241))</f>
        <v>0</v>
      </c>
      <c r="S241" s="8">
        <f>IF(OR(B241="",C241=""),"",MAX(0,C241-R241))</f>
        <v>0</v>
      </c>
      <c r="T241" s="26"/>
      <c r="U241" s="8">
        <f>IF(OR(T241="",T241=0,G241=""),"",T241*G241)</f>
        <v>0</v>
      </c>
      <c r="V241" s="8">
        <f>IF(OR(S241="",T241="",T241=0),"",CEILING(S241/T241,1))</f>
        <v>0</v>
      </c>
      <c r="W241" s="27"/>
      <c r="X241" s="29"/>
      <c r="Y241" s="8">
        <f>IF(OR(C241="",X241=""),"",C241*(1+X241))</f>
        <v>0</v>
      </c>
      <c r="Z241" s="8">
        <f>IF(B241="","",IFERROR(INDEX(Ingredients!$O$5:$O$304,MATCH(B241,Ingredients!$A$5:$A$304,0)),""))</f>
        <v>0</v>
      </c>
      <c r="AA241" s="8">
        <f>IF(B241="","",IF(R241&gt;=C241,"In pantry","To buy"))</f>
        <v>0</v>
      </c>
      <c r="AB241" s="8">
        <f>IF(A241="","",COUNTIFS($A$5:A241,A241))</f>
        <v>0</v>
      </c>
      <c r="AC241" s="8">
        <f>IF(B241="","",IF(COUNTIFS('Dietary Filters'!$C$5:$C$104,B241)&gt;0,"Check","OK"))</f>
        <v>0</v>
      </c>
      <c r="AD241" s="25"/>
    </row>
    <row r="242" spans="1:30">
      <c r="A242" s="7"/>
      <c r="B242" s="7"/>
      <c r="C242" s="26"/>
      <c r="D242" s="27"/>
      <c r="E242" s="8">
        <f>IF(B242="","",IFERROR(INDEX(Ingredients!$B$5:$B$304,MATCH(B242,Ingredients!$A$5:$A$304,0)),""))</f>
        <v>0</v>
      </c>
      <c r="F242" s="8">
        <f>IF(B242="","",IFERROR(INDEX(Ingredients!$E$5:$E$304,MATCH(B242,Ingredients!$A$5:$A$304,0)),""))</f>
        <v>0</v>
      </c>
      <c r="G242" s="8">
        <f>IF(B242="","",IFERROR(INDEX(Ingredients!$D$5:$D$304,MATCH(B242,Ingredients!$A$5:$A$304,0)),""))</f>
        <v>0</v>
      </c>
      <c r="H242" s="8">
        <f>IF(OR(B242="",C242=""),"",IFERROR(C242*G242,""))</f>
        <v>0</v>
      </c>
      <c r="I242" s="8">
        <f>IF(A242="","",IFERROR(INDEX(Recipes!$D$5:$D$204,MATCH(A242,Recipes!$A$5:$A$204,0)),""))</f>
        <v>0</v>
      </c>
      <c r="J242" s="8">
        <f>IF(OR(H242="",I242="",I242=0),"",IFERROR(H242/I242,""))</f>
        <v>0</v>
      </c>
      <c r="K242" s="8">
        <f>IF(OR(B242="",C242=""),"",IFERROR(C242*IFERROR(INDEX(Ingredients!$H$5:$H$304,MATCH(B242,Ingredients!$A$5:$A$304,0)),""),""))</f>
        <v>0</v>
      </c>
      <c r="L242" s="8">
        <f>IF(OR(B242="",C242=""),"",IFERROR(C242*IFERROR(INDEX(Ingredients!$I$5:$I$304,MATCH(B242,Ingredients!$A$5:$A$304,0)),""),""))</f>
        <v>0</v>
      </c>
      <c r="M242" s="8">
        <f>IF(OR(B242="",C242=""),"",IFERROR(C242*IFERROR(INDEX(Ingredients!$J$5:$J$304,MATCH(B242,Ingredients!$A$5:$A$304,0)),""),""))</f>
        <v>0</v>
      </c>
      <c r="N242" s="8">
        <f>IF(OR(B242="",C242=""),"",IFERROR(C242*IFERROR(INDEX(Ingredients!$K$5:$K$304,MATCH(B242,Ingredients!$A$5:$A$304,0)),""),""))</f>
        <v>0</v>
      </c>
      <c r="O242" s="8">
        <f>IF(OR(B242="",C242=""),"",IFERROR(C242*IFERROR(INDEX(Ingredients!$L$5:$L$304,MATCH(B242,Ingredients!$A$5:$A$304,0)),""),""))</f>
        <v>0</v>
      </c>
      <c r="P242" s="8">
        <f>IF(OR(H242="",A242=""),"",IFERROR(H242/SUMIFS('Recipe Ingredients'!$H$5:$H$1204,'Recipe Ingredients'!$A$5:$A$1204,A242),""))</f>
        <v>0</v>
      </c>
      <c r="Q242" s="8">
        <f>IF(H242="","",COUNTIFS($H$5:$H$1204,"&gt;"&amp;H242)+1)</f>
        <v>0</v>
      </c>
      <c r="R242" s="8">
        <f>IF(B242="","",SUMIFS(Pantry!$C$5:$C$304,Pantry!$A$5:$A$304,B242))</f>
        <v>0</v>
      </c>
      <c r="S242" s="8">
        <f>IF(OR(B242="",C242=""),"",MAX(0,C242-R242))</f>
        <v>0</v>
      </c>
      <c r="T242" s="26"/>
      <c r="U242" s="8">
        <f>IF(OR(T242="",T242=0,G242=""),"",T242*G242)</f>
        <v>0</v>
      </c>
      <c r="V242" s="8">
        <f>IF(OR(S242="",T242="",T242=0),"",CEILING(S242/T242,1))</f>
        <v>0</v>
      </c>
      <c r="W242" s="27"/>
      <c r="X242" s="29"/>
      <c r="Y242" s="8">
        <f>IF(OR(C242="",X242=""),"",C242*(1+X242))</f>
        <v>0</v>
      </c>
      <c r="Z242" s="8">
        <f>IF(B242="","",IFERROR(INDEX(Ingredients!$O$5:$O$304,MATCH(B242,Ingredients!$A$5:$A$304,0)),""))</f>
        <v>0</v>
      </c>
      <c r="AA242" s="8">
        <f>IF(B242="","",IF(R242&gt;=C242,"In pantry","To buy"))</f>
        <v>0</v>
      </c>
      <c r="AB242" s="8">
        <f>IF(A242="","",COUNTIFS($A$5:A242,A242))</f>
        <v>0</v>
      </c>
      <c r="AC242" s="8">
        <f>IF(B242="","",IF(COUNTIFS('Dietary Filters'!$C$5:$C$104,B242)&gt;0,"Check","OK"))</f>
        <v>0</v>
      </c>
      <c r="AD242" s="25"/>
    </row>
    <row r="243" spans="1:30">
      <c r="A243" s="7"/>
      <c r="B243" s="7"/>
      <c r="C243" s="26"/>
      <c r="D243" s="27"/>
      <c r="E243" s="8">
        <f>IF(B243="","",IFERROR(INDEX(Ingredients!$B$5:$B$304,MATCH(B243,Ingredients!$A$5:$A$304,0)),""))</f>
        <v>0</v>
      </c>
      <c r="F243" s="8">
        <f>IF(B243="","",IFERROR(INDEX(Ingredients!$E$5:$E$304,MATCH(B243,Ingredients!$A$5:$A$304,0)),""))</f>
        <v>0</v>
      </c>
      <c r="G243" s="8">
        <f>IF(B243="","",IFERROR(INDEX(Ingredients!$D$5:$D$304,MATCH(B243,Ingredients!$A$5:$A$304,0)),""))</f>
        <v>0</v>
      </c>
      <c r="H243" s="8">
        <f>IF(OR(B243="",C243=""),"",IFERROR(C243*G243,""))</f>
        <v>0</v>
      </c>
      <c r="I243" s="8">
        <f>IF(A243="","",IFERROR(INDEX(Recipes!$D$5:$D$204,MATCH(A243,Recipes!$A$5:$A$204,0)),""))</f>
        <v>0</v>
      </c>
      <c r="J243" s="8">
        <f>IF(OR(H243="",I243="",I243=0),"",IFERROR(H243/I243,""))</f>
        <v>0</v>
      </c>
      <c r="K243" s="8">
        <f>IF(OR(B243="",C243=""),"",IFERROR(C243*IFERROR(INDEX(Ingredients!$H$5:$H$304,MATCH(B243,Ingredients!$A$5:$A$304,0)),""),""))</f>
        <v>0</v>
      </c>
      <c r="L243" s="8">
        <f>IF(OR(B243="",C243=""),"",IFERROR(C243*IFERROR(INDEX(Ingredients!$I$5:$I$304,MATCH(B243,Ingredients!$A$5:$A$304,0)),""),""))</f>
        <v>0</v>
      </c>
      <c r="M243" s="8">
        <f>IF(OR(B243="",C243=""),"",IFERROR(C243*IFERROR(INDEX(Ingredients!$J$5:$J$304,MATCH(B243,Ingredients!$A$5:$A$304,0)),""),""))</f>
        <v>0</v>
      </c>
      <c r="N243" s="8">
        <f>IF(OR(B243="",C243=""),"",IFERROR(C243*IFERROR(INDEX(Ingredients!$K$5:$K$304,MATCH(B243,Ingredients!$A$5:$A$304,0)),""),""))</f>
        <v>0</v>
      </c>
      <c r="O243" s="8">
        <f>IF(OR(B243="",C243=""),"",IFERROR(C243*IFERROR(INDEX(Ingredients!$L$5:$L$304,MATCH(B243,Ingredients!$A$5:$A$304,0)),""),""))</f>
        <v>0</v>
      </c>
      <c r="P243" s="8">
        <f>IF(OR(H243="",A243=""),"",IFERROR(H243/SUMIFS('Recipe Ingredients'!$H$5:$H$1204,'Recipe Ingredients'!$A$5:$A$1204,A243),""))</f>
        <v>0</v>
      </c>
      <c r="Q243" s="8">
        <f>IF(H243="","",COUNTIFS($H$5:$H$1204,"&gt;"&amp;H243)+1)</f>
        <v>0</v>
      </c>
      <c r="R243" s="8">
        <f>IF(B243="","",SUMIFS(Pantry!$C$5:$C$304,Pantry!$A$5:$A$304,B243))</f>
        <v>0</v>
      </c>
      <c r="S243" s="8">
        <f>IF(OR(B243="",C243=""),"",MAX(0,C243-R243))</f>
        <v>0</v>
      </c>
      <c r="T243" s="26"/>
      <c r="U243" s="8">
        <f>IF(OR(T243="",T243=0,G243=""),"",T243*G243)</f>
        <v>0</v>
      </c>
      <c r="V243" s="8">
        <f>IF(OR(S243="",T243="",T243=0),"",CEILING(S243/T243,1))</f>
        <v>0</v>
      </c>
      <c r="W243" s="27"/>
      <c r="X243" s="29"/>
      <c r="Y243" s="8">
        <f>IF(OR(C243="",X243=""),"",C243*(1+X243))</f>
        <v>0</v>
      </c>
      <c r="Z243" s="8">
        <f>IF(B243="","",IFERROR(INDEX(Ingredients!$O$5:$O$304,MATCH(B243,Ingredients!$A$5:$A$304,0)),""))</f>
        <v>0</v>
      </c>
      <c r="AA243" s="8">
        <f>IF(B243="","",IF(R243&gt;=C243,"In pantry","To buy"))</f>
        <v>0</v>
      </c>
      <c r="AB243" s="8">
        <f>IF(A243="","",COUNTIFS($A$5:A243,A243))</f>
        <v>0</v>
      </c>
      <c r="AC243" s="8">
        <f>IF(B243="","",IF(COUNTIFS('Dietary Filters'!$C$5:$C$104,B243)&gt;0,"Check","OK"))</f>
        <v>0</v>
      </c>
      <c r="AD243" s="25"/>
    </row>
    <row r="244" spans="1:30">
      <c r="A244" s="7"/>
      <c r="B244" s="7"/>
      <c r="C244" s="26"/>
      <c r="D244" s="27"/>
      <c r="E244" s="8">
        <f>IF(B244="","",IFERROR(INDEX(Ingredients!$B$5:$B$304,MATCH(B244,Ingredients!$A$5:$A$304,0)),""))</f>
        <v>0</v>
      </c>
      <c r="F244" s="8">
        <f>IF(B244="","",IFERROR(INDEX(Ingredients!$E$5:$E$304,MATCH(B244,Ingredients!$A$5:$A$304,0)),""))</f>
        <v>0</v>
      </c>
      <c r="G244" s="8">
        <f>IF(B244="","",IFERROR(INDEX(Ingredients!$D$5:$D$304,MATCH(B244,Ingredients!$A$5:$A$304,0)),""))</f>
        <v>0</v>
      </c>
      <c r="H244" s="8">
        <f>IF(OR(B244="",C244=""),"",IFERROR(C244*G244,""))</f>
        <v>0</v>
      </c>
      <c r="I244" s="8">
        <f>IF(A244="","",IFERROR(INDEX(Recipes!$D$5:$D$204,MATCH(A244,Recipes!$A$5:$A$204,0)),""))</f>
        <v>0</v>
      </c>
      <c r="J244" s="8">
        <f>IF(OR(H244="",I244="",I244=0),"",IFERROR(H244/I244,""))</f>
        <v>0</v>
      </c>
      <c r="K244" s="8">
        <f>IF(OR(B244="",C244=""),"",IFERROR(C244*IFERROR(INDEX(Ingredients!$H$5:$H$304,MATCH(B244,Ingredients!$A$5:$A$304,0)),""),""))</f>
        <v>0</v>
      </c>
      <c r="L244" s="8">
        <f>IF(OR(B244="",C244=""),"",IFERROR(C244*IFERROR(INDEX(Ingredients!$I$5:$I$304,MATCH(B244,Ingredients!$A$5:$A$304,0)),""),""))</f>
        <v>0</v>
      </c>
      <c r="M244" s="8">
        <f>IF(OR(B244="",C244=""),"",IFERROR(C244*IFERROR(INDEX(Ingredients!$J$5:$J$304,MATCH(B244,Ingredients!$A$5:$A$304,0)),""),""))</f>
        <v>0</v>
      </c>
      <c r="N244" s="8">
        <f>IF(OR(B244="",C244=""),"",IFERROR(C244*IFERROR(INDEX(Ingredients!$K$5:$K$304,MATCH(B244,Ingredients!$A$5:$A$304,0)),""),""))</f>
        <v>0</v>
      </c>
      <c r="O244" s="8">
        <f>IF(OR(B244="",C244=""),"",IFERROR(C244*IFERROR(INDEX(Ingredients!$L$5:$L$304,MATCH(B244,Ingredients!$A$5:$A$304,0)),""),""))</f>
        <v>0</v>
      </c>
      <c r="P244" s="8">
        <f>IF(OR(H244="",A244=""),"",IFERROR(H244/SUMIFS('Recipe Ingredients'!$H$5:$H$1204,'Recipe Ingredients'!$A$5:$A$1204,A244),""))</f>
        <v>0</v>
      </c>
      <c r="Q244" s="8">
        <f>IF(H244="","",COUNTIFS($H$5:$H$1204,"&gt;"&amp;H244)+1)</f>
        <v>0</v>
      </c>
      <c r="R244" s="8">
        <f>IF(B244="","",SUMIFS(Pantry!$C$5:$C$304,Pantry!$A$5:$A$304,B244))</f>
        <v>0</v>
      </c>
      <c r="S244" s="8">
        <f>IF(OR(B244="",C244=""),"",MAX(0,C244-R244))</f>
        <v>0</v>
      </c>
      <c r="T244" s="26"/>
      <c r="U244" s="8">
        <f>IF(OR(T244="",T244=0,G244=""),"",T244*G244)</f>
        <v>0</v>
      </c>
      <c r="V244" s="8">
        <f>IF(OR(S244="",T244="",T244=0),"",CEILING(S244/T244,1))</f>
        <v>0</v>
      </c>
      <c r="W244" s="27"/>
      <c r="X244" s="29"/>
      <c r="Y244" s="8">
        <f>IF(OR(C244="",X244=""),"",C244*(1+X244))</f>
        <v>0</v>
      </c>
      <c r="Z244" s="8">
        <f>IF(B244="","",IFERROR(INDEX(Ingredients!$O$5:$O$304,MATCH(B244,Ingredients!$A$5:$A$304,0)),""))</f>
        <v>0</v>
      </c>
      <c r="AA244" s="8">
        <f>IF(B244="","",IF(R244&gt;=C244,"In pantry","To buy"))</f>
        <v>0</v>
      </c>
      <c r="AB244" s="8">
        <f>IF(A244="","",COUNTIFS($A$5:A244,A244))</f>
        <v>0</v>
      </c>
      <c r="AC244" s="8">
        <f>IF(B244="","",IF(COUNTIFS('Dietary Filters'!$C$5:$C$104,B244)&gt;0,"Check","OK"))</f>
        <v>0</v>
      </c>
      <c r="AD244" s="25"/>
    </row>
    <row r="245" spans="1:30">
      <c r="A245" s="7"/>
      <c r="B245" s="7"/>
      <c r="C245" s="26"/>
      <c r="D245" s="27"/>
      <c r="E245" s="8">
        <f>IF(B245="","",IFERROR(INDEX(Ingredients!$B$5:$B$304,MATCH(B245,Ingredients!$A$5:$A$304,0)),""))</f>
        <v>0</v>
      </c>
      <c r="F245" s="8">
        <f>IF(B245="","",IFERROR(INDEX(Ingredients!$E$5:$E$304,MATCH(B245,Ingredients!$A$5:$A$304,0)),""))</f>
        <v>0</v>
      </c>
      <c r="G245" s="8">
        <f>IF(B245="","",IFERROR(INDEX(Ingredients!$D$5:$D$304,MATCH(B245,Ingredients!$A$5:$A$304,0)),""))</f>
        <v>0</v>
      </c>
      <c r="H245" s="8">
        <f>IF(OR(B245="",C245=""),"",IFERROR(C245*G245,""))</f>
        <v>0</v>
      </c>
      <c r="I245" s="8">
        <f>IF(A245="","",IFERROR(INDEX(Recipes!$D$5:$D$204,MATCH(A245,Recipes!$A$5:$A$204,0)),""))</f>
        <v>0</v>
      </c>
      <c r="J245" s="8">
        <f>IF(OR(H245="",I245="",I245=0),"",IFERROR(H245/I245,""))</f>
        <v>0</v>
      </c>
      <c r="K245" s="8">
        <f>IF(OR(B245="",C245=""),"",IFERROR(C245*IFERROR(INDEX(Ingredients!$H$5:$H$304,MATCH(B245,Ingredients!$A$5:$A$304,0)),""),""))</f>
        <v>0</v>
      </c>
      <c r="L245" s="8">
        <f>IF(OR(B245="",C245=""),"",IFERROR(C245*IFERROR(INDEX(Ingredients!$I$5:$I$304,MATCH(B245,Ingredients!$A$5:$A$304,0)),""),""))</f>
        <v>0</v>
      </c>
      <c r="M245" s="8">
        <f>IF(OR(B245="",C245=""),"",IFERROR(C245*IFERROR(INDEX(Ingredients!$J$5:$J$304,MATCH(B245,Ingredients!$A$5:$A$304,0)),""),""))</f>
        <v>0</v>
      </c>
      <c r="N245" s="8">
        <f>IF(OR(B245="",C245=""),"",IFERROR(C245*IFERROR(INDEX(Ingredients!$K$5:$K$304,MATCH(B245,Ingredients!$A$5:$A$304,0)),""),""))</f>
        <v>0</v>
      </c>
      <c r="O245" s="8">
        <f>IF(OR(B245="",C245=""),"",IFERROR(C245*IFERROR(INDEX(Ingredients!$L$5:$L$304,MATCH(B245,Ingredients!$A$5:$A$304,0)),""),""))</f>
        <v>0</v>
      </c>
      <c r="P245" s="8">
        <f>IF(OR(H245="",A245=""),"",IFERROR(H245/SUMIFS('Recipe Ingredients'!$H$5:$H$1204,'Recipe Ingredients'!$A$5:$A$1204,A245),""))</f>
        <v>0</v>
      </c>
      <c r="Q245" s="8">
        <f>IF(H245="","",COUNTIFS($H$5:$H$1204,"&gt;"&amp;H245)+1)</f>
        <v>0</v>
      </c>
      <c r="R245" s="8">
        <f>IF(B245="","",SUMIFS(Pantry!$C$5:$C$304,Pantry!$A$5:$A$304,B245))</f>
        <v>0</v>
      </c>
      <c r="S245" s="8">
        <f>IF(OR(B245="",C245=""),"",MAX(0,C245-R245))</f>
        <v>0</v>
      </c>
      <c r="T245" s="26"/>
      <c r="U245" s="8">
        <f>IF(OR(T245="",T245=0,G245=""),"",T245*G245)</f>
        <v>0</v>
      </c>
      <c r="V245" s="8">
        <f>IF(OR(S245="",T245="",T245=0),"",CEILING(S245/T245,1))</f>
        <v>0</v>
      </c>
      <c r="W245" s="27"/>
      <c r="X245" s="29"/>
      <c r="Y245" s="8">
        <f>IF(OR(C245="",X245=""),"",C245*(1+X245))</f>
        <v>0</v>
      </c>
      <c r="Z245" s="8">
        <f>IF(B245="","",IFERROR(INDEX(Ingredients!$O$5:$O$304,MATCH(B245,Ingredients!$A$5:$A$304,0)),""))</f>
        <v>0</v>
      </c>
      <c r="AA245" s="8">
        <f>IF(B245="","",IF(R245&gt;=C245,"In pantry","To buy"))</f>
        <v>0</v>
      </c>
      <c r="AB245" s="8">
        <f>IF(A245="","",COUNTIFS($A$5:A245,A245))</f>
        <v>0</v>
      </c>
      <c r="AC245" s="8">
        <f>IF(B245="","",IF(COUNTIFS('Dietary Filters'!$C$5:$C$104,B245)&gt;0,"Check","OK"))</f>
        <v>0</v>
      </c>
      <c r="AD245" s="25"/>
    </row>
    <row r="246" spans="1:30">
      <c r="A246" s="7"/>
      <c r="B246" s="7"/>
      <c r="C246" s="26"/>
      <c r="D246" s="27"/>
      <c r="E246" s="8">
        <f>IF(B246="","",IFERROR(INDEX(Ingredients!$B$5:$B$304,MATCH(B246,Ingredients!$A$5:$A$304,0)),""))</f>
        <v>0</v>
      </c>
      <c r="F246" s="8">
        <f>IF(B246="","",IFERROR(INDEX(Ingredients!$E$5:$E$304,MATCH(B246,Ingredients!$A$5:$A$304,0)),""))</f>
        <v>0</v>
      </c>
      <c r="G246" s="8">
        <f>IF(B246="","",IFERROR(INDEX(Ingredients!$D$5:$D$304,MATCH(B246,Ingredients!$A$5:$A$304,0)),""))</f>
        <v>0</v>
      </c>
      <c r="H246" s="8">
        <f>IF(OR(B246="",C246=""),"",IFERROR(C246*G246,""))</f>
        <v>0</v>
      </c>
      <c r="I246" s="8">
        <f>IF(A246="","",IFERROR(INDEX(Recipes!$D$5:$D$204,MATCH(A246,Recipes!$A$5:$A$204,0)),""))</f>
        <v>0</v>
      </c>
      <c r="J246" s="8">
        <f>IF(OR(H246="",I246="",I246=0),"",IFERROR(H246/I246,""))</f>
        <v>0</v>
      </c>
      <c r="K246" s="8">
        <f>IF(OR(B246="",C246=""),"",IFERROR(C246*IFERROR(INDEX(Ingredients!$H$5:$H$304,MATCH(B246,Ingredients!$A$5:$A$304,0)),""),""))</f>
        <v>0</v>
      </c>
      <c r="L246" s="8">
        <f>IF(OR(B246="",C246=""),"",IFERROR(C246*IFERROR(INDEX(Ingredients!$I$5:$I$304,MATCH(B246,Ingredients!$A$5:$A$304,0)),""),""))</f>
        <v>0</v>
      </c>
      <c r="M246" s="8">
        <f>IF(OR(B246="",C246=""),"",IFERROR(C246*IFERROR(INDEX(Ingredients!$J$5:$J$304,MATCH(B246,Ingredients!$A$5:$A$304,0)),""),""))</f>
        <v>0</v>
      </c>
      <c r="N246" s="8">
        <f>IF(OR(B246="",C246=""),"",IFERROR(C246*IFERROR(INDEX(Ingredients!$K$5:$K$304,MATCH(B246,Ingredients!$A$5:$A$304,0)),""),""))</f>
        <v>0</v>
      </c>
      <c r="O246" s="8">
        <f>IF(OR(B246="",C246=""),"",IFERROR(C246*IFERROR(INDEX(Ingredients!$L$5:$L$304,MATCH(B246,Ingredients!$A$5:$A$304,0)),""),""))</f>
        <v>0</v>
      </c>
      <c r="P246" s="8">
        <f>IF(OR(H246="",A246=""),"",IFERROR(H246/SUMIFS('Recipe Ingredients'!$H$5:$H$1204,'Recipe Ingredients'!$A$5:$A$1204,A246),""))</f>
        <v>0</v>
      </c>
      <c r="Q246" s="8">
        <f>IF(H246="","",COUNTIFS($H$5:$H$1204,"&gt;"&amp;H246)+1)</f>
        <v>0</v>
      </c>
      <c r="R246" s="8">
        <f>IF(B246="","",SUMIFS(Pantry!$C$5:$C$304,Pantry!$A$5:$A$304,B246))</f>
        <v>0</v>
      </c>
      <c r="S246" s="8">
        <f>IF(OR(B246="",C246=""),"",MAX(0,C246-R246))</f>
        <v>0</v>
      </c>
      <c r="T246" s="26"/>
      <c r="U246" s="8">
        <f>IF(OR(T246="",T246=0,G246=""),"",T246*G246)</f>
        <v>0</v>
      </c>
      <c r="V246" s="8">
        <f>IF(OR(S246="",T246="",T246=0),"",CEILING(S246/T246,1))</f>
        <v>0</v>
      </c>
      <c r="W246" s="27"/>
      <c r="X246" s="29"/>
      <c r="Y246" s="8">
        <f>IF(OR(C246="",X246=""),"",C246*(1+X246))</f>
        <v>0</v>
      </c>
      <c r="Z246" s="8">
        <f>IF(B246="","",IFERROR(INDEX(Ingredients!$O$5:$O$304,MATCH(B246,Ingredients!$A$5:$A$304,0)),""))</f>
        <v>0</v>
      </c>
      <c r="AA246" s="8">
        <f>IF(B246="","",IF(R246&gt;=C246,"In pantry","To buy"))</f>
        <v>0</v>
      </c>
      <c r="AB246" s="8">
        <f>IF(A246="","",COUNTIFS($A$5:A246,A246))</f>
        <v>0</v>
      </c>
      <c r="AC246" s="8">
        <f>IF(B246="","",IF(COUNTIFS('Dietary Filters'!$C$5:$C$104,B246)&gt;0,"Check","OK"))</f>
        <v>0</v>
      </c>
      <c r="AD246" s="25"/>
    </row>
    <row r="247" spans="1:30">
      <c r="A247" s="7"/>
      <c r="B247" s="7"/>
      <c r="C247" s="26"/>
      <c r="D247" s="27"/>
      <c r="E247" s="8">
        <f>IF(B247="","",IFERROR(INDEX(Ingredients!$B$5:$B$304,MATCH(B247,Ingredients!$A$5:$A$304,0)),""))</f>
        <v>0</v>
      </c>
      <c r="F247" s="8">
        <f>IF(B247="","",IFERROR(INDEX(Ingredients!$E$5:$E$304,MATCH(B247,Ingredients!$A$5:$A$304,0)),""))</f>
        <v>0</v>
      </c>
      <c r="G247" s="8">
        <f>IF(B247="","",IFERROR(INDEX(Ingredients!$D$5:$D$304,MATCH(B247,Ingredients!$A$5:$A$304,0)),""))</f>
        <v>0</v>
      </c>
      <c r="H247" s="8">
        <f>IF(OR(B247="",C247=""),"",IFERROR(C247*G247,""))</f>
        <v>0</v>
      </c>
      <c r="I247" s="8">
        <f>IF(A247="","",IFERROR(INDEX(Recipes!$D$5:$D$204,MATCH(A247,Recipes!$A$5:$A$204,0)),""))</f>
        <v>0</v>
      </c>
      <c r="J247" s="8">
        <f>IF(OR(H247="",I247="",I247=0),"",IFERROR(H247/I247,""))</f>
        <v>0</v>
      </c>
      <c r="K247" s="8">
        <f>IF(OR(B247="",C247=""),"",IFERROR(C247*IFERROR(INDEX(Ingredients!$H$5:$H$304,MATCH(B247,Ingredients!$A$5:$A$304,0)),""),""))</f>
        <v>0</v>
      </c>
      <c r="L247" s="8">
        <f>IF(OR(B247="",C247=""),"",IFERROR(C247*IFERROR(INDEX(Ingredients!$I$5:$I$304,MATCH(B247,Ingredients!$A$5:$A$304,0)),""),""))</f>
        <v>0</v>
      </c>
      <c r="M247" s="8">
        <f>IF(OR(B247="",C247=""),"",IFERROR(C247*IFERROR(INDEX(Ingredients!$J$5:$J$304,MATCH(B247,Ingredients!$A$5:$A$304,0)),""),""))</f>
        <v>0</v>
      </c>
      <c r="N247" s="8">
        <f>IF(OR(B247="",C247=""),"",IFERROR(C247*IFERROR(INDEX(Ingredients!$K$5:$K$304,MATCH(B247,Ingredients!$A$5:$A$304,0)),""),""))</f>
        <v>0</v>
      </c>
      <c r="O247" s="8">
        <f>IF(OR(B247="",C247=""),"",IFERROR(C247*IFERROR(INDEX(Ingredients!$L$5:$L$304,MATCH(B247,Ingredients!$A$5:$A$304,0)),""),""))</f>
        <v>0</v>
      </c>
      <c r="P247" s="8">
        <f>IF(OR(H247="",A247=""),"",IFERROR(H247/SUMIFS('Recipe Ingredients'!$H$5:$H$1204,'Recipe Ingredients'!$A$5:$A$1204,A247),""))</f>
        <v>0</v>
      </c>
      <c r="Q247" s="8">
        <f>IF(H247="","",COUNTIFS($H$5:$H$1204,"&gt;"&amp;H247)+1)</f>
        <v>0</v>
      </c>
      <c r="R247" s="8">
        <f>IF(B247="","",SUMIFS(Pantry!$C$5:$C$304,Pantry!$A$5:$A$304,B247))</f>
        <v>0</v>
      </c>
      <c r="S247" s="8">
        <f>IF(OR(B247="",C247=""),"",MAX(0,C247-R247))</f>
        <v>0</v>
      </c>
      <c r="T247" s="26"/>
      <c r="U247" s="8">
        <f>IF(OR(T247="",T247=0,G247=""),"",T247*G247)</f>
        <v>0</v>
      </c>
      <c r="V247" s="8">
        <f>IF(OR(S247="",T247="",T247=0),"",CEILING(S247/T247,1))</f>
        <v>0</v>
      </c>
      <c r="W247" s="27"/>
      <c r="X247" s="29"/>
      <c r="Y247" s="8">
        <f>IF(OR(C247="",X247=""),"",C247*(1+X247))</f>
        <v>0</v>
      </c>
      <c r="Z247" s="8">
        <f>IF(B247="","",IFERROR(INDEX(Ingredients!$O$5:$O$304,MATCH(B247,Ingredients!$A$5:$A$304,0)),""))</f>
        <v>0</v>
      </c>
      <c r="AA247" s="8">
        <f>IF(B247="","",IF(R247&gt;=C247,"In pantry","To buy"))</f>
        <v>0</v>
      </c>
      <c r="AB247" s="8">
        <f>IF(A247="","",COUNTIFS($A$5:A247,A247))</f>
        <v>0</v>
      </c>
      <c r="AC247" s="8">
        <f>IF(B247="","",IF(COUNTIFS('Dietary Filters'!$C$5:$C$104,B247)&gt;0,"Check","OK"))</f>
        <v>0</v>
      </c>
      <c r="AD247" s="25"/>
    </row>
    <row r="248" spans="1:30">
      <c r="A248" s="7"/>
      <c r="B248" s="7"/>
      <c r="C248" s="26"/>
      <c r="D248" s="27"/>
      <c r="E248" s="8">
        <f>IF(B248="","",IFERROR(INDEX(Ingredients!$B$5:$B$304,MATCH(B248,Ingredients!$A$5:$A$304,0)),""))</f>
        <v>0</v>
      </c>
      <c r="F248" s="8">
        <f>IF(B248="","",IFERROR(INDEX(Ingredients!$E$5:$E$304,MATCH(B248,Ingredients!$A$5:$A$304,0)),""))</f>
        <v>0</v>
      </c>
      <c r="G248" s="8">
        <f>IF(B248="","",IFERROR(INDEX(Ingredients!$D$5:$D$304,MATCH(B248,Ingredients!$A$5:$A$304,0)),""))</f>
        <v>0</v>
      </c>
      <c r="H248" s="8">
        <f>IF(OR(B248="",C248=""),"",IFERROR(C248*G248,""))</f>
        <v>0</v>
      </c>
      <c r="I248" s="8">
        <f>IF(A248="","",IFERROR(INDEX(Recipes!$D$5:$D$204,MATCH(A248,Recipes!$A$5:$A$204,0)),""))</f>
        <v>0</v>
      </c>
      <c r="J248" s="8">
        <f>IF(OR(H248="",I248="",I248=0),"",IFERROR(H248/I248,""))</f>
        <v>0</v>
      </c>
      <c r="K248" s="8">
        <f>IF(OR(B248="",C248=""),"",IFERROR(C248*IFERROR(INDEX(Ingredients!$H$5:$H$304,MATCH(B248,Ingredients!$A$5:$A$304,0)),""),""))</f>
        <v>0</v>
      </c>
      <c r="L248" s="8">
        <f>IF(OR(B248="",C248=""),"",IFERROR(C248*IFERROR(INDEX(Ingredients!$I$5:$I$304,MATCH(B248,Ingredients!$A$5:$A$304,0)),""),""))</f>
        <v>0</v>
      </c>
      <c r="M248" s="8">
        <f>IF(OR(B248="",C248=""),"",IFERROR(C248*IFERROR(INDEX(Ingredients!$J$5:$J$304,MATCH(B248,Ingredients!$A$5:$A$304,0)),""),""))</f>
        <v>0</v>
      </c>
      <c r="N248" s="8">
        <f>IF(OR(B248="",C248=""),"",IFERROR(C248*IFERROR(INDEX(Ingredients!$K$5:$K$304,MATCH(B248,Ingredients!$A$5:$A$304,0)),""),""))</f>
        <v>0</v>
      </c>
      <c r="O248" s="8">
        <f>IF(OR(B248="",C248=""),"",IFERROR(C248*IFERROR(INDEX(Ingredients!$L$5:$L$304,MATCH(B248,Ingredients!$A$5:$A$304,0)),""),""))</f>
        <v>0</v>
      </c>
      <c r="P248" s="8">
        <f>IF(OR(H248="",A248=""),"",IFERROR(H248/SUMIFS('Recipe Ingredients'!$H$5:$H$1204,'Recipe Ingredients'!$A$5:$A$1204,A248),""))</f>
        <v>0</v>
      </c>
      <c r="Q248" s="8">
        <f>IF(H248="","",COUNTIFS($H$5:$H$1204,"&gt;"&amp;H248)+1)</f>
        <v>0</v>
      </c>
      <c r="R248" s="8">
        <f>IF(B248="","",SUMIFS(Pantry!$C$5:$C$304,Pantry!$A$5:$A$304,B248))</f>
        <v>0</v>
      </c>
      <c r="S248" s="8">
        <f>IF(OR(B248="",C248=""),"",MAX(0,C248-R248))</f>
        <v>0</v>
      </c>
      <c r="T248" s="26"/>
      <c r="U248" s="8">
        <f>IF(OR(T248="",T248=0,G248=""),"",T248*G248)</f>
        <v>0</v>
      </c>
      <c r="V248" s="8">
        <f>IF(OR(S248="",T248="",T248=0),"",CEILING(S248/T248,1))</f>
        <v>0</v>
      </c>
      <c r="W248" s="27"/>
      <c r="X248" s="29"/>
      <c r="Y248" s="8">
        <f>IF(OR(C248="",X248=""),"",C248*(1+X248))</f>
        <v>0</v>
      </c>
      <c r="Z248" s="8">
        <f>IF(B248="","",IFERROR(INDEX(Ingredients!$O$5:$O$304,MATCH(B248,Ingredients!$A$5:$A$304,0)),""))</f>
        <v>0</v>
      </c>
      <c r="AA248" s="8">
        <f>IF(B248="","",IF(R248&gt;=C248,"In pantry","To buy"))</f>
        <v>0</v>
      </c>
      <c r="AB248" s="8">
        <f>IF(A248="","",COUNTIFS($A$5:A248,A248))</f>
        <v>0</v>
      </c>
      <c r="AC248" s="8">
        <f>IF(B248="","",IF(COUNTIFS('Dietary Filters'!$C$5:$C$104,B248)&gt;0,"Check","OK"))</f>
        <v>0</v>
      </c>
      <c r="AD248" s="25"/>
    </row>
    <row r="249" spans="1:30">
      <c r="A249" s="7"/>
      <c r="B249" s="7"/>
      <c r="C249" s="26"/>
      <c r="D249" s="27"/>
      <c r="E249" s="8">
        <f>IF(B249="","",IFERROR(INDEX(Ingredients!$B$5:$B$304,MATCH(B249,Ingredients!$A$5:$A$304,0)),""))</f>
        <v>0</v>
      </c>
      <c r="F249" s="8">
        <f>IF(B249="","",IFERROR(INDEX(Ingredients!$E$5:$E$304,MATCH(B249,Ingredients!$A$5:$A$304,0)),""))</f>
        <v>0</v>
      </c>
      <c r="G249" s="8">
        <f>IF(B249="","",IFERROR(INDEX(Ingredients!$D$5:$D$304,MATCH(B249,Ingredients!$A$5:$A$304,0)),""))</f>
        <v>0</v>
      </c>
      <c r="H249" s="8">
        <f>IF(OR(B249="",C249=""),"",IFERROR(C249*G249,""))</f>
        <v>0</v>
      </c>
      <c r="I249" s="8">
        <f>IF(A249="","",IFERROR(INDEX(Recipes!$D$5:$D$204,MATCH(A249,Recipes!$A$5:$A$204,0)),""))</f>
        <v>0</v>
      </c>
      <c r="J249" s="8">
        <f>IF(OR(H249="",I249="",I249=0),"",IFERROR(H249/I249,""))</f>
        <v>0</v>
      </c>
      <c r="K249" s="8">
        <f>IF(OR(B249="",C249=""),"",IFERROR(C249*IFERROR(INDEX(Ingredients!$H$5:$H$304,MATCH(B249,Ingredients!$A$5:$A$304,0)),""),""))</f>
        <v>0</v>
      </c>
      <c r="L249" s="8">
        <f>IF(OR(B249="",C249=""),"",IFERROR(C249*IFERROR(INDEX(Ingredients!$I$5:$I$304,MATCH(B249,Ingredients!$A$5:$A$304,0)),""),""))</f>
        <v>0</v>
      </c>
      <c r="M249" s="8">
        <f>IF(OR(B249="",C249=""),"",IFERROR(C249*IFERROR(INDEX(Ingredients!$J$5:$J$304,MATCH(B249,Ingredients!$A$5:$A$304,0)),""),""))</f>
        <v>0</v>
      </c>
      <c r="N249" s="8">
        <f>IF(OR(B249="",C249=""),"",IFERROR(C249*IFERROR(INDEX(Ingredients!$K$5:$K$304,MATCH(B249,Ingredients!$A$5:$A$304,0)),""),""))</f>
        <v>0</v>
      </c>
      <c r="O249" s="8">
        <f>IF(OR(B249="",C249=""),"",IFERROR(C249*IFERROR(INDEX(Ingredients!$L$5:$L$304,MATCH(B249,Ingredients!$A$5:$A$304,0)),""),""))</f>
        <v>0</v>
      </c>
      <c r="P249" s="8">
        <f>IF(OR(H249="",A249=""),"",IFERROR(H249/SUMIFS('Recipe Ingredients'!$H$5:$H$1204,'Recipe Ingredients'!$A$5:$A$1204,A249),""))</f>
        <v>0</v>
      </c>
      <c r="Q249" s="8">
        <f>IF(H249="","",COUNTIFS($H$5:$H$1204,"&gt;"&amp;H249)+1)</f>
        <v>0</v>
      </c>
      <c r="R249" s="8">
        <f>IF(B249="","",SUMIFS(Pantry!$C$5:$C$304,Pantry!$A$5:$A$304,B249))</f>
        <v>0</v>
      </c>
      <c r="S249" s="8">
        <f>IF(OR(B249="",C249=""),"",MAX(0,C249-R249))</f>
        <v>0</v>
      </c>
      <c r="T249" s="26"/>
      <c r="U249" s="8">
        <f>IF(OR(T249="",T249=0,G249=""),"",T249*G249)</f>
        <v>0</v>
      </c>
      <c r="V249" s="8">
        <f>IF(OR(S249="",T249="",T249=0),"",CEILING(S249/T249,1))</f>
        <v>0</v>
      </c>
      <c r="W249" s="27"/>
      <c r="X249" s="29"/>
      <c r="Y249" s="8">
        <f>IF(OR(C249="",X249=""),"",C249*(1+X249))</f>
        <v>0</v>
      </c>
      <c r="Z249" s="8">
        <f>IF(B249="","",IFERROR(INDEX(Ingredients!$O$5:$O$304,MATCH(B249,Ingredients!$A$5:$A$304,0)),""))</f>
        <v>0</v>
      </c>
      <c r="AA249" s="8">
        <f>IF(B249="","",IF(R249&gt;=C249,"In pantry","To buy"))</f>
        <v>0</v>
      </c>
      <c r="AB249" s="8">
        <f>IF(A249="","",COUNTIFS($A$5:A249,A249))</f>
        <v>0</v>
      </c>
      <c r="AC249" s="8">
        <f>IF(B249="","",IF(COUNTIFS('Dietary Filters'!$C$5:$C$104,B249)&gt;0,"Check","OK"))</f>
        <v>0</v>
      </c>
      <c r="AD249" s="25"/>
    </row>
    <row r="250" spans="1:30">
      <c r="A250" s="7"/>
      <c r="B250" s="7"/>
      <c r="C250" s="26"/>
      <c r="D250" s="27"/>
      <c r="E250" s="8">
        <f>IF(B250="","",IFERROR(INDEX(Ingredients!$B$5:$B$304,MATCH(B250,Ingredients!$A$5:$A$304,0)),""))</f>
        <v>0</v>
      </c>
      <c r="F250" s="8">
        <f>IF(B250="","",IFERROR(INDEX(Ingredients!$E$5:$E$304,MATCH(B250,Ingredients!$A$5:$A$304,0)),""))</f>
        <v>0</v>
      </c>
      <c r="G250" s="8">
        <f>IF(B250="","",IFERROR(INDEX(Ingredients!$D$5:$D$304,MATCH(B250,Ingredients!$A$5:$A$304,0)),""))</f>
        <v>0</v>
      </c>
      <c r="H250" s="8">
        <f>IF(OR(B250="",C250=""),"",IFERROR(C250*G250,""))</f>
        <v>0</v>
      </c>
      <c r="I250" s="8">
        <f>IF(A250="","",IFERROR(INDEX(Recipes!$D$5:$D$204,MATCH(A250,Recipes!$A$5:$A$204,0)),""))</f>
        <v>0</v>
      </c>
      <c r="J250" s="8">
        <f>IF(OR(H250="",I250="",I250=0),"",IFERROR(H250/I250,""))</f>
        <v>0</v>
      </c>
      <c r="K250" s="8">
        <f>IF(OR(B250="",C250=""),"",IFERROR(C250*IFERROR(INDEX(Ingredients!$H$5:$H$304,MATCH(B250,Ingredients!$A$5:$A$304,0)),""),""))</f>
        <v>0</v>
      </c>
      <c r="L250" s="8">
        <f>IF(OR(B250="",C250=""),"",IFERROR(C250*IFERROR(INDEX(Ingredients!$I$5:$I$304,MATCH(B250,Ingredients!$A$5:$A$304,0)),""),""))</f>
        <v>0</v>
      </c>
      <c r="M250" s="8">
        <f>IF(OR(B250="",C250=""),"",IFERROR(C250*IFERROR(INDEX(Ingredients!$J$5:$J$304,MATCH(B250,Ingredients!$A$5:$A$304,0)),""),""))</f>
        <v>0</v>
      </c>
      <c r="N250" s="8">
        <f>IF(OR(B250="",C250=""),"",IFERROR(C250*IFERROR(INDEX(Ingredients!$K$5:$K$304,MATCH(B250,Ingredients!$A$5:$A$304,0)),""),""))</f>
        <v>0</v>
      </c>
      <c r="O250" s="8">
        <f>IF(OR(B250="",C250=""),"",IFERROR(C250*IFERROR(INDEX(Ingredients!$L$5:$L$304,MATCH(B250,Ingredients!$A$5:$A$304,0)),""),""))</f>
        <v>0</v>
      </c>
      <c r="P250" s="8">
        <f>IF(OR(H250="",A250=""),"",IFERROR(H250/SUMIFS('Recipe Ingredients'!$H$5:$H$1204,'Recipe Ingredients'!$A$5:$A$1204,A250),""))</f>
        <v>0</v>
      </c>
      <c r="Q250" s="8">
        <f>IF(H250="","",COUNTIFS($H$5:$H$1204,"&gt;"&amp;H250)+1)</f>
        <v>0</v>
      </c>
      <c r="R250" s="8">
        <f>IF(B250="","",SUMIFS(Pantry!$C$5:$C$304,Pantry!$A$5:$A$304,B250))</f>
        <v>0</v>
      </c>
      <c r="S250" s="8">
        <f>IF(OR(B250="",C250=""),"",MAX(0,C250-R250))</f>
        <v>0</v>
      </c>
      <c r="T250" s="26"/>
      <c r="U250" s="8">
        <f>IF(OR(T250="",T250=0,G250=""),"",T250*G250)</f>
        <v>0</v>
      </c>
      <c r="V250" s="8">
        <f>IF(OR(S250="",T250="",T250=0),"",CEILING(S250/T250,1))</f>
        <v>0</v>
      </c>
      <c r="W250" s="27"/>
      <c r="X250" s="29"/>
      <c r="Y250" s="8">
        <f>IF(OR(C250="",X250=""),"",C250*(1+X250))</f>
        <v>0</v>
      </c>
      <c r="Z250" s="8">
        <f>IF(B250="","",IFERROR(INDEX(Ingredients!$O$5:$O$304,MATCH(B250,Ingredients!$A$5:$A$304,0)),""))</f>
        <v>0</v>
      </c>
      <c r="AA250" s="8">
        <f>IF(B250="","",IF(R250&gt;=C250,"In pantry","To buy"))</f>
        <v>0</v>
      </c>
      <c r="AB250" s="8">
        <f>IF(A250="","",COUNTIFS($A$5:A250,A250))</f>
        <v>0</v>
      </c>
      <c r="AC250" s="8">
        <f>IF(B250="","",IF(COUNTIFS('Dietary Filters'!$C$5:$C$104,B250)&gt;0,"Check","OK"))</f>
        <v>0</v>
      </c>
      <c r="AD250" s="25"/>
    </row>
    <row r="251" spans="1:30">
      <c r="A251" s="7"/>
      <c r="B251" s="7"/>
      <c r="C251" s="26"/>
      <c r="D251" s="27"/>
      <c r="E251" s="8">
        <f>IF(B251="","",IFERROR(INDEX(Ingredients!$B$5:$B$304,MATCH(B251,Ingredients!$A$5:$A$304,0)),""))</f>
        <v>0</v>
      </c>
      <c r="F251" s="8">
        <f>IF(B251="","",IFERROR(INDEX(Ingredients!$E$5:$E$304,MATCH(B251,Ingredients!$A$5:$A$304,0)),""))</f>
        <v>0</v>
      </c>
      <c r="G251" s="8">
        <f>IF(B251="","",IFERROR(INDEX(Ingredients!$D$5:$D$304,MATCH(B251,Ingredients!$A$5:$A$304,0)),""))</f>
        <v>0</v>
      </c>
      <c r="H251" s="8">
        <f>IF(OR(B251="",C251=""),"",IFERROR(C251*G251,""))</f>
        <v>0</v>
      </c>
      <c r="I251" s="8">
        <f>IF(A251="","",IFERROR(INDEX(Recipes!$D$5:$D$204,MATCH(A251,Recipes!$A$5:$A$204,0)),""))</f>
        <v>0</v>
      </c>
      <c r="J251" s="8">
        <f>IF(OR(H251="",I251="",I251=0),"",IFERROR(H251/I251,""))</f>
        <v>0</v>
      </c>
      <c r="K251" s="8">
        <f>IF(OR(B251="",C251=""),"",IFERROR(C251*IFERROR(INDEX(Ingredients!$H$5:$H$304,MATCH(B251,Ingredients!$A$5:$A$304,0)),""),""))</f>
        <v>0</v>
      </c>
      <c r="L251" s="8">
        <f>IF(OR(B251="",C251=""),"",IFERROR(C251*IFERROR(INDEX(Ingredients!$I$5:$I$304,MATCH(B251,Ingredients!$A$5:$A$304,0)),""),""))</f>
        <v>0</v>
      </c>
      <c r="M251" s="8">
        <f>IF(OR(B251="",C251=""),"",IFERROR(C251*IFERROR(INDEX(Ingredients!$J$5:$J$304,MATCH(B251,Ingredients!$A$5:$A$304,0)),""),""))</f>
        <v>0</v>
      </c>
      <c r="N251" s="8">
        <f>IF(OR(B251="",C251=""),"",IFERROR(C251*IFERROR(INDEX(Ingredients!$K$5:$K$304,MATCH(B251,Ingredients!$A$5:$A$304,0)),""),""))</f>
        <v>0</v>
      </c>
      <c r="O251" s="8">
        <f>IF(OR(B251="",C251=""),"",IFERROR(C251*IFERROR(INDEX(Ingredients!$L$5:$L$304,MATCH(B251,Ingredients!$A$5:$A$304,0)),""),""))</f>
        <v>0</v>
      </c>
      <c r="P251" s="8">
        <f>IF(OR(H251="",A251=""),"",IFERROR(H251/SUMIFS('Recipe Ingredients'!$H$5:$H$1204,'Recipe Ingredients'!$A$5:$A$1204,A251),""))</f>
        <v>0</v>
      </c>
      <c r="Q251" s="8">
        <f>IF(H251="","",COUNTIFS($H$5:$H$1204,"&gt;"&amp;H251)+1)</f>
        <v>0</v>
      </c>
      <c r="R251" s="8">
        <f>IF(B251="","",SUMIFS(Pantry!$C$5:$C$304,Pantry!$A$5:$A$304,B251))</f>
        <v>0</v>
      </c>
      <c r="S251" s="8">
        <f>IF(OR(B251="",C251=""),"",MAX(0,C251-R251))</f>
        <v>0</v>
      </c>
      <c r="T251" s="26"/>
      <c r="U251" s="8">
        <f>IF(OR(T251="",T251=0,G251=""),"",T251*G251)</f>
        <v>0</v>
      </c>
      <c r="V251" s="8">
        <f>IF(OR(S251="",T251="",T251=0),"",CEILING(S251/T251,1))</f>
        <v>0</v>
      </c>
      <c r="W251" s="27"/>
      <c r="X251" s="29"/>
      <c r="Y251" s="8">
        <f>IF(OR(C251="",X251=""),"",C251*(1+X251))</f>
        <v>0</v>
      </c>
      <c r="Z251" s="8">
        <f>IF(B251="","",IFERROR(INDEX(Ingredients!$O$5:$O$304,MATCH(B251,Ingredients!$A$5:$A$304,0)),""))</f>
        <v>0</v>
      </c>
      <c r="AA251" s="8">
        <f>IF(B251="","",IF(R251&gt;=C251,"In pantry","To buy"))</f>
        <v>0</v>
      </c>
      <c r="AB251" s="8">
        <f>IF(A251="","",COUNTIFS($A$5:A251,A251))</f>
        <v>0</v>
      </c>
      <c r="AC251" s="8">
        <f>IF(B251="","",IF(COUNTIFS('Dietary Filters'!$C$5:$C$104,B251)&gt;0,"Check","OK"))</f>
        <v>0</v>
      </c>
      <c r="AD251" s="25"/>
    </row>
    <row r="252" spans="1:30">
      <c r="A252" s="7"/>
      <c r="B252" s="7"/>
      <c r="C252" s="26"/>
      <c r="D252" s="27"/>
      <c r="E252" s="8">
        <f>IF(B252="","",IFERROR(INDEX(Ingredients!$B$5:$B$304,MATCH(B252,Ingredients!$A$5:$A$304,0)),""))</f>
        <v>0</v>
      </c>
      <c r="F252" s="8">
        <f>IF(B252="","",IFERROR(INDEX(Ingredients!$E$5:$E$304,MATCH(B252,Ingredients!$A$5:$A$304,0)),""))</f>
        <v>0</v>
      </c>
      <c r="G252" s="8">
        <f>IF(B252="","",IFERROR(INDEX(Ingredients!$D$5:$D$304,MATCH(B252,Ingredients!$A$5:$A$304,0)),""))</f>
        <v>0</v>
      </c>
      <c r="H252" s="8">
        <f>IF(OR(B252="",C252=""),"",IFERROR(C252*G252,""))</f>
        <v>0</v>
      </c>
      <c r="I252" s="8">
        <f>IF(A252="","",IFERROR(INDEX(Recipes!$D$5:$D$204,MATCH(A252,Recipes!$A$5:$A$204,0)),""))</f>
        <v>0</v>
      </c>
      <c r="J252" s="8">
        <f>IF(OR(H252="",I252="",I252=0),"",IFERROR(H252/I252,""))</f>
        <v>0</v>
      </c>
      <c r="K252" s="8">
        <f>IF(OR(B252="",C252=""),"",IFERROR(C252*IFERROR(INDEX(Ingredients!$H$5:$H$304,MATCH(B252,Ingredients!$A$5:$A$304,0)),""),""))</f>
        <v>0</v>
      </c>
      <c r="L252" s="8">
        <f>IF(OR(B252="",C252=""),"",IFERROR(C252*IFERROR(INDEX(Ingredients!$I$5:$I$304,MATCH(B252,Ingredients!$A$5:$A$304,0)),""),""))</f>
        <v>0</v>
      </c>
      <c r="M252" s="8">
        <f>IF(OR(B252="",C252=""),"",IFERROR(C252*IFERROR(INDEX(Ingredients!$J$5:$J$304,MATCH(B252,Ingredients!$A$5:$A$304,0)),""),""))</f>
        <v>0</v>
      </c>
      <c r="N252" s="8">
        <f>IF(OR(B252="",C252=""),"",IFERROR(C252*IFERROR(INDEX(Ingredients!$K$5:$K$304,MATCH(B252,Ingredients!$A$5:$A$304,0)),""),""))</f>
        <v>0</v>
      </c>
      <c r="O252" s="8">
        <f>IF(OR(B252="",C252=""),"",IFERROR(C252*IFERROR(INDEX(Ingredients!$L$5:$L$304,MATCH(B252,Ingredients!$A$5:$A$304,0)),""),""))</f>
        <v>0</v>
      </c>
      <c r="P252" s="8">
        <f>IF(OR(H252="",A252=""),"",IFERROR(H252/SUMIFS('Recipe Ingredients'!$H$5:$H$1204,'Recipe Ingredients'!$A$5:$A$1204,A252),""))</f>
        <v>0</v>
      </c>
      <c r="Q252" s="8">
        <f>IF(H252="","",COUNTIFS($H$5:$H$1204,"&gt;"&amp;H252)+1)</f>
        <v>0</v>
      </c>
      <c r="R252" s="8">
        <f>IF(B252="","",SUMIFS(Pantry!$C$5:$C$304,Pantry!$A$5:$A$304,B252))</f>
        <v>0</v>
      </c>
      <c r="S252" s="8">
        <f>IF(OR(B252="",C252=""),"",MAX(0,C252-R252))</f>
        <v>0</v>
      </c>
      <c r="T252" s="26"/>
      <c r="U252" s="8">
        <f>IF(OR(T252="",T252=0,G252=""),"",T252*G252)</f>
        <v>0</v>
      </c>
      <c r="V252" s="8">
        <f>IF(OR(S252="",T252="",T252=0),"",CEILING(S252/T252,1))</f>
        <v>0</v>
      </c>
      <c r="W252" s="27"/>
      <c r="X252" s="29"/>
      <c r="Y252" s="8">
        <f>IF(OR(C252="",X252=""),"",C252*(1+X252))</f>
        <v>0</v>
      </c>
      <c r="Z252" s="8">
        <f>IF(B252="","",IFERROR(INDEX(Ingredients!$O$5:$O$304,MATCH(B252,Ingredients!$A$5:$A$304,0)),""))</f>
        <v>0</v>
      </c>
      <c r="AA252" s="8">
        <f>IF(B252="","",IF(R252&gt;=C252,"In pantry","To buy"))</f>
        <v>0</v>
      </c>
      <c r="AB252" s="8">
        <f>IF(A252="","",COUNTIFS($A$5:A252,A252))</f>
        <v>0</v>
      </c>
      <c r="AC252" s="8">
        <f>IF(B252="","",IF(COUNTIFS('Dietary Filters'!$C$5:$C$104,B252)&gt;0,"Check","OK"))</f>
        <v>0</v>
      </c>
      <c r="AD252" s="25"/>
    </row>
    <row r="253" spans="1:30">
      <c r="A253" s="7"/>
      <c r="B253" s="7"/>
      <c r="C253" s="26"/>
      <c r="D253" s="27"/>
      <c r="E253" s="8">
        <f>IF(B253="","",IFERROR(INDEX(Ingredients!$B$5:$B$304,MATCH(B253,Ingredients!$A$5:$A$304,0)),""))</f>
        <v>0</v>
      </c>
      <c r="F253" s="8">
        <f>IF(B253="","",IFERROR(INDEX(Ingredients!$E$5:$E$304,MATCH(B253,Ingredients!$A$5:$A$304,0)),""))</f>
        <v>0</v>
      </c>
      <c r="G253" s="8">
        <f>IF(B253="","",IFERROR(INDEX(Ingredients!$D$5:$D$304,MATCH(B253,Ingredients!$A$5:$A$304,0)),""))</f>
        <v>0</v>
      </c>
      <c r="H253" s="8">
        <f>IF(OR(B253="",C253=""),"",IFERROR(C253*G253,""))</f>
        <v>0</v>
      </c>
      <c r="I253" s="8">
        <f>IF(A253="","",IFERROR(INDEX(Recipes!$D$5:$D$204,MATCH(A253,Recipes!$A$5:$A$204,0)),""))</f>
        <v>0</v>
      </c>
      <c r="J253" s="8">
        <f>IF(OR(H253="",I253="",I253=0),"",IFERROR(H253/I253,""))</f>
        <v>0</v>
      </c>
      <c r="K253" s="8">
        <f>IF(OR(B253="",C253=""),"",IFERROR(C253*IFERROR(INDEX(Ingredients!$H$5:$H$304,MATCH(B253,Ingredients!$A$5:$A$304,0)),""),""))</f>
        <v>0</v>
      </c>
      <c r="L253" s="8">
        <f>IF(OR(B253="",C253=""),"",IFERROR(C253*IFERROR(INDEX(Ingredients!$I$5:$I$304,MATCH(B253,Ingredients!$A$5:$A$304,0)),""),""))</f>
        <v>0</v>
      </c>
      <c r="M253" s="8">
        <f>IF(OR(B253="",C253=""),"",IFERROR(C253*IFERROR(INDEX(Ingredients!$J$5:$J$304,MATCH(B253,Ingredients!$A$5:$A$304,0)),""),""))</f>
        <v>0</v>
      </c>
      <c r="N253" s="8">
        <f>IF(OR(B253="",C253=""),"",IFERROR(C253*IFERROR(INDEX(Ingredients!$K$5:$K$304,MATCH(B253,Ingredients!$A$5:$A$304,0)),""),""))</f>
        <v>0</v>
      </c>
      <c r="O253" s="8">
        <f>IF(OR(B253="",C253=""),"",IFERROR(C253*IFERROR(INDEX(Ingredients!$L$5:$L$304,MATCH(B253,Ingredients!$A$5:$A$304,0)),""),""))</f>
        <v>0</v>
      </c>
      <c r="P253" s="8">
        <f>IF(OR(H253="",A253=""),"",IFERROR(H253/SUMIFS('Recipe Ingredients'!$H$5:$H$1204,'Recipe Ingredients'!$A$5:$A$1204,A253),""))</f>
        <v>0</v>
      </c>
      <c r="Q253" s="8">
        <f>IF(H253="","",COUNTIFS($H$5:$H$1204,"&gt;"&amp;H253)+1)</f>
        <v>0</v>
      </c>
      <c r="R253" s="8">
        <f>IF(B253="","",SUMIFS(Pantry!$C$5:$C$304,Pantry!$A$5:$A$304,B253))</f>
        <v>0</v>
      </c>
      <c r="S253" s="8">
        <f>IF(OR(B253="",C253=""),"",MAX(0,C253-R253))</f>
        <v>0</v>
      </c>
      <c r="T253" s="26"/>
      <c r="U253" s="8">
        <f>IF(OR(T253="",T253=0,G253=""),"",T253*G253)</f>
        <v>0</v>
      </c>
      <c r="V253" s="8">
        <f>IF(OR(S253="",T253="",T253=0),"",CEILING(S253/T253,1))</f>
        <v>0</v>
      </c>
      <c r="W253" s="27"/>
      <c r="X253" s="29"/>
      <c r="Y253" s="8">
        <f>IF(OR(C253="",X253=""),"",C253*(1+X253))</f>
        <v>0</v>
      </c>
      <c r="Z253" s="8">
        <f>IF(B253="","",IFERROR(INDEX(Ingredients!$O$5:$O$304,MATCH(B253,Ingredients!$A$5:$A$304,0)),""))</f>
        <v>0</v>
      </c>
      <c r="AA253" s="8">
        <f>IF(B253="","",IF(R253&gt;=C253,"In pantry","To buy"))</f>
        <v>0</v>
      </c>
      <c r="AB253" s="8">
        <f>IF(A253="","",COUNTIFS($A$5:A253,A253))</f>
        <v>0</v>
      </c>
      <c r="AC253" s="8">
        <f>IF(B253="","",IF(COUNTIFS('Dietary Filters'!$C$5:$C$104,B253)&gt;0,"Check","OK"))</f>
        <v>0</v>
      </c>
      <c r="AD253" s="25"/>
    </row>
    <row r="254" spans="1:30">
      <c r="A254" s="7"/>
      <c r="B254" s="7"/>
      <c r="C254" s="26"/>
      <c r="D254" s="27"/>
      <c r="E254" s="8">
        <f>IF(B254="","",IFERROR(INDEX(Ingredients!$B$5:$B$304,MATCH(B254,Ingredients!$A$5:$A$304,0)),""))</f>
        <v>0</v>
      </c>
      <c r="F254" s="8">
        <f>IF(B254="","",IFERROR(INDEX(Ingredients!$E$5:$E$304,MATCH(B254,Ingredients!$A$5:$A$304,0)),""))</f>
        <v>0</v>
      </c>
      <c r="G254" s="8">
        <f>IF(B254="","",IFERROR(INDEX(Ingredients!$D$5:$D$304,MATCH(B254,Ingredients!$A$5:$A$304,0)),""))</f>
        <v>0</v>
      </c>
      <c r="H254" s="8">
        <f>IF(OR(B254="",C254=""),"",IFERROR(C254*G254,""))</f>
        <v>0</v>
      </c>
      <c r="I254" s="8">
        <f>IF(A254="","",IFERROR(INDEX(Recipes!$D$5:$D$204,MATCH(A254,Recipes!$A$5:$A$204,0)),""))</f>
        <v>0</v>
      </c>
      <c r="J254" s="8">
        <f>IF(OR(H254="",I254="",I254=0),"",IFERROR(H254/I254,""))</f>
        <v>0</v>
      </c>
      <c r="K254" s="8">
        <f>IF(OR(B254="",C254=""),"",IFERROR(C254*IFERROR(INDEX(Ingredients!$H$5:$H$304,MATCH(B254,Ingredients!$A$5:$A$304,0)),""),""))</f>
        <v>0</v>
      </c>
      <c r="L254" s="8">
        <f>IF(OR(B254="",C254=""),"",IFERROR(C254*IFERROR(INDEX(Ingredients!$I$5:$I$304,MATCH(B254,Ingredients!$A$5:$A$304,0)),""),""))</f>
        <v>0</v>
      </c>
      <c r="M254" s="8">
        <f>IF(OR(B254="",C254=""),"",IFERROR(C254*IFERROR(INDEX(Ingredients!$J$5:$J$304,MATCH(B254,Ingredients!$A$5:$A$304,0)),""),""))</f>
        <v>0</v>
      </c>
      <c r="N254" s="8">
        <f>IF(OR(B254="",C254=""),"",IFERROR(C254*IFERROR(INDEX(Ingredients!$K$5:$K$304,MATCH(B254,Ingredients!$A$5:$A$304,0)),""),""))</f>
        <v>0</v>
      </c>
      <c r="O254" s="8">
        <f>IF(OR(B254="",C254=""),"",IFERROR(C254*IFERROR(INDEX(Ingredients!$L$5:$L$304,MATCH(B254,Ingredients!$A$5:$A$304,0)),""),""))</f>
        <v>0</v>
      </c>
      <c r="P254" s="8">
        <f>IF(OR(H254="",A254=""),"",IFERROR(H254/SUMIFS('Recipe Ingredients'!$H$5:$H$1204,'Recipe Ingredients'!$A$5:$A$1204,A254),""))</f>
        <v>0</v>
      </c>
      <c r="Q254" s="8">
        <f>IF(H254="","",COUNTIFS($H$5:$H$1204,"&gt;"&amp;H254)+1)</f>
        <v>0</v>
      </c>
      <c r="R254" s="8">
        <f>IF(B254="","",SUMIFS(Pantry!$C$5:$C$304,Pantry!$A$5:$A$304,B254))</f>
        <v>0</v>
      </c>
      <c r="S254" s="8">
        <f>IF(OR(B254="",C254=""),"",MAX(0,C254-R254))</f>
        <v>0</v>
      </c>
      <c r="T254" s="26"/>
      <c r="U254" s="8">
        <f>IF(OR(T254="",T254=0,G254=""),"",T254*G254)</f>
        <v>0</v>
      </c>
      <c r="V254" s="8">
        <f>IF(OR(S254="",T254="",T254=0),"",CEILING(S254/T254,1))</f>
        <v>0</v>
      </c>
      <c r="W254" s="27"/>
      <c r="X254" s="29"/>
      <c r="Y254" s="8">
        <f>IF(OR(C254="",X254=""),"",C254*(1+X254))</f>
        <v>0</v>
      </c>
      <c r="Z254" s="8">
        <f>IF(B254="","",IFERROR(INDEX(Ingredients!$O$5:$O$304,MATCH(B254,Ingredients!$A$5:$A$304,0)),""))</f>
        <v>0</v>
      </c>
      <c r="AA254" s="8">
        <f>IF(B254="","",IF(R254&gt;=C254,"In pantry","To buy"))</f>
        <v>0</v>
      </c>
      <c r="AB254" s="8">
        <f>IF(A254="","",COUNTIFS($A$5:A254,A254))</f>
        <v>0</v>
      </c>
      <c r="AC254" s="8">
        <f>IF(B254="","",IF(COUNTIFS('Dietary Filters'!$C$5:$C$104,B254)&gt;0,"Check","OK"))</f>
        <v>0</v>
      </c>
      <c r="AD254" s="25"/>
    </row>
    <row r="255" spans="1:30">
      <c r="A255" s="7"/>
      <c r="B255" s="7"/>
      <c r="C255" s="26"/>
      <c r="D255" s="27"/>
      <c r="E255" s="8">
        <f>IF(B255="","",IFERROR(INDEX(Ingredients!$B$5:$B$304,MATCH(B255,Ingredients!$A$5:$A$304,0)),""))</f>
        <v>0</v>
      </c>
      <c r="F255" s="8">
        <f>IF(B255="","",IFERROR(INDEX(Ingredients!$E$5:$E$304,MATCH(B255,Ingredients!$A$5:$A$304,0)),""))</f>
        <v>0</v>
      </c>
      <c r="G255" s="8">
        <f>IF(B255="","",IFERROR(INDEX(Ingredients!$D$5:$D$304,MATCH(B255,Ingredients!$A$5:$A$304,0)),""))</f>
        <v>0</v>
      </c>
      <c r="H255" s="8">
        <f>IF(OR(B255="",C255=""),"",IFERROR(C255*G255,""))</f>
        <v>0</v>
      </c>
      <c r="I255" s="8">
        <f>IF(A255="","",IFERROR(INDEX(Recipes!$D$5:$D$204,MATCH(A255,Recipes!$A$5:$A$204,0)),""))</f>
        <v>0</v>
      </c>
      <c r="J255" s="8">
        <f>IF(OR(H255="",I255="",I255=0),"",IFERROR(H255/I255,""))</f>
        <v>0</v>
      </c>
      <c r="K255" s="8">
        <f>IF(OR(B255="",C255=""),"",IFERROR(C255*IFERROR(INDEX(Ingredients!$H$5:$H$304,MATCH(B255,Ingredients!$A$5:$A$304,0)),""),""))</f>
        <v>0</v>
      </c>
      <c r="L255" s="8">
        <f>IF(OR(B255="",C255=""),"",IFERROR(C255*IFERROR(INDEX(Ingredients!$I$5:$I$304,MATCH(B255,Ingredients!$A$5:$A$304,0)),""),""))</f>
        <v>0</v>
      </c>
      <c r="M255" s="8">
        <f>IF(OR(B255="",C255=""),"",IFERROR(C255*IFERROR(INDEX(Ingredients!$J$5:$J$304,MATCH(B255,Ingredients!$A$5:$A$304,0)),""),""))</f>
        <v>0</v>
      </c>
      <c r="N255" s="8">
        <f>IF(OR(B255="",C255=""),"",IFERROR(C255*IFERROR(INDEX(Ingredients!$K$5:$K$304,MATCH(B255,Ingredients!$A$5:$A$304,0)),""),""))</f>
        <v>0</v>
      </c>
      <c r="O255" s="8">
        <f>IF(OR(B255="",C255=""),"",IFERROR(C255*IFERROR(INDEX(Ingredients!$L$5:$L$304,MATCH(B255,Ingredients!$A$5:$A$304,0)),""),""))</f>
        <v>0</v>
      </c>
      <c r="P255" s="8">
        <f>IF(OR(H255="",A255=""),"",IFERROR(H255/SUMIFS('Recipe Ingredients'!$H$5:$H$1204,'Recipe Ingredients'!$A$5:$A$1204,A255),""))</f>
        <v>0</v>
      </c>
      <c r="Q255" s="8">
        <f>IF(H255="","",COUNTIFS($H$5:$H$1204,"&gt;"&amp;H255)+1)</f>
        <v>0</v>
      </c>
      <c r="R255" s="8">
        <f>IF(B255="","",SUMIFS(Pantry!$C$5:$C$304,Pantry!$A$5:$A$304,B255))</f>
        <v>0</v>
      </c>
      <c r="S255" s="8">
        <f>IF(OR(B255="",C255=""),"",MAX(0,C255-R255))</f>
        <v>0</v>
      </c>
      <c r="T255" s="26"/>
      <c r="U255" s="8">
        <f>IF(OR(T255="",T255=0,G255=""),"",T255*G255)</f>
        <v>0</v>
      </c>
      <c r="V255" s="8">
        <f>IF(OR(S255="",T255="",T255=0),"",CEILING(S255/T255,1))</f>
        <v>0</v>
      </c>
      <c r="W255" s="27"/>
      <c r="X255" s="29"/>
      <c r="Y255" s="8">
        <f>IF(OR(C255="",X255=""),"",C255*(1+X255))</f>
        <v>0</v>
      </c>
      <c r="Z255" s="8">
        <f>IF(B255="","",IFERROR(INDEX(Ingredients!$O$5:$O$304,MATCH(B255,Ingredients!$A$5:$A$304,0)),""))</f>
        <v>0</v>
      </c>
      <c r="AA255" s="8">
        <f>IF(B255="","",IF(R255&gt;=C255,"In pantry","To buy"))</f>
        <v>0</v>
      </c>
      <c r="AB255" s="8">
        <f>IF(A255="","",COUNTIFS($A$5:A255,A255))</f>
        <v>0</v>
      </c>
      <c r="AC255" s="8">
        <f>IF(B255="","",IF(COUNTIFS('Dietary Filters'!$C$5:$C$104,B255)&gt;0,"Check","OK"))</f>
        <v>0</v>
      </c>
      <c r="AD255" s="25"/>
    </row>
    <row r="256" spans="1:30">
      <c r="A256" s="7"/>
      <c r="B256" s="7"/>
      <c r="C256" s="26"/>
      <c r="D256" s="27"/>
      <c r="E256" s="8">
        <f>IF(B256="","",IFERROR(INDEX(Ingredients!$B$5:$B$304,MATCH(B256,Ingredients!$A$5:$A$304,0)),""))</f>
        <v>0</v>
      </c>
      <c r="F256" s="8">
        <f>IF(B256="","",IFERROR(INDEX(Ingredients!$E$5:$E$304,MATCH(B256,Ingredients!$A$5:$A$304,0)),""))</f>
        <v>0</v>
      </c>
      <c r="G256" s="8">
        <f>IF(B256="","",IFERROR(INDEX(Ingredients!$D$5:$D$304,MATCH(B256,Ingredients!$A$5:$A$304,0)),""))</f>
        <v>0</v>
      </c>
      <c r="H256" s="8">
        <f>IF(OR(B256="",C256=""),"",IFERROR(C256*G256,""))</f>
        <v>0</v>
      </c>
      <c r="I256" s="8">
        <f>IF(A256="","",IFERROR(INDEX(Recipes!$D$5:$D$204,MATCH(A256,Recipes!$A$5:$A$204,0)),""))</f>
        <v>0</v>
      </c>
      <c r="J256" s="8">
        <f>IF(OR(H256="",I256="",I256=0),"",IFERROR(H256/I256,""))</f>
        <v>0</v>
      </c>
      <c r="K256" s="8">
        <f>IF(OR(B256="",C256=""),"",IFERROR(C256*IFERROR(INDEX(Ingredients!$H$5:$H$304,MATCH(B256,Ingredients!$A$5:$A$304,0)),""),""))</f>
        <v>0</v>
      </c>
      <c r="L256" s="8">
        <f>IF(OR(B256="",C256=""),"",IFERROR(C256*IFERROR(INDEX(Ingredients!$I$5:$I$304,MATCH(B256,Ingredients!$A$5:$A$304,0)),""),""))</f>
        <v>0</v>
      </c>
      <c r="M256" s="8">
        <f>IF(OR(B256="",C256=""),"",IFERROR(C256*IFERROR(INDEX(Ingredients!$J$5:$J$304,MATCH(B256,Ingredients!$A$5:$A$304,0)),""),""))</f>
        <v>0</v>
      </c>
      <c r="N256" s="8">
        <f>IF(OR(B256="",C256=""),"",IFERROR(C256*IFERROR(INDEX(Ingredients!$K$5:$K$304,MATCH(B256,Ingredients!$A$5:$A$304,0)),""),""))</f>
        <v>0</v>
      </c>
      <c r="O256" s="8">
        <f>IF(OR(B256="",C256=""),"",IFERROR(C256*IFERROR(INDEX(Ingredients!$L$5:$L$304,MATCH(B256,Ingredients!$A$5:$A$304,0)),""),""))</f>
        <v>0</v>
      </c>
      <c r="P256" s="8">
        <f>IF(OR(H256="",A256=""),"",IFERROR(H256/SUMIFS('Recipe Ingredients'!$H$5:$H$1204,'Recipe Ingredients'!$A$5:$A$1204,A256),""))</f>
        <v>0</v>
      </c>
      <c r="Q256" s="8">
        <f>IF(H256="","",COUNTIFS($H$5:$H$1204,"&gt;"&amp;H256)+1)</f>
        <v>0</v>
      </c>
      <c r="R256" s="8">
        <f>IF(B256="","",SUMIFS(Pantry!$C$5:$C$304,Pantry!$A$5:$A$304,B256))</f>
        <v>0</v>
      </c>
      <c r="S256" s="8">
        <f>IF(OR(B256="",C256=""),"",MAX(0,C256-R256))</f>
        <v>0</v>
      </c>
      <c r="T256" s="26"/>
      <c r="U256" s="8">
        <f>IF(OR(T256="",T256=0,G256=""),"",T256*G256)</f>
        <v>0</v>
      </c>
      <c r="V256" s="8">
        <f>IF(OR(S256="",T256="",T256=0),"",CEILING(S256/T256,1))</f>
        <v>0</v>
      </c>
      <c r="W256" s="27"/>
      <c r="X256" s="29"/>
      <c r="Y256" s="8">
        <f>IF(OR(C256="",X256=""),"",C256*(1+X256))</f>
        <v>0</v>
      </c>
      <c r="Z256" s="8">
        <f>IF(B256="","",IFERROR(INDEX(Ingredients!$O$5:$O$304,MATCH(B256,Ingredients!$A$5:$A$304,0)),""))</f>
        <v>0</v>
      </c>
      <c r="AA256" s="8">
        <f>IF(B256="","",IF(R256&gt;=C256,"In pantry","To buy"))</f>
        <v>0</v>
      </c>
      <c r="AB256" s="8">
        <f>IF(A256="","",COUNTIFS($A$5:A256,A256))</f>
        <v>0</v>
      </c>
      <c r="AC256" s="8">
        <f>IF(B256="","",IF(COUNTIFS('Dietary Filters'!$C$5:$C$104,B256)&gt;0,"Check","OK"))</f>
        <v>0</v>
      </c>
      <c r="AD256" s="25"/>
    </row>
    <row r="257" spans="1:30">
      <c r="A257" s="7"/>
      <c r="B257" s="7"/>
      <c r="C257" s="26"/>
      <c r="D257" s="27"/>
      <c r="E257" s="8">
        <f>IF(B257="","",IFERROR(INDEX(Ingredients!$B$5:$B$304,MATCH(B257,Ingredients!$A$5:$A$304,0)),""))</f>
        <v>0</v>
      </c>
      <c r="F257" s="8">
        <f>IF(B257="","",IFERROR(INDEX(Ingredients!$E$5:$E$304,MATCH(B257,Ingredients!$A$5:$A$304,0)),""))</f>
        <v>0</v>
      </c>
      <c r="G257" s="8">
        <f>IF(B257="","",IFERROR(INDEX(Ingredients!$D$5:$D$304,MATCH(B257,Ingredients!$A$5:$A$304,0)),""))</f>
        <v>0</v>
      </c>
      <c r="H257" s="8">
        <f>IF(OR(B257="",C257=""),"",IFERROR(C257*G257,""))</f>
        <v>0</v>
      </c>
      <c r="I257" s="8">
        <f>IF(A257="","",IFERROR(INDEX(Recipes!$D$5:$D$204,MATCH(A257,Recipes!$A$5:$A$204,0)),""))</f>
        <v>0</v>
      </c>
      <c r="J257" s="8">
        <f>IF(OR(H257="",I257="",I257=0),"",IFERROR(H257/I257,""))</f>
        <v>0</v>
      </c>
      <c r="K257" s="8">
        <f>IF(OR(B257="",C257=""),"",IFERROR(C257*IFERROR(INDEX(Ingredients!$H$5:$H$304,MATCH(B257,Ingredients!$A$5:$A$304,0)),""),""))</f>
        <v>0</v>
      </c>
      <c r="L257" s="8">
        <f>IF(OR(B257="",C257=""),"",IFERROR(C257*IFERROR(INDEX(Ingredients!$I$5:$I$304,MATCH(B257,Ingredients!$A$5:$A$304,0)),""),""))</f>
        <v>0</v>
      </c>
      <c r="M257" s="8">
        <f>IF(OR(B257="",C257=""),"",IFERROR(C257*IFERROR(INDEX(Ingredients!$J$5:$J$304,MATCH(B257,Ingredients!$A$5:$A$304,0)),""),""))</f>
        <v>0</v>
      </c>
      <c r="N257" s="8">
        <f>IF(OR(B257="",C257=""),"",IFERROR(C257*IFERROR(INDEX(Ingredients!$K$5:$K$304,MATCH(B257,Ingredients!$A$5:$A$304,0)),""),""))</f>
        <v>0</v>
      </c>
      <c r="O257" s="8">
        <f>IF(OR(B257="",C257=""),"",IFERROR(C257*IFERROR(INDEX(Ingredients!$L$5:$L$304,MATCH(B257,Ingredients!$A$5:$A$304,0)),""),""))</f>
        <v>0</v>
      </c>
      <c r="P257" s="8">
        <f>IF(OR(H257="",A257=""),"",IFERROR(H257/SUMIFS('Recipe Ingredients'!$H$5:$H$1204,'Recipe Ingredients'!$A$5:$A$1204,A257),""))</f>
        <v>0</v>
      </c>
      <c r="Q257" s="8">
        <f>IF(H257="","",COUNTIFS($H$5:$H$1204,"&gt;"&amp;H257)+1)</f>
        <v>0</v>
      </c>
      <c r="R257" s="8">
        <f>IF(B257="","",SUMIFS(Pantry!$C$5:$C$304,Pantry!$A$5:$A$304,B257))</f>
        <v>0</v>
      </c>
      <c r="S257" s="8">
        <f>IF(OR(B257="",C257=""),"",MAX(0,C257-R257))</f>
        <v>0</v>
      </c>
      <c r="T257" s="26"/>
      <c r="U257" s="8">
        <f>IF(OR(T257="",T257=0,G257=""),"",T257*G257)</f>
        <v>0</v>
      </c>
      <c r="V257" s="8">
        <f>IF(OR(S257="",T257="",T257=0),"",CEILING(S257/T257,1))</f>
        <v>0</v>
      </c>
      <c r="W257" s="27"/>
      <c r="X257" s="29"/>
      <c r="Y257" s="8">
        <f>IF(OR(C257="",X257=""),"",C257*(1+X257))</f>
        <v>0</v>
      </c>
      <c r="Z257" s="8">
        <f>IF(B257="","",IFERROR(INDEX(Ingredients!$O$5:$O$304,MATCH(B257,Ingredients!$A$5:$A$304,0)),""))</f>
        <v>0</v>
      </c>
      <c r="AA257" s="8">
        <f>IF(B257="","",IF(R257&gt;=C257,"In pantry","To buy"))</f>
        <v>0</v>
      </c>
      <c r="AB257" s="8">
        <f>IF(A257="","",COUNTIFS($A$5:A257,A257))</f>
        <v>0</v>
      </c>
      <c r="AC257" s="8">
        <f>IF(B257="","",IF(COUNTIFS('Dietary Filters'!$C$5:$C$104,B257)&gt;0,"Check","OK"))</f>
        <v>0</v>
      </c>
      <c r="AD257" s="25"/>
    </row>
    <row r="258" spans="1:30">
      <c r="A258" s="7"/>
      <c r="B258" s="7"/>
      <c r="C258" s="26"/>
      <c r="D258" s="27"/>
      <c r="E258" s="8">
        <f>IF(B258="","",IFERROR(INDEX(Ingredients!$B$5:$B$304,MATCH(B258,Ingredients!$A$5:$A$304,0)),""))</f>
        <v>0</v>
      </c>
      <c r="F258" s="8">
        <f>IF(B258="","",IFERROR(INDEX(Ingredients!$E$5:$E$304,MATCH(B258,Ingredients!$A$5:$A$304,0)),""))</f>
        <v>0</v>
      </c>
      <c r="G258" s="8">
        <f>IF(B258="","",IFERROR(INDEX(Ingredients!$D$5:$D$304,MATCH(B258,Ingredients!$A$5:$A$304,0)),""))</f>
        <v>0</v>
      </c>
      <c r="H258" s="8">
        <f>IF(OR(B258="",C258=""),"",IFERROR(C258*G258,""))</f>
        <v>0</v>
      </c>
      <c r="I258" s="8">
        <f>IF(A258="","",IFERROR(INDEX(Recipes!$D$5:$D$204,MATCH(A258,Recipes!$A$5:$A$204,0)),""))</f>
        <v>0</v>
      </c>
      <c r="J258" s="8">
        <f>IF(OR(H258="",I258="",I258=0),"",IFERROR(H258/I258,""))</f>
        <v>0</v>
      </c>
      <c r="K258" s="8">
        <f>IF(OR(B258="",C258=""),"",IFERROR(C258*IFERROR(INDEX(Ingredients!$H$5:$H$304,MATCH(B258,Ingredients!$A$5:$A$304,0)),""),""))</f>
        <v>0</v>
      </c>
      <c r="L258" s="8">
        <f>IF(OR(B258="",C258=""),"",IFERROR(C258*IFERROR(INDEX(Ingredients!$I$5:$I$304,MATCH(B258,Ingredients!$A$5:$A$304,0)),""),""))</f>
        <v>0</v>
      </c>
      <c r="M258" s="8">
        <f>IF(OR(B258="",C258=""),"",IFERROR(C258*IFERROR(INDEX(Ingredients!$J$5:$J$304,MATCH(B258,Ingredients!$A$5:$A$304,0)),""),""))</f>
        <v>0</v>
      </c>
      <c r="N258" s="8">
        <f>IF(OR(B258="",C258=""),"",IFERROR(C258*IFERROR(INDEX(Ingredients!$K$5:$K$304,MATCH(B258,Ingredients!$A$5:$A$304,0)),""),""))</f>
        <v>0</v>
      </c>
      <c r="O258" s="8">
        <f>IF(OR(B258="",C258=""),"",IFERROR(C258*IFERROR(INDEX(Ingredients!$L$5:$L$304,MATCH(B258,Ingredients!$A$5:$A$304,0)),""),""))</f>
        <v>0</v>
      </c>
      <c r="P258" s="8">
        <f>IF(OR(H258="",A258=""),"",IFERROR(H258/SUMIFS('Recipe Ingredients'!$H$5:$H$1204,'Recipe Ingredients'!$A$5:$A$1204,A258),""))</f>
        <v>0</v>
      </c>
      <c r="Q258" s="8">
        <f>IF(H258="","",COUNTIFS($H$5:$H$1204,"&gt;"&amp;H258)+1)</f>
        <v>0</v>
      </c>
      <c r="R258" s="8">
        <f>IF(B258="","",SUMIFS(Pantry!$C$5:$C$304,Pantry!$A$5:$A$304,B258))</f>
        <v>0</v>
      </c>
      <c r="S258" s="8">
        <f>IF(OR(B258="",C258=""),"",MAX(0,C258-R258))</f>
        <v>0</v>
      </c>
      <c r="T258" s="26"/>
      <c r="U258" s="8">
        <f>IF(OR(T258="",T258=0,G258=""),"",T258*G258)</f>
        <v>0</v>
      </c>
      <c r="V258" s="8">
        <f>IF(OR(S258="",T258="",T258=0),"",CEILING(S258/T258,1))</f>
        <v>0</v>
      </c>
      <c r="W258" s="27"/>
      <c r="X258" s="29"/>
      <c r="Y258" s="8">
        <f>IF(OR(C258="",X258=""),"",C258*(1+X258))</f>
        <v>0</v>
      </c>
      <c r="Z258" s="8">
        <f>IF(B258="","",IFERROR(INDEX(Ingredients!$O$5:$O$304,MATCH(B258,Ingredients!$A$5:$A$304,0)),""))</f>
        <v>0</v>
      </c>
      <c r="AA258" s="8">
        <f>IF(B258="","",IF(R258&gt;=C258,"In pantry","To buy"))</f>
        <v>0</v>
      </c>
      <c r="AB258" s="8">
        <f>IF(A258="","",COUNTIFS($A$5:A258,A258))</f>
        <v>0</v>
      </c>
      <c r="AC258" s="8">
        <f>IF(B258="","",IF(COUNTIFS('Dietary Filters'!$C$5:$C$104,B258)&gt;0,"Check","OK"))</f>
        <v>0</v>
      </c>
      <c r="AD258" s="25"/>
    </row>
    <row r="259" spans="1:30">
      <c r="A259" s="7"/>
      <c r="B259" s="7"/>
      <c r="C259" s="26"/>
      <c r="D259" s="27"/>
      <c r="E259" s="8">
        <f>IF(B259="","",IFERROR(INDEX(Ingredients!$B$5:$B$304,MATCH(B259,Ingredients!$A$5:$A$304,0)),""))</f>
        <v>0</v>
      </c>
      <c r="F259" s="8">
        <f>IF(B259="","",IFERROR(INDEX(Ingredients!$E$5:$E$304,MATCH(B259,Ingredients!$A$5:$A$304,0)),""))</f>
        <v>0</v>
      </c>
      <c r="G259" s="8">
        <f>IF(B259="","",IFERROR(INDEX(Ingredients!$D$5:$D$304,MATCH(B259,Ingredients!$A$5:$A$304,0)),""))</f>
        <v>0</v>
      </c>
      <c r="H259" s="8">
        <f>IF(OR(B259="",C259=""),"",IFERROR(C259*G259,""))</f>
        <v>0</v>
      </c>
      <c r="I259" s="8">
        <f>IF(A259="","",IFERROR(INDEX(Recipes!$D$5:$D$204,MATCH(A259,Recipes!$A$5:$A$204,0)),""))</f>
        <v>0</v>
      </c>
      <c r="J259" s="8">
        <f>IF(OR(H259="",I259="",I259=0),"",IFERROR(H259/I259,""))</f>
        <v>0</v>
      </c>
      <c r="K259" s="8">
        <f>IF(OR(B259="",C259=""),"",IFERROR(C259*IFERROR(INDEX(Ingredients!$H$5:$H$304,MATCH(B259,Ingredients!$A$5:$A$304,0)),""),""))</f>
        <v>0</v>
      </c>
      <c r="L259" s="8">
        <f>IF(OR(B259="",C259=""),"",IFERROR(C259*IFERROR(INDEX(Ingredients!$I$5:$I$304,MATCH(B259,Ingredients!$A$5:$A$304,0)),""),""))</f>
        <v>0</v>
      </c>
      <c r="M259" s="8">
        <f>IF(OR(B259="",C259=""),"",IFERROR(C259*IFERROR(INDEX(Ingredients!$J$5:$J$304,MATCH(B259,Ingredients!$A$5:$A$304,0)),""),""))</f>
        <v>0</v>
      </c>
      <c r="N259" s="8">
        <f>IF(OR(B259="",C259=""),"",IFERROR(C259*IFERROR(INDEX(Ingredients!$K$5:$K$304,MATCH(B259,Ingredients!$A$5:$A$304,0)),""),""))</f>
        <v>0</v>
      </c>
      <c r="O259" s="8">
        <f>IF(OR(B259="",C259=""),"",IFERROR(C259*IFERROR(INDEX(Ingredients!$L$5:$L$304,MATCH(B259,Ingredients!$A$5:$A$304,0)),""),""))</f>
        <v>0</v>
      </c>
      <c r="P259" s="8">
        <f>IF(OR(H259="",A259=""),"",IFERROR(H259/SUMIFS('Recipe Ingredients'!$H$5:$H$1204,'Recipe Ingredients'!$A$5:$A$1204,A259),""))</f>
        <v>0</v>
      </c>
      <c r="Q259" s="8">
        <f>IF(H259="","",COUNTIFS($H$5:$H$1204,"&gt;"&amp;H259)+1)</f>
        <v>0</v>
      </c>
      <c r="R259" s="8">
        <f>IF(B259="","",SUMIFS(Pantry!$C$5:$C$304,Pantry!$A$5:$A$304,B259))</f>
        <v>0</v>
      </c>
      <c r="S259" s="8">
        <f>IF(OR(B259="",C259=""),"",MAX(0,C259-R259))</f>
        <v>0</v>
      </c>
      <c r="T259" s="26"/>
      <c r="U259" s="8">
        <f>IF(OR(T259="",T259=0,G259=""),"",T259*G259)</f>
        <v>0</v>
      </c>
      <c r="V259" s="8">
        <f>IF(OR(S259="",T259="",T259=0),"",CEILING(S259/T259,1))</f>
        <v>0</v>
      </c>
      <c r="W259" s="27"/>
      <c r="X259" s="29"/>
      <c r="Y259" s="8">
        <f>IF(OR(C259="",X259=""),"",C259*(1+X259))</f>
        <v>0</v>
      </c>
      <c r="Z259" s="8">
        <f>IF(B259="","",IFERROR(INDEX(Ingredients!$O$5:$O$304,MATCH(B259,Ingredients!$A$5:$A$304,0)),""))</f>
        <v>0</v>
      </c>
      <c r="AA259" s="8">
        <f>IF(B259="","",IF(R259&gt;=C259,"In pantry","To buy"))</f>
        <v>0</v>
      </c>
      <c r="AB259" s="8">
        <f>IF(A259="","",COUNTIFS($A$5:A259,A259))</f>
        <v>0</v>
      </c>
      <c r="AC259" s="8">
        <f>IF(B259="","",IF(COUNTIFS('Dietary Filters'!$C$5:$C$104,B259)&gt;0,"Check","OK"))</f>
        <v>0</v>
      </c>
      <c r="AD259" s="25"/>
    </row>
    <row r="260" spans="1:30">
      <c r="A260" s="7"/>
      <c r="B260" s="7"/>
      <c r="C260" s="26"/>
      <c r="D260" s="27"/>
      <c r="E260" s="8">
        <f>IF(B260="","",IFERROR(INDEX(Ingredients!$B$5:$B$304,MATCH(B260,Ingredients!$A$5:$A$304,0)),""))</f>
        <v>0</v>
      </c>
      <c r="F260" s="8">
        <f>IF(B260="","",IFERROR(INDEX(Ingredients!$E$5:$E$304,MATCH(B260,Ingredients!$A$5:$A$304,0)),""))</f>
        <v>0</v>
      </c>
      <c r="G260" s="8">
        <f>IF(B260="","",IFERROR(INDEX(Ingredients!$D$5:$D$304,MATCH(B260,Ingredients!$A$5:$A$304,0)),""))</f>
        <v>0</v>
      </c>
      <c r="H260" s="8">
        <f>IF(OR(B260="",C260=""),"",IFERROR(C260*G260,""))</f>
        <v>0</v>
      </c>
      <c r="I260" s="8">
        <f>IF(A260="","",IFERROR(INDEX(Recipes!$D$5:$D$204,MATCH(A260,Recipes!$A$5:$A$204,0)),""))</f>
        <v>0</v>
      </c>
      <c r="J260" s="8">
        <f>IF(OR(H260="",I260="",I260=0),"",IFERROR(H260/I260,""))</f>
        <v>0</v>
      </c>
      <c r="K260" s="8">
        <f>IF(OR(B260="",C260=""),"",IFERROR(C260*IFERROR(INDEX(Ingredients!$H$5:$H$304,MATCH(B260,Ingredients!$A$5:$A$304,0)),""),""))</f>
        <v>0</v>
      </c>
      <c r="L260" s="8">
        <f>IF(OR(B260="",C260=""),"",IFERROR(C260*IFERROR(INDEX(Ingredients!$I$5:$I$304,MATCH(B260,Ingredients!$A$5:$A$304,0)),""),""))</f>
        <v>0</v>
      </c>
      <c r="M260" s="8">
        <f>IF(OR(B260="",C260=""),"",IFERROR(C260*IFERROR(INDEX(Ingredients!$J$5:$J$304,MATCH(B260,Ingredients!$A$5:$A$304,0)),""),""))</f>
        <v>0</v>
      </c>
      <c r="N260" s="8">
        <f>IF(OR(B260="",C260=""),"",IFERROR(C260*IFERROR(INDEX(Ingredients!$K$5:$K$304,MATCH(B260,Ingredients!$A$5:$A$304,0)),""),""))</f>
        <v>0</v>
      </c>
      <c r="O260" s="8">
        <f>IF(OR(B260="",C260=""),"",IFERROR(C260*IFERROR(INDEX(Ingredients!$L$5:$L$304,MATCH(B260,Ingredients!$A$5:$A$304,0)),""),""))</f>
        <v>0</v>
      </c>
      <c r="P260" s="8">
        <f>IF(OR(H260="",A260=""),"",IFERROR(H260/SUMIFS('Recipe Ingredients'!$H$5:$H$1204,'Recipe Ingredients'!$A$5:$A$1204,A260),""))</f>
        <v>0</v>
      </c>
      <c r="Q260" s="8">
        <f>IF(H260="","",COUNTIFS($H$5:$H$1204,"&gt;"&amp;H260)+1)</f>
        <v>0</v>
      </c>
      <c r="R260" s="8">
        <f>IF(B260="","",SUMIFS(Pantry!$C$5:$C$304,Pantry!$A$5:$A$304,B260))</f>
        <v>0</v>
      </c>
      <c r="S260" s="8">
        <f>IF(OR(B260="",C260=""),"",MAX(0,C260-R260))</f>
        <v>0</v>
      </c>
      <c r="T260" s="26"/>
      <c r="U260" s="8">
        <f>IF(OR(T260="",T260=0,G260=""),"",T260*G260)</f>
        <v>0</v>
      </c>
      <c r="V260" s="8">
        <f>IF(OR(S260="",T260="",T260=0),"",CEILING(S260/T260,1))</f>
        <v>0</v>
      </c>
      <c r="W260" s="27"/>
      <c r="X260" s="29"/>
      <c r="Y260" s="8">
        <f>IF(OR(C260="",X260=""),"",C260*(1+X260))</f>
        <v>0</v>
      </c>
      <c r="Z260" s="8">
        <f>IF(B260="","",IFERROR(INDEX(Ingredients!$O$5:$O$304,MATCH(B260,Ingredients!$A$5:$A$304,0)),""))</f>
        <v>0</v>
      </c>
      <c r="AA260" s="8">
        <f>IF(B260="","",IF(R260&gt;=C260,"In pantry","To buy"))</f>
        <v>0</v>
      </c>
      <c r="AB260" s="8">
        <f>IF(A260="","",COUNTIFS($A$5:A260,A260))</f>
        <v>0</v>
      </c>
      <c r="AC260" s="8">
        <f>IF(B260="","",IF(COUNTIFS('Dietary Filters'!$C$5:$C$104,B260)&gt;0,"Check","OK"))</f>
        <v>0</v>
      </c>
      <c r="AD260" s="25"/>
    </row>
    <row r="261" spans="1:30">
      <c r="A261" s="7"/>
      <c r="B261" s="7"/>
      <c r="C261" s="26"/>
      <c r="D261" s="27"/>
      <c r="E261" s="8">
        <f>IF(B261="","",IFERROR(INDEX(Ingredients!$B$5:$B$304,MATCH(B261,Ingredients!$A$5:$A$304,0)),""))</f>
        <v>0</v>
      </c>
      <c r="F261" s="8">
        <f>IF(B261="","",IFERROR(INDEX(Ingredients!$E$5:$E$304,MATCH(B261,Ingredients!$A$5:$A$304,0)),""))</f>
        <v>0</v>
      </c>
      <c r="G261" s="8">
        <f>IF(B261="","",IFERROR(INDEX(Ingredients!$D$5:$D$304,MATCH(B261,Ingredients!$A$5:$A$304,0)),""))</f>
        <v>0</v>
      </c>
      <c r="H261" s="8">
        <f>IF(OR(B261="",C261=""),"",IFERROR(C261*G261,""))</f>
        <v>0</v>
      </c>
      <c r="I261" s="8">
        <f>IF(A261="","",IFERROR(INDEX(Recipes!$D$5:$D$204,MATCH(A261,Recipes!$A$5:$A$204,0)),""))</f>
        <v>0</v>
      </c>
      <c r="J261" s="8">
        <f>IF(OR(H261="",I261="",I261=0),"",IFERROR(H261/I261,""))</f>
        <v>0</v>
      </c>
      <c r="K261" s="8">
        <f>IF(OR(B261="",C261=""),"",IFERROR(C261*IFERROR(INDEX(Ingredients!$H$5:$H$304,MATCH(B261,Ingredients!$A$5:$A$304,0)),""),""))</f>
        <v>0</v>
      </c>
      <c r="L261" s="8">
        <f>IF(OR(B261="",C261=""),"",IFERROR(C261*IFERROR(INDEX(Ingredients!$I$5:$I$304,MATCH(B261,Ingredients!$A$5:$A$304,0)),""),""))</f>
        <v>0</v>
      </c>
      <c r="M261" s="8">
        <f>IF(OR(B261="",C261=""),"",IFERROR(C261*IFERROR(INDEX(Ingredients!$J$5:$J$304,MATCH(B261,Ingredients!$A$5:$A$304,0)),""),""))</f>
        <v>0</v>
      </c>
      <c r="N261" s="8">
        <f>IF(OR(B261="",C261=""),"",IFERROR(C261*IFERROR(INDEX(Ingredients!$K$5:$K$304,MATCH(B261,Ingredients!$A$5:$A$304,0)),""),""))</f>
        <v>0</v>
      </c>
      <c r="O261" s="8">
        <f>IF(OR(B261="",C261=""),"",IFERROR(C261*IFERROR(INDEX(Ingredients!$L$5:$L$304,MATCH(B261,Ingredients!$A$5:$A$304,0)),""),""))</f>
        <v>0</v>
      </c>
      <c r="P261" s="8">
        <f>IF(OR(H261="",A261=""),"",IFERROR(H261/SUMIFS('Recipe Ingredients'!$H$5:$H$1204,'Recipe Ingredients'!$A$5:$A$1204,A261),""))</f>
        <v>0</v>
      </c>
      <c r="Q261" s="8">
        <f>IF(H261="","",COUNTIFS($H$5:$H$1204,"&gt;"&amp;H261)+1)</f>
        <v>0</v>
      </c>
      <c r="R261" s="8">
        <f>IF(B261="","",SUMIFS(Pantry!$C$5:$C$304,Pantry!$A$5:$A$304,B261))</f>
        <v>0</v>
      </c>
      <c r="S261" s="8">
        <f>IF(OR(B261="",C261=""),"",MAX(0,C261-R261))</f>
        <v>0</v>
      </c>
      <c r="T261" s="26"/>
      <c r="U261" s="8">
        <f>IF(OR(T261="",T261=0,G261=""),"",T261*G261)</f>
        <v>0</v>
      </c>
      <c r="V261" s="8">
        <f>IF(OR(S261="",T261="",T261=0),"",CEILING(S261/T261,1))</f>
        <v>0</v>
      </c>
      <c r="W261" s="27"/>
      <c r="X261" s="29"/>
      <c r="Y261" s="8">
        <f>IF(OR(C261="",X261=""),"",C261*(1+X261))</f>
        <v>0</v>
      </c>
      <c r="Z261" s="8">
        <f>IF(B261="","",IFERROR(INDEX(Ingredients!$O$5:$O$304,MATCH(B261,Ingredients!$A$5:$A$304,0)),""))</f>
        <v>0</v>
      </c>
      <c r="AA261" s="8">
        <f>IF(B261="","",IF(R261&gt;=C261,"In pantry","To buy"))</f>
        <v>0</v>
      </c>
      <c r="AB261" s="8">
        <f>IF(A261="","",COUNTIFS($A$5:A261,A261))</f>
        <v>0</v>
      </c>
      <c r="AC261" s="8">
        <f>IF(B261="","",IF(COUNTIFS('Dietary Filters'!$C$5:$C$104,B261)&gt;0,"Check","OK"))</f>
        <v>0</v>
      </c>
      <c r="AD261" s="25"/>
    </row>
    <row r="262" spans="1:30">
      <c r="A262" s="7"/>
      <c r="B262" s="7"/>
      <c r="C262" s="26"/>
      <c r="D262" s="27"/>
      <c r="E262" s="8">
        <f>IF(B262="","",IFERROR(INDEX(Ingredients!$B$5:$B$304,MATCH(B262,Ingredients!$A$5:$A$304,0)),""))</f>
        <v>0</v>
      </c>
      <c r="F262" s="8">
        <f>IF(B262="","",IFERROR(INDEX(Ingredients!$E$5:$E$304,MATCH(B262,Ingredients!$A$5:$A$304,0)),""))</f>
        <v>0</v>
      </c>
      <c r="G262" s="8">
        <f>IF(B262="","",IFERROR(INDEX(Ingredients!$D$5:$D$304,MATCH(B262,Ingredients!$A$5:$A$304,0)),""))</f>
        <v>0</v>
      </c>
      <c r="H262" s="8">
        <f>IF(OR(B262="",C262=""),"",IFERROR(C262*G262,""))</f>
        <v>0</v>
      </c>
      <c r="I262" s="8">
        <f>IF(A262="","",IFERROR(INDEX(Recipes!$D$5:$D$204,MATCH(A262,Recipes!$A$5:$A$204,0)),""))</f>
        <v>0</v>
      </c>
      <c r="J262" s="8">
        <f>IF(OR(H262="",I262="",I262=0),"",IFERROR(H262/I262,""))</f>
        <v>0</v>
      </c>
      <c r="K262" s="8">
        <f>IF(OR(B262="",C262=""),"",IFERROR(C262*IFERROR(INDEX(Ingredients!$H$5:$H$304,MATCH(B262,Ingredients!$A$5:$A$304,0)),""),""))</f>
        <v>0</v>
      </c>
      <c r="L262" s="8">
        <f>IF(OR(B262="",C262=""),"",IFERROR(C262*IFERROR(INDEX(Ingredients!$I$5:$I$304,MATCH(B262,Ingredients!$A$5:$A$304,0)),""),""))</f>
        <v>0</v>
      </c>
      <c r="M262" s="8">
        <f>IF(OR(B262="",C262=""),"",IFERROR(C262*IFERROR(INDEX(Ingredients!$J$5:$J$304,MATCH(B262,Ingredients!$A$5:$A$304,0)),""),""))</f>
        <v>0</v>
      </c>
      <c r="N262" s="8">
        <f>IF(OR(B262="",C262=""),"",IFERROR(C262*IFERROR(INDEX(Ingredients!$K$5:$K$304,MATCH(B262,Ingredients!$A$5:$A$304,0)),""),""))</f>
        <v>0</v>
      </c>
      <c r="O262" s="8">
        <f>IF(OR(B262="",C262=""),"",IFERROR(C262*IFERROR(INDEX(Ingredients!$L$5:$L$304,MATCH(B262,Ingredients!$A$5:$A$304,0)),""),""))</f>
        <v>0</v>
      </c>
      <c r="P262" s="8">
        <f>IF(OR(H262="",A262=""),"",IFERROR(H262/SUMIFS('Recipe Ingredients'!$H$5:$H$1204,'Recipe Ingredients'!$A$5:$A$1204,A262),""))</f>
        <v>0</v>
      </c>
      <c r="Q262" s="8">
        <f>IF(H262="","",COUNTIFS($H$5:$H$1204,"&gt;"&amp;H262)+1)</f>
        <v>0</v>
      </c>
      <c r="R262" s="8">
        <f>IF(B262="","",SUMIFS(Pantry!$C$5:$C$304,Pantry!$A$5:$A$304,B262))</f>
        <v>0</v>
      </c>
      <c r="S262" s="8">
        <f>IF(OR(B262="",C262=""),"",MAX(0,C262-R262))</f>
        <v>0</v>
      </c>
      <c r="T262" s="26"/>
      <c r="U262" s="8">
        <f>IF(OR(T262="",T262=0,G262=""),"",T262*G262)</f>
        <v>0</v>
      </c>
      <c r="V262" s="8">
        <f>IF(OR(S262="",T262="",T262=0),"",CEILING(S262/T262,1))</f>
        <v>0</v>
      </c>
      <c r="W262" s="27"/>
      <c r="X262" s="29"/>
      <c r="Y262" s="8">
        <f>IF(OR(C262="",X262=""),"",C262*(1+X262))</f>
        <v>0</v>
      </c>
      <c r="Z262" s="8">
        <f>IF(B262="","",IFERROR(INDEX(Ingredients!$O$5:$O$304,MATCH(B262,Ingredients!$A$5:$A$304,0)),""))</f>
        <v>0</v>
      </c>
      <c r="AA262" s="8">
        <f>IF(B262="","",IF(R262&gt;=C262,"In pantry","To buy"))</f>
        <v>0</v>
      </c>
      <c r="AB262" s="8">
        <f>IF(A262="","",COUNTIFS($A$5:A262,A262))</f>
        <v>0</v>
      </c>
      <c r="AC262" s="8">
        <f>IF(B262="","",IF(COUNTIFS('Dietary Filters'!$C$5:$C$104,B262)&gt;0,"Check","OK"))</f>
        <v>0</v>
      </c>
      <c r="AD262" s="25"/>
    </row>
    <row r="263" spans="1:30">
      <c r="A263" s="7"/>
      <c r="B263" s="7"/>
      <c r="C263" s="26"/>
      <c r="D263" s="27"/>
      <c r="E263" s="8">
        <f>IF(B263="","",IFERROR(INDEX(Ingredients!$B$5:$B$304,MATCH(B263,Ingredients!$A$5:$A$304,0)),""))</f>
        <v>0</v>
      </c>
      <c r="F263" s="8">
        <f>IF(B263="","",IFERROR(INDEX(Ingredients!$E$5:$E$304,MATCH(B263,Ingredients!$A$5:$A$304,0)),""))</f>
        <v>0</v>
      </c>
      <c r="G263" s="8">
        <f>IF(B263="","",IFERROR(INDEX(Ingredients!$D$5:$D$304,MATCH(B263,Ingredients!$A$5:$A$304,0)),""))</f>
        <v>0</v>
      </c>
      <c r="H263" s="8">
        <f>IF(OR(B263="",C263=""),"",IFERROR(C263*G263,""))</f>
        <v>0</v>
      </c>
      <c r="I263" s="8">
        <f>IF(A263="","",IFERROR(INDEX(Recipes!$D$5:$D$204,MATCH(A263,Recipes!$A$5:$A$204,0)),""))</f>
        <v>0</v>
      </c>
      <c r="J263" s="8">
        <f>IF(OR(H263="",I263="",I263=0),"",IFERROR(H263/I263,""))</f>
        <v>0</v>
      </c>
      <c r="K263" s="8">
        <f>IF(OR(B263="",C263=""),"",IFERROR(C263*IFERROR(INDEX(Ingredients!$H$5:$H$304,MATCH(B263,Ingredients!$A$5:$A$304,0)),""),""))</f>
        <v>0</v>
      </c>
      <c r="L263" s="8">
        <f>IF(OR(B263="",C263=""),"",IFERROR(C263*IFERROR(INDEX(Ingredients!$I$5:$I$304,MATCH(B263,Ingredients!$A$5:$A$304,0)),""),""))</f>
        <v>0</v>
      </c>
      <c r="M263" s="8">
        <f>IF(OR(B263="",C263=""),"",IFERROR(C263*IFERROR(INDEX(Ingredients!$J$5:$J$304,MATCH(B263,Ingredients!$A$5:$A$304,0)),""),""))</f>
        <v>0</v>
      </c>
      <c r="N263" s="8">
        <f>IF(OR(B263="",C263=""),"",IFERROR(C263*IFERROR(INDEX(Ingredients!$K$5:$K$304,MATCH(B263,Ingredients!$A$5:$A$304,0)),""),""))</f>
        <v>0</v>
      </c>
      <c r="O263" s="8">
        <f>IF(OR(B263="",C263=""),"",IFERROR(C263*IFERROR(INDEX(Ingredients!$L$5:$L$304,MATCH(B263,Ingredients!$A$5:$A$304,0)),""),""))</f>
        <v>0</v>
      </c>
      <c r="P263" s="8">
        <f>IF(OR(H263="",A263=""),"",IFERROR(H263/SUMIFS('Recipe Ingredients'!$H$5:$H$1204,'Recipe Ingredients'!$A$5:$A$1204,A263),""))</f>
        <v>0</v>
      </c>
      <c r="Q263" s="8">
        <f>IF(H263="","",COUNTIFS($H$5:$H$1204,"&gt;"&amp;H263)+1)</f>
        <v>0</v>
      </c>
      <c r="R263" s="8">
        <f>IF(B263="","",SUMIFS(Pantry!$C$5:$C$304,Pantry!$A$5:$A$304,B263))</f>
        <v>0</v>
      </c>
      <c r="S263" s="8">
        <f>IF(OR(B263="",C263=""),"",MAX(0,C263-R263))</f>
        <v>0</v>
      </c>
      <c r="T263" s="26"/>
      <c r="U263" s="8">
        <f>IF(OR(T263="",T263=0,G263=""),"",T263*G263)</f>
        <v>0</v>
      </c>
      <c r="V263" s="8">
        <f>IF(OR(S263="",T263="",T263=0),"",CEILING(S263/T263,1))</f>
        <v>0</v>
      </c>
      <c r="W263" s="27"/>
      <c r="X263" s="29"/>
      <c r="Y263" s="8">
        <f>IF(OR(C263="",X263=""),"",C263*(1+X263))</f>
        <v>0</v>
      </c>
      <c r="Z263" s="8">
        <f>IF(B263="","",IFERROR(INDEX(Ingredients!$O$5:$O$304,MATCH(B263,Ingredients!$A$5:$A$304,0)),""))</f>
        <v>0</v>
      </c>
      <c r="AA263" s="8">
        <f>IF(B263="","",IF(R263&gt;=C263,"In pantry","To buy"))</f>
        <v>0</v>
      </c>
      <c r="AB263" s="8">
        <f>IF(A263="","",COUNTIFS($A$5:A263,A263))</f>
        <v>0</v>
      </c>
      <c r="AC263" s="8">
        <f>IF(B263="","",IF(COUNTIFS('Dietary Filters'!$C$5:$C$104,B263)&gt;0,"Check","OK"))</f>
        <v>0</v>
      </c>
      <c r="AD263" s="25"/>
    </row>
    <row r="264" spans="1:30">
      <c r="A264" s="7"/>
      <c r="B264" s="7"/>
      <c r="C264" s="26"/>
      <c r="D264" s="27"/>
      <c r="E264" s="8">
        <f>IF(B264="","",IFERROR(INDEX(Ingredients!$B$5:$B$304,MATCH(B264,Ingredients!$A$5:$A$304,0)),""))</f>
        <v>0</v>
      </c>
      <c r="F264" s="8">
        <f>IF(B264="","",IFERROR(INDEX(Ingredients!$E$5:$E$304,MATCH(B264,Ingredients!$A$5:$A$304,0)),""))</f>
        <v>0</v>
      </c>
      <c r="G264" s="8">
        <f>IF(B264="","",IFERROR(INDEX(Ingredients!$D$5:$D$304,MATCH(B264,Ingredients!$A$5:$A$304,0)),""))</f>
        <v>0</v>
      </c>
      <c r="H264" s="8">
        <f>IF(OR(B264="",C264=""),"",IFERROR(C264*G264,""))</f>
        <v>0</v>
      </c>
      <c r="I264" s="8">
        <f>IF(A264="","",IFERROR(INDEX(Recipes!$D$5:$D$204,MATCH(A264,Recipes!$A$5:$A$204,0)),""))</f>
        <v>0</v>
      </c>
      <c r="J264" s="8">
        <f>IF(OR(H264="",I264="",I264=0),"",IFERROR(H264/I264,""))</f>
        <v>0</v>
      </c>
      <c r="K264" s="8">
        <f>IF(OR(B264="",C264=""),"",IFERROR(C264*IFERROR(INDEX(Ingredients!$H$5:$H$304,MATCH(B264,Ingredients!$A$5:$A$304,0)),""),""))</f>
        <v>0</v>
      </c>
      <c r="L264" s="8">
        <f>IF(OR(B264="",C264=""),"",IFERROR(C264*IFERROR(INDEX(Ingredients!$I$5:$I$304,MATCH(B264,Ingredients!$A$5:$A$304,0)),""),""))</f>
        <v>0</v>
      </c>
      <c r="M264" s="8">
        <f>IF(OR(B264="",C264=""),"",IFERROR(C264*IFERROR(INDEX(Ingredients!$J$5:$J$304,MATCH(B264,Ingredients!$A$5:$A$304,0)),""),""))</f>
        <v>0</v>
      </c>
      <c r="N264" s="8">
        <f>IF(OR(B264="",C264=""),"",IFERROR(C264*IFERROR(INDEX(Ingredients!$K$5:$K$304,MATCH(B264,Ingredients!$A$5:$A$304,0)),""),""))</f>
        <v>0</v>
      </c>
      <c r="O264" s="8">
        <f>IF(OR(B264="",C264=""),"",IFERROR(C264*IFERROR(INDEX(Ingredients!$L$5:$L$304,MATCH(B264,Ingredients!$A$5:$A$304,0)),""),""))</f>
        <v>0</v>
      </c>
      <c r="P264" s="8">
        <f>IF(OR(H264="",A264=""),"",IFERROR(H264/SUMIFS('Recipe Ingredients'!$H$5:$H$1204,'Recipe Ingredients'!$A$5:$A$1204,A264),""))</f>
        <v>0</v>
      </c>
      <c r="Q264" s="8">
        <f>IF(H264="","",COUNTIFS($H$5:$H$1204,"&gt;"&amp;H264)+1)</f>
        <v>0</v>
      </c>
      <c r="R264" s="8">
        <f>IF(B264="","",SUMIFS(Pantry!$C$5:$C$304,Pantry!$A$5:$A$304,B264))</f>
        <v>0</v>
      </c>
      <c r="S264" s="8">
        <f>IF(OR(B264="",C264=""),"",MAX(0,C264-R264))</f>
        <v>0</v>
      </c>
      <c r="T264" s="26"/>
      <c r="U264" s="8">
        <f>IF(OR(T264="",T264=0,G264=""),"",T264*G264)</f>
        <v>0</v>
      </c>
      <c r="V264" s="8">
        <f>IF(OR(S264="",T264="",T264=0),"",CEILING(S264/T264,1))</f>
        <v>0</v>
      </c>
      <c r="W264" s="27"/>
      <c r="X264" s="29"/>
      <c r="Y264" s="8">
        <f>IF(OR(C264="",X264=""),"",C264*(1+X264))</f>
        <v>0</v>
      </c>
      <c r="Z264" s="8">
        <f>IF(B264="","",IFERROR(INDEX(Ingredients!$O$5:$O$304,MATCH(B264,Ingredients!$A$5:$A$304,0)),""))</f>
        <v>0</v>
      </c>
      <c r="AA264" s="8">
        <f>IF(B264="","",IF(R264&gt;=C264,"In pantry","To buy"))</f>
        <v>0</v>
      </c>
      <c r="AB264" s="8">
        <f>IF(A264="","",COUNTIFS($A$5:A264,A264))</f>
        <v>0</v>
      </c>
      <c r="AC264" s="8">
        <f>IF(B264="","",IF(COUNTIFS('Dietary Filters'!$C$5:$C$104,B264)&gt;0,"Check","OK"))</f>
        <v>0</v>
      </c>
      <c r="AD264" s="25"/>
    </row>
    <row r="265" spans="1:30">
      <c r="A265" s="7"/>
      <c r="B265" s="7"/>
      <c r="C265" s="26"/>
      <c r="D265" s="27"/>
      <c r="E265" s="8">
        <f>IF(B265="","",IFERROR(INDEX(Ingredients!$B$5:$B$304,MATCH(B265,Ingredients!$A$5:$A$304,0)),""))</f>
        <v>0</v>
      </c>
      <c r="F265" s="8">
        <f>IF(B265="","",IFERROR(INDEX(Ingredients!$E$5:$E$304,MATCH(B265,Ingredients!$A$5:$A$304,0)),""))</f>
        <v>0</v>
      </c>
      <c r="G265" s="8">
        <f>IF(B265="","",IFERROR(INDEX(Ingredients!$D$5:$D$304,MATCH(B265,Ingredients!$A$5:$A$304,0)),""))</f>
        <v>0</v>
      </c>
      <c r="H265" s="8">
        <f>IF(OR(B265="",C265=""),"",IFERROR(C265*G265,""))</f>
        <v>0</v>
      </c>
      <c r="I265" s="8">
        <f>IF(A265="","",IFERROR(INDEX(Recipes!$D$5:$D$204,MATCH(A265,Recipes!$A$5:$A$204,0)),""))</f>
        <v>0</v>
      </c>
      <c r="J265" s="8">
        <f>IF(OR(H265="",I265="",I265=0),"",IFERROR(H265/I265,""))</f>
        <v>0</v>
      </c>
      <c r="K265" s="8">
        <f>IF(OR(B265="",C265=""),"",IFERROR(C265*IFERROR(INDEX(Ingredients!$H$5:$H$304,MATCH(B265,Ingredients!$A$5:$A$304,0)),""),""))</f>
        <v>0</v>
      </c>
      <c r="L265" s="8">
        <f>IF(OR(B265="",C265=""),"",IFERROR(C265*IFERROR(INDEX(Ingredients!$I$5:$I$304,MATCH(B265,Ingredients!$A$5:$A$304,0)),""),""))</f>
        <v>0</v>
      </c>
      <c r="M265" s="8">
        <f>IF(OR(B265="",C265=""),"",IFERROR(C265*IFERROR(INDEX(Ingredients!$J$5:$J$304,MATCH(B265,Ingredients!$A$5:$A$304,0)),""),""))</f>
        <v>0</v>
      </c>
      <c r="N265" s="8">
        <f>IF(OR(B265="",C265=""),"",IFERROR(C265*IFERROR(INDEX(Ingredients!$K$5:$K$304,MATCH(B265,Ingredients!$A$5:$A$304,0)),""),""))</f>
        <v>0</v>
      </c>
      <c r="O265" s="8">
        <f>IF(OR(B265="",C265=""),"",IFERROR(C265*IFERROR(INDEX(Ingredients!$L$5:$L$304,MATCH(B265,Ingredients!$A$5:$A$304,0)),""),""))</f>
        <v>0</v>
      </c>
      <c r="P265" s="8">
        <f>IF(OR(H265="",A265=""),"",IFERROR(H265/SUMIFS('Recipe Ingredients'!$H$5:$H$1204,'Recipe Ingredients'!$A$5:$A$1204,A265),""))</f>
        <v>0</v>
      </c>
      <c r="Q265" s="8">
        <f>IF(H265="","",COUNTIFS($H$5:$H$1204,"&gt;"&amp;H265)+1)</f>
        <v>0</v>
      </c>
      <c r="R265" s="8">
        <f>IF(B265="","",SUMIFS(Pantry!$C$5:$C$304,Pantry!$A$5:$A$304,B265))</f>
        <v>0</v>
      </c>
      <c r="S265" s="8">
        <f>IF(OR(B265="",C265=""),"",MAX(0,C265-R265))</f>
        <v>0</v>
      </c>
      <c r="T265" s="26"/>
      <c r="U265" s="8">
        <f>IF(OR(T265="",T265=0,G265=""),"",T265*G265)</f>
        <v>0</v>
      </c>
      <c r="V265" s="8">
        <f>IF(OR(S265="",T265="",T265=0),"",CEILING(S265/T265,1))</f>
        <v>0</v>
      </c>
      <c r="W265" s="27"/>
      <c r="X265" s="29"/>
      <c r="Y265" s="8">
        <f>IF(OR(C265="",X265=""),"",C265*(1+X265))</f>
        <v>0</v>
      </c>
      <c r="Z265" s="8">
        <f>IF(B265="","",IFERROR(INDEX(Ingredients!$O$5:$O$304,MATCH(B265,Ingredients!$A$5:$A$304,0)),""))</f>
        <v>0</v>
      </c>
      <c r="AA265" s="8">
        <f>IF(B265="","",IF(R265&gt;=C265,"In pantry","To buy"))</f>
        <v>0</v>
      </c>
      <c r="AB265" s="8">
        <f>IF(A265="","",COUNTIFS($A$5:A265,A265))</f>
        <v>0</v>
      </c>
      <c r="AC265" s="8">
        <f>IF(B265="","",IF(COUNTIFS('Dietary Filters'!$C$5:$C$104,B265)&gt;0,"Check","OK"))</f>
        <v>0</v>
      </c>
      <c r="AD265" s="25"/>
    </row>
    <row r="266" spans="1:30">
      <c r="A266" s="7"/>
      <c r="B266" s="7"/>
      <c r="C266" s="26"/>
      <c r="D266" s="27"/>
      <c r="E266" s="8">
        <f>IF(B266="","",IFERROR(INDEX(Ingredients!$B$5:$B$304,MATCH(B266,Ingredients!$A$5:$A$304,0)),""))</f>
        <v>0</v>
      </c>
      <c r="F266" s="8">
        <f>IF(B266="","",IFERROR(INDEX(Ingredients!$E$5:$E$304,MATCH(B266,Ingredients!$A$5:$A$304,0)),""))</f>
        <v>0</v>
      </c>
      <c r="G266" s="8">
        <f>IF(B266="","",IFERROR(INDEX(Ingredients!$D$5:$D$304,MATCH(B266,Ingredients!$A$5:$A$304,0)),""))</f>
        <v>0</v>
      </c>
      <c r="H266" s="8">
        <f>IF(OR(B266="",C266=""),"",IFERROR(C266*G266,""))</f>
        <v>0</v>
      </c>
      <c r="I266" s="8">
        <f>IF(A266="","",IFERROR(INDEX(Recipes!$D$5:$D$204,MATCH(A266,Recipes!$A$5:$A$204,0)),""))</f>
        <v>0</v>
      </c>
      <c r="J266" s="8">
        <f>IF(OR(H266="",I266="",I266=0),"",IFERROR(H266/I266,""))</f>
        <v>0</v>
      </c>
      <c r="K266" s="8">
        <f>IF(OR(B266="",C266=""),"",IFERROR(C266*IFERROR(INDEX(Ingredients!$H$5:$H$304,MATCH(B266,Ingredients!$A$5:$A$304,0)),""),""))</f>
        <v>0</v>
      </c>
      <c r="L266" s="8">
        <f>IF(OR(B266="",C266=""),"",IFERROR(C266*IFERROR(INDEX(Ingredients!$I$5:$I$304,MATCH(B266,Ingredients!$A$5:$A$304,0)),""),""))</f>
        <v>0</v>
      </c>
      <c r="M266" s="8">
        <f>IF(OR(B266="",C266=""),"",IFERROR(C266*IFERROR(INDEX(Ingredients!$J$5:$J$304,MATCH(B266,Ingredients!$A$5:$A$304,0)),""),""))</f>
        <v>0</v>
      </c>
      <c r="N266" s="8">
        <f>IF(OR(B266="",C266=""),"",IFERROR(C266*IFERROR(INDEX(Ingredients!$K$5:$K$304,MATCH(B266,Ingredients!$A$5:$A$304,0)),""),""))</f>
        <v>0</v>
      </c>
      <c r="O266" s="8">
        <f>IF(OR(B266="",C266=""),"",IFERROR(C266*IFERROR(INDEX(Ingredients!$L$5:$L$304,MATCH(B266,Ingredients!$A$5:$A$304,0)),""),""))</f>
        <v>0</v>
      </c>
      <c r="P266" s="8">
        <f>IF(OR(H266="",A266=""),"",IFERROR(H266/SUMIFS('Recipe Ingredients'!$H$5:$H$1204,'Recipe Ingredients'!$A$5:$A$1204,A266),""))</f>
        <v>0</v>
      </c>
      <c r="Q266" s="8">
        <f>IF(H266="","",COUNTIFS($H$5:$H$1204,"&gt;"&amp;H266)+1)</f>
        <v>0</v>
      </c>
      <c r="R266" s="8">
        <f>IF(B266="","",SUMIFS(Pantry!$C$5:$C$304,Pantry!$A$5:$A$304,B266))</f>
        <v>0</v>
      </c>
      <c r="S266" s="8">
        <f>IF(OR(B266="",C266=""),"",MAX(0,C266-R266))</f>
        <v>0</v>
      </c>
      <c r="T266" s="26"/>
      <c r="U266" s="8">
        <f>IF(OR(T266="",T266=0,G266=""),"",T266*G266)</f>
        <v>0</v>
      </c>
      <c r="V266" s="8">
        <f>IF(OR(S266="",T266="",T266=0),"",CEILING(S266/T266,1))</f>
        <v>0</v>
      </c>
      <c r="W266" s="27"/>
      <c r="X266" s="29"/>
      <c r="Y266" s="8">
        <f>IF(OR(C266="",X266=""),"",C266*(1+X266))</f>
        <v>0</v>
      </c>
      <c r="Z266" s="8">
        <f>IF(B266="","",IFERROR(INDEX(Ingredients!$O$5:$O$304,MATCH(B266,Ingredients!$A$5:$A$304,0)),""))</f>
        <v>0</v>
      </c>
      <c r="AA266" s="8">
        <f>IF(B266="","",IF(R266&gt;=C266,"In pantry","To buy"))</f>
        <v>0</v>
      </c>
      <c r="AB266" s="8">
        <f>IF(A266="","",COUNTIFS($A$5:A266,A266))</f>
        <v>0</v>
      </c>
      <c r="AC266" s="8">
        <f>IF(B266="","",IF(COUNTIFS('Dietary Filters'!$C$5:$C$104,B266)&gt;0,"Check","OK"))</f>
        <v>0</v>
      </c>
      <c r="AD266" s="25"/>
    </row>
    <row r="267" spans="1:30">
      <c r="A267" s="7"/>
      <c r="B267" s="7"/>
      <c r="C267" s="26"/>
      <c r="D267" s="27"/>
      <c r="E267" s="8">
        <f>IF(B267="","",IFERROR(INDEX(Ingredients!$B$5:$B$304,MATCH(B267,Ingredients!$A$5:$A$304,0)),""))</f>
        <v>0</v>
      </c>
      <c r="F267" s="8">
        <f>IF(B267="","",IFERROR(INDEX(Ingredients!$E$5:$E$304,MATCH(B267,Ingredients!$A$5:$A$304,0)),""))</f>
        <v>0</v>
      </c>
      <c r="G267" s="8">
        <f>IF(B267="","",IFERROR(INDEX(Ingredients!$D$5:$D$304,MATCH(B267,Ingredients!$A$5:$A$304,0)),""))</f>
        <v>0</v>
      </c>
      <c r="H267" s="8">
        <f>IF(OR(B267="",C267=""),"",IFERROR(C267*G267,""))</f>
        <v>0</v>
      </c>
      <c r="I267" s="8">
        <f>IF(A267="","",IFERROR(INDEX(Recipes!$D$5:$D$204,MATCH(A267,Recipes!$A$5:$A$204,0)),""))</f>
        <v>0</v>
      </c>
      <c r="J267" s="8">
        <f>IF(OR(H267="",I267="",I267=0),"",IFERROR(H267/I267,""))</f>
        <v>0</v>
      </c>
      <c r="K267" s="8">
        <f>IF(OR(B267="",C267=""),"",IFERROR(C267*IFERROR(INDEX(Ingredients!$H$5:$H$304,MATCH(B267,Ingredients!$A$5:$A$304,0)),""),""))</f>
        <v>0</v>
      </c>
      <c r="L267" s="8">
        <f>IF(OR(B267="",C267=""),"",IFERROR(C267*IFERROR(INDEX(Ingredients!$I$5:$I$304,MATCH(B267,Ingredients!$A$5:$A$304,0)),""),""))</f>
        <v>0</v>
      </c>
      <c r="M267" s="8">
        <f>IF(OR(B267="",C267=""),"",IFERROR(C267*IFERROR(INDEX(Ingredients!$J$5:$J$304,MATCH(B267,Ingredients!$A$5:$A$304,0)),""),""))</f>
        <v>0</v>
      </c>
      <c r="N267" s="8">
        <f>IF(OR(B267="",C267=""),"",IFERROR(C267*IFERROR(INDEX(Ingredients!$K$5:$K$304,MATCH(B267,Ingredients!$A$5:$A$304,0)),""),""))</f>
        <v>0</v>
      </c>
      <c r="O267" s="8">
        <f>IF(OR(B267="",C267=""),"",IFERROR(C267*IFERROR(INDEX(Ingredients!$L$5:$L$304,MATCH(B267,Ingredients!$A$5:$A$304,0)),""),""))</f>
        <v>0</v>
      </c>
      <c r="P267" s="8">
        <f>IF(OR(H267="",A267=""),"",IFERROR(H267/SUMIFS('Recipe Ingredients'!$H$5:$H$1204,'Recipe Ingredients'!$A$5:$A$1204,A267),""))</f>
        <v>0</v>
      </c>
      <c r="Q267" s="8">
        <f>IF(H267="","",COUNTIFS($H$5:$H$1204,"&gt;"&amp;H267)+1)</f>
        <v>0</v>
      </c>
      <c r="R267" s="8">
        <f>IF(B267="","",SUMIFS(Pantry!$C$5:$C$304,Pantry!$A$5:$A$304,B267))</f>
        <v>0</v>
      </c>
      <c r="S267" s="8">
        <f>IF(OR(B267="",C267=""),"",MAX(0,C267-R267))</f>
        <v>0</v>
      </c>
      <c r="T267" s="26"/>
      <c r="U267" s="8">
        <f>IF(OR(T267="",T267=0,G267=""),"",T267*G267)</f>
        <v>0</v>
      </c>
      <c r="V267" s="8">
        <f>IF(OR(S267="",T267="",T267=0),"",CEILING(S267/T267,1))</f>
        <v>0</v>
      </c>
      <c r="W267" s="27"/>
      <c r="X267" s="29"/>
      <c r="Y267" s="8">
        <f>IF(OR(C267="",X267=""),"",C267*(1+X267))</f>
        <v>0</v>
      </c>
      <c r="Z267" s="8">
        <f>IF(B267="","",IFERROR(INDEX(Ingredients!$O$5:$O$304,MATCH(B267,Ingredients!$A$5:$A$304,0)),""))</f>
        <v>0</v>
      </c>
      <c r="AA267" s="8">
        <f>IF(B267="","",IF(R267&gt;=C267,"In pantry","To buy"))</f>
        <v>0</v>
      </c>
      <c r="AB267" s="8">
        <f>IF(A267="","",COUNTIFS($A$5:A267,A267))</f>
        <v>0</v>
      </c>
      <c r="AC267" s="8">
        <f>IF(B267="","",IF(COUNTIFS('Dietary Filters'!$C$5:$C$104,B267)&gt;0,"Check","OK"))</f>
        <v>0</v>
      </c>
      <c r="AD267" s="25"/>
    </row>
    <row r="268" spans="1:30">
      <c r="A268" s="7"/>
      <c r="B268" s="7"/>
      <c r="C268" s="26"/>
      <c r="D268" s="27"/>
      <c r="E268" s="8">
        <f>IF(B268="","",IFERROR(INDEX(Ingredients!$B$5:$B$304,MATCH(B268,Ingredients!$A$5:$A$304,0)),""))</f>
        <v>0</v>
      </c>
      <c r="F268" s="8">
        <f>IF(B268="","",IFERROR(INDEX(Ingredients!$E$5:$E$304,MATCH(B268,Ingredients!$A$5:$A$304,0)),""))</f>
        <v>0</v>
      </c>
      <c r="G268" s="8">
        <f>IF(B268="","",IFERROR(INDEX(Ingredients!$D$5:$D$304,MATCH(B268,Ingredients!$A$5:$A$304,0)),""))</f>
        <v>0</v>
      </c>
      <c r="H268" s="8">
        <f>IF(OR(B268="",C268=""),"",IFERROR(C268*G268,""))</f>
        <v>0</v>
      </c>
      <c r="I268" s="8">
        <f>IF(A268="","",IFERROR(INDEX(Recipes!$D$5:$D$204,MATCH(A268,Recipes!$A$5:$A$204,0)),""))</f>
        <v>0</v>
      </c>
      <c r="J268" s="8">
        <f>IF(OR(H268="",I268="",I268=0),"",IFERROR(H268/I268,""))</f>
        <v>0</v>
      </c>
      <c r="K268" s="8">
        <f>IF(OR(B268="",C268=""),"",IFERROR(C268*IFERROR(INDEX(Ingredients!$H$5:$H$304,MATCH(B268,Ingredients!$A$5:$A$304,0)),""),""))</f>
        <v>0</v>
      </c>
      <c r="L268" s="8">
        <f>IF(OR(B268="",C268=""),"",IFERROR(C268*IFERROR(INDEX(Ingredients!$I$5:$I$304,MATCH(B268,Ingredients!$A$5:$A$304,0)),""),""))</f>
        <v>0</v>
      </c>
      <c r="M268" s="8">
        <f>IF(OR(B268="",C268=""),"",IFERROR(C268*IFERROR(INDEX(Ingredients!$J$5:$J$304,MATCH(B268,Ingredients!$A$5:$A$304,0)),""),""))</f>
        <v>0</v>
      </c>
      <c r="N268" s="8">
        <f>IF(OR(B268="",C268=""),"",IFERROR(C268*IFERROR(INDEX(Ingredients!$K$5:$K$304,MATCH(B268,Ingredients!$A$5:$A$304,0)),""),""))</f>
        <v>0</v>
      </c>
      <c r="O268" s="8">
        <f>IF(OR(B268="",C268=""),"",IFERROR(C268*IFERROR(INDEX(Ingredients!$L$5:$L$304,MATCH(B268,Ingredients!$A$5:$A$304,0)),""),""))</f>
        <v>0</v>
      </c>
      <c r="P268" s="8">
        <f>IF(OR(H268="",A268=""),"",IFERROR(H268/SUMIFS('Recipe Ingredients'!$H$5:$H$1204,'Recipe Ingredients'!$A$5:$A$1204,A268),""))</f>
        <v>0</v>
      </c>
      <c r="Q268" s="8">
        <f>IF(H268="","",COUNTIFS($H$5:$H$1204,"&gt;"&amp;H268)+1)</f>
        <v>0</v>
      </c>
      <c r="R268" s="8">
        <f>IF(B268="","",SUMIFS(Pantry!$C$5:$C$304,Pantry!$A$5:$A$304,B268))</f>
        <v>0</v>
      </c>
      <c r="S268" s="8">
        <f>IF(OR(B268="",C268=""),"",MAX(0,C268-R268))</f>
        <v>0</v>
      </c>
      <c r="T268" s="26"/>
      <c r="U268" s="8">
        <f>IF(OR(T268="",T268=0,G268=""),"",T268*G268)</f>
        <v>0</v>
      </c>
      <c r="V268" s="8">
        <f>IF(OR(S268="",T268="",T268=0),"",CEILING(S268/T268,1))</f>
        <v>0</v>
      </c>
      <c r="W268" s="27"/>
      <c r="X268" s="29"/>
      <c r="Y268" s="8">
        <f>IF(OR(C268="",X268=""),"",C268*(1+X268))</f>
        <v>0</v>
      </c>
      <c r="Z268" s="8">
        <f>IF(B268="","",IFERROR(INDEX(Ingredients!$O$5:$O$304,MATCH(B268,Ingredients!$A$5:$A$304,0)),""))</f>
        <v>0</v>
      </c>
      <c r="AA268" s="8">
        <f>IF(B268="","",IF(R268&gt;=C268,"In pantry","To buy"))</f>
        <v>0</v>
      </c>
      <c r="AB268" s="8">
        <f>IF(A268="","",COUNTIFS($A$5:A268,A268))</f>
        <v>0</v>
      </c>
      <c r="AC268" s="8">
        <f>IF(B268="","",IF(COUNTIFS('Dietary Filters'!$C$5:$C$104,B268)&gt;0,"Check","OK"))</f>
        <v>0</v>
      </c>
      <c r="AD268" s="25"/>
    </row>
    <row r="269" spans="1:30">
      <c r="A269" s="7"/>
      <c r="B269" s="7"/>
      <c r="C269" s="26"/>
      <c r="D269" s="27"/>
      <c r="E269" s="8">
        <f>IF(B269="","",IFERROR(INDEX(Ingredients!$B$5:$B$304,MATCH(B269,Ingredients!$A$5:$A$304,0)),""))</f>
        <v>0</v>
      </c>
      <c r="F269" s="8">
        <f>IF(B269="","",IFERROR(INDEX(Ingredients!$E$5:$E$304,MATCH(B269,Ingredients!$A$5:$A$304,0)),""))</f>
        <v>0</v>
      </c>
      <c r="G269" s="8">
        <f>IF(B269="","",IFERROR(INDEX(Ingredients!$D$5:$D$304,MATCH(B269,Ingredients!$A$5:$A$304,0)),""))</f>
        <v>0</v>
      </c>
      <c r="H269" s="8">
        <f>IF(OR(B269="",C269=""),"",IFERROR(C269*G269,""))</f>
        <v>0</v>
      </c>
      <c r="I269" s="8">
        <f>IF(A269="","",IFERROR(INDEX(Recipes!$D$5:$D$204,MATCH(A269,Recipes!$A$5:$A$204,0)),""))</f>
        <v>0</v>
      </c>
      <c r="J269" s="8">
        <f>IF(OR(H269="",I269="",I269=0),"",IFERROR(H269/I269,""))</f>
        <v>0</v>
      </c>
      <c r="K269" s="8">
        <f>IF(OR(B269="",C269=""),"",IFERROR(C269*IFERROR(INDEX(Ingredients!$H$5:$H$304,MATCH(B269,Ingredients!$A$5:$A$304,0)),""),""))</f>
        <v>0</v>
      </c>
      <c r="L269" s="8">
        <f>IF(OR(B269="",C269=""),"",IFERROR(C269*IFERROR(INDEX(Ingredients!$I$5:$I$304,MATCH(B269,Ingredients!$A$5:$A$304,0)),""),""))</f>
        <v>0</v>
      </c>
      <c r="M269" s="8">
        <f>IF(OR(B269="",C269=""),"",IFERROR(C269*IFERROR(INDEX(Ingredients!$J$5:$J$304,MATCH(B269,Ingredients!$A$5:$A$304,0)),""),""))</f>
        <v>0</v>
      </c>
      <c r="N269" s="8">
        <f>IF(OR(B269="",C269=""),"",IFERROR(C269*IFERROR(INDEX(Ingredients!$K$5:$K$304,MATCH(B269,Ingredients!$A$5:$A$304,0)),""),""))</f>
        <v>0</v>
      </c>
      <c r="O269" s="8">
        <f>IF(OR(B269="",C269=""),"",IFERROR(C269*IFERROR(INDEX(Ingredients!$L$5:$L$304,MATCH(B269,Ingredients!$A$5:$A$304,0)),""),""))</f>
        <v>0</v>
      </c>
      <c r="P269" s="8">
        <f>IF(OR(H269="",A269=""),"",IFERROR(H269/SUMIFS('Recipe Ingredients'!$H$5:$H$1204,'Recipe Ingredients'!$A$5:$A$1204,A269),""))</f>
        <v>0</v>
      </c>
      <c r="Q269" s="8">
        <f>IF(H269="","",COUNTIFS($H$5:$H$1204,"&gt;"&amp;H269)+1)</f>
        <v>0</v>
      </c>
      <c r="R269" s="8">
        <f>IF(B269="","",SUMIFS(Pantry!$C$5:$C$304,Pantry!$A$5:$A$304,B269))</f>
        <v>0</v>
      </c>
      <c r="S269" s="8">
        <f>IF(OR(B269="",C269=""),"",MAX(0,C269-R269))</f>
        <v>0</v>
      </c>
      <c r="T269" s="26"/>
      <c r="U269" s="8">
        <f>IF(OR(T269="",T269=0,G269=""),"",T269*G269)</f>
        <v>0</v>
      </c>
      <c r="V269" s="8">
        <f>IF(OR(S269="",T269="",T269=0),"",CEILING(S269/T269,1))</f>
        <v>0</v>
      </c>
      <c r="W269" s="27"/>
      <c r="X269" s="29"/>
      <c r="Y269" s="8">
        <f>IF(OR(C269="",X269=""),"",C269*(1+X269))</f>
        <v>0</v>
      </c>
      <c r="Z269" s="8">
        <f>IF(B269="","",IFERROR(INDEX(Ingredients!$O$5:$O$304,MATCH(B269,Ingredients!$A$5:$A$304,0)),""))</f>
        <v>0</v>
      </c>
      <c r="AA269" s="8">
        <f>IF(B269="","",IF(R269&gt;=C269,"In pantry","To buy"))</f>
        <v>0</v>
      </c>
      <c r="AB269" s="8">
        <f>IF(A269="","",COUNTIFS($A$5:A269,A269))</f>
        <v>0</v>
      </c>
      <c r="AC269" s="8">
        <f>IF(B269="","",IF(COUNTIFS('Dietary Filters'!$C$5:$C$104,B269)&gt;0,"Check","OK"))</f>
        <v>0</v>
      </c>
      <c r="AD269" s="25"/>
    </row>
    <row r="270" spans="1:30">
      <c r="A270" s="7"/>
      <c r="B270" s="7"/>
      <c r="C270" s="26"/>
      <c r="D270" s="27"/>
      <c r="E270" s="8">
        <f>IF(B270="","",IFERROR(INDEX(Ingredients!$B$5:$B$304,MATCH(B270,Ingredients!$A$5:$A$304,0)),""))</f>
        <v>0</v>
      </c>
      <c r="F270" s="8">
        <f>IF(B270="","",IFERROR(INDEX(Ingredients!$E$5:$E$304,MATCH(B270,Ingredients!$A$5:$A$304,0)),""))</f>
        <v>0</v>
      </c>
      <c r="G270" s="8">
        <f>IF(B270="","",IFERROR(INDEX(Ingredients!$D$5:$D$304,MATCH(B270,Ingredients!$A$5:$A$304,0)),""))</f>
        <v>0</v>
      </c>
      <c r="H270" s="8">
        <f>IF(OR(B270="",C270=""),"",IFERROR(C270*G270,""))</f>
        <v>0</v>
      </c>
      <c r="I270" s="8">
        <f>IF(A270="","",IFERROR(INDEX(Recipes!$D$5:$D$204,MATCH(A270,Recipes!$A$5:$A$204,0)),""))</f>
        <v>0</v>
      </c>
      <c r="J270" s="8">
        <f>IF(OR(H270="",I270="",I270=0),"",IFERROR(H270/I270,""))</f>
        <v>0</v>
      </c>
      <c r="K270" s="8">
        <f>IF(OR(B270="",C270=""),"",IFERROR(C270*IFERROR(INDEX(Ingredients!$H$5:$H$304,MATCH(B270,Ingredients!$A$5:$A$304,0)),""),""))</f>
        <v>0</v>
      </c>
      <c r="L270" s="8">
        <f>IF(OR(B270="",C270=""),"",IFERROR(C270*IFERROR(INDEX(Ingredients!$I$5:$I$304,MATCH(B270,Ingredients!$A$5:$A$304,0)),""),""))</f>
        <v>0</v>
      </c>
      <c r="M270" s="8">
        <f>IF(OR(B270="",C270=""),"",IFERROR(C270*IFERROR(INDEX(Ingredients!$J$5:$J$304,MATCH(B270,Ingredients!$A$5:$A$304,0)),""),""))</f>
        <v>0</v>
      </c>
      <c r="N270" s="8">
        <f>IF(OR(B270="",C270=""),"",IFERROR(C270*IFERROR(INDEX(Ingredients!$K$5:$K$304,MATCH(B270,Ingredients!$A$5:$A$304,0)),""),""))</f>
        <v>0</v>
      </c>
      <c r="O270" s="8">
        <f>IF(OR(B270="",C270=""),"",IFERROR(C270*IFERROR(INDEX(Ingredients!$L$5:$L$304,MATCH(B270,Ingredients!$A$5:$A$304,0)),""),""))</f>
        <v>0</v>
      </c>
      <c r="P270" s="8">
        <f>IF(OR(H270="",A270=""),"",IFERROR(H270/SUMIFS('Recipe Ingredients'!$H$5:$H$1204,'Recipe Ingredients'!$A$5:$A$1204,A270),""))</f>
        <v>0</v>
      </c>
      <c r="Q270" s="8">
        <f>IF(H270="","",COUNTIFS($H$5:$H$1204,"&gt;"&amp;H270)+1)</f>
        <v>0</v>
      </c>
      <c r="R270" s="8">
        <f>IF(B270="","",SUMIFS(Pantry!$C$5:$C$304,Pantry!$A$5:$A$304,B270))</f>
        <v>0</v>
      </c>
      <c r="S270" s="8">
        <f>IF(OR(B270="",C270=""),"",MAX(0,C270-R270))</f>
        <v>0</v>
      </c>
      <c r="T270" s="26"/>
      <c r="U270" s="8">
        <f>IF(OR(T270="",T270=0,G270=""),"",T270*G270)</f>
        <v>0</v>
      </c>
      <c r="V270" s="8">
        <f>IF(OR(S270="",T270="",T270=0),"",CEILING(S270/T270,1))</f>
        <v>0</v>
      </c>
      <c r="W270" s="27"/>
      <c r="X270" s="29"/>
      <c r="Y270" s="8">
        <f>IF(OR(C270="",X270=""),"",C270*(1+X270))</f>
        <v>0</v>
      </c>
      <c r="Z270" s="8">
        <f>IF(B270="","",IFERROR(INDEX(Ingredients!$O$5:$O$304,MATCH(B270,Ingredients!$A$5:$A$304,0)),""))</f>
        <v>0</v>
      </c>
      <c r="AA270" s="8">
        <f>IF(B270="","",IF(R270&gt;=C270,"In pantry","To buy"))</f>
        <v>0</v>
      </c>
      <c r="AB270" s="8">
        <f>IF(A270="","",COUNTIFS($A$5:A270,A270))</f>
        <v>0</v>
      </c>
      <c r="AC270" s="8">
        <f>IF(B270="","",IF(COUNTIFS('Dietary Filters'!$C$5:$C$104,B270)&gt;0,"Check","OK"))</f>
        <v>0</v>
      </c>
      <c r="AD270" s="25"/>
    </row>
    <row r="271" spans="1:30">
      <c r="A271" s="7"/>
      <c r="B271" s="7"/>
      <c r="C271" s="26"/>
      <c r="D271" s="27"/>
      <c r="E271" s="8">
        <f>IF(B271="","",IFERROR(INDEX(Ingredients!$B$5:$B$304,MATCH(B271,Ingredients!$A$5:$A$304,0)),""))</f>
        <v>0</v>
      </c>
      <c r="F271" s="8">
        <f>IF(B271="","",IFERROR(INDEX(Ingredients!$E$5:$E$304,MATCH(B271,Ingredients!$A$5:$A$304,0)),""))</f>
        <v>0</v>
      </c>
      <c r="G271" s="8">
        <f>IF(B271="","",IFERROR(INDEX(Ingredients!$D$5:$D$304,MATCH(B271,Ingredients!$A$5:$A$304,0)),""))</f>
        <v>0</v>
      </c>
      <c r="H271" s="8">
        <f>IF(OR(B271="",C271=""),"",IFERROR(C271*G271,""))</f>
        <v>0</v>
      </c>
      <c r="I271" s="8">
        <f>IF(A271="","",IFERROR(INDEX(Recipes!$D$5:$D$204,MATCH(A271,Recipes!$A$5:$A$204,0)),""))</f>
        <v>0</v>
      </c>
      <c r="J271" s="8">
        <f>IF(OR(H271="",I271="",I271=0),"",IFERROR(H271/I271,""))</f>
        <v>0</v>
      </c>
      <c r="K271" s="8">
        <f>IF(OR(B271="",C271=""),"",IFERROR(C271*IFERROR(INDEX(Ingredients!$H$5:$H$304,MATCH(B271,Ingredients!$A$5:$A$304,0)),""),""))</f>
        <v>0</v>
      </c>
      <c r="L271" s="8">
        <f>IF(OR(B271="",C271=""),"",IFERROR(C271*IFERROR(INDEX(Ingredients!$I$5:$I$304,MATCH(B271,Ingredients!$A$5:$A$304,0)),""),""))</f>
        <v>0</v>
      </c>
      <c r="M271" s="8">
        <f>IF(OR(B271="",C271=""),"",IFERROR(C271*IFERROR(INDEX(Ingredients!$J$5:$J$304,MATCH(B271,Ingredients!$A$5:$A$304,0)),""),""))</f>
        <v>0</v>
      </c>
      <c r="N271" s="8">
        <f>IF(OR(B271="",C271=""),"",IFERROR(C271*IFERROR(INDEX(Ingredients!$K$5:$K$304,MATCH(B271,Ingredients!$A$5:$A$304,0)),""),""))</f>
        <v>0</v>
      </c>
      <c r="O271" s="8">
        <f>IF(OR(B271="",C271=""),"",IFERROR(C271*IFERROR(INDEX(Ingredients!$L$5:$L$304,MATCH(B271,Ingredients!$A$5:$A$304,0)),""),""))</f>
        <v>0</v>
      </c>
      <c r="P271" s="8">
        <f>IF(OR(H271="",A271=""),"",IFERROR(H271/SUMIFS('Recipe Ingredients'!$H$5:$H$1204,'Recipe Ingredients'!$A$5:$A$1204,A271),""))</f>
        <v>0</v>
      </c>
      <c r="Q271" s="8">
        <f>IF(H271="","",COUNTIFS($H$5:$H$1204,"&gt;"&amp;H271)+1)</f>
        <v>0</v>
      </c>
      <c r="R271" s="8">
        <f>IF(B271="","",SUMIFS(Pantry!$C$5:$C$304,Pantry!$A$5:$A$304,B271))</f>
        <v>0</v>
      </c>
      <c r="S271" s="8">
        <f>IF(OR(B271="",C271=""),"",MAX(0,C271-R271))</f>
        <v>0</v>
      </c>
      <c r="T271" s="26"/>
      <c r="U271" s="8">
        <f>IF(OR(T271="",T271=0,G271=""),"",T271*G271)</f>
        <v>0</v>
      </c>
      <c r="V271" s="8">
        <f>IF(OR(S271="",T271="",T271=0),"",CEILING(S271/T271,1))</f>
        <v>0</v>
      </c>
      <c r="W271" s="27"/>
      <c r="X271" s="29"/>
      <c r="Y271" s="8">
        <f>IF(OR(C271="",X271=""),"",C271*(1+X271))</f>
        <v>0</v>
      </c>
      <c r="Z271" s="8">
        <f>IF(B271="","",IFERROR(INDEX(Ingredients!$O$5:$O$304,MATCH(B271,Ingredients!$A$5:$A$304,0)),""))</f>
        <v>0</v>
      </c>
      <c r="AA271" s="8">
        <f>IF(B271="","",IF(R271&gt;=C271,"In pantry","To buy"))</f>
        <v>0</v>
      </c>
      <c r="AB271" s="8">
        <f>IF(A271="","",COUNTIFS($A$5:A271,A271))</f>
        <v>0</v>
      </c>
      <c r="AC271" s="8">
        <f>IF(B271="","",IF(COUNTIFS('Dietary Filters'!$C$5:$C$104,B271)&gt;0,"Check","OK"))</f>
        <v>0</v>
      </c>
      <c r="AD271" s="25"/>
    </row>
    <row r="272" spans="1:30">
      <c r="A272" s="7"/>
      <c r="B272" s="7"/>
      <c r="C272" s="26"/>
      <c r="D272" s="27"/>
      <c r="E272" s="8">
        <f>IF(B272="","",IFERROR(INDEX(Ingredients!$B$5:$B$304,MATCH(B272,Ingredients!$A$5:$A$304,0)),""))</f>
        <v>0</v>
      </c>
      <c r="F272" s="8">
        <f>IF(B272="","",IFERROR(INDEX(Ingredients!$E$5:$E$304,MATCH(B272,Ingredients!$A$5:$A$304,0)),""))</f>
        <v>0</v>
      </c>
      <c r="G272" s="8">
        <f>IF(B272="","",IFERROR(INDEX(Ingredients!$D$5:$D$304,MATCH(B272,Ingredients!$A$5:$A$304,0)),""))</f>
        <v>0</v>
      </c>
      <c r="H272" s="8">
        <f>IF(OR(B272="",C272=""),"",IFERROR(C272*G272,""))</f>
        <v>0</v>
      </c>
      <c r="I272" s="8">
        <f>IF(A272="","",IFERROR(INDEX(Recipes!$D$5:$D$204,MATCH(A272,Recipes!$A$5:$A$204,0)),""))</f>
        <v>0</v>
      </c>
      <c r="J272" s="8">
        <f>IF(OR(H272="",I272="",I272=0),"",IFERROR(H272/I272,""))</f>
        <v>0</v>
      </c>
      <c r="K272" s="8">
        <f>IF(OR(B272="",C272=""),"",IFERROR(C272*IFERROR(INDEX(Ingredients!$H$5:$H$304,MATCH(B272,Ingredients!$A$5:$A$304,0)),""),""))</f>
        <v>0</v>
      </c>
      <c r="L272" s="8">
        <f>IF(OR(B272="",C272=""),"",IFERROR(C272*IFERROR(INDEX(Ingredients!$I$5:$I$304,MATCH(B272,Ingredients!$A$5:$A$304,0)),""),""))</f>
        <v>0</v>
      </c>
      <c r="M272" s="8">
        <f>IF(OR(B272="",C272=""),"",IFERROR(C272*IFERROR(INDEX(Ingredients!$J$5:$J$304,MATCH(B272,Ingredients!$A$5:$A$304,0)),""),""))</f>
        <v>0</v>
      </c>
      <c r="N272" s="8">
        <f>IF(OR(B272="",C272=""),"",IFERROR(C272*IFERROR(INDEX(Ingredients!$K$5:$K$304,MATCH(B272,Ingredients!$A$5:$A$304,0)),""),""))</f>
        <v>0</v>
      </c>
      <c r="O272" s="8">
        <f>IF(OR(B272="",C272=""),"",IFERROR(C272*IFERROR(INDEX(Ingredients!$L$5:$L$304,MATCH(B272,Ingredients!$A$5:$A$304,0)),""),""))</f>
        <v>0</v>
      </c>
      <c r="P272" s="8">
        <f>IF(OR(H272="",A272=""),"",IFERROR(H272/SUMIFS('Recipe Ingredients'!$H$5:$H$1204,'Recipe Ingredients'!$A$5:$A$1204,A272),""))</f>
        <v>0</v>
      </c>
      <c r="Q272" s="8">
        <f>IF(H272="","",COUNTIFS($H$5:$H$1204,"&gt;"&amp;H272)+1)</f>
        <v>0</v>
      </c>
      <c r="R272" s="8">
        <f>IF(B272="","",SUMIFS(Pantry!$C$5:$C$304,Pantry!$A$5:$A$304,B272))</f>
        <v>0</v>
      </c>
      <c r="S272" s="8">
        <f>IF(OR(B272="",C272=""),"",MAX(0,C272-R272))</f>
        <v>0</v>
      </c>
      <c r="T272" s="26"/>
      <c r="U272" s="8">
        <f>IF(OR(T272="",T272=0,G272=""),"",T272*G272)</f>
        <v>0</v>
      </c>
      <c r="V272" s="8">
        <f>IF(OR(S272="",T272="",T272=0),"",CEILING(S272/T272,1))</f>
        <v>0</v>
      </c>
      <c r="W272" s="27"/>
      <c r="X272" s="29"/>
      <c r="Y272" s="8">
        <f>IF(OR(C272="",X272=""),"",C272*(1+X272))</f>
        <v>0</v>
      </c>
      <c r="Z272" s="8">
        <f>IF(B272="","",IFERROR(INDEX(Ingredients!$O$5:$O$304,MATCH(B272,Ingredients!$A$5:$A$304,0)),""))</f>
        <v>0</v>
      </c>
      <c r="AA272" s="8">
        <f>IF(B272="","",IF(R272&gt;=C272,"In pantry","To buy"))</f>
        <v>0</v>
      </c>
      <c r="AB272" s="8">
        <f>IF(A272="","",COUNTIFS($A$5:A272,A272))</f>
        <v>0</v>
      </c>
      <c r="AC272" s="8">
        <f>IF(B272="","",IF(COUNTIFS('Dietary Filters'!$C$5:$C$104,B272)&gt;0,"Check","OK"))</f>
        <v>0</v>
      </c>
      <c r="AD272" s="25"/>
    </row>
    <row r="273" spans="1:30">
      <c r="A273" s="7"/>
      <c r="B273" s="7"/>
      <c r="C273" s="26"/>
      <c r="D273" s="27"/>
      <c r="E273" s="8">
        <f>IF(B273="","",IFERROR(INDEX(Ingredients!$B$5:$B$304,MATCH(B273,Ingredients!$A$5:$A$304,0)),""))</f>
        <v>0</v>
      </c>
      <c r="F273" s="8">
        <f>IF(B273="","",IFERROR(INDEX(Ingredients!$E$5:$E$304,MATCH(B273,Ingredients!$A$5:$A$304,0)),""))</f>
        <v>0</v>
      </c>
      <c r="G273" s="8">
        <f>IF(B273="","",IFERROR(INDEX(Ingredients!$D$5:$D$304,MATCH(B273,Ingredients!$A$5:$A$304,0)),""))</f>
        <v>0</v>
      </c>
      <c r="H273" s="8">
        <f>IF(OR(B273="",C273=""),"",IFERROR(C273*G273,""))</f>
        <v>0</v>
      </c>
      <c r="I273" s="8">
        <f>IF(A273="","",IFERROR(INDEX(Recipes!$D$5:$D$204,MATCH(A273,Recipes!$A$5:$A$204,0)),""))</f>
        <v>0</v>
      </c>
      <c r="J273" s="8">
        <f>IF(OR(H273="",I273="",I273=0),"",IFERROR(H273/I273,""))</f>
        <v>0</v>
      </c>
      <c r="K273" s="8">
        <f>IF(OR(B273="",C273=""),"",IFERROR(C273*IFERROR(INDEX(Ingredients!$H$5:$H$304,MATCH(B273,Ingredients!$A$5:$A$304,0)),""),""))</f>
        <v>0</v>
      </c>
      <c r="L273" s="8">
        <f>IF(OR(B273="",C273=""),"",IFERROR(C273*IFERROR(INDEX(Ingredients!$I$5:$I$304,MATCH(B273,Ingredients!$A$5:$A$304,0)),""),""))</f>
        <v>0</v>
      </c>
      <c r="M273" s="8">
        <f>IF(OR(B273="",C273=""),"",IFERROR(C273*IFERROR(INDEX(Ingredients!$J$5:$J$304,MATCH(B273,Ingredients!$A$5:$A$304,0)),""),""))</f>
        <v>0</v>
      </c>
      <c r="N273" s="8">
        <f>IF(OR(B273="",C273=""),"",IFERROR(C273*IFERROR(INDEX(Ingredients!$K$5:$K$304,MATCH(B273,Ingredients!$A$5:$A$304,0)),""),""))</f>
        <v>0</v>
      </c>
      <c r="O273" s="8">
        <f>IF(OR(B273="",C273=""),"",IFERROR(C273*IFERROR(INDEX(Ingredients!$L$5:$L$304,MATCH(B273,Ingredients!$A$5:$A$304,0)),""),""))</f>
        <v>0</v>
      </c>
      <c r="P273" s="8">
        <f>IF(OR(H273="",A273=""),"",IFERROR(H273/SUMIFS('Recipe Ingredients'!$H$5:$H$1204,'Recipe Ingredients'!$A$5:$A$1204,A273),""))</f>
        <v>0</v>
      </c>
      <c r="Q273" s="8">
        <f>IF(H273="","",COUNTIFS($H$5:$H$1204,"&gt;"&amp;H273)+1)</f>
        <v>0</v>
      </c>
      <c r="R273" s="8">
        <f>IF(B273="","",SUMIFS(Pantry!$C$5:$C$304,Pantry!$A$5:$A$304,B273))</f>
        <v>0</v>
      </c>
      <c r="S273" s="8">
        <f>IF(OR(B273="",C273=""),"",MAX(0,C273-R273))</f>
        <v>0</v>
      </c>
      <c r="T273" s="26"/>
      <c r="U273" s="8">
        <f>IF(OR(T273="",T273=0,G273=""),"",T273*G273)</f>
        <v>0</v>
      </c>
      <c r="V273" s="8">
        <f>IF(OR(S273="",T273="",T273=0),"",CEILING(S273/T273,1))</f>
        <v>0</v>
      </c>
      <c r="W273" s="27"/>
      <c r="X273" s="29"/>
      <c r="Y273" s="8">
        <f>IF(OR(C273="",X273=""),"",C273*(1+X273))</f>
        <v>0</v>
      </c>
      <c r="Z273" s="8">
        <f>IF(B273="","",IFERROR(INDEX(Ingredients!$O$5:$O$304,MATCH(B273,Ingredients!$A$5:$A$304,0)),""))</f>
        <v>0</v>
      </c>
      <c r="AA273" s="8">
        <f>IF(B273="","",IF(R273&gt;=C273,"In pantry","To buy"))</f>
        <v>0</v>
      </c>
      <c r="AB273" s="8">
        <f>IF(A273="","",COUNTIFS($A$5:A273,A273))</f>
        <v>0</v>
      </c>
      <c r="AC273" s="8">
        <f>IF(B273="","",IF(COUNTIFS('Dietary Filters'!$C$5:$C$104,B273)&gt;0,"Check","OK"))</f>
        <v>0</v>
      </c>
      <c r="AD273" s="25"/>
    </row>
    <row r="274" spans="1:30">
      <c r="A274" s="7"/>
      <c r="B274" s="7"/>
      <c r="C274" s="26"/>
      <c r="D274" s="27"/>
      <c r="E274" s="8">
        <f>IF(B274="","",IFERROR(INDEX(Ingredients!$B$5:$B$304,MATCH(B274,Ingredients!$A$5:$A$304,0)),""))</f>
        <v>0</v>
      </c>
      <c r="F274" s="8">
        <f>IF(B274="","",IFERROR(INDEX(Ingredients!$E$5:$E$304,MATCH(B274,Ingredients!$A$5:$A$304,0)),""))</f>
        <v>0</v>
      </c>
      <c r="G274" s="8">
        <f>IF(B274="","",IFERROR(INDEX(Ingredients!$D$5:$D$304,MATCH(B274,Ingredients!$A$5:$A$304,0)),""))</f>
        <v>0</v>
      </c>
      <c r="H274" s="8">
        <f>IF(OR(B274="",C274=""),"",IFERROR(C274*G274,""))</f>
        <v>0</v>
      </c>
      <c r="I274" s="8">
        <f>IF(A274="","",IFERROR(INDEX(Recipes!$D$5:$D$204,MATCH(A274,Recipes!$A$5:$A$204,0)),""))</f>
        <v>0</v>
      </c>
      <c r="J274" s="8">
        <f>IF(OR(H274="",I274="",I274=0),"",IFERROR(H274/I274,""))</f>
        <v>0</v>
      </c>
      <c r="K274" s="8">
        <f>IF(OR(B274="",C274=""),"",IFERROR(C274*IFERROR(INDEX(Ingredients!$H$5:$H$304,MATCH(B274,Ingredients!$A$5:$A$304,0)),""),""))</f>
        <v>0</v>
      </c>
      <c r="L274" s="8">
        <f>IF(OR(B274="",C274=""),"",IFERROR(C274*IFERROR(INDEX(Ingredients!$I$5:$I$304,MATCH(B274,Ingredients!$A$5:$A$304,0)),""),""))</f>
        <v>0</v>
      </c>
      <c r="M274" s="8">
        <f>IF(OR(B274="",C274=""),"",IFERROR(C274*IFERROR(INDEX(Ingredients!$J$5:$J$304,MATCH(B274,Ingredients!$A$5:$A$304,0)),""),""))</f>
        <v>0</v>
      </c>
      <c r="N274" s="8">
        <f>IF(OR(B274="",C274=""),"",IFERROR(C274*IFERROR(INDEX(Ingredients!$K$5:$K$304,MATCH(B274,Ingredients!$A$5:$A$304,0)),""),""))</f>
        <v>0</v>
      </c>
      <c r="O274" s="8">
        <f>IF(OR(B274="",C274=""),"",IFERROR(C274*IFERROR(INDEX(Ingredients!$L$5:$L$304,MATCH(B274,Ingredients!$A$5:$A$304,0)),""),""))</f>
        <v>0</v>
      </c>
      <c r="P274" s="8">
        <f>IF(OR(H274="",A274=""),"",IFERROR(H274/SUMIFS('Recipe Ingredients'!$H$5:$H$1204,'Recipe Ingredients'!$A$5:$A$1204,A274),""))</f>
        <v>0</v>
      </c>
      <c r="Q274" s="8">
        <f>IF(H274="","",COUNTIFS($H$5:$H$1204,"&gt;"&amp;H274)+1)</f>
        <v>0</v>
      </c>
      <c r="R274" s="8">
        <f>IF(B274="","",SUMIFS(Pantry!$C$5:$C$304,Pantry!$A$5:$A$304,B274))</f>
        <v>0</v>
      </c>
      <c r="S274" s="8">
        <f>IF(OR(B274="",C274=""),"",MAX(0,C274-R274))</f>
        <v>0</v>
      </c>
      <c r="T274" s="26"/>
      <c r="U274" s="8">
        <f>IF(OR(T274="",T274=0,G274=""),"",T274*G274)</f>
        <v>0</v>
      </c>
      <c r="V274" s="8">
        <f>IF(OR(S274="",T274="",T274=0),"",CEILING(S274/T274,1))</f>
        <v>0</v>
      </c>
      <c r="W274" s="27"/>
      <c r="X274" s="29"/>
      <c r="Y274" s="8">
        <f>IF(OR(C274="",X274=""),"",C274*(1+X274))</f>
        <v>0</v>
      </c>
      <c r="Z274" s="8">
        <f>IF(B274="","",IFERROR(INDEX(Ingredients!$O$5:$O$304,MATCH(B274,Ingredients!$A$5:$A$304,0)),""))</f>
        <v>0</v>
      </c>
      <c r="AA274" s="8">
        <f>IF(B274="","",IF(R274&gt;=C274,"In pantry","To buy"))</f>
        <v>0</v>
      </c>
      <c r="AB274" s="8">
        <f>IF(A274="","",COUNTIFS($A$5:A274,A274))</f>
        <v>0</v>
      </c>
      <c r="AC274" s="8">
        <f>IF(B274="","",IF(COUNTIFS('Dietary Filters'!$C$5:$C$104,B274)&gt;0,"Check","OK"))</f>
        <v>0</v>
      </c>
      <c r="AD274" s="25"/>
    </row>
    <row r="275" spans="1:30">
      <c r="A275" s="7"/>
      <c r="B275" s="7"/>
      <c r="C275" s="26"/>
      <c r="D275" s="27"/>
      <c r="E275" s="8">
        <f>IF(B275="","",IFERROR(INDEX(Ingredients!$B$5:$B$304,MATCH(B275,Ingredients!$A$5:$A$304,0)),""))</f>
        <v>0</v>
      </c>
      <c r="F275" s="8">
        <f>IF(B275="","",IFERROR(INDEX(Ingredients!$E$5:$E$304,MATCH(B275,Ingredients!$A$5:$A$304,0)),""))</f>
        <v>0</v>
      </c>
      <c r="G275" s="8">
        <f>IF(B275="","",IFERROR(INDEX(Ingredients!$D$5:$D$304,MATCH(B275,Ingredients!$A$5:$A$304,0)),""))</f>
        <v>0</v>
      </c>
      <c r="H275" s="8">
        <f>IF(OR(B275="",C275=""),"",IFERROR(C275*G275,""))</f>
        <v>0</v>
      </c>
      <c r="I275" s="8">
        <f>IF(A275="","",IFERROR(INDEX(Recipes!$D$5:$D$204,MATCH(A275,Recipes!$A$5:$A$204,0)),""))</f>
        <v>0</v>
      </c>
      <c r="J275" s="8">
        <f>IF(OR(H275="",I275="",I275=0),"",IFERROR(H275/I275,""))</f>
        <v>0</v>
      </c>
      <c r="K275" s="8">
        <f>IF(OR(B275="",C275=""),"",IFERROR(C275*IFERROR(INDEX(Ingredients!$H$5:$H$304,MATCH(B275,Ingredients!$A$5:$A$304,0)),""),""))</f>
        <v>0</v>
      </c>
      <c r="L275" s="8">
        <f>IF(OR(B275="",C275=""),"",IFERROR(C275*IFERROR(INDEX(Ingredients!$I$5:$I$304,MATCH(B275,Ingredients!$A$5:$A$304,0)),""),""))</f>
        <v>0</v>
      </c>
      <c r="M275" s="8">
        <f>IF(OR(B275="",C275=""),"",IFERROR(C275*IFERROR(INDEX(Ingredients!$J$5:$J$304,MATCH(B275,Ingredients!$A$5:$A$304,0)),""),""))</f>
        <v>0</v>
      </c>
      <c r="N275" s="8">
        <f>IF(OR(B275="",C275=""),"",IFERROR(C275*IFERROR(INDEX(Ingredients!$K$5:$K$304,MATCH(B275,Ingredients!$A$5:$A$304,0)),""),""))</f>
        <v>0</v>
      </c>
      <c r="O275" s="8">
        <f>IF(OR(B275="",C275=""),"",IFERROR(C275*IFERROR(INDEX(Ingredients!$L$5:$L$304,MATCH(B275,Ingredients!$A$5:$A$304,0)),""),""))</f>
        <v>0</v>
      </c>
      <c r="P275" s="8">
        <f>IF(OR(H275="",A275=""),"",IFERROR(H275/SUMIFS('Recipe Ingredients'!$H$5:$H$1204,'Recipe Ingredients'!$A$5:$A$1204,A275),""))</f>
        <v>0</v>
      </c>
      <c r="Q275" s="8">
        <f>IF(H275="","",COUNTIFS($H$5:$H$1204,"&gt;"&amp;H275)+1)</f>
        <v>0</v>
      </c>
      <c r="R275" s="8">
        <f>IF(B275="","",SUMIFS(Pantry!$C$5:$C$304,Pantry!$A$5:$A$304,B275))</f>
        <v>0</v>
      </c>
      <c r="S275" s="8">
        <f>IF(OR(B275="",C275=""),"",MAX(0,C275-R275))</f>
        <v>0</v>
      </c>
      <c r="T275" s="26"/>
      <c r="U275" s="8">
        <f>IF(OR(T275="",T275=0,G275=""),"",T275*G275)</f>
        <v>0</v>
      </c>
      <c r="V275" s="8">
        <f>IF(OR(S275="",T275="",T275=0),"",CEILING(S275/T275,1))</f>
        <v>0</v>
      </c>
      <c r="W275" s="27"/>
      <c r="X275" s="29"/>
      <c r="Y275" s="8">
        <f>IF(OR(C275="",X275=""),"",C275*(1+X275))</f>
        <v>0</v>
      </c>
      <c r="Z275" s="8">
        <f>IF(B275="","",IFERROR(INDEX(Ingredients!$O$5:$O$304,MATCH(B275,Ingredients!$A$5:$A$304,0)),""))</f>
        <v>0</v>
      </c>
      <c r="AA275" s="8">
        <f>IF(B275="","",IF(R275&gt;=C275,"In pantry","To buy"))</f>
        <v>0</v>
      </c>
      <c r="AB275" s="8">
        <f>IF(A275="","",COUNTIFS($A$5:A275,A275))</f>
        <v>0</v>
      </c>
      <c r="AC275" s="8">
        <f>IF(B275="","",IF(COUNTIFS('Dietary Filters'!$C$5:$C$104,B275)&gt;0,"Check","OK"))</f>
        <v>0</v>
      </c>
      <c r="AD275" s="25"/>
    </row>
    <row r="276" spans="1:30">
      <c r="A276" s="7"/>
      <c r="B276" s="7"/>
      <c r="C276" s="26"/>
      <c r="D276" s="27"/>
      <c r="E276" s="8">
        <f>IF(B276="","",IFERROR(INDEX(Ingredients!$B$5:$B$304,MATCH(B276,Ingredients!$A$5:$A$304,0)),""))</f>
        <v>0</v>
      </c>
      <c r="F276" s="8">
        <f>IF(B276="","",IFERROR(INDEX(Ingredients!$E$5:$E$304,MATCH(B276,Ingredients!$A$5:$A$304,0)),""))</f>
        <v>0</v>
      </c>
      <c r="G276" s="8">
        <f>IF(B276="","",IFERROR(INDEX(Ingredients!$D$5:$D$304,MATCH(B276,Ingredients!$A$5:$A$304,0)),""))</f>
        <v>0</v>
      </c>
      <c r="H276" s="8">
        <f>IF(OR(B276="",C276=""),"",IFERROR(C276*G276,""))</f>
        <v>0</v>
      </c>
      <c r="I276" s="8">
        <f>IF(A276="","",IFERROR(INDEX(Recipes!$D$5:$D$204,MATCH(A276,Recipes!$A$5:$A$204,0)),""))</f>
        <v>0</v>
      </c>
      <c r="J276" s="8">
        <f>IF(OR(H276="",I276="",I276=0),"",IFERROR(H276/I276,""))</f>
        <v>0</v>
      </c>
      <c r="K276" s="8">
        <f>IF(OR(B276="",C276=""),"",IFERROR(C276*IFERROR(INDEX(Ingredients!$H$5:$H$304,MATCH(B276,Ingredients!$A$5:$A$304,0)),""),""))</f>
        <v>0</v>
      </c>
      <c r="L276" s="8">
        <f>IF(OR(B276="",C276=""),"",IFERROR(C276*IFERROR(INDEX(Ingredients!$I$5:$I$304,MATCH(B276,Ingredients!$A$5:$A$304,0)),""),""))</f>
        <v>0</v>
      </c>
      <c r="M276" s="8">
        <f>IF(OR(B276="",C276=""),"",IFERROR(C276*IFERROR(INDEX(Ingredients!$J$5:$J$304,MATCH(B276,Ingredients!$A$5:$A$304,0)),""),""))</f>
        <v>0</v>
      </c>
      <c r="N276" s="8">
        <f>IF(OR(B276="",C276=""),"",IFERROR(C276*IFERROR(INDEX(Ingredients!$K$5:$K$304,MATCH(B276,Ingredients!$A$5:$A$304,0)),""),""))</f>
        <v>0</v>
      </c>
      <c r="O276" s="8">
        <f>IF(OR(B276="",C276=""),"",IFERROR(C276*IFERROR(INDEX(Ingredients!$L$5:$L$304,MATCH(B276,Ingredients!$A$5:$A$304,0)),""),""))</f>
        <v>0</v>
      </c>
      <c r="P276" s="8">
        <f>IF(OR(H276="",A276=""),"",IFERROR(H276/SUMIFS('Recipe Ingredients'!$H$5:$H$1204,'Recipe Ingredients'!$A$5:$A$1204,A276),""))</f>
        <v>0</v>
      </c>
      <c r="Q276" s="8">
        <f>IF(H276="","",COUNTIFS($H$5:$H$1204,"&gt;"&amp;H276)+1)</f>
        <v>0</v>
      </c>
      <c r="R276" s="8">
        <f>IF(B276="","",SUMIFS(Pantry!$C$5:$C$304,Pantry!$A$5:$A$304,B276))</f>
        <v>0</v>
      </c>
      <c r="S276" s="8">
        <f>IF(OR(B276="",C276=""),"",MAX(0,C276-R276))</f>
        <v>0</v>
      </c>
      <c r="T276" s="26"/>
      <c r="U276" s="8">
        <f>IF(OR(T276="",T276=0,G276=""),"",T276*G276)</f>
        <v>0</v>
      </c>
      <c r="V276" s="8">
        <f>IF(OR(S276="",T276="",T276=0),"",CEILING(S276/T276,1))</f>
        <v>0</v>
      </c>
      <c r="W276" s="27"/>
      <c r="X276" s="29"/>
      <c r="Y276" s="8">
        <f>IF(OR(C276="",X276=""),"",C276*(1+X276))</f>
        <v>0</v>
      </c>
      <c r="Z276" s="8">
        <f>IF(B276="","",IFERROR(INDEX(Ingredients!$O$5:$O$304,MATCH(B276,Ingredients!$A$5:$A$304,0)),""))</f>
        <v>0</v>
      </c>
      <c r="AA276" s="8">
        <f>IF(B276="","",IF(R276&gt;=C276,"In pantry","To buy"))</f>
        <v>0</v>
      </c>
      <c r="AB276" s="8">
        <f>IF(A276="","",COUNTIFS($A$5:A276,A276))</f>
        <v>0</v>
      </c>
      <c r="AC276" s="8">
        <f>IF(B276="","",IF(COUNTIFS('Dietary Filters'!$C$5:$C$104,B276)&gt;0,"Check","OK"))</f>
        <v>0</v>
      </c>
      <c r="AD276" s="25"/>
    </row>
    <row r="277" spans="1:30">
      <c r="A277" s="7"/>
      <c r="B277" s="7"/>
      <c r="C277" s="26"/>
      <c r="D277" s="27"/>
      <c r="E277" s="8">
        <f>IF(B277="","",IFERROR(INDEX(Ingredients!$B$5:$B$304,MATCH(B277,Ingredients!$A$5:$A$304,0)),""))</f>
        <v>0</v>
      </c>
      <c r="F277" s="8">
        <f>IF(B277="","",IFERROR(INDEX(Ingredients!$E$5:$E$304,MATCH(B277,Ingredients!$A$5:$A$304,0)),""))</f>
        <v>0</v>
      </c>
      <c r="G277" s="8">
        <f>IF(B277="","",IFERROR(INDEX(Ingredients!$D$5:$D$304,MATCH(B277,Ingredients!$A$5:$A$304,0)),""))</f>
        <v>0</v>
      </c>
      <c r="H277" s="8">
        <f>IF(OR(B277="",C277=""),"",IFERROR(C277*G277,""))</f>
        <v>0</v>
      </c>
      <c r="I277" s="8">
        <f>IF(A277="","",IFERROR(INDEX(Recipes!$D$5:$D$204,MATCH(A277,Recipes!$A$5:$A$204,0)),""))</f>
        <v>0</v>
      </c>
      <c r="J277" s="8">
        <f>IF(OR(H277="",I277="",I277=0),"",IFERROR(H277/I277,""))</f>
        <v>0</v>
      </c>
      <c r="K277" s="8">
        <f>IF(OR(B277="",C277=""),"",IFERROR(C277*IFERROR(INDEX(Ingredients!$H$5:$H$304,MATCH(B277,Ingredients!$A$5:$A$304,0)),""),""))</f>
        <v>0</v>
      </c>
      <c r="L277" s="8">
        <f>IF(OR(B277="",C277=""),"",IFERROR(C277*IFERROR(INDEX(Ingredients!$I$5:$I$304,MATCH(B277,Ingredients!$A$5:$A$304,0)),""),""))</f>
        <v>0</v>
      </c>
      <c r="M277" s="8">
        <f>IF(OR(B277="",C277=""),"",IFERROR(C277*IFERROR(INDEX(Ingredients!$J$5:$J$304,MATCH(B277,Ingredients!$A$5:$A$304,0)),""),""))</f>
        <v>0</v>
      </c>
      <c r="N277" s="8">
        <f>IF(OR(B277="",C277=""),"",IFERROR(C277*IFERROR(INDEX(Ingredients!$K$5:$K$304,MATCH(B277,Ingredients!$A$5:$A$304,0)),""),""))</f>
        <v>0</v>
      </c>
      <c r="O277" s="8">
        <f>IF(OR(B277="",C277=""),"",IFERROR(C277*IFERROR(INDEX(Ingredients!$L$5:$L$304,MATCH(B277,Ingredients!$A$5:$A$304,0)),""),""))</f>
        <v>0</v>
      </c>
      <c r="P277" s="8">
        <f>IF(OR(H277="",A277=""),"",IFERROR(H277/SUMIFS('Recipe Ingredients'!$H$5:$H$1204,'Recipe Ingredients'!$A$5:$A$1204,A277),""))</f>
        <v>0</v>
      </c>
      <c r="Q277" s="8">
        <f>IF(H277="","",COUNTIFS($H$5:$H$1204,"&gt;"&amp;H277)+1)</f>
        <v>0</v>
      </c>
      <c r="R277" s="8">
        <f>IF(B277="","",SUMIFS(Pantry!$C$5:$C$304,Pantry!$A$5:$A$304,B277))</f>
        <v>0</v>
      </c>
      <c r="S277" s="8">
        <f>IF(OR(B277="",C277=""),"",MAX(0,C277-R277))</f>
        <v>0</v>
      </c>
      <c r="T277" s="26"/>
      <c r="U277" s="8">
        <f>IF(OR(T277="",T277=0,G277=""),"",T277*G277)</f>
        <v>0</v>
      </c>
      <c r="V277" s="8">
        <f>IF(OR(S277="",T277="",T277=0),"",CEILING(S277/T277,1))</f>
        <v>0</v>
      </c>
      <c r="W277" s="27"/>
      <c r="X277" s="29"/>
      <c r="Y277" s="8">
        <f>IF(OR(C277="",X277=""),"",C277*(1+X277))</f>
        <v>0</v>
      </c>
      <c r="Z277" s="8">
        <f>IF(B277="","",IFERROR(INDEX(Ingredients!$O$5:$O$304,MATCH(B277,Ingredients!$A$5:$A$304,0)),""))</f>
        <v>0</v>
      </c>
      <c r="AA277" s="8">
        <f>IF(B277="","",IF(R277&gt;=C277,"In pantry","To buy"))</f>
        <v>0</v>
      </c>
      <c r="AB277" s="8">
        <f>IF(A277="","",COUNTIFS($A$5:A277,A277))</f>
        <v>0</v>
      </c>
      <c r="AC277" s="8">
        <f>IF(B277="","",IF(COUNTIFS('Dietary Filters'!$C$5:$C$104,B277)&gt;0,"Check","OK"))</f>
        <v>0</v>
      </c>
      <c r="AD277" s="25"/>
    </row>
    <row r="278" spans="1:30">
      <c r="A278" s="7"/>
      <c r="B278" s="7"/>
      <c r="C278" s="26"/>
      <c r="D278" s="27"/>
      <c r="E278" s="8">
        <f>IF(B278="","",IFERROR(INDEX(Ingredients!$B$5:$B$304,MATCH(B278,Ingredients!$A$5:$A$304,0)),""))</f>
        <v>0</v>
      </c>
      <c r="F278" s="8">
        <f>IF(B278="","",IFERROR(INDEX(Ingredients!$E$5:$E$304,MATCH(B278,Ingredients!$A$5:$A$304,0)),""))</f>
        <v>0</v>
      </c>
      <c r="G278" s="8">
        <f>IF(B278="","",IFERROR(INDEX(Ingredients!$D$5:$D$304,MATCH(B278,Ingredients!$A$5:$A$304,0)),""))</f>
        <v>0</v>
      </c>
      <c r="H278" s="8">
        <f>IF(OR(B278="",C278=""),"",IFERROR(C278*G278,""))</f>
        <v>0</v>
      </c>
      <c r="I278" s="8">
        <f>IF(A278="","",IFERROR(INDEX(Recipes!$D$5:$D$204,MATCH(A278,Recipes!$A$5:$A$204,0)),""))</f>
        <v>0</v>
      </c>
      <c r="J278" s="8">
        <f>IF(OR(H278="",I278="",I278=0),"",IFERROR(H278/I278,""))</f>
        <v>0</v>
      </c>
      <c r="K278" s="8">
        <f>IF(OR(B278="",C278=""),"",IFERROR(C278*IFERROR(INDEX(Ingredients!$H$5:$H$304,MATCH(B278,Ingredients!$A$5:$A$304,0)),""),""))</f>
        <v>0</v>
      </c>
      <c r="L278" s="8">
        <f>IF(OR(B278="",C278=""),"",IFERROR(C278*IFERROR(INDEX(Ingredients!$I$5:$I$304,MATCH(B278,Ingredients!$A$5:$A$304,0)),""),""))</f>
        <v>0</v>
      </c>
      <c r="M278" s="8">
        <f>IF(OR(B278="",C278=""),"",IFERROR(C278*IFERROR(INDEX(Ingredients!$J$5:$J$304,MATCH(B278,Ingredients!$A$5:$A$304,0)),""),""))</f>
        <v>0</v>
      </c>
      <c r="N278" s="8">
        <f>IF(OR(B278="",C278=""),"",IFERROR(C278*IFERROR(INDEX(Ingredients!$K$5:$K$304,MATCH(B278,Ingredients!$A$5:$A$304,0)),""),""))</f>
        <v>0</v>
      </c>
      <c r="O278" s="8">
        <f>IF(OR(B278="",C278=""),"",IFERROR(C278*IFERROR(INDEX(Ingredients!$L$5:$L$304,MATCH(B278,Ingredients!$A$5:$A$304,0)),""),""))</f>
        <v>0</v>
      </c>
      <c r="P278" s="8">
        <f>IF(OR(H278="",A278=""),"",IFERROR(H278/SUMIFS('Recipe Ingredients'!$H$5:$H$1204,'Recipe Ingredients'!$A$5:$A$1204,A278),""))</f>
        <v>0</v>
      </c>
      <c r="Q278" s="8">
        <f>IF(H278="","",COUNTIFS($H$5:$H$1204,"&gt;"&amp;H278)+1)</f>
        <v>0</v>
      </c>
      <c r="R278" s="8">
        <f>IF(B278="","",SUMIFS(Pantry!$C$5:$C$304,Pantry!$A$5:$A$304,B278))</f>
        <v>0</v>
      </c>
      <c r="S278" s="8">
        <f>IF(OR(B278="",C278=""),"",MAX(0,C278-R278))</f>
        <v>0</v>
      </c>
      <c r="T278" s="26"/>
      <c r="U278" s="8">
        <f>IF(OR(T278="",T278=0,G278=""),"",T278*G278)</f>
        <v>0</v>
      </c>
      <c r="V278" s="8">
        <f>IF(OR(S278="",T278="",T278=0),"",CEILING(S278/T278,1))</f>
        <v>0</v>
      </c>
      <c r="W278" s="27"/>
      <c r="X278" s="29"/>
      <c r="Y278" s="8">
        <f>IF(OR(C278="",X278=""),"",C278*(1+X278))</f>
        <v>0</v>
      </c>
      <c r="Z278" s="8">
        <f>IF(B278="","",IFERROR(INDEX(Ingredients!$O$5:$O$304,MATCH(B278,Ingredients!$A$5:$A$304,0)),""))</f>
        <v>0</v>
      </c>
      <c r="AA278" s="8">
        <f>IF(B278="","",IF(R278&gt;=C278,"In pantry","To buy"))</f>
        <v>0</v>
      </c>
      <c r="AB278" s="8">
        <f>IF(A278="","",COUNTIFS($A$5:A278,A278))</f>
        <v>0</v>
      </c>
      <c r="AC278" s="8">
        <f>IF(B278="","",IF(COUNTIFS('Dietary Filters'!$C$5:$C$104,B278)&gt;0,"Check","OK"))</f>
        <v>0</v>
      </c>
      <c r="AD278" s="25"/>
    </row>
    <row r="279" spans="1:30">
      <c r="A279" s="7"/>
      <c r="B279" s="7"/>
      <c r="C279" s="26"/>
      <c r="D279" s="27"/>
      <c r="E279" s="8">
        <f>IF(B279="","",IFERROR(INDEX(Ingredients!$B$5:$B$304,MATCH(B279,Ingredients!$A$5:$A$304,0)),""))</f>
        <v>0</v>
      </c>
      <c r="F279" s="8">
        <f>IF(B279="","",IFERROR(INDEX(Ingredients!$E$5:$E$304,MATCH(B279,Ingredients!$A$5:$A$304,0)),""))</f>
        <v>0</v>
      </c>
      <c r="G279" s="8">
        <f>IF(B279="","",IFERROR(INDEX(Ingredients!$D$5:$D$304,MATCH(B279,Ingredients!$A$5:$A$304,0)),""))</f>
        <v>0</v>
      </c>
      <c r="H279" s="8">
        <f>IF(OR(B279="",C279=""),"",IFERROR(C279*G279,""))</f>
        <v>0</v>
      </c>
      <c r="I279" s="8">
        <f>IF(A279="","",IFERROR(INDEX(Recipes!$D$5:$D$204,MATCH(A279,Recipes!$A$5:$A$204,0)),""))</f>
        <v>0</v>
      </c>
      <c r="J279" s="8">
        <f>IF(OR(H279="",I279="",I279=0),"",IFERROR(H279/I279,""))</f>
        <v>0</v>
      </c>
      <c r="K279" s="8">
        <f>IF(OR(B279="",C279=""),"",IFERROR(C279*IFERROR(INDEX(Ingredients!$H$5:$H$304,MATCH(B279,Ingredients!$A$5:$A$304,0)),""),""))</f>
        <v>0</v>
      </c>
      <c r="L279" s="8">
        <f>IF(OR(B279="",C279=""),"",IFERROR(C279*IFERROR(INDEX(Ingredients!$I$5:$I$304,MATCH(B279,Ingredients!$A$5:$A$304,0)),""),""))</f>
        <v>0</v>
      </c>
      <c r="M279" s="8">
        <f>IF(OR(B279="",C279=""),"",IFERROR(C279*IFERROR(INDEX(Ingredients!$J$5:$J$304,MATCH(B279,Ingredients!$A$5:$A$304,0)),""),""))</f>
        <v>0</v>
      </c>
      <c r="N279" s="8">
        <f>IF(OR(B279="",C279=""),"",IFERROR(C279*IFERROR(INDEX(Ingredients!$K$5:$K$304,MATCH(B279,Ingredients!$A$5:$A$304,0)),""),""))</f>
        <v>0</v>
      </c>
      <c r="O279" s="8">
        <f>IF(OR(B279="",C279=""),"",IFERROR(C279*IFERROR(INDEX(Ingredients!$L$5:$L$304,MATCH(B279,Ingredients!$A$5:$A$304,0)),""),""))</f>
        <v>0</v>
      </c>
      <c r="P279" s="8">
        <f>IF(OR(H279="",A279=""),"",IFERROR(H279/SUMIFS('Recipe Ingredients'!$H$5:$H$1204,'Recipe Ingredients'!$A$5:$A$1204,A279),""))</f>
        <v>0</v>
      </c>
      <c r="Q279" s="8">
        <f>IF(H279="","",COUNTIFS($H$5:$H$1204,"&gt;"&amp;H279)+1)</f>
        <v>0</v>
      </c>
      <c r="R279" s="8">
        <f>IF(B279="","",SUMIFS(Pantry!$C$5:$C$304,Pantry!$A$5:$A$304,B279))</f>
        <v>0</v>
      </c>
      <c r="S279" s="8">
        <f>IF(OR(B279="",C279=""),"",MAX(0,C279-R279))</f>
        <v>0</v>
      </c>
      <c r="T279" s="26"/>
      <c r="U279" s="8">
        <f>IF(OR(T279="",T279=0,G279=""),"",T279*G279)</f>
        <v>0</v>
      </c>
      <c r="V279" s="8">
        <f>IF(OR(S279="",T279="",T279=0),"",CEILING(S279/T279,1))</f>
        <v>0</v>
      </c>
      <c r="W279" s="27"/>
      <c r="X279" s="29"/>
      <c r="Y279" s="8">
        <f>IF(OR(C279="",X279=""),"",C279*(1+X279))</f>
        <v>0</v>
      </c>
      <c r="Z279" s="8">
        <f>IF(B279="","",IFERROR(INDEX(Ingredients!$O$5:$O$304,MATCH(B279,Ingredients!$A$5:$A$304,0)),""))</f>
        <v>0</v>
      </c>
      <c r="AA279" s="8">
        <f>IF(B279="","",IF(R279&gt;=C279,"In pantry","To buy"))</f>
        <v>0</v>
      </c>
      <c r="AB279" s="8">
        <f>IF(A279="","",COUNTIFS($A$5:A279,A279))</f>
        <v>0</v>
      </c>
      <c r="AC279" s="8">
        <f>IF(B279="","",IF(COUNTIFS('Dietary Filters'!$C$5:$C$104,B279)&gt;0,"Check","OK"))</f>
        <v>0</v>
      </c>
      <c r="AD279" s="25"/>
    </row>
    <row r="280" spans="1:30">
      <c r="A280" s="7"/>
      <c r="B280" s="7"/>
      <c r="C280" s="26"/>
      <c r="D280" s="27"/>
      <c r="E280" s="8">
        <f>IF(B280="","",IFERROR(INDEX(Ingredients!$B$5:$B$304,MATCH(B280,Ingredients!$A$5:$A$304,0)),""))</f>
        <v>0</v>
      </c>
      <c r="F280" s="8">
        <f>IF(B280="","",IFERROR(INDEX(Ingredients!$E$5:$E$304,MATCH(B280,Ingredients!$A$5:$A$304,0)),""))</f>
        <v>0</v>
      </c>
      <c r="G280" s="8">
        <f>IF(B280="","",IFERROR(INDEX(Ingredients!$D$5:$D$304,MATCH(B280,Ingredients!$A$5:$A$304,0)),""))</f>
        <v>0</v>
      </c>
      <c r="H280" s="8">
        <f>IF(OR(B280="",C280=""),"",IFERROR(C280*G280,""))</f>
        <v>0</v>
      </c>
      <c r="I280" s="8">
        <f>IF(A280="","",IFERROR(INDEX(Recipes!$D$5:$D$204,MATCH(A280,Recipes!$A$5:$A$204,0)),""))</f>
        <v>0</v>
      </c>
      <c r="J280" s="8">
        <f>IF(OR(H280="",I280="",I280=0),"",IFERROR(H280/I280,""))</f>
        <v>0</v>
      </c>
      <c r="K280" s="8">
        <f>IF(OR(B280="",C280=""),"",IFERROR(C280*IFERROR(INDEX(Ingredients!$H$5:$H$304,MATCH(B280,Ingredients!$A$5:$A$304,0)),""),""))</f>
        <v>0</v>
      </c>
      <c r="L280" s="8">
        <f>IF(OR(B280="",C280=""),"",IFERROR(C280*IFERROR(INDEX(Ingredients!$I$5:$I$304,MATCH(B280,Ingredients!$A$5:$A$304,0)),""),""))</f>
        <v>0</v>
      </c>
      <c r="M280" s="8">
        <f>IF(OR(B280="",C280=""),"",IFERROR(C280*IFERROR(INDEX(Ingredients!$J$5:$J$304,MATCH(B280,Ingredients!$A$5:$A$304,0)),""),""))</f>
        <v>0</v>
      </c>
      <c r="N280" s="8">
        <f>IF(OR(B280="",C280=""),"",IFERROR(C280*IFERROR(INDEX(Ingredients!$K$5:$K$304,MATCH(B280,Ingredients!$A$5:$A$304,0)),""),""))</f>
        <v>0</v>
      </c>
      <c r="O280" s="8">
        <f>IF(OR(B280="",C280=""),"",IFERROR(C280*IFERROR(INDEX(Ingredients!$L$5:$L$304,MATCH(B280,Ingredients!$A$5:$A$304,0)),""),""))</f>
        <v>0</v>
      </c>
      <c r="P280" s="8">
        <f>IF(OR(H280="",A280=""),"",IFERROR(H280/SUMIFS('Recipe Ingredients'!$H$5:$H$1204,'Recipe Ingredients'!$A$5:$A$1204,A280),""))</f>
        <v>0</v>
      </c>
      <c r="Q280" s="8">
        <f>IF(H280="","",COUNTIFS($H$5:$H$1204,"&gt;"&amp;H280)+1)</f>
        <v>0</v>
      </c>
      <c r="R280" s="8">
        <f>IF(B280="","",SUMIFS(Pantry!$C$5:$C$304,Pantry!$A$5:$A$304,B280))</f>
        <v>0</v>
      </c>
      <c r="S280" s="8">
        <f>IF(OR(B280="",C280=""),"",MAX(0,C280-R280))</f>
        <v>0</v>
      </c>
      <c r="T280" s="26"/>
      <c r="U280" s="8">
        <f>IF(OR(T280="",T280=0,G280=""),"",T280*G280)</f>
        <v>0</v>
      </c>
      <c r="V280" s="8">
        <f>IF(OR(S280="",T280="",T280=0),"",CEILING(S280/T280,1))</f>
        <v>0</v>
      </c>
      <c r="W280" s="27"/>
      <c r="X280" s="29"/>
      <c r="Y280" s="8">
        <f>IF(OR(C280="",X280=""),"",C280*(1+X280))</f>
        <v>0</v>
      </c>
      <c r="Z280" s="8">
        <f>IF(B280="","",IFERROR(INDEX(Ingredients!$O$5:$O$304,MATCH(B280,Ingredients!$A$5:$A$304,0)),""))</f>
        <v>0</v>
      </c>
      <c r="AA280" s="8">
        <f>IF(B280="","",IF(R280&gt;=C280,"In pantry","To buy"))</f>
        <v>0</v>
      </c>
      <c r="AB280" s="8">
        <f>IF(A280="","",COUNTIFS($A$5:A280,A280))</f>
        <v>0</v>
      </c>
      <c r="AC280" s="8">
        <f>IF(B280="","",IF(COUNTIFS('Dietary Filters'!$C$5:$C$104,B280)&gt;0,"Check","OK"))</f>
        <v>0</v>
      </c>
      <c r="AD280" s="25"/>
    </row>
    <row r="281" spans="1:30">
      <c r="A281" s="7"/>
      <c r="B281" s="7"/>
      <c r="C281" s="26"/>
      <c r="D281" s="27"/>
      <c r="E281" s="8">
        <f>IF(B281="","",IFERROR(INDEX(Ingredients!$B$5:$B$304,MATCH(B281,Ingredients!$A$5:$A$304,0)),""))</f>
        <v>0</v>
      </c>
      <c r="F281" s="8">
        <f>IF(B281="","",IFERROR(INDEX(Ingredients!$E$5:$E$304,MATCH(B281,Ingredients!$A$5:$A$304,0)),""))</f>
        <v>0</v>
      </c>
      <c r="G281" s="8">
        <f>IF(B281="","",IFERROR(INDEX(Ingredients!$D$5:$D$304,MATCH(B281,Ingredients!$A$5:$A$304,0)),""))</f>
        <v>0</v>
      </c>
      <c r="H281" s="8">
        <f>IF(OR(B281="",C281=""),"",IFERROR(C281*G281,""))</f>
        <v>0</v>
      </c>
      <c r="I281" s="8">
        <f>IF(A281="","",IFERROR(INDEX(Recipes!$D$5:$D$204,MATCH(A281,Recipes!$A$5:$A$204,0)),""))</f>
        <v>0</v>
      </c>
      <c r="J281" s="8">
        <f>IF(OR(H281="",I281="",I281=0),"",IFERROR(H281/I281,""))</f>
        <v>0</v>
      </c>
      <c r="K281" s="8">
        <f>IF(OR(B281="",C281=""),"",IFERROR(C281*IFERROR(INDEX(Ingredients!$H$5:$H$304,MATCH(B281,Ingredients!$A$5:$A$304,0)),""),""))</f>
        <v>0</v>
      </c>
      <c r="L281" s="8">
        <f>IF(OR(B281="",C281=""),"",IFERROR(C281*IFERROR(INDEX(Ingredients!$I$5:$I$304,MATCH(B281,Ingredients!$A$5:$A$304,0)),""),""))</f>
        <v>0</v>
      </c>
      <c r="M281" s="8">
        <f>IF(OR(B281="",C281=""),"",IFERROR(C281*IFERROR(INDEX(Ingredients!$J$5:$J$304,MATCH(B281,Ingredients!$A$5:$A$304,0)),""),""))</f>
        <v>0</v>
      </c>
      <c r="N281" s="8">
        <f>IF(OR(B281="",C281=""),"",IFERROR(C281*IFERROR(INDEX(Ingredients!$K$5:$K$304,MATCH(B281,Ingredients!$A$5:$A$304,0)),""),""))</f>
        <v>0</v>
      </c>
      <c r="O281" s="8">
        <f>IF(OR(B281="",C281=""),"",IFERROR(C281*IFERROR(INDEX(Ingredients!$L$5:$L$304,MATCH(B281,Ingredients!$A$5:$A$304,0)),""),""))</f>
        <v>0</v>
      </c>
      <c r="P281" s="8">
        <f>IF(OR(H281="",A281=""),"",IFERROR(H281/SUMIFS('Recipe Ingredients'!$H$5:$H$1204,'Recipe Ingredients'!$A$5:$A$1204,A281),""))</f>
        <v>0</v>
      </c>
      <c r="Q281" s="8">
        <f>IF(H281="","",COUNTIFS($H$5:$H$1204,"&gt;"&amp;H281)+1)</f>
        <v>0</v>
      </c>
      <c r="R281" s="8">
        <f>IF(B281="","",SUMIFS(Pantry!$C$5:$C$304,Pantry!$A$5:$A$304,B281))</f>
        <v>0</v>
      </c>
      <c r="S281" s="8">
        <f>IF(OR(B281="",C281=""),"",MAX(0,C281-R281))</f>
        <v>0</v>
      </c>
      <c r="T281" s="26"/>
      <c r="U281" s="8">
        <f>IF(OR(T281="",T281=0,G281=""),"",T281*G281)</f>
        <v>0</v>
      </c>
      <c r="V281" s="8">
        <f>IF(OR(S281="",T281="",T281=0),"",CEILING(S281/T281,1))</f>
        <v>0</v>
      </c>
      <c r="W281" s="27"/>
      <c r="X281" s="29"/>
      <c r="Y281" s="8">
        <f>IF(OR(C281="",X281=""),"",C281*(1+X281))</f>
        <v>0</v>
      </c>
      <c r="Z281" s="8">
        <f>IF(B281="","",IFERROR(INDEX(Ingredients!$O$5:$O$304,MATCH(B281,Ingredients!$A$5:$A$304,0)),""))</f>
        <v>0</v>
      </c>
      <c r="AA281" s="8">
        <f>IF(B281="","",IF(R281&gt;=C281,"In pantry","To buy"))</f>
        <v>0</v>
      </c>
      <c r="AB281" s="8">
        <f>IF(A281="","",COUNTIFS($A$5:A281,A281))</f>
        <v>0</v>
      </c>
      <c r="AC281" s="8">
        <f>IF(B281="","",IF(COUNTIFS('Dietary Filters'!$C$5:$C$104,B281)&gt;0,"Check","OK"))</f>
        <v>0</v>
      </c>
      <c r="AD281" s="25"/>
    </row>
    <row r="282" spans="1:30">
      <c r="A282" s="7"/>
      <c r="B282" s="7"/>
      <c r="C282" s="26"/>
      <c r="D282" s="27"/>
      <c r="E282" s="8">
        <f>IF(B282="","",IFERROR(INDEX(Ingredients!$B$5:$B$304,MATCH(B282,Ingredients!$A$5:$A$304,0)),""))</f>
        <v>0</v>
      </c>
      <c r="F282" s="8">
        <f>IF(B282="","",IFERROR(INDEX(Ingredients!$E$5:$E$304,MATCH(B282,Ingredients!$A$5:$A$304,0)),""))</f>
        <v>0</v>
      </c>
      <c r="G282" s="8">
        <f>IF(B282="","",IFERROR(INDEX(Ingredients!$D$5:$D$304,MATCH(B282,Ingredients!$A$5:$A$304,0)),""))</f>
        <v>0</v>
      </c>
      <c r="H282" s="8">
        <f>IF(OR(B282="",C282=""),"",IFERROR(C282*G282,""))</f>
        <v>0</v>
      </c>
      <c r="I282" s="8">
        <f>IF(A282="","",IFERROR(INDEX(Recipes!$D$5:$D$204,MATCH(A282,Recipes!$A$5:$A$204,0)),""))</f>
        <v>0</v>
      </c>
      <c r="J282" s="8">
        <f>IF(OR(H282="",I282="",I282=0),"",IFERROR(H282/I282,""))</f>
        <v>0</v>
      </c>
      <c r="K282" s="8">
        <f>IF(OR(B282="",C282=""),"",IFERROR(C282*IFERROR(INDEX(Ingredients!$H$5:$H$304,MATCH(B282,Ingredients!$A$5:$A$304,0)),""),""))</f>
        <v>0</v>
      </c>
      <c r="L282" s="8">
        <f>IF(OR(B282="",C282=""),"",IFERROR(C282*IFERROR(INDEX(Ingredients!$I$5:$I$304,MATCH(B282,Ingredients!$A$5:$A$304,0)),""),""))</f>
        <v>0</v>
      </c>
      <c r="M282" s="8">
        <f>IF(OR(B282="",C282=""),"",IFERROR(C282*IFERROR(INDEX(Ingredients!$J$5:$J$304,MATCH(B282,Ingredients!$A$5:$A$304,0)),""),""))</f>
        <v>0</v>
      </c>
      <c r="N282" s="8">
        <f>IF(OR(B282="",C282=""),"",IFERROR(C282*IFERROR(INDEX(Ingredients!$K$5:$K$304,MATCH(B282,Ingredients!$A$5:$A$304,0)),""),""))</f>
        <v>0</v>
      </c>
      <c r="O282" s="8">
        <f>IF(OR(B282="",C282=""),"",IFERROR(C282*IFERROR(INDEX(Ingredients!$L$5:$L$304,MATCH(B282,Ingredients!$A$5:$A$304,0)),""),""))</f>
        <v>0</v>
      </c>
      <c r="P282" s="8">
        <f>IF(OR(H282="",A282=""),"",IFERROR(H282/SUMIFS('Recipe Ingredients'!$H$5:$H$1204,'Recipe Ingredients'!$A$5:$A$1204,A282),""))</f>
        <v>0</v>
      </c>
      <c r="Q282" s="8">
        <f>IF(H282="","",COUNTIFS($H$5:$H$1204,"&gt;"&amp;H282)+1)</f>
        <v>0</v>
      </c>
      <c r="R282" s="8">
        <f>IF(B282="","",SUMIFS(Pantry!$C$5:$C$304,Pantry!$A$5:$A$304,B282))</f>
        <v>0</v>
      </c>
      <c r="S282" s="8">
        <f>IF(OR(B282="",C282=""),"",MAX(0,C282-R282))</f>
        <v>0</v>
      </c>
      <c r="T282" s="26"/>
      <c r="U282" s="8">
        <f>IF(OR(T282="",T282=0,G282=""),"",T282*G282)</f>
        <v>0</v>
      </c>
      <c r="V282" s="8">
        <f>IF(OR(S282="",T282="",T282=0),"",CEILING(S282/T282,1))</f>
        <v>0</v>
      </c>
      <c r="W282" s="27"/>
      <c r="X282" s="29"/>
      <c r="Y282" s="8">
        <f>IF(OR(C282="",X282=""),"",C282*(1+X282))</f>
        <v>0</v>
      </c>
      <c r="Z282" s="8">
        <f>IF(B282="","",IFERROR(INDEX(Ingredients!$O$5:$O$304,MATCH(B282,Ingredients!$A$5:$A$304,0)),""))</f>
        <v>0</v>
      </c>
      <c r="AA282" s="8">
        <f>IF(B282="","",IF(R282&gt;=C282,"In pantry","To buy"))</f>
        <v>0</v>
      </c>
      <c r="AB282" s="8">
        <f>IF(A282="","",COUNTIFS($A$5:A282,A282))</f>
        <v>0</v>
      </c>
      <c r="AC282" s="8">
        <f>IF(B282="","",IF(COUNTIFS('Dietary Filters'!$C$5:$C$104,B282)&gt;0,"Check","OK"))</f>
        <v>0</v>
      </c>
      <c r="AD282" s="25"/>
    </row>
    <row r="283" spans="1:30">
      <c r="A283" s="7"/>
      <c r="B283" s="7"/>
      <c r="C283" s="26"/>
      <c r="D283" s="27"/>
      <c r="E283" s="8">
        <f>IF(B283="","",IFERROR(INDEX(Ingredients!$B$5:$B$304,MATCH(B283,Ingredients!$A$5:$A$304,0)),""))</f>
        <v>0</v>
      </c>
      <c r="F283" s="8">
        <f>IF(B283="","",IFERROR(INDEX(Ingredients!$E$5:$E$304,MATCH(B283,Ingredients!$A$5:$A$304,0)),""))</f>
        <v>0</v>
      </c>
      <c r="G283" s="8">
        <f>IF(B283="","",IFERROR(INDEX(Ingredients!$D$5:$D$304,MATCH(B283,Ingredients!$A$5:$A$304,0)),""))</f>
        <v>0</v>
      </c>
      <c r="H283" s="8">
        <f>IF(OR(B283="",C283=""),"",IFERROR(C283*G283,""))</f>
        <v>0</v>
      </c>
      <c r="I283" s="8">
        <f>IF(A283="","",IFERROR(INDEX(Recipes!$D$5:$D$204,MATCH(A283,Recipes!$A$5:$A$204,0)),""))</f>
        <v>0</v>
      </c>
      <c r="J283" s="8">
        <f>IF(OR(H283="",I283="",I283=0),"",IFERROR(H283/I283,""))</f>
        <v>0</v>
      </c>
      <c r="K283" s="8">
        <f>IF(OR(B283="",C283=""),"",IFERROR(C283*IFERROR(INDEX(Ingredients!$H$5:$H$304,MATCH(B283,Ingredients!$A$5:$A$304,0)),""),""))</f>
        <v>0</v>
      </c>
      <c r="L283" s="8">
        <f>IF(OR(B283="",C283=""),"",IFERROR(C283*IFERROR(INDEX(Ingredients!$I$5:$I$304,MATCH(B283,Ingredients!$A$5:$A$304,0)),""),""))</f>
        <v>0</v>
      </c>
      <c r="M283" s="8">
        <f>IF(OR(B283="",C283=""),"",IFERROR(C283*IFERROR(INDEX(Ingredients!$J$5:$J$304,MATCH(B283,Ingredients!$A$5:$A$304,0)),""),""))</f>
        <v>0</v>
      </c>
      <c r="N283" s="8">
        <f>IF(OR(B283="",C283=""),"",IFERROR(C283*IFERROR(INDEX(Ingredients!$K$5:$K$304,MATCH(B283,Ingredients!$A$5:$A$304,0)),""),""))</f>
        <v>0</v>
      </c>
      <c r="O283" s="8">
        <f>IF(OR(B283="",C283=""),"",IFERROR(C283*IFERROR(INDEX(Ingredients!$L$5:$L$304,MATCH(B283,Ingredients!$A$5:$A$304,0)),""),""))</f>
        <v>0</v>
      </c>
      <c r="P283" s="8">
        <f>IF(OR(H283="",A283=""),"",IFERROR(H283/SUMIFS('Recipe Ingredients'!$H$5:$H$1204,'Recipe Ingredients'!$A$5:$A$1204,A283),""))</f>
        <v>0</v>
      </c>
      <c r="Q283" s="8">
        <f>IF(H283="","",COUNTIFS($H$5:$H$1204,"&gt;"&amp;H283)+1)</f>
        <v>0</v>
      </c>
      <c r="R283" s="8">
        <f>IF(B283="","",SUMIFS(Pantry!$C$5:$C$304,Pantry!$A$5:$A$304,B283))</f>
        <v>0</v>
      </c>
      <c r="S283" s="8">
        <f>IF(OR(B283="",C283=""),"",MAX(0,C283-R283))</f>
        <v>0</v>
      </c>
      <c r="T283" s="26"/>
      <c r="U283" s="8">
        <f>IF(OR(T283="",T283=0,G283=""),"",T283*G283)</f>
        <v>0</v>
      </c>
      <c r="V283" s="8">
        <f>IF(OR(S283="",T283="",T283=0),"",CEILING(S283/T283,1))</f>
        <v>0</v>
      </c>
      <c r="W283" s="27"/>
      <c r="X283" s="29"/>
      <c r="Y283" s="8">
        <f>IF(OR(C283="",X283=""),"",C283*(1+X283))</f>
        <v>0</v>
      </c>
      <c r="Z283" s="8">
        <f>IF(B283="","",IFERROR(INDEX(Ingredients!$O$5:$O$304,MATCH(B283,Ingredients!$A$5:$A$304,0)),""))</f>
        <v>0</v>
      </c>
      <c r="AA283" s="8">
        <f>IF(B283="","",IF(R283&gt;=C283,"In pantry","To buy"))</f>
        <v>0</v>
      </c>
      <c r="AB283" s="8">
        <f>IF(A283="","",COUNTIFS($A$5:A283,A283))</f>
        <v>0</v>
      </c>
      <c r="AC283" s="8">
        <f>IF(B283="","",IF(COUNTIFS('Dietary Filters'!$C$5:$C$104,B283)&gt;0,"Check","OK"))</f>
        <v>0</v>
      </c>
      <c r="AD283" s="25"/>
    </row>
    <row r="284" spans="1:30">
      <c r="A284" s="7"/>
      <c r="B284" s="7"/>
      <c r="C284" s="26"/>
      <c r="D284" s="27"/>
      <c r="E284" s="8">
        <f>IF(B284="","",IFERROR(INDEX(Ingredients!$B$5:$B$304,MATCH(B284,Ingredients!$A$5:$A$304,0)),""))</f>
        <v>0</v>
      </c>
      <c r="F284" s="8">
        <f>IF(B284="","",IFERROR(INDEX(Ingredients!$E$5:$E$304,MATCH(B284,Ingredients!$A$5:$A$304,0)),""))</f>
        <v>0</v>
      </c>
      <c r="G284" s="8">
        <f>IF(B284="","",IFERROR(INDEX(Ingredients!$D$5:$D$304,MATCH(B284,Ingredients!$A$5:$A$304,0)),""))</f>
        <v>0</v>
      </c>
      <c r="H284" s="8">
        <f>IF(OR(B284="",C284=""),"",IFERROR(C284*G284,""))</f>
        <v>0</v>
      </c>
      <c r="I284" s="8">
        <f>IF(A284="","",IFERROR(INDEX(Recipes!$D$5:$D$204,MATCH(A284,Recipes!$A$5:$A$204,0)),""))</f>
        <v>0</v>
      </c>
      <c r="J284" s="8">
        <f>IF(OR(H284="",I284="",I284=0),"",IFERROR(H284/I284,""))</f>
        <v>0</v>
      </c>
      <c r="K284" s="8">
        <f>IF(OR(B284="",C284=""),"",IFERROR(C284*IFERROR(INDEX(Ingredients!$H$5:$H$304,MATCH(B284,Ingredients!$A$5:$A$304,0)),""),""))</f>
        <v>0</v>
      </c>
      <c r="L284" s="8">
        <f>IF(OR(B284="",C284=""),"",IFERROR(C284*IFERROR(INDEX(Ingredients!$I$5:$I$304,MATCH(B284,Ingredients!$A$5:$A$304,0)),""),""))</f>
        <v>0</v>
      </c>
      <c r="M284" s="8">
        <f>IF(OR(B284="",C284=""),"",IFERROR(C284*IFERROR(INDEX(Ingredients!$J$5:$J$304,MATCH(B284,Ingredients!$A$5:$A$304,0)),""),""))</f>
        <v>0</v>
      </c>
      <c r="N284" s="8">
        <f>IF(OR(B284="",C284=""),"",IFERROR(C284*IFERROR(INDEX(Ingredients!$K$5:$K$304,MATCH(B284,Ingredients!$A$5:$A$304,0)),""),""))</f>
        <v>0</v>
      </c>
      <c r="O284" s="8">
        <f>IF(OR(B284="",C284=""),"",IFERROR(C284*IFERROR(INDEX(Ingredients!$L$5:$L$304,MATCH(B284,Ingredients!$A$5:$A$304,0)),""),""))</f>
        <v>0</v>
      </c>
      <c r="P284" s="8">
        <f>IF(OR(H284="",A284=""),"",IFERROR(H284/SUMIFS('Recipe Ingredients'!$H$5:$H$1204,'Recipe Ingredients'!$A$5:$A$1204,A284),""))</f>
        <v>0</v>
      </c>
      <c r="Q284" s="8">
        <f>IF(H284="","",COUNTIFS($H$5:$H$1204,"&gt;"&amp;H284)+1)</f>
        <v>0</v>
      </c>
      <c r="R284" s="8">
        <f>IF(B284="","",SUMIFS(Pantry!$C$5:$C$304,Pantry!$A$5:$A$304,B284))</f>
        <v>0</v>
      </c>
      <c r="S284" s="8">
        <f>IF(OR(B284="",C284=""),"",MAX(0,C284-R284))</f>
        <v>0</v>
      </c>
      <c r="T284" s="26"/>
      <c r="U284" s="8">
        <f>IF(OR(T284="",T284=0,G284=""),"",T284*G284)</f>
        <v>0</v>
      </c>
      <c r="V284" s="8">
        <f>IF(OR(S284="",T284="",T284=0),"",CEILING(S284/T284,1))</f>
        <v>0</v>
      </c>
      <c r="W284" s="27"/>
      <c r="X284" s="29"/>
      <c r="Y284" s="8">
        <f>IF(OR(C284="",X284=""),"",C284*(1+X284))</f>
        <v>0</v>
      </c>
      <c r="Z284" s="8">
        <f>IF(B284="","",IFERROR(INDEX(Ingredients!$O$5:$O$304,MATCH(B284,Ingredients!$A$5:$A$304,0)),""))</f>
        <v>0</v>
      </c>
      <c r="AA284" s="8">
        <f>IF(B284="","",IF(R284&gt;=C284,"In pantry","To buy"))</f>
        <v>0</v>
      </c>
      <c r="AB284" s="8">
        <f>IF(A284="","",COUNTIFS($A$5:A284,A284))</f>
        <v>0</v>
      </c>
      <c r="AC284" s="8">
        <f>IF(B284="","",IF(COUNTIFS('Dietary Filters'!$C$5:$C$104,B284)&gt;0,"Check","OK"))</f>
        <v>0</v>
      </c>
      <c r="AD284" s="25"/>
    </row>
    <row r="285" spans="1:30">
      <c r="A285" s="7"/>
      <c r="B285" s="7"/>
      <c r="C285" s="26"/>
      <c r="D285" s="27"/>
      <c r="E285" s="8">
        <f>IF(B285="","",IFERROR(INDEX(Ingredients!$B$5:$B$304,MATCH(B285,Ingredients!$A$5:$A$304,0)),""))</f>
        <v>0</v>
      </c>
      <c r="F285" s="8">
        <f>IF(B285="","",IFERROR(INDEX(Ingredients!$E$5:$E$304,MATCH(B285,Ingredients!$A$5:$A$304,0)),""))</f>
        <v>0</v>
      </c>
      <c r="G285" s="8">
        <f>IF(B285="","",IFERROR(INDEX(Ingredients!$D$5:$D$304,MATCH(B285,Ingredients!$A$5:$A$304,0)),""))</f>
        <v>0</v>
      </c>
      <c r="H285" s="8">
        <f>IF(OR(B285="",C285=""),"",IFERROR(C285*G285,""))</f>
        <v>0</v>
      </c>
      <c r="I285" s="8">
        <f>IF(A285="","",IFERROR(INDEX(Recipes!$D$5:$D$204,MATCH(A285,Recipes!$A$5:$A$204,0)),""))</f>
        <v>0</v>
      </c>
      <c r="J285" s="8">
        <f>IF(OR(H285="",I285="",I285=0),"",IFERROR(H285/I285,""))</f>
        <v>0</v>
      </c>
      <c r="K285" s="8">
        <f>IF(OR(B285="",C285=""),"",IFERROR(C285*IFERROR(INDEX(Ingredients!$H$5:$H$304,MATCH(B285,Ingredients!$A$5:$A$304,0)),""),""))</f>
        <v>0</v>
      </c>
      <c r="L285" s="8">
        <f>IF(OR(B285="",C285=""),"",IFERROR(C285*IFERROR(INDEX(Ingredients!$I$5:$I$304,MATCH(B285,Ingredients!$A$5:$A$304,0)),""),""))</f>
        <v>0</v>
      </c>
      <c r="M285" s="8">
        <f>IF(OR(B285="",C285=""),"",IFERROR(C285*IFERROR(INDEX(Ingredients!$J$5:$J$304,MATCH(B285,Ingredients!$A$5:$A$304,0)),""),""))</f>
        <v>0</v>
      </c>
      <c r="N285" s="8">
        <f>IF(OR(B285="",C285=""),"",IFERROR(C285*IFERROR(INDEX(Ingredients!$K$5:$K$304,MATCH(B285,Ingredients!$A$5:$A$304,0)),""),""))</f>
        <v>0</v>
      </c>
      <c r="O285" s="8">
        <f>IF(OR(B285="",C285=""),"",IFERROR(C285*IFERROR(INDEX(Ingredients!$L$5:$L$304,MATCH(B285,Ingredients!$A$5:$A$304,0)),""),""))</f>
        <v>0</v>
      </c>
      <c r="P285" s="8">
        <f>IF(OR(H285="",A285=""),"",IFERROR(H285/SUMIFS('Recipe Ingredients'!$H$5:$H$1204,'Recipe Ingredients'!$A$5:$A$1204,A285),""))</f>
        <v>0</v>
      </c>
      <c r="Q285" s="8">
        <f>IF(H285="","",COUNTIFS($H$5:$H$1204,"&gt;"&amp;H285)+1)</f>
        <v>0</v>
      </c>
      <c r="R285" s="8">
        <f>IF(B285="","",SUMIFS(Pantry!$C$5:$C$304,Pantry!$A$5:$A$304,B285))</f>
        <v>0</v>
      </c>
      <c r="S285" s="8">
        <f>IF(OR(B285="",C285=""),"",MAX(0,C285-R285))</f>
        <v>0</v>
      </c>
      <c r="T285" s="26"/>
      <c r="U285" s="8">
        <f>IF(OR(T285="",T285=0,G285=""),"",T285*G285)</f>
        <v>0</v>
      </c>
      <c r="V285" s="8">
        <f>IF(OR(S285="",T285="",T285=0),"",CEILING(S285/T285,1))</f>
        <v>0</v>
      </c>
      <c r="W285" s="27"/>
      <c r="X285" s="29"/>
      <c r="Y285" s="8">
        <f>IF(OR(C285="",X285=""),"",C285*(1+X285))</f>
        <v>0</v>
      </c>
      <c r="Z285" s="8">
        <f>IF(B285="","",IFERROR(INDEX(Ingredients!$O$5:$O$304,MATCH(B285,Ingredients!$A$5:$A$304,0)),""))</f>
        <v>0</v>
      </c>
      <c r="AA285" s="8">
        <f>IF(B285="","",IF(R285&gt;=C285,"In pantry","To buy"))</f>
        <v>0</v>
      </c>
      <c r="AB285" s="8">
        <f>IF(A285="","",COUNTIFS($A$5:A285,A285))</f>
        <v>0</v>
      </c>
      <c r="AC285" s="8">
        <f>IF(B285="","",IF(COUNTIFS('Dietary Filters'!$C$5:$C$104,B285)&gt;0,"Check","OK"))</f>
        <v>0</v>
      </c>
      <c r="AD285" s="25"/>
    </row>
    <row r="286" spans="1:30">
      <c r="A286" s="7"/>
      <c r="B286" s="7"/>
      <c r="C286" s="26"/>
      <c r="D286" s="27"/>
      <c r="E286" s="8">
        <f>IF(B286="","",IFERROR(INDEX(Ingredients!$B$5:$B$304,MATCH(B286,Ingredients!$A$5:$A$304,0)),""))</f>
        <v>0</v>
      </c>
      <c r="F286" s="8">
        <f>IF(B286="","",IFERROR(INDEX(Ingredients!$E$5:$E$304,MATCH(B286,Ingredients!$A$5:$A$304,0)),""))</f>
        <v>0</v>
      </c>
      <c r="G286" s="8">
        <f>IF(B286="","",IFERROR(INDEX(Ingredients!$D$5:$D$304,MATCH(B286,Ingredients!$A$5:$A$304,0)),""))</f>
        <v>0</v>
      </c>
      <c r="H286" s="8">
        <f>IF(OR(B286="",C286=""),"",IFERROR(C286*G286,""))</f>
        <v>0</v>
      </c>
      <c r="I286" s="8">
        <f>IF(A286="","",IFERROR(INDEX(Recipes!$D$5:$D$204,MATCH(A286,Recipes!$A$5:$A$204,0)),""))</f>
        <v>0</v>
      </c>
      <c r="J286" s="8">
        <f>IF(OR(H286="",I286="",I286=0),"",IFERROR(H286/I286,""))</f>
        <v>0</v>
      </c>
      <c r="K286" s="8">
        <f>IF(OR(B286="",C286=""),"",IFERROR(C286*IFERROR(INDEX(Ingredients!$H$5:$H$304,MATCH(B286,Ingredients!$A$5:$A$304,0)),""),""))</f>
        <v>0</v>
      </c>
      <c r="L286" s="8">
        <f>IF(OR(B286="",C286=""),"",IFERROR(C286*IFERROR(INDEX(Ingredients!$I$5:$I$304,MATCH(B286,Ingredients!$A$5:$A$304,0)),""),""))</f>
        <v>0</v>
      </c>
      <c r="M286" s="8">
        <f>IF(OR(B286="",C286=""),"",IFERROR(C286*IFERROR(INDEX(Ingredients!$J$5:$J$304,MATCH(B286,Ingredients!$A$5:$A$304,0)),""),""))</f>
        <v>0</v>
      </c>
      <c r="N286" s="8">
        <f>IF(OR(B286="",C286=""),"",IFERROR(C286*IFERROR(INDEX(Ingredients!$K$5:$K$304,MATCH(B286,Ingredients!$A$5:$A$304,0)),""),""))</f>
        <v>0</v>
      </c>
      <c r="O286" s="8">
        <f>IF(OR(B286="",C286=""),"",IFERROR(C286*IFERROR(INDEX(Ingredients!$L$5:$L$304,MATCH(B286,Ingredients!$A$5:$A$304,0)),""),""))</f>
        <v>0</v>
      </c>
      <c r="P286" s="8">
        <f>IF(OR(H286="",A286=""),"",IFERROR(H286/SUMIFS('Recipe Ingredients'!$H$5:$H$1204,'Recipe Ingredients'!$A$5:$A$1204,A286),""))</f>
        <v>0</v>
      </c>
      <c r="Q286" s="8">
        <f>IF(H286="","",COUNTIFS($H$5:$H$1204,"&gt;"&amp;H286)+1)</f>
        <v>0</v>
      </c>
      <c r="R286" s="8">
        <f>IF(B286="","",SUMIFS(Pantry!$C$5:$C$304,Pantry!$A$5:$A$304,B286))</f>
        <v>0</v>
      </c>
      <c r="S286" s="8">
        <f>IF(OR(B286="",C286=""),"",MAX(0,C286-R286))</f>
        <v>0</v>
      </c>
      <c r="T286" s="26"/>
      <c r="U286" s="8">
        <f>IF(OR(T286="",T286=0,G286=""),"",T286*G286)</f>
        <v>0</v>
      </c>
      <c r="V286" s="8">
        <f>IF(OR(S286="",T286="",T286=0),"",CEILING(S286/T286,1))</f>
        <v>0</v>
      </c>
      <c r="W286" s="27"/>
      <c r="X286" s="29"/>
      <c r="Y286" s="8">
        <f>IF(OR(C286="",X286=""),"",C286*(1+X286))</f>
        <v>0</v>
      </c>
      <c r="Z286" s="8">
        <f>IF(B286="","",IFERROR(INDEX(Ingredients!$O$5:$O$304,MATCH(B286,Ingredients!$A$5:$A$304,0)),""))</f>
        <v>0</v>
      </c>
      <c r="AA286" s="8">
        <f>IF(B286="","",IF(R286&gt;=C286,"In pantry","To buy"))</f>
        <v>0</v>
      </c>
      <c r="AB286" s="8">
        <f>IF(A286="","",COUNTIFS($A$5:A286,A286))</f>
        <v>0</v>
      </c>
      <c r="AC286" s="8">
        <f>IF(B286="","",IF(COUNTIFS('Dietary Filters'!$C$5:$C$104,B286)&gt;0,"Check","OK"))</f>
        <v>0</v>
      </c>
      <c r="AD286" s="25"/>
    </row>
    <row r="287" spans="1:30">
      <c r="A287" s="7"/>
      <c r="B287" s="7"/>
      <c r="C287" s="26"/>
      <c r="D287" s="27"/>
      <c r="E287" s="8">
        <f>IF(B287="","",IFERROR(INDEX(Ingredients!$B$5:$B$304,MATCH(B287,Ingredients!$A$5:$A$304,0)),""))</f>
        <v>0</v>
      </c>
      <c r="F287" s="8">
        <f>IF(B287="","",IFERROR(INDEX(Ingredients!$E$5:$E$304,MATCH(B287,Ingredients!$A$5:$A$304,0)),""))</f>
        <v>0</v>
      </c>
      <c r="G287" s="8">
        <f>IF(B287="","",IFERROR(INDEX(Ingredients!$D$5:$D$304,MATCH(B287,Ingredients!$A$5:$A$304,0)),""))</f>
        <v>0</v>
      </c>
      <c r="H287" s="8">
        <f>IF(OR(B287="",C287=""),"",IFERROR(C287*G287,""))</f>
        <v>0</v>
      </c>
      <c r="I287" s="8">
        <f>IF(A287="","",IFERROR(INDEX(Recipes!$D$5:$D$204,MATCH(A287,Recipes!$A$5:$A$204,0)),""))</f>
        <v>0</v>
      </c>
      <c r="J287" s="8">
        <f>IF(OR(H287="",I287="",I287=0),"",IFERROR(H287/I287,""))</f>
        <v>0</v>
      </c>
      <c r="K287" s="8">
        <f>IF(OR(B287="",C287=""),"",IFERROR(C287*IFERROR(INDEX(Ingredients!$H$5:$H$304,MATCH(B287,Ingredients!$A$5:$A$304,0)),""),""))</f>
        <v>0</v>
      </c>
      <c r="L287" s="8">
        <f>IF(OR(B287="",C287=""),"",IFERROR(C287*IFERROR(INDEX(Ingredients!$I$5:$I$304,MATCH(B287,Ingredients!$A$5:$A$304,0)),""),""))</f>
        <v>0</v>
      </c>
      <c r="M287" s="8">
        <f>IF(OR(B287="",C287=""),"",IFERROR(C287*IFERROR(INDEX(Ingredients!$J$5:$J$304,MATCH(B287,Ingredients!$A$5:$A$304,0)),""),""))</f>
        <v>0</v>
      </c>
      <c r="N287" s="8">
        <f>IF(OR(B287="",C287=""),"",IFERROR(C287*IFERROR(INDEX(Ingredients!$K$5:$K$304,MATCH(B287,Ingredients!$A$5:$A$304,0)),""),""))</f>
        <v>0</v>
      </c>
      <c r="O287" s="8">
        <f>IF(OR(B287="",C287=""),"",IFERROR(C287*IFERROR(INDEX(Ingredients!$L$5:$L$304,MATCH(B287,Ingredients!$A$5:$A$304,0)),""),""))</f>
        <v>0</v>
      </c>
      <c r="P287" s="8">
        <f>IF(OR(H287="",A287=""),"",IFERROR(H287/SUMIFS('Recipe Ingredients'!$H$5:$H$1204,'Recipe Ingredients'!$A$5:$A$1204,A287),""))</f>
        <v>0</v>
      </c>
      <c r="Q287" s="8">
        <f>IF(H287="","",COUNTIFS($H$5:$H$1204,"&gt;"&amp;H287)+1)</f>
        <v>0</v>
      </c>
      <c r="R287" s="8">
        <f>IF(B287="","",SUMIFS(Pantry!$C$5:$C$304,Pantry!$A$5:$A$304,B287))</f>
        <v>0</v>
      </c>
      <c r="S287" s="8">
        <f>IF(OR(B287="",C287=""),"",MAX(0,C287-R287))</f>
        <v>0</v>
      </c>
      <c r="T287" s="26"/>
      <c r="U287" s="8">
        <f>IF(OR(T287="",T287=0,G287=""),"",T287*G287)</f>
        <v>0</v>
      </c>
      <c r="V287" s="8">
        <f>IF(OR(S287="",T287="",T287=0),"",CEILING(S287/T287,1))</f>
        <v>0</v>
      </c>
      <c r="W287" s="27"/>
      <c r="X287" s="29"/>
      <c r="Y287" s="8">
        <f>IF(OR(C287="",X287=""),"",C287*(1+X287))</f>
        <v>0</v>
      </c>
      <c r="Z287" s="8">
        <f>IF(B287="","",IFERROR(INDEX(Ingredients!$O$5:$O$304,MATCH(B287,Ingredients!$A$5:$A$304,0)),""))</f>
        <v>0</v>
      </c>
      <c r="AA287" s="8">
        <f>IF(B287="","",IF(R287&gt;=C287,"In pantry","To buy"))</f>
        <v>0</v>
      </c>
      <c r="AB287" s="8">
        <f>IF(A287="","",COUNTIFS($A$5:A287,A287))</f>
        <v>0</v>
      </c>
      <c r="AC287" s="8">
        <f>IF(B287="","",IF(COUNTIFS('Dietary Filters'!$C$5:$C$104,B287)&gt;0,"Check","OK"))</f>
        <v>0</v>
      </c>
      <c r="AD287" s="25"/>
    </row>
    <row r="288" spans="1:30">
      <c r="A288" s="7"/>
      <c r="B288" s="7"/>
      <c r="C288" s="26"/>
      <c r="D288" s="27"/>
      <c r="E288" s="8">
        <f>IF(B288="","",IFERROR(INDEX(Ingredients!$B$5:$B$304,MATCH(B288,Ingredients!$A$5:$A$304,0)),""))</f>
        <v>0</v>
      </c>
      <c r="F288" s="8">
        <f>IF(B288="","",IFERROR(INDEX(Ingredients!$E$5:$E$304,MATCH(B288,Ingredients!$A$5:$A$304,0)),""))</f>
        <v>0</v>
      </c>
      <c r="G288" s="8">
        <f>IF(B288="","",IFERROR(INDEX(Ingredients!$D$5:$D$304,MATCH(B288,Ingredients!$A$5:$A$304,0)),""))</f>
        <v>0</v>
      </c>
      <c r="H288" s="8">
        <f>IF(OR(B288="",C288=""),"",IFERROR(C288*G288,""))</f>
        <v>0</v>
      </c>
      <c r="I288" s="8">
        <f>IF(A288="","",IFERROR(INDEX(Recipes!$D$5:$D$204,MATCH(A288,Recipes!$A$5:$A$204,0)),""))</f>
        <v>0</v>
      </c>
      <c r="J288" s="8">
        <f>IF(OR(H288="",I288="",I288=0),"",IFERROR(H288/I288,""))</f>
        <v>0</v>
      </c>
      <c r="K288" s="8">
        <f>IF(OR(B288="",C288=""),"",IFERROR(C288*IFERROR(INDEX(Ingredients!$H$5:$H$304,MATCH(B288,Ingredients!$A$5:$A$304,0)),""),""))</f>
        <v>0</v>
      </c>
      <c r="L288" s="8">
        <f>IF(OR(B288="",C288=""),"",IFERROR(C288*IFERROR(INDEX(Ingredients!$I$5:$I$304,MATCH(B288,Ingredients!$A$5:$A$304,0)),""),""))</f>
        <v>0</v>
      </c>
      <c r="M288" s="8">
        <f>IF(OR(B288="",C288=""),"",IFERROR(C288*IFERROR(INDEX(Ingredients!$J$5:$J$304,MATCH(B288,Ingredients!$A$5:$A$304,0)),""),""))</f>
        <v>0</v>
      </c>
      <c r="N288" s="8">
        <f>IF(OR(B288="",C288=""),"",IFERROR(C288*IFERROR(INDEX(Ingredients!$K$5:$K$304,MATCH(B288,Ingredients!$A$5:$A$304,0)),""),""))</f>
        <v>0</v>
      </c>
      <c r="O288" s="8">
        <f>IF(OR(B288="",C288=""),"",IFERROR(C288*IFERROR(INDEX(Ingredients!$L$5:$L$304,MATCH(B288,Ingredients!$A$5:$A$304,0)),""),""))</f>
        <v>0</v>
      </c>
      <c r="P288" s="8">
        <f>IF(OR(H288="",A288=""),"",IFERROR(H288/SUMIFS('Recipe Ingredients'!$H$5:$H$1204,'Recipe Ingredients'!$A$5:$A$1204,A288),""))</f>
        <v>0</v>
      </c>
      <c r="Q288" s="8">
        <f>IF(H288="","",COUNTIFS($H$5:$H$1204,"&gt;"&amp;H288)+1)</f>
        <v>0</v>
      </c>
      <c r="R288" s="8">
        <f>IF(B288="","",SUMIFS(Pantry!$C$5:$C$304,Pantry!$A$5:$A$304,B288))</f>
        <v>0</v>
      </c>
      <c r="S288" s="8">
        <f>IF(OR(B288="",C288=""),"",MAX(0,C288-R288))</f>
        <v>0</v>
      </c>
      <c r="T288" s="26"/>
      <c r="U288" s="8">
        <f>IF(OR(T288="",T288=0,G288=""),"",T288*G288)</f>
        <v>0</v>
      </c>
      <c r="V288" s="8">
        <f>IF(OR(S288="",T288="",T288=0),"",CEILING(S288/T288,1))</f>
        <v>0</v>
      </c>
      <c r="W288" s="27"/>
      <c r="X288" s="29"/>
      <c r="Y288" s="8">
        <f>IF(OR(C288="",X288=""),"",C288*(1+X288))</f>
        <v>0</v>
      </c>
      <c r="Z288" s="8">
        <f>IF(B288="","",IFERROR(INDEX(Ingredients!$O$5:$O$304,MATCH(B288,Ingredients!$A$5:$A$304,0)),""))</f>
        <v>0</v>
      </c>
      <c r="AA288" s="8">
        <f>IF(B288="","",IF(R288&gt;=C288,"In pantry","To buy"))</f>
        <v>0</v>
      </c>
      <c r="AB288" s="8">
        <f>IF(A288="","",COUNTIFS($A$5:A288,A288))</f>
        <v>0</v>
      </c>
      <c r="AC288" s="8">
        <f>IF(B288="","",IF(COUNTIFS('Dietary Filters'!$C$5:$C$104,B288)&gt;0,"Check","OK"))</f>
        <v>0</v>
      </c>
      <c r="AD288" s="25"/>
    </row>
    <row r="289" spans="1:30">
      <c r="A289" s="7"/>
      <c r="B289" s="7"/>
      <c r="C289" s="26"/>
      <c r="D289" s="27"/>
      <c r="E289" s="8">
        <f>IF(B289="","",IFERROR(INDEX(Ingredients!$B$5:$B$304,MATCH(B289,Ingredients!$A$5:$A$304,0)),""))</f>
        <v>0</v>
      </c>
      <c r="F289" s="8">
        <f>IF(B289="","",IFERROR(INDEX(Ingredients!$E$5:$E$304,MATCH(B289,Ingredients!$A$5:$A$304,0)),""))</f>
        <v>0</v>
      </c>
      <c r="G289" s="8">
        <f>IF(B289="","",IFERROR(INDEX(Ingredients!$D$5:$D$304,MATCH(B289,Ingredients!$A$5:$A$304,0)),""))</f>
        <v>0</v>
      </c>
      <c r="H289" s="8">
        <f>IF(OR(B289="",C289=""),"",IFERROR(C289*G289,""))</f>
        <v>0</v>
      </c>
      <c r="I289" s="8">
        <f>IF(A289="","",IFERROR(INDEX(Recipes!$D$5:$D$204,MATCH(A289,Recipes!$A$5:$A$204,0)),""))</f>
        <v>0</v>
      </c>
      <c r="J289" s="8">
        <f>IF(OR(H289="",I289="",I289=0),"",IFERROR(H289/I289,""))</f>
        <v>0</v>
      </c>
      <c r="K289" s="8">
        <f>IF(OR(B289="",C289=""),"",IFERROR(C289*IFERROR(INDEX(Ingredients!$H$5:$H$304,MATCH(B289,Ingredients!$A$5:$A$304,0)),""),""))</f>
        <v>0</v>
      </c>
      <c r="L289" s="8">
        <f>IF(OR(B289="",C289=""),"",IFERROR(C289*IFERROR(INDEX(Ingredients!$I$5:$I$304,MATCH(B289,Ingredients!$A$5:$A$304,0)),""),""))</f>
        <v>0</v>
      </c>
      <c r="M289" s="8">
        <f>IF(OR(B289="",C289=""),"",IFERROR(C289*IFERROR(INDEX(Ingredients!$J$5:$J$304,MATCH(B289,Ingredients!$A$5:$A$304,0)),""),""))</f>
        <v>0</v>
      </c>
      <c r="N289" s="8">
        <f>IF(OR(B289="",C289=""),"",IFERROR(C289*IFERROR(INDEX(Ingredients!$K$5:$K$304,MATCH(B289,Ingredients!$A$5:$A$304,0)),""),""))</f>
        <v>0</v>
      </c>
      <c r="O289" s="8">
        <f>IF(OR(B289="",C289=""),"",IFERROR(C289*IFERROR(INDEX(Ingredients!$L$5:$L$304,MATCH(B289,Ingredients!$A$5:$A$304,0)),""),""))</f>
        <v>0</v>
      </c>
      <c r="P289" s="8">
        <f>IF(OR(H289="",A289=""),"",IFERROR(H289/SUMIFS('Recipe Ingredients'!$H$5:$H$1204,'Recipe Ingredients'!$A$5:$A$1204,A289),""))</f>
        <v>0</v>
      </c>
      <c r="Q289" s="8">
        <f>IF(H289="","",COUNTIFS($H$5:$H$1204,"&gt;"&amp;H289)+1)</f>
        <v>0</v>
      </c>
      <c r="R289" s="8">
        <f>IF(B289="","",SUMIFS(Pantry!$C$5:$C$304,Pantry!$A$5:$A$304,B289))</f>
        <v>0</v>
      </c>
      <c r="S289" s="8">
        <f>IF(OR(B289="",C289=""),"",MAX(0,C289-R289))</f>
        <v>0</v>
      </c>
      <c r="T289" s="26"/>
      <c r="U289" s="8">
        <f>IF(OR(T289="",T289=0,G289=""),"",T289*G289)</f>
        <v>0</v>
      </c>
      <c r="V289" s="8">
        <f>IF(OR(S289="",T289="",T289=0),"",CEILING(S289/T289,1))</f>
        <v>0</v>
      </c>
      <c r="W289" s="27"/>
      <c r="X289" s="29"/>
      <c r="Y289" s="8">
        <f>IF(OR(C289="",X289=""),"",C289*(1+X289))</f>
        <v>0</v>
      </c>
      <c r="Z289" s="8">
        <f>IF(B289="","",IFERROR(INDEX(Ingredients!$O$5:$O$304,MATCH(B289,Ingredients!$A$5:$A$304,0)),""))</f>
        <v>0</v>
      </c>
      <c r="AA289" s="8">
        <f>IF(B289="","",IF(R289&gt;=C289,"In pantry","To buy"))</f>
        <v>0</v>
      </c>
      <c r="AB289" s="8">
        <f>IF(A289="","",COUNTIFS($A$5:A289,A289))</f>
        <v>0</v>
      </c>
      <c r="AC289" s="8">
        <f>IF(B289="","",IF(COUNTIFS('Dietary Filters'!$C$5:$C$104,B289)&gt;0,"Check","OK"))</f>
        <v>0</v>
      </c>
      <c r="AD289" s="25"/>
    </row>
    <row r="290" spans="1:30">
      <c r="A290" s="7"/>
      <c r="B290" s="7"/>
      <c r="C290" s="26"/>
      <c r="D290" s="27"/>
      <c r="E290" s="8">
        <f>IF(B290="","",IFERROR(INDEX(Ingredients!$B$5:$B$304,MATCH(B290,Ingredients!$A$5:$A$304,0)),""))</f>
        <v>0</v>
      </c>
      <c r="F290" s="8">
        <f>IF(B290="","",IFERROR(INDEX(Ingredients!$E$5:$E$304,MATCH(B290,Ingredients!$A$5:$A$304,0)),""))</f>
        <v>0</v>
      </c>
      <c r="G290" s="8">
        <f>IF(B290="","",IFERROR(INDEX(Ingredients!$D$5:$D$304,MATCH(B290,Ingredients!$A$5:$A$304,0)),""))</f>
        <v>0</v>
      </c>
      <c r="H290" s="8">
        <f>IF(OR(B290="",C290=""),"",IFERROR(C290*G290,""))</f>
        <v>0</v>
      </c>
      <c r="I290" s="8">
        <f>IF(A290="","",IFERROR(INDEX(Recipes!$D$5:$D$204,MATCH(A290,Recipes!$A$5:$A$204,0)),""))</f>
        <v>0</v>
      </c>
      <c r="J290" s="8">
        <f>IF(OR(H290="",I290="",I290=0),"",IFERROR(H290/I290,""))</f>
        <v>0</v>
      </c>
      <c r="K290" s="8">
        <f>IF(OR(B290="",C290=""),"",IFERROR(C290*IFERROR(INDEX(Ingredients!$H$5:$H$304,MATCH(B290,Ingredients!$A$5:$A$304,0)),""),""))</f>
        <v>0</v>
      </c>
      <c r="L290" s="8">
        <f>IF(OR(B290="",C290=""),"",IFERROR(C290*IFERROR(INDEX(Ingredients!$I$5:$I$304,MATCH(B290,Ingredients!$A$5:$A$304,0)),""),""))</f>
        <v>0</v>
      </c>
      <c r="M290" s="8">
        <f>IF(OR(B290="",C290=""),"",IFERROR(C290*IFERROR(INDEX(Ingredients!$J$5:$J$304,MATCH(B290,Ingredients!$A$5:$A$304,0)),""),""))</f>
        <v>0</v>
      </c>
      <c r="N290" s="8">
        <f>IF(OR(B290="",C290=""),"",IFERROR(C290*IFERROR(INDEX(Ingredients!$K$5:$K$304,MATCH(B290,Ingredients!$A$5:$A$304,0)),""),""))</f>
        <v>0</v>
      </c>
      <c r="O290" s="8">
        <f>IF(OR(B290="",C290=""),"",IFERROR(C290*IFERROR(INDEX(Ingredients!$L$5:$L$304,MATCH(B290,Ingredients!$A$5:$A$304,0)),""),""))</f>
        <v>0</v>
      </c>
      <c r="P290" s="8">
        <f>IF(OR(H290="",A290=""),"",IFERROR(H290/SUMIFS('Recipe Ingredients'!$H$5:$H$1204,'Recipe Ingredients'!$A$5:$A$1204,A290),""))</f>
        <v>0</v>
      </c>
      <c r="Q290" s="8">
        <f>IF(H290="","",COUNTIFS($H$5:$H$1204,"&gt;"&amp;H290)+1)</f>
        <v>0</v>
      </c>
      <c r="R290" s="8">
        <f>IF(B290="","",SUMIFS(Pantry!$C$5:$C$304,Pantry!$A$5:$A$304,B290))</f>
        <v>0</v>
      </c>
      <c r="S290" s="8">
        <f>IF(OR(B290="",C290=""),"",MAX(0,C290-R290))</f>
        <v>0</v>
      </c>
      <c r="T290" s="26"/>
      <c r="U290" s="8">
        <f>IF(OR(T290="",T290=0,G290=""),"",T290*G290)</f>
        <v>0</v>
      </c>
      <c r="V290" s="8">
        <f>IF(OR(S290="",T290="",T290=0),"",CEILING(S290/T290,1))</f>
        <v>0</v>
      </c>
      <c r="W290" s="27"/>
      <c r="X290" s="29"/>
      <c r="Y290" s="8">
        <f>IF(OR(C290="",X290=""),"",C290*(1+X290))</f>
        <v>0</v>
      </c>
      <c r="Z290" s="8">
        <f>IF(B290="","",IFERROR(INDEX(Ingredients!$O$5:$O$304,MATCH(B290,Ingredients!$A$5:$A$304,0)),""))</f>
        <v>0</v>
      </c>
      <c r="AA290" s="8">
        <f>IF(B290="","",IF(R290&gt;=C290,"In pantry","To buy"))</f>
        <v>0</v>
      </c>
      <c r="AB290" s="8">
        <f>IF(A290="","",COUNTIFS($A$5:A290,A290))</f>
        <v>0</v>
      </c>
      <c r="AC290" s="8">
        <f>IF(B290="","",IF(COUNTIFS('Dietary Filters'!$C$5:$C$104,B290)&gt;0,"Check","OK"))</f>
        <v>0</v>
      </c>
      <c r="AD290" s="25"/>
    </row>
    <row r="291" spans="1:30">
      <c r="A291" s="7"/>
      <c r="B291" s="7"/>
      <c r="C291" s="26"/>
      <c r="D291" s="27"/>
      <c r="E291" s="8">
        <f>IF(B291="","",IFERROR(INDEX(Ingredients!$B$5:$B$304,MATCH(B291,Ingredients!$A$5:$A$304,0)),""))</f>
        <v>0</v>
      </c>
      <c r="F291" s="8">
        <f>IF(B291="","",IFERROR(INDEX(Ingredients!$E$5:$E$304,MATCH(B291,Ingredients!$A$5:$A$304,0)),""))</f>
        <v>0</v>
      </c>
      <c r="G291" s="8">
        <f>IF(B291="","",IFERROR(INDEX(Ingredients!$D$5:$D$304,MATCH(B291,Ingredients!$A$5:$A$304,0)),""))</f>
        <v>0</v>
      </c>
      <c r="H291" s="8">
        <f>IF(OR(B291="",C291=""),"",IFERROR(C291*G291,""))</f>
        <v>0</v>
      </c>
      <c r="I291" s="8">
        <f>IF(A291="","",IFERROR(INDEX(Recipes!$D$5:$D$204,MATCH(A291,Recipes!$A$5:$A$204,0)),""))</f>
        <v>0</v>
      </c>
      <c r="J291" s="8">
        <f>IF(OR(H291="",I291="",I291=0),"",IFERROR(H291/I291,""))</f>
        <v>0</v>
      </c>
      <c r="K291" s="8">
        <f>IF(OR(B291="",C291=""),"",IFERROR(C291*IFERROR(INDEX(Ingredients!$H$5:$H$304,MATCH(B291,Ingredients!$A$5:$A$304,0)),""),""))</f>
        <v>0</v>
      </c>
      <c r="L291" s="8">
        <f>IF(OR(B291="",C291=""),"",IFERROR(C291*IFERROR(INDEX(Ingredients!$I$5:$I$304,MATCH(B291,Ingredients!$A$5:$A$304,0)),""),""))</f>
        <v>0</v>
      </c>
      <c r="M291" s="8">
        <f>IF(OR(B291="",C291=""),"",IFERROR(C291*IFERROR(INDEX(Ingredients!$J$5:$J$304,MATCH(B291,Ingredients!$A$5:$A$304,0)),""),""))</f>
        <v>0</v>
      </c>
      <c r="N291" s="8">
        <f>IF(OR(B291="",C291=""),"",IFERROR(C291*IFERROR(INDEX(Ingredients!$K$5:$K$304,MATCH(B291,Ingredients!$A$5:$A$304,0)),""),""))</f>
        <v>0</v>
      </c>
      <c r="O291" s="8">
        <f>IF(OR(B291="",C291=""),"",IFERROR(C291*IFERROR(INDEX(Ingredients!$L$5:$L$304,MATCH(B291,Ingredients!$A$5:$A$304,0)),""),""))</f>
        <v>0</v>
      </c>
      <c r="P291" s="8">
        <f>IF(OR(H291="",A291=""),"",IFERROR(H291/SUMIFS('Recipe Ingredients'!$H$5:$H$1204,'Recipe Ingredients'!$A$5:$A$1204,A291),""))</f>
        <v>0</v>
      </c>
      <c r="Q291" s="8">
        <f>IF(H291="","",COUNTIFS($H$5:$H$1204,"&gt;"&amp;H291)+1)</f>
        <v>0</v>
      </c>
      <c r="R291" s="8">
        <f>IF(B291="","",SUMIFS(Pantry!$C$5:$C$304,Pantry!$A$5:$A$304,B291))</f>
        <v>0</v>
      </c>
      <c r="S291" s="8">
        <f>IF(OR(B291="",C291=""),"",MAX(0,C291-R291))</f>
        <v>0</v>
      </c>
      <c r="T291" s="26"/>
      <c r="U291" s="8">
        <f>IF(OR(T291="",T291=0,G291=""),"",T291*G291)</f>
        <v>0</v>
      </c>
      <c r="V291" s="8">
        <f>IF(OR(S291="",T291="",T291=0),"",CEILING(S291/T291,1))</f>
        <v>0</v>
      </c>
      <c r="W291" s="27"/>
      <c r="X291" s="29"/>
      <c r="Y291" s="8">
        <f>IF(OR(C291="",X291=""),"",C291*(1+X291))</f>
        <v>0</v>
      </c>
      <c r="Z291" s="8">
        <f>IF(B291="","",IFERROR(INDEX(Ingredients!$O$5:$O$304,MATCH(B291,Ingredients!$A$5:$A$304,0)),""))</f>
        <v>0</v>
      </c>
      <c r="AA291" s="8">
        <f>IF(B291="","",IF(R291&gt;=C291,"In pantry","To buy"))</f>
        <v>0</v>
      </c>
      <c r="AB291" s="8">
        <f>IF(A291="","",COUNTIFS($A$5:A291,A291))</f>
        <v>0</v>
      </c>
      <c r="AC291" s="8">
        <f>IF(B291="","",IF(COUNTIFS('Dietary Filters'!$C$5:$C$104,B291)&gt;0,"Check","OK"))</f>
        <v>0</v>
      </c>
      <c r="AD291" s="25"/>
    </row>
    <row r="292" spans="1:30">
      <c r="A292" s="7"/>
      <c r="B292" s="7"/>
      <c r="C292" s="26"/>
      <c r="D292" s="27"/>
      <c r="E292" s="8">
        <f>IF(B292="","",IFERROR(INDEX(Ingredients!$B$5:$B$304,MATCH(B292,Ingredients!$A$5:$A$304,0)),""))</f>
        <v>0</v>
      </c>
      <c r="F292" s="8">
        <f>IF(B292="","",IFERROR(INDEX(Ingredients!$E$5:$E$304,MATCH(B292,Ingredients!$A$5:$A$304,0)),""))</f>
        <v>0</v>
      </c>
      <c r="G292" s="8">
        <f>IF(B292="","",IFERROR(INDEX(Ingredients!$D$5:$D$304,MATCH(B292,Ingredients!$A$5:$A$304,0)),""))</f>
        <v>0</v>
      </c>
      <c r="H292" s="8">
        <f>IF(OR(B292="",C292=""),"",IFERROR(C292*G292,""))</f>
        <v>0</v>
      </c>
      <c r="I292" s="8">
        <f>IF(A292="","",IFERROR(INDEX(Recipes!$D$5:$D$204,MATCH(A292,Recipes!$A$5:$A$204,0)),""))</f>
        <v>0</v>
      </c>
      <c r="J292" s="8">
        <f>IF(OR(H292="",I292="",I292=0),"",IFERROR(H292/I292,""))</f>
        <v>0</v>
      </c>
      <c r="K292" s="8">
        <f>IF(OR(B292="",C292=""),"",IFERROR(C292*IFERROR(INDEX(Ingredients!$H$5:$H$304,MATCH(B292,Ingredients!$A$5:$A$304,0)),""),""))</f>
        <v>0</v>
      </c>
      <c r="L292" s="8">
        <f>IF(OR(B292="",C292=""),"",IFERROR(C292*IFERROR(INDEX(Ingredients!$I$5:$I$304,MATCH(B292,Ingredients!$A$5:$A$304,0)),""),""))</f>
        <v>0</v>
      </c>
      <c r="M292" s="8">
        <f>IF(OR(B292="",C292=""),"",IFERROR(C292*IFERROR(INDEX(Ingredients!$J$5:$J$304,MATCH(B292,Ingredients!$A$5:$A$304,0)),""),""))</f>
        <v>0</v>
      </c>
      <c r="N292" s="8">
        <f>IF(OR(B292="",C292=""),"",IFERROR(C292*IFERROR(INDEX(Ingredients!$K$5:$K$304,MATCH(B292,Ingredients!$A$5:$A$304,0)),""),""))</f>
        <v>0</v>
      </c>
      <c r="O292" s="8">
        <f>IF(OR(B292="",C292=""),"",IFERROR(C292*IFERROR(INDEX(Ingredients!$L$5:$L$304,MATCH(B292,Ingredients!$A$5:$A$304,0)),""),""))</f>
        <v>0</v>
      </c>
      <c r="P292" s="8">
        <f>IF(OR(H292="",A292=""),"",IFERROR(H292/SUMIFS('Recipe Ingredients'!$H$5:$H$1204,'Recipe Ingredients'!$A$5:$A$1204,A292),""))</f>
        <v>0</v>
      </c>
      <c r="Q292" s="8">
        <f>IF(H292="","",COUNTIFS($H$5:$H$1204,"&gt;"&amp;H292)+1)</f>
        <v>0</v>
      </c>
      <c r="R292" s="8">
        <f>IF(B292="","",SUMIFS(Pantry!$C$5:$C$304,Pantry!$A$5:$A$304,B292))</f>
        <v>0</v>
      </c>
      <c r="S292" s="8">
        <f>IF(OR(B292="",C292=""),"",MAX(0,C292-R292))</f>
        <v>0</v>
      </c>
      <c r="T292" s="26"/>
      <c r="U292" s="8">
        <f>IF(OR(T292="",T292=0,G292=""),"",T292*G292)</f>
        <v>0</v>
      </c>
      <c r="V292" s="8">
        <f>IF(OR(S292="",T292="",T292=0),"",CEILING(S292/T292,1))</f>
        <v>0</v>
      </c>
      <c r="W292" s="27"/>
      <c r="X292" s="29"/>
      <c r="Y292" s="8">
        <f>IF(OR(C292="",X292=""),"",C292*(1+X292))</f>
        <v>0</v>
      </c>
      <c r="Z292" s="8">
        <f>IF(B292="","",IFERROR(INDEX(Ingredients!$O$5:$O$304,MATCH(B292,Ingredients!$A$5:$A$304,0)),""))</f>
        <v>0</v>
      </c>
      <c r="AA292" s="8">
        <f>IF(B292="","",IF(R292&gt;=C292,"In pantry","To buy"))</f>
        <v>0</v>
      </c>
      <c r="AB292" s="8">
        <f>IF(A292="","",COUNTIFS($A$5:A292,A292))</f>
        <v>0</v>
      </c>
      <c r="AC292" s="8">
        <f>IF(B292="","",IF(COUNTIFS('Dietary Filters'!$C$5:$C$104,B292)&gt;0,"Check","OK"))</f>
        <v>0</v>
      </c>
      <c r="AD292" s="25"/>
    </row>
    <row r="293" spans="1:30">
      <c r="A293" s="7"/>
      <c r="B293" s="7"/>
      <c r="C293" s="26"/>
      <c r="D293" s="27"/>
      <c r="E293" s="8">
        <f>IF(B293="","",IFERROR(INDEX(Ingredients!$B$5:$B$304,MATCH(B293,Ingredients!$A$5:$A$304,0)),""))</f>
        <v>0</v>
      </c>
      <c r="F293" s="8">
        <f>IF(B293="","",IFERROR(INDEX(Ingredients!$E$5:$E$304,MATCH(B293,Ingredients!$A$5:$A$304,0)),""))</f>
        <v>0</v>
      </c>
      <c r="G293" s="8">
        <f>IF(B293="","",IFERROR(INDEX(Ingredients!$D$5:$D$304,MATCH(B293,Ingredients!$A$5:$A$304,0)),""))</f>
        <v>0</v>
      </c>
      <c r="H293" s="8">
        <f>IF(OR(B293="",C293=""),"",IFERROR(C293*G293,""))</f>
        <v>0</v>
      </c>
      <c r="I293" s="8">
        <f>IF(A293="","",IFERROR(INDEX(Recipes!$D$5:$D$204,MATCH(A293,Recipes!$A$5:$A$204,0)),""))</f>
        <v>0</v>
      </c>
      <c r="J293" s="8">
        <f>IF(OR(H293="",I293="",I293=0),"",IFERROR(H293/I293,""))</f>
        <v>0</v>
      </c>
      <c r="K293" s="8">
        <f>IF(OR(B293="",C293=""),"",IFERROR(C293*IFERROR(INDEX(Ingredients!$H$5:$H$304,MATCH(B293,Ingredients!$A$5:$A$304,0)),""),""))</f>
        <v>0</v>
      </c>
      <c r="L293" s="8">
        <f>IF(OR(B293="",C293=""),"",IFERROR(C293*IFERROR(INDEX(Ingredients!$I$5:$I$304,MATCH(B293,Ingredients!$A$5:$A$304,0)),""),""))</f>
        <v>0</v>
      </c>
      <c r="M293" s="8">
        <f>IF(OR(B293="",C293=""),"",IFERROR(C293*IFERROR(INDEX(Ingredients!$J$5:$J$304,MATCH(B293,Ingredients!$A$5:$A$304,0)),""),""))</f>
        <v>0</v>
      </c>
      <c r="N293" s="8">
        <f>IF(OR(B293="",C293=""),"",IFERROR(C293*IFERROR(INDEX(Ingredients!$K$5:$K$304,MATCH(B293,Ingredients!$A$5:$A$304,0)),""),""))</f>
        <v>0</v>
      </c>
      <c r="O293" s="8">
        <f>IF(OR(B293="",C293=""),"",IFERROR(C293*IFERROR(INDEX(Ingredients!$L$5:$L$304,MATCH(B293,Ingredients!$A$5:$A$304,0)),""),""))</f>
        <v>0</v>
      </c>
      <c r="P293" s="8">
        <f>IF(OR(H293="",A293=""),"",IFERROR(H293/SUMIFS('Recipe Ingredients'!$H$5:$H$1204,'Recipe Ingredients'!$A$5:$A$1204,A293),""))</f>
        <v>0</v>
      </c>
      <c r="Q293" s="8">
        <f>IF(H293="","",COUNTIFS($H$5:$H$1204,"&gt;"&amp;H293)+1)</f>
        <v>0</v>
      </c>
      <c r="R293" s="8">
        <f>IF(B293="","",SUMIFS(Pantry!$C$5:$C$304,Pantry!$A$5:$A$304,B293))</f>
        <v>0</v>
      </c>
      <c r="S293" s="8">
        <f>IF(OR(B293="",C293=""),"",MAX(0,C293-R293))</f>
        <v>0</v>
      </c>
      <c r="T293" s="26"/>
      <c r="U293" s="8">
        <f>IF(OR(T293="",T293=0,G293=""),"",T293*G293)</f>
        <v>0</v>
      </c>
      <c r="V293" s="8">
        <f>IF(OR(S293="",T293="",T293=0),"",CEILING(S293/T293,1))</f>
        <v>0</v>
      </c>
      <c r="W293" s="27"/>
      <c r="X293" s="29"/>
      <c r="Y293" s="8">
        <f>IF(OR(C293="",X293=""),"",C293*(1+X293))</f>
        <v>0</v>
      </c>
      <c r="Z293" s="8">
        <f>IF(B293="","",IFERROR(INDEX(Ingredients!$O$5:$O$304,MATCH(B293,Ingredients!$A$5:$A$304,0)),""))</f>
        <v>0</v>
      </c>
      <c r="AA293" s="8">
        <f>IF(B293="","",IF(R293&gt;=C293,"In pantry","To buy"))</f>
        <v>0</v>
      </c>
      <c r="AB293" s="8">
        <f>IF(A293="","",COUNTIFS($A$5:A293,A293))</f>
        <v>0</v>
      </c>
      <c r="AC293" s="8">
        <f>IF(B293="","",IF(COUNTIFS('Dietary Filters'!$C$5:$C$104,B293)&gt;0,"Check","OK"))</f>
        <v>0</v>
      </c>
      <c r="AD293" s="25"/>
    </row>
    <row r="294" spans="1:30">
      <c r="A294" s="7"/>
      <c r="B294" s="7"/>
      <c r="C294" s="26"/>
      <c r="D294" s="27"/>
      <c r="E294" s="8">
        <f>IF(B294="","",IFERROR(INDEX(Ingredients!$B$5:$B$304,MATCH(B294,Ingredients!$A$5:$A$304,0)),""))</f>
        <v>0</v>
      </c>
      <c r="F294" s="8">
        <f>IF(B294="","",IFERROR(INDEX(Ingredients!$E$5:$E$304,MATCH(B294,Ingredients!$A$5:$A$304,0)),""))</f>
        <v>0</v>
      </c>
      <c r="G294" s="8">
        <f>IF(B294="","",IFERROR(INDEX(Ingredients!$D$5:$D$304,MATCH(B294,Ingredients!$A$5:$A$304,0)),""))</f>
        <v>0</v>
      </c>
      <c r="H294" s="8">
        <f>IF(OR(B294="",C294=""),"",IFERROR(C294*G294,""))</f>
        <v>0</v>
      </c>
      <c r="I294" s="8">
        <f>IF(A294="","",IFERROR(INDEX(Recipes!$D$5:$D$204,MATCH(A294,Recipes!$A$5:$A$204,0)),""))</f>
        <v>0</v>
      </c>
      <c r="J294" s="8">
        <f>IF(OR(H294="",I294="",I294=0),"",IFERROR(H294/I294,""))</f>
        <v>0</v>
      </c>
      <c r="K294" s="8">
        <f>IF(OR(B294="",C294=""),"",IFERROR(C294*IFERROR(INDEX(Ingredients!$H$5:$H$304,MATCH(B294,Ingredients!$A$5:$A$304,0)),""),""))</f>
        <v>0</v>
      </c>
      <c r="L294" s="8">
        <f>IF(OR(B294="",C294=""),"",IFERROR(C294*IFERROR(INDEX(Ingredients!$I$5:$I$304,MATCH(B294,Ingredients!$A$5:$A$304,0)),""),""))</f>
        <v>0</v>
      </c>
      <c r="M294" s="8">
        <f>IF(OR(B294="",C294=""),"",IFERROR(C294*IFERROR(INDEX(Ingredients!$J$5:$J$304,MATCH(B294,Ingredients!$A$5:$A$304,0)),""),""))</f>
        <v>0</v>
      </c>
      <c r="N294" s="8">
        <f>IF(OR(B294="",C294=""),"",IFERROR(C294*IFERROR(INDEX(Ingredients!$K$5:$K$304,MATCH(B294,Ingredients!$A$5:$A$304,0)),""),""))</f>
        <v>0</v>
      </c>
      <c r="O294" s="8">
        <f>IF(OR(B294="",C294=""),"",IFERROR(C294*IFERROR(INDEX(Ingredients!$L$5:$L$304,MATCH(B294,Ingredients!$A$5:$A$304,0)),""),""))</f>
        <v>0</v>
      </c>
      <c r="P294" s="8">
        <f>IF(OR(H294="",A294=""),"",IFERROR(H294/SUMIFS('Recipe Ingredients'!$H$5:$H$1204,'Recipe Ingredients'!$A$5:$A$1204,A294),""))</f>
        <v>0</v>
      </c>
      <c r="Q294" s="8">
        <f>IF(H294="","",COUNTIFS($H$5:$H$1204,"&gt;"&amp;H294)+1)</f>
        <v>0</v>
      </c>
      <c r="R294" s="8">
        <f>IF(B294="","",SUMIFS(Pantry!$C$5:$C$304,Pantry!$A$5:$A$304,B294))</f>
        <v>0</v>
      </c>
      <c r="S294" s="8">
        <f>IF(OR(B294="",C294=""),"",MAX(0,C294-R294))</f>
        <v>0</v>
      </c>
      <c r="T294" s="26"/>
      <c r="U294" s="8">
        <f>IF(OR(T294="",T294=0,G294=""),"",T294*G294)</f>
        <v>0</v>
      </c>
      <c r="V294" s="8">
        <f>IF(OR(S294="",T294="",T294=0),"",CEILING(S294/T294,1))</f>
        <v>0</v>
      </c>
      <c r="W294" s="27"/>
      <c r="X294" s="29"/>
      <c r="Y294" s="8">
        <f>IF(OR(C294="",X294=""),"",C294*(1+X294))</f>
        <v>0</v>
      </c>
      <c r="Z294" s="8">
        <f>IF(B294="","",IFERROR(INDEX(Ingredients!$O$5:$O$304,MATCH(B294,Ingredients!$A$5:$A$304,0)),""))</f>
        <v>0</v>
      </c>
      <c r="AA294" s="8">
        <f>IF(B294="","",IF(R294&gt;=C294,"In pantry","To buy"))</f>
        <v>0</v>
      </c>
      <c r="AB294" s="8">
        <f>IF(A294="","",COUNTIFS($A$5:A294,A294))</f>
        <v>0</v>
      </c>
      <c r="AC294" s="8">
        <f>IF(B294="","",IF(COUNTIFS('Dietary Filters'!$C$5:$C$104,B294)&gt;0,"Check","OK"))</f>
        <v>0</v>
      </c>
      <c r="AD294" s="25"/>
    </row>
    <row r="295" spans="1:30">
      <c r="A295" s="7"/>
      <c r="B295" s="7"/>
      <c r="C295" s="26"/>
      <c r="D295" s="27"/>
      <c r="E295" s="8">
        <f>IF(B295="","",IFERROR(INDEX(Ingredients!$B$5:$B$304,MATCH(B295,Ingredients!$A$5:$A$304,0)),""))</f>
        <v>0</v>
      </c>
      <c r="F295" s="8">
        <f>IF(B295="","",IFERROR(INDEX(Ingredients!$E$5:$E$304,MATCH(B295,Ingredients!$A$5:$A$304,0)),""))</f>
        <v>0</v>
      </c>
      <c r="G295" s="8">
        <f>IF(B295="","",IFERROR(INDEX(Ingredients!$D$5:$D$304,MATCH(B295,Ingredients!$A$5:$A$304,0)),""))</f>
        <v>0</v>
      </c>
      <c r="H295" s="8">
        <f>IF(OR(B295="",C295=""),"",IFERROR(C295*G295,""))</f>
        <v>0</v>
      </c>
      <c r="I295" s="8">
        <f>IF(A295="","",IFERROR(INDEX(Recipes!$D$5:$D$204,MATCH(A295,Recipes!$A$5:$A$204,0)),""))</f>
        <v>0</v>
      </c>
      <c r="J295" s="8">
        <f>IF(OR(H295="",I295="",I295=0),"",IFERROR(H295/I295,""))</f>
        <v>0</v>
      </c>
      <c r="K295" s="8">
        <f>IF(OR(B295="",C295=""),"",IFERROR(C295*IFERROR(INDEX(Ingredients!$H$5:$H$304,MATCH(B295,Ingredients!$A$5:$A$304,0)),""),""))</f>
        <v>0</v>
      </c>
      <c r="L295" s="8">
        <f>IF(OR(B295="",C295=""),"",IFERROR(C295*IFERROR(INDEX(Ingredients!$I$5:$I$304,MATCH(B295,Ingredients!$A$5:$A$304,0)),""),""))</f>
        <v>0</v>
      </c>
      <c r="M295" s="8">
        <f>IF(OR(B295="",C295=""),"",IFERROR(C295*IFERROR(INDEX(Ingredients!$J$5:$J$304,MATCH(B295,Ingredients!$A$5:$A$304,0)),""),""))</f>
        <v>0</v>
      </c>
      <c r="N295" s="8">
        <f>IF(OR(B295="",C295=""),"",IFERROR(C295*IFERROR(INDEX(Ingredients!$K$5:$K$304,MATCH(B295,Ingredients!$A$5:$A$304,0)),""),""))</f>
        <v>0</v>
      </c>
      <c r="O295" s="8">
        <f>IF(OR(B295="",C295=""),"",IFERROR(C295*IFERROR(INDEX(Ingredients!$L$5:$L$304,MATCH(B295,Ingredients!$A$5:$A$304,0)),""),""))</f>
        <v>0</v>
      </c>
      <c r="P295" s="8">
        <f>IF(OR(H295="",A295=""),"",IFERROR(H295/SUMIFS('Recipe Ingredients'!$H$5:$H$1204,'Recipe Ingredients'!$A$5:$A$1204,A295),""))</f>
        <v>0</v>
      </c>
      <c r="Q295" s="8">
        <f>IF(H295="","",COUNTIFS($H$5:$H$1204,"&gt;"&amp;H295)+1)</f>
        <v>0</v>
      </c>
      <c r="R295" s="8">
        <f>IF(B295="","",SUMIFS(Pantry!$C$5:$C$304,Pantry!$A$5:$A$304,B295))</f>
        <v>0</v>
      </c>
      <c r="S295" s="8">
        <f>IF(OR(B295="",C295=""),"",MAX(0,C295-R295))</f>
        <v>0</v>
      </c>
      <c r="T295" s="26"/>
      <c r="U295" s="8">
        <f>IF(OR(T295="",T295=0,G295=""),"",T295*G295)</f>
        <v>0</v>
      </c>
      <c r="V295" s="8">
        <f>IF(OR(S295="",T295="",T295=0),"",CEILING(S295/T295,1))</f>
        <v>0</v>
      </c>
      <c r="W295" s="27"/>
      <c r="X295" s="29"/>
      <c r="Y295" s="8">
        <f>IF(OR(C295="",X295=""),"",C295*(1+X295))</f>
        <v>0</v>
      </c>
      <c r="Z295" s="8">
        <f>IF(B295="","",IFERROR(INDEX(Ingredients!$O$5:$O$304,MATCH(B295,Ingredients!$A$5:$A$304,0)),""))</f>
        <v>0</v>
      </c>
      <c r="AA295" s="8">
        <f>IF(B295="","",IF(R295&gt;=C295,"In pantry","To buy"))</f>
        <v>0</v>
      </c>
      <c r="AB295" s="8">
        <f>IF(A295="","",COUNTIFS($A$5:A295,A295))</f>
        <v>0</v>
      </c>
      <c r="AC295" s="8">
        <f>IF(B295="","",IF(COUNTIFS('Dietary Filters'!$C$5:$C$104,B295)&gt;0,"Check","OK"))</f>
        <v>0</v>
      </c>
      <c r="AD295" s="25"/>
    </row>
    <row r="296" spans="1:30">
      <c r="A296" s="7"/>
      <c r="B296" s="7"/>
      <c r="C296" s="26"/>
      <c r="D296" s="27"/>
      <c r="E296" s="8">
        <f>IF(B296="","",IFERROR(INDEX(Ingredients!$B$5:$B$304,MATCH(B296,Ingredients!$A$5:$A$304,0)),""))</f>
        <v>0</v>
      </c>
      <c r="F296" s="8">
        <f>IF(B296="","",IFERROR(INDEX(Ingredients!$E$5:$E$304,MATCH(B296,Ingredients!$A$5:$A$304,0)),""))</f>
        <v>0</v>
      </c>
      <c r="G296" s="8">
        <f>IF(B296="","",IFERROR(INDEX(Ingredients!$D$5:$D$304,MATCH(B296,Ingredients!$A$5:$A$304,0)),""))</f>
        <v>0</v>
      </c>
      <c r="H296" s="8">
        <f>IF(OR(B296="",C296=""),"",IFERROR(C296*G296,""))</f>
        <v>0</v>
      </c>
      <c r="I296" s="8">
        <f>IF(A296="","",IFERROR(INDEX(Recipes!$D$5:$D$204,MATCH(A296,Recipes!$A$5:$A$204,0)),""))</f>
        <v>0</v>
      </c>
      <c r="J296" s="8">
        <f>IF(OR(H296="",I296="",I296=0),"",IFERROR(H296/I296,""))</f>
        <v>0</v>
      </c>
      <c r="K296" s="8">
        <f>IF(OR(B296="",C296=""),"",IFERROR(C296*IFERROR(INDEX(Ingredients!$H$5:$H$304,MATCH(B296,Ingredients!$A$5:$A$304,0)),""),""))</f>
        <v>0</v>
      </c>
      <c r="L296" s="8">
        <f>IF(OR(B296="",C296=""),"",IFERROR(C296*IFERROR(INDEX(Ingredients!$I$5:$I$304,MATCH(B296,Ingredients!$A$5:$A$304,0)),""),""))</f>
        <v>0</v>
      </c>
      <c r="M296" s="8">
        <f>IF(OR(B296="",C296=""),"",IFERROR(C296*IFERROR(INDEX(Ingredients!$J$5:$J$304,MATCH(B296,Ingredients!$A$5:$A$304,0)),""),""))</f>
        <v>0</v>
      </c>
      <c r="N296" s="8">
        <f>IF(OR(B296="",C296=""),"",IFERROR(C296*IFERROR(INDEX(Ingredients!$K$5:$K$304,MATCH(B296,Ingredients!$A$5:$A$304,0)),""),""))</f>
        <v>0</v>
      </c>
      <c r="O296" s="8">
        <f>IF(OR(B296="",C296=""),"",IFERROR(C296*IFERROR(INDEX(Ingredients!$L$5:$L$304,MATCH(B296,Ingredients!$A$5:$A$304,0)),""),""))</f>
        <v>0</v>
      </c>
      <c r="P296" s="8">
        <f>IF(OR(H296="",A296=""),"",IFERROR(H296/SUMIFS('Recipe Ingredients'!$H$5:$H$1204,'Recipe Ingredients'!$A$5:$A$1204,A296),""))</f>
        <v>0</v>
      </c>
      <c r="Q296" s="8">
        <f>IF(H296="","",COUNTIFS($H$5:$H$1204,"&gt;"&amp;H296)+1)</f>
        <v>0</v>
      </c>
      <c r="R296" s="8">
        <f>IF(B296="","",SUMIFS(Pantry!$C$5:$C$304,Pantry!$A$5:$A$304,B296))</f>
        <v>0</v>
      </c>
      <c r="S296" s="8">
        <f>IF(OR(B296="",C296=""),"",MAX(0,C296-R296))</f>
        <v>0</v>
      </c>
      <c r="T296" s="26"/>
      <c r="U296" s="8">
        <f>IF(OR(T296="",T296=0,G296=""),"",T296*G296)</f>
        <v>0</v>
      </c>
      <c r="V296" s="8">
        <f>IF(OR(S296="",T296="",T296=0),"",CEILING(S296/T296,1))</f>
        <v>0</v>
      </c>
      <c r="W296" s="27"/>
      <c r="X296" s="29"/>
      <c r="Y296" s="8">
        <f>IF(OR(C296="",X296=""),"",C296*(1+X296))</f>
        <v>0</v>
      </c>
      <c r="Z296" s="8">
        <f>IF(B296="","",IFERROR(INDEX(Ingredients!$O$5:$O$304,MATCH(B296,Ingredients!$A$5:$A$304,0)),""))</f>
        <v>0</v>
      </c>
      <c r="AA296" s="8">
        <f>IF(B296="","",IF(R296&gt;=C296,"In pantry","To buy"))</f>
        <v>0</v>
      </c>
      <c r="AB296" s="8">
        <f>IF(A296="","",COUNTIFS($A$5:A296,A296))</f>
        <v>0</v>
      </c>
      <c r="AC296" s="8">
        <f>IF(B296="","",IF(COUNTIFS('Dietary Filters'!$C$5:$C$104,B296)&gt;0,"Check","OK"))</f>
        <v>0</v>
      </c>
      <c r="AD296" s="25"/>
    </row>
    <row r="297" spans="1:30">
      <c r="A297" s="7"/>
      <c r="B297" s="7"/>
      <c r="C297" s="26"/>
      <c r="D297" s="27"/>
      <c r="E297" s="8">
        <f>IF(B297="","",IFERROR(INDEX(Ingredients!$B$5:$B$304,MATCH(B297,Ingredients!$A$5:$A$304,0)),""))</f>
        <v>0</v>
      </c>
      <c r="F297" s="8">
        <f>IF(B297="","",IFERROR(INDEX(Ingredients!$E$5:$E$304,MATCH(B297,Ingredients!$A$5:$A$304,0)),""))</f>
        <v>0</v>
      </c>
      <c r="G297" s="8">
        <f>IF(B297="","",IFERROR(INDEX(Ingredients!$D$5:$D$304,MATCH(B297,Ingredients!$A$5:$A$304,0)),""))</f>
        <v>0</v>
      </c>
      <c r="H297" s="8">
        <f>IF(OR(B297="",C297=""),"",IFERROR(C297*G297,""))</f>
        <v>0</v>
      </c>
      <c r="I297" s="8">
        <f>IF(A297="","",IFERROR(INDEX(Recipes!$D$5:$D$204,MATCH(A297,Recipes!$A$5:$A$204,0)),""))</f>
        <v>0</v>
      </c>
      <c r="J297" s="8">
        <f>IF(OR(H297="",I297="",I297=0),"",IFERROR(H297/I297,""))</f>
        <v>0</v>
      </c>
      <c r="K297" s="8">
        <f>IF(OR(B297="",C297=""),"",IFERROR(C297*IFERROR(INDEX(Ingredients!$H$5:$H$304,MATCH(B297,Ingredients!$A$5:$A$304,0)),""),""))</f>
        <v>0</v>
      </c>
      <c r="L297" s="8">
        <f>IF(OR(B297="",C297=""),"",IFERROR(C297*IFERROR(INDEX(Ingredients!$I$5:$I$304,MATCH(B297,Ingredients!$A$5:$A$304,0)),""),""))</f>
        <v>0</v>
      </c>
      <c r="M297" s="8">
        <f>IF(OR(B297="",C297=""),"",IFERROR(C297*IFERROR(INDEX(Ingredients!$J$5:$J$304,MATCH(B297,Ingredients!$A$5:$A$304,0)),""),""))</f>
        <v>0</v>
      </c>
      <c r="N297" s="8">
        <f>IF(OR(B297="",C297=""),"",IFERROR(C297*IFERROR(INDEX(Ingredients!$K$5:$K$304,MATCH(B297,Ingredients!$A$5:$A$304,0)),""),""))</f>
        <v>0</v>
      </c>
      <c r="O297" s="8">
        <f>IF(OR(B297="",C297=""),"",IFERROR(C297*IFERROR(INDEX(Ingredients!$L$5:$L$304,MATCH(B297,Ingredients!$A$5:$A$304,0)),""),""))</f>
        <v>0</v>
      </c>
      <c r="P297" s="8">
        <f>IF(OR(H297="",A297=""),"",IFERROR(H297/SUMIFS('Recipe Ingredients'!$H$5:$H$1204,'Recipe Ingredients'!$A$5:$A$1204,A297),""))</f>
        <v>0</v>
      </c>
      <c r="Q297" s="8">
        <f>IF(H297="","",COUNTIFS($H$5:$H$1204,"&gt;"&amp;H297)+1)</f>
        <v>0</v>
      </c>
      <c r="R297" s="8">
        <f>IF(B297="","",SUMIFS(Pantry!$C$5:$C$304,Pantry!$A$5:$A$304,B297))</f>
        <v>0</v>
      </c>
      <c r="S297" s="8">
        <f>IF(OR(B297="",C297=""),"",MAX(0,C297-R297))</f>
        <v>0</v>
      </c>
      <c r="T297" s="26"/>
      <c r="U297" s="8">
        <f>IF(OR(T297="",T297=0,G297=""),"",T297*G297)</f>
        <v>0</v>
      </c>
      <c r="V297" s="8">
        <f>IF(OR(S297="",T297="",T297=0),"",CEILING(S297/T297,1))</f>
        <v>0</v>
      </c>
      <c r="W297" s="27"/>
      <c r="X297" s="29"/>
      <c r="Y297" s="8">
        <f>IF(OR(C297="",X297=""),"",C297*(1+X297))</f>
        <v>0</v>
      </c>
      <c r="Z297" s="8">
        <f>IF(B297="","",IFERROR(INDEX(Ingredients!$O$5:$O$304,MATCH(B297,Ingredients!$A$5:$A$304,0)),""))</f>
        <v>0</v>
      </c>
      <c r="AA297" s="8">
        <f>IF(B297="","",IF(R297&gt;=C297,"In pantry","To buy"))</f>
        <v>0</v>
      </c>
      <c r="AB297" s="8">
        <f>IF(A297="","",COUNTIFS($A$5:A297,A297))</f>
        <v>0</v>
      </c>
      <c r="AC297" s="8">
        <f>IF(B297="","",IF(COUNTIFS('Dietary Filters'!$C$5:$C$104,B297)&gt;0,"Check","OK"))</f>
        <v>0</v>
      </c>
      <c r="AD297" s="25"/>
    </row>
    <row r="298" spans="1:30">
      <c r="A298" s="7"/>
      <c r="B298" s="7"/>
      <c r="C298" s="26"/>
      <c r="D298" s="27"/>
      <c r="E298" s="8">
        <f>IF(B298="","",IFERROR(INDEX(Ingredients!$B$5:$B$304,MATCH(B298,Ingredients!$A$5:$A$304,0)),""))</f>
        <v>0</v>
      </c>
      <c r="F298" s="8">
        <f>IF(B298="","",IFERROR(INDEX(Ingredients!$E$5:$E$304,MATCH(B298,Ingredients!$A$5:$A$304,0)),""))</f>
        <v>0</v>
      </c>
      <c r="G298" s="8">
        <f>IF(B298="","",IFERROR(INDEX(Ingredients!$D$5:$D$304,MATCH(B298,Ingredients!$A$5:$A$304,0)),""))</f>
        <v>0</v>
      </c>
      <c r="H298" s="8">
        <f>IF(OR(B298="",C298=""),"",IFERROR(C298*G298,""))</f>
        <v>0</v>
      </c>
      <c r="I298" s="8">
        <f>IF(A298="","",IFERROR(INDEX(Recipes!$D$5:$D$204,MATCH(A298,Recipes!$A$5:$A$204,0)),""))</f>
        <v>0</v>
      </c>
      <c r="J298" s="8">
        <f>IF(OR(H298="",I298="",I298=0),"",IFERROR(H298/I298,""))</f>
        <v>0</v>
      </c>
      <c r="K298" s="8">
        <f>IF(OR(B298="",C298=""),"",IFERROR(C298*IFERROR(INDEX(Ingredients!$H$5:$H$304,MATCH(B298,Ingredients!$A$5:$A$304,0)),""),""))</f>
        <v>0</v>
      </c>
      <c r="L298" s="8">
        <f>IF(OR(B298="",C298=""),"",IFERROR(C298*IFERROR(INDEX(Ingredients!$I$5:$I$304,MATCH(B298,Ingredients!$A$5:$A$304,0)),""),""))</f>
        <v>0</v>
      </c>
      <c r="M298" s="8">
        <f>IF(OR(B298="",C298=""),"",IFERROR(C298*IFERROR(INDEX(Ingredients!$J$5:$J$304,MATCH(B298,Ingredients!$A$5:$A$304,0)),""),""))</f>
        <v>0</v>
      </c>
      <c r="N298" s="8">
        <f>IF(OR(B298="",C298=""),"",IFERROR(C298*IFERROR(INDEX(Ingredients!$K$5:$K$304,MATCH(B298,Ingredients!$A$5:$A$304,0)),""),""))</f>
        <v>0</v>
      </c>
      <c r="O298" s="8">
        <f>IF(OR(B298="",C298=""),"",IFERROR(C298*IFERROR(INDEX(Ingredients!$L$5:$L$304,MATCH(B298,Ingredients!$A$5:$A$304,0)),""),""))</f>
        <v>0</v>
      </c>
      <c r="P298" s="8">
        <f>IF(OR(H298="",A298=""),"",IFERROR(H298/SUMIFS('Recipe Ingredients'!$H$5:$H$1204,'Recipe Ingredients'!$A$5:$A$1204,A298),""))</f>
        <v>0</v>
      </c>
      <c r="Q298" s="8">
        <f>IF(H298="","",COUNTIFS($H$5:$H$1204,"&gt;"&amp;H298)+1)</f>
        <v>0</v>
      </c>
      <c r="R298" s="8">
        <f>IF(B298="","",SUMIFS(Pantry!$C$5:$C$304,Pantry!$A$5:$A$304,B298))</f>
        <v>0</v>
      </c>
      <c r="S298" s="8">
        <f>IF(OR(B298="",C298=""),"",MAX(0,C298-R298))</f>
        <v>0</v>
      </c>
      <c r="T298" s="26"/>
      <c r="U298" s="8">
        <f>IF(OR(T298="",T298=0,G298=""),"",T298*G298)</f>
        <v>0</v>
      </c>
      <c r="V298" s="8">
        <f>IF(OR(S298="",T298="",T298=0),"",CEILING(S298/T298,1))</f>
        <v>0</v>
      </c>
      <c r="W298" s="27"/>
      <c r="X298" s="29"/>
      <c r="Y298" s="8">
        <f>IF(OR(C298="",X298=""),"",C298*(1+X298))</f>
        <v>0</v>
      </c>
      <c r="Z298" s="8">
        <f>IF(B298="","",IFERROR(INDEX(Ingredients!$O$5:$O$304,MATCH(B298,Ingredients!$A$5:$A$304,0)),""))</f>
        <v>0</v>
      </c>
      <c r="AA298" s="8">
        <f>IF(B298="","",IF(R298&gt;=C298,"In pantry","To buy"))</f>
        <v>0</v>
      </c>
      <c r="AB298" s="8">
        <f>IF(A298="","",COUNTIFS($A$5:A298,A298))</f>
        <v>0</v>
      </c>
      <c r="AC298" s="8">
        <f>IF(B298="","",IF(COUNTIFS('Dietary Filters'!$C$5:$C$104,B298)&gt;0,"Check","OK"))</f>
        <v>0</v>
      </c>
      <c r="AD298" s="25"/>
    </row>
    <row r="299" spans="1:30">
      <c r="A299" s="7"/>
      <c r="B299" s="7"/>
      <c r="C299" s="26"/>
      <c r="D299" s="27"/>
      <c r="E299" s="8">
        <f>IF(B299="","",IFERROR(INDEX(Ingredients!$B$5:$B$304,MATCH(B299,Ingredients!$A$5:$A$304,0)),""))</f>
        <v>0</v>
      </c>
      <c r="F299" s="8">
        <f>IF(B299="","",IFERROR(INDEX(Ingredients!$E$5:$E$304,MATCH(B299,Ingredients!$A$5:$A$304,0)),""))</f>
        <v>0</v>
      </c>
      <c r="G299" s="8">
        <f>IF(B299="","",IFERROR(INDEX(Ingredients!$D$5:$D$304,MATCH(B299,Ingredients!$A$5:$A$304,0)),""))</f>
        <v>0</v>
      </c>
      <c r="H299" s="8">
        <f>IF(OR(B299="",C299=""),"",IFERROR(C299*G299,""))</f>
        <v>0</v>
      </c>
      <c r="I299" s="8">
        <f>IF(A299="","",IFERROR(INDEX(Recipes!$D$5:$D$204,MATCH(A299,Recipes!$A$5:$A$204,0)),""))</f>
        <v>0</v>
      </c>
      <c r="J299" s="8">
        <f>IF(OR(H299="",I299="",I299=0),"",IFERROR(H299/I299,""))</f>
        <v>0</v>
      </c>
      <c r="K299" s="8">
        <f>IF(OR(B299="",C299=""),"",IFERROR(C299*IFERROR(INDEX(Ingredients!$H$5:$H$304,MATCH(B299,Ingredients!$A$5:$A$304,0)),""),""))</f>
        <v>0</v>
      </c>
      <c r="L299" s="8">
        <f>IF(OR(B299="",C299=""),"",IFERROR(C299*IFERROR(INDEX(Ingredients!$I$5:$I$304,MATCH(B299,Ingredients!$A$5:$A$304,0)),""),""))</f>
        <v>0</v>
      </c>
      <c r="M299" s="8">
        <f>IF(OR(B299="",C299=""),"",IFERROR(C299*IFERROR(INDEX(Ingredients!$J$5:$J$304,MATCH(B299,Ingredients!$A$5:$A$304,0)),""),""))</f>
        <v>0</v>
      </c>
      <c r="N299" s="8">
        <f>IF(OR(B299="",C299=""),"",IFERROR(C299*IFERROR(INDEX(Ingredients!$K$5:$K$304,MATCH(B299,Ingredients!$A$5:$A$304,0)),""),""))</f>
        <v>0</v>
      </c>
      <c r="O299" s="8">
        <f>IF(OR(B299="",C299=""),"",IFERROR(C299*IFERROR(INDEX(Ingredients!$L$5:$L$304,MATCH(B299,Ingredients!$A$5:$A$304,0)),""),""))</f>
        <v>0</v>
      </c>
      <c r="P299" s="8">
        <f>IF(OR(H299="",A299=""),"",IFERROR(H299/SUMIFS('Recipe Ingredients'!$H$5:$H$1204,'Recipe Ingredients'!$A$5:$A$1204,A299),""))</f>
        <v>0</v>
      </c>
      <c r="Q299" s="8">
        <f>IF(H299="","",COUNTIFS($H$5:$H$1204,"&gt;"&amp;H299)+1)</f>
        <v>0</v>
      </c>
      <c r="R299" s="8">
        <f>IF(B299="","",SUMIFS(Pantry!$C$5:$C$304,Pantry!$A$5:$A$304,B299))</f>
        <v>0</v>
      </c>
      <c r="S299" s="8">
        <f>IF(OR(B299="",C299=""),"",MAX(0,C299-R299))</f>
        <v>0</v>
      </c>
      <c r="T299" s="26"/>
      <c r="U299" s="8">
        <f>IF(OR(T299="",T299=0,G299=""),"",T299*G299)</f>
        <v>0</v>
      </c>
      <c r="V299" s="8">
        <f>IF(OR(S299="",T299="",T299=0),"",CEILING(S299/T299,1))</f>
        <v>0</v>
      </c>
      <c r="W299" s="27"/>
      <c r="X299" s="29"/>
      <c r="Y299" s="8">
        <f>IF(OR(C299="",X299=""),"",C299*(1+X299))</f>
        <v>0</v>
      </c>
      <c r="Z299" s="8">
        <f>IF(B299="","",IFERROR(INDEX(Ingredients!$O$5:$O$304,MATCH(B299,Ingredients!$A$5:$A$304,0)),""))</f>
        <v>0</v>
      </c>
      <c r="AA299" s="8">
        <f>IF(B299="","",IF(R299&gt;=C299,"In pantry","To buy"))</f>
        <v>0</v>
      </c>
      <c r="AB299" s="8">
        <f>IF(A299="","",COUNTIFS($A$5:A299,A299))</f>
        <v>0</v>
      </c>
      <c r="AC299" s="8">
        <f>IF(B299="","",IF(COUNTIFS('Dietary Filters'!$C$5:$C$104,B299)&gt;0,"Check","OK"))</f>
        <v>0</v>
      </c>
      <c r="AD299" s="25"/>
    </row>
    <row r="300" spans="1:30">
      <c r="A300" s="7"/>
      <c r="B300" s="7"/>
      <c r="C300" s="26"/>
      <c r="D300" s="27"/>
      <c r="E300" s="8">
        <f>IF(B300="","",IFERROR(INDEX(Ingredients!$B$5:$B$304,MATCH(B300,Ingredients!$A$5:$A$304,0)),""))</f>
        <v>0</v>
      </c>
      <c r="F300" s="8">
        <f>IF(B300="","",IFERROR(INDEX(Ingredients!$E$5:$E$304,MATCH(B300,Ingredients!$A$5:$A$304,0)),""))</f>
        <v>0</v>
      </c>
      <c r="G300" s="8">
        <f>IF(B300="","",IFERROR(INDEX(Ingredients!$D$5:$D$304,MATCH(B300,Ingredients!$A$5:$A$304,0)),""))</f>
        <v>0</v>
      </c>
      <c r="H300" s="8">
        <f>IF(OR(B300="",C300=""),"",IFERROR(C300*G300,""))</f>
        <v>0</v>
      </c>
      <c r="I300" s="8">
        <f>IF(A300="","",IFERROR(INDEX(Recipes!$D$5:$D$204,MATCH(A300,Recipes!$A$5:$A$204,0)),""))</f>
        <v>0</v>
      </c>
      <c r="J300" s="8">
        <f>IF(OR(H300="",I300="",I300=0),"",IFERROR(H300/I300,""))</f>
        <v>0</v>
      </c>
      <c r="K300" s="8">
        <f>IF(OR(B300="",C300=""),"",IFERROR(C300*IFERROR(INDEX(Ingredients!$H$5:$H$304,MATCH(B300,Ingredients!$A$5:$A$304,0)),""),""))</f>
        <v>0</v>
      </c>
      <c r="L300" s="8">
        <f>IF(OR(B300="",C300=""),"",IFERROR(C300*IFERROR(INDEX(Ingredients!$I$5:$I$304,MATCH(B300,Ingredients!$A$5:$A$304,0)),""),""))</f>
        <v>0</v>
      </c>
      <c r="M300" s="8">
        <f>IF(OR(B300="",C300=""),"",IFERROR(C300*IFERROR(INDEX(Ingredients!$J$5:$J$304,MATCH(B300,Ingredients!$A$5:$A$304,0)),""),""))</f>
        <v>0</v>
      </c>
      <c r="N300" s="8">
        <f>IF(OR(B300="",C300=""),"",IFERROR(C300*IFERROR(INDEX(Ingredients!$K$5:$K$304,MATCH(B300,Ingredients!$A$5:$A$304,0)),""),""))</f>
        <v>0</v>
      </c>
      <c r="O300" s="8">
        <f>IF(OR(B300="",C300=""),"",IFERROR(C300*IFERROR(INDEX(Ingredients!$L$5:$L$304,MATCH(B300,Ingredients!$A$5:$A$304,0)),""),""))</f>
        <v>0</v>
      </c>
      <c r="P300" s="8">
        <f>IF(OR(H300="",A300=""),"",IFERROR(H300/SUMIFS('Recipe Ingredients'!$H$5:$H$1204,'Recipe Ingredients'!$A$5:$A$1204,A300),""))</f>
        <v>0</v>
      </c>
      <c r="Q300" s="8">
        <f>IF(H300="","",COUNTIFS($H$5:$H$1204,"&gt;"&amp;H300)+1)</f>
        <v>0</v>
      </c>
      <c r="R300" s="8">
        <f>IF(B300="","",SUMIFS(Pantry!$C$5:$C$304,Pantry!$A$5:$A$304,B300))</f>
        <v>0</v>
      </c>
      <c r="S300" s="8">
        <f>IF(OR(B300="",C300=""),"",MAX(0,C300-R300))</f>
        <v>0</v>
      </c>
      <c r="T300" s="26"/>
      <c r="U300" s="8">
        <f>IF(OR(T300="",T300=0,G300=""),"",T300*G300)</f>
        <v>0</v>
      </c>
      <c r="V300" s="8">
        <f>IF(OR(S300="",T300="",T300=0),"",CEILING(S300/T300,1))</f>
        <v>0</v>
      </c>
      <c r="W300" s="27"/>
      <c r="X300" s="29"/>
      <c r="Y300" s="8">
        <f>IF(OR(C300="",X300=""),"",C300*(1+X300))</f>
        <v>0</v>
      </c>
      <c r="Z300" s="8">
        <f>IF(B300="","",IFERROR(INDEX(Ingredients!$O$5:$O$304,MATCH(B300,Ingredients!$A$5:$A$304,0)),""))</f>
        <v>0</v>
      </c>
      <c r="AA300" s="8">
        <f>IF(B300="","",IF(R300&gt;=C300,"In pantry","To buy"))</f>
        <v>0</v>
      </c>
      <c r="AB300" s="8">
        <f>IF(A300="","",COUNTIFS($A$5:A300,A300))</f>
        <v>0</v>
      </c>
      <c r="AC300" s="8">
        <f>IF(B300="","",IF(COUNTIFS('Dietary Filters'!$C$5:$C$104,B300)&gt;0,"Check","OK"))</f>
        <v>0</v>
      </c>
      <c r="AD300" s="25"/>
    </row>
    <row r="301" spans="1:30">
      <c r="A301" s="7"/>
      <c r="B301" s="7"/>
      <c r="C301" s="26"/>
      <c r="D301" s="27"/>
      <c r="E301" s="8">
        <f>IF(B301="","",IFERROR(INDEX(Ingredients!$B$5:$B$304,MATCH(B301,Ingredients!$A$5:$A$304,0)),""))</f>
        <v>0</v>
      </c>
      <c r="F301" s="8">
        <f>IF(B301="","",IFERROR(INDEX(Ingredients!$E$5:$E$304,MATCH(B301,Ingredients!$A$5:$A$304,0)),""))</f>
        <v>0</v>
      </c>
      <c r="G301" s="8">
        <f>IF(B301="","",IFERROR(INDEX(Ingredients!$D$5:$D$304,MATCH(B301,Ingredients!$A$5:$A$304,0)),""))</f>
        <v>0</v>
      </c>
      <c r="H301" s="8">
        <f>IF(OR(B301="",C301=""),"",IFERROR(C301*G301,""))</f>
        <v>0</v>
      </c>
      <c r="I301" s="8">
        <f>IF(A301="","",IFERROR(INDEX(Recipes!$D$5:$D$204,MATCH(A301,Recipes!$A$5:$A$204,0)),""))</f>
        <v>0</v>
      </c>
      <c r="J301" s="8">
        <f>IF(OR(H301="",I301="",I301=0),"",IFERROR(H301/I301,""))</f>
        <v>0</v>
      </c>
      <c r="K301" s="8">
        <f>IF(OR(B301="",C301=""),"",IFERROR(C301*IFERROR(INDEX(Ingredients!$H$5:$H$304,MATCH(B301,Ingredients!$A$5:$A$304,0)),""),""))</f>
        <v>0</v>
      </c>
      <c r="L301" s="8">
        <f>IF(OR(B301="",C301=""),"",IFERROR(C301*IFERROR(INDEX(Ingredients!$I$5:$I$304,MATCH(B301,Ingredients!$A$5:$A$304,0)),""),""))</f>
        <v>0</v>
      </c>
      <c r="M301" s="8">
        <f>IF(OR(B301="",C301=""),"",IFERROR(C301*IFERROR(INDEX(Ingredients!$J$5:$J$304,MATCH(B301,Ingredients!$A$5:$A$304,0)),""),""))</f>
        <v>0</v>
      </c>
      <c r="N301" s="8">
        <f>IF(OR(B301="",C301=""),"",IFERROR(C301*IFERROR(INDEX(Ingredients!$K$5:$K$304,MATCH(B301,Ingredients!$A$5:$A$304,0)),""),""))</f>
        <v>0</v>
      </c>
      <c r="O301" s="8">
        <f>IF(OR(B301="",C301=""),"",IFERROR(C301*IFERROR(INDEX(Ingredients!$L$5:$L$304,MATCH(B301,Ingredients!$A$5:$A$304,0)),""),""))</f>
        <v>0</v>
      </c>
      <c r="P301" s="8">
        <f>IF(OR(H301="",A301=""),"",IFERROR(H301/SUMIFS('Recipe Ingredients'!$H$5:$H$1204,'Recipe Ingredients'!$A$5:$A$1204,A301),""))</f>
        <v>0</v>
      </c>
      <c r="Q301" s="8">
        <f>IF(H301="","",COUNTIFS($H$5:$H$1204,"&gt;"&amp;H301)+1)</f>
        <v>0</v>
      </c>
      <c r="R301" s="8">
        <f>IF(B301="","",SUMIFS(Pantry!$C$5:$C$304,Pantry!$A$5:$A$304,B301))</f>
        <v>0</v>
      </c>
      <c r="S301" s="8">
        <f>IF(OR(B301="",C301=""),"",MAX(0,C301-R301))</f>
        <v>0</v>
      </c>
      <c r="T301" s="26"/>
      <c r="U301" s="8">
        <f>IF(OR(T301="",T301=0,G301=""),"",T301*G301)</f>
        <v>0</v>
      </c>
      <c r="V301" s="8">
        <f>IF(OR(S301="",T301="",T301=0),"",CEILING(S301/T301,1))</f>
        <v>0</v>
      </c>
      <c r="W301" s="27"/>
      <c r="X301" s="29"/>
      <c r="Y301" s="8">
        <f>IF(OR(C301="",X301=""),"",C301*(1+X301))</f>
        <v>0</v>
      </c>
      <c r="Z301" s="8">
        <f>IF(B301="","",IFERROR(INDEX(Ingredients!$O$5:$O$304,MATCH(B301,Ingredients!$A$5:$A$304,0)),""))</f>
        <v>0</v>
      </c>
      <c r="AA301" s="8">
        <f>IF(B301="","",IF(R301&gt;=C301,"In pantry","To buy"))</f>
        <v>0</v>
      </c>
      <c r="AB301" s="8">
        <f>IF(A301="","",COUNTIFS($A$5:A301,A301))</f>
        <v>0</v>
      </c>
      <c r="AC301" s="8">
        <f>IF(B301="","",IF(COUNTIFS('Dietary Filters'!$C$5:$C$104,B301)&gt;0,"Check","OK"))</f>
        <v>0</v>
      </c>
      <c r="AD301" s="25"/>
    </row>
    <row r="302" spans="1:30">
      <c r="A302" s="7"/>
      <c r="B302" s="7"/>
      <c r="C302" s="26"/>
      <c r="D302" s="27"/>
      <c r="E302" s="8">
        <f>IF(B302="","",IFERROR(INDEX(Ingredients!$B$5:$B$304,MATCH(B302,Ingredients!$A$5:$A$304,0)),""))</f>
        <v>0</v>
      </c>
      <c r="F302" s="8">
        <f>IF(B302="","",IFERROR(INDEX(Ingredients!$E$5:$E$304,MATCH(B302,Ingredients!$A$5:$A$304,0)),""))</f>
        <v>0</v>
      </c>
      <c r="G302" s="8">
        <f>IF(B302="","",IFERROR(INDEX(Ingredients!$D$5:$D$304,MATCH(B302,Ingredients!$A$5:$A$304,0)),""))</f>
        <v>0</v>
      </c>
      <c r="H302" s="8">
        <f>IF(OR(B302="",C302=""),"",IFERROR(C302*G302,""))</f>
        <v>0</v>
      </c>
      <c r="I302" s="8">
        <f>IF(A302="","",IFERROR(INDEX(Recipes!$D$5:$D$204,MATCH(A302,Recipes!$A$5:$A$204,0)),""))</f>
        <v>0</v>
      </c>
      <c r="J302" s="8">
        <f>IF(OR(H302="",I302="",I302=0),"",IFERROR(H302/I302,""))</f>
        <v>0</v>
      </c>
      <c r="K302" s="8">
        <f>IF(OR(B302="",C302=""),"",IFERROR(C302*IFERROR(INDEX(Ingredients!$H$5:$H$304,MATCH(B302,Ingredients!$A$5:$A$304,0)),""),""))</f>
        <v>0</v>
      </c>
      <c r="L302" s="8">
        <f>IF(OR(B302="",C302=""),"",IFERROR(C302*IFERROR(INDEX(Ingredients!$I$5:$I$304,MATCH(B302,Ingredients!$A$5:$A$304,0)),""),""))</f>
        <v>0</v>
      </c>
      <c r="M302" s="8">
        <f>IF(OR(B302="",C302=""),"",IFERROR(C302*IFERROR(INDEX(Ingredients!$J$5:$J$304,MATCH(B302,Ingredients!$A$5:$A$304,0)),""),""))</f>
        <v>0</v>
      </c>
      <c r="N302" s="8">
        <f>IF(OR(B302="",C302=""),"",IFERROR(C302*IFERROR(INDEX(Ingredients!$K$5:$K$304,MATCH(B302,Ingredients!$A$5:$A$304,0)),""),""))</f>
        <v>0</v>
      </c>
      <c r="O302" s="8">
        <f>IF(OR(B302="",C302=""),"",IFERROR(C302*IFERROR(INDEX(Ingredients!$L$5:$L$304,MATCH(B302,Ingredients!$A$5:$A$304,0)),""),""))</f>
        <v>0</v>
      </c>
      <c r="P302" s="8">
        <f>IF(OR(H302="",A302=""),"",IFERROR(H302/SUMIFS('Recipe Ingredients'!$H$5:$H$1204,'Recipe Ingredients'!$A$5:$A$1204,A302),""))</f>
        <v>0</v>
      </c>
      <c r="Q302" s="8">
        <f>IF(H302="","",COUNTIFS($H$5:$H$1204,"&gt;"&amp;H302)+1)</f>
        <v>0</v>
      </c>
      <c r="R302" s="8">
        <f>IF(B302="","",SUMIFS(Pantry!$C$5:$C$304,Pantry!$A$5:$A$304,B302))</f>
        <v>0</v>
      </c>
      <c r="S302" s="8">
        <f>IF(OR(B302="",C302=""),"",MAX(0,C302-R302))</f>
        <v>0</v>
      </c>
      <c r="T302" s="26"/>
      <c r="U302" s="8">
        <f>IF(OR(T302="",T302=0,G302=""),"",T302*G302)</f>
        <v>0</v>
      </c>
      <c r="V302" s="8">
        <f>IF(OR(S302="",T302="",T302=0),"",CEILING(S302/T302,1))</f>
        <v>0</v>
      </c>
      <c r="W302" s="27"/>
      <c r="X302" s="29"/>
      <c r="Y302" s="8">
        <f>IF(OR(C302="",X302=""),"",C302*(1+X302))</f>
        <v>0</v>
      </c>
      <c r="Z302" s="8">
        <f>IF(B302="","",IFERROR(INDEX(Ingredients!$O$5:$O$304,MATCH(B302,Ingredients!$A$5:$A$304,0)),""))</f>
        <v>0</v>
      </c>
      <c r="AA302" s="8">
        <f>IF(B302="","",IF(R302&gt;=C302,"In pantry","To buy"))</f>
        <v>0</v>
      </c>
      <c r="AB302" s="8">
        <f>IF(A302="","",COUNTIFS($A$5:A302,A302))</f>
        <v>0</v>
      </c>
      <c r="AC302" s="8">
        <f>IF(B302="","",IF(COUNTIFS('Dietary Filters'!$C$5:$C$104,B302)&gt;0,"Check","OK"))</f>
        <v>0</v>
      </c>
      <c r="AD302" s="25"/>
    </row>
    <row r="303" spans="1:30">
      <c r="A303" s="7"/>
      <c r="B303" s="7"/>
      <c r="C303" s="26"/>
      <c r="D303" s="27"/>
      <c r="E303" s="8">
        <f>IF(B303="","",IFERROR(INDEX(Ingredients!$B$5:$B$304,MATCH(B303,Ingredients!$A$5:$A$304,0)),""))</f>
        <v>0</v>
      </c>
      <c r="F303" s="8">
        <f>IF(B303="","",IFERROR(INDEX(Ingredients!$E$5:$E$304,MATCH(B303,Ingredients!$A$5:$A$304,0)),""))</f>
        <v>0</v>
      </c>
      <c r="G303" s="8">
        <f>IF(B303="","",IFERROR(INDEX(Ingredients!$D$5:$D$304,MATCH(B303,Ingredients!$A$5:$A$304,0)),""))</f>
        <v>0</v>
      </c>
      <c r="H303" s="8">
        <f>IF(OR(B303="",C303=""),"",IFERROR(C303*G303,""))</f>
        <v>0</v>
      </c>
      <c r="I303" s="8">
        <f>IF(A303="","",IFERROR(INDEX(Recipes!$D$5:$D$204,MATCH(A303,Recipes!$A$5:$A$204,0)),""))</f>
        <v>0</v>
      </c>
      <c r="J303" s="8">
        <f>IF(OR(H303="",I303="",I303=0),"",IFERROR(H303/I303,""))</f>
        <v>0</v>
      </c>
      <c r="K303" s="8">
        <f>IF(OR(B303="",C303=""),"",IFERROR(C303*IFERROR(INDEX(Ingredients!$H$5:$H$304,MATCH(B303,Ingredients!$A$5:$A$304,0)),""),""))</f>
        <v>0</v>
      </c>
      <c r="L303" s="8">
        <f>IF(OR(B303="",C303=""),"",IFERROR(C303*IFERROR(INDEX(Ingredients!$I$5:$I$304,MATCH(B303,Ingredients!$A$5:$A$304,0)),""),""))</f>
        <v>0</v>
      </c>
      <c r="M303" s="8">
        <f>IF(OR(B303="",C303=""),"",IFERROR(C303*IFERROR(INDEX(Ingredients!$J$5:$J$304,MATCH(B303,Ingredients!$A$5:$A$304,0)),""),""))</f>
        <v>0</v>
      </c>
      <c r="N303" s="8">
        <f>IF(OR(B303="",C303=""),"",IFERROR(C303*IFERROR(INDEX(Ingredients!$K$5:$K$304,MATCH(B303,Ingredients!$A$5:$A$304,0)),""),""))</f>
        <v>0</v>
      </c>
      <c r="O303" s="8">
        <f>IF(OR(B303="",C303=""),"",IFERROR(C303*IFERROR(INDEX(Ingredients!$L$5:$L$304,MATCH(B303,Ingredients!$A$5:$A$304,0)),""),""))</f>
        <v>0</v>
      </c>
      <c r="P303" s="8">
        <f>IF(OR(H303="",A303=""),"",IFERROR(H303/SUMIFS('Recipe Ingredients'!$H$5:$H$1204,'Recipe Ingredients'!$A$5:$A$1204,A303),""))</f>
        <v>0</v>
      </c>
      <c r="Q303" s="8">
        <f>IF(H303="","",COUNTIFS($H$5:$H$1204,"&gt;"&amp;H303)+1)</f>
        <v>0</v>
      </c>
      <c r="R303" s="8">
        <f>IF(B303="","",SUMIFS(Pantry!$C$5:$C$304,Pantry!$A$5:$A$304,B303))</f>
        <v>0</v>
      </c>
      <c r="S303" s="8">
        <f>IF(OR(B303="",C303=""),"",MAX(0,C303-R303))</f>
        <v>0</v>
      </c>
      <c r="T303" s="26"/>
      <c r="U303" s="8">
        <f>IF(OR(T303="",T303=0,G303=""),"",T303*G303)</f>
        <v>0</v>
      </c>
      <c r="V303" s="8">
        <f>IF(OR(S303="",T303="",T303=0),"",CEILING(S303/T303,1))</f>
        <v>0</v>
      </c>
      <c r="W303" s="27"/>
      <c r="X303" s="29"/>
      <c r="Y303" s="8">
        <f>IF(OR(C303="",X303=""),"",C303*(1+X303))</f>
        <v>0</v>
      </c>
      <c r="Z303" s="8">
        <f>IF(B303="","",IFERROR(INDEX(Ingredients!$O$5:$O$304,MATCH(B303,Ingredients!$A$5:$A$304,0)),""))</f>
        <v>0</v>
      </c>
      <c r="AA303" s="8">
        <f>IF(B303="","",IF(R303&gt;=C303,"In pantry","To buy"))</f>
        <v>0</v>
      </c>
      <c r="AB303" s="8">
        <f>IF(A303="","",COUNTIFS($A$5:A303,A303))</f>
        <v>0</v>
      </c>
      <c r="AC303" s="8">
        <f>IF(B303="","",IF(COUNTIFS('Dietary Filters'!$C$5:$C$104,B303)&gt;0,"Check","OK"))</f>
        <v>0</v>
      </c>
      <c r="AD303" s="25"/>
    </row>
    <row r="304" spans="1:30">
      <c r="A304" s="7"/>
      <c r="B304" s="7"/>
      <c r="C304" s="26"/>
      <c r="D304" s="27"/>
      <c r="E304" s="8">
        <f>IF(B304="","",IFERROR(INDEX(Ingredients!$B$5:$B$304,MATCH(B304,Ingredients!$A$5:$A$304,0)),""))</f>
        <v>0</v>
      </c>
      <c r="F304" s="8">
        <f>IF(B304="","",IFERROR(INDEX(Ingredients!$E$5:$E$304,MATCH(B304,Ingredients!$A$5:$A$304,0)),""))</f>
        <v>0</v>
      </c>
      <c r="G304" s="8">
        <f>IF(B304="","",IFERROR(INDEX(Ingredients!$D$5:$D$304,MATCH(B304,Ingredients!$A$5:$A$304,0)),""))</f>
        <v>0</v>
      </c>
      <c r="H304" s="8">
        <f>IF(OR(B304="",C304=""),"",IFERROR(C304*G304,""))</f>
        <v>0</v>
      </c>
      <c r="I304" s="8">
        <f>IF(A304="","",IFERROR(INDEX(Recipes!$D$5:$D$204,MATCH(A304,Recipes!$A$5:$A$204,0)),""))</f>
        <v>0</v>
      </c>
      <c r="J304" s="8">
        <f>IF(OR(H304="",I304="",I304=0),"",IFERROR(H304/I304,""))</f>
        <v>0</v>
      </c>
      <c r="K304" s="8">
        <f>IF(OR(B304="",C304=""),"",IFERROR(C304*IFERROR(INDEX(Ingredients!$H$5:$H$304,MATCH(B304,Ingredients!$A$5:$A$304,0)),""),""))</f>
        <v>0</v>
      </c>
      <c r="L304" s="8">
        <f>IF(OR(B304="",C304=""),"",IFERROR(C304*IFERROR(INDEX(Ingredients!$I$5:$I$304,MATCH(B304,Ingredients!$A$5:$A$304,0)),""),""))</f>
        <v>0</v>
      </c>
      <c r="M304" s="8">
        <f>IF(OR(B304="",C304=""),"",IFERROR(C304*IFERROR(INDEX(Ingredients!$J$5:$J$304,MATCH(B304,Ingredients!$A$5:$A$304,0)),""),""))</f>
        <v>0</v>
      </c>
      <c r="N304" s="8">
        <f>IF(OR(B304="",C304=""),"",IFERROR(C304*IFERROR(INDEX(Ingredients!$K$5:$K$304,MATCH(B304,Ingredients!$A$5:$A$304,0)),""),""))</f>
        <v>0</v>
      </c>
      <c r="O304" s="8">
        <f>IF(OR(B304="",C304=""),"",IFERROR(C304*IFERROR(INDEX(Ingredients!$L$5:$L$304,MATCH(B304,Ingredients!$A$5:$A$304,0)),""),""))</f>
        <v>0</v>
      </c>
      <c r="P304" s="8">
        <f>IF(OR(H304="",A304=""),"",IFERROR(H304/SUMIFS('Recipe Ingredients'!$H$5:$H$1204,'Recipe Ingredients'!$A$5:$A$1204,A304),""))</f>
        <v>0</v>
      </c>
      <c r="Q304" s="8">
        <f>IF(H304="","",COUNTIFS($H$5:$H$1204,"&gt;"&amp;H304)+1)</f>
        <v>0</v>
      </c>
      <c r="R304" s="8">
        <f>IF(B304="","",SUMIFS(Pantry!$C$5:$C$304,Pantry!$A$5:$A$304,B304))</f>
        <v>0</v>
      </c>
      <c r="S304" s="8">
        <f>IF(OR(B304="",C304=""),"",MAX(0,C304-R304))</f>
        <v>0</v>
      </c>
      <c r="T304" s="26"/>
      <c r="U304" s="8">
        <f>IF(OR(T304="",T304=0,G304=""),"",T304*G304)</f>
        <v>0</v>
      </c>
      <c r="V304" s="8">
        <f>IF(OR(S304="",T304="",T304=0),"",CEILING(S304/T304,1))</f>
        <v>0</v>
      </c>
      <c r="W304" s="27"/>
      <c r="X304" s="29"/>
      <c r="Y304" s="8">
        <f>IF(OR(C304="",X304=""),"",C304*(1+X304))</f>
        <v>0</v>
      </c>
      <c r="Z304" s="8">
        <f>IF(B304="","",IFERROR(INDEX(Ingredients!$O$5:$O$304,MATCH(B304,Ingredients!$A$5:$A$304,0)),""))</f>
        <v>0</v>
      </c>
      <c r="AA304" s="8">
        <f>IF(B304="","",IF(R304&gt;=C304,"In pantry","To buy"))</f>
        <v>0</v>
      </c>
      <c r="AB304" s="8">
        <f>IF(A304="","",COUNTIFS($A$5:A304,A304))</f>
        <v>0</v>
      </c>
      <c r="AC304" s="8">
        <f>IF(B304="","",IF(COUNTIFS('Dietary Filters'!$C$5:$C$104,B304)&gt;0,"Check","OK"))</f>
        <v>0</v>
      </c>
      <c r="AD304" s="25"/>
    </row>
    <row r="305" spans="1:30">
      <c r="A305" s="7"/>
      <c r="B305" s="7"/>
      <c r="C305" s="26"/>
      <c r="D305" s="27"/>
      <c r="E305" s="8">
        <f>IF(B305="","",IFERROR(INDEX(Ingredients!$B$5:$B$304,MATCH(B305,Ingredients!$A$5:$A$304,0)),""))</f>
        <v>0</v>
      </c>
      <c r="F305" s="8">
        <f>IF(B305="","",IFERROR(INDEX(Ingredients!$E$5:$E$304,MATCH(B305,Ingredients!$A$5:$A$304,0)),""))</f>
        <v>0</v>
      </c>
      <c r="G305" s="8">
        <f>IF(B305="","",IFERROR(INDEX(Ingredients!$D$5:$D$304,MATCH(B305,Ingredients!$A$5:$A$304,0)),""))</f>
        <v>0</v>
      </c>
      <c r="H305" s="8">
        <f>IF(OR(B305="",C305=""),"",IFERROR(C305*G305,""))</f>
        <v>0</v>
      </c>
      <c r="I305" s="8">
        <f>IF(A305="","",IFERROR(INDEX(Recipes!$D$5:$D$204,MATCH(A305,Recipes!$A$5:$A$204,0)),""))</f>
        <v>0</v>
      </c>
      <c r="J305" s="8">
        <f>IF(OR(H305="",I305="",I305=0),"",IFERROR(H305/I305,""))</f>
        <v>0</v>
      </c>
      <c r="K305" s="8">
        <f>IF(OR(B305="",C305=""),"",IFERROR(C305*IFERROR(INDEX(Ingredients!$H$5:$H$304,MATCH(B305,Ingredients!$A$5:$A$304,0)),""),""))</f>
        <v>0</v>
      </c>
      <c r="L305" s="8">
        <f>IF(OR(B305="",C305=""),"",IFERROR(C305*IFERROR(INDEX(Ingredients!$I$5:$I$304,MATCH(B305,Ingredients!$A$5:$A$304,0)),""),""))</f>
        <v>0</v>
      </c>
      <c r="M305" s="8">
        <f>IF(OR(B305="",C305=""),"",IFERROR(C305*IFERROR(INDEX(Ingredients!$J$5:$J$304,MATCH(B305,Ingredients!$A$5:$A$304,0)),""),""))</f>
        <v>0</v>
      </c>
      <c r="N305" s="8">
        <f>IF(OR(B305="",C305=""),"",IFERROR(C305*IFERROR(INDEX(Ingredients!$K$5:$K$304,MATCH(B305,Ingredients!$A$5:$A$304,0)),""),""))</f>
        <v>0</v>
      </c>
      <c r="O305" s="8">
        <f>IF(OR(B305="",C305=""),"",IFERROR(C305*IFERROR(INDEX(Ingredients!$L$5:$L$304,MATCH(B305,Ingredients!$A$5:$A$304,0)),""),""))</f>
        <v>0</v>
      </c>
      <c r="P305" s="8">
        <f>IF(OR(H305="",A305=""),"",IFERROR(H305/SUMIFS('Recipe Ingredients'!$H$5:$H$1204,'Recipe Ingredients'!$A$5:$A$1204,A305),""))</f>
        <v>0</v>
      </c>
      <c r="Q305" s="8">
        <f>IF(H305="","",COUNTIFS($H$5:$H$1204,"&gt;"&amp;H305)+1)</f>
        <v>0</v>
      </c>
      <c r="R305" s="8">
        <f>IF(B305="","",SUMIFS(Pantry!$C$5:$C$304,Pantry!$A$5:$A$304,B305))</f>
        <v>0</v>
      </c>
      <c r="S305" s="8">
        <f>IF(OR(B305="",C305=""),"",MAX(0,C305-R305))</f>
        <v>0</v>
      </c>
      <c r="T305" s="26"/>
      <c r="U305" s="8">
        <f>IF(OR(T305="",T305=0,G305=""),"",T305*G305)</f>
        <v>0</v>
      </c>
      <c r="V305" s="8">
        <f>IF(OR(S305="",T305="",T305=0),"",CEILING(S305/T305,1))</f>
        <v>0</v>
      </c>
      <c r="W305" s="27"/>
      <c r="X305" s="29"/>
      <c r="Y305" s="8">
        <f>IF(OR(C305="",X305=""),"",C305*(1+X305))</f>
        <v>0</v>
      </c>
      <c r="Z305" s="8">
        <f>IF(B305="","",IFERROR(INDEX(Ingredients!$O$5:$O$304,MATCH(B305,Ingredients!$A$5:$A$304,0)),""))</f>
        <v>0</v>
      </c>
      <c r="AA305" s="8">
        <f>IF(B305="","",IF(R305&gt;=C305,"In pantry","To buy"))</f>
        <v>0</v>
      </c>
      <c r="AB305" s="8">
        <f>IF(A305="","",COUNTIFS($A$5:A305,A305))</f>
        <v>0</v>
      </c>
      <c r="AC305" s="8">
        <f>IF(B305="","",IF(COUNTIFS('Dietary Filters'!$C$5:$C$104,B305)&gt;0,"Check","OK"))</f>
        <v>0</v>
      </c>
      <c r="AD305" s="25"/>
    </row>
    <row r="306" spans="1:30">
      <c r="A306" s="7"/>
      <c r="B306" s="7"/>
      <c r="C306" s="26"/>
      <c r="D306" s="27"/>
      <c r="E306" s="8">
        <f>IF(B306="","",IFERROR(INDEX(Ingredients!$B$5:$B$304,MATCH(B306,Ingredients!$A$5:$A$304,0)),""))</f>
        <v>0</v>
      </c>
      <c r="F306" s="8">
        <f>IF(B306="","",IFERROR(INDEX(Ingredients!$E$5:$E$304,MATCH(B306,Ingredients!$A$5:$A$304,0)),""))</f>
        <v>0</v>
      </c>
      <c r="G306" s="8">
        <f>IF(B306="","",IFERROR(INDEX(Ingredients!$D$5:$D$304,MATCH(B306,Ingredients!$A$5:$A$304,0)),""))</f>
        <v>0</v>
      </c>
      <c r="H306" s="8">
        <f>IF(OR(B306="",C306=""),"",IFERROR(C306*G306,""))</f>
        <v>0</v>
      </c>
      <c r="I306" s="8">
        <f>IF(A306="","",IFERROR(INDEX(Recipes!$D$5:$D$204,MATCH(A306,Recipes!$A$5:$A$204,0)),""))</f>
        <v>0</v>
      </c>
      <c r="J306" s="8">
        <f>IF(OR(H306="",I306="",I306=0),"",IFERROR(H306/I306,""))</f>
        <v>0</v>
      </c>
      <c r="K306" s="8">
        <f>IF(OR(B306="",C306=""),"",IFERROR(C306*IFERROR(INDEX(Ingredients!$H$5:$H$304,MATCH(B306,Ingredients!$A$5:$A$304,0)),""),""))</f>
        <v>0</v>
      </c>
      <c r="L306" s="8">
        <f>IF(OR(B306="",C306=""),"",IFERROR(C306*IFERROR(INDEX(Ingredients!$I$5:$I$304,MATCH(B306,Ingredients!$A$5:$A$304,0)),""),""))</f>
        <v>0</v>
      </c>
      <c r="M306" s="8">
        <f>IF(OR(B306="",C306=""),"",IFERROR(C306*IFERROR(INDEX(Ingredients!$J$5:$J$304,MATCH(B306,Ingredients!$A$5:$A$304,0)),""),""))</f>
        <v>0</v>
      </c>
      <c r="N306" s="8">
        <f>IF(OR(B306="",C306=""),"",IFERROR(C306*IFERROR(INDEX(Ingredients!$K$5:$K$304,MATCH(B306,Ingredients!$A$5:$A$304,0)),""),""))</f>
        <v>0</v>
      </c>
      <c r="O306" s="8">
        <f>IF(OR(B306="",C306=""),"",IFERROR(C306*IFERROR(INDEX(Ingredients!$L$5:$L$304,MATCH(B306,Ingredients!$A$5:$A$304,0)),""),""))</f>
        <v>0</v>
      </c>
      <c r="P306" s="8">
        <f>IF(OR(H306="",A306=""),"",IFERROR(H306/SUMIFS('Recipe Ingredients'!$H$5:$H$1204,'Recipe Ingredients'!$A$5:$A$1204,A306),""))</f>
        <v>0</v>
      </c>
      <c r="Q306" s="8">
        <f>IF(H306="","",COUNTIFS($H$5:$H$1204,"&gt;"&amp;H306)+1)</f>
        <v>0</v>
      </c>
      <c r="R306" s="8">
        <f>IF(B306="","",SUMIFS(Pantry!$C$5:$C$304,Pantry!$A$5:$A$304,B306))</f>
        <v>0</v>
      </c>
      <c r="S306" s="8">
        <f>IF(OR(B306="",C306=""),"",MAX(0,C306-R306))</f>
        <v>0</v>
      </c>
      <c r="T306" s="26"/>
      <c r="U306" s="8">
        <f>IF(OR(T306="",T306=0,G306=""),"",T306*G306)</f>
        <v>0</v>
      </c>
      <c r="V306" s="8">
        <f>IF(OR(S306="",T306="",T306=0),"",CEILING(S306/T306,1))</f>
        <v>0</v>
      </c>
      <c r="W306" s="27"/>
      <c r="X306" s="29"/>
      <c r="Y306" s="8">
        <f>IF(OR(C306="",X306=""),"",C306*(1+X306))</f>
        <v>0</v>
      </c>
      <c r="Z306" s="8">
        <f>IF(B306="","",IFERROR(INDEX(Ingredients!$O$5:$O$304,MATCH(B306,Ingredients!$A$5:$A$304,0)),""))</f>
        <v>0</v>
      </c>
      <c r="AA306" s="8">
        <f>IF(B306="","",IF(R306&gt;=C306,"In pantry","To buy"))</f>
        <v>0</v>
      </c>
      <c r="AB306" s="8">
        <f>IF(A306="","",COUNTIFS($A$5:A306,A306))</f>
        <v>0</v>
      </c>
      <c r="AC306" s="8">
        <f>IF(B306="","",IF(COUNTIFS('Dietary Filters'!$C$5:$C$104,B306)&gt;0,"Check","OK"))</f>
        <v>0</v>
      </c>
      <c r="AD306" s="25"/>
    </row>
    <row r="307" spans="1:30">
      <c r="A307" s="7"/>
      <c r="B307" s="7"/>
      <c r="C307" s="26"/>
      <c r="D307" s="27"/>
      <c r="E307" s="8">
        <f>IF(B307="","",IFERROR(INDEX(Ingredients!$B$5:$B$304,MATCH(B307,Ingredients!$A$5:$A$304,0)),""))</f>
        <v>0</v>
      </c>
      <c r="F307" s="8">
        <f>IF(B307="","",IFERROR(INDEX(Ingredients!$E$5:$E$304,MATCH(B307,Ingredients!$A$5:$A$304,0)),""))</f>
        <v>0</v>
      </c>
      <c r="G307" s="8">
        <f>IF(B307="","",IFERROR(INDEX(Ingredients!$D$5:$D$304,MATCH(B307,Ingredients!$A$5:$A$304,0)),""))</f>
        <v>0</v>
      </c>
      <c r="H307" s="8">
        <f>IF(OR(B307="",C307=""),"",IFERROR(C307*G307,""))</f>
        <v>0</v>
      </c>
      <c r="I307" s="8">
        <f>IF(A307="","",IFERROR(INDEX(Recipes!$D$5:$D$204,MATCH(A307,Recipes!$A$5:$A$204,0)),""))</f>
        <v>0</v>
      </c>
      <c r="J307" s="8">
        <f>IF(OR(H307="",I307="",I307=0),"",IFERROR(H307/I307,""))</f>
        <v>0</v>
      </c>
      <c r="K307" s="8">
        <f>IF(OR(B307="",C307=""),"",IFERROR(C307*IFERROR(INDEX(Ingredients!$H$5:$H$304,MATCH(B307,Ingredients!$A$5:$A$304,0)),""),""))</f>
        <v>0</v>
      </c>
      <c r="L307" s="8">
        <f>IF(OR(B307="",C307=""),"",IFERROR(C307*IFERROR(INDEX(Ingredients!$I$5:$I$304,MATCH(B307,Ingredients!$A$5:$A$304,0)),""),""))</f>
        <v>0</v>
      </c>
      <c r="M307" s="8">
        <f>IF(OR(B307="",C307=""),"",IFERROR(C307*IFERROR(INDEX(Ingredients!$J$5:$J$304,MATCH(B307,Ingredients!$A$5:$A$304,0)),""),""))</f>
        <v>0</v>
      </c>
      <c r="N307" s="8">
        <f>IF(OR(B307="",C307=""),"",IFERROR(C307*IFERROR(INDEX(Ingredients!$K$5:$K$304,MATCH(B307,Ingredients!$A$5:$A$304,0)),""),""))</f>
        <v>0</v>
      </c>
      <c r="O307" s="8">
        <f>IF(OR(B307="",C307=""),"",IFERROR(C307*IFERROR(INDEX(Ingredients!$L$5:$L$304,MATCH(B307,Ingredients!$A$5:$A$304,0)),""),""))</f>
        <v>0</v>
      </c>
      <c r="P307" s="8">
        <f>IF(OR(H307="",A307=""),"",IFERROR(H307/SUMIFS('Recipe Ingredients'!$H$5:$H$1204,'Recipe Ingredients'!$A$5:$A$1204,A307),""))</f>
        <v>0</v>
      </c>
      <c r="Q307" s="8">
        <f>IF(H307="","",COUNTIFS($H$5:$H$1204,"&gt;"&amp;H307)+1)</f>
        <v>0</v>
      </c>
      <c r="R307" s="8">
        <f>IF(B307="","",SUMIFS(Pantry!$C$5:$C$304,Pantry!$A$5:$A$304,B307))</f>
        <v>0</v>
      </c>
      <c r="S307" s="8">
        <f>IF(OR(B307="",C307=""),"",MAX(0,C307-R307))</f>
        <v>0</v>
      </c>
      <c r="T307" s="26"/>
      <c r="U307" s="8">
        <f>IF(OR(T307="",T307=0,G307=""),"",T307*G307)</f>
        <v>0</v>
      </c>
      <c r="V307" s="8">
        <f>IF(OR(S307="",T307="",T307=0),"",CEILING(S307/T307,1))</f>
        <v>0</v>
      </c>
      <c r="W307" s="27"/>
      <c r="X307" s="29"/>
      <c r="Y307" s="8">
        <f>IF(OR(C307="",X307=""),"",C307*(1+X307))</f>
        <v>0</v>
      </c>
      <c r="Z307" s="8">
        <f>IF(B307="","",IFERROR(INDEX(Ingredients!$O$5:$O$304,MATCH(B307,Ingredients!$A$5:$A$304,0)),""))</f>
        <v>0</v>
      </c>
      <c r="AA307" s="8">
        <f>IF(B307="","",IF(R307&gt;=C307,"In pantry","To buy"))</f>
        <v>0</v>
      </c>
      <c r="AB307" s="8">
        <f>IF(A307="","",COUNTIFS($A$5:A307,A307))</f>
        <v>0</v>
      </c>
      <c r="AC307" s="8">
        <f>IF(B307="","",IF(COUNTIFS('Dietary Filters'!$C$5:$C$104,B307)&gt;0,"Check","OK"))</f>
        <v>0</v>
      </c>
      <c r="AD307" s="25"/>
    </row>
    <row r="308" spans="1:30">
      <c r="A308" s="7"/>
      <c r="B308" s="7"/>
      <c r="C308" s="26"/>
      <c r="D308" s="27"/>
      <c r="E308" s="8">
        <f>IF(B308="","",IFERROR(INDEX(Ingredients!$B$5:$B$304,MATCH(B308,Ingredients!$A$5:$A$304,0)),""))</f>
        <v>0</v>
      </c>
      <c r="F308" s="8">
        <f>IF(B308="","",IFERROR(INDEX(Ingredients!$E$5:$E$304,MATCH(B308,Ingredients!$A$5:$A$304,0)),""))</f>
        <v>0</v>
      </c>
      <c r="G308" s="8">
        <f>IF(B308="","",IFERROR(INDEX(Ingredients!$D$5:$D$304,MATCH(B308,Ingredients!$A$5:$A$304,0)),""))</f>
        <v>0</v>
      </c>
      <c r="H308" s="8">
        <f>IF(OR(B308="",C308=""),"",IFERROR(C308*G308,""))</f>
        <v>0</v>
      </c>
      <c r="I308" s="8">
        <f>IF(A308="","",IFERROR(INDEX(Recipes!$D$5:$D$204,MATCH(A308,Recipes!$A$5:$A$204,0)),""))</f>
        <v>0</v>
      </c>
      <c r="J308" s="8">
        <f>IF(OR(H308="",I308="",I308=0),"",IFERROR(H308/I308,""))</f>
        <v>0</v>
      </c>
      <c r="K308" s="8">
        <f>IF(OR(B308="",C308=""),"",IFERROR(C308*IFERROR(INDEX(Ingredients!$H$5:$H$304,MATCH(B308,Ingredients!$A$5:$A$304,0)),""),""))</f>
        <v>0</v>
      </c>
      <c r="L308" s="8">
        <f>IF(OR(B308="",C308=""),"",IFERROR(C308*IFERROR(INDEX(Ingredients!$I$5:$I$304,MATCH(B308,Ingredients!$A$5:$A$304,0)),""),""))</f>
        <v>0</v>
      </c>
      <c r="M308" s="8">
        <f>IF(OR(B308="",C308=""),"",IFERROR(C308*IFERROR(INDEX(Ingredients!$J$5:$J$304,MATCH(B308,Ingredients!$A$5:$A$304,0)),""),""))</f>
        <v>0</v>
      </c>
      <c r="N308" s="8">
        <f>IF(OR(B308="",C308=""),"",IFERROR(C308*IFERROR(INDEX(Ingredients!$K$5:$K$304,MATCH(B308,Ingredients!$A$5:$A$304,0)),""),""))</f>
        <v>0</v>
      </c>
      <c r="O308" s="8">
        <f>IF(OR(B308="",C308=""),"",IFERROR(C308*IFERROR(INDEX(Ingredients!$L$5:$L$304,MATCH(B308,Ingredients!$A$5:$A$304,0)),""),""))</f>
        <v>0</v>
      </c>
      <c r="P308" s="8">
        <f>IF(OR(H308="",A308=""),"",IFERROR(H308/SUMIFS('Recipe Ingredients'!$H$5:$H$1204,'Recipe Ingredients'!$A$5:$A$1204,A308),""))</f>
        <v>0</v>
      </c>
      <c r="Q308" s="8">
        <f>IF(H308="","",COUNTIFS($H$5:$H$1204,"&gt;"&amp;H308)+1)</f>
        <v>0</v>
      </c>
      <c r="R308" s="8">
        <f>IF(B308="","",SUMIFS(Pantry!$C$5:$C$304,Pantry!$A$5:$A$304,B308))</f>
        <v>0</v>
      </c>
      <c r="S308" s="8">
        <f>IF(OR(B308="",C308=""),"",MAX(0,C308-R308))</f>
        <v>0</v>
      </c>
      <c r="T308" s="26"/>
      <c r="U308" s="8">
        <f>IF(OR(T308="",T308=0,G308=""),"",T308*G308)</f>
        <v>0</v>
      </c>
      <c r="V308" s="8">
        <f>IF(OR(S308="",T308="",T308=0),"",CEILING(S308/T308,1))</f>
        <v>0</v>
      </c>
      <c r="W308" s="27"/>
      <c r="X308" s="29"/>
      <c r="Y308" s="8">
        <f>IF(OR(C308="",X308=""),"",C308*(1+X308))</f>
        <v>0</v>
      </c>
      <c r="Z308" s="8">
        <f>IF(B308="","",IFERROR(INDEX(Ingredients!$O$5:$O$304,MATCH(B308,Ingredients!$A$5:$A$304,0)),""))</f>
        <v>0</v>
      </c>
      <c r="AA308" s="8">
        <f>IF(B308="","",IF(R308&gt;=C308,"In pantry","To buy"))</f>
        <v>0</v>
      </c>
      <c r="AB308" s="8">
        <f>IF(A308="","",COUNTIFS($A$5:A308,A308))</f>
        <v>0</v>
      </c>
      <c r="AC308" s="8">
        <f>IF(B308="","",IF(COUNTIFS('Dietary Filters'!$C$5:$C$104,B308)&gt;0,"Check","OK"))</f>
        <v>0</v>
      </c>
      <c r="AD308" s="25"/>
    </row>
    <row r="309" spans="1:30">
      <c r="A309" s="7"/>
      <c r="B309" s="7"/>
      <c r="C309" s="26"/>
      <c r="D309" s="27"/>
      <c r="E309" s="8">
        <f>IF(B309="","",IFERROR(INDEX(Ingredients!$B$5:$B$304,MATCH(B309,Ingredients!$A$5:$A$304,0)),""))</f>
        <v>0</v>
      </c>
      <c r="F309" s="8">
        <f>IF(B309="","",IFERROR(INDEX(Ingredients!$E$5:$E$304,MATCH(B309,Ingredients!$A$5:$A$304,0)),""))</f>
        <v>0</v>
      </c>
      <c r="G309" s="8">
        <f>IF(B309="","",IFERROR(INDEX(Ingredients!$D$5:$D$304,MATCH(B309,Ingredients!$A$5:$A$304,0)),""))</f>
        <v>0</v>
      </c>
      <c r="H309" s="8">
        <f>IF(OR(B309="",C309=""),"",IFERROR(C309*G309,""))</f>
        <v>0</v>
      </c>
      <c r="I309" s="8">
        <f>IF(A309="","",IFERROR(INDEX(Recipes!$D$5:$D$204,MATCH(A309,Recipes!$A$5:$A$204,0)),""))</f>
        <v>0</v>
      </c>
      <c r="J309" s="8">
        <f>IF(OR(H309="",I309="",I309=0),"",IFERROR(H309/I309,""))</f>
        <v>0</v>
      </c>
      <c r="K309" s="8">
        <f>IF(OR(B309="",C309=""),"",IFERROR(C309*IFERROR(INDEX(Ingredients!$H$5:$H$304,MATCH(B309,Ingredients!$A$5:$A$304,0)),""),""))</f>
        <v>0</v>
      </c>
      <c r="L309" s="8">
        <f>IF(OR(B309="",C309=""),"",IFERROR(C309*IFERROR(INDEX(Ingredients!$I$5:$I$304,MATCH(B309,Ingredients!$A$5:$A$304,0)),""),""))</f>
        <v>0</v>
      </c>
      <c r="M309" s="8">
        <f>IF(OR(B309="",C309=""),"",IFERROR(C309*IFERROR(INDEX(Ingredients!$J$5:$J$304,MATCH(B309,Ingredients!$A$5:$A$304,0)),""),""))</f>
        <v>0</v>
      </c>
      <c r="N309" s="8">
        <f>IF(OR(B309="",C309=""),"",IFERROR(C309*IFERROR(INDEX(Ingredients!$K$5:$K$304,MATCH(B309,Ingredients!$A$5:$A$304,0)),""),""))</f>
        <v>0</v>
      </c>
      <c r="O309" s="8">
        <f>IF(OR(B309="",C309=""),"",IFERROR(C309*IFERROR(INDEX(Ingredients!$L$5:$L$304,MATCH(B309,Ingredients!$A$5:$A$304,0)),""),""))</f>
        <v>0</v>
      </c>
      <c r="P309" s="8">
        <f>IF(OR(H309="",A309=""),"",IFERROR(H309/SUMIFS('Recipe Ingredients'!$H$5:$H$1204,'Recipe Ingredients'!$A$5:$A$1204,A309),""))</f>
        <v>0</v>
      </c>
      <c r="Q309" s="8">
        <f>IF(H309="","",COUNTIFS($H$5:$H$1204,"&gt;"&amp;H309)+1)</f>
        <v>0</v>
      </c>
      <c r="R309" s="8">
        <f>IF(B309="","",SUMIFS(Pantry!$C$5:$C$304,Pantry!$A$5:$A$304,B309))</f>
        <v>0</v>
      </c>
      <c r="S309" s="8">
        <f>IF(OR(B309="",C309=""),"",MAX(0,C309-R309))</f>
        <v>0</v>
      </c>
      <c r="T309" s="26"/>
      <c r="U309" s="8">
        <f>IF(OR(T309="",T309=0,G309=""),"",T309*G309)</f>
        <v>0</v>
      </c>
      <c r="V309" s="8">
        <f>IF(OR(S309="",T309="",T309=0),"",CEILING(S309/T309,1))</f>
        <v>0</v>
      </c>
      <c r="W309" s="27"/>
      <c r="X309" s="29"/>
      <c r="Y309" s="8">
        <f>IF(OR(C309="",X309=""),"",C309*(1+X309))</f>
        <v>0</v>
      </c>
      <c r="Z309" s="8">
        <f>IF(B309="","",IFERROR(INDEX(Ingredients!$O$5:$O$304,MATCH(B309,Ingredients!$A$5:$A$304,0)),""))</f>
        <v>0</v>
      </c>
      <c r="AA309" s="8">
        <f>IF(B309="","",IF(R309&gt;=C309,"In pantry","To buy"))</f>
        <v>0</v>
      </c>
      <c r="AB309" s="8">
        <f>IF(A309="","",COUNTIFS($A$5:A309,A309))</f>
        <v>0</v>
      </c>
      <c r="AC309" s="8">
        <f>IF(B309="","",IF(COUNTIFS('Dietary Filters'!$C$5:$C$104,B309)&gt;0,"Check","OK"))</f>
        <v>0</v>
      </c>
      <c r="AD309" s="25"/>
    </row>
    <row r="310" spans="1:30">
      <c r="A310" s="7"/>
      <c r="B310" s="7"/>
      <c r="C310" s="26"/>
      <c r="D310" s="27"/>
      <c r="E310" s="8">
        <f>IF(B310="","",IFERROR(INDEX(Ingredients!$B$5:$B$304,MATCH(B310,Ingredients!$A$5:$A$304,0)),""))</f>
        <v>0</v>
      </c>
      <c r="F310" s="8">
        <f>IF(B310="","",IFERROR(INDEX(Ingredients!$E$5:$E$304,MATCH(B310,Ingredients!$A$5:$A$304,0)),""))</f>
        <v>0</v>
      </c>
      <c r="G310" s="8">
        <f>IF(B310="","",IFERROR(INDEX(Ingredients!$D$5:$D$304,MATCH(B310,Ingredients!$A$5:$A$304,0)),""))</f>
        <v>0</v>
      </c>
      <c r="H310" s="8">
        <f>IF(OR(B310="",C310=""),"",IFERROR(C310*G310,""))</f>
        <v>0</v>
      </c>
      <c r="I310" s="8">
        <f>IF(A310="","",IFERROR(INDEX(Recipes!$D$5:$D$204,MATCH(A310,Recipes!$A$5:$A$204,0)),""))</f>
        <v>0</v>
      </c>
      <c r="J310" s="8">
        <f>IF(OR(H310="",I310="",I310=0),"",IFERROR(H310/I310,""))</f>
        <v>0</v>
      </c>
      <c r="K310" s="8">
        <f>IF(OR(B310="",C310=""),"",IFERROR(C310*IFERROR(INDEX(Ingredients!$H$5:$H$304,MATCH(B310,Ingredients!$A$5:$A$304,0)),""),""))</f>
        <v>0</v>
      </c>
      <c r="L310" s="8">
        <f>IF(OR(B310="",C310=""),"",IFERROR(C310*IFERROR(INDEX(Ingredients!$I$5:$I$304,MATCH(B310,Ingredients!$A$5:$A$304,0)),""),""))</f>
        <v>0</v>
      </c>
      <c r="M310" s="8">
        <f>IF(OR(B310="",C310=""),"",IFERROR(C310*IFERROR(INDEX(Ingredients!$J$5:$J$304,MATCH(B310,Ingredients!$A$5:$A$304,0)),""),""))</f>
        <v>0</v>
      </c>
      <c r="N310" s="8">
        <f>IF(OR(B310="",C310=""),"",IFERROR(C310*IFERROR(INDEX(Ingredients!$K$5:$K$304,MATCH(B310,Ingredients!$A$5:$A$304,0)),""),""))</f>
        <v>0</v>
      </c>
      <c r="O310" s="8">
        <f>IF(OR(B310="",C310=""),"",IFERROR(C310*IFERROR(INDEX(Ingredients!$L$5:$L$304,MATCH(B310,Ingredients!$A$5:$A$304,0)),""),""))</f>
        <v>0</v>
      </c>
      <c r="P310" s="8">
        <f>IF(OR(H310="",A310=""),"",IFERROR(H310/SUMIFS('Recipe Ingredients'!$H$5:$H$1204,'Recipe Ingredients'!$A$5:$A$1204,A310),""))</f>
        <v>0</v>
      </c>
      <c r="Q310" s="8">
        <f>IF(H310="","",COUNTIFS($H$5:$H$1204,"&gt;"&amp;H310)+1)</f>
        <v>0</v>
      </c>
      <c r="R310" s="8">
        <f>IF(B310="","",SUMIFS(Pantry!$C$5:$C$304,Pantry!$A$5:$A$304,B310))</f>
        <v>0</v>
      </c>
      <c r="S310" s="8">
        <f>IF(OR(B310="",C310=""),"",MAX(0,C310-R310))</f>
        <v>0</v>
      </c>
      <c r="T310" s="26"/>
      <c r="U310" s="8">
        <f>IF(OR(T310="",T310=0,G310=""),"",T310*G310)</f>
        <v>0</v>
      </c>
      <c r="V310" s="8">
        <f>IF(OR(S310="",T310="",T310=0),"",CEILING(S310/T310,1))</f>
        <v>0</v>
      </c>
      <c r="W310" s="27"/>
      <c r="X310" s="29"/>
      <c r="Y310" s="8">
        <f>IF(OR(C310="",X310=""),"",C310*(1+X310))</f>
        <v>0</v>
      </c>
      <c r="Z310" s="8">
        <f>IF(B310="","",IFERROR(INDEX(Ingredients!$O$5:$O$304,MATCH(B310,Ingredients!$A$5:$A$304,0)),""))</f>
        <v>0</v>
      </c>
      <c r="AA310" s="8">
        <f>IF(B310="","",IF(R310&gt;=C310,"In pantry","To buy"))</f>
        <v>0</v>
      </c>
      <c r="AB310" s="8">
        <f>IF(A310="","",COUNTIFS($A$5:A310,A310))</f>
        <v>0</v>
      </c>
      <c r="AC310" s="8">
        <f>IF(B310="","",IF(COUNTIFS('Dietary Filters'!$C$5:$C$104,B310)&gt;0,"Check","OK"))</f>
        <v>0</v>
      </c>
      <c r="AD310" s="25"/>
    </row>
    <row r="311" spans="1:30">
      <c r="A311" s="7"/>
      <c r="B311" s="7"/>
      <c r="C311" s="26"/>
      <c r="D311" s="27"/>
      <c r="E311" s="8">
        <f>IF(B311="","",IFERROR(INDEX(Ingredients!$B$5:$B$304,MATCH(B311,Ingredients!$A$5:$A$304,0)),""))</f>
        <v>0</v>
      </c>
      <c r="F311" s="8">
        <f>IF(B311="","",IFERROR(INDEX(Ingredients!$E$5:$E$304,MATCH(B311,Ingredients!$A$5:$A$304,0)),""))</f>
        <v>0</v>
      </c>
      <c r="G311" s="8">
        <f>IF(B311="","",IFERROR(INDEX(Ingredients!$D$5:$D$304,MATCH(B311,Ingredients!$A$5:$A$304,0)),""))</f>
        <v>0</v>
      </c>
      <c r="H311" s="8">
        <f>IF(OR(B311="",C311=""),"",IFERROR(C311*G311,""))</f>
        <v>0</v>
      </c>
      <c r="I311" s="8">
        <f>IF(A311="","",IFERROR(INDEX(Recipes!$D$5:$D$204,MATCH(A311,Recipes!$A$5:$A$204,0)),""))</f>
        <v>0</v>
      </c>
      <c r="J311" s="8">
        <f>IF(OR(H311="",I311="",I311=0),"",IFERROR(H311/I311,""))</f>
        <v>0</v>
      </c>
      <c r="K311" s="8">
        <f>IF(OR(B311="",C311=""),"",IFERROR(C311*IFERROR(INDEX(Ingredients!$H$5:$H$304,MATCH(B311,Ingredients!$A$5:$A$304,0)),""),""))</f>
        <v>0</v>
      </c>
      <c r="L311" s="8">
        <f>IF(OR(B311="",C311=""),"",IFERROR(C311*IFERROR(INDEX(Ingredients!$I$5:$I$304,MATCH(B311,Ingredients!$A$5:$A$304,0)),""),""))</f>
        <v>0</v>
      </c>
      <c r="M311" s="8">
        <f>IF(OR(B311="",C311=""),"",IFERROR(C311*IFERROR(INDEX(Ingredients!$J$5:$J$304,MATCH(B311,Ingredients!$A$5:$A$304,0)),""),""))</f>
        <v>0</v>
      </c>
      <c r="N311" s="8">
        <f>IF(OR(B311="",C311=""),"",IFERROR(C311*IFERROR(INDEX(Ingredients!$K$5:$K$304,MATCH(B311,Ingredients!$A$5:$A$304,0)),""),""))</f>
        <v>0</v>
      </c>
      <c r="O311" s="8">
        <f>IF(OR(B311="",C311=""),"",IFERROR(C311*IFERROR(INDEX(Ingredients!$L$5:$L$304,MATCH(B311,Ingredients!$A$5:$A$304,0)),""),""))</f>
        <v>0</v>
      </c>
      <c r="P311" s="8">
        <f>IF(OR(H311="",A311=""),"",IFERROR(H311/SUMIFS('Recipe Ingredients'!$H$5:$H$1204,'Recipe Ingredients'!$A$5:$A$1204,A311),""))</f>
        <v>0</v>
      </c>
      <c r="Q311" s="8">
        <f>IF(H311="","",COUNTIFS($H$5:$H$1204,"&gt;"&amp;H311)+1)</f>
        <v>0</v>
      </c>
      <c r="R311" s="8">
        <f>IF(B311="","",SUMIFS(Pantry!$C$5:$C$304,Pantry!$A$5:$A$304,B311))</f>
        <v>0</v>
      </c>
      <c r="S311" s="8">
        <f>IF(OR(B311="",C311=""),"",MAX(0,C311-R311))</f>
        <v>0</v>
      </c>
      <c r="T311" s="26"/>
      <c r="U311" s="8">
        <f>IF(OR(T311="",T311=0,G311=""),"",T311*G311)</f>
        <v>0</v>
      </c>
      <c r="V311" s="8">
        <f>IF(OR(S311="",T311="",T311=0),"",CEILING(S311/T311,1))</f>
        <v>0</v>
      </c>
      <c r="W311" s="27"/>
      <c r="X311" s="29"/>
      <c r="Y311" s="8">
        <f>IF(OR(C311="",X311=""),"",C311*(1+X311))</f>
        <v>0</v>
      </c>
      <c r="Z311" s="8">
        <f>IF(B311="","",IFERROR(INDEX(Ingredients!$O$5:$O$304,MATCH(B311,Ingredients!$A$5:$A$304,0)),""))</f>
        <v>0</v>
      </c>
      <c r="AA311" s="8">
        <f>IF(B311="","",IF(R311&gt;=C311,"In pantry","To buy"))</f>
        <v>0</v>
      </c>
      <c r="AB311" s="8">
        <f>IF(A311="","",COUNTIFS($A$5:A311,A311))</f>
        <v>0</v>
      </c>
      <c r="AC311" s="8">
        <f>IF(B311="","",IF(COUNTIFS('Dietary Filters'!$C$5:$C$104,B311)&gt;0,"Check","OK"))</f>
        <v>0</v>
      </c>
      <c r="AD311" s="25"/>
    </row>
    <row r="312" spans="1:30">
      <c r="A312" s="7"/>
      <c r="B312" s="7"/>
      <c r="C312" s="26"/>
      <c r="D312" s="27"/>
      <c r="E312" s="8">
        <f>IF(B312="","",IFERROR(INDEX(Ingredients!$B$5:$B$304,MATCH(B312,Ingredients!$A$5:$A$304,0)),""))</f>
        <v>0</v>
      </c>
      <c r="F312" s="8">
        <f>IF(B312="","",IFERROR(INDEX(Ingredients!$E$5:$E$304,MATCH(B312,Ingredients!$A$5:$A$304,0)),""))</f>
        <v>0</v>
      </c>
      <c r="G312" s="8">
        <f>IF(B312="","",IFERROR(INDEX(Ingredients!$D$5:$D$304,MATCH(B312,Ingredients!$A$5:$A$304,0)),""))</f>
        <v>0</v>
      </c>
      <c r="H312" s="8">
        <f>IF(OR(B312="",C312=""),"",IFERROR(C312*G312,""))</f>
        <v>0</v>
      </c>
      <c r="I312" s="8">
        <f>IF(A312="","",IFERROR(INDEX(Recipes!$D$5:$D$204,MATCH(A312,Recipes!$A$5:$A$204,0)),""))</f>
        <v>0</v>
      </c>
      <c r="J312" s="8">
        <f>IF(OR(H312="",I312="",I312=0),"",IFERROR(H312/I312,""))</f>
        <v>0</v>
      </c>
      <c r="K312" s="8">
        <f>IF(OR(B312="",C312=""),"",IFERROR(C312*IFERROR(INDEX(Ingredients!$H$5:$H$304,MATCH(B312,Ingredients!$A$5:$A$304,0)),""),""))</f>
        <v>0</v>
      </c>
      <c r="L312" s="8">
        <f>IF(OR(B312="",C312=""),"",IFERROR(C312*IFERROR(INDEX(Ingredients!$I$5:$I$304,MATCH(B312,Ingredients!$A$5:$A$304,0)),""),""))</f>
        <v>0</v>
      </c>
      <c r="M312" s="8">
        <f>IF(OR(B312="",C312=""),"",IFERROR(C312*IFERROR(INDEX(Ingredients!$J$5:$J$304,MATCH(B312,Ingredients!$A$5:$A$304,0)),""),""))</f>
        <v>0</v>
      </c>
      <c r="N312" s="8">
        <f>IF(OR(B312="",C312=""),"",IFERROR(C312*IFERROR(INDEX(Ingredients!$K$5:$K$304,MATCH(B312,Ingredients!$A$5:$A$304,0)),""),""))</f>
        <v>0</v>
      </c>
      <c r="O312" s="8">
        <f>IF(OR(B312="",C312=""),"",IFERROR(C312*IFERROR(INDEX(Ingredients!$L$5:$L$304,MATCH(B312,Ingredients!$A$5:$A$304,0)),""),""))</f>
        <v>0</v>
      </c>
      <c r="P312" s="8">
        <f>IF(OR(H312="",A312=""),"",IFERROR(H312/SUMIFS('Recipe Ingredients'!$H$5:$H$1204,'Recipe Ingredients'!$A$5:$A$1204,A312),""))</f>
        <v>0</v>
      </c>
      <c r="Q312" s="8">
        <f>IF(H312="","",COUNTIFS($H$5:$H$1204,"&gt;"&amp;H312)+1)</f>
        <v>0</v>
      </c>
      <c r="R312" s="8">
        <f>IF(B312="","",SUMIFS(Pantry!$C$5:$C$304,Pantry!$A$5:$A$304,B312))</f>
        <v>0</v>
      </c>
      <c r="S312" s="8">
        <f>IF(OR(B312="",C312=""),"",MAX(0,C312-R312))</f>
        <v>0</v>
      </c>
      <c r="T312" s="26"/>
      <c r="U312" s="8">
        <f>IF(OR(T312="",T312=0,G312=""),"",T312*G312)</f>
        <v>0</v>
      </c>
      <c r="V312" s="8">
        <f>IF(OR(S312="",T312="",T312=0),"",CEILING(S312/T312,1))</f>
        <v>0</v>
      </c>
      <c r="W312" s="27"/>
      <c r="X312" s="29"/>
      <c r="Y312" s="8">
        <f>IF(OR(C312="",X312=""),"",C312*(1+X312))</f>
        <v>0</v>
      </c>
      <c r="Z312" s="8">
        <f>IF(B312="","",IFERROR(INDEX(Ingredients!$O$5:$O$304,MATCH(B312,Ingredients!$A$5:$A$304,0)),""))</f>
        <v>0</v>
      </c>
      <c r="AA312" s="8">
        <f>IF(B312="","",IF(R312&gt;=C312,"In pantry","To buy"))</f>
        <v>0</v>
      </c>
      <c r="AB312" s="8">
        <f>IF(A312="","",COUNTIFS($A$5:A312,A312))</f>
        <v>0</v>
      </c>
      <c r="AC312" s="8">
        <f>IF(B312="","",IF(COUNTIFS('Dietary Filters'!$C$5:$C$104,B312)&gt;0,"Check","OK"))</f>
        <v>0</v>
      </c>
      <c r="AD312" s="25"/>
    </row>
    <row r="313" spans="1:30">
      <c r="A313" s="7"/>
      <c r="B313" s="7"/>
      <c r="C313" s="26"/>
      <c r="D313" s="27"/>
      <c r="E313" s="8">
        <f>IF(B313="","",IFERROR(INDEX(Ingredients!$B$5:$B$304,MATCH(B313,Ingredients!$A$5:$A$304,0)),""))</f>
        <v>0</v>
      </c>
      <c r="F313" s="8">
        <f>IF(B313="","",IFERROR(INDEX(Ingredients!$E$5:$E$304,MATCH(B313,Ingredients!$A$5:$A$304,0)),""))</f>
        <v>0</v>
      </c>
      <c r="G313" s="8">
        <f>IF(B313="","",IFERROR(INDEX(Ingredients!$D$5:$D$304,MATCH(B313,Ingredients!$A$5:$A$304,0)),""))</f>
        <v>0</v>
      </c>
      <c r="H313" s="8">
        <f>IF(OR(B313="",C313=""),"",IFERROR(C313*G313,""))</f>
        <v>0</v>
      </c>
      <c r="I313" s="8">
        <f>IF(A313="","",IFERROR(INDEX(Recipes!$D$5:$D$204,MATCH(A313,Recipes!$A$5:$A$204,0)),""))</f>
        <v>0</v>
      </c>
      <c r="J313" s="8">
        <f>IF(OR(H313="",I313="",I313=0),"",IFERROR(H313/I313,""))</f>
        <v>0</v>
      </c>
      <c r="K313" s="8">
        <f>IF(OR(B313="",C313=""),"",IFERROR(C313*IFERROR(INDEX(Ingredients!$H$5:$H$304,MATCH(B313,Ingredients!$A$5:$A$304,0)),""),""))</f>
        <v>0</v>
      </c>
      <c r="L313" s="8">
        <f>IF(OR(B313="",C313=""),"",IFERROR(C313*IFERROR(INDEX(Ingredients!$I$5:$I$304,MATCH(B313,Ingredients!$A$5:$A$304,0)),""),""))</f>
        <v>0</v>
      </c>
      <c r="M313" s="8">
        <f>IF(OR(B313="",C313=""),"",IFERROR(C313*IFERROR(INDEX(Ingredients!$J$5:$J$304,MATCH(B313,Ingredients!$A$5:$A$304,0)),""),""))</f>
        <v>0</v>
      </c>
      <c r="N313" s="8">
        <f>IF(OR(B313="",C313=""),"",IFERROR(C313*IFERROR(INDEX(Ingredients!$K$5:$K$304,MATCH(B313,Ingredients!$A$5:$A$304,0)),""),""))</f>
        <v>0</v>
      </c>
      <c r="O313" s="8">
        <f>IF(OR(B313="",C313=""),"",IFERROR(C313*IFERROR(INDEX(Ingredients!$L$5:$L$304,MATCH(B313,Ingredients!$A$5:$A$304,0)),""),""))</f>
        <v>0</v>
      </c>
      <c r="P313" s="8">
        <f>IF(OR(H313="",A313=""),"",IFERROR(H313/SUMIFS('Recipe Ingredients'!$H$5:$H$1204,'Recipe Ingredients'!$A$5:$A$1204,A313),""))</f>
        <v>0</v>
      </c>
      <c r="Q313" s="8">
        <f>IF(H313="","",COUNTIFS($H$5:$H$1204,"&gt;"&amp;H313)+1)</f>
        <v>0</v>
      </c>
      <c r="R313" s="8">
        <f>IF(B313="","",SUMIFS(Pantry!$C$5:$C$304,Pantry!$A$5:$A$304,B313))</f>
        <v>0</v>
      </c>
      <c r="S313" s="8">
        <f>IF(OR(B313="",C313=""),"",MAX(0,C313-R313))</f>
        <v>0</v>
      </c>
      <c r="T313" s="26"/>
      <c r="U313" s="8">
        <f>IF(OR(T313="",T313=0,G313=""),"",T313*G313)</f>
        <v>0</v>
      </c>
      <c r="V313" s="8">
        <f>IF(OR(S313="",T313="",T313=0),"",CEILING(S313/T313,1))</f>
        <v>0</v>
      </c>
      <c r="W313" s="27"/>
      <c r="X313" s="29"/>
      <c r="Y313" s="8">
        <f>IF(OR(C313="",X313=""),"",C313*(1+X313))</f>
        <v>0</v>
      </c>
      <c r="Z313" s="8">
        <f>IF(B313="","",IFERROR(INDEX(Ingredients!$O$5:$O$304,MATCH(B313,Ingredients!$A$5:$A$304,0)),""))</f>
        <v>0</v>
      </c>
      <c r="AA313" s="8">
        <f>IF(B313="","",IF(R313&gt;=C313,"In pantry","To buy"))</f>
        <v>0</v>
      </c>
      <c r="AB313" s="8">
        <f>IF(A313="","",COUNTIFS($A$5:A313,A313))</f>
        <v>0</v>
      </c>
      <c r="AC313" s="8">
        <f>IF(B313="","",IF(COUNTIFS('Dietary Filters'!$C$5:$C$104,B313)&gt;0,"Check","OK"))</f>
        <v>0</v>
      </c>
      <c r="AD313" s="25"/>
    </row>
    <row r="314" spans="1:30">
      <c r="A314" s="7"/>
      <c r="B314" s="7"/>
      <c r="C314" s="26"/>
      <c r="D314" s="27"/>
      <c r="E314" s="8">
        <f>IF(B314="","",IFERROR(INDEX(Ingredients!$B$5:$B$304,MATCH(B314,Ingredients!$A$5:$A$304,0)),""))</f>
        <v>0</v>
      </c>
      <c r="F314" s="8">
        <f>IF(B314="","",IFERROR(INDEX(Ingredients!$E$5:$E$304,MATCH(B314,Ingredients!$A$5:$A$304,0)),""))</f>
        <v>0</v>
      </c>
      <c r="G314" s="8">
        <f>IF(B314="","",IFERROR(INDEX(Ingredients!$D$5:$D$304,MATCH(B314,Ingredients!$A$5:$A$304,0)),""))</f>
        <v>0</v>
      </c>
      <c r="H314" s="8">
        <f>IF(OR(B314="",C314=""),"",IFERROR(C314*G314,""))</f>
        <v>0</v>
      </c>
      <c r="I314" s="8">
        <f>IF(A314="","",IFERROR(INDEX(Recipes!$D$5:$D$204,MATCH(A314,Recipes!$A$5:$A$204,0)),""))</f>
        <v>0</v>
      </c>
      <c r="J314" s="8">
        <f>IF(OR(H314="",I314="",I314=0),"",IFERROR(H314/I314,""))</f>
        <v>0</v>
      </c>
      <c r="K314" s="8">
        <f>IF(OR(B314="",C314=""),"",IFERROR(C314*IFERROR(INDEX(Ingredients!$H$5:$H$304,MATCH(B314,Ingredients!$A$5:$A$304,0)),""),""))</f>
        <v>0</v>
      </c>
      <c r="L314" s="8">
        <f>IF(OR(B314="",C314=""),"",IFERROR(C314*IFERROR(INDEX(Ingredients!$I$5:$I$304,MATCH(B314,Ingredients!$A$5:$A$304,0)),""),""))</f>
        <v>0</v>
      </c>
      <c r="M314" s="8">
        <f>IF(OR(B314="",C314=""),"",IFERROR(C314*IFERROR(INDEX(Ingredients!$J$5:$J$304,MATCH(B314,Ingredients!$A$5:$A$304,0)),""),""))</f>
        <v>0</v>
      </c>
      <c r="N314" s="8">
        <f>IF(OR(B314="",C314=""),"",IFERROR(C314*IFERROR(INDEX(Ingredients!$K$5:$K$304,MATCH(B314,Ingredients!$A$5:$A$304,0)),""),""))</f>
        <v>0</v>
      </c>
      <c r="O314" s="8">
        <f>IF(OR(B314="",C314=""),"",IFERROR(C314*IFERROR(INDEX(Ingredients!$L$5:$L$304,MATCH(B314,Ingredients!$A$5:$A$304,0)),""),""))</f>
        <v>0</v>
      </c>
      <c r="P314" s="8">
        <f>IF(OR(H314="",A314=""),"",IFERROR(H314/SUMIFS('Recipe Ingredients'!$H$5:$H$1204,'Recipe Ingredients'!$A$5:$A$1204,A314),""))</f>
        <v>0</v>
      </c>
      <c r="Q314" s="8">
        <f>IF(H314="","",COUNTIFS($H$5:$H$1204,"&gt;"&amp;H314)+1)</f>
        <v>0</v>
      </c>
      <c r="R314" s="8">
        <f>IF(B314="","",SUMIFS(Pantry!$C$5:$C$304,Pantry!$A$5:$A$304,B314))</f>
        <v>0</v>
      </c>
      <c r="S314" s="8">
        <f>IF(OR(B314="",C314=""),"",MAX(0,C314-R314))</f>
        <v>0</v>
      </c>
      <c r="T314" s="26"/>
      <c r="U314" s="8">
        <f>IF(OR(T314="",T314=0,G314=""),"",T314*G314)</f>
        <v>0</v>
      </c>
      <c r="V314" s="8">
        <f>IF(OR(S314="",T314="",T314=0),"",CEILING(S314/T314,1))</f>
        <v>0</v>
      </c>
      <c r="W314" s="27"/>
      <c r="X314" s="29"/>
      <c r="Y314" s="8">
        <f>IF(OR(C314="",X314=""),"",C314*(1+X314))</f>
        <v>0</v>
      </c>
      <c r="Z314" s="8">
        <f>IF(B314="","",IFERROR(INDEX(Ingredients!$O$5:$O$304,MATCH(B314,Ingredients!$A$5:$A$304,0)),""))</f>
        <v>0</v>
      </c>
      <c r="AA314" s="8">
        <f>IF(B314="","",IF(R314&gt;=C314,"In pantry","To buy"))</f>
        <v>0</v>
      </c>
      <c r="AB314" s="8">
        <f>IF(A314="","",COUNTIFS($A$5:A314,A314))</f>
        <v>0</v>
      </c>
      <c r="AC314" s="8">
        <f>IF(B314="","",IF(COUNTIFS('Dietary Filters'!$C$5:$C$104,B314)&gt;0,"Check","OK"))</f>
        <v>0</v>
      </c>
      <c r="AD314" s="25"/>
    </row>
    <row r="315" spans="1:30">
      <c r="A315" s="7"/>
      <c r="B315" s="7"/>
      <c r="C315" s="26"/>
      <c r="D315" s="27"/>
      <c r="E315" s="8">
        <f>IF(B315="","",IFERROR(INDEX(Ingredients!$B$5:$B$304,MATCH(B315,Ingredients!$A$5:$A$304,0)),""))</f>
        <v>0</v>
      </c>
      <c r="F315" s="8">
        <f>IF(B315="","",IFERROR(INDEX(Ingredients!$E$5:$E$304,MATCH(B315,Ingredients!$A$5:$A$304,0)),""))</f>
        <v>0</v>
      </c>
      <c r="G315" s="8">
        <f>IF(B315="","",IFERROR(INDEX(Ingredients!$D$5:$D$304,MATCH(B315,Ingredients!$A$5:$A$304,0)),""))</f>
        <v>0</v>
      </c>
      <c r="H315" s="8">
        <f>IF(OR(B315="",C315=""),"",IFERROR(C315*G315,""))</f>
        <v>0</v>
      </c>
      <c r="I315" s="8">
        <f>IF(A315="","",IFERROR(INDEX(Recipes!$D$5:$D$204,MATCH(A315,Recipes!$A$5:$A$204,0)),""))</f>
        <v>0</v>
      </c>
      <c r="J315" s="8">
        <f>IF(OR(H315="",I315="",I315=0),"",IFERROR(H315/I315,""))</f>
        <v>0</v>
      </c>
      <c r="K315" s="8">
        <f>IF(OR(B315="",C315=""),"",IFERROR(C315*IFERROR(INDEX(Ingredients!$H$5:$H$304,MATCH(B315,Ingredients!$A$5:$A$304,0)),""),""))</f>
        <v>0</v>
      </c>
      <c r="L315" s="8">
        <f>IF(OR(B315="",C315=""),"",IFERROR(C315*IFERROR(INDEX(Ingredients!$I$5:$I$304,MATCH(B315,Ingredients!$A$5:$A$304,0)),""),""))</f>
        <v>0</v>
      </c>
      <c r="M315" s="8">
        <f>IF(OR(B315="",C315=""),"",IFERROR(C315*IFERROR(INDEX(Ingredients!$J$5:$J$304,MATCH(B315,Ingredients!$A$5:$A$304,0)),""),""))</f>
        <v>0</v>
      </c>
      <c r="N315" s="8">
        <f>IF(OR(B315="",C315=""),"",IFERROR(C315*IFERROR(INDEX(Ingredients!$K$5:$K$304,MATCH(B315,Ingredients!$A$5:$A$304,0)),""),""))</f>
        <v>0</v>
      </c>
      <c r="O315" s="8">
        <f>IF(OR(B315="",C315=""),"",IFERROR(C315*IFERROR(INDEX(Ingredients!$L$5:$L$304,MATCH(B315,Ingredients!$A$5:$A$304,0)),""),""))</f>
        <v>0</v>
      </c>
      <c r="P315" s="8">
        <f>IF(OR(H315="",A315=""),"",IFERROR(H315/SUMIFS('Recipe Ingredients'!$H$5:$H$1204,'Recipe Ingredients'!$A$5:$A$1204,A315),""))</f>
        <v>0</v>
      </c>
      <c r="Q315" s="8">
        <f>IF(H315="","",COUNTIFS($H$5:$H$1204,"&gt;"&amp;H315)+1)</f>
        <v>0</v>
      </c>
      <c r="R315" s="8">
        <f>IF(B315="","",SUMIFS(Pantry!$C$5:$C$304,Pantry!$A$5:$A$304,B315))</f>
        <v>0</v>
      </c>
      <c r="S315" s="8">
        <f>IF(OR(B315="",C315=""),"",MAX(0,C315-R315))</f>
        <v>0</v>
      </c>
      <c r="T315" s="26"/>
      <c r="U315" s="8">
        <f>IF(OR(T315="",T315=0,G315=""),"",T315*G315)</f>
        <v>0</v>
      </c>
      <c r="V315" s="8">
        <f>IF(OR(S315="",T315="",T315=0),"",CEILING(S315/T315,1))</f>
        <v>0</v>
      </c>
      <c r="W315" s="27"/>
      <c r="X315" s="29"/>
      <c r="Y315" s="8">
        <f>IF(OR(C315="",X315=""),"",C315*(1+X315))</f>
        <v>0</v>
      </c>
      <c r="Z315" s="8">
        <f>IF(B315="","",IFERROR(INDEX(Ingredients!$O$5:$O$304,MATCH(B315,Ingredients!$A$5:$A$304,0)),""))</f>
        <v>0</v>
      </c>
      <c r="AA315" s="8">
        <f>IF(B315="","",IF(R315&gt;=C315,"In pantry","To buy"))</f>
        <v>0</v>
      </c>
      <c r="AB315" s="8">
        <f>IF(A315="","",COUNTIFS($A$5:A315,A315))</f>
        <v>0</v>
      </c>
      <c r="AC315" s="8">
        <f>IF(B315="","",IF(COUNTIFS('Dietary Filters'!$C$5:$C$104,B315)&gt;0,"Check","OK"))</f>
        <v>0</v>
      </c>
      <c r="AD315" s="25"/>
    </row>
    <row r="316" spans="1:30">
      <c r="A316" s="7"/>
      <c r="B316" s="7"/>
      <c r="C316" s="26"/>
      <c r="D316" s="27"/>
      <c r="E316" s="8">
        <f>IF(B316="","",IFERROR(INDEX(Ingredients!$B$5:$B$304,MATCH(B316,Ingredients!$A$5:$A$304,0)),""))</f>
        <v>0</v>
      </c>
      <c r="F316" s="8">
        <f>IF(B316="","",IFERROR(INDEX(Ingredients!$E$5:$E$304,MATCH(B316,Ingredients!$A$5:$A$304,0)),""))</f>
        <v>0</v>
      </c>
      <c r="G316" s="8">
        <f>IF(B316="","",IFERROR(INDEX(Ingredients!$D$5:$D$304,MATCH(B316,Ingredients!$A$5:$A$304,0)),""))</f>
        <v>0</v>
      </c>
      <c r="H316" s="8">
        <f>IF(OR(B316="",C316=""),"",IFERROR(C316*G316,""))</f>
        <v>0</v>
      </c>
      <c r="I316" s="8">
        <f>IF(A316="","",IFERROR(INDEX(Recipes!$D$5:$D$204,MATCH(A316,Recipes!$A$5:$A$204,0)),""))</f>
        <v>0</v>
      </c>
      <c r="J316" s="8">
        <f>IF(OR(H316="",I316="",I316=0),"",IFERROR(H316/I316,""))</f>
        <v>0</v>
      </c>
      <c r="K316" s="8">
        <f>IF(OR(B316="",C316=""),"",IFERROR(C316*IFERROR(INDEX(Ingredients!$H$5:$H$304,MATCH(B316,Ingredients!$A$5:$A$304,0)),""),""))</f>
        <v>0</v>
      </c>
      <c r="L316" s="8">
        <f>IF(OR(B316="",C316=""),"",IFERROR(C316*IFERROR(INDEX(Ingredients!$I$5:$I$304,MATCH(B316,Ingredients!$A$5:$A$304,0)),""),""))</f>
        <v>0</v>
      </c>
      <c r="M316" s="8">
        <f>IF(OR(B316="",C316=""),"",IFERROR(C316*IFERROR(INDEX(Ingredients!$J$5:$J$304,MATCH(B316,Ingredients!$A$5:$A$304,0)),""),""))</f>
        <v>0</v>
      </c>
      <c r="N316" s="8">
        <f>IF(OR(B316="",C316=""),"",IFERROR(C316*IFERROR(INDEX(Ingredients!$K$5:$K$304,MATCH(B316,Ingredients!$A$5:$A$304,0)),""),""))</f>
        <v>0</v>
      </c>
      <c r="O316" s="8">
        <f>IF(OR(B316="",C316=""),"",IFERROR(C316*IFERROR(INDEX(Ingredients!$L$5:$L$304,MATCH(B316,Ingredients!$A$5:$A$304,0)),""),""))</f>
        <v>0</v>
      </c>
      <c r="P316" s="8">
        <f>IF(OR(H316="",A316=""),"",IFERROR(H316/SUMIFS('Recipe Ingredients'!$H$5:$H$1204,'Recipe Ingredients'!$A$5:$A$1204,A316),""))</f>
        <v>0</v>
      </c>
      <c r="Q316" s="8">
        <f>IF(H316="","",COUNTIFS($H$5:$H$1204,"&gt;"&amp;H316)+1)</f>
        <v>0</v>
      </c>
      <c r="R316" s="8">
        <f>IF(B316="","",SUMIFS(Pantry!$C$5:$C$304,Pantry!$A$5:$A$304,B316))</f>
        <v>0</v>
      </c>
      <c r="S316" s="8">
        <f>IF(OR(B316="",C316=""),"",MAX(0,C316-R316))</f>
        <v>0</v>
      </c>
      <c r="T316" s="26"/>
      <c r="U316" s="8">
        <f>IF(OR(T316="",T316=0,G316=""),"",T316*G316)</f>
        <v>0</v>
      </c>
      <c r="V316" s="8">
        <f>IF(OR(S316="",T316="",T316=0),"",CEILING(S316/T316,1))</f>
        <v>0</v>
      </c>
      <c r="W316" s="27"/>
      <c r="X316" s="29"/>
      <c r="Y316" s="8">
        <f>IF(OR(C316="",X316=""),"",C316*(1+X316))</f>
        <v>0</v>
      </c>
      <c r="Z316" s="8">
        <f>IF(B316="","",IFERROR(INDEX(Ingredients!$O$5:$O$304,MATCH(B316,Ingredients!$A$5:$A$304,0)),""))</f>
        <v>0</v>
      </c>
      <c r="AA316" s="8">
        <f>IF(B316="","",IF(R316&gt;=C316,"In pantry","To buy"))</f>
        <v>0</v>
      </c>
      <c r="AB316" s="8">
        <f>IF(A316="","",COUNTIFS($A$5:A316,A316))</f>
        <v>0</v>
      </c>
      <c r="AC316" s="8">
        <f>IF(B316="","",IF(COUNTIFS('Dietary Filters'!$C$5:$C$104,B316)&gt;0,"Check","OK"))</f>
        <v>0</v>
      </c>
      <c r="AD316" s="25"/>
    </row>
    <row r="317" spans="1:30">
      <c r="A317" s="7"/>
      <c r="B317" s="7"/>
      <c r="C317" s="26"/>
      <c r="D317" s="27"/>
      <c r="E317" s="8">
        <f>IF(B317="","",IFERROR(INDEX(Ingredients!$B$5:$B$304,MATCH(B317,Ingredients!$A$5:$A$304,0)),""))</f>
        <v>0</v>
      </c>
      <c r="F317" s="8">
        <f>IF(B317="","",IFERROR(INDEX(Ingredients!$E$5:$E$304,MATCH(B317,Ingredients!$A$5:$A$304,0)),""))</f>
        <v>0</v>
      </c>
      <c r="G317" s="8">
        <f>IF(B317="","",IFERROR(INDEX(Ingredients!$D$5:$D$304,MATCH(B317,Ingredients!$A$5:$A$304,0)),""))</f>
        <v>0</v>
      </c>
      <c r="H317" s="8">
        <f>IF(OR(B317="",C317=""),"",IFERROR(C317*G317,""))</f>
        <v>0</v>
      </c>
      <c r="I317" s="8">
        <f>IF(A317="","",IFERROR(INDEX(Recipes!$D$5:$D$204,MATCH(A317,Recipes!$A$5:$A$204,0)),""))</f>
        <v>0</v>
      </c>
      <c r="J317" s="8">
        <f>IF(OR(H317="",I317="",I317=0),"",IFERROR(H317/I317,""))</f>
        <v>0</v>
      </c>
      <c r="K317" s="8">
        <f>IF(OR(B317="",C317=""),"",IFERROR(C317*IFERROR(INDEX(Ingredients!$H$5:$H$304,MATCH(B317,Ingredients!$A$5:$A$304,0)),""),""))</f>
        <v>0</v>
      </c>
      <c r="L317" s="8">
        <f>IF(OR(B317="",C317=""),"",IFERROR(C317*IFERROR(INDEX(Ingredients!$I$5:$I$304,MATCH(B317,Ingredients!$A$5:$A$304,0)),""),""))</f>
        <v>0</v>
      </c>
      <c r="M317" s="8">
        <f>IF(OR(B317="",C317=""),"",IFERROR(C317*IFERROR(INDEX(Ingredients!$J$5:$J$304,MATCH(B317,Ingredients!$A$5:$A$304,0)),""),""))</f>
        <v>0</v>
      </c>
      <c r="N317" s="8">
        <f>IF(OR(B317="",C317=""),"",IFERROR(C317*IFERROR(INDEX(Ingredients!$K$5:$K$304,MATCH(B317,Ingredients!$A$5:$A$304,0)),""),""))</f>
        <v>0</v>
      </c>
      <c r="O317" s="8">
        <f>IF(OR(B317="",C317=""),"",IFERROR(C317*IFERROR(INDEX(Ingredients!$L$5:$L$304,MATCH(B317,Ingredients!$A$5:$A$304,0)),""),""))</f>
        <v>0</v>
      </c>
      <c r="P317" s="8">
        <f>IF(OR(H317="",A317=""),"",IFERROR(H317/SUMIFS('Recipe Ingredients'!$H$5:$H$1204,'Recipe Ingredients'!$A$5:$A$1204,A317),""))</f>
        <v>0</v>
      </c>
      <c r="Q317" s="8">
        <f>IF(H317="","",COUNTIFS($H$5:$H$1204,"&gt;"&amp;H317)+1)</f>
        <v>0</v>
      </c>
      <c r="R317" s="8">
        <f>IF(B317="","",SUMIFS(Pantry!$C$5:$C$304,Pantry!$A$5:$A$304,B317))</f>
        <v>0</v>
      </c>
      <c r="S317" s="8">
        <f>IF(OR(B317="",C317=""),"",MAX(0,C317-R317))</f>
        <v>0</v>
      </c>
      <c r="T317" s="26"/>
      <c r="U317" s="8">
        <f>IF(OR(T317="",T317=0,G317=""),"",T317*G317)</f>
        <v>0</v>
      </c>
      <c r="V317" s="8">
        <f>IF(OR(S317="",T317="",T317=0),"",CEILING(S317/T317,1))</f>
        <v>0</v>
      </c>
      <c r="W317" s="27"/>
      <c r="X317" s="29"/>
      <c r="Y317" s="8">
        <f>IF(OR(C317="",X317=""),"",C317*(1+X317))</f>
        <v>0</v>
      </c>
      <c r="Z317" s="8">
        <f>IF(B317="","",IFERROR(INDEX(Ingredients!$O$5:$O$304,MATCH(B317,Ingredients!$A$5:$A$304,0)),""))</f>
        <v>0</v>
      </c>
      <c r="AA317" s="8">
        <f>IF(B317="","",IF(R317&gt;=C317,"In pantry","To buy"))</f>
        <v>0</v>
      </c>
      <c r="AB317" s="8">
        <f>IF(A317="","",COUNTIFS($A$5:A317,A317))</f>
        <v>0</v>
      </c>
      <c r="AC317" s="8">
        <f>IF(B317="","",IF(COUNTIFS('Dietary Filters'!$C$5:$C$104,B317)&gt;0,"Check","OK"))</f>
        <v>0</v>
      </c>
      <c r="AD317" s="25"/>
    </row>
    <row r="318" spans="1:30">
      <c r="A318" s="7"/>
      <c r="B318" s="7"/>
      <c r="C318" s="26"/>
      <c r="D318" s="27"/>
      <c r="E318" s="8">
        <f>IF(B318="","",IFERROR(INDEX(Ingredients!$B$5:$B$304,MATCH(B318,Ingredients!$A$5:$A$304,0)),""))</f>
        <v>0</v>
      </c>
      <c r="F318" s="8">
        <f>IF(B318="","",IFERROR(INDEX(Ingredients!$E$5:$E$304,MATCH(B318,Ingredients!$A$5:$A$304,0)),""))</f>
        <v>0</v>
      </c>
      <c r="G318" s="8">
        <f>IF(B318="","",IFERROR(INDEX(Ingredients!$D$5:$D$304,MATCH(B318,Ingredients!$A$5:$A$304,0)),""))</f>
        <v>0</v>
      </c>
      <c r="H318" s="8">
        <f>IF(OR(B318="",C318=""),"",IFERROR(C318*G318,""))</f>
        <v>0</v>
      </c>
      <c r="I318" s="8">
        <f>IF(A318="","",IFERROR(INDEX(Recipes!$D$5:$D$204,MATCH(A318,Recipes!$A$5:$A$204,0)),""))</f>
        <v>0</v>
      </c>
      <c r="J318" s="8">
        <f>IF(OR(H318="",I318="",I318=0),"",IFERROR(H318/I318,""))</f>
        <v>0</v>
      </c>
      <c r="K318" s="8">
        <f>IF(OR(B318="",C318=""),"",IFERROR(C318*IFERROR(INDEX(Ingredients!$H$5:$H$304,MATCH(B318,Ingredients!$A$5:$A$304,0)),""),""))</f>
        <v>0</v>
      </c>
      <c r="L318" s="8">
        <f>IF(OR(B318="",C318=""),"",IFERROR(C318*IFERROR(INDEX(Ingredients!$I$5:$I$304,MATCH(B318,Ingredients!$A$5:$A$304,0)),""),""))</f>
        <v>0</v>
      </c>
      <c r="M318" s="8">
        <f>IF(OR(B318="",C318=""),"",IFERROR(C318*IFERROR(INDEX(Ingredients!$J$5:$J$304,MATCH(B318,Ingredients!$A$5:$A$304,0)),""),""))</f>
        <v>0</v>
      </c>
      <c r="N318" s="8">
        <f>IF(OR(B318="",C318=""),"",IFERROR(C318*IFERROR(INDEX(Ingredients!$K$5:$K$304,MATCH(B318,Ingredients!$A$5:$A$304,0)),""),""))</f>
        <v>0</v>
      </c>
      <c r="O318" s="8">
        <f>IF(OR(B318="",C318=""),"",IFERROR(C318*IFERROR(INDEX(Ingredients!$L$5:$L$304,MATCH(B318,Ingredients!$A$5:$A$304,0)),""),""))</f>
        <v>0</v>
      </c>
      <c r="P318" s="8">
        <f>IF(OR(H318="",A318=""),"",IFERROR(H318/SUMIFS('Recipe Ingredients'!$H$5:$H$1204,'Recipe Ingredients'!$A$5:$A$1204,A318),""))</f>
        <v>0</v>
      </c>
      <c r="Q318" s="8">
        <f>IF(H318="","",COUNTIFS($H$5:$H$1204,"&gt;"&amp;H318)+1)</f>
        <v>0</v>
      </c>
      <c r="R318" s="8">
        <f>IF(B318="","",SUMIFS(Pantry!$C$5:$C$304,Pantry!$A$5:$A$304,B318))</f>
        <v>0</v>
      </c>
      <c r="S318" s="8">
        <f>IF(OR(B318="",C318=""),"",MAX(0,C318-R318))</f>
        <v>0</v>
      </c>
      <c r="T318" s="26"/>
      <c r="U318" s="8">
        <f>IF(OR(T318="",T318=0,G318=""),"",T318*G318)</f>
        <v>0</v>
      </c>
      <c r="V318" s="8">
        <f>IF(OR(S318="",T318="",T318=0),"",CEILING(S318/T318,1))</f>
        <v>0</v>
      </c>
      <c r="W318" s="27"/>
      <c r="X318" s="29"/>
      <c r="Y318" s="8">
        <f>IF(OR(C318="",X318=""),"",C318*(1+X318))</f>
        <v>0</v>
      </c>
      <c r="Z318" s="8">
        <f>IF(B318="","",IFERROR(INDEX(Ingredients!$O$5:$O$304,MATCH(B318,Ingredients!$A$5:$A$304,0)),""))</f>
        <v>0</v>
      </c>
      <c r="AA318" s="8">
        <f>IF(B318="","",IF(R318&gt;=C318,"In pantry","To buy"))</f>
        <v>0</v>
      </c>
      <c r="AB318" s="8">
        <f>IF(A318="","",COUNTIFS($A$5:A318,A318))</f>
        <v>0</v>
      </c>
      <c r="AC318" s="8">
        <f>IF(B318="","",IF(COUNTIFS('Dietary Filters'!$C$5:$C$104,B318)&gt;0,"Check","OK"))</f>
        <v>0</v>
      </c>
      <c r="AD318" s="25"/>
    </row>
    <row r="319" spans="1:30">
      <c r="A319" s="7"/>
      <c r="B319" s="7"/>
      <c r="C319" s="26"/>
      <c r="D319" s="27"/>
      <c r="E319" s="8">
        <f>IF(B319="","",IFERROR(INDEX(Ingredients!$B$5:$B$304,MATCH(B319,Ingredients!$A$5:$A$304,0)),""))</f>
        <v>0</v>
      </c>
      <c r="F319" s="8">
        <f>IF(B319="","",IFERROR(INDEX(Ingredients!$E$5:$E$304,MATCH(B319,Ingredients!$A$5:$A$304,0)),""))</f>
        <v>0</v>
      </c>
      <c r="G319" s="8">
        <f>IF(B319="","",IFERROR(INDEX(Ingredients!$D$5:$D$304,MATCH(B319,Ingredients!$A$5:$A$304,0)),""))</f>
        <v>0</v>
      </c>
      <c r="H319" s="8">
        <f>IF(OR(B319="",C319=""),"",IFERROR(C319*G319,""))</f>
        <v>0</v>
      </c>
      <c r="I319" s="8">
        <f>IF(A319="","",IFERROR(INDEX(Recipes!$D$5:$D$204,MATCH(A319,Recipes!$A$5:$A$204,0)),""))</f>
        <v>0</v>
      </c>
      <c r="J319" s="8">
        <f>IF(OR(H319="",I319="",I319=0),"",IFERROR(H319/I319,""))</f>
        <v>0</v>
      </c>
      <c r="K319" s="8">
        <f>IF(OR(B319="",C319=""),"",IFERROR(C319*IFERROR(INDEX(Ingredients!$H$5:$H$304,MATCH(B319,Ingredients!$A$5:$A$304,0)),""),""))</f>
        <v>0</v>
      </c>
      <c r="L319" s="8">
        <f>IF(OR(B319="",C319=""),"",IFERROR(C319*IFERROR(INDEX(Ingredients!$I$5:$I$304,MATCH(B319,Ingredients!$A$5:$A$304,0)),""),""))</f>
        <v>0</v>
      </c>
      <c r="M319" s="8">
        <f>IF(OR(B319="",C319=""),"",IFERROR(C319*IFERROR(INDEX(Ingredients!$J$5:$J$304,MATCH(B319,Ingredients!$A$5:$A$304,0)),""),""))</f>
        <v>0</v>
      </c>
      <c r="N319" s="8">
        <f>IF(OR(B319="",C319=""),"",IFERROR(C319*IFERROR(INDEX(Ingredients!$K$5:$K$304,MATCH(B319,Ingredients!$A$5:$A$304,0)),""),""))</f>
        <v>0</v>
      </c>
      <c r="O319" s="8">
        <f>IF(OR(B319="",C319=""),"",IFERROR(C319*IFERROR(INDEX(Ingredients!$L$5:$L$304,MATCH(B319,Ingredients!$A$5:$A$304,0)),""),""))</f>
        <v>0</v>
      </c>
      <c r="P319" s="8">
        <f>IF(OR(H319="",A319=""),"",IFERROR(H319/SUMIFS('Recipe Ingredients'!$H$5:$H$1204,'Recipe Ingredients'!$A$5:$A$1204,A319),""))</f>
        <v>0</v>
      </c>
      <c r="Q319" s="8">
        <f>IF(H319="","",COUNTIFS($H$5:$H$1204,"&gt;"&amp;H319)+1)</f>
        <v>0</v>
      </c>
      <c r="R319" s="8">
        <f>IF(B319="","",SUMIFS(Pantry!$C$5:$C$304,Pantry!$A$5:$A$304,B319))</f>
        <v>0</v>
      </c>
      <c r="S319" s="8">
        <f>IF(OR(B319="",C319=""),"",MAX(0,C319-R319))</f>
        <v>0</v>
      </c>
      <c r="T319" s="26"/>
      <c r="U319" s="8">
        <f>IF(OR(T319="",T319=0,G319=""),"",T319*G319)</f>
        <v>0</v>
      </c>
      <c r="V319" s="8">
        <f>IF(OR(S319="",T319="",T319=0),"",CEILING(S319/T319,1))</f>
        <v>0</v>
      </c>
      <c r="W319" s="27"/>
      <c r="X319" s="29"/>
      <c r="Y319" s="8">
        <f>IF(OR(C319="",X319=""),"",C319*(1+X319))</f>
        <v>0</v>
      </c>
      <c r="Z319" s="8">
        <f>IF(B319="","",IFERROR(INDEX(Ingredients!$O$5:$O$304,MATCH(B319,Ingredients!$A$5:$A$304,0)),""))</f>
        <v>0</v>
      </c>
      <c r="AA319" s="8">
        <f>IF(B319="","",IF(R319&gt;=C319,"In pantry","To buy"))</f>
        <v>0</v>
      </c>
      <c r="AB319" s="8">
        <f>IF(A319="","",COUNTIFS($A$5:A319,A319))</f>
        <v>0</v>
      </c>
      <c r="AC319" s="8">
        <f>IF(B319="","",IF(COUNTIFS('Dietary Filters'!$C$5:$C$104,B319)&gt;0,"Check","OK"))</f>
        <v>0</v>
      </c>
      <c r="AD319" s="25"/>
    </row>
    <row r="320" spans="1:30">
      <c r="A320" s="7"/>
      <c r="B320" s="7"/>
      <c r="C320" s="26"/>
      <c r="D320" s="27"/>
      <c r="E320" s="8">
        <f>IF(B320="","",IFERROR(INDEX(Ingredients!$B$5:$B$304,MATCH(B320,Ingredients!$A$5:$A$304,0)),""))</f>
        <v>0</v>
      </c>
      <c r="F320" s="8">
        <f>IF(B320="","",IFERROR(INDEX(Ingredients!$E$5:$E$304,MATCH(B320,Ingredients!$A$5:$A$304,0)),""))</f>
        <v>0</v>
      </c>
      <c r="G320" s="8">
        <f>IF(B320="","",IFERROR(INDEX(Ingredients!$D$5:$D$304,MATCH(B320,Ingredients!$A$5:$A$304,0)),""))</f>
        <v>0</v>
      </c>
      <c r="H320" s="8">
        <f>IF(OR(B320="",C320=""),"",IFERROR(C320*G320,""))</f>
        <v>0</v>
      </c>
      <c r="I320" s="8">
        <f>IF(A320="","",IFERROR(INDEX(Recipes!$D$5:$D$204,MATCH(A320,Recipes!$A$5:$A$204,0)),""))</f>
        <v>0</v>
      </c>
      <c r="J320" s="8">
        <f>IF(OR(H320="",I320="",I320=0),"",IFERROR(H320/I320,""))</f>
        <v>0</v>
      </c>
      <c r="K320" s="8">
        <f>IF(OR(B320="",C320=""),"",IFERROR(C320*IFERROR(INDEX(Ingredients!$H$5:$H$304,MATCH(B320,Ingredients!$A$5:$A$304,0)),""),""))</f>
        <v>0</v>
      </c>
      <c r="L320" s="8">
        <f>IF(OR(B320="",C320=""),"",IFERROR(C320*IFERROR(INDEX(Ingredients!$I$5:$I$304,MATCH(B320,Ingredients!$A$5:$A$304,0)),""),""))</f>
        <v>0</v>
      </c>
      <c r="M320" s="8">
        <f>IF(OR(B320="",C320=""),"",IFERROR(C320*IFERROR(INDEX(Ingredients!$J$5:$J$304,MATCH(B320,Ingredients!$A$5:$A$304,0)),""),""))</f>
        <v>0</v>
      </c>
      <c r="N320" s="8">
        <f>IF(OR(B320="",C320=""),"",IFERROR(C320*IFERROR(INDEX(Ingredients!$K$5:$K$304,MATCH(B320,Ingredients!$A$5:$A$304,0)),""),""))</f>
        <v>0</v>
      </c>
      <c r="O320" s="8">
        <f>IF(OR(B320="",C320=""),"",IFERROR(C320*IFERROR(INDEX(Ingredients!$L$5:$L$304,MATCH(B320,Ingredients!$A$5:$A$304,0)),""),""))</f>
        <v>0</v>
      </c>
      <c r="P320" s="8">
        <f>IF(OR(H320="",A320=""),"",IFERROR(H320/SUMIFS('Recipe Ingredients'!$H$5:$H$1204,'Recipe Ingredients'!$A$5:$A$1204,A320),""))</f>
        <v>0</v>
      </c>
      <c r="Q320" s="8">
        <f>IF(H320="","",COUNTIFS($H$5:$H$1204,"&gt;"&amp;H320)+1)</f>
        <v>0</v>
      </c>
      <c r="R320" s="8">
        <f>IF(B320="","",SUMIFS(Pantry!$C$5:$C$304,Pantry!$A$5:$A$304,B320))</f>
        <v>0</v>
      </c>
      <c r="S320" s="8">
        <f>IF(OR(B320="",C320=""),"",MAX(0,C320-R320))</f>
        <v>0</v>
      </c>
      <c r="T320" s="26"/>
      <c r="U320" s="8">
        <f>IF(OR(T320="",T320=0,G320=""),"",T320*G320)</f>
        <v>0</v>
      </c>
      <c r="V320" s="8">
        <f>IF(OR(S320="",T320="",T320=0),"",CEILING(S320/T320,1))</f>
        <v>0</v>
      </c>
      <c r="W320" s="27"/>
      <c r="X320" s="29"/>
      <c r="Y320" s="8">
        <f>IF(OR(C320="",X320=""),"",C320*(1+X320))</f>
        <v>0</v>
      </c>
      <c r="Z320" s="8">
        <f>IF(B320="","",IFERROR(INDEX(Ingredients!$O$5:$O$304,MATCH(B320,Ingredients!$A$5:$A$304,0)),""))</f>
        <v>0</v>
      </c>
      <c r="AA320" s="8">
        <f>IF(B320="","",IF(R320&gt;=C320,"In pantry","To buy"))</f>
        <v>0</v>
      </c>
      <c r="AB320" s="8">
        <f>IF(A320="","",COUNTIFS($A$5:A320,A320))</f>
        <v>0</v>
      </c>
      <c r="AC320" s="8">
        <f>IF(B320="","",IF(COUNTIFS('Dietary Filters'!$C$5:$C$104,B320)&gt;0,"Check","OK"))</f>
        <v>0</v>
      </c>
      <c r="AD320" s="25"/>
    </row>
    <row r="321" spans="1:30">
      <c r="A321" s="7"/>
      <c r="B321" s="7"/>
      <c r="C321" s="26"/>
      <c r="D321" s="27"/>
      <c r="E321" s="8">
        <f>IF(B321="","",IFERROR(INDEX(Ingredients!$B$5:$B$304,MATCH(B321,Ingredients!$A$5:$A$304,0)),""))</f>
        <v>0</v>
      </c>
      <c r="F321" s="8">
        <f>IF(B321="","",IFERROR(INDEX(Ingredients!$E$5:$E$304,MATCH(B321,Ingredients!$A$5:$A$304,0)),""))</f>
        <v>0</v>
      </c>
      <c r="G321" s="8">
        <f>IF(B321="","",IFERROR(INDEX(Ingredients!$D$5:$D$304,MATCH(B321,Ingredients!$A$5:$A$304,0)),""))</f>
        <v>0</v>
      </c>
      <c r="H321" s="8">
        <f>IF(OR(B321="",C321=""),"",IFERROR(C321*G321,""))</f>
        <v>0</v>
      </c>
      <c r="I321" s="8">
        <f>IF(A321="","",IFERROR(INDEX(Recipes!$D$5:$D$204,MATCH(A321,Recipes!$A$5:$A$204,0)),""))</f>
        <v>0</v>
      </c>
      <c r="J321" s="8">
        <f>IF(OR(H321="",I321="",I321=0),"",IFERROR(H321/I321,""))</f>
        <v>0</v>
      </c>
      <c r="K321" s="8">
        <f>IF(OR(B321="",C321=""),"",IFERROR(C321*IFERROR(INDEX(Ingredients!$H$5:$H$304,MATCH(B321,Ingredients!$A$5:$A$304,0)),""),""))</f>
        <v>0</v>
      </c>
      <c r="L321" s="8">
        <f>IF(OR(B321="",C321=""),"",IFERROR(C321*IFERROR(INDEX(Ingredients!$I$5:$I$304,MATCH(B321,Ingredients!$A$5:$A$304,0)),""),""))</f>
        <v>0</v>
      </c>
      <c r="M321" s="8">
        <f>IF(OR(B321="",C321=""),"",IFERROR(C321*IFERROR(INDEX(Ingredients!$J$5:$J$304,MATCH(B321,Ingredients!$A$5:$A$304,0)),""),""))</f>
        <v>0</v>
      </c>
      <c r="N321" s="8">
        <f>IF(OR(B321="",C321=""),"",IFERROR(C321*IFERROR(INDEX(Ingredients!$K$5:$K$304,MATCH(B321,Ingredients!$A$5:$A$304,0)),""),""))</f>
        <v>0</v>
      </c>
      <c r="O321" s="8">
        <f>IF(OR(B321="",C321=""),"",IFERROR(C321*IFERROR(INDEX(Ingredients!$L$5:$L$304,MATCH(B321,Ingredients!$A$5:$A$304,0)),""),""))</f>
        <v>0</v>
      </c>
      <c r="P321" s="8">
        <f>IF(OR(H321="",A321=""),"",IFERROR(H321/SUMIFS('Recipe Ingredients'!$H$5:$H$1204,'Recipe Ingredients'!$A$5:$A$1204,A321),""))</f>
        <v>0</v>
      </c>
      <c r="Q321" s="8">
        <f>IF(H321="","",COUNTIFS($H$5:$H$1204,"&gt;"&amp;H321)+1)</f>
        <v>0</v>
      </c>
      <c r="R321" s="8">
        <f>IF(B321="","",SUMIFS(Pantry!$C$5:$C$304,Pantry!$A$5:$A$304,B321))</f>
        <v>0</v>
      </c>
      <c r="S321" s="8">
        <f>IF(OR(B321="",C321=""),"",MAX(0,C321-R321))</f>
        <v>0</v>
      </c>
      <c r="T321" s="26"/>
      <c r="U321" s="8">
        <f>IF(OR(T321="",T321=0,G321=""),"",T321*G321)</f>
        <v>0</v>
      </c>
      <c r="V321" s="8">
        <f>IF(OR(S321="",T321="",T321=0),"",CEILING(S321/T321,1))</f>
        <v>0</v>
      </c>
      <c r="W321" s="27"/>
      <c r="X321" s="29"/>
      <c r="Y321" s="8">
        <f>IF(OR(C321="",X321=""),"",C321*(1+X321))</f>
        <v>0</v>
      </c>
      <c r="Z321" s="8">
        <f>IF(B321="","",IFERROR(INDEX(Ingredients!$O$5:$O$304,MATCH(B321,Ingredients!$A$5:$A$304,0)),""))</f>
        <v>0</v>
      </c>
      <c r="AA321" s="8">
        <f>IF(B321="","",IF(R321&gt;=C321,"In pantry","To buy"))</f>
        <v>0</v>
      </c>
      <c r="AB321" s="8">
        <f>IF(A321="","",COUNTIFS($A$5:A321,A321))</f>
        <v>0</v>
      </c>
      <c r="AC321" s="8">
        <f>IF(B321="","",IF(COUNTIFS('Dietary Filters'!$C$5:$C$104,B321)&gt;0,"Check","OK"))</f>
        <v>0</v>
      </c>
      <c r="AD321" s="25"/>
    </row>
    <row r="322" spans="1:30">
      <c r="A322" s="7"/>
      <c r="B322" s="7"/>
      <c r="C322" s="26"/>
      <c r="D322" s="27"/>
      <c r="E322" s="8">
        <f>IF(B322="","",IFERROR(INDEX(Ingredients!$B$5:$B$304,MATCH(B322,Ingredients!$A$5:$A$304,0)),""))</f>
        <v>0</v>
      </c>
      <c r="F322" s="8">
        <f>IF(B322="","",IFERROR(INDEX(Ingredients!$E$5:$E$304,MATCH(B322,Ingredients!$A$5:$A$304,0)),""))</f>
        <v>0</v>
      </c>
      <c r="G322" s="8">
        <f>IF(B322="","",IFERROR(INDEX(Ingredients!$D$5:$D$304,MATCH(B322,Ingredients!$A$5:$A$304,0)),""))</f>
        <v>0</v>
      </c>
      <c r="H322" s="8">
        <f>IF(OR(B322="",C322=""),"",IFERROR(C322*G322,""))</f>
        <v>0</v>
      </c>
      <c r="I322" s="8">
        <f>IF(A322="","",IFERROR(INDEX(Recipes!$D$5:$D$204,MATCH(A322,Recipes!$A$5:$A$204,0)),""))</f>
        <v>0</v>
      </c>
      <c r="J322" s="8">
        <f>IF(OR(H322="",I322="",I322=0),"",IFERROR(H322/I322,""))</f>
        <v>0</v>
      </c>
      <c r="K322" s="8">
        <f>IF(OR(B322="",C322=""),"",IFERROR(C322*IFERROR(INDEX(Ingredients!$H$5:$H$304,MATCH(B322,Ingredients!$A$5:$A$304,0)),""),""))</f>
        <v>0</v>
      </c>
      <c r="L322" s="8">
        <f>IF(OR(B322="",C322=""),"",IFERROR(C322*IFERROR(INDEX(Ingredients!$I$5:$I$304,MATCH(B322,Ingredients!$A$5:$A$304,0)),""),""))</f>
        <v>0</v>
      </c>
      <c r="M322" s="8">
        <f>IF(OR(B322="",C322=""),"",IFERROR(C322*IFERROR(INDEX(Ingredients!$J$5:$J$304,MATCH(B322,Ingredients!$A$5:$A$304,0)),""),""))</f>
        <v>0</v>
      </c>
      <c r="N322" s="8">
        <f>IF(OR(B322="",C322=""),"",IFERROR(C322*IFERROR(INDEX(Ingredients!$K$5:$K$304,MATCH(B322,Ingredients!$A$5:$A$304,0)),""),""))</f>
        <v>0</v>
      </c>
      <c r="O322" s="8">
        <f>IF(OR(B322="",C322=""),"",IFERROR(C322*IFERROR(INDEX(Ingredients!$L$5:$L$304,MATCH(B322,Ingredients!$A$5:$A$304,0)),""),""))</f>
        <v>0</v>
      </c>
      <c r="P322" s="8">
        <f>IF(OR(H322="",A322=""),"",IFERROR(H322/SUMIFS('Recipe Ingredients'!$H$5:$H$1204,'Recipe Ingredients'!$A$5:$A$1204,A322),""))</f>
        <v>0</v>
      </c>
      <c r="Q322" s="8">
        <f>IF(H322="","",COUNTIFS($H$5:$H$1204,"&gt;"&amp;H322)+1)</f>
        <v>0</v>
      </c>
      <c r="R322" s="8">
        <f>IF(B322="","",SUMIFS(Pantry!$C$5:$C$304,Pantry!$A$5:$A$304,B322))</f>
        <v>0</v>
      </c>
      <c r="S322" s="8">
        <f>IF(OR(B322="",C322=""),"",MAX(0,C322-R322))</f>
        <v>0</v>
      </c>
      <c r="T322" s="26"/>
      <c r="U322" s="8">
        <f>IF(OR(T322="",T322=0,G322=""),"",T322*G322)</f>
        <v>0</v>
      </c>
      <c r="V322" s="8">
        <f>IF(OR(S322="",T322="",T322=0),"",CEILING(S322/T322,1))</f>
        <v>0</v>
      </c>
      <c r="W322" s="27"/>
      <c r="X322" s="29"/>
      <c r="Y322" s="8">
        <f>IF(OR(C322="",X322=""),"",C322*(1+X322))</f>
        <v>0</v>
      </c>
      <c r="Z322" s="8">
        <f>IF(B322="","",IFERROR(INDEX(Ingredients!$O$5:$O$304,MATCH(B322,Ingredients!$A$5:$A$304,0)),""))</f>
        <v>0</v>
      </c>
      <c r="AA322" s="8">
        <f>IF(B322="","",IF(R322&gt;=C322,"In pantry","To buy"))</f>
        <v>0</v>
      </c>
      <c r="AB322" s="8">
        <f>IF(A322="","",COUNTIFS($A$5:A322,A322))</f>
        <v>0</v>
      </c>
      <c r="AC322" s="8">
        <f>IF(B322="","",IF(COUNTIFS('Dietary Filters'!$C$5:$C$104,B322)&gt;0,"Check","OK"))</f>
        <v>0</v>
      </c>
      <c r="AD322" s="25"/>
    </row>
    <row r="323" spans="1:30">
      <c r="A323" s="7"/>
      <c r="B323" s="7"/>
      <c r="C323" s="26"/>
      <c r="D323" s="27"/>
      <c r="E323" s="8">
        <f>IF(B323="","",IFERROR(INDEX(Ingredients!$B$5:$B$304,MATCH(B323,Ingredients!$A$5:$A$304,0)),""))</f>
        <v>0</v>
      </c>
      <c r="F323" s="8">
        <f>IF(B323="","",IFERROR(INDEX(Ingredients!$E$5:$E$304,MATCH(B323,Ingredients!$A$5:$A$304,0)),""))</f>
        <v>0</v>
      </c>
      <c r="G323" s="8">
        <f>IF(B323="","",IFERROR(INDEX(Ingredients!$D$5:$D$304,MATCH(B323,Ingredients!$A$5:$A$304,0)),""))</f>
        <v>0</v>
      </c>
      <c r="H323" s="8">
        <f>IF(OR(B323="",C323=""),"",IFERROR(C323*G323,""))</f>
        <v>0</v>
      </c>
      <c r="I323" s="8">
        <f>IF(A323="","",IFERROR(INDEX(Recipes!$D$5:$D$204,MATCH(A323,Recipes!$A$5:$A$204,0)),""))</f>
        <v>0</v>
      </c>
      <c r="J323" s="8">
        <f>IF(OR(H323="",I323="",I323=0),"",IFERROR(H323/I323,""))</f>
        <v>0</v>
      </c>
      <c r="K323" s="8">
        <f>IF(OR(B323="",C323=""),"",IFERROR(C323*IFERROR(INDEX(Ingredients!$H$5:$H$304,MATCH(B323,Ingredients!$A$5:$A$304,0)),""),""))</f>
        <v>0</v>
      </c>
      <c r="L323" s="8">
        <f>IF(OR(B323="",C323=""),"",IFERROR(C323*IFERROR(INDEX(Ingredients!$I$5:$I$304,MATCH(B323,Ingredients!$A$5:$A$304,0)),""),""))</f>
        <v>0</v>
      </c>
      <c r="M323" s="8">
        <f>IF(OR(B323="",C323=""),"",IFERROR(C323*IFERROR(INDEX(Ingredients!$J$5:$J$304,MATCH(B323,Ingredients!$A$5:$A$304,0)),""),""))</f>
        <v>0</v>
      </c>
      <c r="N323" s="8">
        <f>IF(OR(B323="",C323=""),"",IFERROR(C323*IFERROR(INDEX(Ingredients!$K$5:$K$304,MATCH(B323,Ingredients!$A$5:$A$304,0)),""),""))</f>
        <v>0</v>
      </c>
      <c r="O323" s="8">
        <f>IF(OR(B323="",C323=""),"",IFERROR(C323*IFERROR(INDEX(Ingredients!$L$5:$L$304,MATCH(B323,Ingredients!$A$5:$A$304,0)),""),""))</f>
        <v>0</v>
      </c>
      <c r="P323" s="8">
        <f>IF(OR(H323="",A323=""),"",IFERROR(H323/SUMIFS('Recipe Ingredients'!$H$5:$H$1204,'Recipe Ingredients'!$A$5:$A$1204,A323),""))</f>
        <v>0</v>
      </c>
      <c r="Q323" s="8">
        <f>IF(H323="","",COUNTIFS($H$5:$H$1204,"&gt;"&amp;H323)+1)</f>
        <v>0</v>
      </c>
      <c r="R323" s="8">
        <f>IF(B323="","",SUMIFS(Pantry!$C$5:$C$304,Pantry!$A$5:$A$304,B323))</f>
        <v>0</v>
      </c>
      <c r="S323" s="8">
        <f>IF(OR(B323="",C323=""),"",MAX(0,C323-R323))</f>
        <v>0</v>
      </c>
      <c r="T323" s="26"/>
      <c r="U323" s="8">
        <f>IF(OR(T323="",T323=0,G323=""),"",T323*G323)</f>
        <v>0</v>
      </c>
      <c r="V323" s="8">
        <f>IF(OR(S323="",T323="",T323=0),"",CEILING(S323/T323,1))</f>
        <v>0</v>
      </c>
      <c r="W323" s="27"/>
      <c r="X323" s="29"/>
      <c r="Y323" s="8">
        <f>IF(OR(C323="",X323=""),"",C323*(1+X323))</f>
        <v>0</v>
      </c>
      <c r="Z323" s="8">
        <f>IF(B323="","",IFERROR(INDEX(Ingredients!$O$5:$O$304,MATCH(B323,Ingredients!$A$5:$A$304,0)),""))</f>
        <v>0</v>
      </c>
      <c r="AA323" s="8">
        <f>IF(B323="","",IF(R323&gt;=C323,"In pantry","To buy"))</f>
        <v>0</v>
      </c>
      <c r="AB323" s="8">
        <f>IF(A323="","",COUNTIFS($A$5:A323,A323))</f>
        <v>0</v>
      </c>
      <c r="AC323" s="8">
        <f>IF(B323="","",IF(COUNTIFS('Dietary Filters'!$C$5:$C$104,B323)&gt;0,"Check","OK"))</f>
        <v>0</v>
      </c>
      <c r="AD323" s="25"/>
    </row>
    <row r="324" spans="1:30">
      <c r="A324" s="7"/>
      <c r="B324" s="7"/>
      <c r="C324" s="26"/>
      <c r="D324" s="27"/>
      <c r="E324" s="8">
        <f>IF(B324="","",IFERROR(INDEX(Ingredients!$B$5:$B$304,MATCH(B324,Ingredients!$A$5:$A$304,0)),""))</f>
        <v>0</v>
      </c>
      <c r="F324" s="8">
        <f>IF(B324="","",IFERROR(INDEX(Ingredients!$E$5:$E$304,MATCH(B324,Ingredients!$A$5:$A$304,0)),""))</f>
        <v>0</v>
      </c>
      <c r="G324" s="8">
        <f>IF(B324="","",IFERROR(INDEX(Ingredients!$D$5:$D$304,MATCH(B324,Ingredients!$A$5:$A$304,0)),""))</f>
        <v>0</v>
      </c>
      <c r="H324" s="8">
        <f>IF(OR(B324="",C324=""),"",IFERROR(C324*G324,""))</f>
        <v>0</v>
      </c>
      <c r="I324" s="8">
        <f>IF(A324="","",IFERROR(INDEX(Recipes!$D$5:$D$204,MATCH(A324,Recipes!$A$5:$A$204,0)),""))</f>
        <v>0</v>
      </c>
      <c r="J324" s="8">
        <f>IF(OR(H324="",I324="",I324=0),"",IFERROR(H324/I324,""))</f>
        <v>0</v>
      </c>
      <c r="K324" s="8">
        <f>IF(OR(B324="",C324=""),"",IFERROR(C324*IFERROR(INDEX(Ingredients!$H$5:$H$304,MATCH(B324,Ingredients!$A$5:$A$304,0)),""),""))</f>
        <v>0</v>
      </c>
      <c r="L324" s="8">
        <f>IF(OR(B324="",C324=""),"",IFERROR(C324*IFERROR(INDEX(Ingredients!$I$5:$I$304,MATCH(B324,Ingredients!$A$5:$A$304,0)),""),""))</f>
        <v>0</v>
      </c>
      <c r="M324" s="8">
        <f>IF(OR(B324="",C324=""),"",IFERROR(C324*IFERROR(INDEX(Ingredients!$J$5:$J$304,MATCH(B324,Ingredients!$A$5:$A$304,0)),""),""))</f>
        <v>0</v>
      </c>
      <c r="N324" s="8">
        <f>IF(OR(B324="",C324=""),"",IFERROR(C324*IFERROR(INDEX(Ingredients!$K$5:$K$304,MATCH(B324,Ingredients!$A$5:$A$304,0)),""),""))</f>
        <v>0</v>
      </c>
      <c r="O324" s="8">
        <f>IF(OR(B324="",C324=""),"",IFERROR(C324*IFERROR(INDEX(Ingredients!$L$5:$L$304,MATCH(B324,Ingredients!$A$5:$A$304,0)),""),""))</f>
        <v>0</v>
      </c>
      <c r="P324" s="8">
        <f>IF(OR(H324="",A324=""),"",IFERROR(H324/SUMIFS('Recipe Ingredients'!$H$5:$H$1204,'Recipe Ingredients'!$A$5:$A$1204,A324),""))</f>
        <v>0</v>
      </c>
      <c r="Q324" s="8">
        <f>IF(H324="","",COUNTIFS($H$5:$H$1204,"&gt;"&amp;H324)+1)</f>
        <v>0</v>
      </c>
      <c r="R324" s="8">
        <f>IF(B324="","",SUMIFS(Pantry!$C$5:$C$304,Pantry!$A$5:$A$304,B324))</f>
        <v>0</v>
      </c>
      <c r="S324" s="8">
        <f>IF(OR(B324="",C324=""),"",MAX(0,C324-R324))</f>
        <v>0</v>
      </c>
      <c r="T324" s="26"/>
      <c r="U324" s="8">
        <f>IF(OR(T324="",T324=0,G324=""),"",T324*G324)</f>
        <v>0</v>
      </c>
      <c r="V324" s="8">
        <f>IF(OR(S324="",T324="",T324=0),"",CEILING(S324/T324,1))</f>
        <v>0</v>
      </c>
      <c r="W324" s="27"/>
      <c r="X324" s="29"/>
      <c r="Y324" s="8">
        <f>IF(OR(C324="",X324=""),"",C324*(1+X324))</f>
        <v>0</v>
      </c>
      <c r="Z324" s="8">
        <f>IF(B324="","",IFERROR(INDEX(Ingredients!$O$5:$O$304,MATCH(B324,Ingredients!$A$5:$A$304,0)),""))</f>
        <v>0</v>
      </c>
      <c r="AA324" s="8">
        <f>IF(B324="","",IF(R324&gt;=C324,"In pantry","To buy"))</f>
        <v>0</v>
      </c>
      <c r="AB324" s="8">
        <f>IF(A324="","",COUNTIFS($A$5:A324,A324))</f>
        <v>0</v>
      </c>
      <c r="AC324" s="8">
        <f>IF(B324="","",IF(COUNTIFS('Dietary Filters'!$C$5:$C$104,B324)&gt;0,"Check","OK"))</f>
        <v>0</v>
      </c>
      <c r="AD324" s="25"/>
    </row>
    <row r="325" spans="1:30">
      <c r="A325" s="7"/>
      <c r="B325" s="7"/>
      <c r="C325" s="26"/>
      <c r="D325" s="27"/>
      <c r="E325" s="8">
        <f>IF(B325="","",IFERROR(INDEX(Ingredients!$B$5:$B$304,MATCH(B325,Ingredients!$A$5:$A$304,0)),""))</f>
        <v>0</v>
      </c>
      <c r="F325" s="8">
        <f>IF(B325="","",IFERROR(INDEX(Ingredients!$E$5:$E$304,MATCH(B325,Ingredients!$A$5:$A$304,0)),""))</f>
        <v>0</v>
      </c>
      <c r="G325" s="8">
        <f>IF(B325="","",IFERROR(INDEX(Ingredients!$D$5:$D$304,MATCH(B325,Ingredients!$A$5:$A$304,0)),""))</f>
        <v>0</v>
      </c>
      <c r="H325" s="8">
        <f>IF(OR(B325="",C325=""),"",IFERROR(C325*G325,""))</f>
        <v>0</v>
      </c>
      <c r="I325" s="8">
        <f>IF(A325="","",IFERROR(INDEX(Recipes!$D$5:$D$204,MATCH(A325,Recipes!$A$5:$A$204,0)),""))</f>
        <v>0</v>
      </c>
      <c r="J325" s="8">
        <f>IF(OR(H325="",I325="",I325=0),"",IFERROR(H325/I325,""))</f>
        <v>0</v>
      </c>
      <c r="K325" s="8">
        <f>IF(OR(B325="",C325=""),"",IFERROR(C325*IFERROR(INDEX(Ingredients!$H$5:$H$304,MATCH(B325,Ingredients!$A$5:$A$304,0)),""),""))</f>
        <v>0</v>
      </c>
      <c r="L325" s="8">
        <f>IF(OR(B325="",C325=""),"",IFERROR(C325*IFERROR(INDEX(Ingredients!$I$5:$I$304,MATCH(B325,Ingredients!$A$5:$A$304,0)),""),""))</f>
        <v>0</v>
      </c>
      <c r="M325" s="8">
        <f>IF(OR(B325="",C325=""),"",IFERROR(C325*IFERROR(INDEX(Ingredients!$J$5:$J$304,MATCH(B325,Ingredients!$A$5:$A$304,0)),""),""))</f>
        <v>0</v>
      </c>
      <c r="N325" s="8">
        <f>IF(OR(B325="",C325=""),"",IFERROR(C325*IFERROR(INDEX(Ingredients!$K$5:$K$304,MATCH(B325,Ingredients!$A$5:$A$304,0)),""),""))</f>
        <v>0</v>
      </c>
      <c r="O325" s="8">
        <f>IF(OR(B325="",C325=""),"",IFERROR(C325*IFERROR(INDEX(Ingredients!$L$5:$L$304,MATCH(B325,Ingredients!$A$5:$A$304,0)),""),""))</f>
        <v>0</v>
      </c>
      <c r="P325" s="8">
        <f>IF(OR(H325="",A325=""),"",IFERROR(H325/SUMIFS('Recipe Ingredients'!$H$5:$H$1204,'Recipe Ingredients'!$A$5:$A$1204,A325),""))</f>
        <v>0</v>
      </c>
      <c r="Q325" s="8">
        <f>IF(H325="","",COUNTIFS($H$5:$H$1204,"&gt;"&amp;H325)+1)</f>
        <v>0</v>
      </c>
      <c r="R325" s="8">
        <f>IF(B325="","",SUMIFS(Pantry!$C$5:$C$304,Pantry!$A$5:$A$304,B325))</f>
        <v>0</v>
      </c>
      <c r="S325" s="8">
        <f>IF(OR(B325="",C325=""),"",MAX(0,C325-R325))</f>
        <v>0</v>
      </c>
      <c r="T325" s="26"/>
      <c r="U325" s="8">
        <f>IF(OR(T325="",T325=0,G325=""),"",T325*G325)</f>
        <v>0</v>
      </c>
      <c r="V325" s="8">
        <f>IF(OR(S325="",T325="",T325=0),"",CEILING(S325/T325,1))</f>
        <v>0</v>
      </c>
      <c r="W325" s="27"/>
      <c r="X325" s="29"/>
      <c r="Y325" s="8">
        <f>IF(OR(C325="",X325=""),"",C325*(1+X325))</f>
        <v>0</v>
      </c>
      <c r="Z325" s="8">
        <f>IF(B325="","",IFERROR(INDEX(Ingredients!$O$5:$O$304,MATCH(B325,Ingredients!$A$5:$A$304,0)),""))</f>
        <v>0</v>
      </c>
      <c r="AA325" s="8">
        <f>IF(B325="","",IF(R325&gt;=C325,"In pantry","To buy"))</f>
        <v>0</v>
      </c>
      <c r="AB325" s="8">
        <f>IF(A325="","",COUNTIFS($A$5:A325,A325))</f>
        <v>0</v>
      </c>
      <c r="AC325" s="8">
        <f>IF(B325="","",IF(COUNTIFS('Dietary Filters'!$C$5:$C$104,B325)&gt;0,"Check","OK"))</f>
        <v>0</v>
      </c>
      <c r="AD325" s="25"/>
    </row>
    <row r="326" spans="1:30">
      <c r="A326" s="7"/>
      <c r="B326" s="7"/>
      <c r="C326" s="26"/>
      <c r="D326" s="27"/>
      <c r="E326" s="8">
        <f>IF(B326="","",IFERROR(INDEX(Ingredients!$B$5:$B$304,MATCH(B326,Ingredients!$A$5:$A$304,0)),""))</f>
        <v>0</v>
      </c>
      <c r="F326" s="8">
        <f>IF(B326="","",IFERROR(INDEX(Ingredients!$E$5:$E$304,MATCH(B326,Ingredients!$A$5:$A$304,0)),""))</f>
        <v>0</v>
      </c>
      <c r="G326" s="8">
        <f>IF(B326="","",IFERROR(INDEX(Ingredients!$D$5:$D$304,MATCH(B326,Ingredients!$A$5:$A$304,0)),""))</f>
        <v>0</v>
      </c>
      <c r="H326" s="8">
        <f>IF(OR(B326="",C326=""),"",IFERROR(C326*G326,""))</f>
        <v>0</v>
      </c>
      <c r="I326" s="8">
        <f>IF(A326="","",IFERROR(INDEX(Recipes!$D$5:$D$204,MATCH(A326,Recipes!$A$5:$A$204,0)),""))</f>
        <v>0</v>
      </c>
      <c r="J326" s="8">
        <f>IF(OR(H326="",I326="",I326=0),"",IFERROR(H326/I326,""))</f>
        <v>0</v>
      </c>
      <c r="K326" s="8">
        <f>IF(OR(B326="",C326=""),"",IFERROR(C326*IFERROR(INDEX(Ingredients!$H$5:$H$304,MATCH(B326,Ingredients!$A$5:$A$304,0)),""),""))</f>
        <v>0</v>
      </c>
      <c r="L326" s="8">
        <f>IF(OR(B326="",C326=""),"",IFERROR(C326*IFERROR(INDEX(Ingredients!$I$5:$I$304,MATCH(B326,Ingredients!$A$5:$A$304,0)),""),""))</f>
        <v>0</v>
      </c>
      <c r="M326" s="8">
        <f>IF(OR(B326="",C326=""),"",IFERROR(C326*IFERROR(INDEX(Ingredients!$J$5:$J$304,MATCH(B326,Ingredients!$A$5:$A$304,0)),""),""))</f>
        <v>0</v>
      </c>
      <c r="N326" s="8">
        <f>IF(OR(B326="",C326=""),"",IFERROR(C326*IFERROR(INDEX(Ingredients!$K$5:$K$304,MATCH(B326,Ingredients!$A$5:$A$304,0)),""),""))</f>
        <v>0</v>
      </c>
      <c r="O326" s="8">
        <f>IF(OR(B326="",C326=""),"",IFERROR(C326*IFERROR(INDEX(Ingredients!$L$5:$L$304,MATCH(B326,Ingredients!$A$5:$A$304,0)),""),""))</f>
        <v>0</v>
      </c>
      <c r="P326" s="8">
        <f>IF(OR(H326="",A326=""),"",IFERROR(H326/SUMIFS('Recipe Ingredients'!$H$5:$H$1204,'Recipe Ingredients'!$A$5:$A$1204,A326),""))</f>
        <v>0</v>
      </c>
      <c r="Q326" s="8">
        <f>IF(H326="","",COUNTIFS($H$5:$H$1204,"&gt;"&amp;H326)+1)</f>
        <v>0</v>
      </c>
      <c r="R326" s="8">
        <f>IF(B326="","",SUMIFS(Pantry!$C$5:$C$304,Pantry!$A$5:$A$304,B326))</f>
        <v>0</v>
      </c>
      <c r="S326" s="8">
        <f>IF(OR(B326="",C326=""),"",MAX(0,C326-R326))</f>
        <v>0</v>
      </c>
      <c r="T326" s="26"/>
      <c r="U326" s="8">
        <f>IF(OR(T326="",T326=0,G326=""),"",T326*G326)</f>
        <v>0</v>
      </c>
      <c r="V326" s="8">
        <f>IF(OR(S326="",T326="",T326=0),"",CEILING(S326/T326,1))</f>
        <v>0</v>
      </c>
      <c r="W326" s="27"/>
      <c r="X326" s="29"/>
      <c r="Y326" s="8">
        <f>IF(OR(C326="",X326=""),"",C326*(1+X326))</f>
        <v>0</v>
      </c>
      <c r="Z326" s="8">
        <f>IF(B326="","",IFERROR(INDEX(Ingredients!$O$5:$O$304,MATCH(B326,Ingredients!$A$5:$A$304,0)),""))</f>
        <v>0</v>
      </c>
      <c r="AA326" s="8">
        <f>IF(B326="","",IF(R326&gt;=C326,"In pantry","To buy"))</f>
        <v>0</v>
      </c>
      <c r="AB326" s="8">
        <f>IF(A326="","",COUNTIFS($A$5:A326,A326))</f>
        <v>0</v>
      </c>
      <c r="AC326" s="8">
        <f>IF(B326="","",IF(COUNTIFS('Dietary Filters'!$C$5:$C$104,B326)&gt;0,"Check","OK"))</f>
        <v>0</v>
      </c>
      <c r="AD326" s="25"/>
    </row>
    <row r="327" spans="1:30">
      <c r="A327" s="7"/>
      <c r="B327" s="7"/>
      <c r="C327" s="26"/>
      <c r="D327" s="27"/>
      <c r="E327" s="8">
        <f>IF(B327="","",IFERROR(INDEX(Ingredients!$B$5:$B$304,MATCH(B327,Ingredients!$A$5:$A$304,0)),""))</f>
        <v>0</v>
      </c>
      <c r="F327" s="8">
        <f>IF(B327="","",IFERROR(INDEX(Ingredients!$E$5:$E$304,MATCH(B327,Ingredients!$A$5:$A$304,0)),""))</f>
        <v>0</v>
      </c>
      <c r="G327" s="8">
        <f>IF(B327="","",IFERROR(INDEX(Ingredients!$D$5:$D$304,MATCH(B327,Ingredients!$A$5:$A$304,0)),""))</f>
        <v>0</v>
      </c>
      <c r="H327" s="8">
        <f>IF(OR(B327="",C327=""),"",IFERROR(C327*G327,""))</f>
        <v>0</v>
      </c>
      <c r="I327" s="8">
        <f>IF(A327="","",IFERROR(INDEX(Recipes!$D$5:$D$204,MATCH(A327,Recipes!$A$5:$A$204,0)),""))</f>
        <v>0</v>
      </c>
      <c r="J327" s="8">
        <f>IF(OR(H327="",I327="",I327=0),"",IFERROR(H327/I327,""))</f>
        <v>0</v>
      </c>
      <c r="K327" s="8">
        <f>IF(OR(B327="",C327=""),"",IFERROR(C327*IFERROR(INDEX(Ingredients!$H$5:$H$304,MATCH(B327,Ingredients!$A$5:$A$304,0)),""),""))</f>
        <v>0</v>
      </c>
      <c r="L327" s="8">
        <f>IF(OR(B327="",C327=""),"",IFERROR(C327*IFERROR(INDEX(Ingredients!$I$5:$I$304,MATCH(B327,Ingredients!$A$5:$A$304,0)),""),""))</f>
        <v>0</v>
      </c>
      <c r="M327" s="8">
        <f>IF(OR(B327="",C327=""),"",IFERROR(C327*IFERROR(INDEX(Ingredients!$J$5:$J$304,MATCH(B327,Ingredients!$A$5:$A$304,0)),""),""))</f>
        <v>0</v>
      </c>
      <c r="N327" s="8">
        <f>IF(OR(B327="",C327=""),"",IFERROR(C327*IFERROR(INDEX(Ingredients!$K$5:$K$304,MATCH(B327,Ingredients!$A$5:$A$304,0)),""),""))</f>
        <v>0</v>
      </c>
      <c r="O327" s="8">
        <f>IF(OR(B327="",C327=""),"",IFERROR(C327*IFERROR(INDEX(Ingredients!$L$5:$L$304,MATCH(B327,Ingredients!$A$5:$A$304,0)),""),""))</f>
        <v>0</v>
      </c>
      <c r="P327" s="8">
        <f>IF(OR(H327="",A327=""),"",IFERROR(H327/SUMIFS('Recipe Ingredients'!$H$5:$H$1204,'Recipe Ingredients'!$A$5:$A$1204,A327),""))</f>
        <v>0</v>
      </c>
      <c r="Q327" s="8">
        <f>IF(H327="","",COUNTIFS($H$5:$H$1204,"&gt;"&amp;H327)+1)</f>
        <v>0</v>
      </c>
      <c r="R327" s="8">
        <f>IF(B327="","",SUMIFS(Pantry!$C$5:$C$304,Pantry!$A$5:$A$304,B327))</f>
        <v>0</v>
      </c>
      <c r="S327" s="8">
        <f>IF(OR(B327="",C327=""),"",MAX(0,C327-R327))</f>
        <v>0</v>
      </c>
      <c r="T327" s="26"/>
      <c r="U327" s="8">
        <f>IF(OR(T327="",T327=0,G327=""),"",T327*G327)</f>
        <v>0</v>
      </c>
      <c r="V327" s="8">
        <f>IF(OR(S327="",T327="",T327=0),"",CEILING(S327/T327,1))</f>
        <v>0</v>
      </c>
      <c r="W327" s="27"/>
      <c r="X327" s="29"/>
      <c r="Y327" s="8">
        <f>IF(OR(C327="",X327=""),"",C327*(1+X327))</f>
        <v>0</v>
      </c>
      <c r="Z327" s="8">
        <f>IF(B327="","",IFERROR(INDEX(Ingredients!$O$5:$O$304,MATCH(B327,Ingredients!$A$5:$A$304,0)),""))</f>
        <v>0</v>
      </c>
      <c r="AA327" s="8">
        <f>IF(B327="","",IF(R327&gt;=C327,"In pantry","To buy"))</f>
        <v>0</v>
      </c>
      <c r="AB327" s="8">
        <f>IF(A327="","",COUNTIFS($A$5:A327,A327))</f>
        <v>0</v>
      </c>
      <c r="AC327" s="8">
        <f>IF(B327="","",IF(COUNTIFS('Dietary Filters'!$C$5:$C$104,B327)&gt;0,"Check","OK"))</f>
        <v>0</v>
      </c>
      <c r="AD327" s="25"/>
    </row>
    <row r="328" spans="1:30">
      <c r="A328" s="7"/>
      <c r="B328" s="7"/>
      <c r="C328" s="26"/>
      <c r="D328" s="27"/>
      <c r="E328" s="8">
        <f>IF(B328="","",IFERROR(INDEX(Ingredients!$B$5:$B$304,MATCH(B328,Ingredients!$A$5:$A$304,0)),""))</f>
        <v>0</v>
      </c>
      <c r="F328" s="8">
        <f>IF(B328="","",IFERROR(INDEX(Ingredients!$E$5:$E$304,MATCH(B328,Ingredients!$A$5:$A$304,0)),""))</f>
        <v>0</v>
      </c>
      <c r="G328" s="8">
        <f>IF(B328="","",IFERROR(INDEX(Ingredients!$D$5:$D$304,MATCH(B328,Ingredients!$A$5:$A$304,0)),""))</f>
        <v>0</v>
      </c>
      <c r="H328" s="8">
        <f>IF(OR(B328="",C328=""),"",IFERROR(C328*G328,""))</f>
        <v>0</v>
      </c>
      <c r="I328" s="8">
        <f>IF(A328="","",IFERROR(INDEX(Recipes!$D$5:$D$204,MATCH(A328,Recipes!$A$5:$A$204,0)),""))</f>
        <v>0</v>
      </c>
      <c r="J328" s="8">
        <f>IF(OR(H328="",I328="",I328=0),"",IFERROR(H328/I328,""))</f>
        <v>0</v>
      </c>
      <c r="K328" s="8">
        <f>IF(OR(B328="",C328=""),"",IFERROR(C328*IFERROR(INDEX(Ingredients!$H$5:$H$304,MATCH(B328,Ingredients!$A$5:$A$304,0)),""),""))</f>
        <v>0</v>
      </c>
      <c r="L328" s="8">
        <f>IF(OR(B328="",C328=""),"",IFERROR(C328*IFERROR(INDEX(Ingredients!$I$5:$I$304,MATCH(B328,Ingredients!$A$5:$A$304,0)),""),""))</f>
        <v>0</v>
      </c>
      <c r="M328" s="8">
        <f>IF(OR(B328="",C328=""),"",IFERROR(C328*IFERROR(INDEX(Ingredients!$J$5:$J$304,MATCH(B328,Ingredients!$A$5:$A$304,0)),""),""))</f>
        <v>0</v>
      </c>
      <c r="N328" s="8">
        <f>IF(OR(B328="",C328=""),"",IFERROR(C328*IFERROR(INDEX(Ingredients!$K$5:$K$304,MATCH(B328,Ingredients!$A$5:$A$304,0)),""),""))</f>
        <v>0</v>
      </c>
      <c r="O328" s="8">
        <f>IF(OR(B328="",C328=""),"",IFERROR(C328*IFERROR(INDEX(Ingredients!$L$5:$L$304,MATCH(B328,Ingredients!$A$5:$A$304,0)),""),""))</f>
        <v>0</v>
      </c>
      <c r="P328" s="8">
        <f>IF(OR(H328="",A328=""),"",IFERROR(H328/SUMIFS('Recipe Ingredients'!$H$5:$H$1204,'Recipe Ingredients'!$A$5:$A$1204,A328),""))</f>
        <v>0</v>
      </c>
      <c r="Q328" s="8">
        <f>IF(H328="","",COUNTIFS($H$5:$H$1204,"&gt;"&amp;H328)+1)</f>
        <v>0</v>
      </c>
      <c r="R328" s="8">
        <f>IF(B328="","",SUMIFS(Pantry!$C$5:$C$304,Pantry!$A$5:$A$304,B328))</f>
        <v>0</v>
      </c>
      <c r="S328" s="8">
        <f>IF(OR(B328="",C328=""),"",MAX(0,C328-R328))</f>
        <v>0</v>
      </c>
      <c r="T328" s="26"/>
      <c r="U328" s="8">
        <f>IF(OR(T328="",T328=0,G328=""),"",T328*G328)</f>
        <v>0</v>
      </c>
      <c r="V328" s="8">
        <f>IF(OR(S328="",T328="",T328=0),"",CEILING(S328/T328,1))</f>
        <v>0</v>
      </c>
      <c r="W328" s="27"/>
      <c r="X328" s="29"/>
      <c r="Y328" s="8">
        <f>IF(OR(C328="",X328=""),"",C328*(1+X328))</f>
        <v>0</v>
      </c>
      <c r="Z328" s="8">
        <f>IF(B328="","",IFERROR(INDEX(Ingredients!$O$5:$O$304,MATCH(B328,Ingredients!$A$5:$A$304,0)),""))</f>
        <v>0</v>
      </c>
      <c r="AA328" s="8">
        <f>IF(B328="","",IF(R328&gt;=C328,"In pantry","To buy"))</f>
        <v>0</v>
      </c>
      <c r="AB328" s="8">
        <f>IF(A328="","",COUNTIFS($A$5:A328,A328))</f>
        <v>0</v>
      </c>
      <c r="AC328" s="8">
        <f>IF(B328="","",IF(COUNTIFS('Dietary Filters'!$C$5:$C$104,B328)&gt;0,"Check","OK"))</f>
        <v>0</v>
      </c>
      <c r="AD328" s="25"/>
    </row>
    <row r="329" spans="1:30">
      <c r="A329" s="7"/>
      <c r="B329" s="7"/>
      <c r="C329" s="26"/>
      <c r="D329" s="27"/>
      <c r="E329" s="8">
        <f>IF(B329="","",IFERROR(INDEX(Ingredients!$B$5:$B$304,MATCH(B329,Ingredients!$A$5:$A$304,0)),""))</f>
        <v>0</v>
      </c>
      <c r="F329" s="8">
        <f>IF(B329="","",IFERROR(INDEX(Ingredients!$E$5:$E$304,MATCH(B329,Ingredients!$A$5:$A$304,0)),""))</f>
        <v>0</v>
      </c>
      <c r="G329" s="8">
        <f>IF(B329="","",IFERROR(INDEX(Ingredients!$D$5:$D$304,MATCH(B329,Ingredients!$A$5:$A$304,0)),""))</f>
        <v>0</v>
      </c>
      <c r="H329" s="8">
        <f>IF(OR(B329="",C329=""),"",IFERROR(C329*G329,""))</f>
        <v>0</v>
      </c>
      <c r="I329" s="8">
        <f>IF(A329="","",IFERROR(INDEX(Recipes!$D$5:$D$204,MATCH(A329,Recipes!$A$5:$A$204,0)),""))</f>
        <v>0</v>
      </c>
      <c r="J329" s="8">
        <f>IF(OR(H329="",I329="",I329=0),"",IFERROR(H329/I329,""))</f>
        <v>0</v>
      </c>
      <c r="K329" s="8">
        <f>IF(OR(B329="",C329=""),"",IFERROR(C329*IFERROR(INDEX(Ingredients!$H$5:$H$304,MATCH(B329,Ingredients!$A$5:$A$304,0)),""),""))</f>
        <v>0</v>
      </c>
      <c r="L329" s="8">
        <f>IF(OR(B329="",C329=""),"",IFERROR(C329*IFERROR(INDEX(Ingredients!$I$5:$I$304,MATCH(B329,Ingredients!$A$5:$A$304,0)),""),""))</f>
        <v>0</v>
      </c>
      <c r="M329" s="8">
        <f>IF(OR(B329="",C329=""),"",IFERROR(C329*IFERROR(INDEX(Ingredients!$J$5:$J$304,MATCH(B329,Ingredients!$A$5:$A$304,0)),""),""))</f>
        <v>0</v>
      </c>
      <c r="N329" s="8">
        <f>IF(OR(B329="",C329=""),"",IFERROR(C329*IFERROR(INDEX(Ingredients!$K$5:$K$304,MATCH(B329,Ingredients!$A$5:$A$304,0)),""),""))</f>
        <v>0</v>
      </c>
      <c r="O329" s="8">
        <f>IF(OR(B329="",C329=""),"",IFERROR(C329*IFERROR(INDEX(Ingredients!$L$5:$L$304,MATCH(B329,Ingredients!$A$5:$A$304,0)),""),""))</f>
        <v>0</v>
      </c>
      <c r="P329" s="8">
        <f>IF(OR(H329="",A329=""),"",IFERROR(H329/SUMIFS('Recipe Ingredients'!$H$5:$H$1204,'Recipe Ingredients'!$A$5:$A$1204,A329),""))</f>
        <v>0</v>
      </c>
      <c r="Q329" s="8">
        <f>IF(H329="","",COUNTIFS($H$5:$H$1204,"&gt;"&amp;H329)+1)</f>
        <v>0</v>
      </c>
      <c r="R329" s="8">
        <f>IF(B329="","",SUMIFS(Pantry!$C$5:$C$304,Pantry!$A$5:$A$304,B329))</f>
        <v>0</v>
      </c>
      <c r="S329" s="8">
        <f>IF(OR(B329="",C329=""),"",MAX(0,C329-R329))</f>
        <v>0</v>
      </c>
      <c r="T329" s="26"/>
      <c r="U329" s="8">
        <f>IF(OR(T329="",T329=0,G329=""),"",T329*G329)</f>
        <v>0</v>
      </c>
      <c r="V329" s="8">
        <f>IF(OR(S329="",T329="",T329=0),"",CEILING(S329/T329,1))</f>
        <v>0</v>
      </c>
      <c r="W329" s="27"/>
      <c r="X329" s="29"/>
      <c r="Y329" s="8">
        <f>IF(OR(C329="",X329=""),"",C329*(1+X329))</f>
        <v>0</v>
      </c>
      <c r="Z329" s="8">
        <f>IF(B329="","",IFERROR(INDEX(Ingredients!$O$5:$O$304,MATCH(B329,Ingredients!$A$5:$A$304,0)),""))</f>
        <v>0</v>
      </c>
      <c r="AA329" s="8">
        <f>IF(B329="","",IF(R329&gt;=C329,"In pantry","To buy"))</f>
        <v>0</v>
      </c>
      <c r="AB329" s="8">
        <f>IF(A329="","",COUNTIFS($A$5:A329,A329))</f>
        <v>0</v>
      </c>
      <c r="AC329" s="8">
        <f>IF(B329="","",IF(COUNTIFS('Dietary Filters'!$C$5:$C$104,B329)&gt;0,"Check","OK"))</f>
        <v>0</v>
      </c>
      <c r="AD329" s="25"/>
    </row>
    <row r="330" spans="1:30">
      <c r="A330" s="7"/>
      <c r="B330" s="7"/>
      <c r="C330" s="26"/>
      <c r="D330" s="27"/>
      <c r="E330" s="8">
        <f>IF(B330="","",IFERROR(INDEX(Ingredients!$B$5:$B$304,MATCH(B330,Ingredients!$A$5:$A$304,0)),""))</f>
        <v>0</v>
      </c>
      <c r="F330" s="8">
        <f>IF(B330="","",IFERROR(INDEX(Ingredients!$E$5:$E$304,MATCH(B330,Ingredients!$A$5:$A$304,0)),""))</f>
        <v>0</v>
      </c>
      <c r="G330" s="8">
        <f>IF(B330="","",IFERROR(INDEX(Ingredients!$D$5:$D$304,MATCH(B330,Ingredients!$A$5:$A$304,0)),""))</f>
        <v>0</v>
      </c>
      <c r="H330" s="8">
        <f>IF(OR(B330="",C330=""),"",IFERROR(C330*G330,""))</f>
        <v>0</v>
      </c>
      <c r="I330" s="8">
        <f>IF(A330="","",IFERROR(INDEX(Recipes!$D$5:$D$204,MATCH(A330,Recipes!$A$5:$A$204,0)),""))</f>
        <v>0</v>
      </c>
      <c r="J330" s="8">
        <f>IF(OR(H330="",I330="",I330=0),"",IFERROR(H330/I330,""))</f>
        <v>0</v>
      </c>
      <c r="K330" s="8">
        <f>IF(OR(B330="",C330=""),"",IFERROR(C330*IFERROR(INDEX(Ingredients!$H$5:$H$304,MATCH(B330,Ingredients!$A$5:$A$304,0)),""),""))</f>
        <v>0</v>
      </c>
      <c r="L330" s="8">
        <f>IF(OR(B330="",C330=""),"",IFERROR(C330*IFERROR(INDEX(Ingredients!$I$5:$I$304,MATCH(B330,Ingredients!$A$5:$A$304,0)),""),""))</f>
        <v>0</v>
      </c>
      <c r="M330" s="8">
        <f>IF(OR(B330="",C330=""),"",IFERROR(C330*IFERROR(INDEX(Ingredients!$J$5:$J$304,MATCH(B330,Ingredients!$A$5:$A$304,0)),""),""))</f>
        <v>0</v>
      </c>
      <c r="N330" s="8">
        <f>IF(OR(B330="",C330=""),"",IFERROR(C330*IFERROR(INDEX(Ingredients!$K$5:$K$304,MATCH(B330,Ingredients!$A$5:$A$304,0)),""),""))</f>
        <v>0</v>
      </c>
      <c r="O330" s="8">
        <f>IF(OR(B330="",C330=""),"",IFERROR(C330*IFERROR(INDEX(Ingredients!$L$5:$L$304,MATCH(B330,Ingredients!$A$5:$A$304,0)),""),""))</f>
        <v>0</v>
      </c>
      <c r="P330" s="8">
        <f>IF(OR(H330="",A330=""),"",IFERROR(H330/SUMIFS('Recipe Ingredients'!$H$5:$H$1204,'Recipe Ingredients'!$A$5:$A$1204,A330),""))</f>
        <v>0</v>
      </c>
      <c r="Q330" s="8">
        <f>IF(H330="","",COUNTIFS($H$5:$H$1204,"&gt;"&amp;H330)+1)</f>
        <v>0</v>
      </c>
      <c r="R330" s="8">
        <f>IF(B330="","",SUMIFS(Pantry!$C$5:$C$304,Pantry!$A$5:$A$304,B330))</f>
        <v>0</v>
      </c>
      <c r="S330" s="8">
        <f>IF(OR(B330="",C330=""),"",MAX(0,C330-R330))</f>
        <v>0</v>
      </c>
      <c r="T330" s="26"/>
      <c r="U330" s="8">
        <f>IF(OR(T330="",T330=0,G330=""),"",T330*G330)</f>
        <v>0</v>
      </c>
      <c r="V330" s="8">
        <f>IF(OR(S330="",T330="",T330=0),"",CEILING(S330/T330,1))</f>
        <v>0</v>
      </c>
      <c r="W330" s="27"/>
      <c r="X330" s="29"/>
      <c r="Y330" s="8">
        <f>IF(OR(C330="",X330=""),"",C330*(1+X330))</f>
        <v>0</v>
      </c>
      <c r="Z330" s="8">
        <f>IF(B330="","",IFERROR(INDEX(Ingredients!$O$5:$O$304,MATCH(B330,Ingredients!$A$5:$A$304,0)),""))</f>
        <v>0</v>
      </c>
      <c r="AA330" s="8">
        <f>IF(B330="","",IF(R330&gt;=C330,"In pantry","To buy"))</f>
        <v>0</v>
      </c>
      <c r="AB330" s="8">
        <f>IF(A330="","",COUNTIFS($A$5:A330,A330))</f>
        <v>0</v>
      </c>
      <c r="AC330" s="8">
        <f>IF(B330="","",IF(COUNTIFS('Dietary Filters'!$C$5:$C$104,B330)&gt;0,"Check","OK"))</f>
        <v>0</v>
      </c>
      <c r="AD330" s="25"/>
    </row>
    <row r="331" spans="1:30">
      <c r="A331" s="7"/>
      <c r="B331" s="7"/>
      <c r="C331" s="26"/>
      <c r="D331" s="27"/>
      <c r="E331" s="8">
        <f>IF(B331="","",IFERROR(INDEX(Ingredients!$B$5:$B$304,MATCH(B331,Ingredients!$A$5:$A$304,0)),""))</f>
        <v>0</v>
      </c>
      <c r="F331" s="8">
        <f>IF(B331="","",IFERROR(INDEX(Ingredients!$E$5:$E$304,MATCH(B331,Ingredients!$A$5:$A$304,0)),""))</f>
        <v>0</v>
      </c>
      <c r="G331" s="8">
        <f>IF(B331="","",IFERROR(INDEX(Ingredients!$D$5:$D$304,MATCH(B331,Ingredients!$A$5:$A$304,0)),""))</f>
        <v>0</v>
      </c>
      <c r="H331" s="8">
        <f>IF(OR(B331="",C331=""),"",IFERROR(C331*G331,""))</f>
        <v>0</v>
      </c>
      <c r="I331" s="8">
        <f>IF(A331="","",IFERROR(INDEX(Recipes!$D$5:$D$204,MATCH(A331,Recipes!$A$5:$A$204,0)),""))</f>
        <v>0</v>
      </c>
      <c r="J331" s="8">
        <f>IF(OR(H331="",I331="",I331=0),"",IFERROR(H331/I331,""))</f>
        <v>0</v>
      </c>
      <c r="K331" s="8">
        <f>IF(OR(B331="",C331=""),"",IFERROR(C331*IFERROR(INDEX(Ingredients!$H$5:$H$304,MATCH(B331,Ingredients!$A$5:$A$304,0)),""),""))</f>
        <v>0</v>
      </c>
      <c r="L331" s="8">
        <f>IF(OR(B331="",C331=""),"",IFERROR(C331*IFERROR(INDEX(Ingredients!$I$5:$I$304,MATCH(B331,Ingredients!$A$5:$A$304,0)),""),""))</f>
        <v>0</v>
      </c>
      <c r="M331" s="8">
        <f>IF(OR(B331="",C331=""),"",IFERROR(C331*IFERROR(INDEX(Ingredients!$J$5:$J$304,MATCH(B331,Ingredients!$A$5:$A$304,0)),""),""))</f>
        <v>0</v>
      </c>
      <c r="N331" s="8">
        <f>IF(OR(B331="",C331=""),"",IFERROR(C331*IFERROR(INDEX(Ingredients!$K$5:$K$304,MATCH(B331,Ingredients!$A$5:$A$304,0)),""),""))</f>
        <v>0</v>
      </c>
      <c r="O331" s="8">
        <f>IF(OR(B331="",C331=""),"",IFERROR(C331*IFERROR(INDEX(Ingredients!$L$5:$L$304,MATCH(B331,Ingredients!$A$5:$A$304,0)),""),""))</f>
        <v>0</v>
      </c>
      <c r="P331" s="8">
        <f>IF(OR(H331="",A331=""),"",IFERROR(H331/SUMIFS('Recipe Ingredients'!$H$5:$H$1204,'Recipe Ingredients'!$A$5:$A$1204,A331),""))</f>
        <v>0</v>
      </c>
      <c r="Q331" s="8">
        <f>IF(H331="","",COUNTIFS($H$5:$H$1204,"&gt;"&amp;H331)+1)</f>
        <v>0</v>
      </c>
      <c r="R331" s="8">
        <f>IF(B331="","",SUMIFS(Pantry!$C$5:$C$304,Pantry!$A$5:$A$304,B331))</f>
        <v>0</v>
      </c>
      <c r="S331" s="8">
        <f>IF(OR(B331="",C331=""),"",MAX(0,C331-R331))</f>
        <v>0</v>
      </c>
      <c r="T331" s="26"/>
      <c r="U331" s="8">
        <f>IF(OR(T331="",T331=0,G331=""),"",T331*G331)</f>
        <v>0</v>
      </c>
      <c r="V331" s="8">
        <f>IF(OR(S331="",T331="",T331=0),"",CEILING(S331/T331,1))</f>
        <v>0</v>
      </c>
      <c r="W331" s="27"/>
      <c r="X331" s="29"/>
      <c r="Y331" s="8">
        <f>IF(OR(C331="",X331=""),"",C331*(1+X331))</f>
        <v>0</v>
      </c>
      <c r="Z331" s="8">
        <f>IF(B331="","",IFERROR(INDEX(Ingredients!$O$5:$O$304,MATCH(B331,Ingredients!$A$5:$A$304,0)),""))</f>
        <v>0</v>
      </c>
      <c r="AA331" s="8">
        <f>IF(B331="","",IF(R331&gt;=C331,"In pantry","To buy"))</f>
        <v>0</v>
      </c>
      <c r="AB331" s="8">
        <f>IF(A331="","",COUNTIFS($A$5:A331,A331))</f>
        <v>0</v>
      </c>
      <c r="AC331" s="8">
        <f>IF(B331="","",IF(COUNTIFS('Dietary Filters'!$C$5:$C$104,B331)&gt;0,"Check","OK"))</f>
        <v>0</v>
      </c>
      <c r="AD331" s="25"/>
    </row>
    <row r="332" spans="1:30">
      <c r="A332" s="7"/>
      <c r="B332" s="7"/>
      <c r="C332" s="26"/>
      <c r="D332" s="27"/>
      <c r="E332" s="8">
        <f>IF(B332="","",IFERROR(INDEX(Ingredients!$B$5:$B$304,MATCH(B332,Ingredients!$A$5:$A$304,0)),""))</f>
        <v>0</v>
      </c>
      <c r="F332" s="8">
        <f>IF(B332="","",IFERROR(INDEX(Ingredients!$E$5:$E$304,MATCH(B332,Ingredients!$A$5:$A$304,0)),""))</f>
        <v>0</v>
      </c>
      <c r="G332" s="8">
        <f>IF(B332="","",IFERROR(INDEX(Ingredients!$D$5:$D$304,MATCH(B332,Ingredients!$A$5:$A$304,0)),""))</f>
        <v>0</v>
      </c>
      <c r="H332" s="8">
        <f>IF(OR(B332="",C332=""),"",IFERROR(C332*G332,""))</f>
        <v>0</v>
      </c>
      <c r="I332" s="8">
        <f>IF(A332="","",IFERROR(INDEX(Recipes!$D$5:$D$204,MATCH(A332,Recipes!$A$5:$A$204,0)),""))</f>
        <v>0</v>
      </c>
      <c r="J332" s="8">
        <f>IF(OR(H332="",I332="",I332=0),"",IFERROR(H332/I332,""))</f>
        <v>0</v>
      </c>
      <c r="K332" s="8">
        <f>IF(OR(B332="",C332=""),"",IFERROR(C332*IFERROR(INDEX(Ingredients!$H$5:$H$304,MATCH(B332,Ingredients!$A$5:$A$304,0)),""),""))</f>
        <v>0</v>
      </c>
      <c r="L332" s="8">
        <f>IF(OR(B332="",C332=""),"",IFERROR(C332*IFERROR(INDEX(Ingredients!$I$5:$I$304,MATCH(B332,Ingredients!$A$5:$A$304,0)),""),""))</f>
        <v>0</v>
      </c>
      <c r="M332" s="8">
        <f>IF(OR(B332="",C332=""),"",IFERROR(C332*IFERROR(INDEX(Ingredients!$J$5:$J$304,MATCH(B332,Ingredients!$A$5:$A$304,0)),""),""))</f>
        <v>0</v>
      </c>
      <c r="N332" s="8">
        <f>IF(OR(B332="",C332=""),"",IFERROR(C332*IFERROR(INDEX(Ingredients!$K$5:$K$304,MATCH(B332,Ingredients!$A$5:$A$304,0)),""),""))</f>
        <v>0</v>
      </c>
      <c r="O332" s="8">
        <f>IF(OR(B332="",C332=""),"",IFERROR(C332*IFERROR(INDEX(Ingredients!$L$5:$L$304,MATCH(B332,Ingredients!$A$5:$A$304,0)),""),""))</f>
        <v>0</v>
      </c>
      <c r="P332" s="8">
        <f>IF(OR(H332="",A332=""),"",IFERROR(H332/SUMIFS('Recipe Ingredients'!$H$5:$H$1204,'Recipe Ingredients'!$A$5:$A$1204,A332),""))</f>
        <v>0</v>
      </c>
      <c r="Q332" s="8">
        <f>IF(H332="","",COUNTIFS($H$5:$H$1204,"&gt;"&amp;H332)+1)</f>
        <v>0</v>
      </c>
      <c r="R332" s="8">
        <f>IF(B332="","",SUMIFS(Pantry!$C$5:$C$304,Pantry!$A$5:$A$304,B332))</f>
        <v>0</v>
      </c>
      <c r="S332" s="8">
        <f>IF(OR(B332="",C332=""),"",MAX(0,C332-R332))</f>
        <v>0</v>
      </c>
      <c r="T332" s="26"/>
      <c r="U332" s="8">
        <f>IF(OR(T332="",T332=0,G332=""),"",T332*G332)</f>
        <v>0</v>
      </c>
      <c r="V332" s="8">
        <f>IF(OR(S332="",T332="",T332=0),"",CEILING(S332/T332,1))</f>
        <v>0</v>
      </c>
      <c r="W332" s="27"/>
      <c r="X332" s="29"/>
      <c r="Y332" s="8">
        <f>IF(OR(C332="",X332=""),"",C332*(1+X332))</f>
        <v>0</v>
      </c>
      <c r="Z332" s="8">
        <f>IF(B332="","",IFERROR(INDEX(Ingredients!$O$5:$O$304,MATCH(B332,Ingredients!$A$5:$A$304,0)),""))</f>
        <v>0</v>
      </c>
      <c r="AA332" s="8">
        <f>IF(B332="","",IF(R332&gt;=C332,"In pantry","To buy"))</f>
        <v>0</v>
      </c>
      <c r="AB332" s="8">
        <f>IF(A332="","",COUNTIFS($A$5:A332,A332))</f>
        <v>0</v>
      </c>
      <c r="AC332" s="8">
        <f>IF(B332="","",IF(COUNTIFS('Dietary Filters'!$C$5:$C$104,B332)&gt;0,"Check","OK"))</f>
        <v>0</v>
      </c>
      <c r="AD332" s="25"/>
    </row>
    <row r="333" spans="1:30">
      <c r="A333" s="7"/>
      <c r="B333" s="7"/>
      <c r="C333" s="26"/>
      <c r="D333" s="27"/>
      <c r="E333" s="8">
        <f>IF(B333="","",IFERROR(INDEX(Ingredients!$B$5:$B$304,MATCH(B333,Ingredients!$A$5:$A$304,0)),""))</f>
        <v>0</v>
      </c>
      <c r="F333" s="8">
        <f>IF(B333="","",IFERROR(INDEX(Ingredients!$E$5:$E$304,MATCH(B333,Ingredients!$A$5:$A$304,0)),""))</f>
        <v>0</v>
      </c>
      <c r="G333" s="8">
        <f>IF(B333="","",IFERROR(INDEX(Ingredients!$D$5:$D$304,MATCH(B333,Ingredients!$A$5:$A$304,0)),""))</f>
        <v>0</v>
      </c>
      <c r="H333" s="8">
        <f>IF(OR(B333="",C333=""),"",IFERROR(C333*G333,""))</f>
        <v>0</v>
      </c>
      <c r="I333" s="8">
        <f>IF(A333="","",IFERROR(INDEX(Recipes!$D$5:$D$204,MATCH(A333,Recipes!$A$5:$A$204,0)),""))</f>
        <v>0</v>
      </c>
      <c r="J333" s="8">
        <f>IF(OR(H333="",I333="",I333=0),"",IFERROR(H333/I333,""))</f>
        <v>0</v>
      </c>
      <c r="K333" s="8">
        <f>IF(OR(B333="",C333=""),"",IFERROR(C333*IFERROR(INDEX(Ingredients!$H$5:$H$304,MATCH(B333,Ingredients!$A$5:$A$304,0)),""),""))</f>
        <v>0</v>
      </c>
      <c r="L333" s="8">
        <f>IF(OR(B333="",C333=""),"",IFERROR(C333*IFERROR(INDEX(Ingredients!$I$5:$I$304,MATCH(B333,Ingredients!$A$5:$A$304,0)),""),""))</f>
        <v>0</v>
      </c>
      <c r="M333" s="8">
        <f>IF(OR(B333="",C333=""),"",IFERROR(C333*IFERROR(INDEX(Ingredients!$J$5:$J$304,MATCH(B333,Ingredients!$A$5:$A$304,0)),""),""))</f>
        <v>0</v>
      </c>
      <c r="N333" s="8">
        <f>IF(OR(B333="",C333=""),"",IFERROR(C333*IFERROR(INDEX(Ingredients!$K$5:$K$304,MATCH(B333,Ingredients!$A$5:$A$304,0)),""),""))</f>
        <v>0</v>
      </c>
      <c r="O333" s="8">
        <f>IF(OR(B333="",C333=""),"",IFERROR(C333*IFERROR(INDEX(Ingredients!$L$5:$L$304,MATCH(B333,Ingredients!$A$5:$A$304,0)),""),""))</f>
        <v>0</v>
      </c>
      <c r="P333" s="8">
        <f>IF(OR(H333="",A333=""),"",IFERROR(H333/SUMIFS('Recipe Ingredients'!$H$5:$H$1204,'Recipe Ingredients'!$A$5:$A$1204,A333),""))</f>
        <v>0</v>
      </c>
      <c r="Q333" s="8">
        <f>IF(H333="","",COUNTIFS($H$5:$H$1204,"&gt;"&amp;H333)+1)</f>
        <v>0</v>
      </c>
      <c r="R333" s="8">
        <f>IF(B333="","",SUMIFS(Pantry!$C$5:$C$304,Pantry!$A$5:$A$304,B333))</f>
        <v>0</v>
      </c>
      <c r="S333" s="8">
        <f>IF(OR(B333="",C333=""),"",MAX(0,C333-R333))</f>
        <v>0</v>
      </c>
      <c r="T333" s="26"/>
      <c r="U333" s="8">
        <f>IF(OR(T333="",T333=0,G333=""),"",T333*G333)</f>
        <v>0</v>
      </c>
      <c r="V333" s="8">
        <f>IF(OR(S333="",T333="",T333=0),"",CEILING(S333/T333,1))</f>
        <v>0</v>
      </c>
      <c r="W333" s="27"/>
      <c r="X333" s="29"/>
      <c r="Y333" s="8">
        <f>IF(OR(C333="",X333=""),"",C333*(1+X333))</f>
        <v>0</v>
      </c>
      <c r="Z333" s="8">
        <f>IF(B333="","",IFERROR(INDEX(Ingredients!$O$5:$O$304,MATCH(B333,Ingredients!$A$5:$A$304,0)),""))</f>
        <v>0</v>
      </c>
      <c r="AA333" s="8">
        <f>IF(B333="","",IF(R333&gt;=C333,"In pantry","To buy"))</f>
        <v>0</v>
      </c>
      <c r="AB333" s="8">
        <f>IF(A333="","",COUNTIFS($A$5:A333,A333))</f>
        <v>0</v>
      </c>
      <c r="AC333" s="8">
        <f>IF(B333="","",IF(COUNTIFS('Dietary Filters'!$C$5:$C$104,B333)&gt;0,"Check","OK"))</f>
        <v>0</v>
      </c>
      <c r="AD333" s="25"/>
    </row>
    <row r="334" spans="1:30">
      <c r="A334" s="7"/>
      <c r="B334" s="7"/>
      <c r="C334" s="26"/>
      <c r="D334" s="27"/>
      <c r="E334" s="8">
        <f>IF(B334="","",IFERROR(INDEX(Ingredients!$B$5:$B$304,MATCH(B334,Ingredients!$A$5:$A$304,0)),""))</f>
        <v>0</v>
      </c>
      <c r="F334" s="8">
        <f>IF(B334="","",IFERROR(INDEX(Ingredients!$E$5:$E$304,MATCH(B334,Ingredients!$A$5:$A$304,0)),""))</f>
        <v>0</v>
      </c>
      <c r="G334" s="8">
        <f>IF(B334="","",IFERROR(INDEX(Ingredients!$D$5:$D$304,MATCH(B334,Ingredients!$A$5:$A$304,0)),""))</f>
        <v>0</v>
      </c>
      <c r="H334" s="8">
        <f>IF(OR(B334="",C334=""),"",IFERROR(C334*G334,""))</f>
        <v>0</v>
      </c>
      <c r="I334" s="8">
        <f>IF(A334="","",IFERROR(INDEX(Recipes!$D$5:$D$204,MATCH(A334,Recipes!$A$5:$A$204,0)),""))</f>
        <v>0</v>
      </c>
      <c r="J334" s="8">
        <f>IF(OR(H334="",I334="",I334=0),"",IFERROR(H334/I334,""))</f>
        <v>0</v>
      </c>
      <c r="K334" s="8">
        <f>IF(OR(B334="",C334=""),"",IFERROR(C334*IFERROR(INDEX(Ingredients!$H$5:$H$304,MATCH(B334,Ingredients!$A$5:$A$304,0)),""),""))</f>
        <v>0</v>
      </c>
      <c r="L334" s="8">
        <f>IF(OR(B334="",C334=""),"",IFERROR(C334*IFERROR(INDEX(Ingredients!$I$5:$I$304,MATCH(B334,Ingredients!$A$5:$A$304,0)),""),""))</f>
        <v>0</v>
      </c>
      <c r="M334" s="8">
        <f>IF(OR(B334="",C334=""),"",IFERROR(C334*IFERROR(INDEX(Ingredients!$J$5:$J$304,MATCH(B334,Ingredients!$A$5:$A$304,0)),""),""))</f>
        <v>0</v>
      </c>
      <c r="N334" s="8">
        <f>IF(OR(B334="",C334=""),"",IFERROR(C334*IFERROR(INDEX(Ingredients!$K$5:$K$304,MATCH(B334,Ingredients!$A$5:$A$304,0)),""),""))</f>
        <v>0</v>
      </c>
      <c r="O334" s="8">
        <f>IF(OR(B334="",C334=""),"",IFERROR(C334*IFERROR(INDEX(Ingredients!$L$5:$L$304,MATCH(B334,Ingredients!$A$5:$A$304,0)),""),""))</f>
        <v>0</v>
      </c>
      <c r="P334" s="8">
        <f>IF(OR(H334="",A334=""),"",IFERROR(H334/SUMIFS('Recipe Ingredients'!$H$5:$H$1204,'Recipe Ingredients'!$A$5:$A$1204,A334),""))</f>
        <v>0</v>
      </c>
      <c r="Q334" s="8">
        <f>IF(H334="","",COUNTIFS($H$5:$H$1204,"&gt;"&amp;H334)+1)</f>
        <v>0</v>
      </c>
      <c r="R334" s="8">
        <f>IF(B334="","",SUMIFS(Pantry!$C$5:$C$304,Pantry!$A$5:$A$304,B334))</f>
        <v>0</v>
      </c>
      <c r="S334" s="8">
        <f>IF(OR(B334="",C334=""),"",MAX(0,C334-R334))</f>
        <v>0</v>
      </c>
      <c r="T334" s="26"/>
      <c r="U334" s="8">
        <f>IF(OR(T334="",T334=0,G334=""),"",T334*G334)</f>
        <v>0</v>
      </c>
      <c r="V334" s="8">
        <f>IF(OR(S334="",T334="",T334=0),"",CEILING(S334/T334,1))</f>
        <v>0</v>
      </c>
      <c r="W334" s="27"/>
      <c r="X334" s="29"/>
      <c r="Y334" s="8">
        <f>IF(OR(C334="",X334=""),"",C334*(1+X334))</f>
        <v>0</v>
      </c>
      <c r="Z334" s="8">
        <f>IF(B334="","",IFERROR(INDEX(Ingredients!$O$5:$O$304,MATCH(B334,Ingredients!$A$5:$A$304,0)),""))</f>
        <v>0</v>
      </c>
      <c r="AA334" s="8">
        <f>IF(B334="","",IF(R334&gt;=C334,"In pantry","To buy"))</f>
        <v>0</v>
      </c>
      <c r="AB334" s="8">
        <f>IF(A334="","",COUNTIFS($A$5:A334,A334))</f>
        <v>0</v>
      </c>
      <c r="AC334" s="8">
        <f>IF(B334="","",IF(COUNTIFS('Dietary Filters'!$C$5:$C$104,B334)&gt;0,"Check","OK"))</f>
        <v>0</v>
      </c>
      <c r="AD334" s="25"/>
    </row>
    <row r="335" spans="1:30">
      <c r="A335" s="7"/>
      <c r="B335" s="7"/>
      <c r="C335" s="26"/>
      <c r="D335" s="27"/>
      <c r="E335" s="8">
        <f>IF(B335="","",IFERROR(INDEX(Ingredients!$B$5:$B$304,MATCH(B335,Ingredients!$A$5:$A$304,0)),""))</f>
        <v>0</v>
      </c>
      <c r="F335" s="8">
        <f>IF(B335="","",IFERROR(INDEX(Ingredients!$E$5:$E$304,MATCH(B335,Ingredients!$A$5:$A$304,0)),""))</f>
        <v>0</v>
      </c>
      <c r="G335" s="8">
        <f>IF(B335="","",IFERROR(INDEX(Ingredients!$D$5:$D$304,MATCH(B335,Ingredients!$A$5:$A$304,0)),""))</f>
        <v>0</v>
      </c>
      <c r="H335" s="8">
        <f>IF(OR(B335="",C335=""),"",IFERROR(C335*G335,""))</f>
        <v>0</v>
      </c>
      <c r="I335" s="8">
        <f>IF(A335="","",IFERROR(INDEX(Recipes!$D$5:$D$204,MATCH(A335,Recipes!$A$5:$A$204,0)),""))</f>
        <v>0</v>
      </c>
      <c r="J335" s="8">
        <f>IF(OR(H335="",I335="",I335=0),"",IFERROR(H335/I335,""))</f>
        <v>0</v>
      </c>
      <c r="K335" s="8">
        <f>IF(OR(B335="",C335=""),"",IFERROR(C335*IFERROR(INDEX(Ingredients!$H$5:$H$304,MATCH(B335,Ingredients!$A$5:$A$304,0)),""),""))</f>
        <v>0</v>
      </c>
      <c r="L335" s="8">
        <f>IF(OR(B335="",C335=""),"",IFERROR(C335*IFERROR(INDEX(Ingredients!$I$5:$I$304,MATCH(B335,Ingredients!$A$5:$A$304,0)),""),""))</f>
        <v>0</v>
      </c>
      <c r="M335" s="8">
        <f>IF(OR(B335="",C335=""),"",IFERROR(C335*IFERROR(INDEX(Ingredients!$J$5:$J$304,MATCH(B335,Ingredients!$A$5:$A$304,0)),""),""))</f>
        <v>0</v>
      </c>
      <c r="N335" s="8">
        <f>IF(OR(B335="",C335=""),"",IFERROR(C335*IFERROR(INDEX(Ingredients!$K$5:$K$304,MATCH(B335,Ingredients!$A$5:$A$304,0)),""),""))</f>
        <v>0</v>
      </c>
      <c r="O335" s="8">
        <f>IF(OR(B335="",C335=""),"",IFERROR(C335*IFERROR(INDEX(Ingredients!$L$5:$L$304,MATCH(B335,Ingredients!$A$5:$A$304,0)),""),""))</f>
        <v>0</v>
      </c>
      <c r="P335" s="8">
        <f>IF(OR(H335="",A335=""),"",IFERROR(H335/SUMIFS('Recipe Ingredients'!$H$5:$H$1204,'Recipe Ingredients'!$A$5:$A$1204,A335),""))</f>
        <v>0</v>
      </c>
      <c r="Q335" s="8">
        <f>IF(H335="","",COUNTIFS($H$5:$H$1204,"&gt;"&amp;H335)+1)</f>
        <v>0</v>
      </c>
      <c r="R335" s="8">
        <f>IF(B335="","",SUMIFS(Pantry!$C$5:$C$304,Pantry!$A$5:$A$304,B335))</f>
        <v>0</v>
      </c>
      <c r="S335" s="8">
        <f>IF(OR(B335="",C335=""),"",MAX(0,C335-R335))</f>
        <v>0</v>
      </c>
      <c r="T335" s="26"/>
      <c r="U335" s="8">
        <f>IF(OR(T335="",T335=0,G335=""),"",T335*G335)</f>
        <v>0</v>
      </c>
      <c r="V335" s="8">
        <f>IF(OR(S335="",T335="",T335=0),"",CEILING(S335/T335,1))</f>
        <v>0</v>
      </c>
      <c r="W335" s="27"/>
      <c r="X335" s="29"/>
      <c r="Y335" s="8">
        <f>IF(OR(C335="",X335=""),"",C335*(1+X335))</f>
        <v>0</v>
      </c>
      <c r="Z335" s="8">
        <f>IF(B335="","",IFERROR(INDEX(Ingredients!$O$5:$O$304,MATCH(B335,Ingredients!$A$5:$A$304,0)),""))</f>
        <v>0</v>
      </c>
      <c r="AA335" s="8">
        <f>IF(B335="","",IF(R335&gt;=C335,"In pantry","To buy"))</f>
        <v>0</v>
      </c>
      <c r="AB335" s="8">
        <f>IF(A335="","",COUNTIFS($A$5:A335,A335))</f>
        <v>0</v>
      </c>
      <c r="AC335" s="8">
        <f>IF(B335="","",IF(COUNTIFS('Dietary Filters'!$C$5:$C$104,B335)&gt;0,"Check","OK"))</f>
        <v>0</v>
      </c>
      <c r="AD335" s="25"/>
    </row>
    <row r="336" spans="1:30">
      <c r="A336" s="7"/>
      <c r="B336" s="7"/>
      <c r="C336" s="26"/>
      <c r="D336" s="27"/>
      <c r="E336" s="8">
        <f>IF(B336="","",IFERROR(INDEX(Ingredients!$B$5:$B$304,MATCH(B336,Ingredients!$A$5:$A$304,0)),""))</f>
        <v>0</v>
      </c>
      <c r="F336" s="8">
        <f>IF(B336="","",IFERROR(INDEX(Ingredients!$E$5:$E$304,MATCH(B336,Ingredients!$A$5:$A$304,0)),""))</f>
        <v>0</v>
      </c>
      <c r="G336" s="8">
        <f>IF(B336="","",IFERROR(INDEX(Ingredients!$D$5:$D$304,MATCH(B336,Ingredients!$A$5:$A$304,0)),""))</f>
        <v>0</v>
      </c>
      <c r="H336" s="8">
        <f>IF(OR(B336="",C336=""),"",IFERROR(C336*G336,""))</f>
        <v>0</v>
      </c>
      <c r="I336" s="8">
        <f>IF(A336="","",IFERROR(INDEX(Recipes!$D$5:$D$204,MATCH(A336,Recipes!$A$5:$A$204,0)),""))</f>
        <v>0</v>
      </c>
      <c r="J336" s="8">
        <f>IF(OR(H336="",I336="",I336=0),"",IFERROR(H336/I336,""))</f>
        <v>0</v>
      </c>
      <c r="K336" s="8">
        <f>IF(OR(B336="",C336=""),"",IFERROR(C336*IFERROR(INDEX(Ingredients!$H$5:$H$304,MATCH(B336,Ingredients!$A$5:$A$304,0)),""),""))</f>
        <v>0</v>
      </c>
      <c r="L336" s="8">
        <f>IF(OR(B336="",C336=""),"",IFERROR(C336*IFERROR(INDEX(Ingredients!$I$5:$I$304,MATCH(B336,Ingredients!$A$5:$A$304,0)),""),""))</f>
        <v>0</v>
      </c>
      <c r="M336" s="8">
        <f>IF(OR(B336="",C336=""),"",IFERROR(C336*IFERROR(INDEX(Ingredients!$J$5:$J$304,MATCH(B336,Ingredients!$A$5:$A$304,0)),""),""))</f>
        <v>0</v>
      </c>
      <c r="N336" s="8">
        <f>IF(OR(B336="",C336=""),"",IFERROR(C336*IFERROR(INDEX(Ingredients!$K$5:$K$304,MATCH(B336,Ingredients!$A$5:$A$304,0)),""),""))</f>
        <v>0</v>
      </c>
      <c r="O336" s="8">
        <f>IF(OR(B336="",C336=""),"",IFERROR(C336*IFERROR(INDEX(Ingredients!$L$5:$L$304,MATCH(B336,Ingredients!$A$5:$A$304,0)),""),""))</f>
        <v>0</v>
      </c>
      <c r="P336" s="8">
        <f>IF(OR(H336="",A336=""),"",IFERROR(H336/SUMIFS('Recipe Ingredients'!$H$5:$H$1204,'Recipe Ingredients'!$A$5:$A$1204,A336),""))</f>
        <v>0</v>
      </c>
      <c r="Q336" s="8">
        <f>IF(H336="","",COUNTIFS($H$5:$H$1204,"&gt;"&amp;H336)+1)</f>
        <v>0</v>
      </c>
      <c r="R336" s="8">
        <f>IF(B336="","",SUMIFS(Pantry!$C$5:$C$304,Pantry!$A$5:$A$304,B336))</f>
        <v>0</v>
      </c>
      <c r="S336" s="8">
        <f>IF(OR(B336="",C336=""),"",MAX(0,C336-R336))</f>
        <v>0</v>
      </c>
      <c r="T336" s="26"/>
      <c r="U336" s="8">
        <f>IF(OR(T336="",T336=0,G336=""),"",T336*G336)</f>
        <v>0</v>
      </c>
      <c r="V336" s="8">
        <f>IF(OR(S336="",T336="",T336=0),"",CEILING(S336/T336,1))</f>
        <v>0</v>
      </c>
      <c r="W336" s="27"/>
      <c r="X336" s="29"/>
      <c r="Y336" s="8">
        <f>IF(OR(C336="",X336=""),"",C336*(1+X336))</f>
        <v>0</v>
      </c>
      <c r="Z336" s="8">
        <f>IF(B336="","",IFERROR(INDEX(Ingredients!$O$5:$O$304,MATCH(B336,Ingredients!$A$5:$A$304,0)),""))</f>
        <v>0</v>
      </c>
      <c r="AA336" s="8">
        <f>IF(B336="","",IF(R336&gt;=C336,"In pantry","To buy"))</f>
        <v>0</v>
      </c>
      <c r="AB336" s="8">
        <f>IF(A336="","",COUNTIFS($A$5:A336,A336))</f>
        <v>0</v>
      </c>
      <c r="AC336" s="8">
        <f>IF(B336="","",IF(COUNTIFS('Dietary Filters'!$C$5:$C$104,B336)&gt;0,"Check","OK"))</f>
        <v>0</v>
      </c>
      <c r="AD336" s="25"/>
    </row>
    <row r="337" spans="1:30">
      <c r="A337" s="7"/>
      <c r="B337" s="7"/>
      <c r="C337" s="26"/>
      <c r="D337" s="27"/>
      <c r="E337" s="8">
        <f>IF(B337="","",IFERROR(INDEX(Ingredients!$B$5:$B$304,MATCH(B337,Ingredients!$A$5:$A$304,0)),""))</f>
        <v>0</v>
      </c>
      <c r="F337" s="8">
        <f>IF(B337="","",IFERROR(INDEX(Ingredients!$E$5:$E$304,MATCH(B337,Ingredients!$A$5:$A$304,0)),""))</f>
        <v>0</v>
      </c>
      <c r="G337" s="8">
        <f>IF(B337="","",IFERROR(INDEX(Ingredients!$D$5:$D$304,MATCH(B337,Ingredients!$A$5:$A$304,0)),""))</f>
        <v>0</v>
      </c>
      <c r="H337" s="8">
        <f>IF(OR(B337="",C337=""),"",IFERROR(C337*G337,""))</f>
        <v>0</v>
      </c>
      <c r="I337" s="8">
        <f>IF(A337="","",IFERROR(INDEX(Recipes!$D$5:$D$204,MATCH(A337,Recipes!$A$5:$A$204,0)),""))</f>
        <v>0</v>
      </c>
      <c r="J337" s="8">
        <f>IF(OR(H337="",I337="",I337=0),"",IFERROR(H337/I337,""))</f>
        <v>0</v>
      </c>
      <c r="K337" s="8">
        <f>IF(OR(B337="",C337=""),"",IFERROR(C337*IFERROR(INDEX(Ingredients!$H$5:$H$304,MATCH(B337,Ingredients!$A$5:$A$304,0)),""),""))</f>
        <v>0</v>
      </c>
      <c r="L337" s="8">
        <f>IF(OR(B337="",C337=""),"",IFERROR(C337*IFERROR(INDEX(Ingredients!$I$5:$I$304,MATCH(B337,Ingredients!$A$5:$A$304,0)),""),""))</f>
        <v>0</v>
      </c>
      <c r="M337" s="8">
        <f>IF(OR(B337="",C337=""),"",IFERROR(C337*IFERROR(INDEX(Ingredients!$J$5:$J$304,MATCH(B337,Ingredients!$A$5:$A$304,0)),""),""))</f>
        <v>0</v>
      </c>
      <c r="N337" s="8">
        <f>IF(OR(B337="",C337=""),"",IFERROR(C337*IFERROR(INDEX(Ingredients!$K$5:$K$304,MATCH(B337,Ingredients!$A$5:$A$304,0)),""),""))</f>
        <v>0</v>
      </c>
      <c r="O337" s="8">
        <f>IF(OR(B337="",C337=""),"",IFERROR(C337*IFERROR(INDEX(Ingredients!$L$5:$L$304,MATCH(B337,Ingredients!$A$5:$A$304,0)),""),""))</f>
        <v>0</v>
      </c>
      <c r="P337" s="8">
        <f>IF(OR(H337="",A337=""),"",IFERROR(H337/SUMIFS('Recipe Ingredients'!$H$5:$H$1204,'Recipe Ingredients'!$A$5:$A$1204,A337),""))</f>
        <v>0</v>
      </c>
      <c r="Q337" s="8">
        <f>IF(H337="","",COUNTIFS($H$5:$H$1204,"&gt;"&amp;H337)+1)</f>
        <v>0</v>
      </c>
      <c r="R337" s="8">
        <f>IF(B337="","",SUMIFS(Pantry!$C$5:$C$304,Pantry!$A$5:$A$304,B337))</f>
        <v>0</v>
      </c>
      <c r="S337" s="8">
        <f>IF(OR(B337="",C337=""),"",MAX(0,C337-R337))</f>
        <v>0</v>
      </c>
      <c r="T337" s="26"/>
      <c r="U337" s="8">
        <f>IF(OR(T337="",T337=0,G337=""),"",T337*G337)</f>
        <v>0</v>
      </c>
      <c r="V337" s="8">
        <f>IF(OR(S337="",T337="",T337=0),"",CEILING(S337/T337,1))</f>
        <v>0</v>
      </c>
      <c r="W337" s="27"/>
      <c r="X337" s="29"/>
      <c r="Y337" s="8">
        <f>IF(OR(C337="",X337=""),"",C337*(1+X337))</f>
        <v>0</v>
      </c>
      <c r="Z337" s="8">
        <f>IF(B337="","",IFERROR(INDEX(Ingredients!$O$5:$O$304,MATCH(B337,Ingredients!$A$5:$A$304,0)),""))</f>
        <v>0</v>
      </c>
      <c r="AA337" s="8">
        <f>IF(B337="","",IF(R337&gt;=C337,"In pantry","To buy"))</f>
        <v>0</v>
      </c>
      <c r="AB337" s="8">
        <f>IF(A337="","",COUNTIFS($A$5:A337,A337))</f>
        <v>0</v>
      </c>
      <c r="AC337" s="8">
        <f>IF(B337="","",IF(COUNTIFS('Dietary Filters'!$C$5:$C$104,B337)&gt;0,"Check","OK"))</f>
        <v>0</v>
      </c>
      <c r="AD337" s="25"/>
    </row>
    <row r="338" spans="1:30">
      <c r="A338" s="7"/>
      <c r="B338" s="7"/>
      <c r="C338" s="26"/>
      <c r="D338" s="27"/>
      <c r="E338" s="8">
        <f>IF(B338="","",IFERROR(INDEX(Ingredients!$B$5:$B$304,MATCH(B338,Ingredients!$A$5:$A$304,0)),""))</f>
        <v>0</v>
      </c>
      <c r="F338" s="8">
        <f>IF(B338="","",IFERROR(INDEX(Ingredients!$E$5:$E$304,MATCH(B338,Ingredients!$A$5:$A$304,0)),""))</f>
        <v>0</v>
      </c>
      <c r="G338" s="8">
        <f>IF(B338="","",IFERROR(INDEX(Ingredients!$D$5:$D$304,MATCH(B338,Ingredients!$A$5:$A$304,0)),""))</f>
        <v>0</v>
      </c>
      <c r="H338" s="8">
        <f>IF(OR(B338="",C338=""),"",IFERROR(C338*G338,""))</f>
        <v>0</v>
      </c>
      <c r="I338" s="8">
        <f>IF(A338="","",IFERROR(INDEX(Recipes!$D$5:$D$204,MATCH(A338,Recipes!$A$5:$A$204,0)),""))</f>
        <v>0</v>
      </c>
      <c r="J338" s="8">
        <f>IF(OR(H338="",I338="",I338=0),"",IFERROR(H338/I338,""))</f>
        <v>0</v>
      </c>
      <c r="K338" s="8">
        <f>IF(OR(B338="",C338=""),"",IFERROR(C338*IFERROR(INDEX(Ingredients!$H$5:$H$304,MATCH(B338,Ingredients!$A$5:$A$304,0)),""),""))</f>
        <v>0</v>
      </c>
      <c r="L338" s="8">
        <f>IF(OR(B338="",C338=""),"",IFERROR(C338*IFERROR(INDEX(Ingredients!$I$5:$I$304,MATCH(B338,Ingredients!$A$5:$A$304,0)),""),""))</f>
        <v>0</v>
      </c>
      <c r="M338" s="8">
        <f>IF(OR(B338="",C338=""),"",IFERROR(C338*IFERROR(INDEX(Ingredients!$J$5:$J$304,MATCH(B338,Ingredients!$A$5:$A$304,0)),""),""))</f>
        <v>0</v>
      </c>
      <c r="N338" s="8">
        <f>IF(OR(B338="",C338=""),"",IFERROR(C338*IFERROR(INDEX(Ingredients!$K$5:$K$304,MATCH(B338,Ingredients!$A$5:$A$304,0)),""),""))</f>
        <v>0</v>
      </c>
      <c r="O338" s="8">
        <f>IF(OR(B338="",C338=""),"",IFERROR(C338*IFERROR(INDEX(Ingredients!$L$5:$L$304,MATCH(B338,Ingredients!$A$5:$A$304,0)),""),""))</f>
        <v>0</v>
      </c>
      <c r="P338" s="8">
        <f>IF(OR(H338="",A338=""),"",IFERROR(H338/SUMIFS('Recipe Ingredients'!$H$5:$H$1204,'Recipe Ingredients'!$A$5:$A$1204,A338),""))</f>
        <v>0</v>
      </c>
      <c r="Q338" s="8">
        <f>IF(H338="","",COUNTIFS($H$5:$H$1204,"&gt;"&amp;H338)+1)</f>
        <v>0</v>
      </c>
      <c r="R338" s="8">
        <f>IF(B338="","",SUMIFS(Pantry!$C$5:$C$304,Pantry!$A$5:$A$304,B338))</f>
        <v>0</v>
      </c>
      <c r="S338" s="8">
        <f>IF(OR(B338="",C338=""),"",MAX(0,C338-R338))</f>
        <v>0</v>
      </c>
      <c r="T338" s="26"/>
      <c r="U338" s="8">
        <f>IF(OR(T338="",T338=0,G338=""),"",T338*G338)</f>
        <v>0</v>
      </c>
      <c r="V338" s="8">
        <f>IF(OR(S338="",T338="",T338=0),"",CEILING(S338/T338,1))</f>
        <v>0</v>
      </c>
      <c r="W338" s="27"/>
      <c r="X338" s="29"/>
      <c r="Y338" s="8">
        <f>IF(OR(C338="",X338=""),"",C338*(1+X338))</f>
        <v>0</v>
      </c>
      <c r="Z338" s="8">
        <f>IF(B338="","",IFERROR(INDEX(Ingredients!$O$5:$O$304,MATCH(B338,Ingredients!$A$5:$A$304,0)),""))</f>
        <v>0</v>
      </c>
      <c r="AA338" s="8">
        <f>IF(B338="","",IF(R338&gt;=C338,"In pantry","To buy"))</f>
        <v>0</v>
      </c>
      <c r="AB338" s="8">
        <f>IF(A338="","",COUNTIFS($A$5:A338,A338))</f>
        <v>0</v>
      </c>
      <c r="AC338" s="8">
        <f>IF(B338="","",IF(COUNTIFS('Dietary Filters'!$C$5:$C$104,B338)&gt;0,"Check","OK"))</f>
        <v>0</v>
      </c>
      <c r="AD338" s="25"/>
    </row>
    <row r="339" spans="1:30">
      <c r="A339" s="7"/>
      <c r="B339" s="7"/>
      <c r="C339" s="26"/>
      <c r="D339" s="27"/>
      <c r="E339" s="8">
        <f>IF(B339="","",IFERROR(INDEX(Ingredients!$B$5:$B$304,MATCH(B339,Ingredients!$A$5:$A$304,0)),""))</f>
        <v>0</v>
      </c>
      <c r="F339" s="8">
        <f>IF(B339="","",IFERROR(INDEX(Ingredients!$E$5:$E$304,MATCH(B339,Ingredients!$A$5:$A$304,0)),""))</f>
        <v>0</v>
      </c>
      <c r="G339" s="8">
        <f>IF(B339="","",IFERROR(INDEX(Ingredients!$D$5:$D$304,MATCH(B339,Ingredients!$A$5:$A$304,0)),""))</f>
        <v>0</v>
      </c>
      <c r="H339" s="8">
        <f>IF(OR(B339="",C339=""),"",IFERROR(C339*G339,""))</f>
        <v>0</v>
      </c>
      <c r="I339" s="8">
        <f>IF(A339="","",IFERROR(INDEX(Recipes!$D$5:$D$204,MATCH(A339,Recipes!$A$5:$A$204,0)),""))</f>
        <v>0</v>
      </c>
      <c r="J339" s="8">
        <f>IF(OR(H339="",I339="",I339=0),"",IFERROR(H339/I339,""))</f>
        <v>0</v>
      </c>
      <c r="K339" s="8">
        <f>IF(OR(B339="",C339=""),"",IFERROR(C339*IFERROR(INDEX(Ingredients!$H$5:$H$304,MATCH(B339,Ingredients!$A$5:$A$304,0)),""),""))</f>
        <v>0</v>
      </c>
      <c r="L339" s="8">
        <f>IF(OR(B339="",C339=""),"",IFERROR(C339*IFERROR(INDEX(Ingredients!$I$5:$I$304,MATCH(B339,Ingredients!$A$5:$A$304,0)),""),""))</f>
        <v>0</v>
      </c>
      <c r="M339" s="8">
        <f>IF(OR(B339="",C339=""),"",IFERROR(C339*IFERROR(INDEX(Ingredients!$J$5:$J$304,MATCH(B339,Ingredients!$A$5:$A$304,0)),""),""))</f>
        <v>0</v>
      </c>
      <c r="N339" s="8">
        <f>IF(OR(B339="",C339=""),"",IFERROR(C339*IFERROR(INDEX(Ingredients!$K$5:$K$304,MATCH(B339,Ingredients!$A$5:$A$304,0)),""),""))</f>
        <v>0</v>
      </c>
      <c r="O339" s="8">
        <f>IF(OR(B339="",C339=""),"",IFERROR(C339*IFERROR(INDEX(Ingredients!$L$5:$L$304,MATCH(B339,Ingredients!$A$5:$A$304,0)),""),""))</f>
        <v>0</v>
      </c>
      <c r="P339" s="8">
        <f>IF(OR(H339="",A339=""),"",IFERROR(H339/SUMIFS('Recipe Ingredients'!$H$5:$H$1204,'Recipe Ingredients'!$A$5:$A$1204,A339),""))</f>
        <v>0</v>
      </c>
      <c r="Q339" s="8">
        <f>IF(H339="","",COUNTIFS($H$5:$H$1204,"&gt;"&amp;H339)+1)</f>
        <v>0</v>
      </c>
      <c r="R339" s="8">
        <f>IF(B339="","",SUMIFS(Pantry!$C$5:$C$304,Pantry!$A$5:$A$304,B339))</f>
        <v>0</v>
      </c>
      <c r="S339" s="8">
        <f>IF(OR(B339="",C339=""),"",MAX(0,C339-R339))</f>
        <v>0</v>
      </c>
      <c r="T339" s="26"/>
      <c r="U339" s="8">
        <f>IF(OR(T339="",T339=0,G339=""),"",T339*G339)</f>
        <v>0</v>
      </c>
      <c r="V339" s="8">
        <f>IF(OR(S339="",T339="",T339=0),"",CEILING(S339/T339,1))</f>
        <v>0</v>
      </c>
      <c r="W339" s="27"/>
      <c r="X339" s="29"/>
      <c r="Y339" s="8">
        <f>IF(OR(C339="",X339=""),"",C339*(1+X339))</f>
        <v>0</v>
      </c>
      <c r="Z339" s="8">
        <f>IF(B339="","",IFERROR(INDEX(Ingredients!$O$5:$O$304,MATCH(B339,Ingredients!$A$5:$A$304,0)),""))</f>
        <v>0</v>
      </c>
      <c r="AA339" s="8">
        <f>IF(B339="","",IF(R339&gt;=C339,"In pantry","To buy"))</f>
        <v>0</v>
      </c>
      <c r="AB339" s="8">
        <f>IF(A339="","",COUNTIFS($A$5:A339,A339))</f>
        <v>0</v>
      </c>
      <c r="AC339" s="8">
        <f>IF(B339="","",IF(COUNTIFS('Dietary Filters'!$C$5:$C$104,B339)&gt;0,"Check","OK"))</f>
        <v>0</v>
      </c>
      <c r="AD339" s="25"/>
    </row>
    <row r="340" spans="1:30">
      <c r="A340" s="7"/>
      <c r="B340" s="7"/>
      <c r="C340" s="26"/>
      <c r="D340" s="27"/>
      <c r="E340" s="8">
        <f>IF(B340="","",IFERROR(INDEX(Ingredients!$B$5:$B$304,MATCH(B340,Ingredients!$A$5:$A$304,0)),""))</f>
        <v>0</v>
      </c>
      <c r="F340" s="8">
        <f>IF(B340="","",IFERROR(INDEX(Ingredients!$E$5:$E$304,MATCH(B340,Ingredients!$A$5:$A$304,0)),""))</f>
        <v>0</v>
      </c>
      <c r="G340" s="8">
        <f>IF(B340="","",IFERROR(INDEX(Ingredients!$D$5:$D$304,MATCH(B340,Ingredients!$A$5:$A$304,0)),""))</f>
        <v>0</v>
      </c>
      <c r="H340" s="8">
        <f>IF(OR(B340="",C340=""),"",IFERROR(C340*G340,""))</f>
        <v>0</v>
      </c>
      <c r="I340" s="8">
        <f>IF(A340="","",IFERROR(INDEX(Recipes!$D$5:$D$204,MATCH(A340,Recipes!$A$5:$A$204,0)),""))</f>
        <v>0</v>
      </c>
      <c r="J340" s="8">
        <f>IF(OR(H340="",I340="",I340=0),"",IFERROR(H340/I340,""))</f>
        <v>0</v>
      </c>
      <c r="K340" s="8">
        <f>IF(OR(B340="",C340=""),"",IFERROR(C340*IFERROR(INDEX(Ingredients!$H$5:$H$304,MATCH(B340,Ingredients!$A$5:$A$304,0)),""),""))</f>
        <v>0</v>
      </c>
      <c r="L340" s="8">
        <f>IF(OR(B340="",C340=""),"",IFERROR(C340*IFERROR(INDEX(Ingredients!$I$5:$I$304,MATCH(B340,Ingredients!$A$5:$A$304,0)),""),""))</f>
        <v>0</v>
      </c>
      <c r="M340" s="8">
        <f>IF(OR(B340="",C340=""),"",IFERROR(C340*IFERROR(INDEX(Ingredients!$J$5:$J$304,MATCH(B340,Ingredients!$A$5:$A$304,0)),""),""))</f>
        <v>0</v>
      </c>
      <c r="N340" s="8">
        <f>IF(OR(B340="",C340=""),"",IFERROR(C340*IFERROR(INDEX(Ingredients!$K$5:$K$304,MATCH(B340,Ingredients!$A$5:$A$304,0)),""),""))</f>
        <v>0</v>
      </c>
      <c r="O340" s="8">
        <f>IF(OR(B340="",C340=""),"",IFERROR(C340*IFERROR(INDEX(Ingredients!$L$5:$L$304,MATCH(B340,Ingredients!$A$5:$A$304,0)),""),""))</f>
        <v>0</v>
      </c>
      <c r="P340" s="8">
        <f>IF(OR(H340="",A340=""),"",IFERROR(H340/SUMIFS('Recipe Ingredients'!$H$5:$H$1204,'Recipe Ingredients'!$A$5:$A$1204,A340),""))</f>
        <v>0</v>
      </c>
      <c r="Q340" s="8">
        <f>IF(H340="","",COUNTIFS($H$5:$H$1204,"&gt;"&amp;H340)+1)</f>
        <v>0</v>
      </c>
      <c r="R340" s="8">
        <f>IF(B340="","",SUMIFS(Pantry!$C$5:$C$304,Pantry!$A$5:$A$304,B340))</f>
        <v>0</v>
      </c>
      <c r="S340" s="8">
        <f>IF(OR(B340="",C340=""),"",MAX(0,C340-R340))</f>
        <v>0</v>
      </c>
      <c r="T340" s="26"/>
      <c r="U340" s="8">
        <f>IF(OR(T340="",T340=0,G340=""),"",T340*G340)</f>
        <v>0</v>
      </c>
      <c r="V340" s="8">
        <f>IF(OR(S340="",T340="",T340=0),"",CEILING(S340/T340,1))</f>
        <v>0</v>
      </c>
      <c r="W340" s="27"/>
      <c r="X340" s="29"/>
      <c r="Y340" s="8">
        <f>IF(OR(C340="",X340=""),"",C340*(1+X340))</f>
        <v>0</v>
      </c>
      <c r="Z340" s="8">
        <f>IF(B340="","",IFERROR(INDEX(Ingredients!$O$5:$O$304,MATCH(B340,Ingredients!$A$5:$A$304,0)),""))</f>
        <v>0</v>
      </c>
      <c r="AA340" s="8">
        <f>IF(B340="","",IF(R340&gt;=C340,"In pantry","To buy"))</f>
        <v>0</v>
      </c>
      <c r="AB340" s="8">
        <f>IF(A340="","",COUNTIFS($A$5:A340,A340))</f>
        <v>0</v>
      </c>
      <c r="AC340" s="8">
        <f>IF(B340="","",IF(COUNTIFS('Dietary Filters'!$C$5:$C$104,B340)&gt;0,"Check","OK"))</f>
        <v>0</v>
      </c>
      <c r="AD340" s="25"/>
    </row>
    <row r="341" spans="1:30">
      <c r="A341" s="7"/>
      <c r="B341" s="7"/>
      <c r="C341" s="26"/>
      <c r="D341" s="27"/>
      <c r="E341" s="8">
        <f>IF(B341="","",IFERROR(INDEX(Ingredients!$B$5:$B$304,MATCH(B341,Ingredients!$A$5:$A$304,0)),""))</f>
        <v>0</v>
      </c>
      <c r="F341" s="8">
        <f>IF(B341="","",IFERROR(INDEX(Ingredients!$E$5:$E$304,MATCH(B341,Ingredients!$A$5:$A$304,0)),""))</f>
        <v>0</v>
      </c>
      <c r="G341" s="8">
        <f>IF(B341="","",IFERROR(INDEX(Ingredients!$D$5:$D$304,MATCH(B341,Ingredients!$A$5:$A$304,0)),""))</f>
        <v>0</v>
      </c>
      <c r="H341" s="8">
        <f>IF(OR(B341="",C341=""),"",IFERROR(C341*G341,""))</f>
        <v>0</v>
      </c>
      <c r="I341" s="8">
        <f>IF(A341="","",IFERROR(INDEX(Recipes!$D$5:$D$204,MATCH(A341,Recipes!$A$5:$A$204,0)),""))</f>
        <v>0</v>
      </c>
      <c r="J341" s="8">
        <f>IF(OR(H341="",I341="",I341=0),"",IFERROR(H341/I341,""))</f>
        <v>0</v>
      </c>
      <c r="K341" s="8">
        <f>IF(OR(B341="",C341=""),"",IFERROR(C341*IFERROR(INDEX(Ingredients!$H$5:$H$304,MATCH(B341,Ingredients!$A$5:$A$304,0)),""),""))</f>
        <v>0</v>
      </c>
      <c r="L341" s="8">
        <f>IF(OR(B341="",C341=""),"",IFERROR(C341*IFERROR(INDEX(Ingredients!$I$5:$I$304,MATCH(B341,Ingredients!$A$5:$A$304,0)),""),""))</f>
        <v>0</v>
      </c>
      <c r="M341" s="8">
        <f>IF(OR(B341="",C341=""),"",IFERROR(C341*IFERROR(INDEX(Ingredients!$J$5:$J$304,MATCH(B341,Ingredients!$A$5:$A$304,0)),""),""))</f>
        <v>0</v>
      </c>
      <c r="N341" s="8">
        <f>IF(OR(B341="",C341=""),"",IFERROR(C341*IFERROR(INDEX(Ingredients!$K$5:$K$304,MATCH(B341,Ingredients!$A$5:$A$304,0)),""),""))</f>
        <v>0</v>
      </c>
      <c r="O341" s="8">
        <f>IF(OR(B341="",C341=""),"",IFERROR(C341*IFERROR(INDEX(Ingredients!$L$5:$L$304,MATCH(B341,Ingredients!$A$5:$A$304,0)),""),""))</f>
        <v>0</v>
      </c>
      <c r="P341" s="8">
        <f>IF(OR(H341="",A341=""),"",IFERROR(H341/SUMIFS('Recipe Ingredients'!$H$5:$H$1204,'Recipe Ingredients'!$A$5:$A$1204,A341),""))</f>
        <v>0</v>
      </c>
      <c r="Q341" s="8">
        <f>IF(H341="","",COUNTIFS($H$5:$H$1204,"&gt;"&amp;H341)+1)</f>
        <v>0</v>
      </c>
      <c r="R341" s="8">
        <f>IF(B341="","",SUMIFS(Pantry!$C$5:$C$304,Pantry!$A$5:$A$304,B341))</f>
        <v>0</v>
      </c>
      <c r="S341" s="8">
        <f>IF(OR(B341="",C341=""),"",MAX(0,C341-R341))</f>
        <v>0</v>
      </c>
      <c r="T341" s="26"/>
      <c r="U341" s="8">
        <f>IF(OR(T341="",T341=0,G341=""),"",T341*G341)</f>
        <v>0</v>
      </c>
      <c r="V341" s="8">
        <f>IF(OR(S341="",T341="",T341=0),"",CEILING(S341/T341,1))</f>
        <v>0</v>
      </c>
      <c r="W341" s="27"/>
      <c r="X341" s="29"/>
      <c r="Y341" s="8">
        <f>IF(OR(C341="",X341=""),"",C341*(1+X341))</f>
        <v>0</v>
      </c>
      <c r="Z341" s="8">
        <f>IF(B341="","",IFERROR(INDEX(Ingredients!$O$5:$O$304,MATCH(B341,Ingredients!$A$5:$A$304,0)),""))</f>
        <v>0</v>
      </c>
      <c r="AA341" s="8">
        <f>IF(B341="","",IF(R341&gt;=C341,"In pantry","To buy"))</f>
        <v>0</v>
      </c>
      <c r="AB341" s="8">
        <f>IF(A341="","",COUNTIFS($A$5:A341,A341))</f>
        <v>0</v>
      </c>
      <c r="AC341" s="8">
        <f>IF(B341="","",IF(COUNTIFS('Dietary Filters'!$C$5:$C$104,B341)&gt;0,"Check","OK"))</f>
        <v>0</v>
      </c>
      <c r="AD341" s="25"/>
    </row>
    <row r="342" spans="1:30">
      <c r="A342" s="7"/>
      <c r="B342" s="7"/>
      <c r="C342" s="26"/>
      <c r="D342" s="27"/>
      <c r="E342" s="8">
        <f>IF(B342="","",IFERROR(INDEX(Ingredients!$B$5:$B$304,MATCH(B342,Ingredients!$A$5:$A$304,0)),""))</f>
        <v>0</v>
      </c>
      <c r="F342" s="8">
        <f>IF(B342="","",IFERROR(INDEX(Ingredients!$E$5:$E$304,MATCH(B342,Ingredients!$A$5:$A$304,0)),""))</f>
        <v>0</v>
      </c>
      <c r="G342" s="8">
        <f>IF(B342="","",IFERROR(INDEX(Ingredients!$D$5:$D$304,MATCH(B342,Ingredients!$A$5:$A$304,0)),""))</f>
        <v>0</v>
      </c>
      <c r="H342" s="8">
        <f>IF(OR(B342="",C342=""),"",IFERROR(C342*G342,""))</f>
        <v>0</v>
      </c>
      <c r="I342" s="8">
        <f>IF(A342="","",IFERROR(INDEX(Recipes!$D$5:$D$204,MATCH(A342,Recipes!$A$5:$A$204,0)),""))</f>
        <v>0</v>
      </c>
      <c r="J342" s="8">
        <f>IF(OR(H342="",I342="",I342=0),"",IFERROR(H342/I342,""))</f>
        <v>0</v>
      </c>
      <c r="K342" s="8">
        <f>IF(OR(B342="",C342=""),"",IFERROR(C342*IFERROR(INDEX(Ingredients!$H$5:$H$304,MATCH(B342,Ingredients!$A$5:$A$304,0)),""),""))</f>
        <v>0</v>
      </c>
      <c r="L342" s="8">
        <f>IF(OR(B342="",C342=""),"",IFERROR(C342*IFERROR(INDEX(Ingredients!$I$5:$I$304,MATCH(B342,Ingredients!$A$5:$A$304,0)),""),""))</f>
        <v>0</v>
      </c>
      <c r="M342" s="8">
        <f>IF(OR(B342="",C342=""),"",IFERROR(C342*IFERROR(INDEX(Ingredients!$J$5:$J$304,MATCH(B342,Ingredients!$A$5:$A$304,0)),""),""))</f>
        <v>0</v>
      </c>
      <c r="N342" s="8">
        <f>IF(OR(B342="",C342=""),"",IFERROR(C342*IFERROR(INDEX(Ingredients!$K$5:$K$304,MATCH(B342,Ingredients!$A$5:$A$304,0)),""),""))</f>
        <v>0</v>
      </c>
      <c r="O342" s="8">
        <f>IF(OR(B342="",C342=""),"",IFERROR(C342*IFERROR(INDEX(Ingredients!$L$5:$L$304,MATCH(B342,Ingredients!$A$5:$A$304,0)),""),""))</f>
        <v>0</v>
      </c>
      <c r="P342" s="8">
        <f>IF(OR(H342="",A342=""),"",IFERROR(H342/SUMIFS('Recipe Ingredients'!$H$5:$H$1204,'Recipe Ingredients'!$A$5:$A$1204,A342),""))</f>
        <v>0</v>
      </c>
      <c r="Q342" s="8">
        <f>IF(H342="","",COUNTIFS($H$5:$H$1204,"&gt;"&amp;H342)+1)</f>
        <v>0</v>
      </c>
      <c r="R342" s="8">
        <f>IF(B342="","",SUMIFS(Pantry!$C$5:$C$304,Pantry!$A$5:$A$304,B342))</f>
        <v>0</v>
      </c>
      <c r="S342" s="8">
        <f>IF(OR(B342="",C342=""),"",MAX(0,C342-R342))</f>
        <v>0</v>
      </c>
      <c r="T342" s="26"/>
      <c r="U342" s="8">
        <f>IF(OR(T342="",T342=0,G342=""),"",T342*G342)</f>
        <v>0</v>
      </c>
      <c r="V342" s="8">
        <f>IF(OR(S342="",T342="",T342=0),"",CEILING(S342/T342,1))</f>
        <v>0</v>
      </c>
      <c r="W342" s="27"/>
      <c r="X342" s="29"/>
      <c r="Y342" s="8">
        <f>IF(OR(C342="",X342=""),"",C342*(1+X342))</f>
        <v>0</v>
      </c>
      <c r="Z342" s="8">
        <f>IF(B342="","",IFERROR(INDEX(Ingredients!$O$5:$O$304,MATCH(B342,Ingredients!$A$5:$A$304,0)),""))</f>
        <v>0</v>
      </c>
      <c r="AA342" s="8">
        <f>IF(B342="","",IF(R342&gt;=C342,"In pantry","To buy"))</f>
        <v>0</v>
      </c>
      <c r="AB342" s="8">
        <f>IF(A342="","",COUNTIFS($A$5:A342,A342))</f>
        <v>0</v>
      </c>
      <c r="AC342" s="8">
        <f>IF(B342="","",IF(COUNTIFS('Dietary Filters'!$C$5:$C$104,B342)&gt;0,"Check","OK"))</f>
        <v>0</v>
      </c>
      <c r="AD342" s="25"/>
    </row>
    <row r="343" spans="1:30">
      <c r="A343" s="7"/>
      <c r="B343" s="7"/>
      <c r="C343" s="26"/>
      <c r="D343" s="27"/>
      <c r="E343" s="8">
        <f>IF(B343="","",IFERROR(INDEX(Ingredients!$B$5:$B$304,MATCH(B343,Ingredients!$A$5:$A$304,0)),""))</f>
        <v>0</v>
      </c>
      <c r="F343" s="8">
        <f>IF(B343="","",IFERROR(INDEX(Ingredients!$E$5:$E$304,MATCH(B343,Ingredients!$A$5:$A$304,0)),""))</f>
        <v>0</v>
      </c>
      <c r="G343" s="8">
        <f>IF(B343="","",IFERROR(INDEX(Ingredients!$D$5:$D$304,MATCH(B343,Ingredients!$A$5:$A$304,0)),""))</f>
        <v>0</v>
      </c>
      <c r="H343" s="8">
        <f>IF(OR(B343="",C343=""),"",IFERROR(C343*G343,""))</f>
        <v>0</v>
      </c>
      <c r="I343" s="8">
        <f>IF(A343="","",IFERROR(INDEX(Recipes!$D$5:$D$204,MATCH(A343,Recipes!$A$5:$A$204,0)),""))</f>
        <v>0</v>
      </c>
      <c r="J343" s="8">
        <f>IF(OR(H343="",I343="",I343=0),"",IFERROR(H343/I343,""))</f>
        <v>0</v>
      </c>
      <c r="K343" s="8">
        <f>IF(OR(B343="",C343=""),"",IFERROR(C343*IFERROR(INDEX(Ingredients!$H$5:$H$304,MATCH(B343,Ingredients!$A$5:$A$304,0)),""),""))</f>
        <v>0</v>
      </c>
      <c r="L343" s="8">
        <f>IF(OR(B343="",C343=""),"",IFERROR(C343*IFERROR(INDEX(Ingredients!$I$5:$I$304,MATCH(B343,Ingredients!$A$5:$A$304,0)),""),""))</f>
        <v>0</v>
      </c>
      <c r="M343" s="8">
        <f>IF(OR(B343="",C343=""),"",IFERROR(C343*IFERROR(INDEX(Ingredients!$J$5:$J$304,MATCH(B343,Ingredients!$A$5:$A$304,0)),""),""))</f>
        <v>0</v>
      </c>
      <c r="N343" s="8">
        <f>IF(OR(B343="",C343=""),"",IFERROR(C343*IFERROR(INDEX(Ingredients!$K$5:$K$304,MATCH(B343,Ingredients!$A$5:$A$304,0)),""),""))</f>
        <v>0</v>
      </c>
      <c r="O343" s="8">
        <f>IF(OR(B343="",C343=""),"",IFERROR(C343*IFERROR(INDEX(Ingredients!$L$5:$L$304,MATCH(B343,Ingredients!$A$5:$A$304,0)),""),""))</f>
        <v>0</v>
      </c>
      <c r="P343" s="8">
        <f>IF(OR(H343="",A343=""),"",IFERROR(H343/SUMIFS('Recipe Ingredients'!$H$5:$H$1204,'Recipe Ingredients'!$A$5:$A$1204,A343),""))</f>
        <v>0</v>
      </c>
      <c r="Q343" s="8">
        <f>IF(H343="","",COUNTIFS($H$5:$H$1204,"&gt;"&amp;H343)+1)</f>
        <v>0</v>
      </c>
      <c r="R343" s="8">
        <f>IF(B343="","",SUMIFS(Pantry!$C$5:$C$304,Pantry!$A$5:$A$304,B343))</f>
        <v>0</v>
      </c>
      <c r="S343" s="8">
        <f>IF(OR(B343="",C343=""),"",MAX(0,C343-R343))</f>
        <v>0</v>
      </c>
      <c r="T343" s="26"/>
      <c r="U343" s="8">
        <f>IF(OR(T343="",T343=0,G343=""),"",T343*G343)</f>
        <v>0</v>
      </c>
      <c r="V343" s="8">
        <f>IF(OR(S343="",T343="",T343=0),"",CEILING(S343/T343,1))</f>
        <v>0</v>
      </c>
      <c r="W343" s="27"/>
      <c r="X343" s="29"/>
      <c r="Y343" s="8">
        <f>IF(OR(C343="",X343=""),"",C343*(1+X343))</f>
        <v>0</v>
      </c>
      <c r="Z343" s="8">
        <f>IF(B343="","",IFERROR(INDEX(Ingredients!$O$5:$O$304,MATCH(B343,Ingredients!$A$5:$A$304,0)),""))</f>
        <v>0</v>
      </c>
      <c r="AA343" s="8">
        <f>IF(B343="","",IF(R343&gt;=C343,"In pantry","To buy"))</f>
        <v>0</v>
      </c>
      <c r="AB343" s="8">
        <f>IF(A343="","",COUNTIFS($A$5:A343,A343))</f>
        <v>0</v>
      </c>
      <c r="AC343" s="8">
        <f>IF(B343="","",IF(COUNTIFS('Dietary Filters'!$C$5:$C$104,B343)&gt;0,"Check","OK"))</f>
        <v>0</v>
      </c>
      <c r="AD343" s="25"/>
    </row>
    <row r="344" spans="1:30">
      <c r="A344" s="7"/>
      <c r="B344" s="7"/>
      <c r="C344" s="26"/>
      <c r="D344" s="27"/>
      <c r="E344" s="8">
        <f>IF(B344="","",IFERROR(INDEX(Ingredients!$B$5:$B$304,MATCH(B344,Ingredients!$A$5:$A$304,0)),""))</f>
        <v>0</v>
      </c>
      <c r="F344" s="8">
        <f>IF(B344="","",IFERROR(INDEX(Ingredients!$E$5:$E$304,MATCH(B344,Ingredients!$A$5:$A$304,0)),""))</f>
        <v>0</v>
      </c>
      <c r="G344" s="8">
        <f>IF(B344="","",IFERROR(INDEX(Ingredients!$D$5:$D$304,MATCH(B344,Ingredients!$A$5:$A$304,0)),""))</f>
        <v>0</v>
      </c>
      <c r="H344" s="8">
        <f>IF(OR(B344="",C344=""),"",IFERROR(C344*G344,""))</f>
        <v>0</v>
      </c>
      <c r="I344" s="8">
        <f>IF(A344="","",IFERROR(INDEX(Recipes!$D$5:$D$204,MATCH(A344,Recipes!$A$5:$A$204,0)),""))</f>
        <v>0</v>
      </c>
      <c r="J344" s="8">
        <f>IF(OR(H344="",I344="",I344=0),"",IFERROR(H344/I344,""))</f>
        <v>0</v>
      </c>
      <c r="K344" s="8">
        <f>IF(OR(B344="",C344=""),"",IFERROR(C344*IFERROR(INDEX(Ingredients!$H$5:$H$304,MATCH(B344,Ingredients!$A$5:$A$304,0)),""),""))</f>
        <v>0</v>
      </c>
      <c r="L344" s="8">
        <f>IF(OR(B344="",C344=""),"",IFERROR(C344*IFERROR(INDEX(Ingredients!$I$5:$I$304,MATCH(B344,Ingredients!$A$5:$A$304,0)),""),""))</f>
        <v>0</v>
      </c>
      <c r="M344" s="8">
        <f>IF(OR(B344="",C344=""),"",IFERROR(C344*IFERROR(INDEX(Ingredients!$J$5:$J$304,MATCH(B344,Ingredients!$A$5:$A$304,0)),""),""))</f>
        <v>0</v>
      </c>
      <c r="N344" s="8">
        <f>IF(OR(B344="",C344=""),"",IFERROR(C344*IFERROR(INDEX(Ingredients!$K$5:$K$304,MATCH(B344,Ingredients!$A$5:$A$304,0)),""),""))</f>
        <v>0</v>
      </c>
      <c r="O344" s="8">
        <f>IF(OR(B344="",C344=""),"",IFERROR(C344*IFERROR(INDEX(Ingredients!$L$5:$L$304,MATCH(B344,Ingredients!$A$5:$A$304,0)),""),""))</f>
        <v>0</v>
      </c>
      <c r="P344" s="8">
        <f>IF(OR(H344="",A344=""),"",IFERROR(H344/SUMIFS('Recipe Ingredients'!$H$5:$H$1204,'Recipe Ingredients'!$A$5:$A$1204,A344),""))</f>
        <v>0</v>
      </c>
      <c r="Q344" s="8">
        <f>IF(H344="","",COUNTIFS($H$5:$H$1204,"&gt;"&amp;H344)+1)</f>
        <v>0</v>
      </c>
      <c r="R344" s="8">
        <f>IF(B344="","",SUMIFS(Pantry!$C$5:$C$304,Pantry!$A$5:$A$304,B344))</f>
        <v>0</v>
      </c>
      <c r="S344" s="8">
        <f>IF(OR(B344="",C344=""),"",MAX(0,C344-R344))</f>
        <v>0</v>
      </c>
      <c r="T344" s="26"/>
      <c r="U344" s="8">
        <f>IF(OR(T344="",T344=0,G344=""),"",T344*G344)</f>
        <v>0</v>
      </c>
      <c r="V344" s="8">
        <f>IF(OR(S344="",T344="",T344=0),"",CEILING(S344/T344,1))</f>
        <v>0</v>
      </c>
      <c r="W344" s="27"/>
      <c r="X344" s="29"/>
      <c r="Y344" s="8">
        <f>IF(OR(C344="",X344=""),"",C344*(1+X344))</f>
        <v>0</v>
      </c>
      <c r="Z344" s="8">
        <f>IF(B344="","",IFERROR(INDEX(Ingredients!$O$5:$O$304,MATCH(B344,Ingredients!$A$5:$A$304,0)),""))</f>
        <v>0</v>
      </c>
      <c r="AA344" s="8">
        <f>IF(B344="","",IF(R344&gt;=C344,"In pantry","To buy"))</f>
        <v>0</v>
      </c>
      <c r="AB344" s="8">
        <f>IF(A344="","",COUNTIFS($A$5:A344,A344))</f>
        <v>0</v>
      </c>
      <c r="AC344" s="8">
        <f>IF(B344="","",IF(COUNTIFS('Dietary Filters'!$C$5:$C$104,B344)&gt;0,"Check","OK"))</f>
        <v>0</v>
      </c>
      <c r="AD344" s="25"/>
    </row>
    <row r="345" spans="1:30">
      <c r="A345" s="7"/>
      <c r="B345" s="7"/>
      <c r="C345" s="26"/>
      <c r="D345" s="27"/>
      <c r="E345" s="8">
        <f>IF(B345="","",IFERROR(INDEX(Ingredients!$B$5:$B$304,MATCH(B345,Ingredients!$A$5:$A$304,0)),""))</f>
        <v>0</v>
      </c>
      <c r="F345" s="8">
        <f>IF(B345="","",IFERROR(INDEX(Ingredients!$E$5:$E$304,MATCH(B345,Ingredients!$A$5:$A$304,0)),""))</f>
        <v>0</v>
      </c>
      <c r="G345" s="8">
        <f>IF(B345="","",IFERROR(INDEX(Ingredients!$D$5:$D$304,MATCH(B345,Ingredients!$A$5:$A$304,0)),""))</f>
        <v>0</v>
      </c>
      <c r="H345" s="8">
        <f>IF(OR(B345="",C345=""),"",IFERROR(C345*G345,""))</f>
        <v>0</v>
      </c>
      <c r="I345" s="8">
        <f>IF(A345="","",IFERROR(INDEX(Recipes!$D$5:$D$204,MATCH(A345,Recipes!$A$5:$A$204,0)),""))</f>
        <v>0</v>
      </c>
      <c r="J345" s="8">
        <f>IF(OR(H345="",I345="",I345=0),"",IFERROR(H345/I345,""))</f>
        <v>0</v>
      </c>
      <c r="K345" s="8">
        <f>IF(OR(B345="",C345=""),"",IFERROR(C345*IFERROR(INDEX(Ingredients!$H$5:$H$304,MATCH(B345,Ingredients!$A$5:$A$304,0)),""),""))</f>
        <v>0</v>
      </c>
      <c r="L345" s="8">
        <f>IF(OR(B345="",C345=""),"",IFERROR(C345*IFERROR(INDEX(Ingredients!$I$5:$I$304,MATCH(B345,Ingredients!$A$5:$A$304,0)),""),""))</f>
        <v>0</v>
      </c>
      <c r="M345" s="8">
        <f>IF(OR(B345="",C345=""),"",IFERROR(C345*IFERROR(INDEX(Ingredients!$J$5:$J$304,MATCH(B345,Ingredients!$A$5:$A$304,0)),""),""))</f>
        <v>0</v>
      </c>
      <c r="N345" s="8">
        <f>IF(OR(B345="",C345=""),"",IFERROR(C345*IFERROR(INDEX(Ingredients!$K$5:$K$304,MATCH(B345,Ingredients!$A$5:$A$304,0)),""),""))</f>
        <v>0</v>
      </c>
      <c r="O345" s="8">
        <f>IF(OR(B345="",C345=""),"",IFERROR(C345*IFERROR(INDEX(Ingredients!$L$5:$L$304,MATCH(B345,Ingredients!$A$5:$A$304,0)),""),""))</f>
        <v>0</v>
      </c>
      <c r="P345" s="8">
        <f>IF(OR(H345="",A345=""),"",IFERROR(H345/SUMIFS('Recipe Ingredients'!$H$5:$H$1204,'Recipe Ingredients'!$A$5:$A$1204,A345),""))</f>
        <v>0</v>
      </c>
      <c r="Q345" s="8">
        <f>IF(H345="","",COUNTIFS($H$5:$H$1204,"&gt;"&amp;H345)+1)</f>
        <v>0</v>
      </c>
      <c r="R345" s="8">
        <f>IF(B345="","",SUMIFS(Pantry!$C$5:$C$304,Pantry!$A$5:$A$304,B345))</f>
        <v>0</v>
      </c>
      <c r="S345" s="8">
        <f>IF(OR(B345="",C345=""),"",MAX(0,C345-R345))</f>
        <v>0</v>
      </c>
      <c r="T345" s="26"/>
      <c r="U345" s="8">
        <f>IF(OR(T345="",T345=0,G345=""),"",T345*G345)</f>
        <v>0</v>
      </c>
      <c r="V345" s="8">
        <f>IF(OR(S345="",T345="",T345=0),"",CEILING(S345/T345,1))</f>
        <v>0</v>
      </c>
      <c r="W345" s="27"/>
      <c r="X345" s="29"/>
      <c r="Y345" s="8">
        <f>IF(OR(C345="",X345=""),"",C345*(1+X345))</f>
        <v>0</v>
      </c>
      <c r="Z345" s="8">
        <f>IF(B345="","",IFERROR(INDEX(Ingredients!$O$5:$O$304,MATCH(B345,Ingredients!$A$5:$A$304,0)),""))</f>
        <v>0</v>
      </c>
      <c r="AA345" s="8">
        <f>IF(B345="","",IF(R345&gt;=C345,"In pantry","To buy"))</f>
        <v>0</v>
      </c>
      <c r="AB345" s="8">
        <f>IF(A345="","",COUNTIFS($A$5:A345,A345))</f>
        <v>0</v>
      </c>
      <c r="AC345" s="8">
        <f>IF(B345="","",IF(COUNTIFS('Dietary Filters'!$C$5:$C$104,B345)&gt;0,"Check","OK"))</f>
        <v>0</v>
      </c>
      <c r="AD345" s="25"/>
    </row>
    <row r="346" spans="1:30">
      <c r="A346" s="7"/>
      <c r="B346" s="7"/>
      <c r="C346" s="26"/>
      <c r="D346" s="27"/>
      <c r="E346" s="8">
        <f>IF(B346="","",IFERROR(INDEX(Ingredients!$B$5:$B$304,MATCH(B346,Ingredients!$A$5:$A$304,0)),""))</f>
        <v>0</v>
      </c>
      <c r="F346" s="8">
        <f>IF(B346="","",IFERROR(INDEX(Ingredients!$E$5:$E$304,MATCH(B346,Ingredients!$A$5:$A$304,0)),""))</f>
        <v>0</v>
      </c>
      <c r="G346" s="8">
        <f>IF(B346="","",IFERROR(INDEX(Ingredients!$D$5:$D$304,MATCH(B346,Ingredients!$A$5:$A$304,0)),""))</f>
        <v>0</v>
      </c>
      <c r="H346" s="8">
        <f>IF(OR(B346="",C346=""),"",IFERROR(C346*G346,""))</f>
        <v>0</v>
      </c>
      <c r="I346" s="8">
        <f>IF(A346="","",IFERROR(INDEX(Recipes!$D$5:$D$204,MATCH(A346,Recipes!$A$5:$A$204,0)),""))</f>
        <v>0</v>
      </c>
      <c r="J346" s="8">
        <f>IF(OR(H346="",I346="",I346=0),"",IFERROR(H346/I346,""))</f>
        <v>0</v>
      </c>
      <c r="K346" s="8">
        <f>IF(OR(B346="",C346=""),"",IFERROR(C346*IFERROR(INDEX(Ingredients!$H$5:$H$304,MATCH(B346,Ingredients!$A$5:$A$304,0)),""),""))</f>
        <v>0</v>
      </c>
      <c r="L346" s="8">
        <f>IF(OR(B346="",C346=""),"",IFERROR(C346*IFERROR(INDEX(Ingredients!$I$5:$I$304,MATCH(B346,Ingredients!$A$5:$A$304,0)),""),""))</f>
        <v>0</v>
      </c>
      <c r="M346" s="8">
        <f>IF(OR(B346="",C346=""),"",IFERROR(C346*IFERROR(INDEX(Ingredients!$J$5:$J$304,MATCH(B346,Ingredients!$A$5:$A$304,0)),""),""))</f>
        <v>0</v>
      </c>
      <c r="N346" s="8">
        <f>IF(OR(B346="",C346=""),"",IFERROR(C346*IFERROR(INDEX(Ingredients!$K$5:$K$304,MATCH(B346,Ingredients!$A$5:$A$304,0)),""),""))</f>
        <v>0</v>
      </c>
      <c r="O346" s="8">
        <f>IF(OR(B346="",C346=""),"",IFERROR(C346*IFERROR(INDEX(Ingredients!$L$5:$L$304,MATCH(B346,Ingredients!$A$5:$A$304,0)),""),""))</f>
        <v>0</v>
      </c>
      <c r="P346" s="8">
        <f>IF(OR(H346="",A346=""),"",IFERROR(H346/SUMIFS('Recipe Ingredients'!$H$5:$H$1204,'Recipe Ingredients'!$A$5:$A$1204,A346),""))</f>
        <v>0</v>
      </c>
      <c r="Q346" s="8">
        <f>IF(H346="","",COUNTIFS($H$5:$H$1204,"&gt;"&amp;H346)+1)</f>
        <v>0</v>
      </c>
      <c r="R346" s="8">
        <f>IF(B346="","",SUMIFS(Pantry!$C$5:$C$304,Pantry!$A$5:$A$304,B346))</f>
        <v>0</v>
      </c>
      <c r="S346" s="8">
        <f>IF(OR(B346="",C346=""),"",MAX(0,C346-R346))</f>
        <v>0</v>
      </c>
      <c r="T346" s="26"/>
      <c r="U346" s="8">
        <f>IF(OR(T346="",T346=0,G346=""),"",T346*G346)</f>
        <v>0</v>
      </c>
      <c r="V346" s="8">
        <f>IF(OR(S346="",T346="",T346=0),"",CEILING(S346/T346,1))</f>
        <v>0</v>
      </c>
      <c r="W346" s="27"/>
      <c r="X346" s="29"/>
      <c r="Y346" s="8">
        <f>IF(OR(C346="",X346=""),"",C346*(1+X346))</f>
        <v>0</v>
      </c>
      <c r="Z346" s="8">
        <f>IF(B346="","",IFERROR(INDEX(Ingredients!$O$5:$O$304,MATCH(B346,Ingredients!$A$5:$A$304,0)),""))</f>
        <v>0</v>
      </c>
      <c r="AA346" s="8">
        <f>IF(B346="","",IF(R346&gt;=C346,"In pantry","To buy"))</f>
        <v>0</v>
      </c>
      <c r="AB346" s="8">
        <f>IF(A346="","",COUNTIFS($A$5:A346,A346))</f>
        <v>0</v>
      </c>
      <c r="AC346" s="8">
        <f>IF(B346="","",IF(COUNTIFS('Dietary Filters'!$C$5:$C$104,B346)&gt;0,"Check","OK"))</f>
        <v>0</v>
      </c>
      <c r="AD346" s="25"/>
    </row>
    <row r="347" spans="1:30">
      <c r="A347" s="7"/>
      <c r="B347" s="7"/>
      <c r="C347" s="26"/>
      <c r="D347" s="27"/>
      <c r="E347" s="8">
        <f>IF(B347="","",IFERROR(INDEX(Ingredients!$B$5:$B$304,MATCH(B347,Ingredients!$A$5:$A$304,0)),""))</f>
        <v>0</v>
      </c>
      <c r="F347" s="8">
        <f>IF(B347="","",IFERROR(INDEX(Ingredients!$E$5:$E$304,MATCH(B347,Ingredients!$A$5:$A$304,0)),""))</f>
        <v>0</v>
      </c>
      <c r="G347" s="8">
        <f>IF(B347="","",IFERROR(INDEX(Ingredients!$D$5:$D$304,MATCH(B347,Ingredients!$A$5:$A$304,0)),""))</f>
        <v>0</v>
      </c>
      <c r="H347" s="8">
        <f>IF(OR(B347="",C347=""),"",IFERROR(C347*G347,""))</f>
        <v>0</v>
      </c>
      <c r="I347" s="8">
        <f>IF(A347="","",IFERROR(INDEX(Recipes!$D$5:$D$204,MATCH(A347,Recipes!$A$5:$A$204,0)),""))</f>
        <v>0</v>
      </c>
      <c r="J347" s="8">
        <f>IF(OR(H347="",I347="",I347=0),"",IFERROR(H347/I347,""))</f>
        <v>0</v>
      </c>
      <c r="K347" s="8">
        <f>IF(OR(B347="",C347=""),"",IFERROR(C347*IFERROR(INDEX(Ingredients!$H$5:$H$304,MATCH(B347,Ingredients!$A$5:$A$304,0)),""),""))</f>
        <v>0</v>
      </c>
      <c r="L347" s="8">
        <f>IF(OR(B347="",C347=""),"",IFERROR(C347*IFERROR(INDEX(Ingredients!$I$5:$I$304,MATCH(B347,Ingredients!$A$5:$A$304,0)),""),""))</f>
        <v>0</v>
      </c>
      <c r="M347" s="8">
        <f>IF(OR(B347="",C347=""),"",IFERROR(C347*IFERROR(INDEX(Ingredients!$J$5:$J$304,MATCH(B347,Ingredients!$A$5:$A$304,0)),""),""))</f>
        <v>0</v>
      </c>
      <c r="N347" s="8">
        <f>IF(OR(B347="",C347=""),"",IFERROR(C347*IFERROR(INDEX(Ingredients!$K$5:$K$304,MATCH(B347,Ingredients!$A$5:$A$304,0)),""),""))</f>
        <v>0</v>
      </c>
      <c r="O347" s="8">
        <f>IF(OR(B347="",C347=""),"",IFERROR(C347*IFERROR(INDEX(Ingredients!$L$5:$L$304,MATCH(B347,Ingredients!$A$5:$A$304,0)),""),""))</f>
        <v>0</v>
      </c>
      <c r="P347" s="8">
        <f>IF(OR(H347="",A347=""),"",IFERROR(H347/SUMIFS('Recipe Ingredients'!$H$5:$H$1204,'Recipe Ingredients'!$A$5:$A$1204,A347),""))</f>
        <v>0</v>
      </c>
      <c r="Q347" s="8">
        <f>IF(H347="","",COUNTIFS($H$5:$H$1204,"&gt;"&amp;H347)+1)</f>
        <v>0</v>
      </c>
      <c r="R347" s="8">
        <f>IF(B347="","",SUMIFS(Pantry!$C$5:$C$304,Pantry!$A$5:$A$304,B347))</f>
        <v>0</v>
      </c>
      <c r="S347" s="8">
        <f>IF(OR(B347="",C347=""),"",MAX(0,C347-R347))</f>
        <v>0</v>
      </c>
      <c r="T347" s="26"/>
      <c r="U347" s="8">
        <f>IF(OR(T347="",T347=0,G347=""),"",T347*G347)</f>
        <v>0</v>
      </c>
      <c r="V347" s="8">
        <f>IF(OR(S347="",T347="",T347=0),"",CEILING(S347/T347,1))</f>
        <v>0</v>
      </c>
      <c r="W347" s="27"/>
      <c r="X347" s="29"/>
      <c r="Y347" s="8">
        <f>IF(OR(C347="",X347=""),"",C347*(1+X347))</f>
        <v>0</v>
      </c>
      <c r="Z347" s="8">
        <f>IF(B347="","",IFERROR(INDEX(Ingredients!$O$5:$O$304,MATCH(B347,Ingredients!$A$5:$A$304,0)),""))</f>
        <v>0</v>
      </c>
      <c r="AA347" s="8">
        <f>IF(B347="","",IF(R347&gt;=C347,"In pantry","To buy"))</f>
        <v>0</v>
      </c>
      <c r="AB347" s="8">
        <f>IF(A347="","",COUNTIFS($A$5:A347,A347))</f>
        <v>0</v>
      </c>
      <c r="AC347" s="8">
        <f>IF(B347="","",IF(COUNTIFS('Dietary Filters'!$C$5:$C$104,B347)&gt;0,"Check","OK"))</f>
        <v>0</v>
      </c>
      <c r="AD347" s="25"/>
    </row>
    <row r="348" spans="1:30">
      <c r="A348" s="7"/>
      <c r="B348" s="7"/>
      <c r="C348" s="26"/>
      <c r="D348" s="27"/>
      <c r="E348" s="8">
        <f>IF(B348="","",IFERROR(INDEX(Ingredients!$B$5:$B$304,MATCH(B348,Ingredients!$A$5:$A$304,0)),""))</f>
        <v>0</v>
      </c>
      <c r="F348" s="8">
        <f>IF(B348="","",IFERROR(INDEX(Ingredients!$E$5:$E$304,MATCH(B348,Ingredients!$A$5:$A$304,0)),""))</f>
        <v>0</v>
      </c>
      <c r="G348" s="8">
        <f>IF(B348="","",IFERROR(INDEX(Ingredients!$D$5:$D$304,MATCH(B348,Ingredients!$A$5:$A$304,0)),""))</f>
        <v>0</v>
      </c>
      <c r="H348" s="8">
        <f>IF(OR(B348="",C348=""),"",IFERROR(C348*G348,""))</f>
        <v>0</v>
      </c>
      <c r="I348" s="8">
        <f>IF(A348="","",IFERROR(INDEX(Recipes!$D$5:$D$204,MATCH(A348,Recipes!$A$5:$A$204,0)),""))</f>
        <v>0</v>
      </c>
      <c r="J348" s="8">
        <f>IF(OR(H348="",I348="",I348=0),"",IFERROR(H348/I348,""))</f>
        <v>0</v>
      </c>
      <c r="K348" s="8">
        <f>IF(OR(B348="",C348=""),"",IFERROR(C348*IFERROR(INDEX(Ingredients!$H$5:$H$304,MATCH(B348,Ingredients!$A$5:$A$304,0)),""),""))</f>
        <v>0</v>
      </c>
      <c r="L348" s="8">
        <f>IF(OR(B348="",C348=""),"",IFERROR(C348*IFERROR(INDEX(Ingredients!$I$5:$I$304,MATCH(B348,Ingredients!$A$5:$A$304,0)),""),""))</f>
        <v>0</v>
      </c>
      <c r="M348" s="8">
        <f>IF(OR(B348="",C348=""),"",IFERROR(C348*IFERROR(INDEX(Ingredients!$J$5:$J$304,MATCH(B348,Ingredients!$A$5:$A$304,0)),""),""))</f>
        <v>0</v>
      </c>
      <c r="N348" s="8">
        <f>IF(OR(B348="",C348=""),"",IFERROR(C348*IFERROR(INDEX(Ingredients!$K$5:$K$304,MATCH(B348,Ingredients!$A$5:$A$304,0)),""),""))</f>
        <v>0</v>
      </c>
      <c r="O348" s="8">
        <f>IF(OR(B348="",C348=""),"",IFERROR(C348*IFERROR(INDEX(Ingredients!$L$5:$L$304,MATCH(B348,Ingredients!$A$5:$A$304,0)),""),""))</f>
        <v>0</v>
      </c>
      <c r="P348" s="8">
        <f>IF(OR(H348="",A348=""),"",IFERROR(H348/SUMIFS('Recipe Ingredients'!$H$5:$H$1204,'Recipe Ingredients'!$A$5:$A$1204,A348),""))</f>
        <v>0</v>
      </c>
      <c r="Q348" s="8">
        <f>IF(H348="","",COUNTIFS($H$5:$H$1204,"&gt;"&amp;H348)+1)</f>
        <v>0</v>
      </c>
      <c r="R348" s="8">
        <f>IF(B348="","",SUMIFS(Pantry!$C$5:$C$304,Pantry!$A$5:$A$304,B348))</f>
        <v>0</v>
      </c>
      <c r="S348" s="8">
        <f>IF(OR(B348="",C348=""),"",MAX(0,C348-R348))</f>
        <v>0</v>
      </c>
      <c r="T348" s="26"/>
      <c r="U348" s="8">
        <f>IF(OR(T348="",T348=0,G348=""),"",T348*G348)</f>
        <v>0</v>
      </c>
      <c r="V348" s="8">
        <f>IF(OR(S348="",T348="",T348=0),"",CEILING(S348/T348,1))</f>
        <v>0</v>
      </c>
      <c r="W348" s="27"/>
      <c r="X348" s="29"/>
      <c r="Y348" s="8">
        <f>IF(OR(C348="",X348=""),"",C348*(1+X348))</f>
        <v>0</v>
      </c>
      <c r="Z348" s="8">
        <f>IF(B348="","",IFERROR(INDEX(Ingredients!$O$5:$O$304,MATCH(B348,Ingredients!$A$5:$A$304,0)),""))</f>
        <v>0</v>
      </c>
      <c r="AA348" s="8">
        <f>IF(B348="","",IF(R348&gt;=C348,"In pantry","To buy"))</f>
        <v>0</v>
      </c>
      <c r="AB348" s="8">
        <f>IF(A348="","",COUNTIFS($A$5:A348,A348))</f>
        <v>0</v>
      </c>
      <c r="AC348" s="8">
        <f>IF(B348="","",IF(COUNTIFS('Dietary Filters'!$C$5:$C$104,B348)&gt;0,"Check","OK"))</f>
        <v>0</v>
      </c>
      <c r="AD348" s="25"/>
    </row>
    <row r="349" spans="1:30">
      <c r="A349" s="7"/>
      <c r="B349" s="7"/>
      <c r="C349" s="26"/>
      <c r="D349" s="27"/>
      <c r="E349" s="8">
        <f>IF(B349="","",IFERROR(INDEX(Ingredients!$B$5:$B$304,MATCH(B349,Ingredients!$A$5:$A$304,0)),""))</f>
        <v>0</v>
      </c>
      <c r="F349" s="8">
        <f>IF(B349="","",IFERROR(INDEX(Ingredients!$E$5:$E$304,MATCH(B349,Ingredients!$A$5:$A$304,0)),""))</f>
        <v>0</v>
      </c>
      <c r="G349" s="8">
        <f>IF(B349="","",IFERROR(INDEX(Ingredients!$D$5:$D$304,MATCH(B349,Ingredients!$A$5:$A$304,0)),""))</f>
        <v>0</v>
      </c>
      <c r="H349" s="8">
        <f>IF(OR(B349="",C349=""),"",IFERROR(C349*G349,""))</f>
        <v>0</v>
      </c>
      <c r="I349" s="8">
        <f>IF(A349="","",IFERROR(INDEX(Recipes!$D$5:$D$204,MATCH(A349,Recipes!$A$5:$A$204,0)),""))</f>
        <v>0</v>
      </c>
      <c r="J349" s="8">
        <f>IF(OR(H349="",I349="",I349=0),"",IFERROR(H349/I349,""))</f>
        <v>0</v>
      </c>
      <c r="K349" s="8">
        <f>IF(OR(B349="",C349=""),"",IFERROR(C349*IFERROR(INDEX(Ingredients!$H$5:$H$304,MATCH(B349,Ingredients!$A$5:$A$304,0)),""),""))</f>
        <v>0</v>
      </c>
      <c r="L349" s="8">
        <f>IF(OR(B349="",C349=""),"",IFERROR(C349*IFERROR(INDEX(Ingredients!$I$5:$I$304,MATCH(B349,Ingredients!$A$5:$A$304,0)),""),""))</f>
        <v>0</v>
      </c>
      <c r="M349" s="8">
        <f>IF(OR(B349="",C349=""),"",IFERROR(C349*IFERROR(INDEX(Ingredients!$J$5:$J$304,MATCH(B349,Ingredients!$A$5:$A$304,0)),""),""))</f>
        <v>0</v>
      </c>
      <c r="N349" s="8">
        <f>IF(OR(B349="",C349=""),"",IFERROR(C349*IFERROR(INDEX(Ingredients!$K$5:$K$304,MATCH(B349,Ingredients!$A$5:$A$304,0)),""),""))</f>
        <v>0</v>
      </c>
      <c r="O349" s="8">
        <f>IF(OR(B349="",C349=""),"",IFERROR(C349*IFERROR(INDEX(Ingredients!$L$5:$L$304,MATCH(B349,Ingredients!$A$5:$A$304,0)),""),""))</f>
        <v>0</v>
      </c>
      <c r="P349" s="8">
        <f>IF(OR(H349="",A349=""),"",IFERROR(H349/SUMIFS('Recipe Ingredients'!$H$5:$H$1204,'Recipe Ingredients'!$A$5:$A$1204,A349),""))</f>
        <v>0</v>
      </c>
      <c r="Q349" s="8">
        <f>IF(H349="","",COUNTIFS($H$5:$H$1204,"&gt;"&amp;H349)+1)</f>
        <v>0</v>
      </c>
      <c r="R349" s="8">
        <f>IF(B349="","",SUMIFS(Pantry!$C$5:$C$304,Pantry!$A$5:$A$304,B349))</f>
        <v>0</v>
      </c>
      <c r="S349" s="8">
        <f>IF(OR(B349="",C349=""),"",MAX(0,C349-R349))</f>
        <v>0</v>
      </c>
      <c r="T349" s="26"/>
      <c r="U349" s="8">
        <f>IF(OR(T349="",T349=0,G349=""),"",T349*G349)</f>
        <v>0</v>
      </c>
      <c r="V349" s="8">
        <f>IF(OR(S349="",T349="",T349=0),"",CEILING(S349/T349,1))</f>
        <v>0</v>
      </c>
      <c r="W349" s="27"/>
      <c r="X349" s="29"/>
      <c r="Y349" s="8">
        <f>IF(OR(C349="",X349=""),"",C349*(1+X349))</f>
        <v>0</v>
      </c>
      <c r="Z349" s="8">
        <f>IF(B349="","",IFERROR(INDEX(Ingredients!$O$5:$O$304,MATCH(B349,Ingredients!$A$5:$A$304,0)),""))</f>
        <v>0</v>
      </c>
      <c r="AA349" s="8">
        <f>IF(B349="","",IF(R349&gt;=C349,"In pantry","To buy"))</f>
        <v>0</v>
      </c>
      <c r="AB349" s="8">
        <f>IF(A349="","",COUNTIFS($A$5:A349,A349))</f>
        <v>0</v>
      </c>
      <c r="AC349" s="8">
        <f>IF(B349="","",IF(COUNTIFS('Dietary Filters'!$C$5:$C$104,B349)&gt;0,"Check","OK"))</f>
        <v>0</v>
      </c>
      <c r="AD349" s="25"/>
    </row>
    <row r="350" spans="1:30">
      <c r="A350" s="7"/>
      <c r="B350" s="7"/>
      <c r="C350" s="26"/>
      <c r="D350" s="27"/>
      <c r="E350" s="8">
        <f>IF(B350="","",IFERROR(INDEX(Ingredients!$B$5:$B$304,MATCH(B350,Ingredients!$A$5:$A$304,0)),""))</f>
        <v>0</v>
      </c>
      <c r="F350" s="8">
        <f>IF(B350="","",IFERROR(INDEX(Ingredients!$E$5:$E$304,MATCH(B350,Ingredients!$A$5:$A$304,0)),""))</f>
        <v>0</v>
      </c>
      <c r="G350" s="8">
        <f>IF(B350="","",IFERROR(INDEX(Ingredients!$D$5:$D$304,MATCH(B350,Ingredients!$A$5:$A$304,0)),""))</f>
        <v>0</v>
      </c>
      <c r="H350" s="8">
        <f>IF(OR(B350="",C350=""),"",IFERROR(C350*G350,""))</f>
        <v>0</v>
      </c>
      <c r="I350" s="8">
        <f>IF(A350="","",IFERROR(INDEX(Recipes!$D$5:$D$204,MATCH(A350,Recipes!$A$5:$A$204,0)),""))</f>
        <v>0</v>
      </c>
      <c r="J350" s="8">
        <f>IF(OR(H350="",I350="",I350=0),"",IFERROR(H350/I350,""))</f>
        <v>0</v>
      </c>
      <c r="K350" s="8">
        <f>IF(OR(B350="",C350=""),"",IFERROR(C350*IFERROR(INDEX(Ingredients!$H$5:$H$304,MATCH(B350,Ingredients!$A$5:$A$304,0)),""),""))</f>
        <v>0</v>
      </c>
      <c r="L350" s="8">
        <f>IF(OR(B350="",C350=""),"",IFERROR(C350*IFERROR(INDEX(Ingredients!$I$5:$I$304,MATCH(B350,Ingredients!$A$5:$A$304,0)),""),""))</f>
        <v>0</v>
      </c>
      <c r="M350" s="8">
        <f>IF(OR(B350="",C350=""),"",IFERROR(C350*IFERROR(INDEX(Ingredients!$J$5:$J$304,MATCH(B350,Ingredients!$A$5:$A$304,0)),""),""))</f>
        <v>0</v>
      </c>
      <c r="N350" s="8">
        <f>IF(OR(B350="",C350=""),"",IFERROR(C350*IFERROR(INDEX(Ingredients!$K$5:$K$304,MATCH(B350,Ingredients!$A$5:$A$304,0)),""),""))</f>
        <v>0</v>
      </c>
      <c r="O350" s="8">
        <f>IF(OR(B350="",C350=""),"",IFERROR(C350*IFERROR(INDEX(Ingredients!$L$5:$L$304,MATCH(B350,Ingredients!$A$5:$A$304,0)),""),""))</f>
        <v>0</v>
      </c>
      <c r="P350" s="8">
        <f>IF(OR(H350="",A350=""),"",IFERROR(H350/SUMIFS('Recipe Ingredients'!$H$5:$H$1204,'Recipe Ingredients'!$A$5:$A$1204,A350),""))</f>
        <v>0</v>
      </c>
      <c r="Q350" s="8">
        <f>IF(H350="","",COUNTIFS($H$5:$H$1204,"&gt;"&amp;H350)+1)</f>
        <v>0</v>
      </c>
      <c r="R350" s="8">
        <f>IF(B350="","",SUMIFS(Pantry!$C$5:$C$304,Pantry!$A$5:$A$304,B350))</f>
        <v>0</v>
      </c>
      <c r="S350" s="8">
        <f>IF(OR(B350="",C350=""),"",MAX(0,C350-R350))</f>
        <v>0</v>
      </c>
      <c r="T350" s="26"/>
      <c r="U350" s="8">
        <f>IF(OR(T350="",T350=0,G350=""),"",T350*G350)</f>
        <v>0</v>
      </c>
      <c r="V350" s="8">
        <f>IF(OR(S350="",T350="",T350=0),"",CEILING(S350/T350,1))</f>
        <v>0</v>
      </c>
      <c r="W350" s="27"/>
      <c r="X350" s="29"/>
      <c r="Y350" s="8">
        <f>IF(OR(C350="",X350=""),"",C350*(1+X350))</f>
        <v>0</v>
      </c>
      <c r="Z350" s="8">
        <f>IF(B350="","",IFERROR(INDEX(Ingredients!$O$5:$O$304,MATCH(B350,Ingredients!$A$5:$A$304,0)),""))</f>
        <v>0</v>
      </c>
      <c r="AA350" s="8">
        <f>IF(B350="","",IF(R350&gt;=C350,"In pantry","To buy"))</f>
        <v>0</v>
      </c>
      <c r="AB350" s="8">
        <f>IF(A350="","",COUNTIFS($A$5:A350,A350))</f>
        <v>0</v>
      </c>
      <c r="AC350" s="8">
        <f>IF(B350="","",IF(COUNTIFS('Dietary Filters'!$C$5:$C$104,B350)&gt;0,"Check","OK"))</f>
        <v>0</v>
      </c>
      <c r="AD350" s="25"/>
    </row>
    <row r="351" spans="1:30">
      <c r="A351" s="7"/>
      <c r="B351" s="7"/>
      <c r="C351" s="26"/>
      <c r="D351" s="27"/>
      <c r="E351" s="8">
        <f>IF(B351="","",IFERROR(INDEX(Ingredients!$B$5:$B$304,MATCH(B351,Ingredients!$A$5:$A$304,0)),""))</f>
        <v>0</v>
      </c>
      <c r="F351" s="8">
        <f>IF(B351="","",IFERROR(INDEX(Ingredients!$E$5:$E$304,MATCH(B351,Ingredients!$A$5:$A$304,0)),""))</f>
        <v>0</v>
      </c>
      <c r="G351" s="8">
        <f>IF(B351="","",IFERROR(INDEX(Ingredients!$D$5:$D$304,MATCH(B351,Ingredients!$A$5:$A$304,0)),""))</f>
        <v>0</v>
      </c>
      <c r="H351" s="8">
        <f>IF(OR(B351="",C351=""),"",IFERROR(C351*G351,""))</f>
        <v>0</v>
      </c>
      <c r="I351" s="8">
        <f>IF(A351="","",IFERROR(INDEX(Recipes!$D$5:$D$204,MATCH(A351,Recipes!$A$5:$A$204,0)),""))</f>
        <v>0</v>
      </c>
      <c r="J351" s="8">
        <f>IF(OR(H351="",I351="",I351=0),"",IFERROR(H351/I351,""))</f>
        <v>0</v>
      </c>
      <c r="K351" s="8">
        <f>IF(OR(B351="",C351=""),"",IFERROR(C351*IFERROR(INDEX(Ingredients!$H$5:$H$304,MATCH(B351,Ingredients!$A$5:$A$304,0)),""),""))</f>
        <v>0</v>
      </c>
      <c r="L351" s="8">
        <f>IF(OR(B351="",C351=""),"",IFERROR(C351*IFERROR(INDEX(Ingredients!$I$5:$I$304,MATCH(B351,Ingredients!$A$5:$A$304,0)),""),""))</f>
        <v>0</v>
      </c>
      <c r="M351" s="8">
        <f>IF(OR(B351="",C351=""),"",IFERROR(C351*IFERROR(INDEX(Ingredients!$J$5:$J$304,MATCH(B351,Ingredients!$A$5:$A$304,0)),""),""))</f>
        <v>0</v>
      </c>
      <c r="N351" s="8">
        <f>IF(OR(B351="",C351=""),"",IFERROR(C351*IFERROR(INDEX(Ingredients!$K$5:$K$304,MATCH(B351,Ingredients!$A$5:$A$304,0)),""),""))</f>
        <v>0</v>
      </c>
      <c r="O351" s="8">
        <f>IF(OR(B351="",C351=""),"",IFERROR(C351*IFERROR(INDEX(Ingredients!$L$5:$L$304,MATCH(B351,Ingredients!$A$5:$A$304,0)),""),""))</f>
        <v>0</v>
      </c>
      <c r="P351" s="8">
        <f>IF(OR(H351="",A351=""),"",IFERROR(H351/SUMIFS('Recipe Ingredients'!$H$5:$H$1204,'Recipe Ingredients'!$A$5:$A$1204,A351),""))</f>
        <v>0</v>
      </c>
      <c r="Q351" s="8">
        <f>IF(H351="","",COUNTIFS($H$5:$H$1204,"&gt;"&amp;H351)+1)</f>
        <v>0</v>
      </c>
      <c r="R351" s="8">
        <f>IF(B351="","",SUMIFS(Pantry!$C$5:$C$304,Pantry!$A$5:$A$304,B351))</f>
        <v>0</v>
      </c>
      <c r="S351" s="8">
        <f>IF(OR(B351="",C351=""),"",MAX(0,C351-R351))</f>
        <v>0</v>
      </c>
      <c r="T351" s="26"/>
      <c r="U351" s="8">
        <f>IF(OR(T351="",T351=0,G351=""),"",T351*G351)</f>
        <v>0</v>
      </c>
      <c r="V351" s="8">
        <f>IF(OR(S351="",T351="",T351=0),"",CEILING(S351/T351,1))</f>
        <v>0</v>
      </c>
      <c r="W351" s="27"/>
      <c r="X351" s="29"/>
      <c r="Y351" s="8">
        <f>IF(OR(C351="",X351=""),"",C351*(1+X351))</f>
        <v>0</v>
      </c>
      <c r="Z351" s="8">
        <f>IF(B351="","",IFERROR(INDEX(Ingredients!$O$5:$O$304,MATCH(B351,Ingredients!$A$5:$A$304,0)),""))</f>
        <v>0</v>
      </c>
      <c r="AA351" s="8">
        <f>IF(B351="","",IF(R351&gt;=C351,"In pantry","To buy"))</f>
        <v>0</v>
      </c>
      <c r="AB351" s="8">
        <f>IF(A351="","",COUNTIFS($A$5:A351,A351))</f>
        <v>0</v>
      </c>
      <c r="AC351" s="8">
        <f>IF(B351="","",IF(COUNTIFS('Dietary Filters'!$C$5:$C$104,B351)&gt;0,"Check","OK"))</f>
        <v>0</v>
      </c>
      <c r="AD351" s="25"/>
    </row>
    <row r="352" spans="1:30">
      <c r="A352" s="7"/>
      <c r="B352" s="7"/>
      <c r="C352" s="26"/>
      <c r="D352" s="27"/>
      <c r="E352" s="8">
        <f>IF(B352="","",IFERROR(INDEX(Ingredients!$B$5:$B$304,MATCH(B352,Ingredients!$A$5:$A$304,0)),""))</f>
        <v>0</v>
      </c>
      <c r="F352" s="8">
        <f>IF(B352="","",IFERROR(INDEX(Ingredients!$E$5:$E$304,MATCH(B352,Ingredients!$A$5:$A$304,0)),""))</f>
        <v>0</v>
      </c>
      <c r="G352" s="8">
        <f>IF(B352="","",IFERROR(INDEX(Ingredients!$D$5:$D$304,MATCH(B352,Ingredients!$A$5:$A$304,0)),""))</f>
        <v>0</v>
      </c>
      <c r="H352" s="8">
        <f>IF(OR(B352="",C352=""),"",IFERROR(C352*G352,""))</f>
        <v>0</v>
      </c>
      <c r="I352" s="8">
        <f>IF(A352="","",IFERROR(INDEX(Recipes!$D$5:$D$204,MATCH(A352,Recipes!$A$5:$A$204,0)),""))</f>
        <v>0</v>
      </c>
      <c r="J352" s="8">
        <f>IF(OR(H352="",I352="",I352=0),"",IFERROR(H352/I352,""))</f>
        <v>0</v>
      </c>
      <c r="K352" s="8">
        <f>IF(OR(B352="",C352=""),"",IFERROR(C352*IFERROR(INDEX(Ingredients!$H$5:$H$304,MATCH(B352,Ingredients!$A$5:$A$304,0)),""),""))</f>
        <v>0</v>
      </c>
      <c r="L352" s="8">
        <f>IF(OR(B352="",C352=""),"",IFERROR(C352*IFERROR(INDEX(Ingredients!$I$5:$I$304,MATCH(B352,Ingredients!$A$5:$A$304,0)),""),""))</f>
        <v>0</v>
      </c>
      <c r="M352" s="8">
        <f>IF(OR(B352="",C352=""),"",IFERROR(C352*IFERROR(INDEX(Ingredients!$J$5:$J$304,MATCH(B352,Ingredients!$A$5:$A$304,0)),""),""))</f>
        <v>0</v>
      </c>
      <c r="N352" s="8">
        <f>IF(OR(B352="",C352=""),"",IFERROR(C352*IFERROR(INDEX(Ingredients!$K$5:$K$304,MATCH(B352,Ingredients!$A$5:$A$304,0)),""),""))</f>
        <v>0</v>
      </c>
      <c r="O352" s="8">
        <f>IF(OR(B352="",C352=""),"",IFERROR(C352*IFERROR(INDEX(Ingredients!$L$5:$L$304,MATCH(B352,Ingredients!$A$5:$A$304,0)),""),""))</f>
        <v>0</v>
      </c>
      <c r="P352" s="8">
        <f>IF(OR(H352="",A352=""),"",IFERROR(H352/SUMIFS('Recipe Ingredients'!$H$5:$H$1204,'Recipe Ingredients'!$A$5:$A$1204,A352),""))</f>
        <v>0</v>
      </c>
      <c r="Q352" s="8">
        <f>IF(H352="","",COUNTIFS($H$5:$H$1204,"&gt;"&amp;H352)+1)</f>
        <v>0</v>
      </c>
      <c r="R352" s="8">
        <f>IF(B352="","",SUMIFS(Pantry!$C$5:$C$304,Pantry!$A$5:$A$304,B352))</f>
        <v>0</v>
      </c>
      <c r="S352" s="8">
        <f>IF(OR(B352="",C352=""),"",MAX(0,C352-R352))</f>
        <v>0</v>
      </c>
      <c r="T352" s="26"/>
      <c r="U352" s="8">
        <f>IF(OR(T352="",T352=0,G352=""),"",T352*G352)</f>
        <v>0</v>
      </c>
      <c r="V352" s="8">
        <f>IF(OR(S352="",T352="",T352=0),"",CEILING(S352/T352,1))</f>
        <v>0</v>
      </c>
      <c r="W352" s="27"/>
      <c r="X352" s="29"/>
      <c r="Y352" s="8">
        <f>IF(OR(C352="",X352=""),"",C352*(1+X352))</f>
        <v>0</v>
      </c>
      <c r="Z352" s="8">
        <f>IF(B352="","",IFERROR(INDEX(Ingredients!$O$5:$O$304,MATCH(B352,Ingredients!$A$5:$A$304,0)),""))</f>
        <v>0</v>
      </c>
      <c r="AA352" s="8">
        <f>IF(B352="","",IF(R352&gt;=C352,"In pantry","To buy"))</f>
        <v>0</v>
      </c>
      <c r="AB352" s="8">
        <f>IF(A352="","",COUNTIFS($A$5:A352,A352))</f>
        <v>0</v>
      </c>
      <c r="AC352" s="8">
        <f>IF(B352="","",IF(COUNTIFS('Dietary Filters'!$C$5:$C$104,B352)&gt;0,"Check","OK"))</f>
        <v>0</v>
      </c>
      <c r="AD352" s="25"/>
    </row>
    <row r="353" spans="1:30">
      <c r="A353" s="7"/>
      <c r="B353" s="7"/>
      <c r="C353" s="26"/>
      <c r="D353" s="27"/>
      <c r="E353" s="8">
        <f>IF(B353="","",IFERROR(INDEX(Ingredients!$B$5:$B$304,MATCH(B353,Ingredients!$A$5:$A$304,0)),""))</f>
        <v>0</v>
      </c>
      <c r="F353" s="8">
        <f>IF(B353="","",IFERROR(INDEX(Ingredients!$E$5:$E$304,MATCH(B353,Ingredients!$A$5:$A$304,0)),""))</f>
        <v>0</v>
      </c>
      <c r="G353" s="8">
        <f>IF(B353="","",IFERROR(INDEX(Ingredients!$D$5:$D$304,MATCH(B353,Ingredients!$A$5:$A$304,0)),""))</f>
        <v>0</v>
      </c>
      <c r="H353" s="8">
        <f>IF(OR(B353="",C353=""),"",IFERROR(C353*G353,""))</f>
        <v>0</v>
      </c>
      <c r="I353" s="8">
        <f>IF(A353="","",IFERROR(INDEX(Recipes!$D$5:$D$204,MATCH(A353,Recipes!$A$5:$A$204,0)),""))</f>
        <v>0</v>
      </c>
      <c r="J353" s="8">
        <f>IF(OR(H353="",I353="",I353=0),"",IFERROR(H353/I353,""))</f>
        <v>0</v>
      </c>
      <c r="K353" s="8">
        <f>IF(OR(B353="",C353=""),"",IFERROR(C353*IFERROR(INDEX(Ingredients!$H$5:$H$304,MATCH(B353,Ingredients!$A$5:$A$304,0)),""),""))</f>
        <v>0</v>
      </c>
      <c r="L353" s="8">
        <f>IF(OR(B353="",C353=""),"",IFERROR(C353*IFERROR(INDEX(Ingredients!$I$5:$I$304,MATCH(B353,Ingredients!$A$5:$A$304,0)),""),""))</f>
        <v>0</v>
      </c>
      <c r="M353" s="8">
        <f>IF(OR(B353="",C353=""),"",IFERROR(C353*IFERROR(INDEX(Ingredients!$J$5:$J$304,MATCH(B353,Ingredients!$A$5:$A$304,0)),""),""))</f>
        <v>0</v>
      </c>
      <c r="N353" s="8">
        <f>IF(OR(B353="",C353=""),"",IFERROR(C353*IFERROR(INDEX(Ingredients!$K$5:$K$304,MATCH(B353,Ingredients!$A$5:$A$304,0)),""),""))</f>
        <v>0</v>
      </c>
      <c r="O353" s="8">
        <f>IF(OR(B353="",C353=""),"",IFERROR(C353*IFERROR(INDEX(Ingredients!$L$5:$L$304,MATCH(B353,Ingredients!$A$5:$A$304,0)),""),""))</f>
        <v>0</v>
      </c>
      <c r="P353" s="8">
        <f>IF(OR(H353="",A353=""),"",IFERROR(H353/SUMIFS('Recipe Ingredients'!$H$5:$H$1204,'Recipe Ingredients'!$A$5:$A$1204,A353),""))</f>
        <v>0</v>
      </c>
      <c r="Q353" s="8">
        <f>IF(H353="","",COUNTIFS($H$5:$H$1204,"&gt;"&amp;H353)+1)</f>
        <v>0</v>
      </c>
      <c r="R353" s="8">
        <f>IF(B353="","",SUMIFS(Pantry!$C$5:$C$304,Pantry!$A$5:$A$304,B353))</f>
        <v>0</v>
      </c>
      <c r="S353" s="8">
        <f>IF(OR(B353="",C353=""),"",MAX(0,C353-R353))</f>
        <v>0</v>
      </c>
      <c r="T353" s="26"/>
      <c r="U353" s="8">
        <f>IF(OR(T353="",T353=0,G353=""),"",T353*G353)</f>
        <v>0</v>
      </c>
      <c r="V353" s="8">
        <f>IF(OR(S353="",T353="",T353=0),"",CEILING(S353/T353,1))</f>
        <v>0</v>
      </c>
      <c r="W353" s="27"/>
      <c r="X353" s="29"/>
      <c r="Y353" s="8">
        <f>IF(OR(C353="",X353=""),"",C353*(1+X353))</f>
        <v>0</v>
      </c>
      <c r="Z353" s="8">
        <f>IF(B353="","",IFERROR(INDEX(Ingredients!$O$5:$O$304,MATCH(B353,Ingredients!$A$5:$A$304,0)),""))</f>
        <v>0</v>
      </c>
      <c r="AA353" s="8">
        <f>IF(B353="","",IF(R353&gt;=C353,"In pantry","To buy"))</f>
        <v>0</v>
      </c>
      <c r="AB353" s="8">
        <f>IF(A353="","",COUNTIFS($A$5:A353,A353))</f>
        <v>0</v>
      </c>
      <c r="AC353" s="8">
        <f>IF(B353="","",IF(COUNTIFS('Dietary Filters'!$C$5:$C$104,B353)&gt;0,"Check","OK"))</f>
        <v>0</v>
      </c>
      <c r="AD353" s="25"/>
    </row>
    <row r="354" spans="1:30">
      <c r="A354" s="7"/>
      <c r="B354" s="7"/>
      <c r="C354" s="26"/>
      <c r="D354" s="27"/>
      <c r="E354" s="8">
        <f>IF(B354="","",IFERROR(INDEX(Ingredients!$B$5:$B$304,MATCH(B354,Ingredients!$A$5:$A$304,0)),""))</f>
        <v>0</v>
      </c>
      <c r="F354" s="8">
        <f>IF(B354="","",IFERROR(INDEX(Ingredients!$E$5:$E$304,MATCH(B354,Ingredients!$A$5:$A$304,0)),""))</f>
        <v>0</v>
      </c>
      <c r="G354" s="8">
        <f>IF(B354="","",IFERROR(INDEX(Ingredients!$D$5:$D$304,MATCH(B354,Ingredients!$A$5:$A$304,0)),""))</f>
        <v>0</v>
      </c>
      <c r="H354" s="8">
        <f>IF(OR(B354="",C354=""),"",IFERROR(C354*G354,""))</f>
        <v>0</v>
      </c>
      <c r="I354" s="8">
        <f>IF(A354="","",IFERROR(INDEX(Recipes!$D$5:$D$204,MATCH(A354,Recipes!$A$5:$A$204,0)),""))</f>
        <v>0</v>
      </c>
      <c r="J354" s="8">
        <f>IF(OR(H354="",I354="",I354=0),"",IFERROR(H354/I354,""))</f>
        <v>0</v>
      </c>
      <c r="K354" s="8">
        <f>IF(OR(B354="",C354=""),"",IFERROR(C354*IFERROR(INDEX(Ingredients!$H$5:$H$304,MATCH(B354,Ingredients!$A$5:$A$304,0)),""),""))</f>
        <v>0</v>
      </c>
      <c r="L354" s="8">
        <f>IF(OR(B354="",C354=""),"",IFERROR(C354*IFERROR(INDEX(Ingredients!$I$5:$I$304,MATCH(B354,Ingredients!$A$5:$A$304,0)),""),""))</f>
        <v>0</v>
      </c>
      <c r="M354" s="8">
        <f>IF(OR(B354="",C354=""),"",IFERROR(C354*IFERROR(INDEX(Ingredients!$J$5:$J$304,MATCH(B354,Ingredients!$A$5:$A$304,0)),""),""))</f>
        <v>0</v>
      </c>
      <c r="N354" s="8">
        <f>IF(OR(B354="",C354=""),"",IFERROR(C354*IFERROR(INDEX(Ingredients!$K$5:$K$304,MATCH(B354,Ingredients!$A$5:$A$304,0)),""),""))</f>
        <v>0</v>
      </c>
      <c r="O354" s="8">
        <f>IF(OR(B354="",C354=""),"",IFERROR(C354*IFERROR(INDEX(Ingredients!$L$5:$L$304,MATCH(B354,Ingredients!$A$5:$A$304,0)),""),""))</f>
        <v>0</v>
      </c>
      <c r="P354" s="8">
        <f>IF(OR(H354="",A354=""),"",IFERROR(H354/SUMIFS('Recipe Ingredients'!$H$5:$H$1204,'Recipe Ingredients'!$A$5:$A$1204,A354),""))</f>
        <v>0</v>
      </c>
      <c r="Q354" s="8">
        <f>IF(H354="","",COUNTIFS($H$5:$H$1204,"&gt;"&amp;H354)+1)</f>
        <v>0</v>
      </c>
      <c r="R354" s="8">
        <f>IF(B354="","",SUMIFS(Pantry!$C$5:$C$304,Pantry!$A$5:$A$304,B354))</f>
        <v>0</v>
      </c>
      <c r="S354" s="8">
        <f>IF(OR(B354="",C354=""),"",MAX(0,C354-R354))</f>
        <v>0</v>
      </c>
      <c r="T354" s="26"/>
      <c r="U354" s="8">
        <f>IF(OR(T354="",T354=0,G354=""),"",T354*G354)</f>
        <v>0</v>
      </c>
      <c r="V354" s="8">
        <f>IF(OR(S354="",T354="",T354=0),"",CEILING(S354/T354,1))</f>
        <v>0</v>
      </c>
      <c r="W354" s="27"/>
      <c r="X354" s="29"/>
      <c r="Y354" s="8">
        <f>IF(OR(C354="",X354=""),"",C354*(1+X354))</f>
        <v>0</v>
      </c>
      <c r="Z354" s="8">
        <f>IF(B354="","",IFERROR(INDEX(Ingredients!$O$5:$O$304,MATCH(B354,Ingredients!$A$5:$A$304,0)),""))</f>
        <v>0</v>
      </c>
      <c r="AA354" s="8">
        <f>IF(B354="","",IF(R354&gt;=C354,"In pantry","To buy"))</f>
        <v>0</v>
      </c>
      <c r="AB354" s="8">
        <f>IF(A354="","",COUNTIFS($A$5:A354,A354))</f>
        <v>0</v>
      </c>
      <c r="AC354" s="8">
        <f>IF(B354="","",IF(COUNTIFS('Dietary Filters'!$C$5:$C$104,B354)&gt;0,"Check","OK"))</f>
        <v>0</v>
      </c>
      <c r="AD354" s="25"/>
    </row>
    <row r="355" spans="1:30">
      <c r="A355" s="7"/>
      <c r="B355" s="7"/>
      <c r="C355" s="26"/>
      <c r="D355" s="27"/>
      <c r="E355" s="8">
        <f>IF(B355="","",IFERROR(INDEX(Ingredients!$B$5:$B$304,MATCH(B355,Ingredients!$A$5:$A$304,0)),""))</f>
        <v>0</v>
      </c>
      <c r="F355" s="8">
        <f>IF(B355="","",IFERROR(INDEX(Ingredients!$E$5:$E$304,MATCH(B355,Ingredients!$A$5:$A$304,0)),""))</f>
        <v>0</v>
      </c>
      <c r="G355" s="8">
        <f>IF(B355="","",IFERROR(INDEX(Ingredients!$D$5:$D$304,MATCH(B355,Ingredients!$A$5:$A$304,0)),""))</f>
        <v>0</v>
      </c>
      <c r="H355" s="8">
        <f>IF(OR(B355="",C355=""),"",IFERROR(C355*G355,""))</f>
        <v>0</v>
      </c>
      <c r="I355" s="8">
        <f>IF(A355="","",IFERROR(INDEX(Recipes!$D$5:$D$204,MATCH(A355,Recipes!$A$5:$A$204,0)),""))</f>
        <v>0</v>
      </c>
      <c r="J355" s="8">
        <f>IF(OR(H355="",I355="",I355=0),"",IFERROR(H355/I355,""))</f>
        <v>0</v>
      </c>
      <c r="K355" s="8">
        <f>IF(OR(B355="",C355=""),"",IFERROR(C355*IFERROR(INDEX(Ingredients!$H$5:$H$304,MATCH(B355,Ingredients!$A$5:$A$304,0)),""),""))</f>
        <v>0</v>
      </c>
      <c r="L355" s="8">
        <f>IF(OR(B355="",C355=""),"",IFERROR(C355*IFERROR(INDEX(Ingredients!$I$5:$I$304,MATCH(B355,Ingredients!$A$5:$A$304,0)),""),""))</f>
        <v>0</v>
      </c>
      <c r="M355" s="8">
        <f>IF(OR(B355="",C355=""),"",IFERROR(C355*IFERROR(INDEX(Ingredients!$J$5:$J$304,MATCH(B355,Ingredients!$A$5:$A$304,0)),""),""))</f>
        <v>0</v>
      </c>
      <c r="N355" s="8">
        <f>IF(OR(B355="",C355=""),"",IFERROR(C355*IFERROR(INDEX(Ingredients!$K$5:$K$304,MATCH(B355,Ingredients!$A$5:$A$304,0)),""),""))</f>
        <v>0</v>
      </c>
      <c r="O355" s="8">
        <f>IF(OR(B355="",C355=""),"",IFERROR(C355*IFERROR(INDEX(Ingredients!$L$5:$L$304,MATCH(B355,Ingredients!$A$5:$A$304,0)),""),""))</f>
        <v>0</v>
      </c>
      <c r="P355" s="8">
        <f>IF(OR(H355="",A355=""),"",IFERROR(H355/SUMIFS('Recipe Ingredients'!$H$5:$H$1204,'Recipe Ingredients'!$A$5:$A$1204,A355),""))</f>
        <v>0</v>
      </c>
      <c r="Q355" s="8">
        <f>IF(H355="","",COUNTIFS($H$5:$H$1204,"&gt;"&amp;H355)+1)</f>
        <v>0</v>
      </c>
      <c r="R355" s="8">
        <f>IF(B355="","",SUMIFS(Pantry!$C$5:$C$304,Pantry!$A$5:$A$304,B355))</f>
        <v>0</v>
      </c>
      <c r="S355" s="8">
        <f>IF(OR(B355="",C355=""),"",MAX(0,C355-R355))</f>
        <v>0</v>
      </c>
      <c r="T355" s="26"/>
      <c r="U355" s="8">
        <f>IF(OR(T355="",T355=0,G355=""),"",T355*G355)</f>
        <v>0</v>
      </c>
      <c r="V355" s="8">
        <f>IF(OR(S355="",T355="",T355=0),"",CEILING(S355/T355,1))</f>
        <v>0</v>
      </c>
      <c r="W355" s="27"/>
      <c r="X355" s="29"/>
      <c r="Y355" s="8">
        <f>IF(OR(C355="",X355=""),"",C355*(1+X355))</f>
        <v>0</v>
      </c>
      <c r="Z355" s="8">
        <f>IF(B355="","",IFERROR(INDEX(Ingredients!$O$5:$O$304,MATCH(B355,Ingredients!$A$5:$A$304,0)),""))</f>
        <v>0</v>
      </c>
      <c r="AA355" s="8">
        <f>IF(B355="","",IF(R355&gt;=C355,"In pantry","To buy"))</f>
        <v>0</v>
      </c>
      <c r="AB355" s="8">
        <f>IF(A355="","",COUNTIFS($A$5:A355,A355))</f>
        <v>0</v>
      </c>
      <c r="AC355" s="8">
        <f>IF(B355="","",IF(COUNTIFS('Dietary Filters'!$C$5:$C$104,B355)&gt;0,"Check","OK"))</f>
        <v>0</v>
      </c>
      <c r="AD355" s="25"/>
    </row>
    <row r="356" spans="1:30">
      <c r="A356" s="7"/>
      <c r="B356" s="7"/>
      <c r="C356" s="26"/>
      <c r="D356" s="27"/>
      <c r="E356" s="8">
        <f>IF(B356="","",IFERROR(INDEX(Ingredients!$B$5:$B$304,MATCH(B356,Ingredients!$A$5:$A$304,0)),""))</f>
        <v>0</v>
      </c>
      <c r="F356" s="8">
        <f>IF(B356="","",IFERROR(INDEX(Ingredients!$E$5:$E$304,MATCH(B356,Ingredients!$A$5:$A$304,0)),""))</f>
        <v>0</v>
      </c>
      <c r="G356" s="8">
        <f>IF(B356="","",IFERROR(INDEX(Ingredients!$D$5:$D$304,MATCH(B356,Ingredients!$A$5:$A$304,0)),""))</f>
        <v>0</v>
      </c>
      <c r="H356" s="8">
        <f>IF(OR(B356="",C356=""),"",IFERROR(C356*G356,""))</f>
        <v>0</v>
      </c>
      <c r="I356" s="8">
        <f>IF(A356="","",IFERROR(INDEX(Recipes!$D$5:$D$204,MATCH(A356,Recipes!$A$5:$A$204,0)),""))</f>
        <v>0</v>
      </c>
      <c r="J356" s="8">
        <f>IF(OR(H356="",I356="",I356=0),"",IFERROR(H356/I356,""))</f>
        <v>0</v>
      </c>
      <c r="K356" s="8">
        <f>IF(OR(B356="",C356=""),"",IFERROR(C356*IFERROR(INDEX(Ingredients!$H$5:$H$304,MATCH(B356,Ingredients!$A$5:$A$304,0)),""),""))</f>
        <v>0</v>
      </c>
      <c r="L356" s="8">
        <f>IF(OR(B356="",C356=""),"",IFERROR(C356*IFERROR(INDEX(Ingredients!$I$5:$I$304,MATCH(B356,Ingredients!$A$5:$A$304,0)),""),""))</f>
        <v>0</v>
      </c>
      <c r="M356" s="8">
        <f>IF(OR(B356="",C356=""),"",IFERROR(C356*IFERROR(INDEX(Ingredients!$J$5:$J$304,MATCH(B356,Ingredients!$A$5:$A$304,0)),""),""))</f>
        <v>0</v>
      </c>
      <c r="N356" s="8">
        <f>IF(OR(B356="",C356=""),"",IFERROR(C356*IFERROR(INDEX(Ingredients!$K$5:$K$304,MATCH(B356,Ingredients!$A$5:$A$304,0)),""),""))</f>
        <v>0</v>
      </c>
      <c r="O356" s="8">
        <f>IF(OR(B356="",C356=""),"",IFERROR(C356*IFERROR(INDEX(Ingredients!$L$5:$L$304,MATCH(B356,Ingredients!$A$5:$A$304,0)),""),""))</f>
        <v>0</v>
      </c>
      <c r="P356" s="8">
        <f>IF(OR(H356="",A356=""),"",IFERROR(H356/SUMIFS('Recipe Ingredients'!$H$5:$H$1204,'Recipe Ingredients'!$A$5:$A$1204,A356),""))</f>
        <v>0</v>
      </c>
      <c r="Q356" s="8">
        <f>IF(H356="","",COUNTIFS($H$5:$H$1204,"&gt;"&amp;H356)+1)</f>
        <v>0</v>
      </c>
      <c r="R356" s="8">
        <f>IF(B356="","",SUMIFS(Pantry!$C$5:$C$304,Pantry!$A$5:$A$304,B356))</f>
        <v>0</v>
      </c>
      <c r="S356" s="8">
        <f>IF(OR(B356="",C356=""),"",MAX(0,C356-R356))</f>
        <v>0</v>
      </c>
      <c r="T356" s="26"/>
      <c r="U356" s="8">
        <f>IF(OR(T356="",T356=0,G356=""),"",T356*G356)</f>
        <v>0</v>
      </c>
      <c r="V356" s="8">
        <f>IF(OR(S356="",T356="",T356=0),"",CEILING(S356/T356,1))</f>
        <v>0</v>
      </c>
      <c r="W356" s="27"/>
      <c r="X356" s="29"/>
      <c r="Y356" s="8">
        <f>IF(OR(C356="",X356=""),"",C356*(1+X356))</f>
        <v>0</v>
      </c>
      <c r="Z356" s="8">
        <f>IF(B356="","",IFERROR(INDEX(Ingredients!$O$5:$O$304,MATCH(B356,Ingredients!$A$5:$A$304,0)),""))</f>
        <v>0</v>
      </c>
      <c r="AA356" s="8">
        <f>IF(B356="","",IF(R356&gt;=C356,"In pantry","To buy"))</f>
        <v>0</v>
      </c>
      <c r="AB356" s="8">
        <f>IF(A356="","",COUNTIFS($A$5:A356,A356))</f>
        <v>0</v>
      </c>
      <c r="AC356" s="8">
        <f>IF(B356="","",IF(COUNTIFS('Dietary Filters'!$C$5:$C$104,B356)&gt;0,"Check","OK"))</f>
        <v>0</v>
      </c>
      <c r="AD356" s="25"/>
    </row>
    <row r="357" spans="1:30">
      <c r="A357" s="7"/>
      <c r="B357" s="7"/>
      <c r="C357" s="26"/>
      <c r="D357" s="27"/>
      <c r="E357" s="8">
        <f>IF(B357="","",IFERROR(INDEX(Ingredients!$B$5:$B$304,MATCH(B357,Ingredients!$A$5:$A$304,0)),""))</f>
        <v>0</v>
      </c>
      <c r="F357" s="8">
        <f>IF(B357="","",IFERROR(INDEX(Ingredients!$E$5:$E$304,MATCH(B357,Ingredients!$A$5:$A$304,0)),""))</f>
        <v>0</v>
      </c>
      <c r="G357" s="8">
        <f>IF(B357="","",IFERROR(INDEX(Ingredients!$D$5:$D$304,MATCH(B357,Ingredients!$A$5:$A$304,0)),""))</f>
        <v>0</v>
      </c>
      <c r="H357" s="8">
        <f>IF(OR(B357="",C357=""),"",IFERROR(C357*G357,""))</f>
        <v>0</v>
      </c>
      <c r="I357" s="8">
        <f>IF(A357="","",IFERROR(INDEX(Recipes!$D$5:$D$204,MATCH(A357,Recipes!$A$5:$A$204,0)),""))</f>
        <v>0</v>
      </c>
      <c r="J357" s="8">
        <f>IF(OR(H357="",I357="",I357=0),"",IFERROR(H357/I357,""))</f>
        <v>0</v>
      </c>
      <c r="K357" s="8">
        <f>IF(OR(B357="",C357=""),"",IFERROR(C357*IFERROR(INDEX(Ingredients!$H$5:$H$304,MATCH(B357,Ingredients!$A$5:$A$304,0)),""),""))</f>
        <v>0</v>
      </c>
      <c r="L357" s="8">
        <f>IF(OR(B357="",C357=""),"",IFERROR(C357*IFERROR(INDEX(Ingredients!$I$5:$I$304,MATCH(B357,Ingredients!$A$5:$A$304,0)),""),""))</f>
        <v>0</v>
      </c>
      <c r="M357" s="8">
        <f>IF(OR(B357="",C357=""),"",IFERROR(C357*IFERROR(INDEX(Ingredients!$J$5:$J$304,MATCH(B357,Ingredients!$A$5:$A$304,0)),""),""))</f>
        <v>0</v>
      </c>
      <c r="N357" s="8">
        <f>IF(OR(B357="",C357=""),"",IFERROR(C357*IFERROR(INDEX(Ingredients!$K$5:$K$304,MATCH(B357,Ingredients!$A$5:$A$304,0)),""),""))</f>
        <v>0</v>
      </c>
      <c r="O357" s="8">
        <f>IF(OR(B357="",C357=""),"",IFERROR(C357*IFERROR(INDEX(Ingredients!$L$5:$L$304,MATCH(B357,Ingredients!$A$5:$A$304,0)),""),""))</f>
        <v>0</v>
      </c>
      <c r="P357" s="8">
        <f>IF(OR(H357="",A357=""),"",IFERROR(H357/SUMIFS('Recipe Ingredients'!$H$5:$H$1204,'Recipe Ingredients'!$A$5:$A$1204,A357),""))</f>
        <v>0</v>
      </c>
      <c r="Q357" s="8">
        <f>IF(H357="","",COUNTIFS($H$5:$H$1204,"&gt;"&amp;H357)+1)</f>
        <v>0</v>
      </c>
      <c r="R357" s="8">
        <f>IF(B357="","",SUMIFS(Pantry!$C$5:$C$304,Pantry!$A$5:$A$304,B357))</f>
        <v>0</v>
      </c>
      <c r="S357" s="8">
        <f>IF(OR(B357="",C357=""),"",MAX(0,C357-R357))</f>
        <v>0</v>
      </c>
      <c r="T357" s="26"/>
      <c r="U357" s="8">
        <f>IF(OR(T357="",T357=0,G357=""),"",T357*G357)</f>
        <v>0</v>
      </c>
      <c r="V357" s="8">
        <f>IF(OR(S357="",T357="",T357=0),"",CEILING(S357/T357,1))</f>
        <v>0</v>
      </c>
      <c r="W357" s="27"/>
      <c r="X357" s="29"/>
      <c r="Y357" s="8">
        <f>IF(OR(C357="",X357=""),"",C357*(1+X357))</f>
        <v>0</v>
      </c>
      <c r="Z357" s="8">
        <f>IF(B357="","",IFERROR(INDEX(Ingredients!$O$5:$O$304,MATCH(B357,Ingredients!$A$5:$A$304,0)),""))</f>
        <v>0</v>
      </c>
      <c r="AA357" s="8">
        <f>IF(B357="","",IF(R357&gt;=C357,"In pantry","To buy"))</f>
        <v>0</v>
      </c>
      <c r="AB357" s="8">
        <f>IF(A357="","",COUNTIFS($A$5:A357,A357))</f>
        <v>0</v>
      </c>
      <c r="AC357" s="8">
        <f>IF(B357="","",IF(COUNTIFS('Dietary Filters'!$C$5:$C$104,B357)&gt;0,"Check","OK"))</f>
        <v>0</v>
      </c>
      <c r="AD357" s="25"/>
    </row>
    <row r="358" spans="1:30">
      <c r="A358" s="7"/>
      <c r="B358" s="7"/>
      <c r="C358" s="26"/>
      <c r="D358" s="27"/>
      <c r="E358" s="8">
        <f>IF(B358="","",IFERROR(INDEX(Ingredients!$B$5:$B$304,MATCH(B358,Ingredients!$A$5:$A$304,0)),""))</f>
        <v>0</v>
      </c>
      <c r="F358" s="8">
        <f>IF(B358="","",IFERROR(INDEX(Ingredients!$E$5:$E$304,MATCH(B358,Ingredients!$A$5:$A$304,0)),""))</f>
        <v>0</v>
      </c>
      <c r="G358" s="8">
        <f>IF(B358="","",IFERROR(INDEX(Ingredients!$D$5:$D$304,MATCH(B358,Ingredients!$A$5:$A$304,0)),""))</f>
        <v>0</v>
      </c>
      <c r="H358" s="8">
        <f>IF(OR(B358="",C358=""),"",IFERROR(C358*G358,""))</f>
        <v>0</v>
      </c>
      <c r="I358" s="8">
        <f>IF(A358="","",IFERROR(INDEX(Recipes!$D$5:$D$204,MATCH(A358,Recipes!$A$5:$A$204,0)),""))</f>
        <v>0</v>
      </c>
      <c r="J358" s="8">
        <f>IF(OR(H358="",I358="",I358=0),"",IFERROR(H358/I358,""))</f>
        <v>0</v>
      </c>
      <c r="K358" s="8">
        <f>IF(OR(B358="",C358=""),"",IFERROR(C358*IFERROR(INDEX(Ingredients!$H$5:$H$304,MATCH(B358,Ingredients!$A$5:$A$304,0)),""),""))</f>
        <v>0</v>
      </c>
      <c r="L358" s="8">
        <f>IF(OR(B358="",C358=""),"",IFERROR(C358*IFERROR(INDEX(Ingredients!$I$5:$I$304,MATCH(B358,Ingredients!$A$5:$A$304,0)),""),""))</f>
        <v>0</v>
      </c>
      <c r="M358" s="8">
        <f>IF(OR(B358="",C358=""),"",IFERROR(C358*IFERROR(INDEX(Ingredients!$J$5:$J$304,MATCH(B358,Ingredients!$A$5:$A$304,0)),""),""))</f>
        <v>0</v>
      </c>
      <c r="N358" s="8">
        <f>IF(OR(B358="",C358=""),"",IFERROR(C358*IFERROR(INDEX(Ingredients!$K$5:$K$304,MATCH(B358,Ingredients!$A$5:$A$304,0)),""),""))</f>
        <v>0</v>
      </c>
      <c r="O358" s="8">
        <f>IF(OR(B358="",C358=""),"",IFERROR(C358*IFERROR(INDEX(Ingredients!$L$5:$L$304,MATCH(B358,Ingredients!$A$5:$A$304,0)),""),""))</f>
        <v>0</v>
      </c>
      <c r="P358" s="8">
        <f>IF(OR(H358="",A358=""),"",IFERROR(H358/SUMIFS('Recipe Ingredients'!$H$5:$H$1204,'Recipe Ingredients'!$A$5:$A$1204,A358),""))</f>
        <v>0</v>
      </c>
      <c r="Q358" s="8">
        <f>IF(H358="","",COUNTIFS($H$5:$H$1204,"&gt;"&amp;H358)+1)</f>
        <v>0</v>
      </c>
      <c r="R358" s="8">
        <f>IF(B358="","",SUMIFS(Pantry!$C$5:$C$304,Pantry!$A$5:$A$304,B358))</f>
        <v>0</v>
      </c>
      <c r="S358" s="8">
        <f>IF(OR(B358="",C358=""),"",MAX(0,C358-R358))</f>
        <v>0</v>
      </c>
      <c r="T358" s="26"/>
      <c r="U358" s="8">
        <f>IF(OR(T358="",T358=0,G358=""),"",T358*G358)</f>
        <v>0</v>
      </c>
      <c r="V358" s="8">
        <f>IF(OR(S358="",T358="",T358=0),"",CEILING(S358/T358,1))</f>
        <v>0</v>
      </c>
      <c r="W358" s="27"/>
      <c r="X358" s="29"/>
      <c r="Y358" s="8">
        <f>IF(OR(C358="",X358=""),"",C358*(1+X358))</f>
        <v>0</v>
      </c>
      <c r="Z358" s="8">
        <f>IF(B358="","",IFERROR(INDEX(Ingredients!$O$5:$O$304,MATCH(B358,Ingredients!$A$5:$A$304,0)),""))</f>
        <v>0</v>
      </c>
      <c r="AA358" s="8">
        <f>IF(B358="","",IF(R358&gt;=C358,"In pantry","To buy"))</f>
        <v>0</v>
      </c>
      <c r="AB358" s="8">
        <f>IF(A358="","",COUNTIFS($A$5:A358,A358))</f>
        <v>0</v>
      </c>
      <c r="AC358" s="8">
        <f>IF(B358="","",IF(COUNTIFS('Dietary Filters'!$C$5:$C$104,B358)&gt;0,"Check","OK"))</f>
        <v>0</v>
      </c>
      <c r="AD358" s="25"/>
    </row>
    <row r="359" spans="1:30">
      <c r="A359" s="7"/>
      <c r="B359" s="7"/>
      <c r="C359" s="26"/>
      <c r="D359" s="27"/>
      <c r="E359" s="8">
        <f>IF(B359="","",IFERROR(INDEX(Ingredients!$B$5:$B$304,MATCH(B359,Ingredients!$A$5:$A$304,0)),""))</f>
        <v>0</v>
      </c>
      <c r="F359" s="8">
        <f>IF(B359="","",IFERROR(INDEX(Ingredients!$E$5:$E$304,MATCH(B359,Ingredients!$A$5:$A$304,0)),""))</f>
        <v>0</v>
      </c>
      <c r="G359" s="8">
        <f>IF(B359="","",IFERROR(INDEX(Ingredients!$D$5:$D$304,MATCH(B359,Ingredients!$A$5:$A$304,0)),""))</f>
        <v>0</v>
      </c>
      <c r="H359" s="8">
        <f>IF(OR(B359="",C359=""),"",IFERROR(C359*G359,""))</f>
        <v>0</v>
      </c>
      <c r="I359" s="8">
        <f>IF(A359="","",IFERROR(INDEX(Recipes!$D$5:$D$204,MATCH(A359,Recipes!$A$5:$A$204,0)),""))</f>
        <v>0</v>
      </c>
      <c r="J359" s="8">
        <f>IF(OR(H359="",I359="",I359=0),"",IFERROR(H359/I359,""))</f>
        <v>0</v>
      </c>
      <c r="K359" s="8">
        <f>IF(OR(B359="",C359=""),"",IFERROR(C359*IFERROR(INDEX(Ingredients!$H$5:$H$304,MATCH(B359,Ingredients!$A$5:$A$304,0)),""),""))</f>
        <v>0</v>
      </c>
      <c r="L359" s="8">
        <f>IF(OR(B359="",C359=""),"",IFERROR(C359*IFERROR(INDEX(Ingredients!$I$5:$I$304,MATCH(B359,Ingredients!$A$5:$A$304,0)),""),""))</f>
        <v>0</v>
      </c>
      <c r="M359" s="8">
        <f>IF(OR(B359="",C359=""),"",IFERROR(C359*IFERROR(INDEX(Ingredients!$J$5:$J$304,MATCH(B359,Ingredients!$A$5:$A$304,0)),""),""))</f>
        <v>0</v>
      </c>
      <c r="N359" s="8">
        <f>IF(OR(B359="",C359=""),"",IFERROR(C359*IFERROR(INDEX(Ingredients!$K$5:$K$304,MATCH(B359,Ingredients!$A$5:$A$304,0)),""),""))</f>
        <v>0</v>
      </c>
      <c r="O359" s="8">
        <f>IF(OR(B359="",C359=""),"",IFERROR(C359*IFERROR(INDEX(Ingredients!$L$5:$L$304,MATCH(B359,Ingredients!$A$5:$A$304,0)),""),""))</f>
        <v>0</v>
      </c>
      <c r="P359" s="8">
        <f>IF(OR(H359="",A359=""),"",IFERROR(H359/SUMIFS('Recipe Ingredients'!$H$5:$H$1204,'Recipe Ingredients'!$A$5:$A$1204,A359),""))</f>
        <v>0</v>
      </c>
      <c r="Q359" s="8">
        <f>IF(H359="","",COUNTIFS($H$5:$H$1204,"&gt;"&amp;H359)+1)</f>
        <v>0</v>
      </c>
      <c r="R359" s="8">
        <f>IF(B359="","",SUMIFS(Pantry!$C$5:$C$304,Pantry!$A$5:$A$304,B359))</f>
        <v>0</v>
      </c>
      <c r="S359" s="8">
        <f>IF(OR(B359="",C359=""),"",MAX(0,C359-R359))</f>
        <v>0</v>
      </c>
      <c r="T359" s="26"/>
      <c r="U359" s="8">
        <f>IF(OR(T359="",T359=0,G359=""),"",T359*G359)</f>
        <v>0</v>
      </c>
      <c r="V359" s="8">
        <f>IF(OR(S359="",T359="",T359=0),"",CEILING(S359/T359,1))</f>
        <v>0</v>
      </c>
      <c r="W359" s="27"/>
      <c r="X359" s="29"/>
      <c r="Y359" s="8">
        <f>IF(OR(C359="",X359=""),"",C359*(1+X359))</f>
        <v>0</v>
      </c>
      <c r="Z359" s="8">
        <f>IF(B359="","",IFERROR(INDEX(Ingredients!$O$5:$O$304,MATCH(B359,Ingredients!$A$5:$A$304,0)),""))</f>
        <v>0</v>
      </c>
      <c r="AA359" s="8">
        <f>IF(B359="","",IF(R359&gt;=C359,"In pantry","To buy"))</f>
        <v>0</v>
      </c>
      <c r="AB359" s="8">
        <f>IF(A359="","",COUNTIFS($A$5:A359,A359))</f>
        <v>0</v>
      </c>
      <c r="AC359" s="8">
        <f>IF(B359="","",IF(COUNTIFS('Dietary Filters'!$C$5:$C$104,B359)&gt;0,"Check","OK"))</f>
        <v>0</v>
      </c>
      <c r="AD359" s="25"/>
    </row>
    <row r="360" spans="1:30">
      <c r="A360" s="7"/>
      <c r="B360" s="7"/>
      <c r="C360" s="26"/>
      <c r="D360" s="27"/>
      <c r="E360" s="8">
        <f>IF(B360="","",IFERROR(INDEX(Ingredients!$B$5:$B$304,MATCH(B360,Ingredients!$A$5:$A$304,0)),""))</f>
        <v>0</v>
      </c>
      <c r="F360" s="8">
        <f>IF(B360="","",IFERROR(INDEX(Ingredients!$E$5:$E$304,MATCH(B360,Ingredients!$A$5:$A$304,0)),""))</f>
        <v>0</v>
      </c>
      <c r="G360" s="8">
        <f>IF(B360="","",IFERROR(INDEX(Ingredients!$D$5:$D$304,MATCH(B360,Ingredients!$A$5:$A$304,0)),""))</f>
        <v>0</v>
      </c>
      <c r="H360" s="8">
        <f>IF(OR(B360="",C360=""),"",IFERROR(C360*G360,""))</f>
        <v>0</v>
      </c>
      <c r="I360" s="8">
        <f>IF(A360="","",IFERROR(INDEX(Recipes!$D$5:$D$204,MATCH(A360,Recipes!$A$5:$A$204,0)),""))</f>
        <v>0</v>
      </c>
      <c r="J360" s="8">
        <f>IF(OR(H360="",I360="",I360=0),"",IFERROR(H360/I360,""))</f>
        <v>0</v>
      </c>
      <c r="K360" s="8">
        <f>IF(OR(B360="",C360=""),"",IFERROR(C360*IFERROR(INDEX(Ingredients!$H$5:$H$304,MATCH(B360,Ingredients!$A$5:$A$304,0)),""),""))</f>
        <v>0</v>
      </c>
      <c r="L360" s="8">
        <f>IF(OR(B360="",C360=""),"",IFERROR(C360*IFERROR(INDEX(Ingredients!$I$5:$I$304,MATCH(B360,Ingredients!$A$5:$A$304,0)),""),""))</f>
        <v>0</v>
      </c>
      <c r="M360" s="8">
        <f>IF(OR(B360="",C360=""),"",IFERROR(C360*IFERROR(INDEX(Ingredients!$J$5:$J$304,MATCH(B360,Ingredients!$A$5:$A$304,0)),""),""))</f>
        <v>0</v>
      </c>
      <c r="N360" s="8">
        <f>IF(OR(B360="",C360=""),"",IFERROR(C360*IFERROR(INDEX(Ingredients!$K$5:$K$304,MATCH(B360,Ingredients!$A$5:$A$304,0)),""),""))</f>
        <v>0</v>
      </c>
      <c r="O360" s="8">
        <f>IF(OR(B360="",C360=""),"",IFERROR(C360*IFERROR(INDEX(Ingredients!$L$5:$L$304,MATCH(B360,Ingredients!$A$5:$A$304,0)),""),""))</f>
        <v>0</v>
      </c>
      <c r="P360" s="8">
        <f>IF(OR(H360="",A360=""),"",IFERROR(H360/SUMIFS('Recipe Ingredients'!$H$5:$H$1204,'Recipe Ingredients'!$A$5:$A$1204,A360),""))</f>
        <v>0</v>
      </c>
      <c r="Q360" s="8">
        <f>IF(H360="","",COUNTIFS($H$5:$H$1204,"&gt;"&amp;H360)+1)</f>
        <v>0</v>
      </c>
      <c r="R360" s="8">
        <f>IF(B360="","",SUMIFS(Pantry!$C$5:$C$304,Pantry!$A$5:$A$304,B360))</f>
        <v>0</v>
      </c>
      <c r="S360" s="8">
        <f>IF(OR(B360="",C360=""),"",MAX(0,C360-R360))</f>
        <v>0</v>
      </c>
      <c r="T360" s="26"/>
      <c r="U360" s="8">
        <f>IF(OR(T360="",T360=0,G360=""),"",T360*G360)</f>
        <v>0</v>
      </c>
      <c r="V360" s="8">
        <f>IF(OR(S360="",T360="",T360=0),"",CEILING(S360/T360,1))</f>
        <v>0</v>
      </c>
      <c r="W360" s="27"/>
      <c r="X360" s="29"/>
      <c r="Y360" s="8">
        <f>IF(OR(C360="",X360=""),"",C360*(1+X360))</f>
        <v>0</v>
      </c>
      <c r="Z360" s="8">
        <f>IF(B360="","",IFERROR(INDEX(Ingredients!$O$5:$O$304,MATCH(B360,Ingredients!$A$5:$A$304,0)),""))</f>
        <v>0</v>
      </c>
      <c r="AA360" s="8">
        <f>IF(B360="","",IF(R360&gt;=C360,"In pantry","To buy"))</f>
        <v>0</v>
      </c>
      <c r="AB360" s="8">
        <f>IF(A360="","",COUNTIFS($A$5:A360,A360))</f>
        <v>0</v>
      </c>
      <c r="AC360" s="8">
        <f>IF(B360="","",IF(COUNTIFS('Dietary Filters'!$C$5:$C$104,B360)&gt;0,"Check","OK"))</f>
        <v>0</v>
      </c>
      <c r="AD360" s="25"/>
    </row>
    <row r="361" spans="1:30">
      <c r="A361" s="7"/>
      <c r="B361" s="7"/>
      <c r="C361" s="26"/>
      <c r="D361" s="27"/>
      <c r="E361" s="8">
        <f>IF(B361="","",IFERROR(INDEX(Ingredients!$B$5:$B$304,MATCH(B361,Ingredients!$A$5:$A$304,0)),""))</f>
        <v>0</v>
      </c>
      <c r="F361" s="8">
        <f>IF(B361="","",IFERROR(INDEX(Ingredients!$E$5:$E$304,MATCH(B361,Ingredients!$A$5:$A$304,0)),""))</f>
        <v>0</v>
      </c>
      <c r="G361" s="8">
        <f>IF(B361="","",IFERROR(INDEX(Ingredients!$D$5:$D$304,MATCH(B361,Ingredients!$A$5:$A$304,0)),""))</f>
        <v>0</v>
      </c>
      <c r="H361" s="8">
        <f>IF(OR(B361="",C361=""),"",IFERROR(C361*G361,""))</f>
        <v>0</v>
      </c>
      <c r="I361" s="8">
        <f>IF(A361="","",IFERROR(INDEX(Recipes!$D$5:$D$204,MATCH(A361,Recipes!$A$5:$A$204,0)),""))</f>
        <v>0</v>
      </c>
      <c r="J361" s="8">
        <f>IF(OR(H361="",I361="",I361=0),"",IFERROR(H361/I361,""))</f>
        <v>0</v>
      </c>
      <c r="K361" s="8">
        <f>IF(OR(B361="",C361=""),"",IFERROR(C361*IFERROR(INDEX(Ingredients!$H$5:$H$304,MATCH(B361,Ingredients!$A$5:$A$304,0)),""),""))</f>
        <v>0</v>
      </c>
      <c r="L361" s="8">
        <f>IF(OR(B361="",C361=""),"",IFERROR(C361*IFERROR(INDEX(Ingredients!$I$5:$I$304,MATCH(B361,Ingredients!$A$5:$A$304,0)),""),""))</f>
        <v>0</v>
      </c>
      <c r="M361" s="8">
        <f>IF(OR(B361="",C361=""),"",IFERROR(C361*IFERROR(INDEX(Ingredients!$J$5:$J$304,MATCH(B361,Ingredients!$A$5:$A$304,0)),""),""))</f>
        <v>0</v>
      </c>
      <c r="N361" s="8">
        <f>IF(OR(B361="",C361=""),"",IFERROR(C361*IFERROR(INDEX(Ingredients!$K$5:$K$304,MATCH(B361,Ingredients!$A$5:$A$304,0)),""),""))</f>
        <v>0</v>
      </c>
      <c r="O361" s="8">
        <f>IF(OR(B361="",C361=""),"",IFERROR(C361*IFERROR(INDEX(Ingredients!$L$5:$L$304,MATCH(B361,Ingredients!$A$5:$A$304,0)),""),""))</f>
        <v>0</v>
      </c>
      <c r="P361" s="8">
        <f>IF(OR(H361="",A361=""),"",IFERROR(H361/SUMIFS('Recipe Ingredients'!$H$5:$H$1204,'Recipe Ingredients'!$A$5:$A$1204,A361),""))</f>
        <v>0</v>
      </c>
      <c r="Q361" s="8">
        <f>IF(H361="","",COUNTIFS($H$5:$H$1204,"&gt;"&amp;H361)+1)</f>
        <v>0</v>
      </c>
      <c r="R361" s="8">
        <f>IF(B361="","",SUMIFS(Pantry!$C$5:$C$304,Pantry!$A$5:$A$304,B361))</f>
        <v>0</v>
      </c>
      <c r="S361" s="8">
        <f>IF(OR(B361="",C361=""),"",MAX(0,C361-R361))</f>
        <v>0</v>
      </c>
      <c r="T361" s="26"/>
      <c r="U361" s="8">
        <f>IF(OR(T361="",T361=0,G361=""),"",T361*G361)</f>
        <v>0</v>
      </c>
      <c r="V361" s="8">
        <f>IF(OR(S361="",T361="",T361=0),"",CEILING(S361/T361,1))</f>
        <v>0</v>
      </c>
      <c r="W361" s="27"/>
      <c r="X361" s="29"/>
      <c r="Y361" s="8">
        <f>IF(OR(C361="",X361=""),"",C361*(1+X361))</f>
        <v>0</v>
      </c>
      <c r="Z361" s="8">
        <f>IF(B361="","",IFERROR(INDEX(Ingredients!$O$5:$O$304,MATCH(B361,Ingredients!$A$5:$A$304,0)),""))</f>
        <v>0</v>
      </c>
      <c r="AA361" s="8">
        <f>IF(B361="","",IF(R361&gt;=C361,"In pantry","To buy"))</f>
        <v>0</v>
      </c>
      <c r="AB361" s="8">
        <f>IF(A361="","",COUNTIFS($A$5:A361,A361))</f>
        <v>0</v>
      </c>
      <c r="AC361" s="8">
        <f>IF(B361="","",IF(COUNTIFS('Dietary Filters'!$C$5:$C$104,B361)&gt;0,"Check","OK"))</f>
        <v>0</v>
      </c>
      <c r="AD361" s="25"/>
    </row>
    <row r="362" spans="1:30">
      <c r="A362" s="7"/>
      <c r="B362" s="7"/>
      <c r="C362" s="26"/>
      <c r="D362" s="27"/>
      <c r="E362" s="8">
        <f>IF(B362="","",IFERROR(INDEX(Ingredients!$B$5:$B$304,MATCH(B362,Ingredients!$A$5:$A$304,0)),""))</f>
        <v>0</v>
      </c>
      <c r="F362" s="8">
        <f>IF(B362="","",IFERROR(INDEX(Ingredients!$E$5:$E$304,MATCH(B362,Ingredients!$A$5:$A$304,0)),""))</f>
        <v>0</v>
      </c>
      <c r="G362" s="8">
        <f>IF(B362="","",IFERROR(INDEX(Ingredients!$D$5:$D$304,MATCH(B362,Ingredients!$A$5:$A$304,0)),""))</f>
        <v>0</v>
      </c>
      <c r="H362" s="8">
        <f>IF(OR(B362="",C362=""),"",IFERROR(C362*G362,""))</f>
        <v>0</v>
      </c>
      <c r="I362" s="8">
        <f>IF(A362="","",IFERROR(INDEX(Recipes!$D$5:$D$204,MATCH(A362,Recipes!$A$5:$A$204,0)),""))</f>
        <v>0</v>
      </c>
      <c r="J362" s="8">
        <f>IF(OR(H362="",I362="",I362=0),"",IFERROR(H362/I362,""))</f>
        <v>0</v>
      </c>
      <c r="K362" s="8">
        <f>IF(OR(B362="",C362=""),"",IFERROR(C362*IFERROR(INDEX(Ingredients!$H$5:$H$304,MATCH(B362,Ingredients!$A$5:$A$304,0)),""),""))</f>
        <v>0</v>
      </c>
      <c r="L362" s="8">
        <f>IF(OR(B362="",C362=""),"",IFERROR(C362*IFERROR(INDEX(Ingredients!$I$5:$I$304,MATCH(B362,Ingredients!$A$5:$A$304,0)),""),""))</f>
        <v>0</v>
      </c>
      <c r="M362" s="8">
        <f>IF(OR(B362="",C362=""),"",IFERROR(C362*IFERROR(INDEX(Ingredients!$J$5:$J$304,MATCH(B362,Ingredients!$A$5:$A$304,0)),""),""))</f>
        <v>0</v>
      </c>
      <c r="N362" s="8">
        <f>IF(OR(B362="",C362=""),"",IFERROR(C362*IFERROR(INDEX(Ingredients!$K$5:$K$304,MATCH(B362,Ingredients!$A$5:$A$304,0)),""),""))</f>
        <v>0</v>
      </c>
      <c r="O362" s="8">
        <f>IF(OR(B362="",C362=""),"",IFERROR(C362*IFERROR(INDEX(Ingredients!$L$5:$L$304,MATCH(B362,Ingredients!$A$5:$A$304,0)),""),""))</f>
        <v>0</v>
      </c>
      <c r="P362" s="8">
        <f>IF(OR(H362="",A362=""),"",IFERROR(H362/SUMIFS('Recipe Ingredients'!$H$5:$H$1204,'Recipe Ingredients'!$A$5:$A$1204,A362),""))</f>
        <v>0</v>
      </c>
      <c r="Q362" s="8">
        <f>IF(H362="","",COUNTIFS($H$5:$H$1204,"&gt;"&amp;H362)+1)</f>
        <v>0</v>
      </c>
      <c r="R362" s="8">
        <f>IF(B362="","",SUMIFS(Pantry!$C$5:$C$304,Pantry!$A$5:$A$304,B362))</f>
        <v>0</v>
      </c>
      <c r="S362" s="8">
        <f>IF(OR(B362="",C362=""),"",MAX(0,C362-R362))</f>
        <v>0</v>
      </c>
      <c r="T362" s="26"/>
      <c r="U362" s="8">
        <f>IF(OR(T362="",T362=0,G362=""),"",T362*G362)</f>
        <v>0</v>
      </c>
      <c r="V362" s="8">
        <f>IF(OR(S362="",T362="",T362=0),"",CEILING(S362/T362,1))</f>
        <v>0</v>
      </c>
      <c r="W362" s="27"/>
      <c r="X362" s="29"/>
      <c r="Y362" s="8">
        <f>IF(OR(C362="",X362=""),"",C362*(1+X362))</f>
        <v>0</v>
      </c>
      <c r="Z362" s="8">
        <f>IF(B362="","",IFERROR(INDEX(Ingredients!$O$5:$O$304,MATCH(B362,Ingredients!$A$5:$A$304,0)),""))</f>
        <v>0</v>
      </c>
      <c r="AA362" s="8">
        <f>IF(B362="","",IF(R362&gt;=C362,"In pantry","To buy"))</f>
        <v>0</v>
      </c>
      <c r="AB362" s="8">
        <f>IF(A362="","",COUNTIFS($A$5:A362,A362))</f>
        <v>0</v>
      </c>
      <c r="AC362" s="8">
        <f>IF(B362="","",IF(COUNTIFS('Dietary Filters'!$C$5:$C$104,B362)&gt;0,"Check","OK"))</f>
        <v>0</v>
      </c>
      <c r="AD362" s="25"/>
    </row>
    <row r="363" spans="1:30">
      <c r="A363" s="7"/>
      <c r="B363" s="7"/>
      <c r="C363" s="26"/>
      <c r="D363" s="27"/>
      <c r="E363" s="8">
        <f>IF(B363="","",IFERROR(INDEX(Ingredients!$B$5:$B$304,MATCH(B363,Ingredients!$A$5:$A$304,0)),""))</f>
        <v>0</v>
      </c>
      <c r="F363" s="8">
        <f>IF(B363="","",IFERROR(INDEX(Ingredients!$E$5:$E$304,MATCH(B363,Ingredients!$A$5:$A$304,0)),""))</f>
        <v>0</v>
      </c>
      <c r="G363" s="8">
        <f>IF(B363="","",IFERROR(INDEX(Ingredients!$D$5:$D$304,MATCH(B363,Ingredients!$A$5:$A$304,0)),""))</f>
        <v>0</v>
      </c>
      <c r="H363" s="8">
        <f>IF(OR(B363="",C363=""),"",IFERROR(C363*G363,""))</f>
        <v>0</v>
      </c>
      <c r="I363" s="8">
        <f>IF(A363="","",IFERROR(INDEX(Recipes!$D$5:$D$204,MATCH(A363,Recipes!$A$5:$A$204,0)),""))</f>
        <v>0</v>
      </c>
      <c r="J363" s="8">
        <f>IF(OR(H363="",I363="",I363=0),"",IFERROR(H363/I363,""))</f>
        <v>0</v>
      </c>
      <c r="K363" s="8">
        <f>IF(OR(B363="",C363=""),"",IFERROR(C363*IFERROR(INDEX(Ingredients!$H$5:$H$304,MATCH(B363,Ingredients!$A$5:$A$304,0)),""),""))</f>
        <v>0</v>
      </c>
      <c r="L363" s="8">
        <f>IF(OR(B363="",C363=""),"",IFERROR(C363*IFERROR(INDEX(Ingredients!$I$5:$I$304,MATCH(B363,Ingredients!$A$5:$A$304,0)),""),""))</f>
        <v>0</v>
      </c>
      <c r="M363" s="8">
        <f>IF(OR(B363="",C363=""),"",IFERROR(C363*IFERROR(INDEX(Ingredients!$J$5:$J$304,MATCH(B363,Ingredients!$A$5:$A$304,0)),""),""))</f>
        <v>0</v>
      </c>
      <c r="N363" s="8">
        <f>IF(OR(B363="",C363=""),"",IFERROR(C363*IFERROR(INDEX(Ingredients!$K$5:$K$304,MATCH(B363,Ingredients!$A$5:$A$304,0)),""),""))</f>
        <v>0</v>
      </c>
      <c r="O363" s="8">
        <f>IF(OR(B363="",C363=""),"",IFERROR(C363*IFERROR(INDEX(Ingredients!$L$5:$L$304,MATCH(B363,Ingredients!$A$5:$A$304,0)),""),""))</f>
        <v>0</v>
      </c>
      <c r="P363" s="8">
        <f>IF(OR(H363="",A363=""),"",IFERROR(H363/SUMIFS('Recipe Ingredients'!$H$5:$H$1204,'Recipe Ingredients'!$A$5:$A$1204,A363),""))</f>
        <v>0</v>
      </c>
      <c r="Q363" s="8">
        <f>IF(H363="","",COUNTIFS($H$5:$H$1204,"&gt;"&amp;H363)+1)</f>
        <v>0</v>
      </c>
      <c r="R363" s="8">
        <f>IF(B363="","",SUMIFS(Pantry!$C$5:$C$304,Pantry!$A$5:$A$304,B363))</f>
        <v>0</v>
      </c>
      <c r="S363" s="8">
        <f>IF(OR(B363="",C363=""),"",MAX(0,C363-R363))</f>
        <v>0</v>
      </c>
      <c r="T363" s="26"/>
      <c r="U363" s="8">
        <f>IF(OR(T363="",T363=0,G363=""),"",T363*G363)</f>
        <v>0</v>
      </c>
      <c r="V363" s="8">
        <f>IF(OR(S363="",T363="",T363=0),"",CEILING(S363/T363,1))</f>
        <v>0</v>
      </c>
      <c r="W363" s="27"/>
      <c r="X363" s="29"/>
      <c r="Y363" s="8">
        <f>IF(OR(C363="",X363=""),"",C363*(1+X363))</f>
        <v>0</v>
      </c>
      <c r="Z363" s="8">
        <f>IF(B363="","",IFERROR(INDEX(Ingredients!$O$5:$O$304,MATCH(B363,Ingredients!$A$5:$A$304,0)),""))</f>
        <v>0</v>
      </c>
      <c r="AA363" s="8">
        <f>IF(B363="","",IF(R363&gt;=C363,"In pantry","To buy"))</f>
        <v>0</v>
      </c>
      <c r="AB363" s="8">
        <f>IF(A363="","",COUNTIFS($A$5:A363,A363))</f>
        <v>0</v>
      </c>
      <c r="AC363" s="8">
        <f>IF(B363="","",IF(COUNTIFS('Dietary Filters'!$C$5:$C$104,B363)&gt;0,"Check","OK"))</f>
        <v>0</v>
      </c>
      <c r="AD363" s="25"/>
    </row>
    <row r="364" spans="1:30">
      <c r="A364" s="7"/>
      <c r="B364" s="7"/>
      <c r="C364" s="26"/>
      <c r="D364" s="27"/>
      <c r="E364" s="8">
        <f>IF(B364="","",IFERROR(INDEX(Ingredients!$B$5:$B$304,MATCH(B364,Ingredients!$A$5:$A$304,0)),""))</f>
        <v>0</v>
      </c>
      <c r="F364" s="8">
        <f>IF(B364="","",IFERROR(INDEX(Ingredients!$E$5:$E$304,MATCH(B364,Ingredients!$A$5:$A$304,0)),""))</f>
        <v>0</v>
      </c>
      <c r="G364" s="8">
        <f>IF(B364="","",IFERROR(INDEX(Ingredients!$D$5:$D$304,MATCH(B364,Ingredients!$A$5:$A$304,0)),""))</f>
        <v>0</v>
      </c>
      <c r="H364" s="8">
        <f>IF(OR(B364="",C364=""),"",IFERROR(C364*G364,""))</f>
        <v>0</v>
      </c>
      <c r="I364" s="8">
        <f>IF(A364="","",IFERROR(INDEX(Recipes!$D$5:$D$204,MATCH(A364,Recipes!$A$5:$A$204,0)),""))</f>
        <v>0</v>
      </c>
      <c r="J364" s="8">
        <f>IF(OR(H364="",I364="",I364=0),"",IFERROR(H364/I364,""))</f>
        <v>0</v>
      </c>
      <c r="K364" s="8">
        <f>IF(OR(B364="",C364=""),"",IFERROR(C364*IFERROR(INDEX(Ingredients!$H$5:$H$304,MATCH(B364,Ingredients!$A$5:$A$304,0)),""),""))</f>
        <v>0</v>
      </c>
      <c r="L364" s="8">
        <f>IF(OR(B364="",C364=""),"",IFERROR(C364*IFERROR(INDEX(Ingredients!$I$5:$I$304,MATCH(B364,Ingredients!$A$5:$A$304,0)),""),""))</f>
        <v>0</v>
      </c>
      <c r="M364" s="8">
        <f>IF(OR(B364="",C364=""),"",IFERROR(C364*IFERROR(INDEX(Ingredients!$J$5:$J$304,MATCH(B364,Ingredients!$A$5:$A$304,0)),""),""))</f>
        <v>0</v>
      </c>
      <c r="N364" s="8">
        <f>IF(OR(B364="",C364=""),"",IFERROR(C364*IFERROR(INDEX(Ingredients!$K$5:$K$304,MATCH(B364,Ingredients!$A$5:$A$304,0)),""),""))</f>
        <v>0</v>
      </c>
      <c r="O364" s="8">
        <f>IF(OR(B364="",C364=""),"",IFERROR(C364*IFERROR(INDEX(Ingredients!$L$5:$L$304,MATCH(B364,Ingredients!$A$5:$A$304,0)),""),""))</f>
        <v>0</v>
      </c>
      <c r="P364" s="8">
        <f>IF(OR(H364="",A364=""),"",IFERROR(H364/SUMIFS('Recipe Ingredients'!$H$5:$H$1204,'Recipe Ingredients'!$A$5:$A$1204,A364),""))</f>
        <v>0</v>
      </c>
      <c r="Q364" s="8">
        <f>IF(H364="","",COUNTIFS($H$5:$H$1204,"&gt;"&amp;H364)+1)</f>
        <v>0</v>
      </c>
      <c r="R364" s="8">
        <f>IF(B364="","",SUMIFS(Pantry!$C$5:$C$304,Pantry!$A$5:$A$304,B364))</f>
        <v>0</v>
      </c>
      <c r="S364" s="8">
        <f>IF(OR(B364="",C364=""),"",MAX(0,C364-R364))</f>
        <v>0</v>
      </c>
      <c r="T364" s="26"/>
      <c r="U364" s="8">
        <f>IF(OR(T364="",T364=0,G364=""),"",T364*G364)</f>
        <v>0</v>
      </c>
      <c r="V364" s="8">
        <f>IF(OR(S364="",T364="",T364=0),"",CEILING(S364/T364,1))</f>
        <v>0</v>
      </c>
      <c r="W364" s="27"/>
      <c r="X364" s="29"/>
      <c r="Y364" s="8">
        <f>IF(OR(C364="",X364=""),"",C364*(1+X364))</f>
        <v>0</v>
      </c>
      <c r="Z364" s="8">
        <f>IF(B364="","",IFERROR(INDEX(Ingredients!$O$5:$O$304,MATCH(B364,Ingredients!$A$5:$A$304,0)),""))</f>
        <v>0</v>
      </c>
      <c r="AA364" s="8">
        <f>IF(B364="","",IF(R364&gt;=C364,"In pantry","To buy"))</f>
        <v>0</v>
      </c>
      <c r="AB364" s="8">
        <f>IF(A364="","",COUNTIFS($A$5:A364,A364))</f>
        <v>0</v>
      </c>
      <c r="AC364" s="8">
        <f>IF(B364="","",IF(COUNTIFS('Dietary Filters'!$C$5:$C$104,B364)&gt;0,"Check","OK"))</f>
        <v>0</v>
      </c>
      <c r="AD364" s="25"/>
    </row>
    <row r="365" spans="1:30">
      <c r="A365" s="7"/>
      <c r="B365" s="7"/>
      <c r="C365" s="26"/>
      <c r="D365" s="27"/>
      <c r="E365" s="8">
        <f>IF(B365="","",IFERROR(INDEX(Ingredients!$B$5:$B$304,MATCH(B365,Ingredients!$A$5:$A$304,0)),""))</f>
        <v>0</v>
      </c>
      <c r="F365" s="8">
        <f>IF(B365="","",IFERROR(INDEX(Ingredients!$E$5:$E$304,MATCH(B365,Ingredients!$A$5:$A$304,0)),""))</f>
        <v>0</v>
      </c>
      <c r="G365" s="8">
        <f>IF(B365="","",IFERROR(INDEX(Ingredients!$D$5:$D$304,MATCH(B365,Ingredients!$A$5:$A$304,0)),""))</f>
        <v>0</v>
      </c>
      <c r="H365" s="8">
        <f>IF(OR(B365="",C365=""),"",IFERROR(C365*G365,""))</f>
        <v>0</v>
      </c>
      <c r="I365" s="8">
        <f>IF(A365="","",IFERROR(INDEX(Recipes!$D$5:$D$204,MATCH(A365,Recipes!$A$5:$A$204,0)),""))</f>
        <v>0</v>
      </c>
      <c r="J365" s="8">
        <f>IF(OR(H365="",I365="",I365=0),"",IFERROR(H365/I365,""))</f>
        <v>0</v>
      </c>
      <c r="K365" s="8">
        <f>IF(OR(B365="",C365=""),"",IFERROR(C365*IFERROR(INDEX(Ingredients!$H$5:$H$304,MATCH(B365,Ingredients!$A$5:$A$304,0)),""),""))</f>
        <v>0</v>
      </c>
      <c r="L365" s="8">
        <f>IF(OR(B365="",C365=""),"",IFERROR(C365*IFERROR(INDEX(Ingredients!$I$5:$I$304,MATCH(B365,Ingredients!$A$5:$A$304,0)),""),""))</f>
        <v>0</v>
      </c>
      <c r="M365" s="8">
        <f>IF(OR(B365="",C365=""),"",IFERROR(C365*IFERROR(INDEX(Ingredients!$J$5:$J$304,MATCH(B365,Ingredients!$A$5:$A$304,0)),""),""))</f>
        <v>0</v>
      </c>
      <c r="N365" s="8">
        <f>IF(OR(B365="",C365=""),"",IFERROR(C365*IFERROR(INDEX(Ingredients!$K$5:$K$304,MATCH(B365,Ingredients!$A$5:$A$304,0)),""),""))</f>
        <v>0</v>
      </c>
      <c r="O365" s="8">
        <f>IF(OR(B365="",C365=""),"",IFERROR(C365*IFERROR(INDEX(Ingredients!$L$5:$L$304,MATCH(B365,Ingredients!$A$5:$A$304,0)),""),""))</f>
        <v>0</v>
      </c>
      <c r="P365" s="8">
        <f>IF(OR(H365="",A365=""),"",IFERROR(H365/SUMIFS('Recipe Ingredients'!$H$5:$H$1204,'Recipe Ingredients'!$A$5:$A$1204,A365),""))</f>
        <v>0</v>
      </c>
      <c r="Q365" s="8">
        <f>IF(H365="","",COUNTIFS($H$5:$H$1204,"&gt;"&amp;H365)+1)</f>
        <v>0</v>
      </c>
      <c r="R365" s="8">
        <f>IF(B365="","",SUMIFS(Pantry!$C$5:$C$304,Pantry!$A$5:$A$304,B365))</f>
        <v>0</v>
      </c>
      <c r="S365" s="8">
        <f>IF(OR(B365="",C365=""),"",MAX(0,C365-R365))</f>
        <v>0</v>
      </c>
      <c r="T365" s="26"/>
      <c r="U365" s="8">
        <f>IF(OR(T365="",T365=0,G365=""),"",T365*G365)</f>
        <v>0</v>
      </c>
      <c r="V365" s="8">
        <f>IF(OR(S365="",T365="",T365=0),"",CEILING(S365/T365,1))</f>
        <v>0</v>
      </c>
      <c r="W365" s="27"/>
      <c r="X365" s="29"/>
      <c r="Y365" s="8">
        <f>IF(OR(C365="",X365=""),"",C365*(1+X365))</f>
        <v>0</v>
      </c>
      <c r="Z365" s="8">
        <f>IF(B365="","",IFERROR(INDEX(Ingredients!$O$5:$O$304,MATCH(B365,Ingredients!$A$5:$A$304,0)),""))</f>
        <v>0</v>
      </c>
      <c r="AA365" s="8">
        <f>IF(B365="","",IF(R365&gt;=C365,"In pantry","To buy"))</f>
        <v>0</v>
      </c>
      <c r="AB365" s="8">
        <f>IF(A365="","",COUNTIFS($A$5:A365,A365))</f>
        <v>0</v>
      </c>
      <c r="AC365" s="8">
        <f>IF(B365="","",IF(COUNTIFS('Dietary Filters'!$C$5:$C$104,B365)&gt;0,"Check","OK"))</f>
        <v>0</v>
      </c>
      <c r="AD365" s="25"/>
    </row>
    <row r="366" spans="1:30">
      <c r="A366" s="7"/>
      <c r="B366" s="7"/>
      <c r="C366" s="26"/>
      <c r="D366" s="27"/>
      <c r="E366" s="8">
        <f>IF(B366="","",IFERROR(INDEX(Ingredients!$B$5:$B$304,MATCH(B366,Ingredients!$A$5:$A$304,0)),""))</f>
        <v>0</v>
      </c>
      <c r="F366" s="8">
        <f>IF(B366="","",IFERROR(INDEX(Ingredients!$E$5:$E$304,MATCH(B366,Ingredients!$A$5:$A$304,0)),""))</f>
        <v>0</v>
      </c>
      <c r="G366" s="8">
        <f>IF(B366="","",IFERROR(INDEX(Ingredients!$D$5:$D$304,MATCH(B366,Ingredients!$A$5:$A$304,0)),""))</f>
        <v>0</v>
      </c>
      <c r="H366" s="8">
        <f>IF(OR(B366="",C366=""),"",IFERROR(C366*G366,""))</f>
        <v>0</v>
      </c>
      <c r="I366" s="8">
        <f>IF(A366="","",IFERROR(INDEX(Recipes!$D$5:$D$204,MATCH(A366,Recipes!$A$5:$A$204,0)),""))</f>
        <v>0</v>
      </c>
      <c r="J366" s="8">
        <f>IF(OR(H366="",I366="",I366=0),"",IFERROR(H366/I366,""))</f>
        <v>0</v>
      </c>
      <c r="K366" s="8">
        <f>IF(OR(B366="",C366=""),"",IFERROR(C366*IFERROR(INDEX(Ingredients!$H$5:$H$304,MATCH(B366,Ingredients!$A$5:$A$304,0)),""),""))</f>
        <v>0</v>
      </c>
      <c r="L366" s="8">
        <f>IF(OR(B366="",C366=""),"",IFERROR(C366*IFERROR(INDEX(Ingredients!$I$5:$I$304,MATCH(B366,Ingredients!$A$5:$A$304,0)),""),""))</f>
        <v>0</v>
      </c>
      <c r="M366" s="8">
        <f>IF(OR(B366="",C366=""),"",IFERROR(C366*IFERROR(INDEX(Ingredients!$J$5:$J$304,MATCH(B366,Ingredients!$A$5:$A$304,0)),""),""))</f>
        <v>0</v>
      </c>
      <c r="N366" s="8">
        <f>IF(OR(B366="",C366=""),"",IFERROR(C366*IFERROR(INDEX(Ingredients!$K$5:$K$304,MATCH(B366,Ingredients!$A$5:$A$304,0)),""),""))</f>
        <v>0</v>
      </c>
      <c r="O366" s="8">
        <f>IF(OR(B366="",C366=""),"",IFERROR(C366*IFERROR(INDEX(Ingredients!$L$5:$L$304,MATCH(B366,Ingredients!$A$5:$A$304,0)),""),""))</f>
        <v>0</v>
      </c>
      <c r="P366" s="8">
        <f>IF(OR(H366="",A366=""),"",IFERROR(H366/SUMIFS('Recipe Ingredients'!$H$5:$H$1204,'Recipe Ingredients'!$A$5:$A$1204,A366),""))</f>
        <v>0</v>
      </c>
      <c r="Q366" s="8">
        <f>IF(H366="","",COUNTIFS($H$5:$H$1204,"&gt;"&amp;H366)+1)</f>
        <v>0</v>
      </c>
      <c r="R366" s="8">
        <f>IF(B366="","",SUMIFS(Pantry!$C$5:$C$304,Pantry!$A$5:$A$304,B366))</f>
        <v>0</v>
      </c>
      <c r="S366" s="8">
        <f>IF(OR(B366="",C366=""),"",MAX(0,C366-R366))</f>
        <v>0</v>
      </c>
      <c r="T366" s="26"/>
      <c r="U366" s="8">
        <f>IF(OR(T366="",T366=0,G366=""),"",T366*G366)</f>
        <v>0</v>
      </c>
      <c r="V366" s="8">
        <f>IF(OR(S366="",T366="",T366=0),"",CEILING(S366/T366,1))</f>
        <v>0</v>
      </c>
      <c r="W366" s="27"/>
      <c r="X366" s="29"/>
      <c r="Y366" s="8">
        <f>IF(OR(C366="",X366=""),"",C366*(1+X366))</f>
        <v>0</v>
      </c>
      <c r="Z366" s="8">
        <f>IF(B366="","",IFERROR(INDEX(Ingredients!$O$5:$O$304,MATCH(B366,Ingredients!$A$5:$A$304,0)),""))</f>
        <v>0</v>
      </c>
      <c r="AA366" s="8">
        <f>IF(B366="","",IF(R366&gt;=C366,"In pantry","To buy"))</f>
        <v>0</v>
      </c>
      <c r="AB366" s="8">
        <f>IF(A366="","",COUNTIFS($A$5:A366,A366))</f>
        <v>0</v>
      </c>
      <c r="AC366" s="8">
        <f>IF(B366="","",IF(COUNTIFS('Dietary Filters'!$C$5:$C$104,B366)&gt;0,"Check","OK"))</f>
        <v>0</v>
      </c>
      <c r="AD366" s="25"/>
    </row>
    <row r="367" spans="1:30">
      <c r="A367" s="7"/>
      <c r="B367" s="7"/>
      <c r="C367" s="26"/>
      <c r="D367" s="27"/>
      <c r="E367" s="8">
        <f>IF(B367="","",IFERROR(INDEX(Ingredients!$B$5:$B$304,MATCH(B367,Ingredients!$A$5:$A$304,0)),""))</f>
        <v>0</v>
      </c>
      <c r="F367" s="8">
        <f>IF(B367="","",IFERROR(INDEX(Ingredients!$E$5:$E$304,MATCH(B367,Ingredients!$A$5:$A$304,0)),""))</f>
        <v>0</v>
      </c>
      <c r="G367" s="8">
        <f>IF(B367="","",IFERROR(INDEX(Ingredients!$D$5:$D$304,MATCH(B367,Ingredients!$A$5:$A$304,0)),""))</f>
        <v>0</v>
      </c>
      <c r="H367" s="8">
        <f>IF(OR(B367="",C367=""),"",IFERROR(C367*G367,""))</f>
        <v>0</v>
      </c>
      <c r="I367" s="8">
        <f>IF(A367="","",IFERROR(INDEX(Recipes!$D$5:$D$204,MATCH(A367,Recipes!$A$5:$A$204,0)),""))</f>
        <v>0</v>
      </c>
      <c r="J367" s="8">
        <f>IF(OR(H367="",I367="",I367=0),"",IFERROR(H367/I367,""))</f>
        <v>0</v>
      </c>
      <c r="K367" s="8">
        <f>IF(OR(B367="",C367=""),"",IFERROR(C367*IFERROR(INDEX(Ingredients!$H$5:$H$304,MATCH(B367,Ingredients!$A$5:$A$304,0)),""),""))</f>
        <v>0</v>
      </c>
      <c r="L367" s="8">
        <f>IF(OR(B367="",C367=""),"",IFERROR(C367*IFERROR(INDEX(Ingredients!$I$5:$I$304,MATCH(B367,Ingredients!$A$5:$A$304,0)),""),""))</f>
        <v>0</v>
      </c>
      <c r="M367" s="8">
        <f>IF(OR(B367="",C367=""),"",IFERROR(C367*IFERROR(INDEX(Ingredients!$J$5:$J$304,MATCH(B367,Ingredients!$A$5:$A$304,0)),""),""))</f>
        <v>0</v>
      </c>
      <c r="N367" s="8">
        <f>IF(OR(B367="",C367=""),"",IFERROR(C367*IFERROR(INDEX(Ingredients!$K$5:$K$304,MATCH(B367,Ingredients!$A$5:$A$304,0)),""),""))</f>
        <v>0</v>
      </c>
      <c r="O367" s="8">
        <f>IF(OR(B367="",C367=""),"",IFERROR(C367*IFERROR(INDEX(Ingredients!$L$5:$L$304,MATCH(B367,Ingredients!$A$5:$A$304,0)),""),""))</f>
        <v>0</v>
      </c>
      <c r="P367" s="8">
        <f>IF(OR(H367="",A367=""),"",IFERROR(H367/SUMIFS('Recipe Ingredients'!$H$5:$H$1204,'Recipe Ingredients'!$A$5:$A$1204,A367),""))</f>
        <v>0</v>
      </c>
      <c r="Q367" s="8">
        <f>IF(H367="","",COUNTIFS($H$5:$H$1204,"&gt;"&amp;H367)+1)</f>
        <v>0</v>
      </c>
      <c r="R367" s="8">
        <f>IF(B367="","",SUMIFS(Pantry!$C$5:$C$304,Pantry!$A$5:$A$304,B367))</f>
        <v>0</v>
      </c>
      <c r="S367" s="8">
        <f>IF(OR(B367="",C367=""),"",MAX(0,C367-R367))</f>
        <v>0</v>
      </c>
      <c r="T367" s="26"/>
      <c r="U367" s="8">
        <f>IF(OR(T367="",T367=0,G367=""),"",T367*G367)</f>
        <v>0</v>
      </c>
      <c r="V367" s="8">
        <f>IF(OR(S367="",T367="",T367=0),"",CEILING(S367/T367,1))</f>
        <v>0</v>
      </c>
      <c r="W367" s="27"/>
      <c r="X367" s="29"/>
      <c r="Y367" s="8">
        <f>IF(OR(C367="",X367=""),"",C367*(1+X367))</f>
        <v>0</v>
      </c>
      <c r="Z367" s="8">
        <f>IF(B367="","",IFERROR(INDEX(Ingredients!$O$5:$O$304,MATCH(B367,Ingredients!$A$5:$A$304,0)),""))</f>
        <v>0</v>
      </c>
      <c r="AA367" s="8">
        <f>IF(B367="","",IF(R367&gt;=C367,"In pantry","To buy"))</f>
        <v>0</v>
      </c>
      <c r="AB367" s="8">
        <f>IF(A367="","",COUNTIFS($A$5:A367,A367))</f>
        <v>0</v>
      </c>
      <c r="AC367" s="8">
        <f>IF(B367="","",IF(COUNTIFS('Dietary Filters'!$C$5:$C$104,B367)&gt;0,"Check","OK"))</f>
        <v>0</v>
      </c>
      <c r="AD367" s="25"/>
    </row>
    <row r="368" spans="1:30">
      <c r="A368" s="7"/>
      <c r="B368" s="7"/>
      <c r="C368" s="26"/>
      <c r="D368" s="27"/>
      <c r="E368" s="8">
        <f>IF(B368="","",IFERROR(INDEX(Ingredients!$B$5:$B$304,MATCH(B368,Ingredients!$A$5:$A$304,0)),""))</f>
        <v>0</v>
      </c>
      <c r="F368" s="8">
        <f>IF(B368="","",IFERROR(INDEX(Ingredients!$E$5:$E$304,MATCH(B368,Ingredients!$A$5:$A$304,0)),""))</f>
        <v>0</v>
      </c>
      <c r="G368" s="8">
        <f>IF(B368="","",IFERROR(INDEX(Ingredients!$D$5:$D$304,MATCH(B368,Ingredients!$A$5:$A$304,0)),""))</f>
        <v>0</v>
      </c>
      <c r="H368" s="8">
        <f>IF(OR(B368="",C368=""),"",IFERROR(C368*G368,""))</f>
        <v>0</v>
      </c>
      <c r="I368" s="8">
        <f>IF(A368="","",IFERROR(INDEX(Recipes!$D$5:$D$204,MATCH(A368,Recipes!$A$5:$A$204,0)),""))</f>
        <v>0</v>
      </c>
      <c r="J368" s="8">
        <f>IF(OR(H368="",I368="",I368=0),"",IFERROR(H368/I368,""))</f>
        <v>0</v>
      </c>
      <c r="K368" s="8">
        <f>IF(OR(B368="",C368=""),"",IFERROR(C368*IFERROR(INDEX(Ingredients!$H$5:$H$304,MATCH(B368,Ingredients!$A$5:$A$304,0)),""),""))</f>
        <v>0</v>
      </c>
      <c r="L368" s="8">
        <f>IF(OR(B368="",C368=""),"",IFERROR(C368*IFERROR(INDEX(Ingredients!$I$5:$I$304,MATCH(B368,Ingredients!$A$5:$A$304,0)),""),""))</f>
        <v>0</v>
      </c>
      <c r="M368" s="8">
        <f>IF(OR(B368="",C368=""),"",IFERROR(C368*IFERROR(INDEX(Ingredients!$J$5:$J$304,MATCH(B368,Ingredients!$A$5:$A$304,0)),""),""))</f>
        <v>0</v>
      </c>
      <c r="N368" s="8">
        <f>IF(OR(B368="",C368=""),"",IFERROR(C368*IFERROR(INDEX(Ingredients!$K$5:$K$304,MATCH(B368,Ingredients!$A$5:$A$304,0)),""),""))</f>
        <v>0</v>
      </c>
      <c r="O368" s="8">
        <f>IF(OR(B368="",C368=""),"",IFERROR(C368*IFERROR(INDEX(Ingredients!$L$5:$L$304,MATCH(B368,Ingredients!$A$5:$A$304,0)),""),""))</f>
        <v>0</v>
      </c>
      <c r="P368" s="8">
        <f>IF(OR(H368="",A368=""),"",IFERROR(H368/SUMIFS('Recipe Ingredients'!$H$5:$H$1204,'Recipe Ingredients'!$A$5:$A$1204,A368),""))</f>
        <v>0</v>
      </c>
      <c r="Q368" s="8">
        <f>IF(H368="","",COUNTIFS($H$5:$H$1204,"&gt;"&amp;H368)+1)</f>
        <v>0</v>
      </c>
      <c r="R368" s="8">
        <f>IF(B368="","",SUMIFS(Pantry!$C$5:$C$304,Pantry!$A$5:$A$304,B368))</f>
        <v>0</v>
      </c>
      <c r="S368" s="8">
        <f>IF(OR(B368="",C368=""),"",MAX(0,C368-R368))</f>
        <v>0</v>
      </c>
      <c r="T368" s="26"/>
      <c r="U368" s="8">
        <f>IF(OR(T368="",T368=0,G368=""),"",T368*G368)</f>
        <v>0</v>
      </c>
      <c r="V368" s="8">
        <f>IF(OR(S368="",T368="",T368=0),"",CEILING(S368/T368,1))</f>
        <v>0</v>
      </c>
      <c r="W368" s="27"/>
      <c r="X368" s="29"/>
      <c r="Y368" s="8">
        <f>IF(OR(C368="",X368=""),"",C368*(1+X368))</f>
        <v>0</v>
      </c>
      <c r="Z368" s="8">
        <f>IF(B368="","",IFERROR(INDEX(Ingredients!$O$5:$O$304,MATCH(B368,Ingredients!$A$5:$A$304,0)),""))</f>
        <v>0</v>
      </c>
      <c r="AA368" s="8">
        <f>IF(B368="","",IF(R368&gt;=C368,"In pantry","To buy"))</f>
        <v>0</v>
      </c>
      <c r="AB368" s="8">
        <f>IF(A368="","",COUNTIFS($A$5:A368,A368))</f>
        <v>0</v>
      </c>
      <c r="AC368" s="8">
        <f>IF(B368="","",IF(COUNTIFS('Dietary Filters'!$C$5:$C$104,B368)&gt;0,"Check","OK"))</f>
        <v>0</v>
      </c>
      <c r="AD368" s="25"/>
    </row>
    <row r="369" spans="1:30">
      <c r="A369" s="7"/>
      <c r="B369" s="7"/>
      <c r="C369" s="26"/>
      <c r="D369" s="27"/>
      <c r="E369" s="8">
        <f>IF(B369="","",IFERROR(INDEX(Ingredients!$B$5:$B$304,MATCH(B369,Ingredients!$A$5:$A$304,0)),""))</f>
        <v>0</v>
      </c>
      <c r="F369" s="8">
        <f>IF(B369="","",IFERROR(INDEX(Ingredients!$E$5:$E$304,MATCH(B369,Ingredients!$A$5:$A$304,0)),""))</f>
        <v>0</v>
      </c>
      <c r="G369" s="8">
        <f>IF(B369="","",IFERROR(INDEX(Ingredients!$D$5:$D$304,MATCH(B369,Ingredients!$A$5:$A$304,0)),""))</f>
        <v>0</v>
      </c>
      <c r="H369" s="8">
        <f>IF(OR(B369="",C369=""),"",IFERROR(C369*G369,""))</f>
        <v>0</v>
      </c>
      <c r="I369" s="8">
        <f>IF(A369="","",IFERROR(INDEX(Recipes!$D$5:$D$204,MATCH(A369,Recipes!$A$5:$A$204,0)),""))</f>
        <v>0</v>
      </c>
      <c r="J369" s="8">
        <f>IF(OR(H369="",I369="",I369=0),"",IFERROR(H369/I369,""))</f>
        <v>0</v>
      </c>
      <c r="K369" s="8">
        <f>IF(OR(B369="",C369=""),"",IFERROR(C369*IFERROR(INDEX(Ingredients!$H$5:$H$304,MATCH(B369,Ingredients!$A$5:$A$304,0)),""),""))</f>
        <v>0</v>
      </c>
      <c r="L369" s="8">
        <f>IF(OR(B369="",C369=""),"",IFERROR(C369*IFERROR(INDEX(Ingredients!$I$5:$I$304,MATCH(B369,Ingredients!$A$5:$A$304,0)),""),""))</f>
        <v>0</v>
      </c>
      <c r="M369" s="8">
        <f>IF(OR(B369="",C369=""),"",IFERROR(C369*IFERROR(INDEX(Ingredients!$J$5:$J$304,MATCH(B369,Ingredients!$A$5:$A$304,0)),""),""))</f>
        <v>0</v>
      </c>
      <c r="N369" s="8">
        <f>IF(OR(B369="",C369=""),"",IFERROR(C369*IFERROR(INDEX(Ingredients!$K$5:$K$304,MATCH(B369,Ingredients!$A$5:$A$304,0)),""),""))</f>
        <v>0</v>
      </c>
      <c r="O369" s="8">
        <f>IF(OR(B369="",C369=""),"",IFERROR(C369*IFERROR(INDEX(Ingredients!$L$5:$L$304,MATCH(B369,Ingredients!$A$5:$A$304,0)),""),""))</f>
        <v>0</v>
      </c>
      <c r="P369" s="8">
        <f>IF(OR(H369="",A369=""),"",IFERROR(H369/SUMIFS('Recipe Ingredients'!$H$5:$H$1204,'Recipe Ingredients'!$A$5:$A$1204,A369),""))</f>
        <v>0</v>
      </c>
      <c r="Q369" s="8">
        <f>IF(H369="","",COUNTIFS($H$5:$H$1204,"&gt;"&amp;H369)+1)</f>
        <v>0</v>
      </c>
      <c r="R369" s="8">
        <f>IF(B369="","",SUMIFS(Pantry!$C$5:$C$304,Pantry!$A$5:$A$304,B369))</f>
        <v>0</v>
      </c>
      <c r="S369" s="8">
        <f>IF(OR(B369="",C369=""),"",MAX(0,C369-R369))</f>
        <v>0</v>
      </c>
      <c r="T369" s="26"/>
      <c r="U369" s="8">
        <f>IF(OR(T369="",T369=0,G369=""),"",T369*G369)</f>
        <v>0</v>
      </c>
      <c r="V369" s="8">
        <f>IF(OR(S369="",T369="",T369=0),"",CEILING(S369/T369,1))</f>
        <v>0</v>
      </c>
      <c r="W369" s="27"/>
      <c r="X369" s="29"/>
      <c r="Y369" s="8">
        <f>IF(OR(C369="",X369=""),"",C369*(1+X369))</f>
        <v>0</v>
      </c>
      <c r="Z369" s="8">
        <f>IF(B369="","",IFERROR(INDEX(Ingredients!$O$5:$O$304,MATCH(B369,Ingredients!$A$5:$A$304,0)),""))</f>
        <v>0</v>
      </c>
      <c r="AA369" s="8">
        <f>IF(B369="","",IF(R369&gt;=C369,"In pantry","To buy"))</f>
        <v>0</v>
      </c>
      <c r="AB369" s="8">
        <f>IF(A369="","",COUNTIFS($A$5:A369,A369))</f>
        <v>0</v>
      </c>
      <c r="AC369" s="8">
        <f>IF(B369="","",IF(COUNTIFS('Dietary Filters'!$C$5:$C$104,B369)&gt;0,"Check","OK"))</f>
        <v>0</v>
      </c>
      <c r="AD369" s="25"/>
    </row>
    <row r="370" spans="1:30">
      <c r="A370" s="7"/>
      <c r="B370" s="7"/>
      <c r="C370" s="26"/>
      <c r="D370" s="27"/>
      <c r="E370" s="8">
        <f>IF(B370="","",IFERROR(INDEX(Ingredients!$B$5:$B$304,MATCH(B370,Ingredients!$A$5:$A$304,0)),""))</f>
        <v>0</v>
      </c>
      <c r="F370" s="8">
        <f>IF(B370="","",IFERROR(INDEX(Ingredients!$E$5:$E$304,MATCH(B370,Ingredients!$A$5:$A$304,0)),""))</f>
        <v>0</v>
      </c>
      <c r="G370" s="8">
        <f>IF(B370="","",IFERROR(INDEX(Ingredients!$D$5:$D$304,MATCH(B370,Ingredients!$A$5:$A$304,0)),""))</f>
        <v>0</v>
      </c>
      <c r="H370" s="8">
        <f>IF(OR(B370="",C370=""),"",IFERROR(C370*G370,""))</f>
        <v>0</v>
      </c>
      <c r="I370" s="8">
        <f>IF(A370="","",IFERROR(INDEX(Recipes!$D$5:$D$204,MATCH(A370,Recipes!$A$5:$A$204,0)),""))</f>
        <v>0</v>
      </c>
      <c r="J370" s="8">
        <f>IF(OR(H370="",I370="",I370=0),"",IFERROR(H370/I370,""))</f>
        <v>0</v>
      </c>
      <c r="K370" s="8">
        <f>IF(OR(B370="",C370=""),"",IFERROR(C370*IFERROR(INDEX(Ingredients!$H$5:$H$304,MATCH(B370,Ingredients!$A$5:$A$304,0)),""),""))</f>
        <v>0</v>
      </c>
      <c r="L370" s="8">
        <f>IF(OR(B370="",C370=""),"",IFERROR(C370*IFERROR(INDEX(Ingredients!$I$5:$I$304,MATCH(B370,Ingredients!$A$5:$A$304,0)),""),""))</f>
        <v>0</v>
      </c>
      <c r="M370" s="8">
        <f>IF(OR(B370="",C370=""),"",IFERROR(C370*IFERROR(INDEX(Ingredients!$J$5:$J$304,MATCH(B370,Ingredients!$A$5:$A$304,0)),""),""))</f>
        <v>0</v>
      </c>
      <c r="N370" s="8">
        <f>IF(OR(B370="",C370=""),"",IFERROR(C370*IFERROR(INDEX(Ingredients!$K$5:$K$304,MATCH(B370,Ingredients!$A$5:$A$304,0)),""),""))</f>
        <v>0</v>
      </c>
      <c r="O370" s="8">
        <f>IF(OR(B370="",C370=""),"",IFERROR(C370*IFERROR(INDEX(Ingredients!$L$5:$L$304,MATCH(B370,Ingredients!$A$5:$A$304,0)),""),""))</f>
        <v>0</v>
      </c>
      <c r="P370" s="8">
        <f>IF(OR(H370="",A370=""),"",IFERROR(H370/SUMIFS('Recipe Ingredients'!$H$5:$H$1204,'Recipe Ingredients'!$A$5:$A$1204,A370),""))</f>
        <v>0</v>
      </c>
      <c r="Q370" s="8">
        <f>IF(H370="","",COUNTIFS($H$5:$H$1204,"&gt;"&amp;H370)+1)</f>
        <v>0</v>
      </c>
      <c r="R370" s="8">
        <f>IF(B370="","",SUMIFS(Pantry!$C$5:$C$304,Pantry!$A$5:$A$304,B370))</f>
        <v>0</v>
      </c>
      <c r="S370" s="8">
        <f>IF(OR(B370="",C370=""),"",MAX(0,C370-R370))</f>
        <v>0</v>
      </c>
      <c r="T370" s="26"/>
      <c r="U370" s="8">
        <f>IF(OR(T370="",T370=0,G370=""),"",T370*G370)</f>
        <v>0</v>
      </c>
      <c r="V370" s="8">
        <f>IF(OR(S370="",T370="",T370=0),"",CEILING(S370/T370,1))</f>
        <v>0</v>
      </c>
      <c r="W370" s="27"/>
      <c r="X370" s="29"/>
      <c r="Y370" s="8">
        <f>IF(OR(C370="",X370=""),"",C370*(1+X370))</f>
        <v>0</v>
      </c>
      <c r="Z370" s="8">
        <f>IF(B370="","",IFERROR(INDEX(Ingredients!$O$5:$O$304,MATCH(B370,Ingredients!$A$5:$A$304,0)),""))</f>
        <v>0</v>
      </c>
      <c r="AA370" s="8">
        <f>IF(B370="","",IF(R370&gt;=C370,"In pantry","To buy"))</f>
        <v>0</v>
      </c>
      <c r="AB370" s="8">
        <f>IF(A370="","",COUNTIFS($A$5:A370,A370))</f>
        <v>0</v>
      </c>
      <c r="AC370" s="8">
        <f>IF(B370="","",IF(COUNTIFS('Dietary Filters'!$C$5:$C$104,B370)&gt;0,"Check","OK"))</f>
        <v>0</v>
      </c>
      <c r="AD370" s="25"/>
    </row>
    <row r="371" spans="1:30">
      <c r="A371" s="7"/>
      <c r="B371" s="7"/>
      <c r="C371" s="26"/>
      <c r="D371" s="27"/>
      <c r="E371" s="8">
        <f>IF(B371="","",IFERROR(INDEX(Ingredients!$B$5:$B$304,MATCH(B371,Ingredients!$A$5:$A$304,0)),""))</f>
        <v>0</v>
      </c>
      <c r="F371" s="8">
        <f>IF(B371="","",IFERROR(INDEX(Ingredients!$E$5:$E$304,MATCH(B371,Ingredients!$A$5:$A$304,0)),""))</f>
        <v>0</v>
      </c>
      <c r="G371" s="8">
        <f>IF(B371="","",IFERROR(INDEX(Ingredients!$D$5:$D$304,MATCH(B371,Ingredients!$A$5:$A$304,0)),""))</f>
        <v>0</v>
      </c>
      <c r="H371" s="8">
        <f>IF(OR(B371="",C371=""),"",IFERROR(C371*G371,""))</f>
        <v>0</v>
      </c>
      <c r="I371" s="8">
        <f>IF(A371="","",IFERROR(INDEX(Recipes!$D$5:$D$204,MATCH(A371,Recipes!$A$5:$A$204,0)),""))</f>
        <v>0</v>
      </c>
      <c r="J371" s="8">
        <f>IF(OR(H371="",I371="",I371=0),"",IFERROR(H371/I371,""))</f>
        <v>0</v>
      </c>
      <c r="K371" s="8">
        <f>IF(OR(B371="",C371=""),"",IFERROR(C371*IFERROR(INDEX(Ingredients!$H$5:$H$304,MATCH(B371,Ingredients!$A$5:$A$304,0)),""),""))</f>
        <v>0</v>
      </c>
      <c r="L371" s="8">
        <f>IF(OR(B371="",C371=""),"",IFERROR(C371*IFERROR(INDEX(Ingredients!$I$5:$I$304,MATCH(B371,Ingredients!$A$5:$A$304,0)),""),""))</f>
        <v>0</v>
      </c>
      <c r="M371" s="8">
        <f>IF(OR(B371="",C371=""),"",IFERROR(C371*IFERROR(INDEX(Ingredients!$J$5:$J$304,MATCH(B371,Ingredients!$A$5:$A$304,0)),""),""))</f>
        <v>0</v>
      </c>
      <c r="N371" s="8">
        <f>IF(OR(B371="",C371=""),"",IFERROR(C371*IFERROR(INDEX(Ingredients!$K$5:$K$304,MATCH(B371,Ingredients!$A$5:$A$304,0)),""),""))</f>
        <v>0</v>
      </c>
      <c r="O371" s="8">
        <f>IF(OR(B371="",C371=""),"",IFERROR(C371*IFERROR(INDEX(Ingredients!$L$5:$L$304,MATCH(B371,Ingredients!$A$5:$A$304,0)),""),""))</f>
        <v>0</v>
      </c>
      <c r="P371" s="8">
        <f>IF(OR(H371="",A371=""),"",IFERROR(H371/SUMIFS('Recipe Ingredients'!$H$5:$H$1204,'Recipe Ingredients'!$A$5:$A$1204,A371),""))</f>
        <v>0</v>
      </c>
      <c r="Q371" s="8">
        <f>IF(H371="","",COUNTIFS($H$5:$H$1204,"&gt;"&amp;H371)+1)</f>
        <v>0</v>
      </c>
      <c r="R371" s="8">
        <f>IF(B371="","",SUMIFS(Pantry!$C$5:$C$304,Pantry!$A$5:$A$304,B371))</f>
        <v>0</v>
      </c>
      <c r="S371" s="8">
        <f>IF(OR(B371="",C371=""),"",MAX(0,C371-R371))</f>
        <v>0</v>
      </c>
      <c r="T371" s="26"/>
      <c r="U371" s="8">
        <f>IF(OR(T371="",T371=0,G371=""),"",T371*G371)</f>
        <v>0</v>
      </c>
      <c r="V371" s="8">
        <f>IF(OR(S371="",T371="",T371=0),"",CEILING(S371/T371,1))</f>
        <v>0</v>
      </c>
      <c r="W371" s="27"/>
      <c r="X371" s="29"/>
      <c r="Y371" s="8">
        <f>IF(OR(C371="",X371=""),"",C371*(1+X371))</f>
        <v>0</v>
      </c>
      <c r="Z371" s="8">
        <f>IF(B371="","",IFERROR(INDEX(Ingredients!$O$5:$O$304,MATCH(B371,Ingredients!$A$5:$A$304,0)),""))</f>
        <v>0</v>
      </c>
      <c r="AA371" s="8">
        <f>IF(B371="","",IF(R371&gt;=C371,"In pantry","To buy"))</f>
        <v>0</v>
      </c>
      <c r="AB371" s="8">
        <f>IF(A371="","",COUNTIFS($A$5:A371,A371))</f>
        <v>0</v>
      </c>
      <c r="AC371" s="8">
        <f>IF(B371="","",IF(COUNTIFS('Dietary Filters'!$C$5:$C$104,B371)&gt;0,"Check","OK"))</f>
        <v>0</v>
      </c>
      <c r="AD371" s="25"/>
    </row>
    <row r="372" spans="1:30">
      <c r="A372" s="7"/>
      <c r="B372" s="7"/>
      <c r="C372" s="26"/>
      <c r="D372" s="27"/>
      <c r="E372" s="8">
        <f>IF(B372="","",IFERROR(INDEX(Ingredients!$B$5:$B$304,MATCH(B372,Ingredients!$A$5:$A$304,0)),""))</f>
        <v>0</v>
      </c>
      <c r="F372" s="8">
        <f>IF(B372="","",IFERROR(INDEX(Ingredients!$E$5:$E$304,MATCH(B372,Ingredients!$A$5:$A$304,0)),""))</f>
        <v>0</v>
      </c>
      <c r="G372" s="8">
        <f>IF(B372="","",IFERROR(INDEX(Ingredients!$D$5:$D$304,MATCH(B372,Ingredients!$A$5:$A$304,0)),""))</f>
        <v>0</v>
      </c>
      <c r="H372" s="8">
        <f>IF(OR(B372="",C372=""),"",IFERROR(C372*G372,""))</f>
        <v>0</v>
      </c>
      <c r="I372" s="8">
        <f>IF(A372="","",IFERROR(INDEX(Recipes!$D$5:$D$204,MATCH(A372,Recipes!$A$5:$A$204,0)),""))</f>
        <v>0</v>
      </c>
      <c r="J372" s="8">
        <f>IF(OR(H372="",I372="",I372=0),"",IFERROR(H372/I372,""))</f>
        <v>0</v>
      </c>
      <c r="K372" s="8">
        <f>IF(OR(B372="",C372=""),"",IFERROR(C372*IFERROR(INDEX(Ingredients!$H$5:$H$304,MATCH(B372,Ingredients!$A$5:$A$304,0)),""),""))</f>
        <v>0</v>
      </c>
      <c r="L372" s="8">
        <f>IF(OR(B372="",C372=""),"",IFERROR(C372*IFERROR(INDEX(Ingredients!$I$5:$I$304,MATCH(B372,Ingredients!$A$5:$A$304,0)),""),""))</f>
        <v>0</v>
      </c>
      <c r="M372" s="8">
        <f>IF(OR(B372="",C372=""),"",IFERROR(C372*IFERROR(INDEX(Ingredients!$J$5:$J$304,MATCH(B372,Ingredients!$A$5:$A$304,0)),""),""))</f>
        <v>0</v>
      </c>
      <c r="N372" s="8">
        <f>IF(OR(B372="",C372=""),"",IFERROR(C372*IFERROR(INDEX(Ingredients!$K$5:$K$304,MATCH(B372,Ingredients!$A$5:$A$304,0)),""),""))</f>
        <v>0</v>
      </c>
      <c r="O372" s="8">
        <f>IF(OR(B372="",C372=""),"",IFERROR(C372*IFERROR(INDEX(Ingredients!$L$5:$L$304,MATCH(B372,Ingredients!$A$5:$A$304,0)),""),""))</f>
        <v>0</v>
      </c>
      <c r="P372" s="8">
        <f>IF(OR(H372="",A372=""),"",IFERROR(H372/SUMIFS('Recipe Ingredients'!$H$5:$H$1204,'Recipe Ingredients'!$A$5:$A$1204,A372),""))</f>
        <v>0</v>
      </c>
      <c r="Q372" s="8">
        <f>IF(H372="","",COUNTIFS($H$5:$H$1204,"&gt;"&amp;H372)+1)</f>
        <v>0</v>
      </c>
      <c r="R372" s="8">
        <f>IF(B372="","",SUMIFS(Pantry!$C$5:$C$304,Pantry!$A$5:$A$304,B372))</f>
        <v>0</v>
      </c>
      <c r="S372" s="8">
        <f>IF(OR(B372="",C372=""),"",MAX(0,C372-R372))</f>
        <v>0</v>
      </c>
      <c r="T372" s="26"/>
      <c r="U372" s="8">
        <f>IF(OR(T372="",T372=0,G372=""),"",T372*G372)</f>
        <v>0</v>
      </c>
      <c r="V372" s="8">
        <f>IF(OR(S372="",T372="",T372=0),"",CEILING(S372/T372,1))</f>
        <v>0</v>
      </c>
      <c r="W372" s="27"/>
      <c r="X372" s="29"/>
      <c r="Y372" s="8">
        <f>IF(OR(C372="",X372=""),"",C372*(1+X372))</f>
        <v>0</v>
      </c>
      <c r="Z372" s="8">
        <f>IF(B372="","",IFERROR(INDEX(Ingredients!$O$5:$O$304,MATCH(B372,Ingredients!$A$5:$A$304,0)),""))</f>
        <v>0</v>
      </c>
      <c r="AA372" s="8">
        <f>IF(B372="","",IF(R372&gt;=C372,"In pantry","To buy"))</f>
        <v>0</v>
      </c>
      <c r="AB372" s="8">
        <f>IF(A372="","",COUNTIFS($A$5:A372,A372))</f>
        <v>0</v>
      </c>
      <c r="AC372" s="8">
        <f>IF(B372="","",IF(COUNTIFS('Dietary Filters'!$C$5:$C$104,B372)&gt;0,"Check","OK"))</f>
        <v>0</v>
      </c>
      <c r="AD372" s="25"/>
    </row>
    <row r="373" spans="1:30">
      <c r="A373" s="7"/>
      <c r="B373" s="7"/>
      <c r="C373" s="26"/>
      <c r="D373" s="27"/>
      <c r="E373" s="8">
        <f>IF(B373="","",IFERROR(INDEX(Ingredients!$B$5:$B$304,MATCH(B373,Ingredients!$A$5:$A$304,0)),""))</f>
        <v>0</v>
      </c>
      <c r="F373" s="8">
        <f>IF(B373="","",IFERROR(INDEX(Ingredients!$E$5:$E$304,MATCH(B373,Ingredients!$A$5:$A$304,0)),""))</f>
        <v>0</v>
      </c>
      <c r="G373" s="8">
        <f>IF(B373="","",IFERROR(INDEX(Ingredients!$D$5:$D$304,MATCH(B373,Ingredients!$A$5:$A$304,0)),""))</f>
        <v>0</v>
      </c>
      <c r="H373" s="8">
        <f>IF(OR(B373="",C373=""),"",IFERROR(C373*G373,""))</f>
        <v>0</v>
      </c>
      <c r="I373" s="8">
        <f>IF(A373="","",IFERROR(INDEX(Recipes!$D$5:$D$204,MATCH(A373,Recipes!$A$5:$A$204,0)),""))</f>
        <v>0</v>
      </c>
      <c r="J373" s="8">
        <f>IF(OR(H373="",I373="",I373=0),"",IFERROR(H373/I373,""))</f>
        <v>0</v>
      </c>
      <c r="K373" s="8">
        <f>IF(OR(B373="",C373=""),"",IFERROR(C373*IFERROR(INDEX(Ingredients!$H$5:$H$304,MATCH(B373,Ingredients!$A$5:$A$304,0)),""),""))</f>
        <v>0</v>
      </c>
      <c r="L373" s="8">
        <f>IF(OR(B373="",C373=""),"",IFERROR(C373*IFERROR(INDEX(Ingredients!$I$5:$I$304,MATCH(B373,Ingredients!$A$5:$A$304,0)),""),""))</f>
        <v>0</v>
      </c>
      <c r="M373" s="8">
        <f>IF(OR(B373="",C373=""),"",IFERROR(C373*IFERROR(INDEX(Ingredients!$J$5:$J$304,MATCH(B373,Ingredients!$A$5:$A$304,0)),""),""))</f>
        <v>0</v>
      </c>
      <c r="N373" s="8">
        <f>IF(OR(B373="",C373=""),"",IFERROR(C373*IFERROR(INDEX(Ingredients!$K$5:$K$304,MATCH(B373,Ingredients!$A$5:$A$304,0)),""),""))</f>
        <v>0</v>
      </c>
      <c r="O373" s="8">
        <f>IF(OR(B373="",C373=""),"",IFERROR(C373*IFERROR(INDEX(Ingredients!$L$5:$L$304,MATCH(B373,Ingredients!$A$5:$A$304,0)),""),""))</f>
        <v>0</v>
      </c>
      <c r="P373" s="8">
        <f>IF(OR(H373="",A373=""),"",IFERROR(H373/SUMIFS('Recipe Ingredients'!$H$5:$H$1204,'Recipe Ingredients'!$A$5:$A$1204,A373),""))</f>
        <v>0</v>
      </c>
      <c r="Q373" s="8">
        <f>IF(H373="","",COUNTIFS($H$5:$H$1204,"&gt;"&amp;H373)+1)</f>
        <v>0</v>
      </c>
      <c r="R373" s="8">
        <f>IF(B373="","",SUMIFS(Pantry!$C$5:$C$304,Pantry!$A$5:$A$304,B373))</f>
        <v>0</v>
      </c>
      <c r="S373" s="8">
        <f>IF(OR(B373="",C373=""),"",MAX(0,C373-R373))</f>
        <v>0</v>
      </c>
      <c r="T373" s="26"/>
      <c r="U373" s="8">
        <f>IF(OR(T373="",T373=0,G373=""),"",T373*G373)</f>
        <v>0</v>
      </c>
      <c r="V373" s="8">
        <f>IF(OR(S373="",T373="",T373=0),"",CEILING(S373/T373,1))</f>
        <v>0</v>
      </c>
      <c r="W373" s="27"/>
      <c r="X373" s="29"/>
      <c r="Y373" s="8">
        <f>IF(OR(C373="",X373=""),"",C373*(1+X373))</f>
        <v>0</v>
      </c>
      <c r="Z373" s="8">
        <f>IF(B373="","",IFERROR(INDEX(Ingredients!$O$5:$O$304,MATCH(B373,Ingredients!$A$5:$A$304,0)),""))</f>
        <v>0</v>
      </c>
      <c r="AA373" s="8">
        <f>IF(B373="","",IF(R373&gt;=C373,"In pantry","To buy"))</f>
        <v>0</v>
      </c>
      <c r="AB373" s="8">
        <f>IF(A373="","",COUNTIFS($A$5:A373,A373))</f>
        <v>0</v>
      </c>
      <c r="AC373" s="8">
        <f>IF(B373="","",IF(COUNTIFS('Dietary Filters'!$C$5:$C$104,B373)&gt;0,"Check","OK"))</f>
        <v>0</v>
      </c>
      <c r="AD373" s="25"/>
    </row>
    <row r="374" spans="1:30">
      <c r="A374" s="7"/>
      <c r="B374" s="7"/>
      <c r="C374" s="26"/>
      <c r="D374" s="27"/>
      <c r="E374" s="8">
        <f>IF(B374="","",IFERROR(INDEX(Ingredients!$B$5:$B$304,MATCH(B374,Ingredients!$A$5:$A$304,0)),""))</f>
        <v>0</v>
      </c>
      <c r="F374" s="8">
        <f>IF(B374="","",IFERROR(INDEX(Ingredients!$E$5:$E$304,MATCH(B374,Ingredients!$A$5:$A$304,0)),""))</f>
        <v>0</v>
      </c>
      <c r="G374" s="8">
        <f>IF(B374="","",IFERROR(INDEX(Ingredients!$D$5:$D$304,MATCH(B374,Ingredients!$A$5:$A$304,0)),""))</f>
        <v>0</v>
      </c>
      <c r="H374" s="8">
        <f>IF(OR(B374="",C374=""),"",IFERROR(C374*G374,""))</f>
        <v>0</v>
      </c>
      <c r="I374" s="8">
        <f>IF(A374="","",IFERROR(INDEX(Recipes!$D$5:$D$204,MATCH(A374,Recipes!$A$5:$A$204,0)),""))</f>
        <v>0</v>
      </c>
      <c r="J374" s="8">
        <f>IF(OR(H374="",I374="",I374=0),"",IFERROR(H374/I374,""))</f>
        <v>0</v>
      </c>
      <c r="K374" s="8">
        <f>IF(OR(B374="",C374=""),"",IFERROR(C374*IFERROR(INDEX(Ingredients!$H$5:$H$304,MATCH(B374,Ingredients!$A$5:$A$304,0)),""),""))</f>
        <v>0</v>
      </c>
      <c r="L374" s="8">
        <f>IF(OR(B374="",C374=""),"",IFERROR(C374*IFERROR(INDEX(Ingredients!$I$5:$I$304,MATCH(B374,Ingredients!$A$5:$A$304,0)),""),""))</f>
        <v>0</v>
      </c>
      <c r="M374" s="8">
        <f>IF(OR(B374="",C374=""),"",IFERROR(C374*IFERROR(INDEX(Ingredients!$J$5:$J$304,MATCH(B374,Ingredients!$A$5:$A$304,0)),""),""))</f>
        <v>0</v>
      </c>
      <c r="N374" s="8">
        <f>IF(OR(B374="",C374=""),"",IFERROR(C374*IFERROR(INDEX(Ingredients!$K$5:$K$304,MATCH(B374,Ingredients!$A$5:$A$304,0)),""),""))</f>
        <v>0</v>
      </c>
      <c r="O374" s="8">
        <f>IF(OR(B374="",C374=""),"",IFERROR(C374*IFERROR(INDEX(Ingredients!$L$5:$L$304,MATCH(B374,Ingredients!$A$5:$A$304,0)),""),""))</f>
        <v>0</v>
      </c>
      <c r="P374" s="8">
        <f>IF(OR(H374="",A374=""),"",IFERROR(H374/SUMIFS('Recipe Ingredients'!$H$5:$H$1204,'Recipe Ingredients'!$A$5:$A$1204,A374),""))</f>
        <v>0</v>
      </c>
      <c r="Q374" s="8">
        <f>IF(H374="","",COUNTIFS($H$5:$H$1204,"&gt;"&amp;H374)+1)</f>
        <v>0</v>
      </c>
      <c r="R374" s="8">
        <f>IF(B374="","",SUMIFS(Pantry!$C$5:$C$304,Pantry!$A$5:$A$304,B374))</f>
        <v>0</v>
      </c>
      <c r="S374" s="8">
        <f>IF(OR(B374="",C374=""),"",MAX(0,C374-R374))</f>
        <v>0</v>
      </c>
      <c r="T374" s="26"/>
      <c r="U374" s="8">
        <f>IF(OR(T374="",T374=0,G374=""),"",T374*G374)</f>
        <v>0</v>
      </c>
      <c r="V374" s="8">
        <f>IF(OR(S374="",T374="",T374=0),"",CEILING(S374/T374,1))</f>
        <v>0</v>
      </c>
      <c r="W374" s="27"/>
      <c r="X374" s="29"/>
      <c r="Y374" s="8">
        <f>IF(OR(C374="",X374=""),"",C374*(1+X374))</f>
        <v>0</v>
      </c>
      <c r="Z374" s="8">
        <f>IF(B374="","",IFERROR(INDEX(Ingredients!$O$5:$O$304,MATCH(B374,Ingredients!$A$5:$A$304,0)),""))</f>
        <v>0</v>
      </c>
      <c r="AA374" s="8">
        <f>IF(B374="","",IF(R374&gt;=C374,"In pantry","To buy"))</f>
        <v>0</v>
      </c>
      <c r="AB374" s="8">
        <f>IF(A374="","",COUNTIFS($A$5:A374,A374))</f>
        <v>0</v>
      </c>
      <c r="AC374" s="8">
        <f>IF(B374="","",IF(COUNTIFS('Dietary Filters'!$C$5:$C$104,B374)&gt;0,"Check","OK"))</f>
        <v>0</v>
      </c>
      <c r="AD374" s="25"/>
    </row>
    <row r="375" spans="1:30">
      <c r="A375" s="7"/>
      <c r="B375" s="7"/>
      <c r="C375" s="26"/>
      <c r="D375" s="27"/>
      <c r="E375" s="8">
        <f>IF(B375="","",IFERROR(INDEX(Ingredients!$B$5:$B$304,MATCH(B375,Ingredients!$A$5:$A$304,0)),""))</f>
        <v>0</v>
      </c>
      <c r="F375" s="8">
        <f>IF(B375="","",IFERROR(INDEX(Ingredients!$E$5:$E$304,MATCH(B375,Ingredients!$A$5:$A$304,0)),""))</f>
        <v>0</v>
      </c>
      <c r="G375" s="8">
        <f>IF(B375="","",IFERROR(INDEX(Ingredients!$D$5:$D$304,MATCH(B375,Ingredients!$A$5:$A$304,0)),""))</f>
        <v>0</v>
      </c>
      <c r="H375" s="8">
        <f>IF(OR(B375="",C375=""),"",IFERROR(C375*G375,""))</f>
        <v>0</v>
      </c>
      <c r="I375" s="8">
        <f>IF(A375="","",IFERROR(INDEX(Recipes!$D$5:$D$204,MATCH(A375,Recipes!$A$5:$A$204,0)),""))</f>
        <v>0</v>
      </c>
      <c r="J375" s="8">
        <f>IF(OR(H375="",I375="",I375=0),"",IFERROR(H375/I375,""))</f>
        <v>0</v>
      </c>
      <c r="K375" s="8">
        <f>IF(OR(B375="",C375=""),"",IFERROR(C375*IFERROR(INDEX(Ingredients!$H$5:$H$304,MATCH(B375,Ingredients!$A$5:$A$304,0)),""),""))</f>
        <v>0</v>
      </c>
      <c r="L375" s="8">
        <f>IF(OR(B375="",C375=""),"",IFERROR(C375*IFERROR(INDEX(Ingredients!$I$5:$I$304,MATCH(B375,Ingredients!$A$5:$A$304,0)),""),""))</f>
        <v>0</v>
      </c>
      <c r="M375" s="8">
        <f>IF(OR(B375="",C375=""),"",IFERROR(C375*IFERROR(INDEX(Ingredients!$J$5:$J$304,MATCH(B375,Ingredients!$A$5:$A$304,0)),""),""))</f>
        <v>0</v>
      </c>
      <c r="N375" s="8">
        <f>IF(OR(B375="",C375=""),"",IFERROR(C375*IFERROR(INDEX(Ingredients!$K$5:$K$304,MATCH(B375,Ingredients!$A$5:$A$304,0)),""),""))</f>
        <v>0</v>
      </c>
      <c r="O375" s="8">
        <f>IF(OR(B375="",C375=""),"",IFERROR(C375*IFERROR(INDEX(Ingredients!$L$5:$L$304,MATCH(B375,Ingredients!$A$5:$A$304,0)),""),""))</f>
        <v>0</v>
      </c>
      <c r="P375" s="8">
        <f>IF(OR(H375="",A375=""),"",IFERROR(H375/SUMIFS('Recipe Ingredients'!$H$5:$H$1204,'Recipe Ingredients'!$A$5:$A$1204,A375),""))</f>
        <v>0</v>
      </c>
      <c r="Q375" s="8">
        <f>IF(H375="","",COUNTIFS($H$5:$H$1204,"&gt;"&amp;H375)+1)</f>
        <v>0</v>
      </c>
      <c r="R375" s="8">
        <f>IF(B375="","",SUMIFS(Pantry!$C$5:$C$304,Pantry!$A$5:$A$304,B375))</f>
        <v>0</v>
      </c>
      <c r="S375" s="8">
        <f>IF(OR(B375="",C375=""),"",MAX(0,C375-R375))</f>
        <v>0</v>
      </c>
      <c r="T375" s="26"/>
      <c r="U375" s="8">
        <f>IF(OR(T375="",T375=0,G375=""),"",T375*G375)</f>
        <v>0</v>
      </c>
      <c r="V375" s="8">
        <f>IF(OR(S375="",T375="",T375=0),"",CEILING(S375/T375,1))</f>
        <v>0</v>
      </c>
      <c r="W375" s="27"/>
      <c r="X375" s="29"/>
      <c r="Y375" s="8">
        <f>IF(OR(C375="",X375=""),"",C375*(1+X375))</f>
        <v>0</v>
      </c>
      <c r="Z375" s="8">
        <f>IF(B375="","",IFERROR(INDEX(Ingredients!$O$5:$O$304,MATCH(B375,Ingredients!$A$5:$A$304,0)),""))</f>
        <v>0</v>
      </c>
      <c r="AA375" s="8">
        <f>IF(B375="","",IF(R375&gt;=C375,"In pantry","To buy"))</f>
        <v>0</v>
      </c>
      <c r="AB375" s="8">
        <f>IF(A375="","",COUNTIFS($A$5:A375,A375))</f>
        <v>0</v>
      </c>
      <c r="AC375" s="8">
        <f>IF(B375="","",IF(COUNTIFS('Dietary Filters'!$C$5:$C$104,B375)&gt;0,"Check","OK"))</f>
        <v>0</v>
      </c>
      <c r="AD375" s="25"/>
    </row>
    <row r="376" spans="1:30">
      <c r="A376" s="7"/>
      <c r="B376" s="7"/>
      <c r="C376" s="26"/>
      <c r="D376" s="27"/>
      <c r="E376" s="8">
        <f>IF(B376="","",IFERROR(INDEX(Ingredients!$B$5:$B$304,MATCH(B376,Ingredients!$A$5:$A$304,0)),""))</f>
        <v>0</v>
      </c>
      <c r="F376" s="8">
        <f>IF(B376="","",IFERROR(INDEX(Ingredients!$E$5:$E$304,MATCH(B376,Ingredients!$A$5:$A$304,0)),""))</f>
        <v>0</v>
      </c>
      <c r="G376" s="8">
        <f>IF(B376="","",IFERROR(INDEX(Ingredients!$D$5:$D$304,MATCH(B376,Ingredients!$A$5:$A$304,0)),""))</f>
        <v>0</v>
      </c>
      <c r="H376" s="8">
        <f>IF(OR(B376="",C376=""),"",IFERROR(C376*G376,""))</f>
        <v>0</v>
      </c>
      <c r="I376" s="8">
        <f>IF(A376="","",IFERROR(INDEX(Recipes!$D$5:$D$204,MATCH(A376,Recipes!$A$5:$A$204,0)),""))</f>
        <v>0</v>
      </c>
      <c r="J376" s="8">
        <f>IF(OR(H376="",I376="",I376=0),"",IFERROR(H376/I376,""))</f>
        <v>0</v>
      </c>
      <c r="K376" s="8">
        <f>IF(OR(B376="",C376=""),"",IFERROR(C376*IFERROR(INDEX(Ingredients!$H$5:$H$304,MATCH(B376,Ingredients!$A$5:$A$304,0)),""),""))</f>
        <v>0</v>
      </c>
      <c r="L376" s="8">
        <f>IF(OR(B376="",C376=""),"",IFERROR(C376*IFERROR(INDEX(Ingredients!$I$5:$I$304,MATCH(B376,Ingredients!$A$5:$A$304,0)),""),""))</f>
        <v>0</v>
      </c>
      <c r="M376" s="8">
        <f>IF(OR(B376="",C376=""),"",IFERROR(C376*IFERROR(INDEX(Ingredients!$J$5:$J$304,MATCH(B376,Ingredients!$A$5:$A$304,0)),""),""))</f>
        <v>0</v>
      </c>
      <c r="N376" s="8">
        <f>IF(OR(B376="",C376=""),"",IFERROR(C376*IFERROR(INDEX(Ingredients!$K$5:$K$304,MATCH(B376,Ingredients!$A$5:$A$304,0)),""),""))</f>
        <v>0</v>
      </c>
      <c r="O376" s="8">
        <f>IF(OR(B376="",C376=""),"",IFERROR(C376*IFERROR(INDEX(Ingredients!$L$5:$L$304,MATCH(B376,Ingredients!$A$5:$A$304,0)),""),""))</f>
        <v>0</v>
      </c>
      <c r="P376" s="8">
        <f>IF(OR(H376="",A376=""),"",IFERROR(H376/SUMIFS('Recipe Ingredients'!$H$5:$H$1204,'Recipe Ingredients'!$A$5:$A$1204,A376),""))</f>
        <v>0</v>
      </c>
      <c r="Q376" s="8">
        <f>IF(H376="","",COUNTIFS($H$5:$H$1204,"&gt;"&amp;H376)+1)</f>
        <v>0</v>
      </c>
      <c r="R376" s="8">
        <f>IF(B376="","",SUMIFS(Pantry!$C$5:$C$304,Pantry!$A$5:$A$304,B376))</f>
        <v>0</v>
      </c>
      <c r="S376" s="8">
        <f>IF(OR(B376="",C376=""),"",MAX(0,C376-R376))</f>
        <v>0</v>
      </c>
      <c r="T376" s="26"/>
      <c r="U376" s="8">
        <f>IF(OR(T376="",T376=0,G376=""),"",T376*G376)</f>
        <v>0</v>
      </c>
      <c r="V376" s="8">
        <f>IF(OR(S376="",T376="",T376=0),"",CEILING(S376/T376,1))</f>
        <v>0</v>
      </c>
      <c r="W376" s="27"/>
      <c r="X376" s="29"/>
      <c r="Y376" s="8">
        <f>IF(OR(C376="",X376=""),"",C376*(1+X376))</f>
        <v>0</v>
      </c>
      <c r="Z376" s="8">
        <f>IF(B376="","",IFERROR(INDEX(Ingredients!$O$5:$O$304,MATCH(B376,Ingredients!$A$5:$A$304,0)),""))</f>
        <v>0</v>
      </c>
      <c r="AA376" s="8">
        <f>IF(B376="","",IF(R376&gt;=C376,"In pantry","To buy"))</f>
        <v>0</v>
      </c>
      <c r="AB376" s="8">
        <f>IF(A376="","",COUNTIFS($A$5:A376,A376))</f>
        <v>0</v>
      </c>
      <c r="AC376" s="8">
        <f>IF(B376="","",IF(COUNTIFS('Dietary Filters'!$C$5:$C$104,B376)&gt;0,"Check","OK"))</f>
        <v>0</v>
      </c>
      <c r="AD376" s="25"/>
    </row>
    <row r="377" spans="1:30">
      <c r="A377" s="7"/>
      <c r="B377" s="7"/>
      <c r="C377" s="26"/>
      <c r="D377" s="27"/>
      <c r="E377" s="8">
        <f>IF(B377="","",IFERROR(INDEX(Ingredients!$B$5:$B$304,MATCH(B377,Ingredients!$A$5:$A$304,0)),""))</f>
        <v>0</v>
      </c>
      <c r="F377" s="8">
        <f>IF(B377="","",IFERROR(INDEX(Ingredients!$E$5:$E$304,MATCH(B377,Ingredients!$A$5:$A$304,0)),""))</f>
        <v>0</v>
      </c>
      <c r="G377" s="8">
        <f>IF(B377="","",IFERROR(INDEX(Ingredients!$D$5:$D$304,MATCH(B377,Ingredients!$A$5:$A$304,0)),""))</f>
        <v>0</v>
      </c>
      <c r="H377" s="8">
        <f>IF(OR(B377="",C377=""),"",IFERROR(C377*G377,""))</f>
        <v>0</v>
      </c>
      <c r="I377" s="8">
        <f>IF(A377="","",IFERROR(INDEX(Recipes!$D$5:$D$204,MATCH(A377,Recipes!$A$5:$A$204,0)),""))</f>
        <v>0</v>
      </c>
      <c r="J377" s="8">
        <f>IF(OR(H377="",I377="",I377=0),"",IFERROR(H377/I377,""))</f>
        <v>0</v>
      </c>
      <c r="K377" s="8">
        <f>IF(OR(B377="",C377=""),"",IFERROR(C377*IFERROR(INDEX(Ingredients!$H$5:$H$304,MATCH(B377,Ingredients!$A$5:$A$304,0)),""),""))</f>
        <v>0</v>
      </c>
      <c r="L377" s="8">
        <f>IF(OR(B377="",C377=""),"",IFERROR(C377*IFERROR(INDEX(Ingredients!$I$5:$I$304,MATCH(B377,Ingredients!$A$5:$A$304,0)),""),""))</f>
        <v>0</v>
      </c>
      <c r="M377" s="8">
        <f>IF(OR(B377="",C377=""),"",IFERROR(C377*IFERROR(INDEX(Ingredients!$J$5:$J$304,MATCH(B377,Ingredients!$A$5:$A$304,0)),""),""))</f>
        <v>0</v>
      </c>
      <c r="N377" s="8">
        <f>IF(OR(B377="",C377=""),"",IFERROR(C377*IFERROR(INDEX(Ingredients!$K$5:$K$304,MATCH(B377,Ingredients!$A$5:$A$304,0)),""),""))</f>
        <v>0</v>
      </c>
      <c r="O377" s="8">
        <f>IF(OR(B377="",C377=""),"",IFERROR(C377*IFERROR(INDEX(Ingredients!$L$5:$L$304,MATCH(B377,Ingredients!$A$5:$A$304,0)),""),""))</f>
        <v>0</v>
      </c>
      <c r="P377" s="8">
        <f>IF(OR(H377="",A377=""),"",IFERROR(H377/SUMIFS('Recipe Ingredients'!$H$5:$H$1204,'Recipe Ingredients'!$A$5:$A$1204,A377),""))</f>
        <v>0</v>
      </c>
      <c r="Q377" s="8">
        <f>IF(H377="","",COUNTIFS($H$5:$H$1204,"&gt;"&amp;H377)+1)</f>
        <v>0</v>
      </c>
      <c r="R377" s="8">
        <f>IF(B377="","",SUMIFS(Pantry!$C$5:$C$304,Pantry!$A$5:$A$304,B377))</f>
        <v>0</v>
      </c>
      <c r="S377" s="8">
        <f>IF(OR(B377="",C377=""),"",MAX(0,C377-R377))</f>
        <v>0</v>
      </c>
      <c r="T377" s="26"/>
      <c r="U377" s="8">
        <f>IF(OR(T377="",T377=0,G377=""),"",T377*G377)</f>
        <v>0</v>
      </c>
      <c r="V377" s="8">
        <f>IF(OR(S377="",T377="",T377=0),"",CEILING(S377/T377,1))</f>
        <v>0</v>
      </c>
      <c r="W377" s="27"/>
      <c r="X377" s="29"/>
      <c r="Y377" s="8">
        <f>IF(OR(C377="",X377=""),"",C377*(1+X377))</f>
        <v>0</v>
      </c>
      <c r="Z377" s="8">
        <f>IF(B377="","",IFERROR(INDEX(Ingredients!$O$5:$O$304,MATCH(B377,Ingredients!$A$5:$A$304,0)),""))</f>
        <v>0</v>
      </c>
      <c r="AA377" s="8">
        <f>IF(B377="","",IF(R377&gt;=C377,"In pantry","To buy"))</f>
        <v>0</v>
      </c>
      <c r="AB377" s="8">
        <f>IF(A377="","",COUNTIFS($A$5:A377,A377))</f>
        <v>0</v>
      </c>
      <c r="AC377" s="8">
        <f>IF(B377="","",IF(COUNTIFS('Dietary Filters'!$C$5:$C$104,B377)&gt;0,"Check","OK"))</f>
        <v>0</v>
      </c>
      <c r="AD377" s="25"/>
    </row>
    <row r="378" spans="1:30">
      <c r="A378" s="7"/>
      <c r="B378" s="7"/>
      <c r="C378" s="26"/>
      <c r="D378" s="27"/>
      <c r="E378" s="8">
        <f>IF(B378="","",IFERROR(INDEX(Ingredients!$B$5:$B$304,MATCH(B378,Ingredients!$A$5:$A$304,0)),""))</f>
        <v>0</v>
      </c>
      <c r="F378" s="8">
        <f>IF(B378="","",IFERROR(INDEX(Ingredients!$E$5:$E$304,MATCH(B378,Ingredients!$A$5:$A$304,0)),""))</f>
        <v>0</v>
      </c>
      <c r="G378" s="8">
        <f>IF(B378="","",IFERROR(INDEX(Ingredients!$D$5:$D$304,MATCH(B378,Ingredients!$A$5:$A$304,0)),""))</f>
        <v>0</v>
      </c>
      <c r="H378" s="8">
        <f>IF(OR(B378="",C378=""),"",IFERROR(C378*G378,""))</f>
        <v>0</v>
      </c>
      <c r="I378" s="8">
        <f>IF(A378="","",IFERROR(INDEX(Recipes!$D$5:$D$204,MATCH(A378,Recipes!$A$5:$A$204,0)),""))</f>
        <v>0</v>
      </c>
      <c r="J378" s="8">
        <f>IF(OR(H378="",I378="",I378=0),"",IFERROR(H378/I378,""))</f>
        <v>0</v>
      </c>
      <c r="K378" s="8">
        <f>IF(OR(B378="",C378=""),"",IFERROR(C378*IFERROR(INDEX(Ingredients!$H$5:$H$304,MATCH(B378,Ingredients!$A$5:$A$304,0)),""),""))</f>
        <v>0</v>
      </c>
      <c r="L378" s="8">
        <f>IF(OR(B378="",C378=""),"",IFERROR(C378*IFERROR(INDEX(Ingredients!$I$5:$I$304,MATCH(B378,Ingredients!$A$5:$A$304,0)),""),""))</f>
        <v>0</v>
      </c>
      <c r="M378" s="8">
        <f>IF(OR(B378="",C378=""),"",IFERROR(C378*IFERROR(INDEX(Ingredients!$J$5:$J$304,MATCH(B378,Ingredients!$A$5:$A$304,0)),""),""))</f>
        <v>0</v>
      </c>
      <c r="N378" s="8">
        <f>IF(OR(B378="",C378=""),"",IFERROR(C378*IFERROR(INDEX(Ingredients!$K$5:$K$304,MATCH(B378,Ingredients!$A$5:$A$304,0)),""),""))</f>
        <v>0</v>
      </c>
      <c r="O378" s="8">
        <f>IF(OR(B378="",C378=""),"",IFERROR(C378*IFERROR(INDEX(Ingredients!$L$5:$L$304,MATCH(B378,Ingredients!$A$5:$A$304,0)),""),""))</f>
        <v>0</v>
      </c>
      <c r="P378" s="8">
        <f>IF(OR(H378="",A378=""),"",IFERROR(H378/SUMIFS('Recipe Ingredients'!$H$5:$H$1204,'Recipe Ingredients'!$A$5:$A$1204,A378),""))</f>
        <v>0</v>
      </c>
      <c r="Q378" s="8">
        <f>IF(H378="","",COUNTIFS($H$5:$H$1204,"&gt;"&amp;H378)+1)</f>
        <v>0</v>
      </c>
      <c r="R378" s="8">
        <f>IF(B378="","",SUMIFS(Pantry!$C$5:$C$304,Pantry!$A$5:$A$304,B378))</f>
        <v>0</v>
      </c>
      <c r="S378" s="8">
        <f>IF(OR(B378="",C378=""),"",MAX(0,C378-R378))</f>
        <v>0</v>
      </c>
      <c r="T378" s="26"/>
      <c r="U378" s="8">
        <f>IF(OR(T378="",T378=0,G378=""),"",T378*G378)</f>
        <v>0</v>
      </c>
      <c r="V378" s="8">
        <f>IF(OR(S378="",T378="",T378=0),"",CEILING(S378/T378,1))</f>
        <v>0</v>
      </c>
      <c r="W378" s="27"/>
      <c r="X378" s="29"/>
      <c r="Y378" s="8">
        <f>IF(OR(C378="",X378=""),"",C378*(1+X378))</f>
        <v>0</v>
      </c>
      <c r="Z378" s="8">
        <f>IF(B378="","",IFERROR(INDEX(Ingredients!$O$5:$O$304,MATCH(B378,Ingredients!$A$5:$A$304,0)),""))</f>
        <v>0</v>
      </c>
      <c r="AA378" s="8">
        <f>IF(B378="","",IF(R378&gt;=C378,"In pantry","To buy"))</f>
        <v>0</v>
      </c>
      <c r="AB378" s="8">
        <f>IF(A378="","",COUNTIFS($A$5:A378,A378))</f>
        <v>0</v>
      </c>
      <c r="AC378" s="8">
        <f>IF(B378="","",IF(COUNTIFS('Dietary Filters'!$C$5:$C$104,B378)&gt;0,"Check","OK"))</f>
        <v>0</v>
      </c>
      <c r="AD378" s="25"/>
    </row>
    <row r="379" spans="1:30">
      <c r="A379" s="7"/>
      <c r="B379" s="7"/>
      <c r="C379" s="26"/>
      <c r="D379" s="27"/>
      <c r="E379" s="8">
        <f>IF(B379="","",IFERROR(INDEX(Ingredients!$B$5:$B$304,MATCH(B379,Ingredients!$A$5:$A$304,0)),""))</f>
        <v>0</v>
      </c>
      <c r="F379" s="8">
        <f>IF(B379="","",IFERROR(INDEX(Ingredients!$E$5:$E$304,MATCH(B379,Ingredients!$A$5:$A$304,0)),""))</f>
        <v>0</v>
      </c>
      <c r="G379" s="8">
        <f>IF(B379="","",IFERROR(INDEX(Ingredients!$D$5:$D$304,MATCH(B379,Ingredients!$A$5:$A$304,0)),""))</f>
        <v>0</v>
      </c>
      <c r="H379" s="8">
        <f>IF(OR(B379="",C379=""),"",IFERROR(C379*G379,""))</f>
        <v>0</v>
      </c>
      <c r="I379" s="8">
        <f>IF(A379="","",IFERROR(INDEX(Recipes!$D$5:$D$204,MATCH(A379,Recipes!$A$5:$A$204,0)),""))</f>
        <v>0</v>
      </c>
      <c r="J379" s="8">
        <f>IF(OR(H379="",I379="",I379=0),"",IFERROR(H379/I379,""))</f>
        <v>0</v>
      </c>
      <c r="K379" s="8">
        <f>IF(OR(B379="",C379=""),"",IFERROR(C379*IFERROR(INDEX(Ingredients!$H$5:$H$304,MATCH(B379,Ingredients!$A$5:$A$304,0)),""),""))</f>
        <v>0</v>
      </c>
      <c r="L379" s="8">
        <f>IF(OR(B379="",C379=""),"",IFERROR(C379*IFERROR(INDEX(Ingredients!$I$5:$I$304,MATCH(B379,Ingredients!$A$5:$A$304,0)),""),""))</f>
        <v>0</v>
      </c>
      <c r="M379" s="8">
        <f>IF(OR(B379="",C379=""),"",IFERROR(C379*IFERROR(INDEX(Ingredients!$J$5:$J$304,MATCH(B379,Ingredients!$A$5:$A$304,0)),""),""))</f>
        <v>0</v>
      </c>
      <c r="N379" s="8">
        <f>IF(OR(B379="",C379=""),"",IFERROR(C379*IFERROR(INDEX(Ingredients!$K$5:$K$304,MATCH(B379,Ingredients!$A$5:$A$304,0)),""),""))</f>
        <v>0</v>
      </c>
      <c r="O379" s="8">
        <f>IF(OR(B379="",C379=""),"",IFERROR(C379*IFERROR(INDEX(Ingredients!$L$5:$L$304,MATCH(B379,Ingredients!$A$5:$A$304,0)),""),""))</f>
        <v>0</v>
      </c>
      <c r="P379" s="8">
        <f>IF(OR(H379="",A379=""),"",IFERROR(H379/SUMIFS('Recipe Ingredients'!$H$5:$H$1204,'Recipe Ingredients'!$A$5:$A$1204,A379),""))</f>
        <v>0</v>
      </c>
      <c r="Q379" s="8">
        <f>IF(H379="","",COUNTIFS($H$5:$H$1204,"&gt;"&amp;H379)+1)</f>
        <v>0</v>
      </c>
      <c r="R379" s="8">
        <f>IF(B379="","",SUMIFS(Pantry!$C$5:$C$304,Pantry!$A$5:$A$304,B379))</f>
        <v>0</v>
      </c>
      <c r="S379" s="8">
        <f>IF(OR(B379="",C379=""),"",MAX(0,C379-R379))</f>
        <v>0</v>
      </c>
      <c r="T379" s="26"/>
      <c r="U379" s="8">
        <f>IF(OR(T379="",T379=0,G379=""),"",T379*G379)</f>
        <v>0</v>
      </c>
      <c r="V379" s="8">
        <f>IF(OR(S379="",T379="",T379=0),"",CEILING(S379/T379,1))</f>
        <v>0</v>
      </c>
      <c r="W379" s="27"/>
      <c r="X379" s="29"/>
      <c r="Y379" s="8">
        <f>IF(OR(C379="",X379=""),"",C379*(1+X379))</f>
        <v>0</v>
      </c>
      <c r="Z379" s="8">
        <f>IF(B379="","",IFERROR(INDEX(Ingredients!$O$5:$O$304,MATCH(B379,Ingredients!$A$5:$A$304,0)),""))</f>
        <v>0</v>
      </c>
      <c r="AA379" s="8">
        <f>IF(B379="","",IF(R379&gt;=C379,"In pantry","To buy"))</f>
        <v>0</v>
      </c>
      <c r="AB379" s="8">
        <f>IF(A379="","",COUNTIFS($A$5:A379,A379))</f>
        <v>0</v>
      </c>
      <c r="AC379" s="8">
        <f>IF(B379="","",IF(COUNTIFS('Dietary Filters'!$C$5:$C$104,B379)&gt;0,"Check","OK"))</f>
        <v>0</v>
      </c>
      <c r="AD379" s="25"/>
    </row>
    <row r="380" spans="1:30">
      <c r="A380" s="7"/>
      <c r="B380" s="7"/>
      <c r="C380" s="26"/>
      <c r="D380" s="27"/>
      <c r="E380" s="8">
        <f>IF(B380="","",IFERROR(INDEX(Ingredients!$B$5:$B$304,MATCH(B380,Ingredients!$A$5:$A$304,0)),""))</f>
        <v>0</v>
      </c>
      <c r="F380" s="8">
        <f>IF(B380="","",IFERROR(INDEX(Ingredients!$E$5:$E$304,MATCH(B380,Ingredients!$A$5:$A$304,0)),""))</f>
        <v>0</v>
      </c>
      <c r="G380" s="8">
        <f>IF(B380="","",IFERROR(INDEX(Ingredients!$D$5:$D$304,MATCH(B380,Ingredients!$A$5:$A$304,0)),""))</f>
        <v>0</v>
      </c>
      <c r="H380" s="8">
        <f>IF(OR(B380="",C380=""),"",IFERROR(C380*G380,""))</f>
        <v>0</v>
      </c>
      <c r="I380" s="8">
        <f>IF(A380="","",IFERROR(INDEX(Recipes!$D$5:$D$204,MATCH(A380,Recipes!$A$5:$A$204,0)),""))</f>
        <v>0</v>
      </c>
      <c r="J380" s="8">
        <f>IF(OR(H380="",I380="",I380=0),"",IFERROR(H380/I380,""))</f>
        <v>0</v>
      </c>
      <c r="K380" s="8">
        <f>IF(OR(B380="",C380=""),"",IFERROR(C380*IFERROR(INDEX(Ingredients!$H$5:$H$304,MATCH(B380,Ingredients!$A$5:$A$304,0)),""),""))</f>
        <v>0</v>
      </c>
      <c r="L380" s="8">
        <f>IF(OR(B380="",C380=""),"",IFERROR(C380*IFERROR(INDEX(Ingredients!$I$5:$I$304,MATCH(B380,Ingredients!$A$5:$A$304,0)),""),""))</f>
        <v>0</v>
      </c>
      <c r="M380" s="8">
        <f>IF(OR(B380="",C380=""),"",IFERROR(C380*IFERROR(INDEX(Ingredients!$J$5:$J$304,MATCH(B380,Ingredients!$A$5:$A$304,0)),""),""))</f>
        <v>0</v>
      </c>
      <c r="N380" s="8">
        <f>IF(OR(B380="",C380=""),"",IFERROR(C380*IFERROR(INDEX(Ingredients!$K$5:$K$304,MATCH(B380,Ingredients!$A$5:$A$304,0)),""),""))</f>
        <v>0</v>
      </c>
      <c r="O380" s="8">
        <f>IF(OR(B380="",C380=""),"",IFERROR(C380*IFERROR(INDEX(Ingredients!$L$5:$L$304,MATCH(B380,Ingredients!$A$5:$A$304,0)),""),""))</f>
        <v>0</v>
      </c>
      <c r="P380" s="8">
        <f>IF(OR(H380="",A380=""),"",IFERROR(H380/SUMIFS('Recipe Ingredients'!$H$5:$H$1204,'Recipe Ingredients'!$A$5:$A$1204,A380),""))</f>
        <v>0</v>
      </c>
      <c r="Q380" s="8">
        <f>IF(H380="","",COUNTIFS($H$5:$H$1204,"&gt;"&amp;H380)+1)</f>
        <v>0</v>
      </c>
      <c r="R380" s="8">
        <f>IF(B380="","",SUMIFS(Pantry!$C$5:$C$304,Pantry!$A$5:$A$304,B380))</f>
        <v>0</v>
      </c>
      <c r="S380" s="8">
        <f>IF(OR(B380="",C380=""),"",MAX(0,C380-R380))</f>
        <v>0</v>
      </c>
      <c r="T380" s="26"/>
      <c r="U380" s="8">
        <f>IF(OR(T380="",T380=0,G380=""),"",T380*G380)</f>
        <v>0</v>
      </c>
      <c r="V380" s="8">
        <f>IF(OR(S380="",T380="",T380=0),"",CEILING(S380/T380,1))</f>
        <v>0</v>
      </c>
      <c r="W380" s="27"/>
      <c r="X380" s="29"/>
      <c r="Y380" s="8">
        <f>IF(OR(C380="",X380=""),"",C380*(1+X380))</f>
        <v>0</v>
      </c>
      <c r="Z380" s="8">
        <f>IF(B380="","",IFERROR(INDEX(Ingredients!$O$5:$O$304,MATCH(B380,Ingredients!$A$5:$A$304,0)),""))</f>
        <v>0</v>
      </c>
      <c r="AA380" s="8">
        <f>IF(B380="","",IF(R380&gt;=C380,"In pantry","To buy"))</f>
        <v>0</v>
      </c>
      <c r="AB380" s="8">
        <f>IF(A380="","",COUNTIFS($A$5:A380,A380))</f>
        <v>0</v>
      </c>
      <c r="AC380" s="8">
        <f>IF(B380="","",IF(COUNTIFS('Dietary Filters'!$C$5:$C$104,B380)&gt;0,"Check","OK"))</f>
        <v>0</v>
      </c>
      <c r="AD380" s="25"/>
    </row>
    <row r="381" spans="1:30">
      <c r="A381" s="7"/>
      <c r="B381" s="7"/>
      <c r="C381" s="26"/>
      <c r="D381" s="27"/>
      <c r="E381" s="8">
        <f>IF(B381="","",IFERROR(INDEX(Ingredients!$B$5:$B$304,MATCH(B381,Ingredients!$A$5:$A$304,0)),""))</f>
        <v>0</v>
      </c>
      <c r="F381" s="8">
        <f>IF(B381="","",IFERROR(INDEX(Ingredients!$E$5:$E$304,MATCH(B381,Ingredients!$A$5:$A$304,0)),""))</f>
        <v>0</v>
      </c>
      <c r="G381" s="8">
        <f>IF(B381="","",IFERROR(INDEX(Ingredients!$D$5:$D$304,MATCH(B381,Ingredients!$A$5:$A$304,0)),""))</f>
        <v>0</v>
      </c>
      <c r="H381" s="8">
        <f>IF(OR(B381="",C381=""),"",IFERROR(C381*G381,""))</f>
        <v>0</v>
      </c>
      <c r="I381" s="8">
        <f>IF(A381="","",IFERROR(INDEX(Recipes!$D$5:$D$204,MATCH(A381,Recipes!$A$5:$A$204,0)),""))</f>
        <v>0</v>
      </c>
      <c r="J381" s="8">
        <f>IF(OR(H381="",I381="",I381=0),"",IFERROR(H381/I381,""))</f>
        <v>0</v>
      </c>
      <c r="K381" s="8">
        <f>IF(OR(B381="",C381=""),"",IFERROR(C381*IFERROR(INDEX(Ingredients!$H$5:$H$304,MATCH(B381,Ingredients!$A$5:$A$304,0)),""),""))</f>
        <v>0</v>
      </c>
      <c r="L381" s="8">
        <f>IF(OR(B381="",C381=""),"",IFERROR(C381*IFERROR(INDEX(Ingredients!$I$5:$I$304,MATCH(B381,Ingredients!$A$5:$A$304,0)),""),""))</f>
        <v>0</v>
      </c>
      <c r="M381" s="8">
        <f>IF(OR(B381="",C381=""),"",IFERROR(C381*IFERROR(INDEX(Ingredients!$J$5:$J$304,MATCH(B381,Ingredients!$A$5:$A$304,0)),""),""))</f>
        <v>0</v>
      </c>
      <c r="N381" s="8">
        <f>IF(OR(B381="",C381=""),"",IFERROR(C381*IFERROR(INDEX(Ingredients!$K$5:$K$304,MATCH(B381,Ingredients!$A$5:$A$304,0)),""),""))</f>
        <v>0</v>
      </c>
      <c r="O381" s="8">
        <f>IF(OR(B381="",C381=""),"",IFERROR(C381*IFERROR(INDEX(Ingredients!$L$5:$L$304,MATCH(B381,Ingredients!$A$5:$A$304,0)),""),""))</f>
        <v>0</v>
      </c>
      <c r="P381" s="8">
        <f>IF(OR(H381="",A381=""),"",IFERROR(H381/SUMIFS('Recipe Ingredients'!$H$5:$H$1204,'Recipe Ingredients'!$A$5:$A$1204,A381),""))</f>
        <v>0</v>
      </c>
      <c r="Q381" s="8">
        <f>IF(H381="","",COUNTIFS($H$5:$H$1204,"&gt;"&amp;H381)+1)</f>
        <v>0</v>
      </c>
      <c r="R381" s="8">
        <f>IF(B381="","",SUMIFS(Pantry!$C$5:$C$304,Pantry!$A$5:$A$304,B381))</f>
        <v>0</v>
      </c>
      <c r="S381" s="8">
        <f>IF(OR(B381="",C381=""),"",MAX(0,C381-R381))</f>
        <v>0</v>
      </c>
      <c r="T381" s="26"/>
      <c r="U381" s="8">
        <f>IF(OR(T381="",T381=0,G381=""),"",T381*G381)</f>
        <v>0</v>
      </c>
      <c r="V381" s="8">
        <f>IF(OR(S381="",T381="",T381=0),"",CEILING(S381/T381,1))</f>
        <v>0</v>
      </c>
      <c r="W381" s="27"/>
      <c r="X381" s="29"/>
      <c r="Y381" s="8">
        <f>IF(OR(C381="",X381=""),"",C381*(1+X381))</f>
        <v>0</v>
      </c>
      <c r="Z381" s="8">
        <f>IF(B381="","",IFERROR(INDEX(Ingredients!$O$5:$O$304,MATCH(B381,Ingredients!$A$5:$A$304,0)),""))</f>
        <v>0</v>
      </c>
      <c r="AA381" s="8">
        <f>IF(B381="","",IF(R381&gt;=C381,"In pantry","To buy"))</f>
        <v>0</v>
      </c>
      <c r="AB381" s="8">
        <f>IF(A381="","",COUNTIFS($A$5:A381,A381))</f>
        <v>0</v>
      </c>
      <c r="AC381" s="8">
        <f>IF(B381="","",IF(COUNTIFS('Dietary Filters'!$C$5:$C$104,B381)&gt;0,"Check","OK"))</f>
        <v>0</v>
      </c>
      <c r="AD381" s="25"/>
    </row>
    <row r="382" spans="1:30">
      <c r="A382" s="7"/>
      <c r="B382" s="7"/>
      <c r="C382" s="26"/>
      <c r="D382" s="27"/>
      <c r="E382" s="8">
        <f>IF(B382="","",IFERROR(INDEX(Ingredients!$B$5:$B$304,MATCH(B382,Ingredients!$A$5:$A$304,0)),""))</f>
        <v>0</v>
      </c>
      <c r="F382" s="8">
        <f>IF(B382="","",IFERROR(INDEX(Ingredients!$E$5:$E$304,MATCH(B382,Ingredients!$A$5:$A$304,0)),""))</f>
        <v>0</v>
      </c>
      <c r="G382" s="8">
        <f>IF(B382="","",IFERROR(INDEX(Ingredients!$D$5:$D$304,MATCH(B382,Ingredients!$A$5:$A$304,0)),""))</f>
        <v>0</v>
      </c>
      <c r="H382" s="8">
        <f>IF(OR(B382="",C382=""),"",IFERROR(C382*G382,""))</f>
        <v>0</v>
      </c>
      <c r="I382" s="8">
        <f>IF(A382="","",IFERROR(INDEX(Recipes!$D$5:$D$204,MATCH(A382,Recipes!$A$5:$A$204,0)),""))</f>
        <v>0</v>
      </c>
      <c r="J382" s="8">
        <f>IF(OR(H382="",I382="",I382=0),"",IFERROR(H382/I382,""))</f>
        <v>0</v>
      </c>
      <c r="K382" s="8">
        <f>IF(OR(B382="",C382=""),"",IFERROR(C382*IFERROR(INDEX(Ingredients!$H$5:$H$304,MATCH(B382,Ingredients!$A$5:$A$304,0)),""),""))</f>
        <v>0</v>
      </c>
      <c r="L382" s="8">
        <f>IF(OR(B382="",C382=""),"",IFERROR(C382*IFERROR(INDEX(Ingredients!$I$5:$I$304,MATCH(B382,Ingredients!$A$5:$A$304,0)),""),""))</f>
        <v>0</v>
      </c>
      <c r="M382" s="8">
        <f>IF(OR(B382="",C382=""),"",IFERROR(C382*IFERROR(INDEX(Ingredients!$J$5:$J$304,MATCH(B382,Ingredients!$A$5:$A$304,0)),""),""))</f>
        <v>0</v>
      </c>
      <c r="N382" s="8">
        <f>IF(OR(B382="",C382=""),"",IFERROR(C382*IFERROR(INDEX(Ingredients!$K$5:$K$304,MATCH(B382,Ingredients!$A$5:$A$304,0)),""),""))</f>
        <v>0</v>
      </c>
      <c r="O382" s="8">
        <f>IF(OR(B382="",C382=""),"",IFERROR(C382*IFERROR(INDEX(Ingredients!$L$5:$L$304,MATCH(B382,Ingredients!$A$5:$A$304,0)),""),""))</f>
        <v>0</v>
      </c>
      <c r="P382" s="8">
        <f>IF(OR(H382="",A382=""),"",IFERROR(H382/SUMIFS('Recipe Ingredients'!$H$5:$H$1204,'Recipe Ingredients'!$A$5:$A$1204,A382),""))</f>
        <v>0</v>
      </c>
      <c r="Q382" s="8">
        <f>IF(H382="","",COUNTIFS($H$5:$H$1204,"&gt;"&amp;H382)+1)</f>
        <v>0</v>
      </c>
      <c r="R382" s="8">
        <f>IF(B382="","",SUMIFS(Pantry!$C$5:$C$304,Pantry!$A$5:$A$304,B382))</f>
        <v>0</v>
      </c>
      <c r="S382" s="8">
        <f>IF(OR(B382="",C382=""),"",MAX(0,C382-R382))</f>
        <v>0</v>
      </c>
      <c r="T382" s="26"/>
      <c r="U382" s="8">
        <f>IF(OR(T382="",T382=0,G382=""),"",T382*G382)</f>
        <v>0</v>
      </c>
      <c r="V382" s="8">
        <f>IF(OR(S382="",T382="",T382=0),"",CEILING(S382/T382,1))</f>
        <v>0</v>
      </c>
      <c r="W382" s="27"/>
      <c r="X382" s="29"/>
      <c r="Y382" s="8">
        <f>IF(OR(C382="",X382=""),"",C382*(1+X382))</f>
        <v>0</v>
      </c>
      <c r="Z382" s="8">
        <f>IF(B382="","",IFERROR(INDEX(Ingredients!$O$5:$O$304,MATCH(B382,Ingredients!$A$5:$A$304,0)),""))</f>
        <v>0</v>
      </c>
      <c r="AA382" s="8">
        <f>IF(B382="","",IF(R382&gt;=C382,"In pantry","To buy"))</f>
        <v>0</v>
      </c>
      <c r="AB382" s="8">
        <f>IF(A382="","",COUNTIFS($A$5:A382,A382))</f>
        <v>0</v>
      </c>
      <c r="AC382" s="8">
        <f>IF(B382="","",IF(COUNTIFS('Dietary Filters'!$C$5:$C$104,B382)&gt;0,"Check","OK"))</f>
        <v>0</v>
      </c>
      <c r="AD382" s="25"/>
    </row>
    <row r="383" spans="1:30">
      <c r="A383" s="7"/>
      <c r="B383" s="7"/>
      <c r="C383" s="26"/>
      <c r="D383" s="27"/>
      <c r="E383" s="8">
        <f>IF(B383="","",IFERROR(INDEX(Ingredients!$B$5:$B$304,MATCH(B383,Ingredients!$A$5:$A$304,0)),""))</f>
        <v>0</v>
      </c>
      <c r="F383" s="8">
        <f>IF(B383="","",IFERROR(INDEX(Ingredients!$E$5:$E$304,MATCH(B383,Ingredients!$A$5:$A$304,0)),""))</f>
        <v>0</v>
      </c>
      <c r="G383" s="8">
        <f>IF(B383="","",IFERROR(INDEX(Ingredients!$D$5:$D$304,MATCH(B383,Ingredients!$A$5:$A$304,0)),""))</f>
        <v>0</v>
      </c>
      <c r="H383" s="8">
        <f>IF(OR(B383="",C383=""),"",IFERROR(C383*G383,""))</f>
        <v>0</v>
      </c>
      <c r="I383" s="8">
        <f>IF(A383="","",IFERROR(INDEX(Recipes!$D$5:$D$204,MATCH(A383,Recipes!$A$5:$A$204,0)),""))</f>
        <v>0</v>
      </c>
      <c r="J383" s="8">
        <f>IF(OR(H383="",I383="",I383=0),"",IFERROR(H383/I383,""))</f>
        <v>0</v>
      </c>
      <c r="K383" s="8">
        <f>IF(OR(B383="",C383=""),"",IFERROR(C383*IFERROR(INDEX(Ingredients!$H$5:$H$304,MATCH(B383,Ingredients!$A$5:$A$304,0)),""),""))</f>
        <v>0</v>
      </c>
      <c r="L383" s="8">
        <f>IF(OR(B383="",C383=""),"",IFERROR(C383*IFERROR(INDEX(Ingredients!$I$5:$I$304,MATCH(B383,Ingredients!$A$5:$A$304,0)),""),""))</f>
        <v>0</v>
      </c>
      <c r="M383" s="8">
        <f>IF(OR(B383="",C383=""),"",IFERROR(C383*IFERROR(INDEX(Ingredients!$J$5:$J$304,MATCH(B383,Ingredients!$A$5:$A$304,0)),""),""))</f>
        <v>0</v>
      </c>
      <c r="N383" s="8">
        <f>IF(OR(B383="",C383=""),"",IFERROR(C383*IFERROR(INDEX(Ingredients!$K$5:$K$304,MATCH(B383,Ingredients!$A$5:$A$304,0)),""),""))</f>
        <v>0</v>
      </c>
      <c r="O383" s="8">
        <f>IF(OR(B383="",C383=""),"",IFERROR(C383*IFERROR(INDEX(Ingredients!$L$5:$L$304,MATCH(B383,Ingredients!$A$5:$A$304,0)),""),""))</f>
        <v>0</v>
      </c>
      <c r="P383" s="8">
        <f>IF(OR(H383="",A383=""),"",IFERROR(H383/SUMIFS('Recipe Ingredients'!$H$5:$H$1204,'Recipe Ingredients'!$A$5:$A$1204,A383),""))</f>
        <v>0</v>
      </c>
      <c r="Q383" s="8">
        <f>IF(H383="","",COUNTIFS($H$5:$H$1204,"&gt;"&amp;H383)+1)</f>
        <v>0</v>
      </c>
      <c r="R383" s="8">
        <f>IF(B383="","",SUMIFS(Pantry!$C$5:$C$304,Pantry!$A$5:$A$304,B383))</f>
        <v>0</v>
      </c>
      <c r="S383" s="8">
        <f>IF(OR(B383="",C383=""),"",MAX(0,C383-R383))</f>
        <v>0</v>
      </c>
      <c r="T383" s="26"/>
      <c r="U383" s="8">
        <f>IF(OR(T383="",T383=0,G383=""),"",T383*G383)</f>
        <v>0</v>
      </c>
      <c r="V383" s="8">
        <f>IF(OR(S383="",T383="",T383=0),"",CEILING(S383/T383,1))</f>
        <v>0</v>
      </c>
      <c r="W383" s="27"/>
      <c r="X383" s="29"/>
      <c r="Y383" s="8">
        <f>IF(OR(C383="",X383=""),"",C383*(1+X383))</f>
        <v>0</v>
      </c>
      <c r="Z383" s="8">
        <f>IF(B383="","",IFERROR(INDEX(Ingredients!$O$5:$O$304,MATCH(B383,Ingredients!$A$5:$A$304,0)),""))</f>
        <v>0</v>
      </c>
      <c r="AA383" s="8">
        <f>IF(B383="","",IF(R383&gt;=C383,"In pantry","To buy"))</f>
        <v>0</v>
      </c>
      <c r="AB383" s="8">
        <f>IF(A383="","",COUNTIFS($A$5:A383,A383))</f>
        <v>0</v>
      </c>
      <c r="AC383" s="8">
        <f>IF(B383="","",IF(COUNTIFS('Dietary Filters'!$C$5:$C$104,B383)&gt;0,"Check","OK"))</f>
        <v>0</v>
      </c>
      <c r="AD383" s="25"/>
    </row>
    <row r="384" spans="1:30">
      <c r="A384" s="7"/>
      <c r="B384" s="7"/>
      <c r="C384" s="26"/>
      <c r="D384" s="27"/>
      <c r="E384" s="8">
        <f>IF(B384="","",IFERROR(INDEX(Ingredients!$B$5:$B$304,MATCH(B384,Ingredients!$A$5:$A$304,0)),""))</f>
        <v>0</v>
      </c>
      <c r="F384" s="8">
        <f>IF(B384="","",IFERROR(INDEX(Ingredients!$E$5:$E$304,MATCH(B384,Ingredients!$A$5:$A$304,0)),""))</f>
        <v>0</v>
      </c>
      <c r="G384" s="8">
        <f>IF(B384="","",IFERROR(INDEX(Ingredients!$D$5:$D$304,MATCH(B384,Ingredients!$A$5:$A$304,0)),""))</f>
        <v>0</v>
      </c>
      <c r="H384" s="8">
        <f>IF(OR(B384="",C384=""),"",IFERROR(C384*G384,""))</f>
        <v>0</v>
      </c>
      <c r="I384" s="8">
        <f>IF(A384="","",IFERROR(INDEX(Recipes!$D$5:$D$204,MATCH(A384,Recipes!$A$5:$A$204,0)),""))</f>
        <v>0</v>
      </c>
      <c r="J384" s="8">
        <f>IF(OR(H384="",I384="",I384=0),"",IFERROR(H384/I384,""))</f>
        <v>0</v>
      </c>
      <c r="K384" s="8">
        <f>IF(OR(B384="",C384=""),"",IFERROR(C384*IFERROR(INDEX(Ingredients!$H$5:$H$304,MATCH(B384,Ingredients!$A$5:$A$304,0)),""),""))</f>
        <v>0</v>
      </c>
      <c r="L384" s="8">
        <f>IF(OR(B384="",C384=""),"",IFERROR(C384*IFERROR(INDEX(Ingredients!$I$5:$I$304,MATCH(B384,Ingredients!$A$5:$A$304,0)),""),""))</f>
        <v>0</v>
      </c>
      <c r="M384" s="8">
        <f>IF(OR(B384="",C384=""),"",IFERROR(C384*IFERROR(INDEX(Ingredients!$J$5:$J$304,MATCH(B384,Ingredients!$A$5:$A$304,0)),""),""))</f>
        <v>0</v>
      </c>
      <c r="N384" s="8">
        <f>IF(OR(B384="",C384=""),"",IFERROR(C384*IFERROR(INDEX(Ingredients!$K$5:$K$304,MATCH(B384,Ingredients!$A$5:$A$304,0)),""),""))</f>
        <v>0</v>
      </c>
      <c r="O384" s="8">
        <f>IF(OR(B384="",C384=""),"",IFERROR(C384*IFERROR(INDEX(Ingredients!$L$5:$L$304,MATCH(B384,Ingredients!$A$5:$A$304,0)),""),""))</f>
        <v>0</v>
      </c>
      <c r="P384" s="8">
        <f>IF(OR(H384="",A384=""),"",IFERROR(H384/SUMIFS('Recipe Ingredients'!$H$5:$H$1204,'Recipe Ingredients'!$A$5:$A$1204,A384),""))</f>
        <v>0</v>
      </c>
      <c r="Q384" s="8">
        <f>IF(H384="","",COUNTIFS($H$5:$H$1204,"&gt;"&amp;H384)+1)</f>
        <v>0</v>
      </c>
      <c r="R384" s="8">
        <f>IF(B384="","",SUMIFS(Pantry!$C$5:$C$304,Pantry!$A$5:$A$304,B384))</f>
        <v>0</v>
      </c>
      <c r="S384" s="8">
        <f>IF(OR(B384="",C384=""),"",MAX(0,C384-R384))</f>
        <v>0</v>
      </c>
      <c r="T384" s="26"/>
      <c r="U384" s="8">
        <f>IF(OR(T384="",T384=0,G384=""),"",T384*G384)</f>
        <v>0</v>
      </c>
      <c r="V384" s="8">
        <f>IF(OR(S384="",T384="",T384=0),"",CEILING(S384/T384,1))</f>
        <v>0</v>
      </c>
      <c r="W384" s="27"/>
      <c r="X384" s="29"/>
      <c r="Y384" s="8">
        <f>IF(OR(C384="",X384=""),"",C384*(1+X384))</f>
        <v>0</v>
      </c>
      <c r="Z384" s="8">
        <f>IF(B384="","",IFERROR(INDEX(Ingredients!$O$5:$O$304,MATCH(B384,Ingredients!$A$5:$A$304,0)),""))</f>
        <v>0</v>
      </c>
      <c r="AA384" s="8">
        <f>IF(B384="","",IF(R384&gt;=C384,"In pantry","To buy"))</f>
        <v>0</v>
      </c>
      <c r="AB384" s="8">
        <f>IF(A384="","",COUNTIFS($A$5:A384,A384))</f>
        <v>0</v>
      </c>
      <c r="AC384" s="8">
        <f>IF(B384="","",IF(COUNTIFS('Dietary Filters'!$C$5:$C$104,B384)&gt;0,"Check","OK"))</f>
        <v>0</v>
      </c>
      <c r="AD384" s="25"/>
    </row>
    <row r="385" spans="1:30">
      <c r="A385" s="7"/>
      <c r="B385" s="7"/>
      <c r="C385" s="26"/>
      <c r="D385" s="27"/>
      <c r="E385" s="8">
        <f>IF(B385="","",IFERROR(INDEX(Ingredients!$B$5:$B$304,MATCH(B385,Ingredients!$A$5:$A$304,0)),""))</f>
        <v>0</v>
      </c>
      <c r="F385" s="8">
        <f>IF(B385="","",IFERROR(INDEX(Ingredients!$E$5:$E$304,MATCH(B385,Ingredients!$A$5:$A$304,0)),""))</f>
        <v>0</v>
      </c>
      <c r="G385" s="8">
        <f>IF(B385="","",IFERROR(INDEX(Ingredients!$D$5:$D$304,MATCH(B385,Ingredients!$A$5:$A$304,0)),""))</f>
        <v>0</v>
      </c>
      <c r="H385" s="8">
        <f>IF(OR(B385="",C385=""),"",IFERROR(C385*G385,""))</f>
        <v>0</v>
      </c>
      <c r="I385" s="8">
        <f>IF(A385="","",IFERROR(INDEX(Recipes!$D$5:$D$204,MATCH(A385,Recipes!$A$5:$A$204,0)),""))</f>
        <v>0</v>
      </c>
      <c r="J385" s="8">
        <f>IF(OR(H385="",I385="",I385=0),"",IFERROR(H385/I385,""))</f>
        <v>0</v>
      </c>
      <c r="K385" s="8">
        <f>IF(OR(B385="",C385=""),"",IFERROR(C385*IFERROR(INDEX(Ingredients!$H$5:$H$304,MATCH(B385,Ingredients!$A$5:$A$304,0)),""),""))</f>
        <v>0</v>
      </c>
      <c r="L385" s="8">
        <f>IF(OR(B385="",C385=""),"",IFERROR(C385*IFERROR(INDEX(Ingredients!$I$5:$I$304,MATCH(B385,Ingredients!$A$5:$A$304,0)),""),""))</f>
        <v>0</v>
      </c>
      <c r="M385" s="8">
        <f>IF(OR(B385="",C385=""),"",IFERROR(C385*IFERROR(INDEX(Ingredients!$J$5:$J$304,MATCH(B385,Ingredients!$A$5:$A$304,0)),""),""))</f>
        <v>0</v>
      </c>
      <c r="N385" s="8">
        <f>IF(OR(B385="",C385=""),"",IFERROR(C385*IFERROR(INDEX(Ingredients!$K$5:$K$304,MATCH(B385,Ingredients!$A$5:$A$304,0)),""),""))</f>
        <v>0</v>
      </c>
      <c r="O385" s="8">
        <f>IF(OR(B385="",C385=""),"",IFERROR(C385*IFERROR(INDEX(Ingredients!$L$5:$L$304,MATCH(B385,Ingredients!$A$5:$A$304,0)),""),""))</f>
        <v>0</v>
      </c>
      <c r="P385" s="8">
        <f>IF(OR(H385="",A385=""),"",IFERROR(H385/SUMIFS('Recipe Ingredients'!$H$5:$H$1204,'Recipe Ingredients'!$A$5:$A$1204,A385),""))</f>
        <v>0</v>
      </c>
      <c r="Q385" s="8">
        <f>IF(H385="","",COUNTIFS($H$5:$H$1204,"&gt;"&amp;H385)+1)</f>
        <v>0</v>
      </c>
      <c r="R385" s="8">
        <f>IF(B385="","",SUMIFS(Pantry!$C$5:$C$304,Pantry!$A$5:$A$304,B385))</f>
        <v>0</v>
      </c>
      <c r="S385" s="8">
        <f>IF(OR(B385="",C385=""),"",MAX(0,C385-R385))</f>
        <v>0</v>
      </c>
      <c r="T385" s="26"/>
      <c r="U385" s="8">
        <f>IF(OR(T385="",T385=0,G385=""),"",T385*G385)</f>
        <v>0</v>
      </c>
      <c r="V385" s="8">
        <f>IF(OR(S385="",T385="",T385=0),"",CEILING(S385/T385,1))</f>
        <v>0</v>
      </c>
      <c r="W385" s="27"/>
      <c r="X385" s="29"/>
      <c r="Y385" s="8">
        <f>IF(OR(C385="",X385=""),"",C385*(1+X385))</f>
        <v>0</v>
      </c>
      <c r="Z385" s="8">
        <f>IF(B385="","",IFERROR(INDEX(Ingredients!$O$5:$O$304,MATCH(B385,Ingredients!$A$5:$A$304,0)),""))</f>
        <v>0</v>
      </c>
      <c r="AA385" s="8">
        <f>IF(B385="","",IF(R385&gt;=C385,"In pantry","To buy"))</f>
        <v>0</v>
      </c>
      <c r="AB385" s="8">
        <f>IF(A385="","",COUNTIFS($A$5:A385,A385))</f>
        <v>0</v>
      </c>
      <c r="AC385" s="8">
        <f>IF(B385="","",IF(COUNTIFS('Dietary Filters'!$C$5:$C$104,B385)&gt;0,"Check","OK"))</f>
        <v>0</v>
      </c>
      <c r="AD385" s="25"/>
    </row>
    <row r="386" spans="1:30">
      <c r="A386" s="7"/>
      <c r="B386" s="7"/>
      <c r="C386" s="26"/>
      <c r="D386" s="27"/>
      <c r="E386" s="8">
        <f>IF(B386="","",IFERROR(INDEX(Ingredients!$B$5:$B$304,MATCH(B386,Ingredients!$A$5:$A$304,0)),""))</f>
        <v>0</v>
      </c>
      <c r="F386" s="8">
        <f>IF(B386="","",IFERROR(INDEX(Ingredients!$E$5:$E$304,MATCH(B386,Ingredients!$A$5:$A$304,0)),""))</f>
        <v>0</v>
      </c>
      <c r="G386" s="8">
        <f>IF(B386="","",IFERROR(INDEX(Ingredients!$D$5:$D$304,MATCH(B386,Ingredients!$A$5:$A$304,0)),""))</f>
        <v>0</v>
      </c>
      <c r="H386" s="8">
        <f>IF(OR(B386="",C386=""),"",IFERROR(C386*G386,""))</f>
        <v>0</v>
      </c>
      <c r="I386" s="8">
        <f>IF(A386="","",IFERROR(INDEX(Recipes!$D$5:$D$204,MATCH(A386,Recipes!$A$5:$A$204,0)),""))</f>
        <v>0</v>
      </c>
      <c r="J386" s="8">
        <f>IF(OR(H386="",I386="",I386=0),"",IFERROR(H386/I386,""))</f>
        <v>0</v>
      </c>
      <c r="K386" s="8">
        <f>IF(OR(B386="",C386=""),"",IFERROR(C386*IFERROR(INDEX(Ingredients!$H$5:$H$304,MATCH(B386,Ingredients!$A$5:$A$304,0)),""),""))</f>
        <v>0</v>
      </c>
      <c r="L386" s="8">
        <f>IF(OR(B386="",C386=""),"",IFERROR(C386*IFERROR(INDEX(Ingredients!$I$5:$I$304,MATCH(B386,Ingredients!$A$5:$A$304,0)),""),""))</f>
        <v>0</v>
      </c>
      <c r="M386" s="8">
        <f>IF(OR(B386="",C386=""),"",IFERROR(C386*IFERROR(INDEX(Ingredients!$J$5:$J$304,MATCH(B386,Ingredients!$A$5:$A$304,0)),""),""))</f>
        <v>0</v>
      </c>
      <c r="N386" s="8">
        <f>IF(OR(B386="",C386=""),"",IFERROR(C386*IFERROR(INDEX(Ingredients!$K$5:$K$304,MATCH(B386,Ingredients!$A$5:$A$304,0)),""),""))</f>
        <v>0</v>
      </c>
      <c r="O386" s="8">
        <f>IF(OR(B386="",C386=""),"",IFERROR(C386*IFERROR(INDEX(Ingredients!$L$5:$L$304,MATCH(B386,Ingredients!$A$5:$A$304,0)),""),""))</f>
        <v>0</v>
      </c>
      <c r="P386" s="8">
        <f>IF(OR(H386="",A386=""),"",IFERROR(H386/SUMIFS('Recipe Ingredients'!$H$5:$H$1204,'Recipe Ingredients'!$A$5:$A$1204,A386),""))</f>
        <v>0</v>
      </c>
      <c r="Q386" s="8">
        <f>IF(H386="","",COUNTIFS($H$5:$H$1204,"&gt;"&amp;H386)+1)</f>
        <v>0</v>
      </c>
      <c r="R386" s="8">
        <f>IF(B386="","",SUMIFS(Pantry!$C$5:$C$304,Pantry!$A$5:$A$304,B386))</f>
        <v>0</v>
      </c>
      <c r="S386" s="8">
        <f>IF(OR(B386="",C386=""),"",MAX(0,C386-R386))</f>
        <v>0</v>
      </c>
      <c r="T386" s="26"/>
      <c r="U386" s="8">
        <f>IF(OR(T386="",T386=0,G386=""),"",T386*G386)</f>
        <v>0</v>
      </c>
      <c r="V386" s="8">
        <f>IF(OR(S386="",T386="",T386=0),"",CEILING(S386/T386,1))</f>
        <v>0</v>
      </c>
      <c r="W386" s="27"/>
      <c r="X386" s="29"/>
      <c r="Y386" s="8">
        <f>IF(OR(C386="",X386=""),"",C386*(1+X386))</f>
        <v>0</v>
      </c>
      <c r="Z386" s="8">
        <f>IF(B386="","",IFERROR(INDEX(Ingredients!$O$5:$O$304,MATCH(B386,Ingredients!$A$5:$A$304,0)),""))</f>
        <v>0</v>
      </c>
      <c r="AA386" s="8">
        <f>IF(B386="","",IF(R386&gt;=C386,"In pantry","To buy"))</f>
        <v>0</v>
      </c>
      <c r="AB386" s="8">
        <f>IF(A386="","",COUNTIFS($A$5:A386,A386))</f>
        <v>0</v>
      </c>
      <c r="AC386" s="8">
        <f>IF(B386="","",IF(COUNTIFS('Dietary Filters'!$C$5:$C$104,B386)&gt;0,"Check","OK"))</f>
        <v>0</v>
      </c>
      <c r="AD386" s="25"/>
    </row>
    <row r="387" spans="1:30">
      <c r="A387" s="7"/>
      <c r="B387" s="7"/>
      <c r="C387" s="26"/>
      <c r="D387" s="27"/>
      <c r="E387" s="8">
        <f>IF(B387="","",IFERROR(INDEX(Ingredients!$B$5:$B$304,MATCH(B387,Ingredients!$A$5:$A$304,0)),""))</f>
        <v>0</v>
      </c>
      <c r="F387" s="8">
        <f>IF(B387="","",IFERROR(INDEX(Ingredients!$E$5:$E$304,MATCH(B387,Ingredients!$A$5:$A$304,0)),""))</f>
        <v>0</v>
      </c>
      <c r="G387" s="8">
        <f>IF(B387="","",IFERROR(INDEX(Ingredients!$D$5:$D$304,MATCH(B387,Ingredients!$A$5:$A$304,0)),""))</f>
        <v>0</v>
      </c>
      <c r="H387" s="8">
        <f>IF(OR(B387="",C387=""),"",IFERROR(C387*G387,""))</f>
        <v>0</v>
      </c>
      <c r="I387" s="8">
        <f>IF(A387="","",IFERROR(INDEX(Recipes!$D$5:$D$204,MATCH(A387,Recipes!$A$5:$A$204,0)),""))</f>
        <v>0</v>
      </c>
      <c r="J387" s="8">
        <f>IF(OR(H387="",I387="",I387=0),"",IFERROR(H387/I387,""))</f>
        <v>0</v>
      </c>
      <c r="K387" s="8">
        <f>IF(OR(B387="",C387=""),"",IFERROR(C387*IFERROR(INDEX(Ingredients!$H$5:$H$304,MATCH(B387,Ingredients!$A$5:$A$304,0)),""),""))</f>
        <v>0</v>
      </c>
      <c r="L387" s="8">
        <f>IF(OR(B387="",C387=""),"",IFERROR(C387*IFERROR(INDEX(Ingredients!$I$5:$I$304,MATCH(B387,Ingredients!$A$5:$A$304,0)),""),""))</f>
        <v>0</v>
      </c>
      <c r="M387" s="8">
        <f>IF(OR(B387="",C387=""),"",IFERROR(C387*IFERROR(INDEX(Ingredients!$J$5:$J$304,MATCH(B387,Ingredients!$A$5:$A$304,0)),""),""))</f>
        <v>0</v>
      </c>
      <c r="N387" s="8">
        <f>IF(OR(B387="",C387=""),"",IFERROR(C387*IFERROR(INDEX(Ingredients!$K$5:$K$304,MATCH(B387,Ingredients!$A$5:$A$304,0)),""),""))</f>
        <v>0</v>
      </c>
      <c r="O387" s="8">
        <f>IF(OR(B387="",C387=""),"",IFERROR(C387*IFERROR(INDEX(Ingredients!$L$5:$L$304,MATCH(B387,Ingredients!$A$5:$A$304,0)),""),""))</f>
        <v>0</v>
      </c>
      <c r="P387" s="8">
        <f>IF(OR(H387="",A387=""),"",IFERROR(H387/SUMIFS('Recipe Ingredients'!$H$5:$H$1204,'Recipe Ingredients'!$A$5:$A$1204,A387),""))</f>
        <v>0</v>
      </c>
      <c r="Q387" s="8">
        <f>IF(H387="","",COUNTIFS($H$5:$H$1204,"&gt;"&amp;H387)+1)</f>
        <v>0</v>
      </c>
      <c r="R387" s="8">
        <f>IF(B387="","",SUMIFS(Pantry!$C$5:$C$304,Pantry!$A$5:$A$304,B387))</f>
        <v>0</v>
      </c>
      <c r="S387" s="8">
        <f>IF(OR(B387="",C387=""),"",MAX(0,C387-R387))</f>
        <v>0</v>
      </c>
      <c r="T387" s="26"/>
      <c r="U387" s="8">
        <f>IF(OR(T387="",T387=0,G387=""),"",T387*G387)</f>
        <v>0</v>
      </c>
      <c r="V387" s="8">
        <f>IF(OR(S387="",T387="",T387=0),"",CEILING(S387/T387,1))</f>
        <v>0</v>
      </c>
      <c r="W387" s="27"/>
      <c r="X387" s="29"/>
      <c r="Y387" s="8">
        <f>IF(OR(C387="",X387=""),"",C387*(1+X387))</f>
        <v>0</v>
      </c>
      <c r="Z387" s="8">
        <f>IF(B387="","",IFERROR(INDEX(Ingredients!$O$5:$O$304,MATCH(B387,Ingredients!$A$5:$A$304,0)),""))</f>
        <v>0</v>
      </c>
      <c r="AA387" s="8">
        <f>IF(B387="","",IF(R387&gt;=C387,"In pantry","To buy"))</f>
        <v>0</v>
      </c>
      <c r="AB387" s="8">
        <f>IF(A387="","",COUNTIFS($A$5:A387,A387))</f>
        <v>0</v>
      </c>
      <c r="AC387" s="8">
        <f>IF(B387="","",IF(COUNTIFS('Dietary Filters'!$C$5:$C$104,B387)&gt;0,"Check","OK"))</f>
        <v>0</v>
      </c>
      <c r="AD387" s="25"/>
    </row>
    <row r="388" spans="1:30">
      <c r="A388" s="7"/>
      <c r="B388" s="7"/>
      <c r="C388" s="26"/>
      <c r="D388" s="27"/>
      <c r="E388" s="8">
        <f>IF(B388="","",IFERROR(INDEX(Ingredients!$B$5:$B$304,MATCH(B388,Ingredients!$A$5:$A$304,0)),""))</f>
        <v>0</v>
      </c>
      <c r="F388" s="8">
        <f>IF(B388="","",IFERROR(INDEX(Ingredients!$E$5:$E$304,MATCH(B388,Ingredients!$A$5:$A$304,0)),""))</f>
        <v>0</v>
      </c>
      <c r="G388" s="8">
        <f>IF(B388="","",IFERROR(INDEX(Ingredients!$D$5:$D$304,MATCH(B388,Ingredients!$A$5:$A$304,0)),""))</f>
        <v>0</v>
      </c>
      <c r="H388" s="8">
        <f>IF(OR(B388="",C388=""),"",IFERROR(C388*G388,""))</f>
        <v>0</v>
      </c>
      <c r="I388" s="8">
        <f>IF(A388="","",IFERROR(INDEX(Recipes!$D$5:$D$204,MATCH(A388,Recipes!$A$5:$A$204,0)),""))</f>
        <v>0</v>
      </c>
      <c r="J388" s="8">
        <f>IF(OR(H388="",I388="",I388=0),"",IFERROR(H388/I388,""))</f>
        <v>0</v>
      </c>
      <c r="K388" s="8">
        <f>IF(OR(B388="",C388=""),"",IFERROR(C388*IFERROR(INDEX(Ingredients!$H$5:$H$304,MATCH(B388,Ingredients!$A$5:$A$304,0)),""),""))</f>
        <v>0</v>
      </c>
      <c r="L388" s="8">
        <f>IF(OR(B388="",C388=""),"",IFERROR(C388*IFERROR(INDEX(Ingredients!$I$5:$I$304,MATCH(B388,Ingredients!$A$5:$A$304,0)),""),""))</f>
        <v>0</v>
      </c>
      <c r="M388" s="8">
        <f>IF(OR(B388="",C388=""),"",IFERROR(C388*IFERROR(INDEX(Ingredients!$J$5:$J$304,MATCH(B388,Ingredients!$A$5:$A$304,0)),""),""))</f>
        <v>0</v>
      </c>
      <c r="N388" s="8">
        <f>IF(OR(B388="",C388=""),"",IFERROR(C388*IFERROR(INDEX(Ingredients!$K$5:$K$304,MATCH(B388,Ingredients!$A$5:$A$304,0)),""),""))</f>
        <v>0</v>
      </c>
      <c r="O388" s="8">
        <f>IF(OR(B388="",C388=""),"",IFERROR(C388*IFERROR(INDEX(Ingredients!$L$5:$L$304,MATCH(B388,Ingredients!$A$5:$A$304,0)),""),""))</f>
        <v>0</v>
      </c>
      <c r="P388" s="8">
        <f>IF(OR(H388="",A388=""),"",IFERROR(H388/SUMIFS('Recipe Ingredients'!$H$5:$H$1204,'Recipe Ingredients'!$A$5:$A$1204,A388),""))</f>
        <v>0</v>
      </c>
      <c r="Q388" s="8">
        <f>IF(H388="","",COUNTIFS($H$5:$H$1204,"&gt;"&amp;H388)+1)</f>
        <v>0</v>
      </c>
      <c r="R388" s="8">
        <f>IF(B388="","",SUMIFS(Pantry!$C$5:$C$304,Pantry!$A$5:$A$304,B388))</f>
        <v>0</v>
      </c>
      <c r="S388" s="8">
        <f>IF(OR(B388="",C388=""),"",MAX(0,C388-R388))</f>
        <v>0</v>
      </c>
      <c r="T388" s="26"/>
      <c r="U388" s="8">
        <f>IF(OR(T388="",T388=0,G388=""),"",T388*G388)</f>
        <v>0</v>
      </c>
      <c r="V388" s="8">
        <f>IF(OR(S388="",T388="",T388=0),"",CEILING(S388/T388,1))</f>
        <v>0</v>
      </c>
      <c r="W388" s="27"/>
      <c r="X388" s="29"/>
      <c r="Y388" s="8">
        <f>IF(OR(C388="",X388=""),"",C388*(1+X388))</f>
        <v>0</v>
      </c>
      <c r="Z388" s="8">
        <f>IF(B388="","",IFERROR(INDEX(Ingredients!$O$5:$O$304,MATCH(B388,Ingredients!$A$5:$A$304,0)),""))</f>
        <v>0</v>
      </c>
      <c r="AA388" s="8">
        <f>IF(B388="","",IF(R388&gt;=C388,"In pantry","To buy"))</f>
        <v>0</v>
      </c>
      <c r="AB388" s="8">
        <f>IF(A388="","",COUNTIFS($A$5:A388,A388))</f>
        <v>0</v>
      </c>
      <c r="AC388" s="8">
        <f>IF(B388="","",IF(COUNTIFS('Dietary Filters'!$C$5:$C$104,B388)&gt;0,"Check","OK"))</f>
        <v>0</v>
      </c>
      <c r="AD388" s="25"/>
    </row>
    <row r="389" spans="1:30">
      <c r="A389" s="7"/>
      <c r="B389" s="7"/>
      <c r="C389" s="26"/>
      <c r="D389" s="27"/>
      <c r="E389" s="8">
        <f>IF(B389="","",IFERROR(INDEX(Ingredients!$B$5:$B$304,MATCH(B389,Ingredients!$A$5:$A$304,0)),""))</f>
        <v>0</v>
      </c>
      <c r="F389" s="8">
        <f>IF(B389="","",IFERROR(INDEX(Ingredients!$E$5:$E$304,MATCH(B389,Ingredients!$A$5:$A$304,0)),""))</f>
        <v>0</v>
      </c>
      <c r="G389" s="8">
        <f>IF(B389="","",IFERROR(INDEX(Ingredients!$D$5:$D$304,MATCH(B389,Ingredients!$A$5:$A$304,0)),""))</f>
        <v>0</v>
      </c>
      <c r="H389" s="8">
        <f>IF(OR(B389="",C389=""),"",IFERROR(C389*G389,""))</f>
        <v>0</v>
      </c>
      <c r="I389" s="8">
        <f>IF(A389="","",IFERROR(INDEX(Recipes!$D$5:$D$204,MATCH(A389,Recipes!$A$5:$A$204,0)),""))</f>
        <v>0</v>
      </c>
      <c r="J389" s="8">
        <f>IF(OR(H389="",I389="",I389=0),"",IFERROR(H389/I389,""))</f>
        <v>0</v>
      </c>
      <c r="K389" s="8">
        <f>IF(OR(B389="",C389=""),"",IFERROR(C389*IFERROR(INDEX(Ingredients!$H$5:$H$304,MATCH(B389,Ingredients!$A$5:$A$304,0)),""),""))</f>
        <v>0</v>
      </c>
      <c r="L389" s="8">
        <f>IF(OR(B389="",C389=""),"",IFERROR(C389*IFERROR(INDEX(Ingredients!$I$5:$I$304,MATCH(B389,Ingredients!$A$5:$A$304,0)),""),""))</f>
        <v>0</v>
      </c>
      <c r="M389" s="8">
        <f>IF(OR(B389="",C389=""),"",IFERROR(C389*IFERROR(INDEX(Ingredients!$J$5:$J$304,MATCH(B389,Ingredients!$A$5:$A$304,0)),""),""))</f>
        <v>0</v>
      </c>
      <c r="N389" s="8">
        <f>IF(OR(B389="",C389=""),"",IFERROR(C389*IFERROR(INDEX(Ingredients!$K$5:$K$304,MATCH(B389,Ingredients!$A$5:$A$304,0)),""),""))</f>
        <v>0</v>
      </c>
      <c r="O389" s="8">
        <f>IF(OR(B389="",C389=""),"",IFERROR(C389*IFERROR(INDEX(Ingredients!$L$5:$L$304,MATCH(B389,Ingredients!$A$5:$A$304,0)),""),""))</f>
        <v>0</v>
      </c>
      <c r="P389" s="8">
        <f>IF(OR(H389="",A389=""),"",IFERROR(H389/SUMIFS('Recipe Ingredients'!$H$5:$H$1204,'Recipe Ingredients'!$A$5:$A$1204,A389),""))</f>
        <v>0</v>
      </c>
      <c r="Q389" s="8">
        <f>IF(H389="","",COUNTIFS($H$5:$H$1204,"&gt;"&amp;H389)+1)</f>
        <v>0</v>
      </c>
      <c r="R389" s="8">
        <f>IF(B389="","",SUMIFS(Pantry!$C$5:$C$304,Pantry!$A$5:$A$304,B389))</f>
        <v>0</v>
      </c>
      <c r="S389" s="8">
        <f>IF(OR(B389="",C389=""),"",MAX(0,C389-R389))</f>
        <v>0</v>
      </c>
      <c r="T389" s="26"/>
      <c r="U389" s="8">
        <f>IF(OR(T389="",T389=0,G389=""),"",T389*G389)</f>
        <v>0</v>
      </c>
      <c r="V389" s="8">
        <f>IF(OR(S389="",T389="",T389=0),"",CEILING(S389/T389,1))</f>
        <v>0</v>
      </c>
      <c r="W389" s="27"/>
      <c r="X389" s="29"/>
      <c r="Y389" s="8">
        <f>IF(OR(C389="",X389=""),"",C389*(1+X389))</f>
        <v>0</v>
      </c>
      <c r="Z389" s="8">
        <f>IF(B389="","",IFERROR(INDEX(Ingredients!$O$5:$O$304,MATCH(B389,Ingredients!$A$5:$A$304,0)),""))</f>
        <v>0</v>
      </c>
      <c r="AA389" s="8">
        <f>IF(B389="","",IF(R389&gt;=C389,"In pantry","To buy"))</f>
        <v>0</v>
      </c>
      <c r="AB389" s="8">
        <f>IF(A389="","",COUNTIFS($A$5:A389,A389))</f>
        <v>0</v>
      </c>
      <c r="AC389" s="8">
        <f>IF(B389="","",IF(COUNTIFS('Dietary Filters'!$C$5:$C$104,B389)&gt;0,"Check","OK"))</f>
        <v>0</v>
      </c>
      <c r="AD389" s="25"/>
    </row>
    <row r="390" spans="1:30">
      <c r="A390" s="7"/>
      <c r="B390" s="7"/>
      <c r="C390" s="26"/>
      <c r="D390" s="27"/>
      <c r="E390" s="8">
        <f>IF(B390="","",IFERROR(INDEX(Ingredients!$B$5:$B$304,MATCH(B390,Ingredients!$A$5:$A$304,0)),""))</f>
        <v>0</v>
      </c>
      <c r="F390" s="8">
        <f>IF(B390="","",IFERROR(INDEX(Ingredients!$E$5:$E$304,MATCH(B390,Ingredients!$A$5:$A$304,0)),""))</f>
        <v>0</v>
      </c>
      <c r="G390" s="8">
        <f>IF(B390="","",IFERROR(INDEX(Ingredients!$D$5:$D$304,MATCH(B390,Ingredients!$A$5:$A$304,0)),""))</f>
        <v>0</v>
      </c>
      <c r="H390" s="8">
        <f>IF(OR(B390="",C390=""),"",IFERROR(C390*G390,""))</f>
        <v>0</v>
      </c>
      <c r="I390" s="8">
        <f>IF(A390="","",IFERROR(INDEX(Recipes!$D$5:$D$204,MATCH(A390,Recipes!$A$5:$A$204,0)),""))</f>
        <v>0</v>
      </c>
      <c r="J390" s="8">
        <f>IF(OR(H390="",I390="",I390=0),"",IFERROR(H390/I390,""))</f>
        <v>0</v>
      </c>
      <c r="K390" s="8">
        <f>IF(OR(B390="",C390=""),"",IFERROR(C390*IFERROR(INDEX(Ingredients!$H$5:$H$304,MATCH(B390,Ingredients!$A$5:$A$304,0)),""),""))</f>
        <v>0</v>
      </c>
      <c r="L390" s="8">
        <f>IF(OR(B390="",C390=""),"",IFERROR(C390*IFERROR(INDEX(Ingredients!$I$5:$I$304,MATCH(B390,Ingredients!$A$5:$A$304,0)),""),""))</f>
        <v>0</v>
      </c>
      <c r="M390" s="8">
        <f>IF(OR(B390="",C390=""),"",IFERROR(C390*IFERROR(INDEX(Ingredients!$J$5:$J$304,MATCH(B390,Ingredients!$A$5:$A$304,0)),""),""))</f>
        <v>0</v>
      </c>
      <c r="N390" s="8">
        <f>IF(OR(B390="",C390=""),"",IFERROR(C390*IFERROR(INDEX(Ingredients!$K$5:$K$304,MATCH(B390,Ingredients!$A$5:$A$304,0)),""),""))</f>
        <v>0</v>
      </c>
      <c r="O390" s="8">
        <f>IF(OR(B390="",C390=""),"",IFERROR(C390*IFERROR(INDEX(Ingredients!$L$5:$L$304,MATCH(B390,Ingredients!$A$5:$A$304,0)),""),""))</f>
        <v>0</v>
      </c>
      <c r="P390" s="8">
        <f>IF(OR(H390="",A390=""),"",IFERROR(H390/SUMIFS('Recipe Ingredients'!$H$5:$H$1204,'Recipe Ingredients'!$A$5:$A$1204,A390),""))</f>
        <v>0</v>
      </c>
      <c r="Q390" s="8">
        <f>IF(H390="","",COUNTIFS($H$5:$H$1204,"&gt;"&amp;H390)+1)</f>
        <v>0</v>
      </c>
      <c r="R390" s="8">
        <f>IF(B390="","",SUMIFS(Pantry!$C$5:$C$304,Pantry!$A$5:$A$304,B390))</f>
        <v>0</v>
      </c>
      <c r="S390" s="8">
        <f>IF(OR(B390="",C390=""),"",MAX(0,C390-R390))</f>
        <v>0</v>
      </c>
      <c r="T390" s="26"/>
      <c r="U390" s="8">
        <f>IF(OR(T390="",T390=0,G390=""),"",T390*G390)</f>
        <v>0</v>
      </c>
      <c r="V390" s="8">
        <f>IF(OR(S390="",T390="",T390=0),"",CEILING(S390/T390,1))</f>
        <v>0</v>
      </c>
      <c r="W390" s="27"/>
      <c r="X390" s="29"/>
      <c r="Y390" s="8">
        <f>IF(OR(C390="",X390=""),"",C390*(1+X390))</f>
        <v>0</v>
      </c>
      <c r="Z390" s="8">
        <f>IF(B390="","",IFERROR(INDEX(Ingredients!$O$5:$O$304,MATCH(B390,Ingredients!$A$5:$A$304,0)),""))</f>
        <v>0</v>
      </c>
      <c r="AA390" s="8">
        <f>IF(B390="","",IF(R390&gt;=C390,"In pantry","To buy"))</f>
        <v>0</v>
      </c>
      <c r="AB390" s="8">
        <f>IF(A390="","",COUNTIFS($A$5:A390,A390))</f>
        <v>0</v>
      </c>
      <c r="AC390" s="8">
        <f>IF(B390="","",IF(COUNTIFS('Dietary Filters'!$C$5:$C$104,B390)&gt;0,"Check","OK"))</f>
        <v>0</v>
      </c>
      <c r="AD390" s="25"/>
    </row>
    <row r="391" spans="1:30">
      <c r="A391" s="7"/>
      <c r="B391" s="7"/>
      <c r="C391" s="26"/>
      <c r="D391" s="27"/>
      <c r="E391" s="8">
        <f>IF(B391="","",IFERROR(INDEX(Ingredients!$B$5:$B$304,MATCH(B391,Ingredients!$A$5:$A$304,0)),""))</f>
        <v>0</v>
      </c>
      <c r="F391" s="8">
        <f>IF(B391="","",IFERROR(INDEX(Ingredients!$E$5:$E$304,MATCH(B391,Ingredients!$A$5:$A$304,0)),""))</f>
        <v>0</v>
      </c>
      <c r="G391" s="8">
        <f>IF(B391="","",IFERROR(INDEX(Ingredients!$D$5:$D$304,MATCH(B391,Ingredients!$A$5:$A$304,0)),""))</f>
        <v>0</v>
      </c>
      <c r="H391" s="8">
        <f>IF(OR(B391="",C391=""),"",IFERROR(C391*G391,""))</f>
        <v>0</v>
      </c>
      <c r="I391" s="8">
        <f>IF(A391="","",IFERROR(INDEX(Recipes!$D$5:$D$204,MATCH(A391,Recipes!$A$5:$A$204,0)),""))</f>
        <v>0</v>
      </c>
      <c r="J391" s="8">
        <f>IF(OR(H391="",I391="",I391=0),"",IFERROR(H391/I391,""))</f>
        <v>0</v>
      </c>
      <c r="K391" s="8">
        <f>IF(OR(B391="",C391=""),"",IFERROR(C391*IFERROR(INDEX(Ingredients!$H$5:$H$304,MATCH(B391,Ingredients!$A$5:$A$304,0)),""),""))</f>
        <v>0</v>
      </c>
      <c r="L391" s="8">
        <f>IF(OR(B391="",C391=""),"",IFERROR(C391*IFERROR(INDEX(Ingredients!$I$5:$I$304,MATCH(B391,Ingredients!$A$5:$A$304,0)),""),""))</f>
        <v>0</v>
      </c>
      <c r="M391" s="8">
        <f>IF(OR(B391="",C391=""),"",IFERROR(C391*IFERROR(INDEX(Ingredients!$J$5:$J$304,MATCH(B391,Ingredients!$A$5:$A$304,0)),""),""))</f>
        <v>0</v>
      </c>
      <c r="N391" s="8">
        <f>IF(OR(B391="",C391=""),"",IFERROR(C391*IFERROR(INDEX(Ingredients!$K$5:$K$304,MATCH(B391,Ingredients!$A$5:$A$304,0)),""),""))</f>
        <v>0</v>
      </c>
      <c r="O391" s="8">
        <f>IF(OR(B391="",C391=""),"",IFERROR(C391*IFERROR(INDEX(Ingredients!$L$5:$L$304,MATCH(B391,Ingredients!$A$5:$A$304,0)),""),""))</f>
        <v>0</v>
      </c>
      <c r="P391" s="8">
        <f>IF(OR(H391="",A391=""),"",IFERROR(H391/SUMIFS('Recipe Ingredients'!$H$5:$H$1204,'Recipe Ingredients'!$A$5:$A$1204,A391),""))</f>
        <v>0</v>
      </c>
      <c r="Q391" s="8">
        <f>IF(H391="","",COUNTIFS($H$5:$H$1204,"&gt;"&amp;H391)+1)</f>
        <v>0</v>
      </c>
      <c r="R391" s="8">
        <f>IF(B391="","",SUMIFS(Pantry!$C$5:$C$304,Pantry!$A$5:$A$304,B391))</f>
        <v>0</v>
      </c>
      <c r="S391" s="8">
        <f>IF(OR(B391="",C391=""),"",MAX(0,C391-R391))</f>
        <v>0</v>
      </c>
      <c r="T391" s="26"/>
      <c r="U391" s="8">
        <f>IF(OR(T391="",T391=0,G391=""),"",T391*G391)</f>
        <v>0</v>
      </c>
      <c r="V391" s="8">
        <f>IF(OR(S391="",T391="",T391=0),"",CEILING(S391/T391,1))</f>
        <v>0</v>
      </c>
      <c r="W391" s="27"/>
      <c r="X391" s="29"/>
      <c r="Y391" s="8">
        <f>IF(OR(C391="",X391=""),"",C391*(1+X391))</f>
        <v>0</v>
      </c>
      <c r="Z391" s="8">
        <f>IF(B391="","",IFERROR(INDEX(Ingredients!$O$5:$O$304,MATCH(B391,Ingredients!$A$5:$A$304,0)),""))</f>
        <v>0</v>
      </c>
      <c r="AA391" s="8">
        <f>IF(B391="","",IF(R391&gt;=C391,"In pantry","To buy"))</f>
        <v>0</v>
      </c>
      <c r="AB391" s="8">
        <f>IF(A391="","",COUNTIFS($A$5:A391,A391))</f>
        <v>0</v>
      </c>
      <c r="AC391" s="8">
        <f>IF(B391="","",IF(COUNTIFS('Dietary Filters'!$C$5:$C$104,B391)&gt;0,"Check","OK"))</f>
        <v>0</v>
      </c>
      <c r="AD391" s="25"/>
    </row>
    <row r="392" spans="1:30">
      <c r="A392" s="7"/>
      <c r="B392" s="7"/>
      <c r="C392" s="26"/>
      <c r="D392" s="27"/>
      <c r="E392" s="8">
        <f>IF(B392="","",IFERROR(INDEX(Ingredients!$B$5:$B$304,MATCH(B392,Ingredients!$A$5:$A$304,0)),""))</f>
        <v>0</v>
      </c>
      <c r="F392" s="8">
        <f>IF(B392="","",IFERROR(INDEX(Ingredients!$E$5:$E$304,MATCH(B392,Ingredients!$A$5:$A$304,0)),""))</f>
        <v>0</v>
      </c>
      <c r="G392" s="8">
        <f>IF(B392="","",IFERROR(INDEX(Ingredients!$D$5:$D$304,MATCH(B392,Ingredients!$A$5:$A$304,0)),""))</f>
        <v>0</v>
      </c>
      <c r="H392" s="8">
        <f>IF(OR(B392="",C392=""),"",IFERROR(C392*G392,""))</f>
        <v>0</v>
      </c>
      <c r="I392" s="8">
        <f>IF(A392="","",IFERROR(INDEX(Recipes!$D$5:$D$204,MATCH(A392,Recipes!$A$5:$A$204,0)),""))</f>
        <v>0</v>
      </c>
      <c r="J392" s="8">
        <f>IF(OR(H392="",I392="",I392=0),"",IFERROR(H392/I392,""))</f>
        <v>0</v>
      </c>
      <c r="K392" s="8">
        <f>IF(OR(B392="",C392=""),"",IFERROR(C392*IFERROR(INDEX(Ingredients!$H$5:$H$304,MATCH(B392,Ingredients!$A$5:$A$304,0)),""),""))</f>
        <v>0</v>
      </c>
      <c r="L392" s="8">
        <f>IF(OR(B392="",C392=""),"",IFERROR(C392*IFERROR(INDEX(Ingredients!$I$5:$I$304,MATCH(B392,Ingredients!$A$5:$A$304,0)),""),""))</f>
        <v>0</v>
      </c>
      <c r="M392" s="8">
        <f>IF(OR(B392="",C392=""),"",IFERROR(C392*IFERROR(INDEX(Ingredients!$J$5:$J$304,MATCH(B392,Ingredients!$A$5:$A$304,0)),""),""))</f>
        <v>0</v>
      </c>
      <c r="N392" s="8">
        <f>IF(OR(B392="",C392=""),"",IFERROR(C392*IFERROR(INDEX(Ingredients!$K$5:$K$304,MATCH(B392,Ingredients!$A$5:$A$304,0)),""),""))</f>
        <v>0</v>
      </c>
      <c r="O392" s="8">
        <f>IF(OR(B392="",C392=""),"",IFERROR(C392*IFERROR(INDEX(Ingredients!$L$5:$L$304,MATCH(B392,Ingredients!$A$5:$A$304,0)),""),""))</f>
        <v>0</v>
      </c>
      <c r="P392" s="8">
        <f>IF(OR(H392="",A392=""),"",IFERROR(H392/SUMIFS('Recipe Ingredients'!$H$5:$H$1204,'Recipe Ingredients'!$A$5:$A$1204,A392),""))</f>
        <v>0</v>
      </c>
      <c r="Q392" s="8">
        <f>IF(H392="","",COUNTIFS($H$5:$H$1204,"&gt;"&amp;H392)+1)</f>
        <v>0</v>
      </c>
      <c r="R392" s="8">
        <f>IF(B392="","",SUMIFS(Pantry!$C$5:$C$304,Pantry!$A$5:$A$304,B392))</f>
        <v>0</v>
      </c>
      <c r="S392" s="8">
        <f>IF(OR(B392="",C392=""),"",MAX(0,C392-R392))</f>
        <v>0</v>
      </c>
      <c r="T392" s="26"/>
      <c r="U392" s="8">
        <f>IF(OR(T392="",T392=0,G392=""),"",T392*G392)</f>
        <v>0</v>
      </c>
      <c r="V392" s="8">
        <f>IF(OR(S392="",T392="",T392=0),"",CEILING(S392/T392,1))</f>
        <v>0</v>
      </c>
      <c r="W392" s="27"/>
      <c r="X392" s="29"/>
      <c r="Y392" s="8">
        <f>IF(OR(C392="",X392=""),"",C392*(1+X392))</f>
        <v>0</v>
      </c>
      <c r="Z392" s="8">
        <f>IF(B392="","",IFERROR(INDEX(Ingredients!$O$5:$O$304,MATCH(B392,Ingredients!$A$5:$A$304,0)),""))</f>
        <v>0</v>
      </c>
      <c r="AA392" s="8">
        <f>IF(B392="","",IF(R392&gt;=C392,"In pantry","To buy"))</f>
        <v>0</v>
      </c>
      <c r="AB392" s="8">
        <f>IF(A392="","",COUNTIFS($A$5:A392,A392))</f>
        <v>0</v>
      </c>
      <c r="AC392" s="8">
        <f>IF(B392="","",IF(COUNTIFS('Dietary Filters'!$C$5:$C$104,B392)&gt;0,"Check","OK"))</f>
        <v>0</v>
      </c>
      <c r="AD392" s="25"/>
    </row>
    <row r="393" spans="1:30">
      <c r="A393" s="7"/>
      <c r="B393" s="7"/>
      <c r="C393" s="26"/>
      <c r="D393" s="27"/>
      <c r="E393" s="8">
        <f>IF(B393="","",IFERROR(INDEX(Ingredients!$B$5:$B$304,MATCH(B393,Ingredients!$A$5:$A$304,0)),""))</f>
        <v>0</v>
      </c>
      <c r="F393" s="8">
        <f>IF(B393="","",IFERROR(INDEX(Ingredients!$E$5:$E$304,MATCH(B393,Ingredients!$A$5:$A$304,0)),""))</f>
        <v>0</v>
      </c>
      <c r="G393" s="8">
        <f>IF(B393="","",IFERROR(INDEX(Ingredients!$D$5:$D$304,MATCH(B393,Ingredients!$A$5:$A$304,0)),""))</f>
        <v>0</v>
      </c>
      <c r="H393" s="8">
        <f>IF(OR(B393="",C393=""),"",IFERROR(C393*G393,""))</f>
        <v>0</v>
      </c>
      <c r="I393" s="8">
        <f>IF(A393="","",IFERROR(INDEX(Recipes!$D$5:$D$204,MATCH(A393,Recipes!$A$5:$A$204,0)),""))</f>
        <v>0</v>
      </c>
      <c r="J393" s="8">
        <f>IF(OR(H393="",I393="",I393=0),"",IFERROR(H393/I393,""))</f>
        <v>0</v>
      </c>
      <c r="K393" s="8">
        <f>IF(OR(B393="",C393=""),"",IFERROR(C393*IFERROR(INDEX(Ingredients!$H$5:$H$304,MATCH(B393,Ingredients!$A$5:$A$304,0)),""),""))</f>
        <v>0</v>
      </c>
      <c r="L393" s="8">
        <f>IF(OR(B393="",C393=""),"",IFERROR(C393*IFERROR(INDEX(Ingredients!$I$5:$I$304,MATCH(B393,Ingredients!$A$5:$A$304,0)),""),""))</f>
        <v>0</v>
      </c>
      <c r="M393" s="8">
        <f>IF(OR(B393="",C393=""),"",IFERROR(C393*IFERROR(INDEX(Ingredients!$J$5:$J$304,MATCH(B393,Ingredients!$A$5:$A$304,0)),""),""))</f>
        <v>0</v>
      </c>
      <c r="N393" s="8">
        <f>IF(OR(B393="",C393=""),"",IFERROR(C393*IFERROR(INDEX(Ingredients!$K$5:$K$304,MATCH(B393,Ingredients!$A$5:$A$304,0)),""),""))</f>
        <v>0</v>
      </c>
      <c r="O393" s="8">
        <f>IF(OR(B393="",C393=""),"",IFERROR(C393*IFERROR(INDEX(Ingredients!$L$5:$L$304,MATCH(B393,Ingredients!$A$5:$A$304,0)),""),""))</f>
        <v>0</v>
      </c>
      <c r="P393" s="8">
        <f>IF(OR(H393="",A393=""),"",IFERROR(H393/SUMIFS('Recipe Ingredients'!$H$5:$H$1204,'Recipe Ingredients'!$A$5:$A$1204,A393),""))</f>
        <v>0</v>
      </c>
      <c r="Q393" s="8">
        <f>IF(H393="","",COUNTIFS($H$5:$H$1204,"&gt;"&amp;H393)+1)</f>
        <v>0</v>
      </c>
      <c r="R393" s="8">
        <f>IF(B393="","",SUMIFS(Pantry!$C$5:$C$304,Pantry!$A$5:$A$304,B393))</f>
        <v>0</v>
      </c>
      <c r="S393" s="8">
        <f>IF(OR(B393="",C393=""),"",MAX(0,C393-R393))</f>
        <v>0</v>
      </c>
      <c r="T393" s="26"/>
      <c r="U393" s="8">
        <f>IF(OR(T393="",T393=0,G393=""),"",T393*G393)</f>
        <v>0</v>
      </c>
      <c r="V393" s="8">
        <f>IF(OR(S393="",T393="",T393=0),"",CEILING(S393/T393,1))</f>
        <v>0</v>
      </c>
      <c r="W393" s="27"/>
      <c r="X393" s="29"/>
      <c r="Y393" s="8">
        <f>IF(OR(C393="",X393=""),"",C393*(1+X393))</f>
        <v>0</v>
      </c>
      <c r="Z393" s="8">
        <f>IF(B393="","",IFERROR(INDEX(Ingredients!$O$5:$O$304,MATCH(B393,Ingredients!$A$5:$A$304,0)),""))</f>
        <v>0</v>
      </c>
      <c r="AA393" s="8">
        <f>IF(B393="","",IF(R393&gt;=C393,"In pantry","To buy"))</f>
        <v>0</v>
      </c>
      <c r="AB393" s="8">
        <f>IF(A393="","",COUNTIFS($A$5:A393,A393))</f>
        <v>0</v>
      </c>
      <c r="AC393" s="8">
        <f>IF(B393="","",IF(COUNTIFS('Dietary Filters'!$C$5:$C$104,B393)&gt;0,"Check","OK"))</f>
        <v>0</v>
      </c>
      <c r="AD393" s="25"/>
    </row>
    <row r="394" spans="1:30">
      <c r="A394" s="7"/>
      <c r="B394" s="7"/>
      <c r="C394" s="26"/>
      <c r="D394" s="27"/>
      <c r="E394" s="8">
        <f>IF(B394="","",IFERROR(INDEX(Ingredients!$B$5:$B$304,MATCH(B394,Ingredients!$A$5:$A$304,0)),""))</f>
        <v>0</v>
      </c>
      <c r="F394" s="8">
        <f>IF(B394="","",IFERROR(INDEX(Ingredients!$E$5:$E$304,MATCH(B394,Ingredients!$A$5:$A$304,0)),""))</f>
        <v>0</v>
      </c>
      <c r="G394" s="8">
        <f>IF(B394="","",IFERROR(INDEX(Ingredients!$D$5:$D$304,MATCH(B394,Ingredients!$A$5:$A$304,0)),""))</f>
        <v>0</v>
      </c>
      <c r="H394" s="8">
        <f>IF(OR(B394="",C394=""),"",IFERROR(C394*G394,""))</f>
        <v>0</v>
      </c>
      <c r="I394" s="8">
        <f>IF(A394="","",IFERROR(INDEX(Recipes!$D$5:$D$204,MATCH(A394,Recipes!$A$5:$A$204,0)),""))</f>
        <v>0</v>
      </c>
      <c r="J394" s="8">
        <f>IF(OR(H394="",I394="",I394=0),"",IFERROR(H394/I394,""))</f>
        <v>0</v>
      </c>
      <c r="K394" s="8">
        <f>IF(OR(B394="",C394=""),"",IFERROR(C394*IFERROR(INDEX(Ingredients!$H$5:$H$304,MATCH(B394,Ingredients!$A$5:$A$304,0)),""),""))</f>
        <v>0</v>
      </c>
      <c r="L394" s="8">
        <f>IF(OR(B394="",C394=""),"",IFERROR(C394*IFERROR(INDEX(Ingredients!$I$5:$I$304,MATCH(B394,Ingredients!$A$5:$A$304,0)),""),""))</f>
        <v>0</v>
      </c>
      <c r="M394" s="8">
        <f>IF(OR(B394="",C394=""),"",IFERROR(C394*IFERROR(INDEX(Ingredients!$J$5:$J$304,MATCH(B394,Ingredients!$A$5:$A$304,0)),""),""))</f>
        <v>0</v>
      </c>
      <c r="N394" s="8">
        <f>IF(OR(B394="",C394=""),"",IFERROR(C394*IFERROR(INDEX(Ingredients!$K$5:$K$304,MATCH(B394,Ingredients!$A$5:$A$304,0)),""),""))</f>
        <v>0</v>
      </c>
      <c r="O394" s="8">
        <f>IF(OR(B394="",C394=""),"",IFERROR(C394*IFERROR(INDEX(Ingredients!$L$5:$L$304,MATCH(B394,Ingredients!$A$5:$A$304,0)),""),""))</f>
        <v>0</v>
      </c>
      <c r="P394" s="8">
        <f>IF(OR(H394="",A394=""),"",IFERROR(H394/SUMIFS('Recipe Ingredients'!$H$5:$H$1204,'Recipe Ingredients'!$A$5:$A$1204,A394),""))</f>
        <v>0</v>
      </c>
      <c r="Q394" s="8">
        <f>IF(H394="","",COUNTIFS($H$5:$H$1204,"&gt;"&amp;H394)+1)</f>
        <v>0</v>
      </c>
      <c r="R394" s="8">
        <f>IF(B394="","",SUMIFS(Pantry!$C$5:$C$304,Pantry!$A$5:$A$304,B394))</f>
        <v>0</v>
      </c>
      <c r="S394" s="8">
        <f>IF(OR(B394="",C394=""),"",MAX(0,C394-R394))</f>
        <v>0</v>
      </c>
      <c r="T394" s="26"/>
      <c r="U394" s="8">
        <f>IF(OR(T394="",T394=0,G394=""),"",T394*G394)</f>
        <v>0</v>
      </c>
      <c r="V394" s="8">
        <f>IF(OR(S394="",T394="",T394=0),"",CEILING(S394/T394,1))</f>
        <v>0</v>
      </c>
      <c r="W394" s="27"/>
      <c r="X394" s="29"/>
      <c r="Y394" s="8">
        <f>IF(OR(C394="",X394=""),"",C394*(1+X394))</f>
        <v>0</v>
      </c>
      <c r="Z394" s="8">
        <f>IF(B394="","",IFERROR(INDEX(Ingredients!$O$5:$O$304,MATCH(B394,Ingredients!$A$5:$A$304,0)),""))</f>
        <v>0</v>
      </c>
      <c r="AA394" s="8">
        <f>IF(B394="","",IF(R394&gt;=C394,"In pantry","To buy"))</f>
        <v>0</v>
      </c>
      <c r="AB394" s="8">
        <f>IF(A394="","",COUNTIFS($A$5:A394,A394))</f>
        <v>0</v>
      </c>
      <c r="AC394" s="8">
        <f>IF(B394="","",IF(COUNTIFS('Dietary Filters'!$C$5:$C$104,B394)&gt;0,"Check","OK"))</f>
        <v>0</v>
      </c>
      <c r="AD394" s="25"/>
    </row>
    <row r="395" spans="1:30">
      <c r="A395" s="7"/>
      <c r="B395" s="7"/>
      <c r="C395" s="26"/>
      <c r="D395" s="27"/>
      <c r="E395" s="8">
        <f>IF(B395="","",IFERROR(INDEX(Ingredients!$B$5:$B$304,MATCH(B395,Ingredients!$A$5:$A$304,0)),""))</f>
        <v>0</v>
      </c>
      <c r="F395" s="8">
        <f>IF(B395="","",IFERROR(INDEX(Ingredients!$E$5:$E$304,MATCH(B395,Ingredients!$A$5:$A$304,0)),""))</f>
        <v>0</v>
      </c>
      <c r="G395" s="8">
        <f>IF(B395="","",IFERROR(INDEX(Ingredients!$D$5:$D$304,MATCH(B395,Ingredients!$A$5:$A$304,0)),""))</f>
        <v>0</v>
      </c>
      <c r="H395" s="8">
        <f>IF(OR(B395="",C395=""),"",IFERROR(C395*G395,""))</f>
        <v>0</v>
      </c>
      <c r="I395" s="8">
        <f>IF(A395="","",IFERROR(INDEX(Recipes!$D$5:$D$204,MATCH(A395,Recipes!$A$5:$A$204,0)),""))</f>
        <v>0</v>
      </c>
      <c r="J395" s="8">
        <f>IF(OR(H395="",I395="",I395=0),"",IFERROR(H395/I395,""))</f>
        <v>0</v>
      </c>
      <c r="K395" s="8">
        <f>IF(OR(B395="",C395=""),"",IFERROR(C395*IFERROR(INDEX(Ingredients!$H$5:$H$304,MATCH(B395,Ingredients!$A$5:$A$304,0)),""),""))</f>
        <v>0</v>
      </c>
      <c r="L395" s="8">
        <f>IF(OR(B395="",C395=""),"",IFERROR(C395*IFERROR(INDEX(Ingredients!$I$5:$I$304,MATCH(B395,Ingredients!$A$5:$A$304,0)),""),""))</f>
        <v>0</v>
      </c>
      <c r="M395" s="8">
        <f>IF(OR(B395="",C395=""),"",IFERROR(C395*IFERROR(INDEX(Ingredients!$J$5:$J$304,MATCH(B395,Ingredients!$A$5:$A$304,0)),""),""))</f>
        <v>0</v>
      </c>
      <c r="N395" s="8">
        <f>IF(OR(B395="",C395=""),"",IFERROR(C395*IFERROR(INDEX(Ingredients!$K$5:$K$304,MATCH(B395,Ingredients!$A$5:$A$304,0)),""),""))</f>
        <v>0</v>
      </c>
      <c r="O395" s="8">
        <f>IF(OR(B395="",C395=""),"",IFERROR(C395*IFERROR(INDEX(Ingredients!$L$5:$L$304,MATCH(B395,Ingredients!$A$5:$A$304,0)),""),""))</f>
        <v>0</v>
      </c>
      <c r="P395" s="8">
        <f>IF(OR(H395="",A395=""),"",IFERROR(H395/SUMIFS('Recipe Ingredients'!$H$5:$H$1204,'Recipe Ingredients'!$A$5:$A$1204,A395),""))</f>
        <v>0</v>
      </c>
      <c r="Q395" s="8">
        <f>IF(H395="","",COUNTIFS($H$5:$H$1204,"&gt;"&amp;H395)+1)</f>
        <v>0</v>
      </c>
      <c r="R395" s="8">
        <f>IF(B395="","",SUMIFS(Pantry!$C$5:$C$304,Pantry!$A$5:$A$304,B395))</f>
        <v>0</v>
      </c>
      <c r="S395" s="8">
        <f>IF(OR(B395="",C395=""),"",MAX(0,C395-R395))</f>
        <v>0</v>
      </c>
      <c r="T395" s="26"/>
      <c r="U395" s="8">
        <f>IF(OR(T395="",T395=0,G395=""),"",T395*G395)</f>
        <v>0</v>
      </c>
      <c r="V395" s="8">
        <f>IF(OR(S395="",T395="",T395=0),"",CEILING(S395/T395,1))</f>
        <v>0</v>
      </c>
      <c r="W395" s="27"/>
      <c r="X395" s="29"/>
      <c r="Y395" s="8">
        <f>IF(OR(C395="",X395=""),"",C395*(1+X395))</f>
        <v>0</v>
      </c>
      <c r="Z395" s="8">
        <f>IF(B395="","",IFERROR(INDEX(Ingredients!$O$5:$O$304,MATCH(B395,Ingredients!$A$5:$A$304,0)),""))</f>
        <v>0</v>
      </c>
      <c r="AA395" s="8">
        <f>IF(B395="","",IF(R395&gt;=C395,"In pantry","To buy"))</f>
        <v>0</v>
      </c>
      <c r="AB395" s="8">
        <f>IF(A395="","",COUNTIFS($A$5:A395,A395))</f>
        <v>0</v>
      </c>
      <c r="AC395" s="8">
        <f>IF(B395="","",IF(COUNTIFS('Dietary Filters'!$C$5:$C$104,B395)&gt;0,"Check","OK"))</f>
        <v>0</v>
      </c>
      <c r="AD395" s="25"/>
    </row>
    <row r="396" spans="1:30">
      <c r="A396" s="7"/>
      <c r="B396" s="7"/>
      <c r="C396" s="26"/>
      <c r="D396" s="27"/>
      <c r="E396" s="8">
        <f>IF(B396="","",IFERROR(INDEX(Ingredients!$B$5:$B$304,MATCH(B396,Ingredients!$A$5:$A$304,0)),""))</f>
        <v>0</v>
      </c>
      <c r="F396" s="8">
        <f>IF(B396="","",IFERROR(INDEX(Ingredients!$E$5:$E$304,MATCH(B396,Ingredients!$A$5:$A$304,0)),""))</f>
        <v>0</v>
      </c>
      <c r="G396" s="8">
        <f>IF(B396="","",IFERROR(INDEX(Ingredients!$D$5:$D$304,MATCH(B396,Ingredients!$A$5:$A$304,0)),""))</f>
        <v>0</v>
      </c>
      <c r="H396" s="8">
        <f>IF(OR(B396="",C396=""),"",IFERROR(C396*G396,""))</f>
        <v>0</v>
      </c>
      <c r="I396" s="8">
        <f>IF(A396="","",IFERROR(INDEX(Recipes!$D$5:$D$204,MATCH(A396,Recipes!$A$5:$A$204,0)),""))</f>
        <v>0</v>
      </c>
      <c r="J396" s="8">
        <f>IF(OR(H396="",I396="",I396=0),"",IFERROR(H396/I396,""))</f>
        <v>0</v>
      </c>
      <c r="K396" s="8">
        <f>IF(OR(B396="",C396=""),"",IFERROR(C396*IFERROR(INDEX(Ingredients!$H$5:$H$304,MATCH(B396,Ingredients!$A$5:$A$304,0)),""),""))</f>
        <v>0</v>
      </c>
      <c r="L396" s="8">
        <f>IF(OR(B396="",C396=""),"",IFERROR(C396*IFERROR(INDEX(Ingredients!$I$5:$I$304,MATCH(B396,Ingredients!$A$5:$A$304,0)),""),""))</f>
        <v>0</v>
      </c>
      <c r="M396" s="8">
        <f>IF(OR(B396="",C396=""),"",IFERROR(C396*IFERROR(INDEX(Ingredients!$J$5:$J$304,MATCH(B396,Ingredients!$A$5:$A$304,0)),""),""))</f>
        <v>0</v>
      </c>
      <c r="N396" s="8">
        <f>IF(OR(B396="",C396=""),"",IFERROR(C396*IFERROR(INDEX(Ingredients!$K$5:$K$304,MATCH(B396,Ingredients!$A$5:$A$304,0)),""),""))</f>
        <v>0</v>
      </c>
      <c r="O396" s="8">
        <f>IF(OR(B396="",C396=""),"",IFERROR(C396*IFERROR(INDEX(Ingredients!$L$5:$L$304,MATCH(B396,Ingredients!$A$5:$A$304,0)),""),""))</f>
        <v>0</v>
      </c>
      <c r="P396" s="8">
        <f>IF(OR(H396="",A396=""),"",IFERROR(H396/SUMIFS('Recipe Ingredients'!$H$5:$H$1204,'Recipe Ingredients'!$A$5:$A$1204,A396),""))</f>
        <v>0</v>
      </c>
      <c r="Q396" s="8">
        <f>IF(H396="","",COUNTIFS($H$5:$H$1204,"&gt;"&amp;H396)+1)</f>
        <v>0</v>
      </c>
      <c r="R396" s="8">
        <f>IF(B396="","",SUMIFS(Pantry!$C$5:$C$304,Pantry!$A$5:$A$304,B396))</f>
        <v>0</v>
      </c>
      <c r="S396" s="8">
        <f>IF(OR(B396="",C396=""),"",MAX(0,C396-R396))</f>
        <v>0</v>
      </c>
      <c r="T396" s="26"/>
      <c r="U396" s="8">
        <f>IF(OR(T396="",T396=0,G396=""),"",T396*G396)</f>
        <v>0</v>
      </c>
      <c r="V396" s="8">
        <f>IF(OR(S396="",T396="",T396=0),"",CEILING(S396/T396,1))</f>
        <v>0</v>
      </c>
      <c r="W396" s="27"/>
      <c r="X396" s="29"/>
      <c r="Y396" s="8">
        <f>IF(OR(C396="",X396=""),"",C396*(1+X396))</f>
        <v>0</v>
      </c>
      <c r="Z396" s="8">
        <f>IF(B396="","",IFERROR(INDEX(Ingredients!$O$5:$O$304,MATCH(B396,Ingredients!$A$5:$A$304,0)),""))</f>
        <v>0</v>
      </c>
      <c r="AA396" s="8">
        <f>IF(B396="","",IF(R396&gt;=C396,"In pantry","To buy"))</f>
        <v>0</v>
      </c>
      <c r="AB396" s="8">
        <f>IF(A396="","",COUNTIFS($A$5:A396,A396))</f>
        <v>0</v>
      </c>
      <c r="AC396" s="8">
        <f>IF(B396="","",IF(COUNTIFS('Dietary Filters'!$C$5:$C$104,B396)&gt;0,"Check","OK"))</f>
        <v>0</v>
      </c>
      <c r="AD396" s="25"/>
    </row>
    <row r="397" spans="1:30">
      <c r="A397" s="7"/>
      <c r="B397" s="7"/>
      <c r="C397" s="26"/>
      <c r="D397" s="27"/>
      <c r="E397" s="8">
        <f>IF(B397="","",IFERROR(INDEX(Ingredients!$B$5:$B$304,MATCH(B397,Ingredients!$A$5:$A$304,0)),""))</f>
        <v>0</v>
      </c>
      <c r="F397" s="8">
        <f>IF(B397="","",IFERROR(INDEX(Ingredients!$E$5:$E$304,MATCH(B397,Ingredients!$A$5:$A$304,0)),""))</f>
        <v>0</v>
      </c>
      <c r="G397" s="8">
        <f>IF(B397="","",IFERROR(INDEX(Ingredients!$D$5:$D$304,MATCH(B397,Ingredients!$A$5:$A$304,0)),""))</f>
        <v>0</v>
      </c>
      <c r="H397" s="8">
        <f>IF(OR(B397="",C397=""),"",IFERROR(C397*G397,""))</f>
        <v>0</v>
      </c>
      <c r="I397" s="8">
        <f>IF(A397="","",IFERROR(INDEX(Recipes!$D$5:$D$204,MATCH(A397,Recipes!$A$5:$A$204,0)),""))</f>
        <v>0</v>
      </c>
      <c r="J397" s="8">
        <f>IF(OR(H397="",I397="",I397=0),"",IFERROR(H397/I397,""))</f>
        <v>0</v>
      </c>
      <c r="K397" s="8">
        <f>IF(OR(B397="",C397=""),"",IFERROR(C397*IFERROR(INDEX(Ingredients!$H$5:$H$304,MATCH(B397,Ingredients!$A$5:$A$304,0)),""),""))</f>
        <v>0</v>
      </c>
      <c r="L397" s="8">
        <f>IF(OR(B397="",C397=""),"",IFERROR(C397*IFERROR(INDEX(Ingredients!$I$5:$I$304,MATCH(B397,Ingredients!$A$5:$A$304,0)),""),""))</f>
        <v>0</v>
      </c>
      <c r="M397" s="8">
        <f>IF(OR(B397="",C397=""),"",IFERROR(C397*IFERROR(INDEX(Ingredients!$J$5:$J$304,MATCH(B397,Ingredients!$A$5:$A$304,0)),""),""))</f>
        <v>0</v>
      </c>
      <c r="N397" s="8">
        <f>IF(OR(B397="",C397=""),"",IFERROR(C397*IFERROR(INDEX(Ingredients!$K$5:$K$304,MATCH(B397,Ingredients!$A$5:$A$304,0)),""),""))</f>
        <v>0</v>
      </c>
      <c r="O397" s="8">
        <f>IF(OR(B397="",C397=""),"",IFERROR(C397*IFERROR(INDEX(Ingredients!$L$5:$L$304,MATCH(B397,Ingredients!$A$5:$A$304,0)),""),""))</f>
        <v>0</v>
      </c>
      <c r="P397" s="8">
        <f>IF(OR(H397="",A397=""),"",IFERROR(H397/SUMIFS('Recipe Ingredients'!$H$5:$H$1204,'Recipe Ingredients'!$A$5:$A$1204,A397),""))</f>
        <v>0</v>
      </c>
      <c r="Q397" s="8">
        <f>IF(H397="","",COUNTIFS($H$5:$H$1204,"&gt;"&amp;H397)+1)</f>
        <v>0</v>
      </c>
      <c r="R397" s="8">
        <f>IF(B397="","",SUMIFS(Pantry!$C$5:$C$304,Pantry!$A$5:$A$304,B397))</f>
        <v>0</v>
      </c>
      <c r="S397" s="8">
        <f>IF(OR(B397="",C397=""),"",MAX(0,C397-R397))</f>
        <v>0</v>
      </c>
      <c r="T397" s="26"/>
      <c r="U397" s="8">
        <f>IF(OR(T397="",T397=0,G397=""),"",T397*G397)</f>
        <v>0</v>
      </c>
      <c r="V397" s="8">
        <f>IF(OR(S397="",T397="",T397=0),"",CEILING(S397/T397,1))</f>
        <v>0</v>
      </c>
      <c r="W397" s="27"/>
      <c r="X397" s="29"/>
      <c r="Y397" s="8">
        <f>IF(OR(C397="",X397=""),"",C397*(1+X397))</f>
        <v>0</v>
      </c>
      <c r="Z397" s="8">
        <f>IF(B397="","",IFERROR(INDEX(Ingredients!$O$5:$O$304,MATCH(B397,Ingredients!$A$5:$A$304,0)),""))</f>
        <v>0</v>
      </c>
      <c r="AA397" s="8">
        <f>IF(B397="","",IF(R397&gt;=C397,"In pantry","To buy"))</f>
        <v>0</v>
      </c>
      <c r="AB397" s="8">
        <f>IF(A397="","",COUNTIFS($A$5:A397,A397))</f>
        <v>0</v>
      </c>
      <c r="AC397" s="8">
        <f>IF(B397="","",IF(COUNTIFS('Dietary Filters'!$C$5:$C$104,B397)&gt;0,"Check","OK"))</f>
        <v>0</v>
      </c>
      <c r="AD397" s="25"/>
    </row>
    <row r="398" spans="1:30">
      <c r="A398" s="7"/>
      <c r="B398" s="7"/>
      <c r="C398" s="26"/>
      <c r="D398" s="27"/>
      <c r="E398" s="8">
        <f>IF(B398="","",IFERROR(INDEX(Ingredients!$B$5:$B$304,MATCH(B398,Ingredients!$A$5:$A$304,0)),""))</f>
        <v>0</v>
      </c>
      <c r="F398" s="8">
        <f>IF(B398="","",IFERROR(INDEX(Ingredients!$E$5:$E$304,MATCH(B398,Ingredients!$A$5:$A$304,0)),""))</f>
        <v>0</v>
      </c>
      <c r="G398" s="8">
        <f>IF(B398="","",IFERROR(INDEX(Ingredients!$D$5:$D$304,MATCH(B398,Ingredients!$A$5:$A$304,0)),""))</f>
        <v>0</v>
      </c>
      <c r="H398" s="8">
        <f>IF(OR(B398="",C398=""),"",IFERROR(C398*G398,""))</f>
        <v>0</v>
      </c>
      <c r="I398" s="8">
        <f>IF(A398="","",IFERROR(INDEX(Recipes!$D$5:$D$204,MATCH(A398,Recipes!$A$5:$A$204,0)),""))</f>
        <v>0</v>
      </c>
      <c r="J398" s="8">
        <f>IF(OR(H398="",I398="",I398=0),"",IFERROR(H398/I398,""))</f>
        <v>0</v>
      </c>
      <c r="K398" s="8">
        <f>IF(OR(B398="",C398=""),"",IFERROR(C398*IFERROR(INDEX(Ingredients!$H$5:$H$304,MATCH(B398,Ingredients!$A$5:$A$304,0)),""),""))</f>
        <v>0</v>
      </c>
      <c r="L398" s="8">
        <f>IF(OR(B398="",C398=""),"",IFERROR(C398*IFERROR(INDEX(Ingredients!$I$5:$I$304,MATCH(B398,Ingredients!$A$5:$A$304,0)),""),""))</f>
        <v>0</v>
      </c>
      <c r="M398" s="8">
        <f>IF(OR(B398="",C398=""),"",IFERROR(C398*IFERROR(INDEX(Ingredients!$J$5:$J$304,MATCH(B398,Ingredients!$A$5:$A$304,0)),""),""))</f>
        <v>0</v>
      </c>
      <c r="N398" s="8">
        <f>IF(OR(B398="",C398=""),"",IFERROR(C398*IFERROR(INDEX(Ingredients!$K$5:$K$304,MATCH(B398,Ingredients!$A$5:$A$304,0)),""),""))</f>
        <v>0</v>
      </c>
      <c r="O398" s="8">
        <f>IF(OR(B398="",C398=""),"",IFERROR(C398*IFERROR(INDEX(Ingredients!$L$5:$L$304,MATCH(B398,Ingredients!$A$5:$A$304,0)),""),""))</f>
        <v>0</v>
      </c>
      <c r="P398" s="8">
        <f>IF(OR(H398="",A398=""),"",IFERROR(H398/SUMIFS('Recipe Ingredients'!$H$5:$H$1204,'Recipe Ingredients'!$A$5:$A$1204,A398),""))</f>
        <v>0</v>
      </c>
      <c r="Q398" s="8">
        <f>IF(H398="","",COUNTIFS($H$5:$H$1204,"&gt;"&amp;H398)+1)</f>
        <v>0</v>
      </c>
      <c r="R398" s="8">
        <f>IF(B398="","",SUMIFS(Pantry!$C$5:$C$304,Pantry!$A$5:$A$304,B398))</f>
        <v>0</v>
      </c>
      <c r="S398" s="8">
        <f>IF(OR(B398="",C398=""),"",MAX(0,C398-R398))</f>
        <v>0</v>
      </c>
      <c r="T398" s="26"/>
      <c r="U398" s="8">
        <f>IF(OR(T398="",T398=0,G398=""),"",T398*G398)</f>
        <v>0</v>
      </c>
      <c r="V398" s="8">
        <f>IF(OR(S398="",T398="",T398=0),"",CEILING(S398/T398,1))</f>
        <v>0</v>
      </c>
      <c r="W398" s="27"/>
      <c r="X398" s="29"/>
      <c r="Y398" s="8">
        <f>IF(OR(C398="",X398=""),"",C398*(1+X398))</f>
        <v>0</v>
      </c>
      <c r="Z398" s="8">
        <f>IF(B398="","",IFERROR(INDEX(Ingredients!$O$5:$O$304,MATCH(B398,Ingredients!$A$5:$A$304,0)),""))</f>
        <v>0</v>
      </c>
      <c r="AA398" s="8">
        <f>IF(B398="","",IF(R398&gt;=C398,"In pantry","To buy"))</f>
        <v>0</v>
      </c>
      <c r="AB398" s="8">
        <f>IF(A398="","",COUNTIFS($A$5:A398,A398))</f>
        <v>0</v>
      </c>
      <c r="AC398" s="8">
        <f>IF(B398="","",IF(COUNTIFS('Dietary Filters'!$C$5:$C$104,B398)&gt;0,"Check","OK"))</f>
        <v>0</v>
      </c>
      <c r="AD398" s="25"/>
    </row>
    <row r="399" spans="1:30">
      <c r="A399" s="7"/>
      <c r="B399" s="7"/>
      <c r="C399" s="26"/>
      <c r="D399" s="27"/>
      <c r="E399" s="8">
        <f>IF(B399="","",IFERROR(INDEX(Ingredients!$B$5:$B$304,MATCH(B399,Ingredients!$A$5:$A$304,0)),""))</f>
        <v>0</v>
      </c>
      <c r="F399" s="8">
        <f>IF(B399="","",IFERROR(INDEX(Ingredients!$E$5:$E$304,MATCH(B399,Ingredients!$A$5:$A$304,0)),""))</f>
        <v>0</v>
      </c>
      <c r="G399" s="8">
        <f>IF(B399="","",IFERROR(INDEX(Ingredients!$D$5:$D$304,MATCH(B399,Ingredients!$A$5:$A$304,0)),""))</f>
        <v>0</v>
      </c>
      <c r="H399" s="8">
        <f>IF(OR(B399="",C399=""),"",IFERROR(C399*G399,""))</f>
        <v>0</v>
      </c>
      <c r="I399" s="8">
        <f>IF(A399="","",IFERROR(INDEX(Recipes!$D$5:$D$204,MATCH(A399,Recipes!$A$5:$A$204,0)),""))</f>
        <v>0</v>
      </c>
      <c r="J399" s="8">
        <f>IF(OR(H399="",I399="",I399=0),"",IFERROR(H399/I399,""))</f>
        <v>0</v>
      </c>
      <c r="K399" s="8">
        <f>IF(OR(B399="",C399=""),"",IFERROR(C399*IFERROR(INDEX(Ingredients!$H$5:$H$304,MATCH(B399,Ingredients!$A$5:$A$304,0)),""),""))</f>
        <v>0</v>
      </c>
      <c r="L399" s="8">
        <f>IF(OR(B399="",C399=""),"",IFERROR(C399*IFERROR(INDEX(Ingredients!$I$5:$I$304,MATCH(B399,Ingredients!$A$5:$A$304,0)),""),""))</f>
        <v>0</v>
      </c>
      <c r="M399" s="8">
        <f>IF(OR(B399="",C399=""),"",IFERROR(C399*IFERROR(INDEX(Ingredients!$J$5:$J$304,MATCH(B399,Ingredients!$A$5:$A$304,0)),""),""))</f>
        <v>0</v>
      </c>
      <c r="N399" s="8">
        <f>IF(OR(B399="",C399=""),"",IFERROR(C399*IFERROR(INDEX(Ingredients!$K$5:$K$304,MATCH(B399,Ingredients!$A$5:$A$304,0)),""),""))</f>
        <v>0</v>
      </c>
      <c r="O399" s="8">
        <f>IF(OR(B399="",C399=""),"",IFERROR(C399*IFERROR(INDEX(Ingredients!$L$5:$L$304,MATCH(B399,Ingredients!$A$5:$A$304,0)),""),""))</f>
        <v>0</v>
      </c>
      <c r="P399" s="8">
        <f>IF(OR(H399="",A399=""),"",IFERROR(H399/SUMIFS('Recipe Ingredients'!$H$5:$H$1204,'Recipe Ingredients'!$A$5:$A$1204,A399),""))</f>
        <v>0</v>
      </c>
      <c r="Q399" s="8">
        <f>IF(H399="","",COUNTIFS($H$5:$H$1204,"&gt;"&amp;H399)+1)</f>
        <v>0</v>
      </c>
      <c r="R399" s="8">
        <f>IF(B399="","",SUMIFS(Pantry!$C$5:$C$304,Pantry!$A$5:$A$304,B399))</f>
        <v>0</v>
      </c>
      <c r="S399" s="8">
        <f>IF(OR(B399="",C399=""),"",MAX(0,C399-R399))</f>
        <v>0</v>
      </c>
      <c r="T399" s="26"/>
      <c r="U399" s="8">
        <f>IF(OR(T399="",T399=0,G399=""),"",T399*G399)</f>
        <v>0</v>
      </c>
      <c r="V399" s="8">
        <f>IF(OR(S399="",T399="",T399=0),"",CEILING(S399/T399,1))</f>
        <v>0</v>
      </c>
      <c r="W399" s="27"/>
      <c r="X399" s="29"/>
      <c r="Y399" s="8">
        <f>IF(OR(C399="",X399=""),"",C399*(1+X399))</f>
        <v>0</v>
      </c>
      <c r="Z399" s="8">
        <f>IF(B399="","",IFERROR(INDEX(Ingredients!$O$5:$O$304,MATCH(B399,Ingredients!$A$5:$A$304,0)),""))</f>
        <v>0</v>
      </c>
      <c r="AA399" s="8">
        <f>IF(B399="","",IF(R399&gt;=C399,"In pantry","To buy"))</f>
        <v>0</v>
      </c>
      <c r="AB399" s="8">
        <f>IF(A399="","",COUNTIFS($A$5:A399,A399))</f>
        <v>0</v>
      </c>
      <c r="AC399" s="8">
        <f>IF(B399="","",IF(COUNTIFS('Dietary Filters'!$C$5:$C$104,B399)&gt;0,"Check","OK"))</f>
        <v>0</v>
      </c>
      <c r="AD399" s="25"/>
    </row>
    <row r="400" spans="1:30">
      <c r="A400" s="7"/>
      <c r="B400" s="7"/>
      <c r="C400" s="26"/>
      <c r="D400" s="27"/>
      <c r="E400" s="8">
        <f>IF(B400="","",IFERROR(INDEX(Ingredients!$B$5:$B$304,MATCH(B400,Ingredients!$A$5:$A$304,0)),""))</f>
        <v>0</v>
      </c>
      <c r="F400" s="8">
        <f>IF(B400="","",IFERROR(INDEX(Ingredients!$E$5:$E$304,MATCH(B400,Ingredients!$A$5:$A$304,0)),""))</f>
        <v>0</v>
      </c>
      <c r="G400" s="8">
        <f>IF(B400="","",IFERROR(INDEX(Ingredients!$D$5:$D$304,MATCH(B400,Ingredients!$A$5:$A$304,0)),""))</f>
        <v>0</v>
      </c>
      <c r="H400" s="8">
        <f>IF(OR(B400="",C400=""),"",IFERROR(C400*G400,""))</f>
        <v>0</v>
      </c>
      <c r="I400" s="8">
        <f>IF(A400="","",IFERROR(INDEX(Recipes!$D$5:$D$204,MATCH(A400,Recipes!$A$5:$A$204,0)),""))</f>
        <v>0</v>
      </c>
      <c r="J400" s="8">
        <f>IF(OR(H400="",I400="",I400=0),"",IFERROR(H400/I400,""))</f>
        <v>0</v>
      </c>
      <c r="K400" s="8">
        <f>IF(OR(B400="",C400=""),"",IFERROR(C400*IFERROR(INDEX(Ingredients!$H$5:$H$304,MATCH(B400,Ingredients!$A$5:$A$304,0)),""),""))</f>
        <v>0</v>
      </c>
      <c r="L400" s="8">
        <f>IF(OR(B400="",C400=""),"",IFERROR(C400*IFERROR(INDEX(Ingredients!$I$5:$I$304,MATCH(B400,Ingredients!$A$5:$A$304,0)),""),""))</f>
        <v>0</v>
      </c>
      <c r="M400" s="8">
        <f>IF(OR(B400="",C400=""),"",IFERROR(C400*IFERROR(INDEX(Ingredients!$J$5:$J$304,MATCH(B400,Ingredients!$A$5:$A$304,0)),""),""))</f>
        <v>0</v>
      </c>
      <c r="N400" s="8">
        <f>IF(OR(B400="",C400=""),"",IFERROR(C400*IFERROR(INDEX(Ingredients!$K$5:$K$304,MATCH(B400,Ingredients!$A$5:$A$304,0)),""),""))</f>
        <v>0</v>
      </c>
      <c r="O400" s="8">
        <f>IF(OR(B400="",C400=""),"",IFERROR(C400*IFERROR(INDEX(Ingredients!$L$5:$L$304,MATCH(B400,Ingredients!$A$5:$A$304,0)),""),""))</f>
        <v>0</v>
      </c>
      <c r="P400" s="8">
        <f>IF(OR(H400="",A400=""),"",IFERROR(H400/SUMIFS('Recipe Ingredients'!$H$5:$H$1204,'Recipe Ingredients'!$A$5:$A$1204,A400),""))</f>
        <v>0</v>
      </c>
      <c r="Q400" s="8">
        <f>IF(H400="","",COUNTIFS($H$5:$H$1204,"&gt;"&amp;H400)+1)</f>
        <v>0</v>
      </c>
      <c r="R400" s="8">
        <f>IF(B400="","",SUMIFS(Pantry!$C$5:$C$304,Pantry!$A$5:$A$304,B400))</f>
        <v>0</v>
      </c>
      <c r="S400" s="8">
        <f>IF(OR(B400="",C400=""),"",MAX(0,C400-R400))</f>
        <v>0</v>
      </c>
      <c r="T400" s="26"/>
      <c r="U400" s="8">
        <f>IF(OR(T400="",T400=0,G400=""),"",T400*G400)</f>
        <v>0</v>
      </c>
      <c r="V400" s="8">
        <f>IF(OR(S400="",T400="",T400=0),"",CEILING(S400/T400,1))</f>
        <v>0</v>
      </c>
      <c r="W400" s="27"/>
      <c r="X400" s="29"/>
      <c r="Y400" s="8">
        <f>IF(OR(C400="",X400=""),"",C400*(1+X400))</f>
        <v>0</v>
      </c>
      <c r="Z400" s="8">
        <f>IF(B400="","",IFERROR(INDEX(Ingredients!$O$5:$O$304,MATCH(B400,Ingredients!$A$5:$A$304,0)),""))</f>
        <v>0</v>
      </c>
      <c r="AA400" s="8">
        <f>IF(B400="","",IF(R400&gt;=C400,"In pantry","To buy"))</f>
        <v>0</v>
      </c>
      <c r="AB400" s="8">
        <f>IF(A400="","",COUNTIFS($A$5:A400,A400))</f>
        <v>0</v>
      </c>
      <c r="AC400" s="8">
        <f>IF(B400="","",IF(COUNTIFS('Dietary Filters'!$C$5:$C$104,B400)&gt;0,"Check","OK"))</f>
        <v>0</v>
      </c>
      <c r="AD400" s="25"/>
    </row>
    <row r="401" spans="1:30">
      <c r="A401" s="7"/>
      <c r="B401" s="7"/>
      <c r="C401" s="26"/>
      <c r="D401" s="27"/>
      <c r="E401" s="8">
        <f>IF(B401="","",IFERROR(INDEX(Ingredients!$B$5:$B$304,MATCH(B401,Ingredients!$A$5:$A$304,0)),""))</f>
        <v>0</v>
      </c>
      <c r="F401" s="8">
        <f>IF(B401="","",IFERROR(INDEX(Ingredients!$E$5:$E$304,MATCH(B401,Ingredients!$A$5:$A$304,0)),""))</f>
        <v>0</v>
      </c>
      <c r="G401" s="8">
        <f>IF(B401="","",IFERROR(INDEX(Ingredients!$D$5:$D$304,MATCH(B401,Ingredients!$A$5:$A$304,0)),""))</f>
        <v>0</v>
      </c>
      <c r="H401" s="8">
        <f>IF(OR(B401="",C401=""),"",IFERROR(C401*G401,""))</f>
        <v>0</v>
      </c>
      <c r="I401" s="8">
        <f>IF(A401="","",IFERROR(INDEX(Recipes!$D$5:$D$204,MATCH(A401,Recipes!$A$5:$A$204,0)),""))</f>
        <v>0</v>
      </c>
      <c r="J401" s="8">
        <f>IF(OR(H401="",I401="",I401=0),"",IFERROR(H401/I401,""))</f>
        <v>0</v>
      </c>
      <c r="K401" s="8">
        <f>IF(OR(B401="",C401=""),"",IFERROR(C401*IFERROR(INDEX(Ingredients!$H$5:$H$304,MATCH(B401,Ingredients!$A$5:$A$304,0)),""),""))</f>
        <v>0</v>
      </c>
      <c r="L401" s="8">
        <f>IF(OR(B401="",C401=""),"",IFERROR(C401*IFERROR(INDEX(Ingredients!$I$5:$I$304,MATCH(B401,Ingredients!$A$5:$A$304,0)),""),""))</f>
        <v>0</v>
      </c>
      <c r="M401" s="8">
        <f>IF(OR(B401="",C401=""),"",IFERROR(C401*IFERROR(INDEX(Ingredients!$J$5:$J$304,MATCH(B401,Ingredients!$A$5:$A$304,0)),""),""))</f>
        <v>0</v>
      </c>
      <c r="N401" s="8">
        <f>IF(OR(B401="",C401=""),"",IFERROR(C401*IFERROR(INDEX(Ingredients!$K$5:$K$304,MATCH(B401,Ingredients!$A$5:$A$304,0)),""),""))</f>
        <v>0</v>
      </c>
      <c r="O401" s="8">
        <f>IF(OR(B401="",C401=""),"",IFERROR(C401*IFERROR(INDEX(Ingredients!$L$5:$L$304,MATCH(B401,Ingredients!$A$5:$A$304,0)),""),""))</f>
        <v>0</v>
      </c>
      <c r="P401" s="8">
        <f>IF(OR(H401="",A401=""),"",IFERROR(H401/SUMIFS('Recipe Ingredients'!$H$5:$H$1204,'Recipe Ingredients'!$A$5:$A$1204,A401),""))</f>
        <v>0</v>
      </c>
      <c r="Q401" s="8">
        <f>IF(H401="","",COUNTIFS($H$5:$H$1204,"&gt;"&amp;H401)+1)</f>
        <v>0</v>
      </c>
      <c r="R401" s="8">
        <f>IF(B401="","",SUMIFS(Pantry!$C$5:$C$304,Pantry!$A$5:$A$304,B401))</f>
        <v>0</v>
      </c>
      <c r="S401" s="8">
        <f>IF(OR(B401="",C401=""),"",MAX(0,C401-R401))</f>
        <v>0</v>
      </c>
      <c r="T401" s="26"/>
      <c r="U401" s="8">
        <f>IF(OR(T401="",T401=0,G401=""),"",T401*G401)</f>
        <v>0</v>
      </c>
      <c r="V401" s="8">
        <f>IF(OR(S401="",T401="",T401=0),"",CEILING(S401/T401,1))</f>
        <v>0</v>
      </c>
      <c r="W401" s="27"/>
      <c r="X401" s="29"/>
      <c r="Y401" s="8">
        <f>IF(OR(C401="",X401=""),"",C401*(1+X401))</f>
        <v>0</v>
      </c>
      <c r="Z401" s="8">
        <f>IF(B401="","",IFERROR(INDEX(Ingredients!$O$5:$O$304,MATCH(B401,Ingredients!$A$5:$A$304,0)),""))</f>
        <v>0</v>
      </c>
      <c r="AA401" s="8">
        <f>IF(B401="","",IF(R401&gt;=C401,"In pantry","To buy"))</f>
        <v>0</v>
      </c>
      <c r="AB401" s="8">
        <f>IF(A401="","",COUNTIFS($A$5:A401,A401))</f>
        <v>0</v>
      </c>
      <c r="AC401" s="8">
        <f>IF(B401="","",IF(COUNTIFS('Dietary Filters'!$C$5:$C$104,B401)&gt;0,"Check","OK"))</f>
        <v>0</v>
      </c>
      <c r="AD401" s="25"/>
    </row>
    <row r="402" spans="1:30">
      <c r="A402" s="7"/>
      <c r="B402" s="7"/>
      <c r="C402" s="26"/>
      <c r="D402" s="27"/>
      <c r="E402" s="8">
        <f>IF(B402="","",IFERROR(INDEX(Ingredients!$B$5:$B$304,MATCH(B402,Ingredients!$A$5:$A$304,0)),""))</f>
        <v>0</v>
      </c>
      <c r="F402" s="8">
        <f>IF(B402="","",IFERROR(INDEX(Ingredients!$E$5:$E$304,MATCH(B402,Ingredients!$A$5:$A$304,0)),""))</f>
        <v>0</v>
      </c>
      <c r="G402" s="8">
        <f>IF(B402="","",IFERROR(INDEX(Ingredients!$D$5:$D$304,MATCH(B402,Ingredients!$A$5:$A$304,0)),""))</f>
        <v>0</v>
      </c>
      <c r="H402" s="8">
        <f>IF(OR(B402="",C402=""),"",IFERROR(C402*G402,""))</f>
        <v>0</v>
      </c>
      <c r="I402" s="8">
        <f>IF(A402="","",IFERROR(INDEX(Recipes!$D$5:$D$204,MATCH(A402,Recipes!$A$5:$A$204,0)),""))</f>
        <v>0</v>
      </c>
      <c r="J402" s="8">
        <f>IF(OR(H402="",I402="",I402=0),"",IFERROR(H402/I402,""))</f>
        <v>0</v>
      </c>
      <c r="K402" s="8">
        <f>IF(OR(B402="",C402=""),"",IFERROR(C402*IFERROR(INDEX(Ingredients!$H$5:$H$304,MATCH(B402,Ingredients!$A$5:$A$304,0)),""),""))</f>
        <v>0</v>
      </c>
      <c r="L402" s="8">
        <f>IF(OR(B402="",C402=""),"",IFERROR(C402*IFERROR(INDEX(Ingredients!$I$5:$I$304,MATCH(B402,Ingredients!$A$5:$A$304,0)),""),""))</f>
        <v>0</v>
      </c>
      <c r="M402" s="8">
        <f>IF(OR(B402="",C402=""),"",IFERROR(C402*IFERROR(INDEX(Ingredients!$J$5:$J$304,MATCH(B402,Ingredients!$A$5:$A$304,0)),""),""))</f>
        <v>0</v>
      </c>
      <c r="N402" s="8">
        <f>IF(OR(B402="",C402=""),"",IFERROR(C402*IFERROR(INDEX(Ingredients!$K$5:$K$304,MATCH(B402,Ingredients!$A$5:$A$304,0)),""),""))</f>
        <v>0</v>
      </c>
      <c r="O402" s="8">
        <f>IF(OR(B402="",C402=""),"",IFERROR(C402*IFERROR(INDEX(Ingredients!$L$5:$L$304,MATCH(B402,Ingredients!$A$5:$A$304,0)),""),""))</f>
        <v>0</v>
      </c>
      <c r="P402" s="8">
        <f>IF(OR(H402="",A402=""),"",IFERROR(H402/SUMIFS('Recipe Ingredients'!$H$5:$H$1204,'Recipe Ingredients'!$A$5:$A$1204,A402),""))</f>
        <v>0</v>
      </c>
      <c r="Q402" s="8">
        <f>IF(H402="","",COUNTIFS($H$5:$H$1204,"&gt;"&amp;H402)+1)</f>
        <v>0</v>
      </c>
      <c r="R402" s="8">
        <f>IF(B402="","",SUMIFS(Pantry!$C$5:$C$304,Pantry!$A$5:$A$304,B402))</f>
        <v>0</v>
      </c>
      <c r="S402" s="8">
        <f>IF(OR(B402="",C402=""),"",MAX(0,C402-R402))</f>
        <v>0</v>
      </c>
      <c r="T402" s="26"/>
      <c r="U402" s="8">
        <f>IF(OR(T402="",T402=0,G402=""),"",T402*G402)</f>
        <v>0</v>
      </c>
      <c r="V402" s="8">
        <f>IF(OR(S402="",T402="",T402=0),"",CEILING(S402/T402,1))</f>
        <v>0</v>
      </c>
      <c r="W402" s="27"/>
      <c r="X402" s="29"/>
      <c r="Y402" s="8">
        <f>IF(OR(C402="",X402=""),"",C402*(1+X402))</f>
        <v>0</v>
      </c>
      <c r="Z402" s="8">
        <f>IF(B402="","",IFERROR(INDEX(Ingredients!$O$5:$O$304,MATCH(B402,Ingredients!$A$5:$A$304,0)),""))</f>
        <v>0</v>
      </c>
      <c r="AA402" s="8">
        <f>IF(B402="","",IF(R402&gt;=C402,"In pantry","To buy"))</f>
        <v>0</v>
      </c>
      <c r="AB402" s="8">
        <f>IF(A402="","",COUNTIFS($A$5:A402,A402))</f>
        <v>0</v>
      </c>
      <c r="AC402" s="8">
        <f>IF(B402="","",IF(COUNTIFS('Dietary Filters'!$C$5:$C$104,B402)&gt;0,"Check","OK"))</f>
        <v>0</v>
      </c>
      <c r="AD402" s="25"/>
    </row>
    <row r="403" spans="1:30">
      <c r="A403" s="7"/>
      <c r="B403" s="7"/>
      <c r="C403" s="26"/>
      <c r="D403" s="27"/>
      <c r="E403" s="8">
        <f>IF(B403="","",IFERROR(INDEX(Ingredients!$B$5:$B$304,MATCH(B403,Ingredients!$A$5:$A$304,0)),""))</f>
        <v>0</v>
      </c>
      <c r="F403" s="8">
        <f>IF(B403="","",IFERROR(INDEX(Ingredients!$E$5:$E$304,MATCH(B403,Ingredients!$A$5:$A$304,0)),""))</f>
        <v>0</v>
      </c>
      <c r="G403" s="8">
        <f>IF(B403="","",IFERROR(INDEX(Ingredients!$D$5:$D$304,MATCH(B403,Ingredients!$A$5:$A$304,0)),""))</f>
        <v>0</v>
      </c>
      <c r="H403" s="8">
        <f>IF(OR(B403="",C403=""),"",IFERROR(C403*G403,""))</f>
        <v>0</v>
      </c>
      <c r="I403" s="8">
        <f>IF(A403="","",IFERROR(INDEX(Recipes!$D$5:$D$204,MATCH(A403,Recipes!$A$5:$A$204,0)),""))</f>
        <v>0</v>
      </c>
      <c r="J403" s="8">
        <f>IF(OR(H403="",I403="",I403=0),"",IFERROR(H403/I403,""))</f>
        <v>0</v>
      </c>
      <c r="K403" s="8">
        <f>IF(OR(B403="",C403=""),"",IFERROR(C403*IFERROR(INDEX(Ingredients!$H$5:$H$304,MATCH(B403,Ingredients!$A$5:$A$304,0)),""),""))</f>
        <v>0</v>
      </c>
      <c r="L403" s="8">
        <f>IF(OR(B403="",C403=""),"",IFERROR(C403*IFERROR(INDEX(Ingredients!$I$5:$I$304,MATCH(B403,Ingredients!$A$5:$A$304,0)),""),""))</f>
        <v>0</v>
      </c>
      <c r="M403" s="8">
        <f>IF(OR(B403="",C403=""),"",IFERROR(C403*IFERROR(INDEX(Ingredients!$J$5:$J$304,MATCH(B403,Ingredients!$A$5:$A$304,0)),""),""))</f>
        <v>0</v>
      </c>
      <c r="N403" s="8">
        <f>IF(OR(B403="",C403=""),"",IFERROR(C403*IFERROR(INDEX(Ingredients!$K$5:$K$304,MATCH(B403,Ingredients!$A$5:$A$304,0)),""),""))</f>
        <v>0</v>
      </c>
      <c r="O403" s="8">
        <f>IF(OR(B403="",C403=""),"",IFERROR(C403*IFERROR(INDEX(Ingredients!$L$5:$L$304,MATCH(B403,Ingredients!$A$5:$A$304,0)),""),""))</f>
        <v>0</v>
      </c>
      <c r="P403" s="8">
        <f>IF(OR(H403="",A403=""),"",IFERROR(H403/SUMIFS('Recipe Ingredients'!$H$5:$H$1204,'Recipe Ingredients'!$A$5:$A$1204,A403),""))</f>
        <v>0</v>
      </c>
      <c r="Q403" s="8">
        <f>IF(H403="","",COUNTIFS($H$5:$H$1204,"&gt;"&amp;H403)+1)</f>
        <v>0</v>
      </c>
      <c r="R403" s="8">
        <f>IF(B403="","",SUMIFS(Pantry!$C$5:$C$304,Pantry!$A$5:$A$304,B403))</f>
        <v>0</v>
      </c>
      <c r="S403" s="8">
        <f>IF(OR(B403="",C403=""),"",MAX(0,C403-R403))</f>
        <v>0</v>
      </c>
      <c r="T403" s="26"/>
      <c r="U403" s="8">
        <f>IF(OR(T403="",T403=0,G403=""),"",T403*G403)</f>
        <v>0</v>
      </c>
      <c r="V403" s="8">
        <f>IF(OR(S403="",T403="",T403=0),"",CEILING(S403/T403,1))</f>
        <v>0</v>
      </c>
      <c r="W403" s="27"/>
      <c r="X403" s="29"/>
      <c r="Y403" s="8">
        <f>IF(OR(C403="",X403=""),"",C403*(1+X403))</f>
        <v>0</v>
      </c>
      <c r="Z403" s="8">
        <f>IF(B403="","",IFERROR(INDEX(Ingredients!$O$5:$O$304,MATCH(B403,Ingredients!$A$5:$A$304,0)),""))</f>
        <v>0</v>
      </c>
      <c r="AA403" s="8">
        <f>IF(B403="","",IF(R403&gt;=C403,"In pantry","To buy"))</f>
        <v>0</v>
      </c>
      <c r="AB403" s="8">
        <f>IF(A403="","",COUNTIFS($A$5:A403,A403))</f>
        <v>0</v>
      </c>
      <c r="AC403" s="8">
        <f>IF(B403="","",IF(COUNTIFS('Dietary Filters'!$C$5:$C$104,B403)&gt;0,"Check","OK"))</f>
        <v>0</v>
      </c>
      <c r="AD403" s="25"/>
    </row>
    <row r="404" spans="1:30">
      <c r="A404" s="7"/>
      <c r="B404" s="7"/>
      <c r="C404" s="26"/>
      <c r="D404" s="27"/>
      <c r="E404" s="8">
        <f>IF(B404="","",IFERROR(INDEX(Ingredients!$B$5:$B$304,MATCH(B404,Ingredients!$A$5:$A$304,0)),""))</f>
        <v>0</v>
      </c>
      <c r="F404" s="8">
        <f>IF(B404="","",IFERROR(INDEX(Ingredients!$E$5:$E$304,MATCH(B404,Ingredients!$A$5:$A$304,0)),""))</f>
        <v>0</v>
      </c>
      <c r="G404" s="8">
        <f>IF(B404="","",IFERROR(INDEX(Ingredients!$D$5:$D$304,MATCH(B404,Ingredients!$A$5:$A$304,0)),""))</f>
        <v>0</v>
      </c>
      <c r="H404" s="8">
        <f>IF(OR(B404="",C404=""),"",IFERROR(C404*G404,""))</f>
        <v>0</v>
      </c>
      <c r="I404" s="8">
        <f>IF(A404="","",IFERROR(INDEX(Recipes!$D$5:$D$204,MATCH(A404,Recipes!$A$5:$A$204,0)),""))</f>
        <v>0</v>
      </c>
      <c r="J404" s="8">
        <f>IF(OR(H404="",I404="",I404=0),"",IFERROR(H404/I404,""))</f>
        <v>0</v>
      </c>
      <c r="K404" s="8">
        <f>IF(OR(B404="",C404=""),"",IFERROR(C404*IFERROR(INDEX(Ingredients!$H$5:$H$304,MATCH(B404,Ingredients!$A$5:$A$304,0)),""),""))</f>
        <v>0</v>
      </c>
      <c r="L404" s="8">
        <f>IF(OR(B404="",C404=""),"",IFERROR(C404*IFERROR(INDEX(Ingredients!$I$5:$I$304,MATCH(B404,Ingredients!$A$5:$A$304,0)),""),""))</f>
        <v>0</v>
      </c>
      <c r="M404" s="8">
        <f>IF(OR(B404="",C404=""),"",IFERROR(C404*IFERROR(INDEX(Ingredients!$J$5:$J$304,MATCH(B404,Ingredients!$A$5:$A$304,0)),""),""))</f>
        <v>0</v>
      </c>
      <c r="N404" s="8">
        <f>IF(OR(B404="",C404=""),"",IFERROR(C404*IFERROR(INDEX(Ingredients!$K$5:$K$304,MATCH(B404,Ingredients!$A$5:$A$304,0)),""),""))</f>
        <v>0</v>
      </c>
      <c r="O404" s="8">
        <f>IF(OR(B404="",C404=""),"",IFERROR(C404*IFERROR(INDEX(Ingredients!$L$5:$L$304,MATCH(B404,Ingredients!$A$5:$A$304,0)),""),""))</f>
        <v>0</v>
      </c>
      <c r="P404" s="8">
        <f>IF(OR(H404="",A404=""),"",IFERROR(H404/SUMIFS('Recipe Ingredients'!$H$5:$H$1204,'Recipe Ingredients'!$A$5:$A$1204,A404),""))</f>
        <v>0</v>
      </c>
      <c r="Q404" s="8">
        <f>IF(H404="","",COUNTIFS($H$5:$H$1204,"&gt;"&amp;H404)+1)</f>
        <v>0</v>
      </c>
      <c r="R404" s="8">
        <f>IF(B404="","",SUMIFS(Pantry!$C$5:$C$304,Pantry!$A$5:$A$304,B404))</f>
        <v>0</v>
      </c>
      <c r="S404" s="8">
        <f>IF(OR(B404="",C404=""),"",MAX(0,C404-R404))</f>
        <v>0</v>
      </c>
      <c r="T404" s="26"/>
      <c r="U404" s="8">
        <f>IF(OR(T404="",T404=0,G404=""),"",T404*G404)</f>
        <v>0</v>
      </c>
      <c r="V404" s="8">
        <f>IF(OR(S404="",T404="",T404=0),"",CEILING(S404/T404,1))</f>
        <v>0</v>
      </c>
      <c r="W404" s="27"/>
      <c r="X404" s="29"/>
      <c r="Y404" s="8">
        <f>IF(OR(C404="",X404=""),"",C404*(1+X404))</f>
        <v>0</v>
      </c>
      <c r="Z404" s="8">
        <f>IF(B404="","",IFERROR(INDEX(Ingredients!$O$5:$O$304,MATCH(B404,Ingredients!$A$5:$A$304,0)),""))</f>
        <v>0</v>
      </c>
      <c r="AA404" s="8">
        <f>IF(B404="","",IF(R404&gt;=C404,"In pantry","To buy"))</f>
        <v>0</v>
      </c>
      <c r="AB404" s="8">
        <f>IF(A404="","",COUNTIFS($A$5:A404,A404))</f>
        <v>0</v>
      </c>
      <c r="AC404" s="8">
        <f>IF(B404="","",IF(COUNTIFS('Dietary Filters'!$C$5:$C$104,B404)&gt;0,"Check","OK"))</f>
        <v>0</v>
      </c>
      <c r="AD404" s="25"/>
    </row>
    <row r="405" spans="1:30">
      <c r="A405" s="7"/>
      <c r="B405" s="7"/>
      <c r="C405" s="26"/>
      <c r="D405" s="27"/>
      <c r="E405" s="8">
        <f>IF(B405="","",IFERROR(INDEX(Ingredients!$B$5:$B$304,MATCH(B405,Ingredients!$A$5:$A$304,0)),""))</f>
        <v>0</v>
      </c>
      <c r="F405" s="8">
        <f>IF(B405="","",IFERROR(INDEX(Ingredients!$E$5:$E$304,MATCH(B405,Ingredients!$A$5:$A$304,0)),""))</f>
        <v>0</v>
      </c>
      <c r="G405" s="8">
        <f>IF(B405="","",IFERROR(INDEX(Ingredients!$D$5:$D$304,MATCH(B405,Ingredients!$A$5:$A$304,0)),""))</f>
        <v>0</v>
      </c>
      <c r="H405" s="8">
        <f>IF(OR(B405="",C405=""),"",IFERROR(C405*G405,""))</f>
        <v>0</v>
      </c>
      <c r="I405" s="8">
        <f>IF(A405="","",IFERROR(INDEX(Recipes!$D$5:$D$204,MATCH(A405,Recipes!$A$5:$A$204,0)),""))</f>
        <v>0</v>
      </c>
      <c r="J405" s="8">
        <f>IF(OR(H405="",I405="",I405=0),"",IFERROR(H405/I405,""))</f>
        <v>0</v>
      </c>
      <c r="K405" s="8">
        <f>IF(OR(B405="",C405=""),"",IFERROR(C405*IFERROR(INDEX(Ingredients!$H$5:$H$304,MATCH(B405,Ingredients!$A$5:$A$304,0)),""),""))</f>
        <v>0</v>
      </c>
      <c r="L405" s="8">
        <f>IF(OR(B405="",C405=""),"",IFERROR(C405*IFERROR(INDEX(Ingredients!$I$5:$I$304,MATCH(B405,Ingredients!$A$5:$A$304,0)),""),""))</f>
        <v>0</v>
      </c>
      <c r="M405" s="8">
        <f>IF(OR(B405="",C405=""),"",IFERROR(C405*IFERROR(INDEX(Ingredients!$J$5:$J$304,MATCH(B405,Ingredients!$A$5:$A$304,0)),""),""))</f>
        <v>0</v>
      </c>
      <c r="N405" s="8">
        <f>IF(OR(B405="",C405=""),"",IFERROR(C405*IFERROR(INDEX(Ingredients!$K$5:$K$304,MATCH(B405,Ingredients!$A$5:$A$304,0)),""),""))</f>
        <v>0</v>
      </c>
      <c r="O405" s="8">
        <f>IF(OR(B405="",C405=""),"",IFERROR(C405*IFERROR(INDEX(Ingredients!$L$5:$L$304,MATCH(B405,Ingredients!$A$5:$A$304,0)),""),""))</f>
        <v>0</v>
      </c>
      <c r="P405" s="8">
        <f>IF(OR(H405="",A405=""),"",IFERROR(H405/SUMIFS('Recipe Ingredients'!$H$5:$H$1204,'Recipe Ingredients'!$A$5:$A$1204,A405),""))</f>
        <v>0</v>
      </c>
      <c r="Q405" s="8">
        <f>IF(H405="","",COUNTIFS($H$5:$H$1204,"&gt;"&amp;H405)+1)</f>
        <v>0</v>
      </c>
      <c r="R405" s="8">
        <f>IF(B405="","",SUMIFS(Pantry!$C$5:$C$304,Pantry!$A$5:$A$304,B405))</f>
        <v>0</v>
      </c>
      <c r="S405" s="8">
        <f>IF(OR(B405="",C405=""),"",MAX(0,C405-R405))</f>
        <v>0</v>
      </c>
      <c r="T405" s="26"/>
      <c r="U405" s="8">
        <f>IF(OR(T405="",T405=0,G405=""),"",T405*G405)</f>
        <v>0</v>
      </c>
      <c r="V405" s="8">
        <f>IF(OR(S405="",T405="",T405=0),"",CEILING(S405/T405,1))</f>
        <v>0</v>
      </c>
      <c r="W405" s="27"/>
      <c r="X405" s="29"/>
      <c r="Y405" s="8">
        <f>IF(OR(C405="",X405=""),"",C405*(1+X405))</f>
        <v>0</v>
      </c>
      <c r="Z405" s="8">
        <f>IF(B405="","",IFERROR(INDEX(Ingredients!$O$5:$O$304,MATCH(B405,Ingredients!$A$5:$A$304,0)),""))</f>
        <v>0</v>
      </c>
      <c r="AA405" s="8">
        <f>IF(B405="","",IF(R405&gt;=C405,"In pantry","To buy"))</f>
        <v>0</v>
      </c>
      <c r="AB405" s="8">
        <f>IF(A405="","",COUNTIFS($A$5:A405,A405))</f>
        <v>0</v>
      </c>
      <c r="AC405" s="8">
        <f>IF(B405="","",IF(COUNTIFS('Dietary Filters'!$C$5:$C$104,B405)&gt;0,"Check","OK"))</f>
        <v>0</v>
      </c>
      <c r="AD405" s="25"/>
    </row>
    <row r="406" spans="1:30">
      <c r="A406" s="7"/>
      <c r="B406" s="7"/>
      <c r="C406" s="26"/>
      <c r="D406" s="27"/>
      <c r="E406" s="8">
        <f>IF(B406="","",IFERROR(INDEX(Ingredients!$B$5:$B$304,MATCH(B406,Ingredients!$A$5:$A$304,0)),""))</f>
        <v>0</v>
      </c>
      <c r="F406" s="8">
        <f>IF(B406="","",IFERROR(INDEX(Ingredients!$E$5:$E$304,MATCH(B406,Ingredients!$A$5:$A$304,0)),""))</f>
        <v>0</v>
      </c>
      <c r="G406" s="8">
        <f>IF(B406="","",IFERROR(INDEX(Ingredients!$D$5:$D$304,MATCH(B406,Ingredients!$A$5:$A$304,0)),""))</f>
        <v>0</v>
      </c>
      <c r="H406" s="8">
        <f>IF(OR(B406="",C406=""),"",IFERROR(C406*G406,""))</f>
        <v>0</v>
      </c>
      <c r="I406" s="8">
        <f>IF(A406="","",IFERROR(INDEX(Recipes!$D$5:$D$204,MATCH(A406,Recipes!$A$5:$A$204,0)),""))</f>
        <v>0</v>
      </c>
      <c r="J406" s="8">
        <f>IF(OR(H406="",I406="",I406=0),"",IFERROR(H406/I406,""))</f>
        <v>0</v>
      </c>
      <c r="K406" s="8">
        <f>IF(OR(B406="",C406=""),"",IFERROR(C406*IFERROR(INDEX(Ingredients!$H$5:$H$304,MATCH(B406,Ingredients!$A$5:$A$304,0)),""),""))</f>
        <v>0</v>
      </c>
      <c r="L406" s="8">
        <f>IF(OR(B406="",C406=""),"",IFERROR(C406*IFERROR(INDEX(Ingredients!$I$5:$I$304,MATCH(B406,Ingredients!$A$5:$A$304,0)),""),""))</f>
        <v>0</v>
      </c>
      <c r="M406" s="8">
        <f>IF(OR(B406="",C406=""),"",IFERROR(C406*IFERROR(INDEX(Ingredients!$J$5:$J$304,MATCH(B406,Ingredients!$A$5:$A$304,0)),""),""))</f>
        <v>0</v>
      </c>
      <c r="N406" s="8">
        <f>IF(OR(B406="",C406=""),"",IFERROR(C406*IFERROR(INDEX(Ingredients!$K$5:$K$304,MATCH(B406,Ingredients!$A$5:$A$304,0)),""),""))</f>
        <v>0</v>
      </c>
      <c r="O406" s="8">
        <f>IF(OR(B406="",C406=""),"",IFERROR(C406*IFERROR(INDEX(Ingredients!$L$5:$L$304,MATCH(B406,Ingredients!$A$5:$A$304,0)),""),""))</f>
        <v>0</v>
      </c>
      <c r="P406" s="8">
        <f>IF(OR(H406="",A406=""),"",IFERROR(H406/SUMIFS('Recipe Ingredients'!$H$5:$H$1204,'Recipe Ingredients'!$A$5:$A$1204,A406),""))</f>
        <v>0</v>
      </c>
      <c r="Q406" s="8">
        <f>IF(H406="","",COUNTIFS($H$5:$H$1204,"&gt;"&amp;H406)+1)</f>
        <v>0</v>
      </c>
      <c r="R406" s="8">
        <f>IF(B406="","",SUMIFS(Pantry!$C$5:$C$304,Pantry!$A$5:$A$304,B406))</f>
        <v>0</v>
      </c>
      <c r="S406" s="8">
        <f>IF(OR(B406="",C406=""),"",MAX(0,C406-R406))</f>
        <v>0</v>
      </c>
      <c r="T406" s="26"/>
      <c r="U406" s="8">
        <f>IF(OR(T406="",T406=0,G406=""),"",T406*G406)</f>
        <v>0</v>
      </c>
      <c r="V406" s="8">
        <f>IF(OR(S406="",T406="",T406=0),"",CEILING(S406/T406,1))</f>
        <v>0</v>
      </c>
      <c r="W406" s="27"/>
      <c r="X406" s="29"/>
      <c r="Y406" s="8">
        <f>IF(OR(C406="",X406=""),"",C406*(1+X406))</f>
        <v>0</v>
      </c>
      <c r="Z406" s="8">
        <f>IF(B406="","",IFERROR(INDEX(Ingredients!$O$5:$O$304,MATCH(B406,Ingredients!$A$5:$A$304,0)),""))</f>
        <v>0</v>
      </c>
      <c r="AA406" s="8">
        <f>IF(B406="","",IF(R406&gt;=C406,"In pantry","To buy"))</f>
        <v>0</v>
      </c>
      <c r="AB406" s="8">
        <f>IF(A406="","",COUNTIFS($A$5:A406,A406))</f>
        <v>0</v>
      </c>
      <c r="AC406" s="8">
        <f>IF(B406="","",IF(COUNTIFS('Dietary Filters'!$C$5:$C$104,B406)&gt;0,"Check","OK"))</f>
        <v>0</v>
      </c>
      <c r="AD406" s="25"/>
    </row>
    <row r="407" spans="1:30">
      <c r="A407" s="7"/>
      <c r="B407" s="7"/>
      <c r="C407" s="26"/>
      <c r="D407" s="27"/>
      <c r="E407" s="8">
        <f>IF(B407="","",IFERROR(INDEX(Ingredients!$B$5:$B$304,MATCH(B407,Ingredients!$A$5:$A$304,0)),""))</f>
        <v>0</v>
      </c>
      <c r="F407" s="8">
        <f>IF(B407="","",IFERROR(INDEX(Ingredients!$E$5:$E$304,MATCH(B407,Ingredients!$A$5:$A$304,0)),""))</f>
        <v>0</v>
      </c>
      <c r="G407" s="8">
        <f>IF(B407="","",IFERROR(INDEX(Ingredients!$D$5:$D$304,MATCH(B407,Ingredients!$A$5:$A$304,0)),""))</f>
        <v>0</v>
      </c>
      <c r="H407" s="8">
        <f>IF(OR(B407="",C407=""),"",IFERROR(C407*G407,""))</f>
        <v>0</v>
      </c>
      <c r="I407" s="8">
        <f>IF(A407="","",IFERROR(INDEX(Recipes!$D$5:$D$204,MATCH(A407,Recipes!$A$5:$A$204,0)),""))</f>
        <v>0</v>
      </c>
      <c r="J407" s="8">
        <f>IF(OR(H407="",I407="",I407=0),"",IFERROR(H407/I407,""))</f>
        <v>0</v>
      </c>
      <c r="K407" s="8">
        <f>IF(OR(B407="",C407=""),"",IFERROR(C407*IFERROR(INDEX(Ingredients!$H$5:$H$304,MATCH(B407,Ingredients!$A$5:$A$304,0)),""),""))</f>
        <v>0</v>
      </c>
      <c r="L407" s="8">
        <f>IF(OR(B407="",C407=""),"",IFERROR(C407*IFERROR(INDEX(Ingredients!$I$5:$I$304,MATCH(B407,Ingredients!$A$5:$A$304,0)),""),""))</f>
        <v>0</v>
      </c>
      <c r="M407" s="8">
        <f>IF(OR(B407="",C407=""),"",IFERROR(C407*IFERROR(INDEX(Ingredients!$J$5:$J$304,MATCH(B407,Ingredients!$A$5:$A$304,0)),""),""))</f>
        <v>0</v>
      </c>
      <c r="N407" s="8">
        <f>IF(OR(B407="",C407=""),"",IFERROR(C407*IFERROR(INDEX(Ingredients!$K$5:$K$304,MATCH(B407,Ingredients!$A$5:$A$304,0)),""),""))</f>
        <v>0</v>
      </c>
      <c r="O407" s="8">
        <f>IF(OR(B407="",C407=""),"",IFERROR(C407*IFERROR(INDEX(Ingredients!$L$5:$L$304,MATCH(B407,Ingredients!$A$5:$A$304,0)),""),""))</f>
        <v>0</v>
      </c>
      <c r="P407" s="8">
        <f>IF(OR(H407="",A407=""),"",IFERROR(H407/SUMIFS('Recipe Ingredients'!$H$5:$H$1204,'Recipe Ingredients'!$A$5:$A$1204,A407),""))</f>
        <v>0</v>
      </c>
      <c r="Q407" s="8">
        <f>IF(H407="","",COUNTIFS($H$5:$H$1204,"&gt;"&amp;H407)+1)</f>
        <v>0</v>
      </c>
      <c r="R407" s="8">
        <f>IF(B407="","",SUMIFS(Pantry!$C$5:$C$304,Pantry!$A$5:$A$304,B407))</f>
        <v>0</v>
      </c>
      <c r="S407" s="8">
        <f>IF(OR(B407="",C407=""),"",MAX(0,C407-R407))</f>
        <v>0</v>
      </c>
      <c r="T407" s="26"/>
      <c r="U407" s="8">
        <f>IF(OR(T407="",T407=0,G407=""),"",T407*G407)</f>
        <v>0</v>
      </c>
      <c r="V407" s="8">
        <f>IF(OR(S407="",T407="",T407=0),"",CEILING(S407/T407,1))</f>
        <v>0</v>
      </c>
      <c r="W407" s="27"/>
      <c r="X407" s="29"/>
      <c r="Y407" s="8">
        <f>IF(OR(C407="",X407=""),"",C407*(1+X407))</f>
        <v>0</v>
      </c>
      <c r="Z407" s="8">
        <f>IF(B407="","",IFERROR(INDEX(Ingredients!$O$5:$O$304,MATCH(B407,Ingredients!$A$5:$A$304,0)),""))</f>
        <v>0</v>
      </c>
      <c r="AA407" s="8">
        <f>IF(B407="","",IF(R407&gt;=C407,"In pantry","To buy"))</f>
        <v>0</v>
      </c>
      <c r="AB407" s="8">
        <f>IF(A407="","",COUNTIFS($A$5:A407,A407))</f>
        <v>0</v>
      </c>
      <c r="AC407" s="8">
        <f>IF(B407="","",IF(COUNTIFS('Dietary Filters'!$C$5:$C$104,B407)&gt;0,"Check","OK"))</f>
        <v>0</v>
      </c>
      <c r="AD407" s="25"/>
    </row>
    <row r="408" spans="1:30">
      <c r="A408" s="7"/>
      <c r="B408" s="7"/>
      <c r="C408" s="26"/>
      <c r="D408" s="27"/>
      <c r="E408" s="8">
        <f>IF(B408="","",IFERROR(INDEX(Ingredients!$B$5:$B$304,MATCH(B408,Ingredients!$A$5:$A$304,0)),""))</f>
        <v>0</v>
      </c>
      <c r="F408" s="8">
        <f>IF(B408="","",IFERROR(INDEX(Ingredients!$E$5:$E$304,MATCH(B408,Ingredients!$A$5:$A$304,0)),""))</f>
        <v>0</v>
      </c>
      <c r="G408" s="8">
        <f>IF(B408="","",IFERROR(INDEX(Ingredients!$D$5:$D$304,MATCH(B408,Ingredients!$A$5:$A$304,0)),""))</f>
        <v>0</v>
      </c>
      <c r="H408" s="8">
        <f>IF(OR(B408="",C408=""),"",IFERROR(C408*G408,""))</f>
        <v>0</v>
      </c>
      <c r="I408" s="8">
        <f>IF(A408="","",IFERROR(INDEX(Recipes!$D$5:$D$204,MATCH(A408,Recipes!$A$5:$A$204,0)),""))</f>
        <v>0</v>
      </c>
      <c r="J408" s="8">
        <f>IF(OR(H408="",I408="",I408=0),"",IFERROR(H408/I408,""))</f>
        <v>0</v>
      </c>
      <c r="K408" s="8">
        <f>IF(OR(B408="",C408=""),"",IFERROR(C408*IFERROR(INDEX(Ingredients!$H$5:$H$304,MATCH(B408,Ingredients!$A$5:$A$304,0)),""),""))</f>
        <v>0</v>
      </c>
      <c r="L408" s="8">
        <f>IF(OR(B408="",C408=""),"",IFERROR(C408*IFERROR(INDEX(Ingredients!$I$5:$I$304,MATCH(B408,Ingredients!$A$5:$A$304,0)),""),""))</f>
        <v>0</v>
      </c>
      <c r="M408" s="8">
        <f>IF(OR(B408="",C408=""),"",IFERROR(C408*IFERROR(INDEX(Ingredients!$J$5:$J$304,MATCH(B408,Ingredients!$A$5:$A$304,0)),""),""))</f>
        <v>0</v>
      </c>
      <c r="N408" s="8">
        <f>IF(OR(B408="",C408=""),"",IFERROR(C408*IFERROR(INDEX(Ingredients!$K$5:$K$304,MATCH(B408,Ingredients!$A$5:$A$304,0)),""),""))</f>
        <v>0</v>
      </c>
      <c r="O408" s="8">
        <f>IF(OR(B408="",C408=""),"",IFERROR(C408*IFERROR(INDEX(Ingredients!$L$5:$L$304,MATCH(B408,Ingredients!$A$5:$A$304,0)),""),""))</f>
        <v>0</v>
      </c>
      <c r="P408" s="8">
        <f>IF(OR(H408="",A408=""),"",IFERROR(H408/SUMIFS('Recipe Ingredients'!$H$5:$H$1204,'Recipe Ingredients'!$A$5:$A$1204,A408),""))</f>
        <v>0</v>
      </c>
      <c r="Q408" s="8">
        <f>IF(H408="","",COUNTIFS($H$5:$H$1204,"&gt;"&amp;H408)+1)</f>
        <v>0</v>
      </c>
      <c r="R408" s="8">
        <f>IF(B408="","",SUMIFS(Pantry!$C$5:$C$304,Pantry!$A$5:$A$304,B408))</f>
        <v>0</v>
      </c>
      <c r="S408" s="8">
        <f>IF(OR(B408="",C408=""),"",MAX(0,C408-R408))</f>
        <v>0</v>
      </c>
      <c r="T408" s="26"/>
      <c r="U408" s="8">
        <f>IF(OR(T408="",T408=0,G408=""),"",T408*G408)</f>
        <v>0</v>
      </c>
      <c r="V408" s="8">
        <f>IF(OR(S408="",T408="",T408=0),"",CEILING(S408/T408,1))</f>
        <v>0</v>
      </c>
      <c r="W408" s="27"/>
      <c r="X408" s="29"/>
      <c r="Y408" s="8">
        <f>IF(OR(C408="",X408=""),"",C408*(1+X408))</f>
        <v>0</v>
      </c>
      <c r="Z408" s="8">
        <f>IF(B408="","",IFERROR(INDEX(Ingredients!$O$5:$O$304,MATCH(B408,Ingredients!$A$5:$A$304,0)),""))</f>
        <v>0</v>
      </c>
      <c r="AA408" s="8">
        <f>IF(B408="","",IF(R408&gt;=C408,"In pantry","To buy"))</f>
        <v>0</v>
      </c>
      <c r="AB408" s="8">
        <f>IF(A408="","",COUNTIFS($A$5:A408,A408))</f>
        <v>0</v>
      </c>
      <c r="AC408" s="8">
        <f>IF(B408="","",IF(COUNTIFS('Dietary Filters'!$C$5:$C$104,B408)&gt;0,"Check","OK"))</f>
        <v>0</v>
      </c>
      <c r="AD408" s="25"/>
    </row>
    <row r="409" spans="1:30">
      <c r="A409" s="7"/>
      <c r="B409" s="7"/>
      <c r="C409" s="26"/>
      <c r="D409" s="27"/>
      <c r="E409" s="8">
        <f>IF(B409="","",IFERROR(INDEX(Ingredients!$B$5:$B$304,MATCH(B409,Ingredients!$A$5:$A$304,0)),""))</f>
        <v>0</v>
      </c>
      <c r="F409" s="8">
        <f>IF(B409="","",IFERROR(INDEX(Ingredients!$E$5:$E$304,MATCH(B409,Ingredients!$A$5:$A$304,0)),""))</f>
        <v>0</v>
      </c>
      <c r="G409" s="8">
        <f>IF(B409="","",IFERROR(INDEX(Ingredients!$D$5:$D$304,MATCH(B409,Ingredients!$A$5:$A$304,0)),""))</f>
        <v>0</v>
      </c>
      <c r="H409" s="8">
        <f>IF(OR(B409="",C409=""),"",IFERROR(C409*G409,""))</f>
        <v>0</v>
      </c>
      <c r="I409" s="8">
        <f>IF(A409="","",IFERROR(INDEX(Recipes!$D$5:$D$204,MATCH(A409,Recipes!$A$5:$A$204,0)),""))</f>
        <v>0</v>
      </c>
      <c r="J409" s="8">
        <f>IF(OR(H409="",I409="",I409=0),"",IFERROR(H409/I409,""))</f>
        <v>0</v>
      </c>
      <c r="K409" s="8">
        <f>IF(OR(B409="",C409=""),"",IFERROR(C409*IFERROR(INDEX(Ingredients!$H$5:$H$304,MATCH(B409,Ingredients!$A$5:$A$304,0)),""),""))</f>
        <v>0</v>
      </c>
      <c r="L409" s="8">
        <f>IF(OR(B409="",C409=""),"",IFERROR(C409*IFERROR(INDEX(Ingredients!$I$5:$I$304,MATCH(B409,Ingredients!$A$5:$A$304,0)),""),""))</f>
        <v>0</v>
      </c>
      <c r="M409" s="8">
        <f>IF(OR(B409="",C409=""),"",IFERROR(C409*IFERROR(INDEX(Ingredients!$J$5:$J$304,MATCH(B409,Ingredients!$A$5:$A$304,0)),""),""))</f>
        <v>0</v>
      </c>
      <c r="N409" s="8">
        <f>IF(OR(B409="",C409=""),"",IFERROR(C409*IFERROR(INDEX(Ingredients!$K$5:$K$304,MATCH(B409,Ingredients!$A$5:$A$304,0)),""),""))</f>
        <v>0</v>
      </c>
      <c r="O409" s="8">
        <f>IF(OR(B409="",C409=""),"",IFERROR(C409*IFERROR(INDEX(Ingredients!$L$5:$L$304,MATCH(B409,Ingredients!$A$5:$A$304,0)),""),""))</f>
        <v>0</v>
      </c>
      <c r="P409" s="8">
        <f>IF(OR(H409="",A409=""),"",IFERROR(H409/SUMIFS('Recipe Ingredients'!$H$5:$H$1204,'Recipe Ingredients'!$A$5:$A$1204,A409),""))</f>
        <v>0</v>
      </c>
      <c r="Q409" s="8">
        <f>IF(H409="","",COUNTIFS($H$5:$H$1204,"&gt;"&amp;H409)+1)</f>
        <v>0</v>
      </c>
      <c r="R409" s="8">
        <f>IF(B409="","",SUMIFS(Pantry!$C$5:$C$304,Pantry!$A$5:$A$304,B409))</f>
        <v>0</v>
      </c>
      <c r="S409" s="8">
        <f>IF(OR(B409="",C409=""),"",MAX(0,C409-R409))</f>
        <v>0</v>
      </c>
      <c r="T409" s="26"/>
      <c r="U409" s="8">
        <f>IF(OR(T409="",T409=0,G409=""),"",T409*G409)</f>
        <v>0</v>
      </c>
      <c r="V409" s="8">
        <f>IF(OR(S409="",T409="",T409=0),"",CEILING(S409/T409,1))</f>
        <v>0</v>
      </c>
      <c r="W409" s="27"/>
      <c r="X409" s="29"/>
      <c r="Y409" s="8">
        <f>IF(OR(C409="",X409=""),"",C409*(1+X409))</f>
        <v>0</v>
      </c>
      <c r="Z409" s="8">
        <f>IF(B409="","",IFERROR(INDEX(Ingredients!$O$5:$O$304,MATCH(B409,Ingredients!$A$5:$A$304,0)),""))</f>
        <v>0</v>
      </c>
      <c r="AA409" s="8">
        <f>IF(B409="","",IF(R409&gt;=C409,"In pantry","To buy"))</f>
        <v>0</v>
      </c>
      <c r="AB409" s="8">
        <f>IF(A409="","",COUNTIFS($A$5:A409,A409))</f>
        <v>0</v>
      </c>
      <c r="AC409" s="8">
        <f>IF(B409="","",IF(COUNTIFS('Dietary Filters'!$C$5:$C$104,B409)&gt;0,"Check","OK"))</f>
        <v>0</v>
      </c>
      <c r="AD409" s="25"/>
    </row>
    <row r="410" spans="1:30">
      <c r="A410" s="7"/>
      <c r="B410" s="7"/>
      <c r="C410" s="26"/>
      <c r="D410" s="27"/>
      <c r="E410" s="8">
        <f>IF(B410="","",IFERROR(INDEX(Ingredients!$B$5:$B$304,MATCH(B410,Ingredients!$A$5:$A$304,0)),""))</f>
        <v>0</v>
      </c>
      <c r="F410" s="8">
        <f>IF(B410="","",IFERROR(INDEX(Ingredients!$E$5:$E$304,MATCH(B410,Ingredients!$A$5:$A$304,0)),""))</f>
        <v>0</v>
      </c>
      <c r="G410" s="8">
        <f>IF(B410="","",IFERROR(INDEX(Ingredients!$D$5:$D$304,MATCH(B410,Ingredients!$A$5:$A$304,0)),""))</f>
        <v>0</v>
      </c>
      <c r="H410" s="8">
        <f>IF(OR(B410="",C410=""),"",IFERROR(C410*G410,""))</f>
        <v>0</v>
      </c>
      <c r="I410" s="8">
        <f>IF(A410="","",IFERROR(INDEX(Recipes!$D$5:$D$204,MATCH(A410,Recipes!$A$5:$A$204,0)),""))</f>
        <v>0</v>
      </c>
      <c r="J410" s="8">
        <f>IF(OR(H410="",I410="",I410=0),"",IFERROR(H410/I410,""))</f>
        <v>0</v>
      </c>
      <c r="K410" s="8">
        <f>IF(OR(B410="",C410=""),"",IFERROR(C410*IFERROR(INDEX(Ingredients!$H$5:$H$304,MATCH(B410,Ingredients!$A$5:$A$304,0)),""),""))</f>
        <v>0</v>
      </c>
      <c r="L410" s="8">
        <f>IF(OR(B410="",C410=""),"",IFERROR(C410*IFERROR(INDEX(Ingredients!$I$5:$I$304,MATCH(B410,Ingredients!$A$5:$A$304,0)),""),""))</f>
        <v>0</v>
      </c>
      <c r="M410" s="8">
        <f>IF(OR(B410="",C410=""),"",IFERROR(C410*IFERROR(INDEX(Ingredients!$J$5:$J$304,MATCH(B410,Ingredients!$A$5:$A$304,0)),""),""))</f>
        <v>0</v>
      </c>
      <c r="N410" s="8">
        <f>IF(OR(B410="",C410=""),"",IFERROR(C410*IFERROR(INDEX(Ingredients!$K$5:$K$304,MATCH(B410,Ingredients!$A$5:$A$304,0)),""),""))</f>
        <v>0</v>
      </c>
      <c r="O410" s="8">
        <f>IF(OR(B410="",C410=""),"",IFERROR(C410*IFERROR(INDEX(Ingredients!$L$5:$L$304,MATCH(B410,Ingredients!$A$5:$A$304,0)),""),""))</f>
        <v>0</v>
      </c>
      <c r="P410" s="8">
        <f>IF(OR(H410="",A410=""),"",IFERROR(H410/SUMIFS('Recipe Ingredients'!$H$5:$H$1204,'Recipe Ingredients'!$A$5:$A$1204,A410),""))</f>
        <v>0</v>
      </c>
      <c r="Q410" s="8">
        <f>IF(H410="","",COUNTIFS($H$5:$H$1204,"&gt;"&amp;H410)+1)</f>
        <v>0</v>
      </c>
      <c r="R410" s="8">
        <f>IF(B410="","",SUMIFS(Pantry!$C$5:$C$304,Pantry!$A$5:$A$304,B410))</f>
        <v>0</v>
      </c>
      <c r="S410" s="8">
        <f>IF(OR(B410="",C410=""),"",MAX(0,C410-R410))</f>
        <v>0</v>
      </c>
      <c r="T410" s="26"/>
      <c r="U410" s="8">
        <f>IF(OR(T410="",T410=0,G410=""),"",T410*G410)</f>
        <v>0</v>
      </c>
      <c r="V410" s="8">
        <f>IF(OR(S410="",T410="",T410=0),"",CEILING(S410/T410,1))</f>
        <v>0</v>
      </c>
      <c r="W410" s="27"/>
      <c r="X410" s="29"/>
      <c r="Y410" s="8">
        <f>IF(OR(C410="",X410=""),"",C410*(1+X410))</f>
        <v>0</v>
      </c>
      <c r="Z410" s="8">
        <f>IF(B410="","",IFERROR(INDEX(Ingredients!$O$5:$O$304,MATCH(B410,Ingredients!$A$5:$A$304,0)),""))</f>
        <v>0</v>
      </c>
      <c r="AA410" s="8">
        <f>IF(B410="","",IF(R410&gt;=C410,"In pantry","To buy"))</f>
        <v>0</v>
      </c>
      <c r="AB410" s="8">
        <f>IF(A410="","",COUNTIFS($A$5:A410,A410))</f>
        <v>0</v>
      </c>
      <c r="AC410" s="8">
        <f>IF(B410="","",IF(COUNTIFS('Dietary Filters'!$C$5:$C$104,B410)&gt;0,"Check","OK"))</f>
        <v>0</v>
      </c>
      <c r="AD410" s="25"/>
    </row>
    <row r="411" spans="1:30">
      <c r="A411" s="7"/>
      <c r="B411" s="7"/>
      <c r="C411" s="26"/>
      <c r="D411" s="27"/>
      <c r="E411" s="8">
        <f>IF(B411="","",IFERROR(INDEX(Ingredients!$B$5:$B$304,MATCH(B411,Ingredients!$A$5:$A$304,0)),""))</f>
        <v>0</v>
      </c>
      <c r="F411" s="8">
        <f>IF(B411="","",IFERROR(INDEX(Ingredients!$E$5:$E$304,MATCH(B411,Ingredients!$A$5:$A$304,0)),""))</f>
        <v>0</v>
      </c>
      <c r="G411" s="8">
        <f>IF(B411="","",IFERROR(INDEX(Ingredients!$D$5:$D$304,MATCH(B411,Ingredients!$A$5:$A$304,0)),""))</f>
        <v>0</v>
      </c>
      <c r="H411" s="8">
        <f>IF(OR(B411="",C411=""),"",IFERROR(C411*G411,""))</f>
        <v>0</v>
      </c>
      <c r="I411" s="8">
        <f>IF(A411="","",IFERROR(INDEX(Recipes!$D$5:$D$204,MATCH(A411,Recipes!$A$5:$A$204,0)),""))</f>
        <v>0</v>
      </c>
      <c r="J411" s="8">
        <f>IF(OR(H411="",I411="",I411=0),"",IFERROR(H411/I411,""))</f>
        <v>0</v>
      </c>
      <c r="K411" s="8">
        <f>IF(OR(B411="",C411=""),"",IFERROR(C411*IFERROR(INDEX(Ingredients!$H$5:$H$304,MATCH(B411,Ingredients!$A$5:$A$304,0)),""),""))</f>
        <v>0</v>
      </c>
      <c r="L411" s="8">
        <f>IF(OR(B411="",C411=""),"",IFERROR(C411*IFERROR(INDEX(Ingredients!$I$5:$I$304,MATCH(B411,Ingredients!$A$5:$A$304,0)),""),""))</f>
        <v>0</v>
      </c>
      <c r="M411" s="8">
        <f>IF(OR(B411="",C411=""),"",IFERROR(C411*IFERROR(INDEX(Ingredients!$J$5:$J$304,MATCH(B411,Ingredients!$A$5:$A$304,0)),""),""))</f>
        <v>0</v>
      </c>
      <c r="N411" s="8">
        <f>IF(OR(B411="",C411=""),"",IFERROR(C411*IFERROR(INDEX(Ingredients!$K$5:$K$304,MATCH(B411,Ingredients!$A$5:$A$304,0)),""),""))</f>
        <v>0</v>
      </c>
      <c r="O411" s="8">
        <f>IF(OR(B411="",C411=""),"",IFERROR(C411*IFERROR(INDEX(Ingredients!$L$5:$L$304,MATCH(B411,Ingredients!$A$5:$A$304,0)),""),""))</f>
        <v>0</v>
      </c>
      <c r="P411" s="8">
        <f>IF(OR(H411="",A411=""),"",IFERROR(H411/SUMIFS('Recipe Ingredients'!$H$5:$H$1204,'Recipe Ingredients'!$A$5:$A$1204,A411),""))</f>
        <v>0</v>
      </c>
      <c r="Q411" s="8">
        <f>IF(H411="","",COUNTIFS($H$5:$H$1204,"&gt;"&amp;H411)+1)</f>
        <v>0</v>
      </c>
      <c r="R411" s="8">
        <f>IF(B411="","",SUMIFS(Pantry!$C$5:$C$304,Pantry!$A$5:$A$304,B411))</f>
        <v>0</v>
      </c>
      <c r="S411" s="8">
        <f>IF(OR(B411="",C411=""),"",MAX(0,C411-R411))</f>
        <v>0</v>
      </c>
      <c r="T411" s="26"/>
      <c r="U411" s="8">
        <f>IF(OR(T411="",T411=0,G411=""),"",T411*G411)</f>
        <v>0</v>
      </c>
      <c r="V411" s="8">
        <f>IF(OR(S411="",T411="",T411=0),"",CEILING(S411/T411,1))</f>
        <v>0</v>
      </c>
      <c r="W411" s="27"/>
      <c r="X411" s="29"/>
      <c r="Y411" s="8">
        <f>IF(OR(C411="",X411=""),"",C411*(1+X411))</f>
        <v>0</v>
      </c>
      <c r="Z411" s="8">
        <f>IF(B411="","",IFERROR(INDEX(Ingredients!$O$5:$O$304,MATCH(B411,Ingredients!$A$5:$A$304,0)),""))</f>
        <v>0</v>
      </c>
      <c r="AA411" s="8">
        <f>IF(B411="","",IF(R411&gt;=C411,"In pantry","To buy"))</f>
        <v>0</v>
      </c>
      <c r="AB411" s="8">
        <f>IF(A411="","",COUNTIFS($A$5:A411,A411))</f>
        <v>0</v>
      </c>
      <c r="AC411" s="8">
        <f>IF(B411="","",IF(COUNTIFS('Dietary Filters'!$C$5:$C$104,B411)&gt;0,"Check","OK"))</f>
        <v>0</v>
      </c>
      <c r="AD411" s="25"/>
    </row>
    <row r="412" spans="1:30">
      <c r="A412" s="7"/>
      <c r="B412" s="7"/>
      <c r="C412" s="26"/>
      <c r="D412" s="27"/>
      <c r="E412" s="8">
        <f>IF(B412="","",IFERROR(INDEX(Ingredients!$B$5:$B$304,MATCH(B412,Ingredients!$A$5:$A$304,0)),""))</f>
        <v>0</v>
      </c>
      <c r="F412" s="8">
        <f>IF(B412="","",IFERROR(INDEX(Ingredients!$E$5:$E$304,MATCH(B412,Ingredients!$A$5:$A$304,0)),""))</f>
        <v>0</v>
      </c>
      <c r="G412" s="8">
        <f>IF(B412="","",IFERROR(INDEX(Ingredients!$D$5:$D$304,MATCH(B412,Ingredients!$A$5:$A$304,0)),""))</f>
        <v>0</v>
      </c>
      <c r="H412" s="8">
        <f>IF(OR(B412="",C412=""),"",IFERROR(C412*G412,""))</f>
        <v>0</v>
      </c>
      <c r="I412" s="8">
        <f>IF(A412="","",IFERROR(INDEX(Recipes!$D$5:$D$204,MATCH(A412,Recipes!$A$5:$A$204,0)),""))</f>
        <v>0</v>
      </c>
      <c r="J412" s="8">
        <f>IF(OR(H412="",I412="",I412=0),"",IFERROR(H412/I412,""))</f>
        <v>0</v>
      </c>
      <c r="K412" s="8">
        <f>IF(OR(B412="",C412=""),"",IFERROR(C412*IFERROR(INDEX(Ingredients!$H$5:$H$304,MATCH(B412,Ingredients!$A$5:$A$304,0)),""),""))</f>
        <v>0</v>
      </c>
      <c r="L412" s="8">
        <f>IF(OR(B412="",C412=""),"",IFERROR(C412*IFERROR(INDEX(Ingredients!$I$5:$I$304,MATCH(B412,Ingredients!$A$5:$A$304,0)),""),""))</f>
        <v>0</v>
      </c>
      <c r="M412" s="8">
        <f>IF(OR(B412="",C412=""),"",IFERROR(C412*IFERROR(INDEX(Ingredients!$J$5:$J$304,MATCH(B412,Ingredients!$A$5:$A$304,0)),""),""))</f>
        <v>0</v>
      </c>
      <c r="N412" s="8">
        <f>IF(OR(B412="",C412=""),"",IFERROR(C412*IFERROR(INDEX(Ingredients!$K$5:$K$304,MATCH(B412,Ingredients!$A$5:$A$304,0)),""),""))</f>
        <v>0</v>
      </c>
      <c r="O412" s="8">
        <f>IF(OR(B412="",C412=""),"",IFERROR(C412*IFERROR(INDEX(Ingredients!$L$5:$L$304,MATCH(B412,Ingredients!$A$5:$A$304,0)),""),""))</f>
        <v>0</v>
      </c>
      <c r="P412" s="8">
        <f>IF(OR(H412="",A412=""),"",IFERROR(H412/SUMIFS('Recipe Ingredients'!$H$5:$H$1204,'Recipe Ingredients'!$A$5:$A$1204,A412),""))</f>
        <v>0</v>
      </c>
      <c r="Q412" s="8">
        <f>IF(H412="","",COUNTIFS($H$5:$H$1204,"&gt;"&amp;H412)+1)</f>
        <v>0</v>
      </c>
      <c r="R412" s="8">
        <f>IF(B412="","",SUMIFS(Pantry!$C$5:$C$304,Pantry!$A$5:$A$304,B412))</f>
        <v>0</v>
      </c>
      <c r="S412" s="8">
        <f>IF(OR(B412="",C412=""),"",MAX(0,C412-R412))</f>
        <v>0</v>
      </c>
      <c r="T412" s="26"/>
      <c r="U412" s="8">
        <f>IF(OR(T412="",T412=0,G412=""),"",T412*G412)</f>
        <v>0</v>
      </c>
      <c r="V412" s="8">
        <f>IF(OR(S412="",T412="",T412=0),"",CEILING(S412/T412,1))</f>
        <v>0</v>
      </c>
      <c r="W412" s="27"/>
      <c r="X412" s="29"/>
      <c r="Y412" s="8">
        <f>IF(OR(C412="",X412=""),"",C412*(1+X412))</f>
        <v>0</v>
      </c>
      <c r="Z412" s="8">
        <f>IF(B412="","",IFERROR(INDEX(Ingredients!$O$5:$O$304,MATCH(B412,Ingredients!$A$5:$A$304,0)),""))</f>
        <v>0</v>
      </c>
      <c r="AA412" s="8">
        <f>IF(B412="","",IF(R412&gt;=C412,"In pantry","To buy"))</f>
        <v>0</v>
      </c>
      <c r="AB412" s="8">
        <f>IF(A412="","",COUNTIFS($A$5:A412,A412))</f>
        <v>0</v>
      </c>
      <c r="AC412" s="8">
        <f>IF(B412="","",IF(COUNTIFS('Dietary Filters'!$C$5:$C$104,B412)&gt;0,"Check","OK"))</f>
        <v>0</v>
      </c>
      <c r="AD412" s="25"/>
    </row>
    <row r="413" spans="1:30">
      <c r="A413" s="7"/>
      <c r="B413" s="7"/>
      <c r="C413" s="26"/>
      <c r="D413" s="27"/>
      <c r="E413" s="8">
        <f>IF(B413="","",IFERROR(INDEX(Ingredients!$B$5:$B$304,MATCH(B413,Ingredients!$A$5:$A$304,0)),""))</f>
        <v>0</v>
      </c>
      <c r="F413" s="8">
        <f>IF(B413="","",IFERROR(INDEX(Ingredients!$E$5:$E$304,MATCH(B413,Ingredients!$A$5:$A$304,0)),""))</f>
        <v>0</v>
      </c>
      <c r="G413" s="8">
        <f>IF(B413="","",IFERROR(INDEX(Ingredients!$D$5:$D$304,MATCH(B413,Ingredients!$A$5:$A$304,0)),""))</f>
        <v>0</v>
      </c>
      <c r="H413" s="8">
        <f>IF(OR(B413="",C413=""),"",IFERROR(C413*G413,""))</f>
        <v>0</v>
      </c>
      <c r="I413" s="8">
        <f>IF(A413="","",IFERROR(INDEX(Recipes!$D$5:$D$204,MATCH(A413,Recipes!$A$5:$A$204,0)),""))</f>
        <v>0</v>
      </c>
      <c r="J413" s="8">
        <f>IF(OR(H413="",I413="",I413=0),"",IFERROR(H413/I413,""))</f>
        <v>0</v>
      </c>
      <c r="K413" s="8">
        <f>IF(OR(B413="",C413=""),"",IFERROR(C413*IFERROR(INDEX(Ingredients!$H$5:$H$304,MATCH(B413,Ingredients!$A$5:$A$304,0)),""),""))</f>
        <v>0</v>
      </c>
      <c r="L413" s="8">
        <f>IF(OR(B413="",C413=""),"",IFERROR(C413*IFERROR(INDEX(Ingredients!$I$5:$I$304,MATCH(B413,Ingredients!$A$5:$A$304,0)),""),""))</f>
        <v>0</v>
      </c>
      <c r="M413" s="8">
        <f>IF(OR(B413="",C413=""),"",IFERROR(C413*IFERROR(INDEX(Ingredients!$J$5:$J$304,MATCH(B413,Ingredients!$A$5:$A$304,0)),""),""))</f>
        <v>0</v>
      </c>
      <c r="N413" s="8">
        <f>IF(OR(B413="",C413=""),"",IFERROR(C413*IFERROR(INDEX(Ingredients!$K$5:$K$304,MATCH(B413,Ingredients!$A$5:$A$304,0)),""),""))</f>
        <v>0</v>
      </c>
      <c r="O413" s="8">
        <f>IF(OR(B413="",C413=""),"",IFERROR(C413*IFERROR(INDEX(Ingredients!$L$5:$L$304,MATCH(B413,Ingredients!$A$5:$A$304,0)),""),""))</f>
        <v>0</v>
      </c>
      <c r="P413" s="8">
        <f>IF(OR(H413="",A413=""),"",IFERROR(H413/SUMIFS('Recipe Ingredients'!$H$5:$H$1204,'Recipe Ingredients'!$A$5:$A$1204,A413),""))</f>
        <v>0</v>
      </c>
      <c r="Q413" s="8">
        <f>IF(H413="","",COUNTIFS($H$5:$H$1204,"&gt;"&amp;H413)+1)</f>
        <v>0</v>
      </c>
      <c r="R413" s="8">
        <f>IF(B413="","",SUMIFS(Pantry!$C$5:$C$304,Pantry!$A$5:$A$304,B413))</f>
        <v>0</v>
      </c>
      <c r="S413" s="8">
        <f>IF(OR(B413="",C413=""),"",MAX(0,C413-R413))</f>
        <v>0</v>
      </c>
      <c r="T413" s="26"/>
      <c r="U413" s="8">
        <f>IF(OR(T413="",T413=0,G413=""),"",T413*G413)</f>
        <v>0</v>
      </c>
      <c r="V413" s="8">
        <f>IF(OR(S413="",T413="",T413=0),"",CEILING(S413/T413,1))</f>
        <v>0</v>
      </c>
      <c r="W413" s="27"/>
      <c r="X413" s="29"/>
      <c r="Y413" s="8">
        <f>IF(OR(C413="",X413=""),"",C413*(1+X413))</f>
        <v>0</v>
      </c>
      <c r="Z413" s="8">
        <f>IF(B413="","",IFERROR(INDEX(Ingredients!$O$5:$O$304,MATCH(B413,Ingredients!$A$5:$A$304,0)),""))</f>
        <v>0</v>
      </c>
      <c r="AA413" s="8">
        <f>IF(B413="","",IF(R413&gt;=C413,"In pantry","To buy"))</f>
        <v>0</v>
      </c>
      <c r="AB413" s="8">
        <f>IF(A413="","",COUNTIFS($A$5:A413,A413))</f>
        <v>0</v>
      </c>
      <c r="AC413" s="8">
        <f>IF(B413="","",IF(COUNTIFS('Dietary Filters'!$C$5:$C$104,B413)&gt;0,"Check","OK"))</f>
        <v>0</v>
      </c>
      <c r="AD413" s="25"/>
    </row>
    <row r="414" spans="1:30">
      <c r="A414" s="7"/>
      <c r="B414" s="7"/>
      <c r="C414" s="26"/>
      <c r="D414" s="27"/>
      <c r="E414" s="8">
        <f>IF(B414="","",IFERROR(INDEX(Ingredients!$B$5:$B$304,MATCH(B414,Ingredients!$A$5:$A$304,0)),""))</f>
        <v>0</v>
      </c>
      <c r="F414" s="8">
        <f>IF(B414="","",IFERROR(INDEX(Ingredients!$E$5:$E$304,MATCH(B414,Ingredients!$A$5:$A$304,0)),""))</f>
        <v>0</v>
      </c>
      <c r="G414" s="8">
        <f>IF(B414="","",IFERROR(INDEX(Ingredients!$D$5:$D$304,MATCH(B414,Ingredients!$A$5:$A$304,0)),""))</f>
        <v>0</v>
      </c>
      <c r="H414" s="8">
        <f>IF(OR(B414="",C414=""),"",IFERROR(C414*G414,""))</f>
        <v>0</v>
      </c>
      <c r="I414" s="8">
        <f>IF(A414="","",IFERROR(INDEX(Recipes!$D$5:$D$204,MATCH(A414,Recipes!$A$5:$A$204,0)),""))</f>
        <v>0</v>
      </c>
      <c r="J414" s="8">
        <f>IF(OR(H414="",I414="",I414=0),"",IFERROR(H414/I414,""))</f>
        <v>0</v>
      </c>
      <c r="K414" s="8">
        <f>IF(OR(B414="",C414=""),"",IFERROR(C414*IFERROR(INDEX(Ingredients!$H$5:$H$304,MATCH(B414,Ingredients!$A$5:$A$304,0)),""),""))</f>
        <v>0</v>
      </c>
      <c r="L414" s="8">
        <f>IF(OR(B414="",C414=""),"",IFERROR(C414*IFERROR(INDEX(Ingredients!$I$5:$I$304,MATCH(B414,Ingredients!$A$5:$A$304,0)),""),""))</f>
        <v>0</v>
      </c>
      <c r="M414" s="8">
        <f>IF(OR(B414="",C414=""),"",IFERROR(C414*IFERROR(INDEX(Ingredients!$J$5:$J$304,MATCH(B414,Ingredients!$A$5:$A$304,0)),""),""))</f>
        <v>0</v>
      </c>
      <c r="N414" s="8">
        <f>IF(OR(B414="",C414=""),"",IFERROR(C414*IFERROR(INDEX(Ingredients!$K$5:$K$304,MATCH(B414,Ingredients!$A$5:$A$304,0)),""),""))</f>
        <v>0</v>
      </c>
      <c r="O414" s="8">
        <f>IF(OR(B414="",C414=""),"",IFERROR(C414*IFERROR(INDEX(Ingredients!$L$5:$L$304,MATCH(B414,Ingredients!$A$5:$A$304,0)),""),""))</f>
        <v>0</v>
      </c>
      <c r="P414" s="8">
        <f>IF(OR(H414="",A414=""),"",IFERROR(H414/SUMIFS('Recipe Ingredients'!$H$5:$H$1204,'Recipe Ingredients'!$A$5:$A$1204,A414),""))</f>
        <v>0</v>
      </c>
      <c r="Q414" s="8">
        <f>IF(H414="","",COUNTIFS($H$5:$H$1204,"&gt;"&amp;H414)+1)</f>
        <v>0</v>
      </c>
      <c r="R414" s="8">
        <f>IF(B414="","",SUMIFS(Pantry!$C$5:$C$304,Pantry!$A$5:$A$304,B414))</f>
        <v>0</v>
      </c>
      <c r="S414" s="8">
        <f>IF(OR(B414="",C414=""),"",MAX(0,C414-R414))</f>
        <v>0</v>
      </c>
      <c r="T414" s="26"/>
      <c r="U414" s="8">
        <f>IF(OR(T414="",T414=0,G414=""),"",T414*G414)</f>
        <v>0</v>
      </c>
      <c r="V414" s="8">
        <f>IF(OR(S414="",T414="",T414=0),"",CEILING(S414/T414,1))</f>
        <v>0</v>
      </c>
      <c r="W414" s="27"/>
      <c r="X414" s="29"/>
      <c r="Y414" s="8">
        <f>IF(OR(C414="",X414=""),"",C414*(1+X414))</f>
        <v>0</v>
      </c>
      <c r="Z414" s="8">
        <f>IF(B414="","",IFERROR(INDEX(Ingredients!$O$5:$O$304,MATCH(B414,Ingredients!$A$5:$A$304,0)),""))</f>
        <v>0</v>
      </c>
      <c r="AA414" s="8">
        <f>IF(B414="","",IF(R414&gt;=C414,"In pantry","To buy"))</f>
        <v>0</v>
      </c>
      <c r="AB414" s="8">
        <f>IF(A414="","",COUNTIFS($A$5:A414,A414))</f>
        <v>0</v>
      </c>
      <c r="AC414" s="8">
        <f>IF(B414="","",IF(COUNTIFS('Dietary Filters'!$C$5:$C$104,B414)&gt;0,"Check","OK"))</f>
        <v>0</v>
      </c>
      <c r="AD414" s="25"/>
    </row>
    <row r="415" spans="1:30">
      <c r="A415" s="7"/>
      <c r="B415" s="7"/>
      <c r="C415" s="26"/>
      <c r="D415" s="27"/>
      <c r="E415" s="8">
        <f>IF(B415="","",IFERROR(INDEX(Ingredients!$B$5:$B$304,MATCH(B415,Ingredients!$A$5:$A$304,0)),""))</f>
        <v>0</v>
      </c>
      <c r="F415" s="8">
        <f>IF(B415="","",IFERROR(INDEX(Ingredients!$E$5:$E$304,MATCH(B415,Ingredients!$A$5:$A$304,0)),""))</f>
        <v>0</v>
      </c>
      <c r="G415" s="8">
        <f>IF(B415="","",IFERROR(INDEX(Ingredients!$D$5:$D$304,MATCH(B415,Ingredients!$A$5:$A$304,0)),""))</f>
        <v>0</v>
      </c>
      <c r="H415" s="8">
        <f>IF(OR(B415="",C415=""),"",IFERROR(C415*G415,""))</f>
        <v>0</v>
      </c>
      <c r="I415" s="8">
        <f>IF(A415="","",IFERROR(INDEX(Recipes!$D$5:$D$204,MATCH(A415,Recipes!$A$5:$A$204,0)),""))</f>
        <v>0</v>
      </c>
      <c r="J415" s="8">
        <f>IF(OR(H415="",I415="",I415=0),"",IFERROR(H415/I415,""))</f>
        <v>0</v>
      </c>
      <c r="K415" s="8">
        <f>IF(OR(B415="",C415=""),"",IFERROR(C415*IFERROR(INDEX(Ingredients!$H$5:$H$304,MATCH(B415,Ingredients!$A$5:$A$304,0)),""),""))</f>
        <v>0</v>
      </c>
      <c r="L415" s="8">
        <f>IF(OR(B415="",C415=""),"",IFERROR(C415*IFERROR(INDEX(Ingredients!$I$5:$I$304,MATCH(B415,Ingredients!$A$5:$A$304,0)),""),""))</f>
        <v>0</v>
      </c>
      <c r="M415" s="8">
        <f>IF(OR(B415="",C415=""),"",IFERROR(C415*IFERROR(INDEX(Ingredients!$J$5:$J$304,MATCH(B415,Ingredients!$A$5:$A$304,0)),""),""))</f>
        <v>0</v>
      </c>
      <c r="N415" s="8">
        <f>IF(OR(B415="",C415=""),"",IFERROR(C415*IFERROR(INDEX(Ingredients!$K$5:$K$304,MATCH(B415,Ingredients!$A$5:$A$304,0)),""),""))</f>
        <v>0</v>
      </c>
      <c r="O415" s="8">
        <f>IF(OR(B415="",C415=""),"",IFERROR(C415*IFERROR(INDEX(Ingredients!$L$5:$L$304,MATCH(B415,Ingredients!$A$5:$A$304,0)),""),""))</f>
        <v>0</v>
      </c>
      <c r="P415" s="8">
        <f>IF(OR(H415="",A415=""),"",IFERROR(H415/SUMIFS('Recipe Ingredients'!$H$5:$H$1204,'Recipe Ingredients'!$A$5:$A$1204,A415),""))</f>
        <v>0</v>
      </c>
      <c r="Q415" s="8">
        <f>IF(H415="","",COUNTIFS($H$5:$H$1204,"&gt;"&amp;H415)+1)</f>
        <v>0</v>
      </c>
      <c r="R415" s="8">
        <f>IF(B415="","",SUMIFS(Pantry!$C$5:$C$304,Pantry!$A$5:$A$304,B415))</f>
        <v>0</v>
      </c>
      <c r="S415" s="8">
        <f>IF(OR(B415="",C415=""),"",MAX(0,C415-R415))</f>
        <v>0</v>
      </c>
      <c r="T415" s="26"/>
      <c r="U415" s="8">
        <f>IF(OR(T415="",T415=0,G415=""),"",T415*G415)</f>
        <v>0</v>
      </c>
      <c r="V415" s="8">
        <f>IF(OR(S415="",T415="",T415=0),"",CEILING(S415/T415,1))</f>
        <v>0</v>
      </c>
      <c r="W415" s="27"/>
      <c r="X415" s="29"/>
      <c r="Y415" s="8">
        <f>IF(OR(C415="",X415=""),"",C415*(1+X415))</f>
        <v>0</v>
      </c>
      <c r="Z415" s="8">
        <f>IF(B415="","",IFERROR(INDEX(Ingredients!$O$5:$O$304,MATCH(B415,Ingredients!$A$5:$A$304,0)),""))</f>
        <v>0</v>
      </c>
      <c r="AA415" s="8">
        <f>IF(B415="","",IF(R415&gt;=C415,"In pantry","To buy"))</f>
        <v>0</v>
      </c>
      <c r="AB415" s="8">
        <f>IF(A415="","",COUNTIFS($A$5:A415,A415))</f>
        <v>0</v>
      </c>
      <c r="AC415" s="8">
        <f>IF(B415="","",IF(COUNTIFS('Dietary Filters'!$C$5:$C$104,B415)&gt;0,"Check","OK"))</f>
        <v>0</v>
      </c>
      <c r="AD415" s="25"/>
    </row>
    <row r="416" spans="1:30">
      <c r="A416" s="7"/>
      <c r="B416" s="7"/>
      <c r="C416" s="26"/>
      <c r="D416" s="27"/>
      <c r="E416" s="8">
        <f>IF(B416="","",IFERROR(INDEX(Ingredients!$B$5:$B$304,MATCH(B416,Ingredients!$A$5:$A$304,0)),""))</f>
        <v>0</v>
      </c>
      <c r="F416" s="8">
        <f>IF(B416="","",IFERROR(INDEX(Ingredients!$E$5:$E$304,MATCH(B416,Ingredients!$A$5:$A$304,0)),""))</f>
        <v>0</v>
      </c>
      <c r="G416" s="8">
        <f>IF(B416="","",IFERROR(INDEX(Ingredients!$D$5:$D$304,MATCH(B416,Ingredients!$A$5:$A$304,0)),""))</f>
        <v>0</v>
      </c>
      <c r="H416" s="8">
        <f>IF(OR(B416="",C416=""),"",IFERROR(C416*G416,""))</f>
        <v>0</v>
      </c>
      <c r="I416" s="8">
        <f>IF(A416="","",IFERROR(INDEX(Recipes!$D$5:$D$204,MATCH(A416,Recipes!$A$5:$A$204,0)),""))</f>
        <v>0</v>
      </c>
      <c r="J416" s="8">
        <f>IF(OR(H416="",I416="",I416=0),"",IFERROR(H416/I416,""))</f>
        <v>0</v>
      </c>
      <c r="K416" s="8">
        <f>IF(OR(B416="",C416=""),"",IFERROR(C416*IFERROR(INDEX(Ingredients!$H$5:$H$304,MATCH(B416,Ingredients!$A$5:$A$304,0)),""),""))</f>
        <v>0</v>
      </c>
      <c r="L416" s="8">
        <f>IF(OR(B416="",C416=""),"",IFERROR(C416*IFERROR(INDEX(Ingredients!$I$5:$I$304,MATCH(B416,Ingredients!$A$5:$A$304,0)),""),""))</f>
        <v>0</v>
      </c>
      <c r="M416" s="8">
        <f>IF(OR(B416="",C416=""),"",IFERROR(C416*IFERROR(INDEX(Ingredients!$J$5:$J$304,MATCH(B416,Ingredients!$A$5:$A$304,0)),""),""))</f>
        <v>0</v>
      </c>
      <c r="N416" s="8">
        <f>IF(OR(B416="",C416=""),"",IFERROR(C416*IFERROR(INDEX(Ingredients!$K$5:$K$304,MATCH(B416,Ingredients!$A$5:$A$304,0)),""),""))</f>
        <v>0</v>
      </c>
      <c r="O416" s="8">
        <f>IF(OR(B416="",C416=""),"",IFERROR(C416*IFERROR(INDEX(Ingredients!$L$5:$L$304,MATCH(B416,Ingredients!$A$5:$A$304,0)),""),""))</f>
        <v>0</v>
      </c>
      <c r="P416" s="8">
        <f>IF(OR(H416="",A416=""),"",IFERROR(H416/SUMIFS('Recipe Ingredients'!$H$5:$H$1204,'Recipe Ingredients'!$A$5:$A$1204,A416),""))</f>
        <v>0</v>
      </c>
      <c r="Q416" s="8">
        <f>IF(H416="","",COUNTIFS($H$5:$H$1204,"&gt;"&amp;H416)+1)</f>
        <v>0</v>
      </c>
      <c r="R416" s="8">
        <f>IF(B416="","",SUMIFS(Pantry!$C$5:$C$304,Pantry!$A$5:$A$304,B416))</f>
        <v>0</v>
      </c>
      <c r="S416" s="8">
        <f>IF(OR(B416="",C416=""),"",MAX(0,C416-R416))</f>
        <v>0</v>
      </c>
      <c r="T416" s="26"/>
      <c r="U416" s="8">
        <f>IF(OR(T416="",T416=0,G416=""),"",T416*G416)</f>
        <v>0</v>
      </c>
      <c r="V416" s="8">
        <f>IF(OR(S416="",T416="",T416=0),"",CEILING(S416/T416,1))</f>
        <v>0</v>
      </c>
      <c r="W416" s="27"/>
      <c r="X416" s="29"/>
      <c r="Y416" s="8">
        <f>IF(OR(C416="",X416=""),"",C416*(1+X416))</f>
        <v>0</v>
      </c>
      <c r="Z416" s="8">
        <f>IF(B416="","",IFERROR(INDEX(Ingredients!$O$5:$O$304,MATCH(B416,Ingredients!$A$5:$A$304,0)),""))</f>
        <v>0</v>
      </c>
      <c r="AA416" s="8">
        <f>IF(B416="","",IF(R416&gt;=C416,"In pantry","To buy"))</f>
        <v>0</v>
      </c>
      <c r="AB416" s="8">
        <f>IF(A416="","",COUNTIFS($A$5:A416,A416))</f>
        <v>0</v>
      </c>
      <c r="AC416" s="8">
        <f>IF(B416="","",IF(COUNTIFS('Dietary Filters'!$C$5:$C$104,B416)&gt;0,"Check","OK"))</f>
        <v>0</v>
      </c>
      <c r="AD416" s="25"/>
    </row>
    <row r="417" spans="1:30">
      <c r="A417" s="7"/>
      <c r="B417" s="7"/>
      <c r="C417" s="26"/>
      <c r="D417" s="27"/>
      <c r="E417" s="8">
        <f>IF(B417="","",IFERROR(INDEX(Ingredients!$B$5:$B$304,MATCH(B417,Ingredients!$A$5:$A$304,0)),""))</f>
        <v>0</v>
      </c>
      <c r="F417" s="8">
        <f>IF(B417="","",IFERROR(INDEX(Ingredients!$E$5:$E$304,MATCH(B417,Ingredients!$A$5:$A$304,0)),""))</f>
        <v>0</v>
      </c>
      <c r="G417" s="8">
        <f>IF(B417="","",IFERROR(INDEX(Ingredients!$D$5:$D$304,MATCH(B417,Ingredients!$A$5:$A$304,0)),""))</f>
        <v>0</v>
      </c>
      <c r="H417" s="8">
        <f>IF(OR(B417="",C417=""),"",IFERROR(C417*G417,""))</f>
        <v>0</v>
      </c>
      <c r="I417" s="8">
        <f>IF(A417="","",IFERROR(INDEX(Recipes!$D$5:$D$204,MATCH(A417,Recipes!$A$5:$A$204,0)),""))</f>
        <v>0</v>
      </c>
      <c r="J417" s="8">
        <f>IF(OR(H417="",I417="",I417=0),"",IFERROR(H417/I417,""))</f>
        <v>0</v>
      </c>
      <c r="K417" s="8">
        <f>IF(OR(B417="",C417=""),"",IFERROR(C417*IFERROR(INDEX(Ingredients!$H$5:$H$304,MATCH(B417,Ingredients!$A$5:$A$304,0)),""),""))</f>
        <v>0</v>
      </c>
      <c r="L417" s="8">
        <f>IF(OR(B417="",C417=""),"",IFERROR(C417*IFERROR(INDEX(Ingredients!$I$5:$I$304,MATCH(B417,Ingredients!$A$5:$A$304,0)),""),""))</f>
        <v>0</v>
      </c>
      <c r="M417" s="8">
        <f>IF(OR(B417="",C417=""),"",IFERROR(C417*IFERROR(INDEX(Ingredients!$J$5:$J$304,MATCH(B417,Ingredients!$A$5:$A$304,0)),""),""))</f>
        <v>0</v>
      </c>
      <c r="N417" s="8">
        <f>IF(OR(B417="",C417=""),"",IFERROR(C417*IFERROR(INDEX(Ingredients!$K$5:$K$304,MATCH(B417,Ingredients!$A$5:$A$304,0)),""),""))</f>
        <v>0</v>
      </c>
      <c r="O417" s="8">
        <f>IF(OR(B417="",C417=""),"",IFERROR(C417*IFERROR(INDEX(Ingredients!$L$5:$L$304,MATCH(B417,Ingredients!$A$5:$A$304,0)),""),""))</f>
        <v>0</v>
      </c>
      <c r="P417" s="8">
        <f>IF(OR(H417="",A417=""),"",IFERROR(H417/SUMIFS('Recipe Ingredients'!$H$5:$H$1204,'Recipe Ingredients'!$A$5:$A$1204,A417),""))</f>
        <v>0</v>
      </c>
      <c r="Q417" s="8">
        <f>IF(H417="","",COUNTIFS($H$5:$H$1204,"&gt;"&amp;H417)+1)</f>
        <v>0</v>
      </c>
      <c r="R417" s="8">
        <f>IF(B417="","",SUMIFS(Pantry!$C$5:$C$304,Pantry!$A$5:$A$304,B417))</f>
        <v>0</v>
      </c>
      <c r="S417" s="8">
        <f>IF(OR(B417="",C417=""),"",MAX(0,C417-R417))</f>
        <v>0</v>
      </c>
      <c r="T417" s="26"/>
      <c r="U417" s="8">
        <f>IF(OR(T417="",T417=0,G417=""),"",T417*G417)</f>
        <v>0</v>
      </c>
      <c r="V417" s="8">
        <f>IF(OR(S417="",T417="",T417=0),"",CEILING(S417/T417,1))</f>
        <v>0</v>
      </c>
      <c r="W417" s="27"/>
      <c r="X417" s="29"/>
      <c r="Y417" s="8">
        <f>IF(OR(C417="",X417=""),"",C417*(1+X417))</f>
        <v>0</v>
      </c>
      <c r="Z417" s="8">
        <f>IF(B417="","",IFERROR(INDEX(Ingredients!$O$5:$O$304,MATCH(B417,Ingredients!$A$5:$A$304,0)),""))</f>
        <v>0</v>
      </c>
      <c r="AA417" s="8">
        <f>IF(B417="","",IF(R417&gt;=C417,"In pantry","To buy"))</f>
        <v>0</v>
      </c>
      <c r="AB417" s="8">
        <f>IF(A417="","",COUNTIFS($A$5:A417,A417))</f>
        <v>0</v>
      </c>
      <c r="AC417" s="8">
        <f>IF(B417="","",IF(COUNTIFS('Dietary Filters'!$C$5:$C$104,B417)&gt;0,"Check","OK"))</f>
        <v>0</v>
      </c>
      <c r="AD417" s="25"/>
    </row>
    <row r="418" spans="1:30">
      <c r="A418" s="7"/>
      <c r="B418" s="7"/>
      <c r="C418" s="26"/>
      <c r="D418" s="27"/>
      <c r="E418" s="8">
        <f>IF(B418="","",IFERROR(INDEX(Ingredients!$B$5:$B$304,MATCH(B418,Ingredients!$A$5:$A$304,0)),""))</f>
        <v>0</v>
      </c>
      <c r="F418" s="8">
        <f>IF(B418="","",IFERROR(INDEX(Ingredients!$E$5:$E$304,MATCH(B418,Ingredients!$A$5:$A$304,0)),""))</f>
        <v>0</v>
      </c>
      <c r="G418" s="8">
        <f>IF(B418="","",IFERROR(INDEX(Ingredients!$D$5:$D$304,MATCH(B418,Ingredients!$A$5:$A$304,0)),""))</f>
        <v>0</v>
      </c>
      <c r="H418" s="8">
        <f>IF(OR(B418="",C418=""),"",IFERROR(C418*G418,""))</f>
        <v>0</v>
      </c>
      <c r="I418" s="8">
        <f>IF(A418="","",IFERROR(INDEX(Recipes!$D$5:$D$204,MATCH(A418,Recipes!$A$5:$A$204,0)),""))</f>
        <v>0</v>
      </c>
      <c r="J418" s="8">
        <f>IF(OR(H418="",I418="",I418=0),"",IFERROR(H418/I418,""))</f>
        <v>0</v>
      </c>
      <c r="K418" s="8">
        <f>IF(OR(B418="",C418=""),"",IFERROR(C418*IFERROR(INDEX(Ingredients!$H$5:$H$304,MATCH(B418,Ingredients!$A$5:$A$304,0)),""),""))</f>
        <v>0</v>
      </c>
      <c r="L418" s="8">
        <f>IF(OR(B418="",C418=""),"",IFERROR(C418*IFERROR(INDEX(Ingredients!$I$5:$I$304,MATCH(B418,Ingredients!$A$5:$A$304,0)),""),""))</f>
        <v>0</v>
      </c>
      <c r="M418" s="8">
        <f>IF(OR(B418="",C418=""),"",IFERROR(C418*IFERROR(INDEX(Ingredients!$J$5:$J$304,MATCH(B418,Ingredients!$A$5:$A$304,0)),""),""))</f>
        <v>0</v>
      </c>
      <c r="N418" s="8">
        <f>IF(OR(B418="",C418=""),"",IFERROR(C418*IFERROR(INDEX(Ingredients!$K$5:$K$304,MATCH(B418,Ingredients!$A$5:$A$304,0)),""),""))</f>
        <v>0</v>
      </c>
      <c r="O418" s="8">
        <f>IF(OR(B418="",C418=""),"",IFERROR(C418*IFERROR(INDEX(Ingredients!$L$5:$L$304,MATCH(B418,Ingredients!$A$5:$A$304,0)),""),""))</f>
        <v>0</v>
      </c>
      <c r="P418" s="8">
        <f>IF(OR(H418="",A418=""),"",IFERROR(H418/SUMIFS('Recipe Ingredients'!$H$5:$H$1204,'Recipe Ingredients'!$A$5:$A$1204,A418),""))</f>
        <v>0</v>
      </c>
      <c r="Q418" s="8">
        <f>IF(H418="","",COUNTIFS($H$5:$H$1204,"&gt;"&amp;H418)+1)</f>
        <v>0</v>
      </c>
      <c r="R418" s="8">
        <f>IF(B418="","",SUMIFS(Pantry!$C$5:$C$304,Pantry!$A$5:$A$304,B418))</f>
        <v>0</v>
      </c>
      <c r="S418" s="8">
        <f>IF(OR(B418="",C418=""),"",MAX(0,C418-R418))</f>
        <v>0</v>
      </c>
      <c r="T418" s="26"/>
      <c r="U418" s="8">
        <f>IF(OR(T418="",T418=0,G418=""),"",T418*G418)</f>
        <v>0</v>
      </c>
      <c r="V418" s="8">
        <f>IF(OR(S418="",T418="",T418=0),"",CEILING(S418/T418,1))</f>
        <v>0</v>
      </c>
      <c r="W418" s="27"/>
      <c r="X418" s="29"/>
      <c r="Y418" s="8">
        <f>IF(OR(C418="",X418=""),"",C418*(1+X418))</f>
        <v>0</v>
      </c>
      <c r="Z418" s="8">
        <f>IF(B418="","",IFERROR(INDEX(Ingredients!$O$5:$O$304,MATCH(B418,Ingredients!$A$5:$A$304,0)),""))</f>
        <v>0</v>
      </c>
      <c r="AA418" s="8">
        <f>IF(B418="","",IF(R418&gt;=C418,"In pantry","To buy"))</f>
        <v>0</v>
      </c>
      <c r="AB418" s="8">
        <f>IF(A418="","",COUNTIFS($A$5:A418,A418))</f>
        <v>0</v>
      </c>
      <c r="AC418" s="8">
        <f>IF(B418="","",IF(COUNTIFS('Dietary Filters'!$C$5:$C$104,B418)&gt;0,"Check","OK"))</f>
        <v>0</v>
      </c>
      <c r="AD418" s="25"/>
    </row>
    <row r="419" spans="1:30">
      <c r="A419" s="7"/>
      <c r="B419" s="7"/>
      <c r="C419" s="26"/>
      <c r="D419" s="27"/>
      <c r="E419" s="8">
        <f>IF(B419="","",IFERROR(INDEX(Ingredients!$B$5:$B$304,MATCH(B419,Ingredients!$A$5:$A$304,0)),""))</f>
        <v>0</v>
      </c>
      <c r="F419" s="8">
        <f>IF(B419="","",IFERROR(INDEX(Ingredients!$E$5:$E$304,MATCH(B419,Ingredients!$A$5:$A$304,0)),""))</f>
        <v>0</v>
      </c>
      <c r="G419" s="8">
        <f>IF(B419="","",IFERROR(INDEX(Ingredients!$D$5:$D$304,MATCH(B419,Ingredients!$A$5:$A$304,0)),""))</f>
        <v>0</v>
      </c>
      <c r="H419" s="8">
        <f>IF(OR(B419="",C419=""),"",IFERROR(C419*G419,""))</f>
        <v>0</v>
      </c>
      <c r="I419" s="8">
        <f>IF(A419="","",IFERROR(INDEX(Recipes!$D$5:$D$204,MATCH(A419,Recipes!$A$5:$A$204,0)),""))</f>
        <v>0</v>
      </c>
      <c r="J419" s="8">
        <f>IF(OR(H419="",I419="",I419=0),"",IFERROR(H419/I419,""))</f>
        <v>0</v>
      </c>
      <c r="K419" s="8">
        <f>IF(OR(B419="",C419=""),"",IFERROR(C419*IFERROR(INDEX(Ingredients!$H$5:$H$304,MATCH(B419,Ingredients!$A$5:$A$304,0)),""),""))</f>
        <v>0</v>
      </c>
      <c r="L419" s="8">
        <f>IF(OR(B419="",C419=""),"",IFERROR(C419*IFERROR(INDEX(Ingredients!$I$5:$I$304,MATCH(B419,Ingredients!$A$5:$A$304,0)),""),""))</f>
        <v>0</v>
      </c>
      <c r="M419" s="8">
        <f>IF(OR(B419="",C419=""),"",IFERROR(C419*IFERROR(INDEX(Ingredients!$J$5:$J$304,MATCH(B419,Ingredients!$A$5:$A$304,0)),""),""))</f>
        <v>0</v>
      </c>
      <c r="N419" s="8">
        <f>IF(OR(B419="",C419=""),"",IFERROR(C419*IFERROR(INDEX(Ingredients!$K$5:$K$304,MATCH(B419,Ingredients!$A$5:$A$304,0)),""),""))</f>
        <v>0</v>
      </c>
      <c r="O419" s="8">
        <f>IF(OR(B419="",C419=""),"",IFERROR(C419*IFERROR(INDEX(Ingredients!$L$5:$L$304,MATCH(B419,Ingredients!$A$5:$A$304,0)),""),""))</f>
        <v>0</v>
      </c>
      <c r="P419" s="8">
        <f>IF(OR(H419="",A419=""),"",IFERROR(H419/SUMIFS('Recipe Ingredients'!$H$5:$H$1204,'Recipe Ingredients'!$A$5:$A$1204,A419),""))</f>
        <v>0</v>
      </c>
      <c r="Q419" s="8">
        <f>IF(H419="","",COUNTIFS($H$5:$H$1204,"&gt;"&amp;H419)+1)</f>
        <v>0</v>
      </c>
      <c r="R419" s="8">
        <f>IF(B419="","",SUMIFS(Pantry!$C$5:$C$304,Pantry!$A$5:$A$304,B419))</f>
        <v>0</v>
      </c>
      <c r="S419" s="8">
        <f>IF(OR(B419="",C419=""),"",MAX(0,C419-R419))</f>
        <v>0</v>
      </c>
      <c r="T419" s="26"/>
      <c r="U419" s="8">
        <f>IF(OR(T419="",T419=0,G419=""),"",T419*G419)</f>
        <v>0</v>
      </c>
      <c r="V419" s="8">
        <f>IF(OR(S419="",T419="",T419=0),"",CEILING(S419/T419,1))</f>
        <v>0</v>
      </c>
      <c r="W419" s="27"/>
      <c r="X419" s="29"/>
      <c r="Y419" s="8">
        <f>IF(OR(C419="",X419=""),"",C419*(1+X419))</f>
        <v>0</v>
      </c>
      <c r="Z419" s="8">
        <f>IF(B419="","",IFERROR(INDEX(Ingredients!$O$5:$O$304,MATCH(B419,Ingredients!$A$5:$A$304,0)),""))</f>
        <v>0</v>
      </c>
      <c r="AA419" s="8">
        <f>IF(B419="","",IF(R419&gt;=C419,"In pantry","To buy"))</f>
        <v>0</v>
      </c>
      <c r="AB419" s="8">
        <f>IF(A419="","",COUNTIFS($A$5:A419,A419))</f>
        <v>0</v>
      </c>
      <c r="AC419" s="8">
        <f>IF(B419="","",IF(COUNTIFS('Dietary Filters'!$C$5:$C$104,B419)&gt;0,"Check","OK"))</f>
        <v>0</v>
      </c>
      <c r="AD419" s="25"/>
    </row>
    <row r="420" spans="1:30">
      <c r="A420" s="7"/>
      <c r="B420" s="7"/>
      <c r="C420" s="26"/>
      <c r="D420" s="27"/>
      <c r="E420" s="8">
        <f>IF(B420="","",IFERROR(INDEX(Ingredients!$B$5:$B$304,MATCH(B420,Ingredients!$A$5:$A$304,0)),""))</f>
        <v>0</v>
      </c>
      <c r="F420" s="8">
        <f>IF(B420="","",IFERROR(INDEX(Ingredients!$E$5:$E$304,MATCH(B420,Ingredients!$A$5:$A$304,0)),""))</f>
        <v>0</v>
      </c>
      <c r="G420" s="8">
        <f>IF(B420="","",IFERROR(INDEX(Ingredients!$D$5:$D$304,MATCH(B420,Ingredients!$A$5:$A$304,0)),""))</f>
        <v>0</v>
      </c>
      <c r="H420" s="8">
        <f>IF(OR(B420="",C420=""),"",IFERROR(C420*G420,""))</f>
        <v>0</v>
      </c>
      <c r="I420" s="8">
        <f>IF(A420="","",IFERROR(INDEX(Recipes!$D$5:$D$204,MATCH(A420,Recipes!$A$5:$A$204,0)),""))</f>
        <v>0</v>
      </c>
      <c r="J420" s="8">
        <f>IF(OR(H420="",I420="",I420=0),"",IFERROR(H420/I420,""))</f>
        <v>0</v>
      </c>
      <c r="K420" s="8">
        <f>IF(OR(B420="",C420=""),"",IFERROR(C420*IFERROR(INDEX(Ingredients!$H$5:$H$304,MATCH(B420,Ingredients!$A$5:$A$304,0)),""),""))</f>
        <v>0</v>
      </c>
      <c r="L420" s="8">
        <f>IF(OR(B420="",C420=""),"",IFERROR(C420*IFERROR(INDEX(Ingredients!$I$5:$I$304,MATCH(B420,Ingredients!$A$5:$A$304,0)),""),""))</f>
        <v>0</v>
      </c>
      <c r="M420" s="8">
        <f>IF(OR(B420="",C420=""),"",IFERROR(C420*IFERROR(INDEX(Ingredients!$J$5:$J$304,MATCH(B420,Ingredients!$A$5:$A$304,0)),""),""))</f>
        <v>0</v>
      </c>
      <c r="N420" s="8">
        <f>IF(OR(B420="",C420=""),"",IFERROR(C420*IFERROR(INDEX(Ingredients!$K$5:$K$304,MATCH(B420,Ingredients!$A$5:$A$304,0)),""),""))</f>
        <v>0</v>
      </c>
      <c r="O420" s="8">
        <f>IF(OR(B420="",C420=""),"",IFERROR(C420*IFERROR(INDEX(Ingredients!$L$5:$L$304,MATCH(B420,Ingredients!$A$5:$A$304,0)),""),""))</f>
        <v>0</v>
      </c>
      <c r="P420" s="8">
        <f>IF(OR(H420="",A420=""),"",IFERROR(H420/SUMIFS('Recipe Ingredients'!$H$5:$H$1204,'Recipe Ingredients'!$A$5:$A$1204,A420),""))</f>
        <v>0</v>
      </c>
      <c r="Q420" s="8">
        <f>IF(H420="","",COUNTIFS($H$5:$H$1204,"&gt;"&amp;H420)+1)</f>
        <v>0</v>
      </c>
      <c r="R420" s="8">
        <f>IF(B420="","",SUMIFS(Pantry!$C$5:$C$304,Pantry!$A$5:$A$304,B420))</f>
        <v>0</v>
      </c>
      <c r="S420" s="8">
        <f>IF(OR(B420="",C420=""),"",MAX(0,C420-R420))</f>
        <v>0</v>
      </c>
      <c r="T420" s="26"/>
      <c r="U420" s="8">
        <f>IF(OR(T420="",T420=0,G420=""),"",T420*G420)</f>
        <v>0</v>
      </c>
      <c r="V420" s="8">
        <f>IF(OR(S420="",T420="",T420=0),"",CEILING(S420/T420,1))</f>
        <v>0</v>
      </c>
      <c r="W420" s="27"/>
      <c r="X420" s="29"/>
      <c r="Y420" s="8">
        <f>IF(OR(C420="",X420=""),"",C420*(1+X420))</f>
        <v>0</v>
      </c>
      <c r="Z420" s="8">
        <f>IF(B420="","",IFERROR(INDEX(Ingredients!$O$5:$O$304,MATCH(B420,Ingredients!$A$5:$A$304,0)),""))</f>
        <v>0</v>
      </c>
      <c r="AA420" s="8">
        <f>IF(B420="","",IF(R420&gt;=C420,"In pantry","To buy"))</f>
        <v>0</v>
      </c>
      <c r="AB420" s="8">
        <f>IF(A420="","",COUNTIFS($A$5:A420,A420))</f>
        <v>0</v>
      </c>
      <c r="AC420" s="8">
        <f>IF(B420="","",IF(COUNTIFS('Dietary Filters'!$C$5:$C$104,B420)&gt;0,"Check","OK"))</f>
        <v>0</v>
      </c>
      <c r="AD420" s="25"/>
    </row>
    <row r="421" spans="1:30">
      <c r="A421" s="7"/>
      <c r="B421" s="7"/>
      <c r="C421" s="26"/>
      <c r="D421" s="27"/>
      <c r="E421" s="8">
        <f>IF(B421="","",IFERROR(INDEX(Ingredients!$B$5:$B$304,MATCH(B421,Ingredients!$A$5:$A$304,0)),""))</f>
        <v>0</v>
      </c>
      <c r="F421" s="8">
        <f>IF(B421="","",IFERROR(INDEX(Ingredients!$E$5:$E$304,MATCH(B421,Ingredients!$A$5:$A$304,0)),""))</f>
        <v>0</v>
      </c>
      <c r="G421" s="8">
        <f>IF(B421="","",IFERROR(INDEX(Ingredients!$D$5:$D$304,MATCH(B421,Ingredients!$A$5:$A$304,0)),""))</f>
        <v>0</v>
      </c>
      <c r="H421" s="8">
        <f>IF(OR(B421="",C421=""),"",IFERROR(C421*G421,""))</f>
        <v>0</v>
      </c>
      <c r="I421" s="8">
        <f>IF(A421="","",IFERROR(INDEX(Recipes!$D$5:$D$204,MATCH(A421,Recipes!$A$5:$A$204,0)),""))</f>
        <v>0</v>
      </c>
      <c r="J421" s="8">
        <f>IF(OR(H421="",I421="",I421=0),"",IFERROR(H421/I421,""))</f>
        <v>0</v>
      </c>
      <c r="K421" s="8">
        <f>IF(OR(B421="",C421=""),"",IFERROR(C421*IFERROR(INDEX(Ingredients!$H$5:$H$304,MATCH(B421,Ingredients!$A$5:$A$304,0)),""),""))</f>
        <v>0</v>
      </c>
      <c r="L421" s="8">
        <f>IF(OR(B421="",C421=""),"",IFERROR(C421*IFERROR(INDEX(Ingredients!$I$5:$I$304,MATCH(B421,Ingredients!$A$5:$A$304,0)),""),""))</f>
        <v>0</v>
      </c>
      <c r="M421" s="8">
        <f>IF(OR(B421="",C421=""),"",IFERROR(C421*IFERROR(INDEX(Ingredients!$J$5:$J$304,MATCH(B421,Ingredients!$A$5:$A$304,0)),""),""))</f>
        <v>0</v>
      </c>
      <c r="N421" s="8">
        <f>IF(OR(B421="",C421=""),"",IFERROR(C421*IFERROR(INDEX(Ingredients!$K$5:$K$304,MATCH(B421,Ingredients!$A$5:$A$304,0)),""),""))</f>
        <v>0</v>
      </c>
      <c r="O421" s="8">
        <f>IF(OR(B421="",C421=""),"",IFERROR(C421*IFERROR(INDEX(Ingredients!$L$5:$L$304,MATCH(B421,Ingredients!$A$5:$A$304,0)),""),""))</f>
        <v>0</v>
      </c>
      <c r="P421" s="8">
        <f>IF(OR(H421="",A421=""),"",IFERROR(H421/SUMIFS('Recipe Ingredients'!$H$5:$H$1204,'Recipe Ingredients'!$A$5:$A$1204,A421),""))</f>
        <v>0</v>
      </c>
      <c r="Q421" s="8">
        <f>IF(H421="","",COUNTIFS($H$5:$H$1204,"&gt;"&amp;H421)+1)</f>
        <v>0</v>
      </c>
      <c r="R421" s="8">
        <f>IF(B421="","",SUMIFS(Pantry!$C$5:$C$304,Pantry!$A$5:$A$304,B421))</f>
        <v>0</v>
      </c>
      <c r="S421" s="8">
        <f>IF(OR(B421="",C421=""),"",MAX(0,C421-R421))</f>
        <v>0</v>
      </c>
      <c r="T421" s="26"/>
      <c r="U421" s="8">
        <f>IF(OR(T421="",T421=0,G421=""),"",T421*G421)</f>
        <v>0</v>
      </c>
      <c r="V421" s="8">
        <f>IF(OR(S421="",T421="",T421=0),"",CEILING(S421/T421,1))</f>
        <v>0</v>
      </c>
      <c r="W421" s="27"/>
      <c r="X421" s="29"/>
      <c r="Y421" s="8">
        <f>IF(OR(C421="",X421=""),"",C421*(1+X421))</f>
        <v>0</v>
      </c>
      <c r="Z421" s="8">
        <f>IF(B421="","",IFERROR(INDEX(Ingredients!$O$5:$O$304,MATCH(B421,Ingredients!$A$5:$A$304,0)),""))</f>
        <v>0</v>
      </c>
      <c r="AA421" s="8">
        <f>IF(B421="","",IF(R421&gt;=C421,"In pantry","To buy"))</f>
        <v>0</v>
      </c>
      <c r="AB421" s="8">
        <f>IF(A421="","",COUNTIFS($A$5:A421,A421))</f>
        <v>0</v>
      </c>
      <c r="AC421" s="8">
        <f>IF(B421="","",IF(COUNTIFS('Dietary Filters'!$C$5:$C$104,B421)&gt;0,"Check","OK"))</f>
        <v>0</v>
      </c>
      <c r="AD421" s="25"/>
    </row>
    <row r="422" spans="1:30">
      <c r="A422" s="7"/>
      <c r="B422" s="7"/>
      <c r="C422" s="26"/>
      <c r="D422" s="27"/>
      <c r="E422" s="8">
        <f>IF(B422="","",IFERROR(INDEX(Ingredients!$B$5:$B$304,MATCH(B422,Ingredients!$A$5:$A$304,0)),""))</f>
        <v>0</v>
      </c>
      <c r="F422" s="8">
        <f>IF(B422="","",IFERROR(INDEX(Ingredients!$E$5:$E$304,MATCH(B422,Ingredients!$A$5:$A$304,0)),""))</f>
        <v>0</v>
      </c>
      <c r="G422" s="8">
        <f>IF(B422="","",IFERROR(INDEX(Ingredients!$D$5:$D$304,MATCH(B422,Ingredients!$A$5:$A$304,0)),""))</f>
        <v>0</v>
      </c>
      <c r="H422" s="8">
        <f>IF(OR(B422="",C422=""),"",IFERROR(C422*G422,""))</f>
        <v>0</v>
      </c>
      <c r="I422" s="8">
        <f>IF(A422="","",IFERROR(INDEX(Recipes!$D$5:$D$204,MATCH(A422,Recipes!$A$5:$A$204,0)),""))</f>
        <v>0</v>
      </c>
      <c r="J422" s="8">
        <f>IF(OR(H422="",I422="",I422=0),"",IFERROR(H422/I422,""))</f>
        <v>0</v>
      </c>
      <c r="K422" s="8">
        <f>IF(OR(B422="",C422=""),"",IFERROR(C422*IFERROR(INDEX(Ingredients!$H$5:$H$304,MATCH(B422,Ingredients!$A$5:$A$304,0)),""),""))</f>
        <v>0</v>
      </c>
      <c r="L422" s="8">
        <f>IF(OR(B422="",C422=""),"",IFERROR(C422*IFERROR(INDEX(Ingredients!$I$5:$I$304,MATCH(B422,Ingredients!$A$5:$A$304,0)),""),""))</f>
        <v>0</v>
      </c>
      <c r="M422" s="8">
        <f>IF(OR(B422="",C422=""),"",IFERROR(C422*IFERROR(INDEX(Ingredients!$J$5:$J$304,MATCH(B422,Ingredients!$A$5:$A$304,0)),""),""))</f>
        <v>0</v>
      </c>
      <c r="N422" s="8">
        <f>IF(OR(B422="",C422=""),"",IFERROR(C422*IFERROR(INDEX(Ingredients!$K$5:$K$304,MATCH(B422,Ingredients!$A$5:$A$304,0)),""),""))</f>
        <v>0</v>
      </c>
      <c r="O422" s="8">
        <f>IF(OR(B422="",C422=""),"",IFERROR(C422*IFERROR(INDEX(Ingredients!$L$5:$L$304,MATCH(B422,Ingredients!$A$5:$A$304,0)),""),""))</f>
        <v>0</v>
      </c>
      <c r="P422" s="8">
        <f>IF(OR(H422="",A422=""),"",IFERROR(H422/SUMIFS('Recipe Ingredients'!$H$5:$H$1204,'Recipe Ingredients'!$A$5:$A$1204,A422),""))</f>
        <v>0</v>
      </c>
      <c r="Q422" s="8">
        <f>IF(H422="","",COUNTIFS($H$5:$H$1204,"&gt;"&amp;H422)+1)</f>
        <v>0</v>
      </c>
      <c r="R422" s="8">
        <f>IF(B422="","",SUMIFS(Pantry!$C$5:$C$304,Pantry!$A$5:$A$304,B422))</f>
        <v>0</v>
      </c>
      <c r="S422" s="8">
        <f>IF(OR(B422="",C422=""),"",MAX(0,C422-R422))</f>
        <v>0</v>
      </c>
      <c r="T422" s="26"/>
      <c r="U422" s="8">
        <f>IF(OR(T422="",T422=0,G422=""),"",T422*G422)</f>
        <v>0</v>
      </c>
      <c r="V422" s="8">
        <f>IF(OR(S422="",T422="",T422=0),"",CEILING(S422/T422,1))</f>
        <v>0</v>
      </c>
      <c r="W422" s="27"/>
      <c r="X422" s="29"/>
      <c r="Y422" s="8">
        <f>IF(OR(C422="",X422=""),"",C422*(1+X422))</f>
        <v>0</v>
      </c>
      <c r="Z422" s="8">
        <f>IF(B422="","",IFERROR(INDEX(Ingredients!$O$5:$O$304,MATCH(B422,Ingredients!$A$5:$A$304,0)),""))</f>
        <v>0</v>
      </c>
      <c r="AA422" s="8">
        <f>IF(B422="","",IF(R422&gt;=C422,"In pantry","To buy"))</f>
        <v>0</v>
      </c>
      <c r="AB422" s="8">
        <f>IF(A422="","",COUNTIFS($A$5:A422,A422))</f>
        <v>0</v>
      </c>
      <c r="AC422" s="8">
        <f>IF(B422="","",IF(COUNTIFS('Dietary Filters'!$C$5:$C$104,B422)&gt;0,"Check","OK"))</f>
        <v>0</v>
      </c>
      <c r="AD422" s="25"/>
    </row>
    <row r="423" spans="1:30">
      <c r="A423" s="7"/>
      <c r="B423" s="7"/>
      <c r="C423" s="26"/>
      <c r="D423" s="27"/>
      <c r="E423" s="8">
        <f>IF(B423="","",IFERROR(INDEX(Ingredients!$B$5:$B$304,MATCH(B423,Ingredients!$A$5:$A$304,0)),""))</f>
        <v>0</v>
      </c>
      <c r="F423" s="8">
        <f>IF(B423="","",IFERROR(INDEX(Ingredients!$E$5:$E$304,MATCH(B423,Ingredients!$A$5:$A$304,0)),""))</f>
        <v>0</v>
      </c>
      <c r="G423" s="8">
        <f>IF(B423="","",IFERROR(INDEX(Ingredients!$D$5:$D$304,MATCH(B423,Ingredients!$A$5:$A$304,0)),""))</f>
        <v>0</v>
      </c>
      <c r="H423" s="8">
        <f>IF(OR(B423="",C423=""),"",IFERROR(C423*G423,""))</f>
        <v>0</v>
      </c>
      <c r="I423" s="8">
        <f>IF(A423="","",IFERROR(INDEX(Recipes!$D$5:$D$204,MATCH(A423,Recipes!$A$5:$A$204,0)),""))</f>
        <v>0</v>
      </c>
      <c r="J423" s="8">
        <f>IF(OR(H423="",I423="",I423=0),"",IFERROR(H423/I423,""))</f>
        <v>0</v>
      </c>
      <c r="K423" s="8">
        <f>IF(OR(B423="",C423=""),"",IFERROR(C423*IFERROR(INDEX(Ingredients!$H$5:$H$304,MATCH(B423,Ingredients!$A$5:$A$304,0)),""),""))</f>
        <v>0</v>
      </c>
      <c r="L423" s="8">
        <f>IF(OR(B423="",C423=""),"",IFERROR(C423*IFERROR(INDEX(Ingredients!$I$5:$I$304,MATCH(B423,Ingredients!$A$5:$A$304,0)),""),""))</f>
        <v>0</v>
      </c>
      <c r="M423" s="8">
        <f>IF(OR(B423="",C423=""),"",IFERROR(C423*IFERROR(INDEX(Ingredients!$J$5:$J$304,MATCH(B423,Ingredients!$A$5:$A$304,0)),""),""))</f>
        <v>0</v>
      </c>
      <c r="N423" s="8">
        <f>IF(OR(B423="",C423=""),"",IFERROR(C423*IFERROR(INDEX(Ingredients!$K$5:$K$304,MATCH(B423,Ingredients!$A$5:$A$304,0)),""),""))</f>
        <v>0</v>
      </c>
      <c r="O423" s="8">
        <f>IF(OR(B423="",C423=""),"",IFERROR(C423*IFERROR(INDEX(Ingredients!$L$5:$L$304,MATCH(B423,Ingredients!$A$5:$A$304,0)),""),""))</f>
        <v>0</v>
      </c>
      <c r="P423" s="8">
        <f>IF(OR(H423="",A423=""),"",IFERROR(H423/SUMIFS('Recipe Ingredients'!$H$5:$H$1204,'Recipe Ingredients'!$A$5:$A$1204,A423),""))</f>
        <v>0</v>
      </c>
      <c r="Q423" s="8">
        <f>IF(H423="","",COUNTIFS($H$5:$H$1204,"&gt;"&amp;H423)+1)</f>
        <v>0</v>
      </c>
      <c r="R423" s="8">
        <f>IF(B423="","",SUMIFS(Pantry!$C$5:$C$304,Pantry!$A$5:$A$304,B423))</f>
        <v>0</v>
      </c>
      <c r="S423" s="8">
        <f>IF(OR(B423="",C423=""),"",MAX(0,C423-R423))</f>
        <v>0</v>
      </c>
      <c r="T423" s="26"/>
      <c r="U423" s="8">
        <f>IF(OR(T423="",T423=0,G423=""),"",T423*G423)</f>
        <v>0</v>
      </c>
      <c r="V423" s="8">
        <f>IF(OR(S423="",T423="",T423=0),"",CEILING(S423/T423,1))</f>
        <v>0</v>
      </c>
      <c r="W423" s="27"/>
      <c r="X423" s="29"/>
      <c r="Y423" s="8">
        <f>IF(OR(C423="",X423=""),"",C423*(1+X423))</f>
        <v>0</v>
      </c>
      <c r="Z423" s="8">
        <f>IF(B423="","",IFERROR(INDEX(Ingredients!$O$5:$O$304,MATCH(B423,Ingredients!$A$5:$A$304,0)),""))</f>
        <v>0</v>
      </c>
      <c r="AA423" s="8">
        <f>IF(B423="","",IF(R423&gt;=C423,"In pantry","To buy"))</f>
        <v>0</v>
      </c>
      <c r="AB423" s="8">
        <f>IF(A423="","",COUNTIFS($A$5:A423,A423))</f>
        <v>0</v>
      </c>
      <c r="AC423" s="8">
        <f>IF(B423="","",IF(COUNTIFS('Dietary Filters'!$C$5:$C$104,B423)&gt;0,"Check","OK"))</f>
        <v>0</v>
      </c>
      <c r="AD423" s="25"/>
    </row>
    <row r="424" spans="1:30">
      <c r="A424" s="7"/>
      <c r="B424" s="7"/>
      <c r="C424" s="26"/>
      <c r="D424" s="27"/>
      <c r="E424" s="8">
        <f>IF(B424="","",IFERROR(INDEX(Ingredients!$B$5:$B$304,MATCH(B424,Ingredients!$A$5:$A$304,0)),""))</f>
        <v>0</v>
      </c>
      <c r="F424" s="8">
        <f>IF(B424="","",IFERROR(INDEX(Ingredients!$E$5:$E$304,MATCH(B424,Ingredients!$A$5:$A$304,0)),""))</f>
        <v>0</v>
      </c>
      <c r="G424" s="8">
        <f>IF(B424="","",IFERROR(INDEX(Ingredients!$D$5:$D$304,MATCH(B424,Ingredients!$A$5:$A$304,0)),""))</f>
        <v>0</v>
      </c>
      <c r="H424" s="8">
        <f>IF(OR(B424="",C424=""),"",IFERROR(C424*G424,""))</f>
        <v>0</v>
      </c>
      <c r="I424" s="8">
        <f>IF(A424="","",IFERROR(INDEX(Recipes!$D$5:$D$204,MATCH(A424,Recipes!$A$5:$A$204,0)),""))</f>
        <v>0</v>
      </c>
      <c r="J424" s="8">
        <f>IF(OR(H424="",I424="",I424=0),"",IFERROR(H424/I424,""))</f>
        <v>0</v>
      </c>
      <c r="K424" s="8">
        <f>IF(OR(B424="",C424=""),"",IFERROR(C424*IFERROR(INDEX(Ingredients!$H$5:$H$304,MATCH(B424,Ingredients!$A$5:$A$304,0)),""),""))</f>
        <v>0</v>
      </c>
      <c r="L424" s="8">
        <f>IF(OR(B424="",C424=""),"",IFERROR(C424*IFERROR(INDEX(Ingredients!$I$5:$I$304,MATCH(B424,Ingredients!$A$5:$A$304,0)),""),""))</f>
        <v>0</v>
      </c>
      <c r="M424" s="8">
        <f>IF(OR(B424="",C424=""),"",IFERROR(C424*IFERROR(INDEX(Ingredients!$J$5:$J$304,MATCH(B424,Ingredients!$A$5:$A$304,0)),""),""))</f>
        <v>0</v>
      </c>
      <c r="N424" s="8">
        <f>IF(OR(B424="",C424=""),"",IFERROR(C424*IFERROR(INDEX(Ingredients!$K$5:$K$304,MATCH(B424,Ingredients!$A$5:$A$304,0)),""),""))</f>
        <v>0</v>
      </c>
      <c r="O424" s="8">
        <f>IF(OR(B424="",C424=""),"",IFERROR(C424*IFERROR(INDEX(Ingredients!$L$5:$L$304,MATCH(B424,Ingredients!$A$5:$A$304,0)),""),""))</f>
        <v>0</v>
      </c>
      <c r="P424" s="8">
        <f>IF(OR(H424="",A424=""),"",IFERROR(H424/SUMIFS('Recipe Ingredients'!$H$5:$H$1204,'Recipe Ingredients'!$A$5:$A$1204,A424),""))</f>
        <v>0</v>
      </c>
      <c r="Q424" s="8">
        <f>IF(H424="","",COUNTIFS($H$5:$H$1204,"&gt;"&amp;H424)+1)</f>
        <v>0</v>
      </c>
      <c r="R424" s="8">
        <f>IF(B424="","",SUMIFS(Pantry!$C$5:$C$304,Pantry!$A$5:$A$304,B424))</f>
        <v>0</v>
      </c>
      <c r="S424" s="8">
        <f>IF(OR(B424="",C424=""),"",MAX(0,C424-R424))</f>
        <v>0</v>
      </c>
      <c r="T424" s="26"/>
      <c r="U424" s="8">
        <f>IF(OR(T424="",T424=0,G424=""),"",T424*G424)</f>
        <v>0</v>
      </c>
      <c r="V424" s="8">
        <f>IF(OR(S424="",T424="",T424=0),"",CEILING(S424/T424,1))</f>
        <v>0</v>
      </c>
      <c r="W424" s="27"/>
      <c r="X424" s="29"/>
      <c r="Y424" s="8">
        <f>IF(OR(C424="",X424=""),"",C424*(1+X424))</f>
        <v>0</v>
      </c>
      <c r="Z424" s="8">
        <f>IF(B424="","",IFERROR(INDEX(Ingredients!$O$5:$O$304,MATCH(B424,Ingredients!$A$5:$A$304,0)),""))</f>
        <v>0</v>
      </c>
      <c r="AA424" s="8">
        <f>IF(B424="","",IF(R424&gt;=C424,"In pantry","To buy"))</f>
        <v>0</v>
      </c>
      <c r="AB424" s="8">
        <f>IF(A424="","",COUNTIFS($A$5:A424,A424))</f>
        <v>0</v>
      </c>
      <c r="AC424" s="8">
        <f>IF(B424="","",IF(COUNTIFS('Dietary Filters'!$C$5:$C$104,B424)&gt;0,"Check","OK"))</f>
        <v>0</v>
      </c>
      <c r="AD424" s="25"/>
    </row>
    <row r="425" spans="1:30">
      <c r="A425" s="7"/>
      <c r="B425" s="7"/>
      <c r="C425" s="26"/>
      <c r="D425" s="27"/>
      <c r="E425" s="8">
        <f>IF(B425="","",IFERROR(INDEX(Ingredients!$B$5:$B$304,MATCH(B425,Ingredients!$A$5:$A$304,0)),""))</f>
        <v>0</v>
      </c>
      <c r="F425" s="8">
        <f>IF(B425="","",IFERROR(INDEX(Ingredients!$E$5:$E$304,MATCH(B425,Ingredients!$A$5:$A$304,0)),""))</f>
        <v>0</v>
      </c>
      <c r="G425" s="8">
        <f>IF(B425="","",IFERROR(INDEX(Ingredients!$D$5:$D$304,MATCH(B425,Ingredients!$A$5:$A$304,0)),""))</f>
        <v>0</v>
      </c>
      <c r="H425" s="8">
        <f>IF(OR(B425="",C425=""),"",IFERROR(C425*G425,""))</f>
        <v>0</v>
      </c>
      <c r="I425" s="8">
        <f>IF(A425="","",IFERROR(INDEX(Recipes!$D$5:$D$204,MATCH(A425,Recipes!$A$5:$A$204,0)),""))</f>
        <v>0</v>
      </c>
      <c r="J425" s="8">
        <f>IF(OR(H425="",I425="",I425=0),"",IFERROR(H425/I425,""))</f>
        <v>0</v>
      </c>
      <c r="K425" s="8">
        <f>IF(OR(B425="",C425=""),"",IFERROR(C425*IFERROR(INDEX(Ingredients!$H$5:$H$304,MATCH(B425,Ingredients!$A$5:$A$304,0)),""),""))</f>
        <v>0</v>
      </c>
      <c r="L425" s="8">
        <f>IF(OR(B425="",C425=""),"",IFERROR(C425*IFERROR(INDEX(Ingredients!$I$5:$I$304,MATCH(B425,Ingredients!$A$5:$A$304,0)),""),""))</f>
        <v>0</v>
      </c>
      <c r="M425" s="8">
        <f>IF(OR(B425="",C425=""),"",IFERROR(C425*IFERROR(INDEX(Ingredients!$J$5:$J$304,MATCH(B425,Ingredients!$A$5:$A$304,0)),""),""))</f>
        <v>0</v>
      </c>
      <c r="N425" s="8">
        <f>IF(OR(B425="",C425=""),"",IFERROR(C425*IFERROR(INDEX(Ingredients!$K$5:$K$304,MATCH(B425,Ingredients!$A$5:$A$304,0)),""),""))</f>
        <v>0</v>
      </c>
      <c r="O425" s="8">
        <f>IF(OR(B425="",C425=""),"",IFERROR(C425*IFERROR(INDEX(Ingredients!$L$5:$L$304,MATCH(B425,Ingredients!$A$5:$A$304,0)),""),""))</f>
        <v>0</v>
      </c>
      <c r="P425" s="8">
        <f>IF(OR(H425="",A425=""),"",IFERROR(H425/SUMIFS('Recipe Ingredients'!$H$5:$H$1204,'Recipe Ingredients'!$A$5:$A$1204,A425),""))</f>
        <v>0</v>
      </c>
      <c r="Q425" s="8">
        <f>IF(H425="","",COUNTIFS($H$5:$H$1204,"&gt;"&amp;H425)+1)</f>
        <v>0</v>
      </c>
      <c r="R425" s="8">
        <f>IF(B425="","",SUMIFS(Pantry!$C$5:$C$304,Pantry!$A$5:$A$304,B425))</f>
        <v>0</v>
      </c>
      <c r="S425" s="8">
        <f>IF(OR(B425="",C425=""),"",MAX(0,C425-R425))</f>
        <v>0</v>
      </c>
      <c r="T425" s="26"/>
      <c r="U425" s="8">
        <f>IF(OR(T425="",T425=0,G425=""),"",T425*G425)</f>
        <v>0</v>
      </c>
      <c r="V425" s="8">
        <f>IF(OR(S425="",T425="",T425=0),"",CEILING(S425/T425,1))</f>
        <v>0</v>
      </c>
      <c r="W425" s="27"/>
      <c r="X425" s="29"/>
      <c r="Y425" s="8">
        <f>IF(OR(C425="",X425=""),"",C425*(1+X425))</f>
        <v>0</v>
      </c>
      <c r="Z425" s="8">
        <f>IF(B425="","",IFERROR(INDEX(Ingredients!$O$5:$O$304,MATCH(B425,Ingredients!$A$5:$A$304,0)),""))</f>
        <v>0</v>
      </c>
      <c r="AA425" s="8">
        <f>IF(B425="","",IF(R425&gt;=C425,"In pantry","To buy"))</f>
        <v>0</v>
      </c>
      <c r="AB425" s="8">
        <f>IF(A425="","",COUNTIFS($A$5:A425,A425))</f>
        <v>0</v>
      </c>
      <c r="AC425" s="8">
        <f>IF(B425="","",IF(COUNTIFS('Dietary Filters'!$C$5:$C$104,B425)&gt;0,"Check","OK"))</f>
        <v>0</v>
      </c>
      <c r="AD425" s="25"/>
    </row>
    <row r="426" spans="1:30">
      <c r="A426" s="7"/>
      <c r="B426" s="7"/>
      <c r="C426" s="26"/>
      <c r="D426" s="27"/>
      <c r="E426" s="8">
        <f>IF(B426="","",IFERROR(INDEX(Ingredients!$B$5:$B$304,MATCH(B426,Ingredients!$A$5:$A$304,0)),""))</f>
        <v>0</v>
      </c>
      <c r="F426" s="8">
        <f>IF(B426="","",IFERROR(INDEX(Ingredients!$E$5:$E$304,MATCH(B426,Ingredients!$A$5:$A$304,0)),""))</f>
        <v>0</v>
      </c>
      <c r="G426" s="8">
        <f>IF(B426="","",IFERROR(INDEX(Ingredients!$D$5:$D$304,MATCH(B426,Ingredients!$A$5:$A$304,0)),""))</f>
        <v>0</v>
      </c>
      <c r="H426" s="8">
        <f>IF(OR(B426="",C426=""),"",IFERROR(C426*G426,""))</f>
        <v>0</v>
      </c>
      <c r="I426" s="8">
        <f>IF(A426="","",IFERROR(INDEX(Recipes!$D$5:$D$204,MATCH(A426,Recipes!$A$5:$A$204,0)),""))</f>
        <v>0</v>
      </c>
      <c r="J426" s="8">
        <f>IF(OR(H426="",I426="",I426=0),"",IFERROR(H426/I426,""))</f>
        <v>0</v>
      </c>
      <c r="K426" s="8">
        <f>IF(OR(B426="",C426=""),"",IFERROR(C426*IFERROR(INDEX(Ingredients!$H$5:$H$304,MATCH(B426,Ingredients!$A$5:$A$304,0)),""),""))</f>
        <v>0</v>
      </c>
      <c r="L426" s="8">
        <f>IF(OR(B426="",C426=""),"",IFERROR(C426*IFERROR(INDEX(Ingredients!$I$5:$I$304,MATCH(B426,Ingredients!$A$5:$A$304,0)),""),""))</f>
        <v>0</v>
      </c>
      <c r="M426" s="8">
        <f>IF(OR(B426="",C426=""),"",IFERROR(C426*IFERROR(INDEX(Ingredients!$J$5:$J$304,MATCH(B426,Ingredients!$A$5:$A$304,0)),""),""))</f>
        <v>0</v>
      </c>
      <c r="N426" s="8">
        <f>IF(OR(B426="",C426=""),"",IFERROR(C426*IFERROR(INDEX(Ingredients!$K$5:$K$304,MATCH(B426,Ingredients!$A$5:$A$304,0)),""),""))</f>
        <v>0</v>
      </c>
      <c r="O426" s="8">
        <f>IF(OR(B426="",C426=""),"",IFERROR(C426*IFERROR(INDEX(Ingredients!$L$5:$L$304,MATCH(B426,Ingredients!$A$5:$A$304,0)),""),""))</f>
        <v>0</v>
      </c>
      <c r="P426" s="8">
        <f>IF(OR(H426="",A426=""),"",IFERROR(H426/SUMIFS('Recipe Ingredients'!$H$5:$H$1204,'Recipe Ingredients'!$A$5:$A$1204,A426),""))</f>
        <v>0</v>
      </c>
      <c r="Q426" s="8">
        <f>IF(H426="","",COUNTIFS($H$5:$H$1204,"&gt;"&amp;H426)+1)</f>
        <v>0</v>
      </c>
      <c r="R426" s="8">
        <f>IF(B426="","",SUMIFS(Pantry!$C$5:$C$304,Pantry!$A$5:$A$304,B426))</f>
        <v>0</v>
      </c>
      <c r="S426" s="8">
        <f>IF(OR(B426="",C426=""),"",MAX(0,C426-R426))</f>
        <v>0</v>
      </c>
      <c r="T426" s="26"/>
      <c r="U426" s="8">
        <f>IF(OR(T426="",T426=0,G426=""),"",T426*G426)</f>
        <v>0</v>
      </c>
      <c r="V426" s="8">
        <f>IF(OR(S426="",T426="",T426=0),"",CEILING(S426/T426,1))</f>
        <v>0</v>
      </c>
      <c r="W426" s="27"/>
      <c r="X426" s="29"/>
      <c r="Y426" s="8">
        <f>IF(OR(C426="",X426=""),"",C426*(1+X426))</f>
        <v>0</v>
      </c>
      <c r="Z426" s="8">
        <f>IF(B426="","",IFERROR(INDEX(Ingredients!$O$5:$O$304,MATCH(B426,Ingredients!$A$5:$A$304,0)),""))</f>
        <v>0</v>
      </c>
      <c r="AA426" s="8">
        <f>IF(B426="","",IF(R426&gt;=C426,"In pantry","To buy"))</f>
        <v>0</v>
      </c>
      <c r="AB426" s="8">
        <f>IF(A426="","",COUNTIFS($A$5:A426,A426))</f>
        <v>0</v>
      </c>
      <c r="AC426" s="8">
        <f>IF(B426="","",IF(COUNTIFS('Dietary Filters'!$C$5:$C$104,B426)&gt;0,"Check","OK"))</f>
        <v>0</v>
      </c>
      <c r="AD426" s="25"/>
    </row>
    <row r="427" spans="1:30">
      <c r="A427" s="7"/>
      <c r="B427" s="7"/>
      <c r="C427" s="26"/>
      <c r="D427" s="27"/>
      <c r="E427" s="8">
        <f>IF(B427="","",IFERROR(INDEX(Ingredients!$B$5:$B$304,MATCH(B427,Ingredients!$A$5:$A$304,0)),""))</f>
        <v>0</v>
      </c>
      <c r="F427" s="8">
        <f>IF(B427="","",IFERROR(INDEX(Ingredients!$E$5:$E$304,MATCH(B427,Ingredients!$A$5:$A$304,0)),""))</f>
        <v>0</v>
      </c>
      <c r="G427" s="8">
        <f>IF(B427="","",IFERROR(INDEX(Ingredients!$D$5:$D$304,MATCH(B427,Ingredients!$A$5:$A$304,0)),""))</f>
        <v>0</v>
      </c>
      <c r="H427" s="8">
        <f>IF(OR(B427="",C427=""),"",IFERROR(C427*G427,""))</f>
        <v>0</v>
      </c>
      <c r="I427" s="8">
        <f>IF(A427="","",IFERROR(INDEX(Recipes!$D$5:$D$204,MATCH(A427,Recipes!$A$5:$A$204,0)),""))</f>
        <v>0</v>
      </c>
      <c r="J427" s="8">
        <f>IF(OR(H427="",I427="",I427=0),"",IFERROR(H427/I427,""))</f>
        <v>0</v>
      </c>
      <c r="K427" s="8">
        <f>IF(OR(B427="",C427=""),"",IFERROR(C427*IFERROR(INDEX(Ingredients!$H$5:$H$304,MATCH(B427,Ingredients!$A$5:$A$304,0)),""),""))</f>
        <v>0</v>
      </c>
      <c r="L427" s="8">
        <f>IF(OR(B427="",C427=""),"",IFERROR(C427*IFERROR(INDEX(Ingredients!$I$5:$I$304,MATCH(B427,Ingredients!$A$5:$A$304,0)),""),""))</f>
        <v>0</v>
      </c>
      <c r="M427" s="8">
        <f>IF(OR(B427="",C427=""),"",IFERROR(C427*IFERROR(INDEX(Ingredients!$J$5:$J$304,MATCH(B427,Ingredients!$A$5:$A$304,0)),""),""))</f>
        <v>0</v>
      </c>
      <c r="N427" s="8">
        <f>IF(OR(B427="",C427=""),"",IFERROR(C427*IFERROR(INDEX(Ingredients!$K$5:$K$304,MATCH(B427,Ingredients!$A$5:$A$304,0)),""),""))</f>
        <v>0</v>
      </c>
      <c r="O427" s="8">
        <f>IF(OR(B427="",C427=""),"",IFERROR(C427*IFERROR(INDEX(Ingredients!$L$5:$L$304,MATCH(B427,Ingredients!$A$5:$A$304,0)),""),""))</f>
        <v>0</v>
      </c>
      <c r="P427" s="8">
        <f>IF(OR(H427="",A427=""),"",IFERROR(H427/SUMIFS('Recipe Ingredients'!$H$5:$H$1204,'Recipe Ingredients'!$A$5:$A$1204,A427),""))</f>
        <v>0</v>
      </c>
      <c r="Q427" s="8">
        <f>IF(H427="","",COUNTIFS($H$5:$H$1204,"&gt;"&amp;H427)+1)</f>
        <v>0</v>
      </c>
      <c r="R427" s="8">
        <f>IF(B427="","",SUMIFS(Pantry!$C$5:$C$304,Pantry!$A$5:$A$304,B427))</f>
        <v>0</v>
      </c>
      <c r="S427" s="8">
        <f>IF(OR(B427="",C427=""),"",MAX(0,C427-R427))</f>
        <v>0</v>
      </c>
      <c r="T427" s="26"/>
      <c r="U427" s="8">
        <f>IF(OR(T427="",T427=0,G427=""),"",T427*G427)</f>
        <v>0</v>
      </c>
      <c r="V427" s="8">
        <f>IF(OR(S427="",T427="",T427=0),"",CEILING(S427/T427,1))</f>
        <v>0</v>
      </c>
      <c r="W427" s="27"/>
      <c r="X427" s="29"/>
      <c r="Y427" s="8">
        <f>IF(OR(C427="",X427=""),"",C427*(1+X427))</f>
        <v>0</v>
      </c>
      <c r="Z427" s="8">
        <f>IF(B427="","",IFERROR(INDEX(Ingredients!$O$5:$O$304,MATCH(B427,Ingredients!$A$5:$A$304,0)),""))</f>
        <v>0</v>
      </c>
      <c r="AA427" s="8">
        <f>IF(B427="","",IF(R427&gt;=C427,"In pantry","To buy"))</f>
        <v>0</v>
      </c>
      <c r="AB427" s="8">
        <f>IF(A427="","",COUNTIFS($A$5:A427,A427))</f>
        <v>0</v>
      </c>
      <c r="AC427" s="8">
        <f>IF(B427="","",IF(COUNTIFS('Dietary Filters'!$C$5:$C$104,B427)&gt;0,"Check","OK"))</f>
        <v>0</v>
      </c>
      <c r="AD427" s="25"/>
    </row>
    <row r="428" spans="1:30">
      <c r="A428" s="7"/>
      <c r="B428" s="7"/>
      <c r="C428" s="26"/>
      <c r="D428" s="27"/>
      <c r="E428" s="8">
        <f>IF(B428="","",IFERROR(INDEX(Ingredients!$B$5:$B$304,MATCH(B428,Ingredients!$A$5:$A$304,0)),""))</f>
        <v>0</v>
      </c>
      <c r="F428" s="8">
        <f>IF(B428="","",IFERROR(INDEX(Ingredients!$E$5:$E$304,MATCH(B428,Ingredients!$A$5:$A$304,0)),""))</f>
        <v>0</v>
      </c>
      <c r="G428" s="8">
        <f>IF(B428="","",IFERROR(INDEX(Ingredients!$D$5:$D$304,MATCH(B428,Ingredients!$A$5:$A$304,0)),""))</f>
        <v>0</v>
      </c>
      <c r="H428" s="8">
        <f>IF(OR(B428="",C428=""),"",IFERROR(C428*G428,""))</f>
        <v>0</v>
      </c>
      <c r="I428" s="8">
        <f>IF(A428="","",IFERROR(INDEX(Recipes!$D$5:$D$204,MATCH(A428,Recipes!$A$5:$A$204,0)),""))</f>
        <v>0</v>
      </c>
      <c r="J428" s="8">
        <f>IF(OR(H428="",I428="",I428=0),"",IFERROR(H428/I428,""))</f>
        <v>0</v>
      </c>
      <c r="K428" s="8">
        <f>IF(OR(B428="",C428=""),"",IFERROR(C428*IFERROR(INDEX(Ingredients!$H$5:$H$304,MATCH(B428,Ingredients!$A$5:$A$304,0)),""),""))</f>
        <v>0</v>
      </c>
      <c r="L428" s="8">
        <f>IF(OR(B428="",C428=""),"",IFERROR(C428*IFERROR(INDEX(Ingredients!$I$5:$I$304,MATCH(B428,Ingredients!$A$5:$A$304,0)),""),""))</f>
        <v>0</v>
      </c>
      <c r="M428" s="8">
        <f>IF(OR(B428="",C428=""),"",IFERROR(C428*IFERROR(INDEX(Ingredients!$J$5:$J$304,MATCH(B428,Ingredients!$A$5:$A$304,0)),""),""))</f>
        <v>0</v>
      </c>
      <c r="N428" s="8">
        <f>IF(OR(B428="",C428=""),"",IFERROR(C428*IFERROR(INDEX(Ingredients!$K$5:$K$304,MATCH(B428,Ingredients!$A$5:$A$304,0)),""),""))</f>
        <v>0</v>
      </c>
      <c r="O428" s="8">
        <f>IF(OR(B428="",C428=""),"",IFERROR(C428*IFERROR(INDEX(Ingredients!$L$5:$L$304,MATCH(B428,Ingredients!$A$5:$A$304,0)),""),""))</f>
        <v>0</v>
      </c>
      <c r="P428" s="8">
        <f>IF(OR(H428="",A428=""),"",IFERROR(H428/SUMIFS('Recipe Ingredients'!$H$5:$H$1204,'Recipe Ingredients'!$A$5:$A$1204,A428),""))</f>
        <v>0</v>
      </c>
      <c r="Q428" s="8">
        <f>IF(H428="","",COUNTIFS($H$5:$H$1204,"&gt;"&amp;H428)+1)</f>
        <v>0</v>
      </c>
      <c r="R428" s="8">
        <f>IF(B428="","",SUMIFS(Pantry!$C$5:$C$304,Pantry!$A$5:$A$304,B428))</f>
        <v>0</v>
      </c>
      <c r="S428" s="8">
        <f>IF(OR(B428="",C428=""),"",MAX(0,C428-R428))</f>
        <v>0</v>
      </c>
      <c r="T428" s="26"/>
      <c r="U428" s="8">
        <f>IF(OR(T428="",T428=0,G428=""),"",T428*G428)</f>
        <v>0</v>
      </c>
      <c r="V428" s="8">
        <f>IF(OR(S428="",T428="",T428=0),"",CEILING(S428/T428,1))</f>
        <v>0</v>
      </c>
      <c r="W428" s="27"/>
      <c r="X428" s="29"/>
      <c r="Y428" s="8">
        <f>IF(OR(C428="",X428=""),"",C428*(1+X428))</f>
        <v>0</v>
      </c>
      <c r="Z428" s="8">
        <f>IF(B428="","",IFERROR(INDEX(Ingredients!$O$5:$O$304,MATCH(B428,Ingredients!$A$5:$A$304,0)),""))</f>
        <v>0</v>
      </c>
      <c r="AA428" s="8">
        <f>IF(B428="","",IF(R428&gt;=C428,"In pantry","To buy"))</f>
        <v>0</v>
      </c>
      <c r="AB428" s="8">
        <f>IF(A428="","",COUNTIFS($A$5:A428,A428))</f>
        <v>0</v>
      </c>
      <c r="AC428" s="8">
        <f>IF(B428="","",IF(COUNTIFS('Dietary Filters'!$C$5:$C$104,B428)&gt;0,"Check","OK"))</f>
        <v>0</v>
      </c>
      <c r="AD428" s="25"/>
    </row>
    <row r="429" spans="1:30">
      <c r="A429" s="7"/>
      <c r="B429" s="7"/>
      <c r="C429" s="26"/>
      <c r="D429" s="27"/>
      <c r="E429" s="8">
        <f>IF(B429="","",IFERROR(INDEX(Ingredients!$B$5:$B$304,MATCH(B429,Ingredients!$A$5:$A$304,0)),""))</f>
        <v>0</v>
      </c>
      <c r="F429" s="8">
        <f>IF(B429="","",IFERROR(INDEX(Ingredients!$E$5:$E$304,MATCH(B429,Ingredients!$A$5:$A$304,0)),""))</f>
        <v>0</v>
      </c>
      <c r="G429" s="8">
        <f>IF(B429="","",IFERROR(INDEX(Ingredients!$D$5:$D$304,MATCH(B429,Ingredients!$A$5:$A$304,0)),""))</f>
        <v>0</v>
      </c>
      <c r="H429" s="8">
        <f>IF(OR(B429="",C429=""),"",IFERROR(C429*G429,""))</f>
        <v>0</v>
      </c>
      <c r="I429" s="8">
        <f>IF(A429="","",IFERROR(INDEX(Recipes!$D$5:$D$204,MATCH(A429,Recipes!$A$5:$A$204,0)),""))</f>
        <v>0</v>
      </c>
      <c r="J429" s="8">
        <f>IF(OR(H429="",I429="",I429=0),"",IFERROR(H429/I429,""))</f>
        <v>0</v>
      </c>
      <c r="K429" s="8">
        <f>IF(OR(B429="",C429=""),"",IFERROR(C429*IFERROR(INDEX(Ingredients!$H$5:$H$304,MATCH(B429,Ingredients!$A$5:$A$304,0)),""),""))</f>
        <v>0</v>
      </c>
      <c r="L429" s="8">
        <f>IF(OR(B429="",C429=""),"",IFERROR(C429*IFERROR(INDEX(Ingredients!$I$5:$I$304,MATCH(B429,Ingredients!$A$5:$A$304,0)),""),""))</f>
        <v>0</v>
      </c>
      <c r="M429" s="8">
        <f>IF(OR(B429="",C429=""),"",IFERROR(C429*IFERROR(INDEX(Ingredients!$J$5:$J$304,MATCH(B429,Ingredients!$A$5:$A$304,0)),""),""))</f>
        <v>0</v>
      </c>
      <c r="N429" s="8">
        <f>IF(OR(B429="",C429=""),"",IFERROR(C429*IFERROR(INDEX(Ingredients!$K$5:$K$304,MATCH(B429,Ingredients!$A$5:$A$304,0)),""),""))</f>
        <v>0</v>
      </c>
      <c r="O429" s="8">
        <f>IF(OR(B429="",C429=""),"",IFERROR(C429*IFERROR(INDEX(Ingredients!$L$5:$L$304,MATCH(B429,Ingredients!$A$5:$A$304,0)),""),""))</f>
        <v>0</v>
      </c>
      <c r="P429" s="8">
        <f>IF(OR(H429="",A429=""),"",IFERROR(H429/SUMIFS('Recipe Ingredients'!$H$5:$H$1204,'Recipe Ingredients'!$A$5:$A$1204,A429),""))</f>
        <v>0</v>
      </c>
      <c r="Q429" s="8">
        <f>IF(H429="","",COUNTIFS($H$5:$H$1204,"&gt;"&amp;H429)+1)</f>
        <v>0</v>
      </c>
      <c r="R429" s="8">
        <f>IF(B429="","",SUMIFS(Pantry!$C$5:$C$304,Pantry!$A$5:$A$304,B429))</f>
        <v>0</v>
      </c>
      <c r="S429" s="8">
        <f>IF(OR(B429="",C429=""),"",MAX(0,C429-R429))</f>
        <v>0</v>
      </c>
      <c r="T429" s="26"/>
      <c r="U429" s="8">
        <f>IF(OR(T429="",T429=0,G429=""),"",T429*G429)</f>
        <v>0</v>
      </c>
      <c r="V429" s="8">
        <f>IF(OR(S429="",T429="",T429=0),"",CEILING(S429/T429,1))</f>
        <v>0</v>
      </c>
      <c r="W429" s="27"/>
      <c r="X429" s="29"/>
      <c r="Y429" s="8">
        <f>IF(OR(C429="",X429=""),"",C429*(1+X429))</f>
        <v>0</v>
      </c>
      <c r="Z429" s="8">
        <f>IF(B429="","",IFERROR(INDEX(Ingredients!$O$5:$O$304,MATCH(B429,Ingredients!$A$5:$A$304,0)),""))</f>
        <v>0</v>
      </c>
      <c r="AA429" s="8">
        <f>IF(B429="","",IF(R429&gt;=C429,"In pantry","To buy"))</f>
        <v>0</v>
      </c>
      <c r="AB429" s="8">
        <f>IF(A429="","",COUNTIFS($A$5:A429,A429))</f>
        <v>0</v>
      </c>
      <c r="AC429" s="8">
        <f>IF(B429="","",IF(COUNTIFS('Dietary Filters'!$C$5:$C$104,B429)&gt;0,"Check","OK"))</f>
        <v>0</v>
      </c>
      <c r="AD429" s="25"/>
    </row>
    <row r="430" spans="1:30">
      <c r="A430" s="7"/>
      <c r="B430" s="7"/>
      <c r="C430" s="26"/>
      <c r="D430" s="27"/>
      <c r="E430" s="8">
        <f>IF(B430="","",IFERROR(INDEX(Ingredients!$B$5:$B$304,MATCH(B430,Ingredients!$A$5:$A$304,0)),""))</f>
        <v>0</v>
      </c>
      <c r="F430" s="8">
        <f>IF(B430="","",IFERROR(INDEX(Ingredients!$E$5:$E$304,MATCH(B430,Ingredients!$A$5:$A$304,0)),""))</f>
        <v>0</v>
      </c>
      <c r="G430" s="8">
        <f>IF(B430="","",IFERROR(INDEX(Ingredients!$D$5:$D$304,MATCH(B430,Ingredients!$A$5:$A$304,0)),""))</f>
        <v>0</v>
      </c>
      <c r="H430" s="8">
        <f>IF(OR(B430="",C430=""),"",IFERROR(C430*G430,""))</f>
        <v>0</v>
      </c>
      <c r="I430" s="8">
        <f>IF(A430="","",IFERROR(INDEX(Recipes!$D$5:$D$204,MATCH(A430,Recipes!$A$5:$A$204,0)),""))</f>
        <v>0</v>
      </c>
      <c r="J430" s="8">
        <f>IF(OR(H430="",I430="",I430=0),"",IFERROR(H430/I430,""))</f>
        <v>0</v>
      </c>
      <c r="K430" s="8">
        <f>IF(OR(B430="",C430=""),"",IFERROR(C430*IFERROR(INDEX(Ingredients!$H$5:$H$304,MATCH(B430,Ingredients!$A$5:$A$304,0)),""),""))</f>
        <v>0</v>
      </c>
      <c r="L430" s="8">
        <f>IF(OR(B430="",C430=""),"",IFERROR(C430*IFERROR(INDEX(Ingredients!$I$5:$I$304,MATCH(B430,Ingredients!$A$5:$A$304,0)),""),""))</f>
        <v>0</v>
      </c>
      <c r="M430" s="8">
        <f>IF(OR(B430="",C430=""),"",IFERROR(C430*IFERROR(INDEX(Ingredients!$J$5:$J$304,MATCH(B430,Ingredients!$A$5:$A$304,0)),""),""))</f>
        <v>0</v>
      </c>
      <c r="N430" s="8">
        <f>IF(OR(B430="",C430=""),"",IFERROR(C430*IFERROR(INDEX(Ingredients!$K$5:$K$304,MATCH(B430,Ingredients!$A$5:$A$304,0)),""),""))</f>
        <v>0</v>
      </c>
      <c r="O430" s="8">
        <f>IF(OR(B430="",C430=""),"",IFERROR(C430*IFERROR(INDEX(Ingredients!$L$5:$L$304,MATCH(B430,Ingredients!$A$5:$A$304,0)),""),""))</f>
        <v>0</v>
      </c>
      <c r="P430" s="8">
        <f>IF(OR(H430="",A430=""),"",IFERROR(H430/SUMIFS('Recipe Ingredients'!$H$5:$H$1204,'Recipe Ingredients'!$A$5:$A$1204,A430),""))</f>
        <v>0</v>
      </c>
      <c r="Q430" s="8">
        <f>IF(H430="","",COUNTIFS($H$5:$H$1204,"&gt;"&amp;H430)+1)</f>
        <v>0</v>
      </c>
      <c r="R430" s="8">
        <f>IF(B430="","",SUMIFS(Pantry!$C$5:$C$304,Pantry!$A$5:$A$304,B430))</f>
        <v>0</v>
      </c>
      <c r="S430" s="8">
        <f>IF(OR(B430="",C430=""),"",MAX(0,C430-R430))</f>
        <v>0</v>
      </c>
      <c r="T430" s="26"/>
      <c r="U430" s="8">
        <f>IF(OR(T430="",T430=0,G430=""),"",T430*G430)</f>
        <v>0</v>
      </c>
      <c r="V430" s="8">
        <f>IF(OR(S430="",T430="",T430=0),"",CEILING(S430/T430,1))</f>
        <v>0</v>
      </c>
      <c r="W430" s="27"/>
      <c r="X430" s="29"/>
      <c r="Y430" s="8">
        <f>IF(OR(C430="",X430=""),"",C430*(1+X430))</f>
        <v>0</v>
      </c>
      <c r="Z430" s="8">
        <f>IF(B430="","",IFERROR(INDEX(Ingredients!$O$5:$O$304,MATCH(B430,Ingredients!$A$5:$A$304,0)),""))</f>
        <v>0</v>
      </c>
      <c r="AA430" s="8">
        <f>IF(B430="","",IF(R430&gt;=C430,"In pantry","To buy"))</f>
        <v>0</v>
      </c>
      <c r="AB430" s="8">
        <f>IF(A430="","",COUNTIFS($A$5:A430,A430))</f>
        <v>0</v>
      </c>
      <c r="AC430" s="8">
        <f>IF(B430="","",IF(COUNTIFS('Dietary Filters'!$C$5:$C$104,B430)&gt;0,"Check","OK"))</f>
        <v>0</v>
      </c>
      <c r="AD430" s="25"/>
    </row>
    <row r="431" spans="1:30">
      <c r="A431" s="7"/>
      <c r="B431" s="7"/>
      <c r="C431" s="26"/>
      <c r="D431" s="27"/>
      <c r="E431" s="8">
        <f>IF(B431="","",IFERROR(INDEX(Ingredients!$B$5:$B$304,MATCH(B431,Ingredients!$A$5:$A$304,0)),""))</f>
        <v>0</v>
      </c>
      <c r="F431" s="8">
        <f>IF(B431="","",IFERROR(INDEX(Ingredients!$E$5:$E$304,MATCH(B431,Ingredients!$A$5:$A$304,0)),""))</f>
        <v>0</v>
      </c>
      <c r="G431" s="8">
        <f>IF(B431="","",IFERROR(INDEX(Ingredients!$D$5:$D$304,MATCH(B431,Ingredients!$A$5:$A$304,0)),""))</f>
        <v>0</v>
      </c>
      <c r="H431" s="8">
        <f>IF(OR(B431="",C431=""),"",IFERROR(C431*G431,""))</f>
        <v>0</v>
      </c>
      <c r="I431" s="8">
        <f>IF(A431="","",IFERROR(INDEX(Recipes!$D$5:$D$204,MATCH(A431,Recipes!$A$5:$A$204,0)),""))</f>
        <v>0</v>
      </c>
      <c r="J431" s="8">
        <f>IF(OR(H431="",I431="",I431=0),"",IFERROR(H431/I431,""))</f>
        <v>0</v>
      </c>
      <c r="K431" s="8">
        <f>IF(OR(B431="",C431=""),"",IFERROR(C431*IFERROR(INDEX(Ingredients!$H$5:$H$304,MATCH(B431,Ingredients!$A$5:$A$304,0)),""),""))</f>
        <v>0</v>
      </c>
      <c r="L431" s="8">
        <f>IF(OR(B431="",C431=""),"",IFERROR(C431*IFERROR(INDEX(Ingredients!$I$5:$I$304,MATCH(B431,Ingredients!$A$5:$A$304,0)),""),""))</f>
        <v>0</v>
      </c>
      <c r="M431" s="8">
        <f>IF(OR(B431="",C431=""),"",IFERROR(C431*IFERROR(INDEX(Ingredients!$J$5:$J$304,MATCH(B431,Ingredients!$A$5:$A$304,0)),""),""))</f>
        <v>0</v>
      </c>
      <c r="N431" s="8">
        <f>IF(OR(B431="",C431=""),"",IFERROR(C431*IFERROR(INDEX(Ingredients!$K$5:$K$304,MATCH(B431,Ingredients!$A$5:$A$304,0)),""),""))</f>
        <v>0</v>
      </c>
      <c r="O431" s="8">
        <f>IF(OR(B431="",C431=""),"",IFERROR(C431*IFERROR(INDEX(Ingredients!$L$5:$L$304,MATCH(B431,Ingredients!$A$5:$A$304,0)),""),""))</f>
        <v>0</v>
      </c>
      <c r="P431" s="8">
        <f>IF(OR(H431="",A431=""),"",IFERROR(H431/SUMIFS('Recipe Ingredients'!$H$5:$H$1204,'Recipe Ingredients'!$A$5:$A$1204,A431),""))</f>
        <v>0</v>
      </c>
      <c r="Q431" s="8">
        <f>IF(H431="","",COUNTIFS($H$5:$H$1204,"&gt;"&amp;H431)+1)</f>
        <v>0</v>
      </c>
      <c r="R431" s="8">
        <f>IF(B431="","",SUMIFS(Pantry!$C$5:$C$304,Pantry!$A$5:$A$304,B431))</f>
        <v>0</v>
      </c>
      <c r="S431" s="8">
        <f>IF(OR(B431="",C431=""),"",MAX(0,C431-R431))</f>
        <v>0</v>
      </c>
      <c r="T431" s="26"/>
      <c r="U431" s="8">
        <f>IF(OR(T431="",T431=0,G431=""),"",T431*G431)</f>
        <v>0</v>
      </c>
      <c r="V431" s="8">
        <f>IF(OR(S431="",T431="",T431=0),"",CEILING(S431/T431,1))</f>
        <v>0</v>
      </c>
      <c r="W431" s="27"/>
      <c r="X431" s="29"/>
      <c r="Y431" s="8">
        <f>IF(OR(C431="",X431=""),"",C431*(1+X431))</f>
        <v>0</v>
      </c>
      <c r="Z431" s="8">
        <f>IF(B431="","",IFERROR(INDEX(Ingredients!$O$5:$O$304,MATCH(B431,Ingredients!$A$5:$A$304,0)),""))</f>
        <v>0</v>
      </c>
      <c r="AA431" s="8">
        <f>IF(B431="","",IF(R431&gt;=C431,"In pantry","To buy"))</f>
        <v>0</v>
      </c>
      <c r="AB431" s="8">
        <f>IF(A431="","",COUNTIFS($A$5:A431,A431))</f>
        <v>0</v>
      </c>
      <c r="AC431" s="8">
        <f>IF(B431="","",IF(COUNTIFS('Dietary Filters'!$C$5:$C$104,B431)&gt;0,"Check","OK"))</f>
        <v>0</v>
      </c>
      <c r="AD431" s="25"/>
    </row>
    <row r="432" spans="1:30">
      <c r="A432" s="7"/>
      <c r="B432" s="7"/>
      <c r="C432" s="26"/>
      <c r="D432" s="27"/>
      <c r="E432" s="8">
        <f>IF(B432="","",IFERROR(INDEX(Ingredients!$B$5:$B$304,MATCH(B432,Ingredients!$A$5:$A$304,0)),""))</f>
        <v>0</v>
      </c>
      <c r="F432" s="8">
        <f>IF(B432="","",IFERROR(INDEX(Ingredients!$E$5:$E$304,MATCH(B432,Ingredients!$A$5:$A$304,0)),""))</f>
        <v>0</v>
      </c>
      <c r="G432" s="8">
        <f>IF(B432="","",IFERROR(INDEX(Ingredients!$D$5:$D$304,MATCH(B432,Ingredients!$A$5:$A$304,0)),""))</f>
        <v>0</v>
      </c>
      <c r="H432" s="8">
        <f>IF(OR(B432="",C432=""),"",IFERROR(C432*G432,""))</f>
        <v>0</v>
      </c>
      <c r="I432" s="8">
        <f>IF(A432="","",IFERROR(INDEX(Recipes!$D$5:$D$204,MATCH(A432,Recipes!$A$5:$A$204,0)),""))</f>
        <v>0</v>
      </c>
      <c r="J432" s="8">
        <f>IF(OR(H432="",I432="",I432=0),"",IFERROR(H432/I432,""))</f>
        <v>0</v>
      </c>
      <c r="K432" s="8">
        <f>IF(OR(B432="",C432=""),"",IFERROR(C432*IFERROR(INDEX(Ingredients!$H$5:$H$304,MATCH(B432,Ingredients!$A$5:$A$304,0)),""),""))</f>
        <v>0</v>
      </c>
      <c r="L432" s="8">
        <f>IF(OR(B432="",C432=""),"",IFERROR(C432*IFERROR(INDEX(Ingredients!$I$5:$I$304,MATCH(B432,Ingredients!$A$5:$A$304,0)),""),""))</f>
        <v>0</v>
      </c>
      <c r="M432" s="8">
        <f>IF(OR(B432="",C432=""),"",IFERROR(C432*IFERROR(INDEX(Ingredients!$J$5:$J$304,MATCH(B432,Ingredients!$A$5:$A$304,0)),""),""))</f>
        <v>0</v>
      </c>
      <c r="N432" s="8">
        <f>IF(OR(B432="",C432=""),"",IFERROR(C432*IFERROR(INDEX(Ingredients!$K$5:$K$304,MATCH(B432,Ingredients!$A$5:$A$304,0)),""),""))</f>
        <v>0</v>
      </c>
      <c r="O432" s="8">
        <f>IF(OR(B432="",C432=""),"",IFERROR(C432*IFERROR(INDEX(Ingredients!$L$5:$L$304,MATCH(B432,Ingredients!$A$5:$A$304,0)),""),""))</f>
        <v>0</v>
      </c>
      <c r="P432" s="8">
        <f>IF(OR(H432="",A432=""),"",IFERROR(H432/SUMIFS('Recipe Ingredients'!$H$5:$H$1204,'Recipe Ingredients'!$A$5:$A$1204,A432),""))</f>
        <v>0</v>
      </c>
      <c r="Q432" s="8">
        <f>IF(H432="","",COUNTIFS($H$5:$H$1204,"&gt;"&amp;H432)+1)</f>
        <v>0</v>
      </c>
      <c r="R432" s="8">
        <f>IF(B432="","",SUMIFS(Pantry!$C$5:$C$304,Pantry!$A$5:$A$304,B432))</f>
        <v>0</v>
      </c>
      <c r="S432" s="8">
        <f>IF(OR(B432="",C432=""),"",MAX(0,C432-R432))</f>
        <v>0</v>
      </c>
      <c r="T432" s="26"/>
      <c r="U432" s="8">
        <f>IF(OR(T432="",T432=0,G432=""),"",T432*G432)</f>
        <v>0</v>
      </c>
      <c r="V432" s="8">
        <f>IF(OR(S432="",T432="",T432=0),"",CEILING(S432/T432,1))</f>
        <v>0</v>
      </c>
      <c r="W432" s="27"/>
      <c r="X432" s="29"/>
      <c r="Y432" s="8">
        <f>IF(OR(C432="",X432=""),"",C432*(1+X432))</f>
        <v>0</v>
      </c>
      <c r="Z432" s="8">
        <f>IF(B432="","",IFERROR(INDEX(Ingredients!$O$5:$O$304,MATCH(B432,Ingredients!$A$5:$A$304,0)),""))</f>
        <v>0</v>
      </c>
      <c r="AA432" s="8">
        <f>IF(B432="","",IF(R432&gt;=C432,"In pantry","To buy"))</f>
        <v>0</v>
      </c>
      <c r="AB432" s="8">
        <f>IF(A432="","",COUNTIFS($A$5:A432,A432))</f>
        <v>0</v>
      </c>
      <c r="AC432" s="8">
        <f>IF(B432="","",IF(COUNTIFS('Dietary Filters'!$C$5:$C$104,B432)&gt;0,"Check","OK"))</f>
        <v>0</v>
      </c>
      <c r="AD432" s="25"/>
    </row>
    <row r="433" spans="1:30">
      <c r="A433" s="7"/>
      <c r="B433" s="7"/>
      <c r="C433" s="26"/>
      <c r="D433" s="27"/>
      <c r="E433" s="8">
        <f>IF(B433="","",IFERROR(INDEX(Ingredients!$B$5:$B$304,MATCH(B433,Ingredients!$A$5:$A$304,0)),""))</f>
        <v>0</v>
      </c>
      <c r="F433" s="8">
        <f>IF(B433="","",IFERROR(INDEX(Ingredients!$E$5:$E$304,MATCH(B433,Ingredients!$A$5:$A$304,0)),""))</f>
        <v>0</v>
      </c>
      <c r="G433" s="8">
        <f>IF(B433="","",IFERROR(INDEX(Ingredients!$D$5:$D$304,MATCH(B433,Ingredients!$A$5:$A$304,0)),""))</f>
        <v>0</v>
      </c>
      <c r="H433" s="8">
        <f>IF(OR(B433="",C433=""),"",IFERROR(C433*G433,""))</f>
        <v>0</v>
      </c>
      <c r="I433" s="8">
        <f>IF(A433="","",IFERROR(INDEX(Recipes!$D$5:$D$204,MATCH(A433,Recipes!$A$5:$A$204,0)),""))</f>
        <v>0</v>
      </c>
      <c r="J433" s="8">
        <f>IF(OR(H433="",I433="",I433=0),"",IFERROR(H433/I433,""))</f>
        <v>0</v>
      </c>
      <c r="K433" s="8">
        <f>IF(OR(B433="",C433=""),"",IFERROR(C433*IFERROR(INDEX(Ingredients!$H$5:$H$304,MATCH(B433,Ingredients!$A$5:$A$304,0)),""),""))</f>
        <v>0</v>
      </c>
      <c r="L433" s="8">
        <f>IF(OR(B433="",C433=""),"",IFERROR(C433*IFERROR(INDEX(Ingredients!$I$5:$I$304,MATCH(B433,Ingredients!$A$5:$A$304,0)),""),""))</f>
        <v>0</v>
      </c>
      <c r="M433" s="8">
        <f>IF(OR(B433="",C433=""),"",IFERROR(C433*IFERROR(INDEX(Ingredients!$J$5:$J$304,MATCH(B433,Ingredients!$A$5:$A$304,0)),""),""))</f>
        <v>0</v>
      </c>
      <c r="N433" s="8">
        <f>IF(OR(B433="",C433=""),"",IFERROR(C433*IFERROR(INDEX(Ingredients!$K$5:$K$304,MATCH(B433,Ingredients!$A$5:$A$304,0)),""),""))</f>
        <v>0</v>
      </c>
      <c r="O433" s="8">
        <f>IF(OR(B433="",C433=""),"",IFERROR(C433*IFERROR(INDEX(Ingredients!$L$5:$L$304,MATCH(B433,Ingredients!$A$5:$A$304,0)),""),""))</f>
        <v>0</v>
      </c>
      <c r="P433" s="8">
        <f>IF(OR(H433="",A433=""),"",IFERROR(H433/SUMIFS('Recipe Ingredients'!$H$5:$H$1204,'Recipe Ingredients'!$A$5:$A$1204,A433),""))</f>
        <v>0</v>
      </c>
      <c r="Q433" s="8">
        <f>IF(H433="","",COUNTIFS($H$5:$H$1204,"&gt;"&amp;H433)+1)</f>
        <v>0</v>
      </c>
      <c r="R433" s="8">
        <f>IF(B433="","",SUMIFS(Pantry!$C$5:$C$304,Pantry!$A$5:$A$304,B433))</f>
        <v>0</v>
      </c>
      <c r="S433" s="8">
        <f>IF(OR(B433="",C433=""),"",MAX(0,C433-R433))</f>
        <v>0</v>
      </c>
      <c r="T433" s="26"/>
      <c r="U433" s="8">
        <f>IF(OR(T433="",T433=0,G433=""),"",T433*G433)</f>
        <v>0</v>
      </c>
      <c r="V433" s="8">
        <f>IF(OR(S433="",T433="",T433=0),"",CEILING(S433/T433,1))</f>
        <v>0</v>
      </c>
      <c r="W433" s="27"/>
      <c r="X433" s="29"/>
      <c r="Y433" s="8">
        <f>IF(OR(C433="",X433=""),"",C433*(1+X433))</f>
        <v>0</v>
      </c>
      <c r="Z433" s="8">
        <f>IF(B433="","",IFERROR(INDEX(Ingredients!$O$5:$O$304,MATCH(B433,Ingredients!$A$5:$A$304,0)),""))</f>
        <v>0</v>
      </c>
      <c r="AA433" s="8">
        <f>IF(B433="","",IF(R433&gt;=C433,"In pantry","To buy"))</f>
        <v>0</v>
      </c>
      <c r="AB433" s="8">
        <f>IF(A433="","",COUNTIFS($A$5:A433,A433))</f>
        <v>0</v>
      </c>
      <c r="AC433" s="8">
        <f>IF(B433="","",IF(COUNTIFS('Dietary Filters'!$C$5:$C$104,B433)&gt;0,"Check","OK"))</f>
        <v>0</v>
      </c>
      <c r="AD433" s="25"/>
    </row>
    <row r="434" spans="1:30">
      <c r="A434" s="7"/>
      <c r="B434" s="7"/>
      <c r="C434" s="26"/>
      <c r="D434" s="27"/>
      <c r="E434" s="8">
        <f>IF(B434="","",IFERROR(INDEX(Ingredients!$B$5:$B$304,MATCH(B434,Ingredients!$A$5:$A$304,0)),""))</f>
        <v>0</v>
      </c>
      <c r="F434" s="8">
        <f>IF(B434="","",IFERROR(INDEX(Ingredients!$E$5:$E$304,MATCH(B434,Ingredients!$A$5:$A$304,0)),""))</f>
        <v>0</v>
      </c>
      <c r="G434" s="8">
        <f>IF(B434="","",IFERROR(INDEX(Ingredients!$D$5:$D$304,MATCH(B434,Ingredients!$A$5:$A$304,0)),""))</f>
        <v>0</v>
      </c>
      <c r="H434" s="8">
        <f>IF(OR(B434="",C434=""),"",IFERROR(C434*G434,""))</f>
        <v>0</v>
      </c>
      <c r="I434" s="8">
        <f>IF(A434="","",IFERROR(INDEX(Recipes!$D$5:$D$204,MATCH(A434,Recipes!$A$5:$A$204,0)),""))</f>
        <v>0</v>
      </c>
      <c r="J434" s="8">
        <f>IF(OR(H434="",I434="",I434=0),"",IFERROR(H434/I434,""))</f>
        <v>0</v>
      </c>
      <c r="K434" s="8">
        <f>IF(OR(B434="",C434=""),"",IFERROR(C434*IFERROR(INDEX(Ingredients!$H$5:$H$304,MATCH(B434,Ingredients!$A$5:$A$304,0)),""),""))</f>
        <v>0</v>
      </c>
      <c r="L434" s="8">
        <f>IF(OR(B434="",C434=""),"",IFERROR(C434*IFERROR(INDEX(Ingredients!$I$5:$I$304,MATCH(B434,Ingredients!$A$5:$A$304,0)),""),""))</f>
        <v>0</v>
      </c>
      <c r="M434" s="8">
        <f>IF(OR(B434="",C434=""),"",IFERROR(C434*IFERROR(INDEX(Ingredients!$J$5:$J$304,MATCH(B434,Ingredients!$A$5:$A$304,0)),""),""))</f>
        <v>0</v>
      </c>
      <c r="N434" s="8">
        <f>IF(OR(B434="",C434=""),"",IFERROR(C434*IFERROR(INDEX(Ingredients!$K$5:$K$304,MATCH(B434,Ingredients!$A$5:$A$304,0)),""),""))</f>
        <v>0</v>
      </c>
      <c r="O434" s="8">
        <f>IF(OR(B434="",C434=""),"",IFERROR(C434*IFERROR(INDEX(Ingredients!$L$5:$L$304,MATCH(B434,Ingredients!$A$5:$A$304,0)),""),""))</f>
        <v>0</v>
      </c>
      <c r="P434" s="8">
        <f>IF(OR(H434="",A434=""),"",IFERROR(H434/SUMIFS('Recipe Ingredients'!$H$5:$H$1204,'Recipe Ingredients'!$A$5:$A$1204,A434),""))</f>
        <v>0</v>
      </c>
      <c r="Q434" s="8">
        <f>IF(H434="","",COUNTIFS($H$5:$H$1204,"&gt;"&amp;H434)+1)</f>
        <v>0</v>
      </c>
      <c r="R434" s="8">
        <f>IF(B434="","",SUMIFS(Pantry!$C$5:$C$304,Pantry!$A$5:$A$304,B434))</f>
        <v>0</v>
      </c>
      <c r="S434" s="8">
        <f>IF(OR(B434="",C434=""),"",MAX(0,C434-R434))</f>
        <v>0</v>
      </c>
      <c r="T434" s="26"/>
      <c r="U434" s="8">
        <f>IF(OR(T434="",T434=0,G434=""),"",T434*G434)</f>
        <v>0</v>
      </c>
      <c r="V434" s="8">
        <f>IF(OR(S434="",T434="",T434=0),"",CEILING(S434/T434,1))</f>
        <v>0</v>
      </c>
      <c r="W434" s="27"/>
      <c r="X434" s="29"/>
      <c r="Y434" s="8">
        <f>IF(OR(C434="",X434=""),"",C434*(1+X434))</f>
        <v>0</v>
      </c>
      <c r="Z434" s="8">
        <f>IF(B434="","",IFERROR(INDEX(Ingredients!$O$5:$O$304,MATCH(B434,Ingredients!$A$5:$A$304,0)),""))</f>
        <v>0</v>
      </c>
      <c r="AA434" s="8">
        <f>IF(B434="","",IF(R434&gt;=C434,"In pantry","To buy"))</f>
        <v>0</v>
      </c>
      <c r="AB434" s="8">
        <f>IF(A434="","",COUNTIFS($A$5:A434,A434))</f>
        <v>0</v>
      </c>
      <c r="AC434" s="8">
        <f>IF(B434="","",IF(COUNTIFS('Dietary Filters'!$C$5:$C$104,B434)&gt;0,"Check","OK"))</f>
        <v>0</v>
      </c>
      <c r="AD434" s="25"/>
    </row>
    <row r="435" spans="1:30">
      <c r="A435" s="7"/>
      <c r="B435" s="7"/>
      <c r="C435" s="26"/>
      <c r="D435" s="27"/>
      <c r="E435" s="8">
        <f>IF(B435="","",IFERROR(INDEX(Ingredients!$B$5:$B$304,MATCH(B435,Ingredients!$A$5:$A$304,0)),""))</f>
        <v>0</v>
      </c>
      <c r="F435" s="8">
        <f>IF(B435="","",IFERROR(INDEX(Ingredients!$E$5:$E$304,MATCH(B435,Ingredients!$A$5:$A$304,0)),""))</f>
        <v>0</v>
      </c>
      <c r="G435" s="8">
        <f>IF(B435="","",IFERROR(INDEX(Ingredients!$D$5:$D$304,MATCH(B435,Ingredients!$A$5:$A$304,0)),""))</f>
        <v>0</v>
      </c>
      <c r="H435" s="8">
        <f>IF(OR(B435="",C435=""),"",IFERROR(C435*G435,""))</f>
        <v>0</v>
      </c>
      <c r="I435" s="8">
        <f>IF(A435="","",IFERROR(INDEX(Recipes!$D$5:$D$204,MATCH(A435,Recipes!$A$5:$A$204,0)),""))</f>
        <v>0</v>
      </c>
      <c r="J435" s="8">
        <f>IF(OR(H435="",I435="",I435=0),"",IFERROR(H435/I435,""))</f>
        <v>0</v>
      </c>
      <c r="K435" s="8">
        <f>IF(OR(B435="",C435=""),"",IFERROR(C435*IFERROR(INDEX(Ingredients!$H$5:$H$304,MATCH(B435,Ingredients!$A$5:$A$304,0)),""),""))</f>
        <v>0</v>
      </c>
      <c r="L435" s="8">
        <f>IF(OR(B435="",C435=""),"",IFERROR(C435*IFERROR(INDEX(Ingredients!$I$5:$I$304,MATCH(B435,Ingredients!$A$5:$A$304,0)),""),""))</f>
        <v>0</v>
      </c>
      <c r="M435" s="8">
        <f>IF(OR(B435="",C435=""),"",IFERROR(C435*IFERROR(INDEX(Ingredients!$J$5:$J$304,MATCH(B435,Ingredients!$A$5:$A$304,0)),""),""))</f>
        <v>0</v>
      </c>
      <c r="N435" s="8">
        <f>IF(OR(B435="",C435=""),"",IFERROR(C435*IFERROR(INDEX(Ingredients!$K$5:$K$304,MATCH(B435,Ingredients!$A$5:$A$304,0)),""),""))</f>
        <v>0</v>
      </c>
      <c r="O435" s="8">
        <f>IF(OR(B435="",C435=""),"",IFERROR(C435*IFERROR(INDEX(Ingredients!$L$5:$L$304,MATCH(B435,Ingredients!$A$5:$A$304,0)),""),""))</f>
        <v>0</v>
      </c>
      <c r="P435" s="8">
        <f>IF(OR(H435="",A435=""),"",IFERROR(H435/SUMIFS('Recipe Ingredients'!$H$5:$H$1204,'Recipe Ingredients'!$A$5:$A$1204,A435),""))</f>
        <v>0</v>
      </c>
      <c r="Q435" s="8">
        <f>IF(H435="","",COUNTIFS($H$5:$H$1204,"&gt;"&amp;H435)+1)</f>
        <v>0</v>
      </c>
      <c r="R435" s="8">
        <f>IF(B435="","",SUMIFS(Pantry!$C$5:$C$304,Pantry!$A$5:$A$304,B435))</f>
        <v>0</v>
      </c>
      <c r="S435" s="8">
        <f>IF(OR(B435="",C435=""),"",MAX(0,C435-R435))</f>
        <v>0</v>
      </c>
      <c r="T435" s="26"/>
      <c r="U435" s="8">
        <f>IF(OR(T435="",T435=0,G435=""),"",T435*G435)</f>
        <v>0</v>
      </c>
      <c r="V435" s="8">
        <f>IF(OR(S435="",T435="",T435=0),"",CEILING(S435/T435,1))</f>
        <v>0</v>
      </c>
      <c r="W435" s="27"/>
      <c r="X435" s="29"/>
      <c r="Y435" s="8">
        <f>IF(OR(C435="",X435=""),"",C435*(1+X435))</f>
        <v>0</v>
      </c>
      <c r="Z435" s="8">
        <f>IF(B435="","",IFERROR(INDEX(Ingredients!$O$5:$O$304,MATCH(B435,Ingredients!$A$5:$A$304,0)),""))</f>
        <v>0</v>
      </c>
      <c r="AA435" s="8">
        <f>IF(B435="","",IF(R435&gt;=C435,"In pantry","To buy"))</f>
        <v>0</v>
      </c>
      <c r="AB435" s="8">
        <f>IF(A435="","",COUNTIFS($A$5:A435,A435))</f>
        <v>0</v>
      </c>
      <c r="AC435" s="8">
        <f>IF(B435="","",IF(COUNTIFS('Dietary Filters'!$C$5:$C$104,B435)&gt;0,"Check","OK"))</f>
        <v>0</v>
      </c>
      <c r="AD435" s="25"/>
    </row>
    <row r="436" spans="1:30">
      <c r="A436" s="7"/>
      <c r="B436" s="7"/>
      <c r="C436" s="26"/>
      <c r="D436" s="27"/>
      <c r="E436" s="8">
        <f>IF(B436="","",IFERROR(INDEX(Ingredients!$B$5:$B$304,MATCH(B436,Ingredients!$A$5:$A$304,0)),""))</f>
        <v>0</v>
      </c>
      <c r="F436" s="8">
        <f>IF(B436="","",IFERROR(INDEX(Ingredients!$E$5:$E$304,MATCH(B436,Ingredients!$A$5:$A$304,0)),""))</f>
        <v>0</v>
      </c>
      <c r="G436" s="8">
        <f>IF(B436="","",IFERROR(INDEX(Ingredients!$D$5:$D$304,MATCH(B436,Ingredients!$A$5:$A$304,0)),""))</f>
        <v>0</v>
      </c>
      <c r="H436" s="8">
        <f>IF(OR(B436="",C436=""),"",IFERROR(C436*G436,""))</f>
        <v>0</v>
      </c>
      <c r="I436" s="8">
        <f>IF(A436="","",IFERROR(INDEX(Recipes!$D$5:$D$204,MATCH(A436,Recipes!$A$5:$A$204,0)),""))</f>
        <v>0</v>
      </c>
      <c r="J436" s="8">
        <f>IF(OR(H436="",I436="",I436=0),"",IFERROR(H436/I436,""))</f>
        <v>0</v>
      </c>
      <c r="K436" s="8">
        <f>IF(OR(B436="",C436=""),"",IFERROR(C436*IFERROR(INDEX(Ingredients!$H$5:$H$304,MATCH(B436,Ingredients!$A$5:$A$304,0)),""),""))</f>
        <v>0</v>
      </c>
      <c r="L436" s="8">
        <f>IF(OR(B436="",C436=""),"",IFERROR(C436*IFERROR(INDEX(Ingredients!$I$5:$I$304,MATCH(B436,Ingredients!$A$5:$A$304,0)),""),""))</f>
        <v>0</v>
      </c>
      <c r="M436" s="8">
        <f>IF(OR(B436="",C436=""),"",IFERROR(C436*IFERROR(INDEX(Ingredients!$J$5:$J$304,MATCH(B436,Ingredients!$A$5:$A$304,0)),""),""))</f>
        <v>0</v>
      </c>
      <c r="N436" s="8">
        <f>IF(OR(B436="",C436=""),"",IFERROR(C436*IFERROR(INDEX(Ingredients!$K$5:$K$304,MATCH(B436,Ingredients!$A$5:$A$304,0)),""),""))</f>
        <v>0</v>
      </c>
      <c r="O436" s="8">
        <f>IF(OR(B436="",C436=""),"",IFERROR(C436*IFERROR(INDEX(Ingredients!$L$5:$L$304,MATCH(B436,Ingredients!$A$5:$A$304,0)),""),""))</f>
        <v>0</v>
      </c>
      <c r="P436" s="8">
        <f>IF(OR(H436="",A436=""),"",IFERROR(H436/SUMIFS('Recipe Ingredients'!$H$5:$H$1204,'Recipe Ingredients'!$A$5:$A$1204,A436),""))</f>
        <v>0</v>
      </c>
      <c r="Q436" s="8">
        <f>IF(H436="","",COUNTIFS($H$5:$H$1204,"&gt;"&amp;H436)+1)</f>
        <v>0</v>
      </c>
      <c r="R436" s="8">
        <f>IF(B436="","",SUMIFS(Pantry!$C$5:$C$304,Pantry!$A$5:$A$304,B436))</f>
        <v>0</v>
      </c>
      <c r="S436" s="8">
        <f>IF(OR(B436="",C436=""),"",MAX(0,C436-R436))</f>
        <v>0</v>
      </c>
      <c r="T436" s="26"/>
      <c r="U436" s="8">
        <f>IF(OR(T436="",T436=0,G436=""),"",T436*G436)</f>
        <v>0</v>
      </c>
      <c r="V436" s="8">
        <f>IF(OR(S436="",T436="",T436=0),"",CEILING(S436/T436,1))</f>
        <v>0</v>
      </c>
      <c r="W436" s="27"/>
      <c r="X436" s="29"/>
      <c r="Y436" s="8">
        <f>IF(OR(C436="",X436=""),"",C436*(1+X436))</f>
        <v>0</v>
      </c>
      <c r="Z436" s="8">
        <f>IF(B436="","",IFERROR(INDEX(Ingredients!$O$5:$O$304,MATCH(B436,Ingredients!$A$5:$A$304,0)),""))</f>
        <v>0</v>
      </c>
      <c r="AA436" s="8">
        <f>IF(B436="","",IF(R436&gt;=C436,"In pantry","To buy"))</f>
        <v>0</v>
      </c>
      <c r="AB436" s="8">
        <f>IF(A436="","",COUNTIFS($A$5:A436,A436))</f>
        <v>0</v>
      </c>
      <c r="AC436" s="8">
        <f>IF(B436="","",IF(COUNTIFS('Dietary Filters'!$C$5:$C$104,B436)&gt;0,"Check","OK"))</f>
        <v>0</v>
      </c>
      <c r="AD436" s="25"/>
    </row>
    <row r="437" spans="1:30">
      <c r="A437" s="7"/>
      <c r="B437" s="7"/>
      <c r="C437" s="26"/>
      <c r="D437" s="27"/>
      <c r="E437" s="8">
        <f>IF(B437="","",IFERROR(INDEX(Ingredients!$B$5:$B$304,MATCH(B437,Ingredients!$A$5:$A$304,0)),""))</f>
        <v>0</v>
      </c>
      <c r="F437" s="8">
        <f>IF(B437="","",IFERROR(INDEX(Ingredients!$E$5:$E$304,MATCH(B437,Ingredients!$A$5:$A$304,0)),""))</f>
        <v>0</v>
      </c>
      <c r="G437" s="8">
        <f>IF(B437="","",IFERROR(INDEX(Ingredients!$D$5:$D$304,MATCH(B437,Ingredients!$A$5:$A$304,0)),""))</f>
        <v>0</v>
      </c>
      <c r="H437" s="8">
        <f>IF(OR(B437="",C437=""),"",IFERROR(C437*G437,""))</f>
        <v>0</v>
      </c>
      <c r="I437" s="8">
        <f>IF(A437="","",IFERROR(INDEX(Recipes!$D$5:$D$204,MATCH(A437,Recipes!$A$5:$A$204,0)),""))</f>
        <v>0</v>
      </c>
      <c r="J437" s="8">
        <f>IF(OR(H437="",I437="",I437=0),"",IFERROR(H437/I437,""))</f>
        <v>0</v>
      </c>
      <c r="K437" s="8">
        <f>IF(OR(B437="",C437=""),"",IFERROR(C437*IFERROR(INDEX(Ingredients!$H$5:$H$304,MATCH(B437,Ingredients!$A$5:$A$304,0)),""),""))</f>
        <v>0</v>
      </c>
      <c r="L437" s="8">
        <f>IF(OR(B437="",C437=""),"",IFERROR(C437*IFERROR(INDEX(Ingredients!$I$5:$I$304,MATCH(B437,Ingredients!$A$5:$A$304,0)),""),""))</f>
        <v>0</v>
      </c>
      <c r="M437" s="8">
        <f>IF(OR(B437="",C437=""),"",IFERROR(C437*IFERROR(INDEX(Ingredients!$J$5:$J$304,MATCH(B437,Ingredients!$A$5:$A$304,0)),""),""))</f>
        <v>0</v>
      </c>
      <c r="N437" s="8">
        <f>IF(OR(B437="",C437=""),"",IFERROR(C437*IFERROR(INDEX(Ingredients!$K$5:$K$304,MATCH(B437,Ingredients!$A$5:$A$304,0)),""),""))</f>
        <v>0</v>
      </c>
      <c r="O437" s="8">
        <f>IF(OR(B437="",C437=""),"",IFERROR(C437*IFERROR(INDEX(Ingredients!$L$5:$L$304,MATCH(B437,Ingredients!$A$5:$A$304,0)),""),""))</f>
        <v>0</v>
      </c>
      <c r="P437" s="8">
        <f>IF(OR(H437="",A437=""),"",IFERROR(H437/SUMIFS('Recipe Ingredients'!$H$5:$H$1204,'Recipe Ingredients'!$A$5:$A$1204,A437),""))</f>
        <v>0</v>
      </c>
      <c r="Q437" s="8">
        <f>IF(H437="","",COUNTIFS($H$5:$H$1204,"&gt;"&amp;H437)+1)</f>
        <v>0</v>
      </c>
      <c r="R437" s="8">
        <f>IF(B437="","",SUMIFS(Pantry!$C$5:$C$304,Pantry!$A$5:$A$304,B437))</f>
        <v>0</v>
      </c>
      <c r="S437" s="8">
        <f>IF(OR(B437="",C437=""),"",MAX(0,C437-R437))</f>
        <v>0</v>
      </c>
      <c r="T437" s="26"/>
      <c r="U437" s="8">
        <f>IF(OR(T437="",T437=0,G437=""),"",T437*G437)</f>
        <v>0</v>
      </c>
      <c r="V437" s="8">
        <f>IF(OR(S437="",T437="",T437=0),"",CEILING(S437/T437,1))</f>
        <v>0</v>
      </c>
      <c r="W437" s="27"/>
      <c r="X437" s="29"/>
      <c r="Y437" s="8">
        <f>IF(OR(C437="",X437=""),"",C437*(1+X437))</f>
        <v>0</v>
      </c>
      <c r="Z437" s="8">
        <f>IF(B437="","",IFERROR(INDEX(Ingredients!$O$5:$O$304,MATCH(B437,Ingredients!$A$5:$A$304,0)),""))</f>
        <v>0</v>
      </c>
      <c r="AA437" s="8">
        <f>IF(B437="","",IF(R437&gt;=C437,"In pantry","To buy"))</f>
        <v>0</v>
      </c>
      <c r="AB437" s="8">
        <f>IF(A437="","",COUNTIFS($A$5:A437,A437))</f>
        <v>0</v>
      </c>
      <c r="AC437" s="8">
        <f>IF(B437="","",IF(COUNTIFS('Dietary Filters'!$C$5:$C$104,B437)&gt;0,"Check","OK"))</f>
        <v>0</v>
      </c>
      <c r="AD437" s="25"/>
    </row>
    <row r="438" spans="1:30">
      <c r="A438" s="7"/>
      <c r="B438" s="7"/>
      <c r="C438" s="26"/>
      <c r="D438" s="27"/>
      <c r="E438" s="8">
        <f>IF(B438="","",IFERROR(INDEX(Ingredients!$B$5:$B$304,MATCH(B438,Ingredients!$A$5:$A$304,0)),""))</f>
        <v>0</v>
      </c>
      <c r="F438" s="8">
        <f>IF(B438="","",IFERROR(INDEX(Ingredients!$E$5:$E$304,MATCH(B438,Ingredients!$A$5:$A$304,0)),""))</f>
        <v>0</v>
      </c>
      <c r="G438" s="8">
        <f>IF(B438="","",IFERROR(INDEX(Ingredients!$D$5:$D$304,MATCH(B438,Ingredients!$A$5:$A$304,0)),""))</f>
        <v>0</v>
      </c>
      <c r="H438" s="8">
        <f>IF(OR(B438="",C438=""),"",IFERROR(C438*G438,""))</f>
        <v>0</v>
      </c>
      <c r="I438" s="8">
        <f>IF(A438="","",IFERROR(INDEX(Recipes!$D$5:$D$204,MATCH(A438,Recipes!$A$5:$A$204,0)),""))</f>
        <v>0</v>
      </c>
      <c r="J438" s="8">
        <f>IF(OR(H438="",I438="",I438=0),"",IFERROR(H438/I438,""))</f>
        <v>0</v>
      </c>
      <c r="K438" s="8">
        <f>IF(OR(B438="",C438=""),"",IFERROR(C438*IFERROR(INDEX(Ingredients!$H$5:$H$304,MATCH(B438,Ingredients!$A$5:$A$304,0)),""),""))</f>
        <v>0</v>
      </c>
      <c r="L438" s="8">
        <f>IF(OR(B438="",C438=""),"",IFERROR(C438*IFERROR(INDEX(Ingredients!$I$5:$I$304,MATCH(B438,Ingredients!$A$5:$A$304,0)),""),""))</f>
        <v>0</v>
      </c>
      <c r="M438" s="8">
        <f>IF(OR(B438="",C438=""),"",IFERROR(C438*IFERROR(INDEX(Ingredients!$J$5:$J$304,MATCH(B438,Ingredients!$A$5:$A$304,0)),""),""))</f>
        <v>0</v>
      </c>
      <c r="N438" s="8">
        <f>IF(OR(B438="",C438=""),"",IFERROR(C438*IFERROR(INDEX(Ingredients!$K$5:$K$304,MATCH(B438,Ingredients!$A$5:$A$304,0)),""),""))</f>
        <v>0</v>
      </c>
      <c r="O438" s="8">
        <f>IF(OR(B438="",C438=""),"",IFERROR(C438*IFERROR(INDEX(Ingredients!$L$5:$L$304,MATCH(B438,Ingredients!$A$5:$A$304,0)),""),""))</f>
        <v>0</v>
      </c>
      <c r="P438" s="8">
        <f>IF(OR(H438="",A438=""),"",IFERROR(H438/SUMIFS('Recipe Ingredients'!$H$5:$H$1204,'Recipe Ingredients'!$A$5:$A$1204,A438),""))</f>
        <v>0</v>
      </c>
      <c r="Q438" s="8">
        <f>IF(H438="","",COUNTIFS($H$5:$H$1204,"&gt;"&amp;H438)+1)</f>
        <v>0</v>
      </c>
      <c r="R438" s="8">
        <f>IF(B438="","",SUMIFS(Pantry!$C$5:$C$304,Pantry!$A$5:$A$304,B438))</f>
        <v>0</v>
      </c>
      <c r="S438" s="8">
        <f>IF(OR(B438="",C438=""),"",MAX(0,C438-R438))</f>
        <v>0</v>
      </c>
      <c r="T438" s="26"/>
      <c r="U438" s="8">
        <f>IF(OR(T438="",T438=0,G438=""),"",T438*G438)</f>
        <v>0</v>
      </c>
      <c r="V438" s="8">
        <f>IF(OR(S438="",T438="",T438=0),"",CEILING(S438/T438,1))</f>
        <v>0</v>
      </c>
      <c r="W438" s="27"/>
      <c r="X438" s="29"/>
      <c r="Y438" s="8">
        <f>IF(OR(C438="",X438=""),"",C438*(1+X438))</f>
        <v>0</v>
      </c>
      <c r="Z438" s="8">
        <f>IF(B438="","",IFERROR(INDEX(Ingredients!$O$5:$O$304,MATCH(B438,Ingredients!$A$5:$A$304,0)),""))</f>
        <v>0</v>
      </c>
      <c r="AA438" s="8">
        <f>IF(B438="","",IF(R438&gt;=C438,"In pantry","To buy"))</f>
        <v>0</v>
      </c>
      <c r="AB438" s="8">
        <f>IF(A438="","",COUNTIFS($A$5:A438,A438))</f>
        <v>0</v>
      </c>
      <c r="AC438" s="8">
        <f>IF(B438="","",IF(COUNTIFS('Dietary Filters'!$C$5:$C$104,B438)&gt;0,"Check","OK"))</f>
        <v>0</v>
      </c>
      <c r="AD438" s="25"/>
    </row>
    <row r="439" spans="1:30">
      <c r="A439" s="7"/>
      <c r="B439" s="7"/>
      <c r="C439" s="26"/>
      <c r="D439" s="27"/>
      <c r="E439" s="8">
        <f>IF(B439="","",IFERROR(INDEX(Ingredients!$B$5:$B$304,MATCH(B439,Ingredients!$A$5:$A$304,0)),""))</f>
        <v>0</v>
      </c>
      <c r="F439" s="8">
        <f>IF(B439="","",IFERROR(INDEX(Ingredients!$E$5:$E$304,MATCH(B439,Ingredients!$A$5:$A$304,0)),""))</f>
        <v>0</v>
      </c>
      <c r="G439" s="8">
        <f>IF(B439="","",IFERROR(INDEX(Ingredients!$D$5:$D$304,MATCH(B439,Ingredients!$A$5:$A$304,0)),""))</f>
        <v>0</v>
      </c>
      <c r="H439" s="8">
        <f>IF(OR(B439="",C439=""),"",IFERROR(C439*G439,""))</f>
        <v>0</v>
      </c>
      <c r="I439" s="8">
        <f>IF(A439="","",IFERROR(INDEX(Recipes!$D$5:$D$204,MATCH(A439,Recipes!$A$5:$A$204,0)),""))</f>
        <v>0</v>
      </c>
      <c r="J439" s="8">
        <f>IF(OR(H439="",I439="",I439=0),"",IFERROR(H439/I439,""))</f>
        <v>0</v>
      </c>
      <c r="K439" s="8">
        <f>IF(OR(B439="",C439=""),"",IFERROR(C439*IFERROR(INDEX(Ingredients!$H$5:$H$304,MATCH(B439,Ingredients!$A$5:$A$304,0)),""),""))</f>
        <v>0</v>
      </c>
      <c r="L439" s="8">
        <f>IF(OR(B439="",C439=""),"",IFERROR(C439*IFERROR(INDEX(Ingredients!$I$5:$I$304,MATCH(B439,Ingredients!$A$5:$A$304,0)),""),""))</f>
        <v>0</v>
      </c>
      <c r="M439" s="8">
        <f>IF(OR(B439="",C439=""),"",IFERROR(C439*IFERROR(INDEX(Ingredients!$J$5:$J$304,MATCH(B439,Ingredients!$A$5:$A$304,0)),""),""))</f>
        <v>0</v>
      </c>
      <c r="N439" s="8">
        <f>IF(OR(B439="",C439=""),"",IFERROR(C439*IFERROR(INDEX(Ingredients!$K$5:$K$304,MATCH(B439,Ingredients!$A$5:$A$304,0)),""),""))</f>
        <v>0</v>
      </c>
      <c r="O439" s="8">
        <f>IF(OR(B439="",C439=""),"",IFERROR(C439*IFERROR(INDEX(Ingredients!$L$5:$L$304,MATCH(B439,Ingredients!$A$5:$A$304,0)),""),""))</f>
        <v>0</v>
      </c>
      <c r="P439" s="8">
        <f>IF(OR(H439="",A439=""),"",IFERROR(H439/SUMIFS('Recipe Ingredients'!$H$5:$H$1204,'Recipe Ingredients'!$A$5:$A$1204,A439),""))</f>
        <v>0</v>
      </c>
      <c r="Q439" s="8">
        <f>IF(H439="","",COUNTIFS($H$5:$H$1204,"&gt;"&amp;H439)+1)</f>
        <v>0</v>
      </c>
      <c r="R439" s="8">
        <f>IF(B439="","",SUMIFS(Pantry!$C$5:$C$304,Pantry!$A$5:$A$304,B439))</f>
        <v>0</v>
      </c>
      <c r="S439" s="8">
        <f>IF(OR(B439="",C439=""),"",MAX(0,C439-R439))</f>
        <v>0</v>
      </c>
      <c r="T439" s="26"/>
      <c r="U439" s="8">
        <f>IF(OR(T439="",T439=0,G439=""),"",T439*G439)</f>
        <v>0</v>
      </c>
      <c r="V439" s="8">
        <f>IF(OR(S439="",T439="",T439=0),"",CEILING(S439/T439,1))</f>
        <v>0</v>
      </c>
      <c r="W439" s="27"/>
      <c r="X439" s="29"/>
      <c r="Y439" s="8">
        <f>IF(OR(C439="",X439=""),"",C439*(1+X439))</f>
        <v>0</v>
      </c>
      <c r="Z439" s="8">
        <f>IF(B439="","",IFERROR(INDEX(Ingredients!$O$5:$O$304,MATCH(B439,Ingredients!$A$5:$A$304,0)),""))</f>
        <v>0</v>
      </c>
      <c r="AA439" s="8">
        <f>IF(B439="","",IF(R439&gt;=C439,"In pantry","To buy"))</f>
        <v>0</v>
      </c>
      <c r="AB439" s="8">
        <f>IF(A439="","",COUNTIFS($A$5:A439,A439))</f>
        <v>0</v>
      </c>
      <c r="AC439" s="8">
        <f>IF(B439="","",IF(COUNTIFS('Dietary Filters'!$C$5:$C$104,B439)&gt;0,"Check","OK"))</f>
        <v>0</v>
      </c>
      <c r="AD439" s="25"/>
    </row>
    <row r="440" spans="1:30">
      <c r="A440" s="7"/>
      <c r="B440" s="7"/>
      <c r="C440" s="26"/>
      <c r="D440" s="27"/>
      <c r="E440" s="8">
        <f>IF(B440="","",IFERROR(INDEX(Ingredients!$B$5:$B$304,MATCH(B440,Ingredients!$A$5:$A$304,0)),""))</f>
        <v>0</v>
      </c>
      <c r="F440" s="8">
        <f>IF(B440="","",IFERROR(INDEX(Ingredients!$E$5:$E$304,MATCH(B440,Ingredients!$A$5:$A$304,0)),""))</f>
        <v>0</v>
      </c>
      <c r="G440" s="8">
        <f>IF(B440="","",IFERROR(INDEX(Ingredients!$D$5:$D$304,MATCH(B440,Ingredients!$A$5:$A$304,0)),""))</f>
        <v>0</v>
      </c>
      <c r="H440" s="8">
        <f>IF(OR(B440="",C440=""),"",IFERROR(C440*G440,""))</f>
        <v>0</v>
      </c>
      <c r="I440" s="8">
        <f>IF(A440="","",IFERROR(INDEX(Recipes!$D$5:$D$204,MATCH(A440,Recipes!$A$5:$A$204,0)),""))</f>
        <v>0</v>
      </c>
      <c r="J440" s="8">
        <f>IF(OR(H440="",I440="",I440=0),"",IFERROR(H440/I440,""))</f>
        <v>0</v>
      </c>
      <c r="K440" s="8">
        <f>IF(OR(B440="",C440=""),"",IFERROR(C440*IFERROR(INDEX(Ingredients!$H$5:$H$304,MATCH(B440,Ingredients!$A$5:$A$304,0)),""),""))</f>
        <v>0</v>
      </c>
      <c r="L440" s="8">
        <f>IF(OR(B440="",C440=""),"",IFERROR(C440*IFERROR(INDEX(Ingredients!$I$5:$I$304,MATCH(B440,Ingredients!$A$5:$A$304,0)),""),""))</f>
        <v>0</v>
      </c>
      <c r="M440" s="8">
        <f>IF(OR(B440="",C440=""),"",IFERROR(C440*IFERROR(INDEX(Ingredients!$J$5:$J$304,MATCH(B440,Ingredients!$A$5:$A$304,0)),""),""))</f>
        <v>0</v>
      </c>
      <c r="N440" s="8">
        <f>IF(OR(B440="",C440=""),"",IFERROR(C440*IFERROR(INDEX(Ingredients!$K$5:$K$304,MATCH(B440,Ingredients!$A$5:$A$304,0)),""),""))</f>
        <v>0</v>
      </c>
      <c r="O440" s="8">
        <f>IF(OR(B440="",C440=""),"",IFERROR(C440*IFERROR(INDEX(Ingredients!$L$5:$L$304,MATCH(B440,Ingredients!$A$5:$A$304,0)),""),""))</f>
        <v>0</v>
      </c>
      <c r="P440" s="8">
        <f>IF(OR(H440="",A440=""),"",IFERROR(H440/SUMIFS('Recipe Ingredients'!$H$5:$H$1204,'Recipe Ingredients'!$A$5:$A$1204,A440),""))</f>
        <v>0</v>
      </c>
      <c r="Q440" s="8">
        <f>IF(H440="","",COUNTIFS($H$5:$H$1204,"&gt;"&amp;H440)+1)</f>
        <v>0</v>
      </c>
      <c r="R440" s="8">
        <f>IF(B440="","",SUMIFS(Pantry!$C$5:$C$304,Pantry!$A$5:$A$304,B440))</f>
        <v>0</v>
      </c>
      <c r="S440" s="8">
        <f>IF(OR(B440="",C440=""),"",MAX(0,C440-R440))</f>
        <v>0</v>
      </c>
      <c r="T440" s="26"/>
      <c r="U440" s="8">
        <f>IF(OR(T440="",T440=0,G440=""),"",T440*G440)</f>
        <v>0</v>
      </c>
      <c r="V440" s="8">
        <f>IF(OR(S440="",T440="",T440=0),"",CEILING(S440/T440,1))</f>
        <v>0</v>
      </c>
      <c r="W440" s="27"/>
      <c r="X440" s="29"/>
      <c r="Y440" s="8">
        <f>IF(OR(C440="",X440=""),"",C440*(1+X440))</f>
        <v>0</v>
      </c>
      <c r="Z440" s="8">
        <f>IF(B440="","",IFERROR(INDEX(Ingredients!$O$5:$O$304,MATCH(B440,Ingredients!$A$5:$A$304,0)),""))</f>
        <v>0</v>
      </c>
      <c r="AA440" s="8">
        <f>IF(B440="","",IF(R440&gt;=C440,"In pantry","To buy"))</f>
        <v>0</v>
      </c>
      <c r="AB440" s="8">
        <f>IF(A440="","",COUNTIFS($A$5:A440,A440))</f>
        <v>0</v>
      </c>
      <c r="AC440" s="8">
        <f>IF(B440="","",IF(COUNTIFS('Dietary Filters'!$C$5:$C$104,B440)&gt;0,"Check","OK"))</f>
        <v>0</v>
      </c>
      <c r="AD440" s="25"/>
    </row>
    <row r="441" spans="1:30">
      <c r="A441" s="7"/>
      <c r="B441" s="7"/>
      <c r="C441" s="26"/>
      <c r="D441" s="27"/>
      <c r="E441" s="8">
        <f>IF(B441="","",IFERROR(INDEX(Ingredients!$B$5:$B$304,MATCH(B441,Ingredients!$A$5:$A$304,0)),""))</f>
        <v>0</v>
      </c>
      <c r="F441" s="8">
        <f>IF(B441="","",IFERROR(INDEX(Ingredients!$E$5:$E$304,MATCH(B441,Ingredients!$A$5:$A$304,0)),""))</f>
        <v>0</v>
      </c>
      <c r="G441" s="8">
        <f>IF(B441="","",IFERROR(INDEX(Ingredients!$D$5:$D$304,MATCH(B441,Ingredients!$A$5:$A$304,0)),""))</f>
        <v>0</v>
      </c>
      <c r="H441" s="8">
        <f>IF(OR(B441="",C441=""),"",IFERROR(C441*G441,""))</f>
        <v>0</v>
      </c>
      <c r="I441" s="8">
        <f>IF(A441="","",IFERROR(INDEX(Recipes!$D$5:$D$204,MATCH(A441,Recipes!$A$5:$A$204,0)),""))</f>
        <v>0</v>
      </c>
      <c r="J441" s="8">
        <f>IF(OR(H441="",I441="",I441=0),"",IFERROR(H441/I441,""))</f>
        <v>0</v>
      </c>
      <c r="K441" s="8">
        <f>IF(OR(B441="",C441=""),"",IFERROR(C441*IFERROR(INDEX(Ingredients!$H$5:$H$304,MATCH(B441,Ingredients!$A$5:$A$304,0)),""),""))</f>
        <v>0</v>
      </c>
      <c r="L441" s="8">
        <f>IF(OR(B441="",C441=""),"",IFERROR(C441*IFERROR(INDEX(Ingredients!$I$5:$I$304,MATCH(B441,Ingredients!$A$5:$A$304,0)),""),""))</f>
        <v>0</v>
      </c>
      <c r="M441" s="8">
        <f>IF(OR(B441="",C441=""),"",IFERROR(C441*IFERROR(INDEX(Ingredients!$J$5:$J$304,MATCH(B441,Ingredients!$A$5:$A$304,0)),""),""))</f>
        <v>0</v>
      </c>
      <c r="N441" s="8">
        <f>IF(OR(B441="",C441=""),"",IFERROR(C441*IFERROR(INDEX(Ingredients!$K$5:$K$304,MATCH(B441,Ingredients!$A$5:$A$304,0)),""),""))</f>
        <v>0</v>
      </c>
      <c r="O441" s="8">
        <f>IF(OR(B441="",C441=""),"",IFERROR(C441*IFERROR(INDEX(Ingredients!$L$5:$L$304,MATCH(B441,Ingredients!$A$5:$A$304,0)),""),""))</f>
        <v>0</v>
      </c>
      <c r="P441" s="8">
        <f>IF(OR(H441="",A441=""),"",IFERROR(H441/SUMIFS('Recipe Ingredients'!$H$5:$H$1204,'Recipe Ingredients'!$A$5:$A$1204,A441),""))</f>
        <v>0</v>
      </c>
      <c r="Q441" s="8">
        <f>IF(H441="","",COUNTIFS($H$5:$H$1204,"&gt;"&amp;H441)+1)</f>
        <v>0</v>
      </c>
      <c r="R441" s="8">
        <f>IF(B441="","",SUMIFS(Pantry!$C$5:$C$304,Pantry!$A$5:$A$304,B441))</f>
        <v>0</v>
      </c>
      <c r="S441" s="8">
        <f>IF(OR(B441="",C441=""),"",MAX(0,C441-R441))</f>
        <v>0</v>
      </c>
      <c r="T441" s="26"/>
      <c r="U441" s="8">
        <f>IF(OR(T441="",T441=0,G441=""),"",T441*G441)</f>
        <v>0</v>
      </c>
      <c r="V441" s="8">
        <f>IF(OR(S441="",T441="",T441=0),"",CEILING(S441/T441,1))</f>
        <v>0</v>
      </c>
      <c r="W441" s="27"/>
      <c r="X441" s="29"/>
      <c r="Y441" s="8">
        <f>IF(OR(C441="",X441=""),"",C441*(1+X441))</f>
        <v>0</v>
      </c>
      <c r="Z441" s="8">
        <f>IF(B441="","",IFERROR(INDEX(Ingredients!$O$5:$O$304,MATCH(B441,Ingredients!$A$5:$A$304,0)),""))</f>
        <v>0</v>
      </c>
      <c r="AA441" s="8">
        <f>IF(B441="","",IF(R441&gt;=C441,"In pantry","To buy"))</f>
        <v>0</v>
      </c>
      <c r="AB441" s="8">
        <f>IF(A441="","",COUNTIFS($A$5:A441,A441))</f>
        <v>0</v>
      </c>
      <c r="AC441" s="8">
        <f>IF(B441="","",IF(COUNTIFS('Dietary Filters'!$C$5:$C$104,B441)&gt;0,"Check","OK"))</f>
        <v>0</v>
      </c>
      <c r="AD441" s="25"/>
    </row>
    <row r="442" spans="1:30">
      <c r="A442" s="7"/>
      <c r="B442" s="7"/>
      <c r="C442" s="26"/>
      <c r="D442" s="27"/>
      <c r="E442" s="8">
        <f>IF(B442="","",IFERROR(INDEX(Ingredients!$B$5:$B$304,MATCH(B442,Ingredients!$A$5:$A$304,0)),""))</f>
        <v>0</v>
      </c>
      <c r="F442" s="8">
        <f>IF(B442="","",IFERROR(INDEX(Ingredients!$E$5:$E$304,MATCH(B442,Ingredients!$A$5:$A$304,0)),""))</f>
        <v>0</v>
      </c>
      <c r="G442" s="8">
        <f>IF(B442="","",IFERROR(INDEX(Ingredients!$D$5:$D$304,MATCH(B442,Ingredients!$A$5:$A$304,0)),""))</f>
        <v>0</v>
      </c>
      <c r="H442" s="8">
        <f>IF(OR(B442="",C442=""),"",IFERROR(C442*G442,""))</f>
        <v>0</v>
      </c>
      <c r="I442" s="8">
        <f>IF(A442="","",IFERROR(INDEX(Recipes!$D$5:$D$204,MATCH(A442,Recipes!$A$5:$A$204,0)),""))</f>
        <v>0</v>
      </c>
      <c r="J442" s="8">
        <f>IF(OR(H442="",I442="",I442=0),"",IFERROR(H442/I442,""))</f>
        <v>0</v>
      </c>
      <c r="K442" s="8">
        <f>IF(OR(B442="",C442=""),"",IFERROR(C442*IFERROR(INDEX(Ingredients!$H$5:$H$304,MATCH(B442,Ingredients!$A$5:$A$304,0)),""),""))</f>
        <v>0</v>
      </c>
      <c r="L442" s="8">
        <f>IF(OR(B442="",C442=""),"",IFERROR(C442*IFERROR(INDEX(Ingredients!$I$5:$I$304,MATCH(B442,Ingredients!$A$5:$A$304,0)),""),""))</f>
        <v>0</v>
      </c>
      <c r="M442" s="8">
        <f>IF(OR(B442="",C442=""),"",IFERROR(C442*IFERROR(INDEX(Ingredients!$J$5:$J$304,MATCH(B442,Ingredients!$A$5:$A$304,0)),""),""))</f>
        <v>0</v>
      </c>
      <c r="N442" s="8">
        <f>IF(OR(B442="",C442=""),"",IFERROR(C442*IFERROR(INDEX(Ingredients!$K$5:$K$304,MATCH(B442,Ingredients!$A$5:$A$304,0)),""),""))</f>
        <v>0</v>
      </c>
      <c r="O442" s="8">
        <f>IF(OR(B442="",C442=""),"",IFERROR(C442*IFERROR(INDEX(Ingredients!$L$5:$L$304,MATCH(B442,Ingredients!$A$5:$A$304,0)),""),""))</f>
        <v>0</v>
      </c>
      <c r="P442" s="8">
        <f>IF(OR(H442="",A442=""),"",IFERROR(H442/SUMIFS('Recipe Ingredients'!$H$5:$H$1204,'Recipe Ingredients'!$A$5:$A$1204,A442),""))</f>
        <v>0</v>
      </c>
      <c r="Q442" s="8">
        <f>IF(H442="","",COUNTIFS($H$5:$H$1204,"&gt;"&amp;H442)+1)</f>
        <v>0</v>
      </c>
      <c r="R442" s="8">
        <f>IF(B442="","",SUMIFS(Pantry!$C$5:$C$304,Pantry!$A$5:$A$304,B442))</f>
        <v>0</v>
      </c>
      <c r="S442" s="8">
        <f>IF(OR(B442="",C442=""),"",MAX(0,C442-R442))</f>
        <v>0</v>
      </c>
      <c r="T442" s="26"/>
      <c r="U442" s="8">
        <f>IF(OR(T442="",T442=0,G442=""),"",T442*G442)</f>
        <v>0</v>
      </c>
      <c r="V442" s="8">
        <f>IF(OR(S442="",T442="",T442=0),"",CEILING(S442/T442,1))</f>
        <v>0</v>
      </c>
      <c r="W442" s="27"/>
      <c r="X442" s="29"/>
      <c r="Y442" s="8">
        <f>IF(OR(C442="",X442=""),"",C442*(1+X442))</f>
        <v>0</v>
      </c>
      <c r="Z442" s="8">
        <f>IF(B442="","",IFERROR(INDEX(Ingredients!$O$5:$O$304,MATCH(B442,Ingredients!$A$5:$A$304,0)),""))</f>
        <v>0</v>
      </c>
      <c r="AA442" s="8">
        <f>IF(B442="","",IF(R442&gt;=C442,"In pantry","To buy"))</f>
        <v>0</v>
      </c>
      <c r="AB442" s="8">
        <f>IF(A442="","",COUNTIFS($A$5:A442,A442))</f>
        <v>0</v>
      </c>
      <c r="AC442" s="8">
        <f>IF(B442="","",IF(COUNTIFS('Dietary Filters'!$C$5:$C$104,B442)&gt;0,"Check","OK"))</f>
        <v>0</v>
      </c>
      <c r="AD442" s="25"/>
    </row>
    <row r="443" spans="1:30">
      <c r="A443" s="7"/>
      <c r="B443" s="7"/>
      <c r="C443" s="26"/>
      <c r="D443" s="27"/>
      <c r="E443" s="8">
        <f>IF(B443="","",IFERROR(INDEX(Ingredients!$B$5:$B$304,MATCH(B443,Ingredients!$A$5:$A$304,0)),""))</f>
        <v>0</v>
      </c>
      <c r="F443" s="8">
        <f>IF(B443="","",IFERROR(INDEX(Ingredients!$E$5:$E$304,MATCH(B443,Ingredients!$A$5:$A$304,0)),""))</f>
        <v>0</v>
      </c>
      <c r="G443" s="8">
        <f>IF(B443="","",IFERROR(INDEX(Ingredients!$D$5:$D$304,MATCH(B443,Ingredients!$A$5:$A$304,0)),""))</f>
        <v>0</v>
      </c>
      <c r="H443" s="8">
        <f>IF(OR(B443="",C443=""),"",IFERROR(C443*G443,""))</f>
        <v>0</v>
      </c>
      <c r="I443" s="8">
        <f>IF(A443="","",IFERROR(INDEX(Recipes!$D$5:$D$204,MATCH(A443,Recipes!$A$5:$A$204,0)),""))</f>
        <v>0</v>
      </c>
      <c r="J443" s="8">
        <f>IF(OR(H443="",I443="",I443=0),"",IFERROR(H443/I443,""))</f>
        <v>0</v>
      </c>
      <c r="K443" s="8">
        <f>IF(OR(B443="",C443=""),"",IFERROR(C443*IFERROR(INDEX(Ingredients!$H$5:$H$304,MATCH(B443,Ingredients!$A$5:$A$304,0)),""),""))</f>
        <v>0</v>
      </c>
      <c r="L443" s="8">
        <f>IF(OR(B443="",C443=""),"",IFERROR(C443*IFERROR(INDEX(Ingredients!$I$5:$I$304,MATCH(B443,Ingredients!$A$5:$A$304,0)),""),""))</f>
        <v>0</v>
      </c>
      <c r="M443" s="8">
        <f>IF(OR(B443="",C443=""),"",IFERROR(C443*IFERROR(INDEX(Ingredients!$J$5:$J$304,MATCH(B443,Ingredients!$A$5:$A$304,0)),""),""))</f>
        <v>0</v>
      </c>
      <c r="N443" s="8">
        <f>IF(OR(B443="",C443=""),"",IFERROR(C443*IFERROR(INDEX(Ingredients!$K$5:$K$304,MATCH(B443,Ingredients!$A$5:$A$304,0)),""),""))</f>
        <v>0</v>
      </c>
      <c r="O443" s="8">
        <f>IF(OR(B443="",C443=""),"",IFERROR(C443*IFERROR(INDEX(Ingredients!$L$5:$L$304,MATCH(B443,Ingredients!$A$5:$A$304,0)),""),""))</f>
        <v>0</v>
      </c>
      <c r="P443" s="8">
        <f>IF(OR(H443="",A443=""),"",IFERROR(H443/SUMIFS('Recipe Ingredients'!$H$5:$H$1204,'Recipe Ingredients'!$A$5:$A$1204,A443),""))</f>
        <v>0</v>
      </c>
      <c r="Q443" s="8">
        <f>IF(H443="","",COUNTIFS($H$5:$H$1204,"&gt;"&amp;H443)+1)</f>
        <v>0</v>
      </c>
      <c r="R443" s="8">
        <f>IF(B443="","",SUMIFS(Pantry!$C$5:$C$304,Pantry!$A$5:$A$304,B443))</f>
        <v>0</v>
      </c>
      <c r="S443" s="8">
        <f>IF(OR(B443="",C443=""),"",MAX(0,C443-R443))</f>
        <v>0</v>
      </c>
      <c r="T443" s="26"/>
      <c r="U443" s="8">
        <f>IF(OR(T443="",T443=0,G443=""),"",T443*G443)</f>
        <v>0</v>
      </c>
      <c r="V443" s="8">
        <f>IF(OR(S443="",T443="",T443=0),"",CEILING(S443/T443,1))</f>
        <v>0</v>
      </c>
      <c r="W443" s="27"/>
      <c r="X443" s="29"/>
      <c r="Y443" s="8">
        <f>IF(OR(C443="",X443=""),"",C443*(1+X443))</f>
        <v>0</v>
      </c>
      <c r="Z443" s="8">
        <f>IF(B443="","",IFERROR(INDEX(Ingredients!$O$5:$O$304,MATCH(B443,Ingredients!$A$5:$A$304,0)),""))</f>
        <v>0</v>
      </c>
      <c r="AA443" s="8">
        <f>IF(B443="","",IF(R443&gt;=C443,"In pantry","To buy"))</f>
        <v>0</v>
      </c>
      <c r="AB443" s="8">
        <f>IF(A443="","",COUNTIFS($A$5:A443,A443))</f>
        <v>0</v>
      </c>
      <c r="AC443" s="8">
        <f>IF(B443="","",IF(COUNTIFS('Dietary Filters'!$C$5:$C$104,B443)&gt;0,"Check","OK"))</f>
        <v>0</v>
      </c>
      <c r="AD443" s="25"/>
    </row>
    <row r="444" spans="1:30">
      <c r="A444" s="7"/>
      <c r="B444" s="7"/>
      <c r="C444" s="26"/>
      <c r="D444" s="27"/>
      <c r="E444" s="8">
        <f>IF(B444="","",IFERROR(INDEX(Ingredients!$B$5:$B$304,MATCH(B444,Ingredients!$A$5:$A$304,0)),""))</f>
        <v>0</v>
      </c>
      <c r="F444" s="8">
        <f>IF(B444="","",IFERROR(INDEX(Ingredients!$E$5:$E$304,MATCH(B444,Ingredients!$A$5:$A$304,0)),""))</f>
        <v>0</v>
      </c>
      <c r="G444" s="8">
        <f>IF(B444="","",IFERROR(INDEX(Ingredients!$D$5:$D$304,MATCH(B444,Ingredients!$A$5:$A$304,0)),""))</f>
        <v>0</v>
      </c>
      <c r="H444" s="8">
        <f>IF(OR(B444="",C444=""),"",IFERROR(C444*G444,""))</f>
        <v>0</v>
      </c>
      <c r="I444" s="8">
        <f>IF(A444="","",IFERROR(INDEX(Recipes!$D$5:$D$204,MATCH(A444,Recipes!$A$5:$A$204,0)),""))</f>
        <v>0</v>
      </c>
      <c r="J444" s="8">
        <f>IF(OR(H444="",I444="",I444=0),"",IFERROR(H444/I444,""))</f>
        <v>0</v>
      </c>
      <c r="K444" s="8">
        <f>IF(OR(B444="",C444=""),"",IFERROR(C444*IFERROR(INDEX(Ingredients!$H$5:$H$304,MATCH(B444,Ingredients!$A$5:$A$304,0)),""),""))</f>
        <v>0</v>
      </c>
      <c r="L444" s="8">
        <f>IF(OR(B444="",C444=""),"",IFERROR(C444*IFERROR(INDEX(Ingredients!$I$5:$I$304,MATCH(B444,Ingredients!$A$5:$A$304,0)),""),""))</f>
        <v>0</v>
      </c>
      <c r="M444" s="8">
        <f>IF(OR(B444="",C444=""),"",IFERROR(C444*IFERROR(INDEX(Ingredients!$J$5:$J$304,MATCH(B444,Ingredients!$A$5:$A$304,0)),""),""))</f>
        <v>0</v>
      </c>
      <c r="N444" s="8">
        <f>IF(OR(B444="",C444=""),"",IFERROR(C444*IFERROR(INDEX(Ingredients!$K$5:$K$304,MATCH(B444,Ingredients!$A$5:$A$304,0)),""),""))</f>
        <v>0</v>
      </c>
      <c r="O444" s="8">
        <f>IF(OR(B444="",C444=""),"",IFERROR(C444*IFERROR(INDEX(Ingredients!$L$5:$L$304,MATCH(B444,Ingredients!$A$5:$A$304,0)),""),""))</f>
        <v>0</v>
      </c>
      <c r="P444" s="8">
        <f>IF(OR(H444="",A444=""),"",IFERROR(H444/SUMIFS('Recipe Ingredients'!$H$5:$H$1204,'Recipe Ingredients'!$A$5:$A$1204,A444),""))</f>
        <v>0</v>
      </c>
      <c r="Q444" s="8">
        <f>IF(H444="","",COUNTIFS($H$5:$H$1204,"&gt;"&amp;H444)+1)</f>
        <v>0</v>
      </c>
      <c r="R444" s="8">
        <f>IF(B444="","",SUMIFS(Pantry!$C$5:$C$304,Pantry!$A$5:$A$304,B444))</f>
        <v>0</v>
      </c>
      <c r="S444" s="8">
        <f>IF(OR(B444="",C444=""),"",MAX(0,C444-R444))</f>
        <v>0</v>
      </c>
      <c r="T444" s="26"/>
      <c r="U444" s="8">
        <f>IF(OR(T444="",T444=0,G444=""),"",T444*G444)</f>
        <v>0</v>
      </c>
      <c r="V444" s="8">
        <f>IF(OR(S444="",T444="",T444=0),"",CEILING(S444/T444,1))</f>
        <v>0</v>
      </c>
      <c r="W444" s="27"/>
      <c r="X444" s="29"/>
      <c r="Y444" s="8">
        <f>IF(OR(C444="",X444=""),"",C444*(1+X444))</f>
        <v>0</v>
      </c>
      <c r="Z444" s="8">
        <f>IF(B444="","",IFERROR(INDEX(Ingredients!$O$5:$O$304,MATCH(B444,Ingredients!$A$5:$A$304,0)),""))</f>
        <v>0</v>
      </c>
      <c r="AA444" s="8">
        <f>IF(B444="","",IF(R444&gt;=C444,"In pantry","To buy"))</f>
        <v>0</v>
      </c>
      <c r="AB444" s="8">
        <f>IF(A444="","",COUNTIFS($A$5:A444,A444))</f>
        <v>0</v>
      </c>
      <c r="AC444" s="8">
        <f>IF(B444="","",IF(COUNTIFS('Dietary Filters'!$C$5:$C$104,B444)&gt;0,"Check","OK"))</f>
        <v>0</v>
      </c>
      <c r="AD444" s="25"/>
    </row>
    <row r="445" spans="1:30">
      <c r="A445" s="7"/>
      <c r="B445" s="7"/>
      <c r="C445" s="26"/>
      <c r="D445" s="27"/>
      <c r="E445" s="8">
        <f>IF(B445="","",IFERROR(INDEX(Ingredients!$B$5:$B$304,MATCH(B445,Ingredients!$A$5:$A$304,0)),""))</f>
        <v>0</v>
      </c>
      <c r="F445" s="8">
        <f>IF(B445="","",IFERROR(INDEX(Ingredients!$E$5:$E$304,MATCH(B445,Ingredients!$A$5:$A$304,0)),""))</f>
        <v>0</v>
      </c>
      <c r="G445" s="8">
        <f>IF(B445="","",IFERROR(INDEX(Ingredients!$D$5:$D$304,MATCH(B445,Ingredients!$A$5:$A$304,0)),""))</f>
        <v>0</v>
      </c>
      <c r="H445" s="8">
        <f>IF(OR(B445="",C445=""),"",IFERROR(C445*G445,""))</f>
        <v>0</v>
      </c>
      <c r="I445" s="8">
        <f>IF(A445="","",IFERROR(INDEX(Recipes!$D$5:$D$204,MATCH(A445,Recipes!$A$5:$A$204,0)),""))</f>
        <v>0</v>
      </c>
      <c r="J445" s="8">
        <f>IF(OR(H445="",I445="",I445=0),"",IFERROR(H445/I445,""))</f>
        <v>0</v>
      </c>
      <c r="K445" s="8">
        <f>IF(OR(B445="",C445=""),"",IFERROR(C445*IFERROR(INDEX(Ingredients!$H$5:$H$304,MATCH(B445,Ingredients!$A$5:$A$304,0)),""),""))</f>
        <v>0</v>
      </c>
      <c r="L445" s="8">
        <f>IF(OR(B445="",C445=""),"",IFERROR(C445*IFERROR(INDEX(Ingredients!$I$5:$I$304,MATCH(B445,Ingredients!$A$5:$A$304,0)),""),""))</f>
        <v>0</v>
      </c>
      <c r="M445" s="8">
        <f>IF(OR(B445="",C445=""),"",IFERROR(C445*IFERROR(INDEX(Ingredients!$J$5:$J$304,MATCH(B445,Ingredients!$A$5:$A$304,0)),""),""))</f>
        <v>0</v>
      </c>
      <c r="N445" s="8">
        <f>IF(OR(B445="",C445=""),"",IFERROR(C445*IFERROR(INDEX(Ingredients!$K$5:$K$304,MATCH(B445,Ingredients!$A$5:$A$304,0)),""),""))</f>
        <v>0</v>
      </c>
      <c r="O445" s="8">
        <f>IF(OR(B445="",C445=""),"",IFERROR(C445*IFERROR(INDEX(Ingredients!$L$5:$L$304,MATCH(B445,Ingredients!$A$5:$A$304,0)),""),""))</f>
        <v>0</v>
      </c>
      <c r="P445" s="8">
        <f>IF(OR(H445="",A445=""),"",IFERROR(H445/SUMIFS('Recipe Ingredients'!$H$5:$H$1204,'Recipe Ingredients'!$A$5:$A$1204,A445),""))</f>
        <v>0</v>
      </c>
      <c r="Q445" s="8">
        <f>IF(H445="","",COUNTIFS($H$5:$H$1204,"&gt;"&amp;H445)+1)</f>
        <v>0</v>
      </c>
      <c r="R445" s="8">
        <f>IF(B445="","",SUMIFS(Pantry!$C$5:$C$304,Pantry!$A$5:$A$304,B445))</f>
        <v>0</v>
      </c>
      <c r="S445" s="8">
        <f>IF(OR(B445="",C445=""),"",MAX(0,C445-R445))</f>
        <v>0</v>
      </c>
      <c r="T445" s="26"/>
      <c r="U445" s="8">
        <f>IF(OR(T445="",T445=0,G445=""),"",T445*G445)</f>
        <v>0</v>
      </c>
      <c r="V445" s="8">
        <f>IF(OR(S445="",T445="",T445=0),"",CEILING(S445/T445,1))</f>
        <v>0</v>
      </c>
      <c r="W445" s="27"/>
      <c r="X445" s="29"/>
      <c r="Y445" s="8">
        <f>IF(OR(C445="",X445=""),"",C445*(1+X445))</f>
        <v>0</v>
      </c>
      <c r="Z445" s="8">
        <f>IF(B445="","",IFERROR(INDEX(Ingredients!$O$5:$O$304,MATCH(B445,Ingredients!$A$5:$A$304,0)),""))</f>
        <v>0</v>
      </c>
      <c r="AA445" s="8">
        <f>IF(B445="","",IF(R445&gt;=C445,"In pantry","To buy"))</f>
        <v>0</v>
      </c>
      <c r="AB445" s="8">
        <f>IF(A445="","",COUNTIFS($A$5:A445,A445))</f>
        <v>0</v>
      </c>
      <c r="AC445" s="8">
        <f>IF(B445="","",IF(COUNTIFS('Dietary Filters'!$C$5:$C$104,B445)&gt;0,"Check","OK"))</f>
        <v>0</v>
      </c>
      <c r="AD445" s="25"/>
    </row>
    <row r="446" spans="1:30">
      <c r="A446" s="7"/>
      <c r="B446" s="7"/>
      <c r="C446" s="26"/>
      <c r="D446" s="27"/>
      <c r="E446" s="8">
        <f>IF(B446="","",IFERROR(INDEX(Ingredients!$B$5:$B$304,MATCH(B446,Ingredients!$A$5:$A$304,0)),""))</f>
        <v>0</v>
      </c>
      <c r="F446" s="8">
        <f>IF(B446="","",IFERROR(INDEX(Ingredients!$E$5:$E$304,MATCH(B446,Ingredients!$A$5:$A$304,0)),""))</f>
        <v>0</v>
      </c>
      <c r="G446" s="8">
        <f>IF(B446="","",IFERROR(INDEX(Ingredients!$D$5:$D$304,MATCH(B446,Ingredients!$A$5:$A$304,0)),""))</f>
        <v>0</v>
      </c>
      <c r="H446" s="8">
        <f>IF(OR(B446="",C446=""),"",IFERROR(C446*G446,""))</f>
        <v>0</v>
      </c>
      <c r="I446" s="8">
        <f>IF(A446="","",IFERROR(INDEX(Recipes!$D$5:$D$204,MATCH(A446,Recipes!$A$5:$A$204,0)),""))</f>
        <v>0</v>
      </c>
      <c r="J446" s="8">
        <f>IF(OR(H446="",I446="",I446=0),"",IFERROR(H446/I446,""))</f>
        <v>0</v>
      </c>
      <c r="K446" s="8">
        <f>IF(OR(B446="",C446=""),"",IFERROR(C446*IFERROR(INDEX(Ingredients!$H$5:$H$304,MATCH(B446,Ingredients!$A$5:$A$304,0)),""),""))</f>
        <v>0</v>
      </c>
      <c r="L446" s="8">
        <f>IF(OR(B446="",C446=""),"",IFERROR(C446*IFERROR(INDEX(Ingredients!$I$5:$I$304,MATCH(B446,Ingredients!$A$5:$A$304,0)),""),""))</f>
        <v>0</v>
      </c>
      <c r="M446" s="8">
        <f>IF(OR(B446="",C446=""),"",IFERROR(C446*IFERROR(INDEX(Ingredients!$J$5:$J$304,MATCH(B446,Ingredients!$A$5:$A$304,0)),""),""))</f>
        <v>0</v>
      </c>
      <c r="N446" s="8">
        <f>IF(OR(B446="",C446=""),"",IFERROR(C446*IFERROR(INDEX(Ingredients!$K$5:$K$304,MATCH(B446,Ingredients!$A$5:$A$304,0)),""),""))</f>
        <v>0</v>
      </c>
      <c r="O446" s="8">
        <f>IF(OR(B446="",C446=""),"",IFERROR(C446*IFERROR(INDEX(Ingredients!$L$5:$L$304,MATCH(B446,Ingredients!$A$5:$A$304,0)),""),""))</f>
        <v>0</v>
      </c>
      <c r="P446" s="8">
        <f>IF(OR(H446="",A446=""),"",IFERROR(H446/SUMIFS('Recipe Ingredients'!$H$5:$H$1204,'Recipe Ingredients'!$A$5:$A$1204,A446),""))</f>
        <v>0</v>
      </c>
      <c r="Q446" s="8">
        <f>IF(H446="","",COUNTIFS($H$5:$H$1204,"&gt;"&amp;H446)+1)</f>
        <v>0</v>
      </c>
      <c r="R446" s="8">
        <f>IF(B446="","",SUMIFS(Pantry!$C$5:$C$304,Pantry!$A$5:$A$304,B446))</f>
        <v>0</v>
      </c>
      <c r="S446" s="8">
        <f>IF(OR(B446="",C446=""),"",MAX(0,C446-R446))</f>
        <v>0</v>
      </c>
      <c r="T446" s="26"/>
      <c r="U446" s="8">
        <f>IF(OR(T446="",T446=0,G446=""),"",T446*G446)</f>
        <v>0</v>
      </c>
      <c r="V446" s="8">
        <f>IF(OR(S446="",T446="",T446=0),"",CEILING(S446/T446,1))</f>
        <v>0</v>
      </c>
      <c r="W446" s="27"/>
      <c r="X446" s="29"/>
      <c r="Y446" s="8">
        <f>IF(OR(C446="",X446=""),"",C446*(1+X446))</f>
        <v>0</v>
      </c>
      <c r="Z446" s="8">
        <f>IF(B446="","",IFERROR(INDEX(Ingredients!$O$5:$O$304,MATCH(B446,Ingredients!$A$5:$A$304,0)),""))</f>
        <v>0</v>
      </c>
      <c r="AA446" s="8">
        <f>IF(B446="","",IF(R446&gt;=C446,"In pantry","To buy"))</f>
        <v>0</v>
      </c>
      <c r="AB446" s="8">
        <f>IF(A446="","",COUNTIFS($A$5:A446,A446))</f>
        <v>0</v>
      </c>
      <c r="AC446" s="8">
        <f>IF(B446="","",IF(COUNTIFS('Dietary Filters'!$C$5:$C$104,B446)&gt;0,"Check","OK"))</f>
        <v>0</v>
      </c>
      <c r="AD446" s="25"/>
    </row>
    <row r="447" spans="1:30">
      <c r="A447" s="7"/>
      <c r="B447" s="7"/>
      <c r="C447" s="26"/>
      <c r="D447" s="27"/>
      <c r="E447" s="8">
        <f>IF(B447="","",IFERROR(INDEX(Ingredients!$B$5:$B$304,MATCH(B447,Ingredients!$A$5:$A$304,0)),""))</f>
        <v>0</v>
      </c>
      <c r="F447" s="8">
        <f>IF(B447="","",IFERROR(INDEX(Ingredients!$E$5:$E$304,MATCH(B447,Ingredients!$A$5:$A$304,0)),""))</f>
        <v>0</v>
      </c>
      <c r="G447" s="8">
        <f>IF(B447="","",IFERROR(INDEX(Ingredients!$D$5:$D$304,MATCH(B447,Ingredients!$A$5:$A$304,0)),""))</f>
        <v>0</v>
      </c>
      <c r="H447" s="8">
        <f>IF(OR(B447="",C447=""),"",IFERROR(C447*G447,""))</f>
        <v>0</v>
      </c>
      <c r="I447" s="8">
        <f>IF(A447="","",IFERROR(INDEX(Recipes!$D$5:$D$204,MATCH(A447,Recipes!$A$5:$A$204,0)),""))</f>
        <v>0</v>
      </c>
      <c r="J447" s="8">
        <f>IF(OR(H447="",I447="",I447=0),"",IFERROR(H447/I447,""))</f>
        <v>0</v>
      </c>
      <c r="K447" s="8">
        <f>IF(OR(B447="",C447=""),"",IFERROR(C447*IFERROR(INDEX(Ingredients!$H$5:$H$304,MATCH(B447,Ingredients!$A$5:$A$304,0)),""),""))</f>
        <v>0</v>
      </c>
      <c r="L447" s="8">
        <f>IF(OR(B447="",C447=""),"",IFERROR(C447*IFERROR(INDEX(Ingredients!$I$5:$I$304,MATCH(B447,Ingredients!$A$5:$A$304,0)),""),""))</f>
        <v>0</v>
      </c>
      <c r="M447" s="8">
        <f>IF(OR(B447="",C447=""),"",IFERROR(C447*IFERROR(INDEX(Ingredients!$J$5:$J$304,MATCH(B447,Ingredients!$A$5:$A$304,0)),""),""))</f>
        <v>0</v>
      </c>
      <c r="N447" s="8">
        <f>IF(OR(B447="",C447=""),"",IFERROR(C447*IFERROR(INDEX(Ingredients!$K$5:$K$304,MATCH(B447,Ingredients!$A$5:$A$304,0)),""),""))</f>
        <v>0</v>
      </c>
      <c r="O447" s="8">
        <f>IF(OR(B447="",C447=""),"",IFERROR(C447*IFERROR(INDEX(Ingredients!$L$5:$L$304,MATCH(B447,Ingredients!$A$5:$A$304,0)),""),""))</f>
        <v>0</v>
      </c>
      <c r="P447" s="8">
        <f>IF(OR(H447="",A447=""),"",IFERROR(H447/SUMIFS('Recipe Ingredients'!$H$5:$H$1204,'Recipe Ingredients'!$A$5:$A$1204,A447),""))</f>
        <v>0</v>
      </c>
      <c r="Q447" s="8">
        <f>IF(H447="","",COUNTIFS($H$5:$H$1204,"&gt;"&amp;H447)+1)</f>
        <v>0</v>
      </c>
      <c r="R447" s="8">
        <f>IF(B447="","",SUMIFS(Pantry!$C$5:$C$304,Pantry!$A$5:$A$304,B447))</f>
        <v>0</v>
      </c>
      <c r="S447" s="8">
        <f>IF(OR(B447="",C447=""),"",MAX(0,C447-R447))</f>
        <v>0</v>
      </c>
      <c r="T447" s="26"/>
      <c r="U447" s="8">
        <f>IF(OR(T447="",T447=0,G447=""),"",T447*G447)</f>
        <v>0</v>
      </c>
      <c r="V447" s="8">
        <f>IF(OR(S447="",T447="",T447=0),"",CEILING(S447/T447,1))</f>
        <v>0</v>
      </c>
      <c r="W447" s="27"/>
      <c r="X447" s="29"/>
      <c r="Y447" s="8">
        <f>IF(OR(C447="",X447=""),"",C447*(1+X447))</f>
        <v>0</v>
      </c>
      <c r="Z447" s="8">
        <f>IF(B447="","",IFERROR(INDEX(Ingredients!$O$5:$O$304,MATCH(B447,Ingredients!$A$5:$A$304,0)),""))</f>
        <v>0</v>
      </c>
      <c r="AA447" s="8">
        <f>IF(B447="","",IF(R447&gt;=C447,"In pantry","To buy"))</f>
        <v>0</v>
      </c>
      <c r="AB447" s="8">
        <f>IF(A447="","",COUNTIFS($A$5:A447,A447))</f>
        <v>0</v>
      </c>
      <c r="AC447" s="8">
        <f>IF(B447="","",IF(COUNTIFS('Dietary Filters'!$C$5:$C$104,B447)&gt;0,"Check","OK"))</f>
        <v>0</v>
      </c>
      <c r="AD447" s="25"/>
    </row>
    <row r="448" spans="1:30">
      <c r="A448" s="7"/>
      <c r="B448" s="7"/>
      <c r="C448" s="26"/>
      <c r="D448" s="27"/>
      <c r="E448" s="8">
        <f>IF(B448="","",IFERROR(INDEX(Ingredients!$B$5:$B$304,MATCH(B448,Ingredients!$A$5:$A$304,0)),""))</f>
        <v>0</v>
      </c>
      <c r="F448" s="8">
        <f>IF(B448="","",IFERROR(INDEX(Ingredients!$E$5:$E$304,MATCH(B448,Ingredients!$A$5:$A$304,0)),""))</f>
        <v>0</v>
      </c>
      <c r="G448" s="8">
        <f>IF(B448="","",IFERROR(INDEX(Ingredients!$D$5:$D$304,MATCH(B448,Ingredients!$A$5:$A$304,0)),""))</f>
        <v>0</v>
      </c>
      <c r="H448" s="8">
        <f>IF(OR(B448="",C448=""),"",IFERROR(C448*G448,""))</f>
        <v>0</v>
      </c>
      <c r="I448" s="8">
        <f>IF(A448="","",IFERROR(INDEX(Recipes!$D$5:$D$204,MATCH(A448,Recipes!$A$5:$A$204,0)),""))</f>
        <v>0</v>
      </c>
      <c r="J448" s="8">
        <f>IF(OR(H448="",I448="",I448=0),"",IFERROR(H448/I448,""))</f>
        <v>0</v>
      </c>
      <c r="K448" s="8">
        <f>IF(OR(B448="",C448=""),"",IFERROR(C448*IFERROR(INDEX(Ingredients!$H$5:$H$304,MATCH(B448,Ingredients!$A$5:$A$304,0)),""),""))</f>
        <v>0</v>
      </c>
      <c r="L448" s="8">
        <f>IF(OR(B448="",C448=""),"",IFERROR(C448*IFERROR(INDEX(Ingredients!$I$5:$I$304,MATCH(B448,Ingredients!$A$5:$A$304,0)),""),""))</f>
        <v>0</v>
      </c>
      <c r="M448" s="8">
        <f>IF(OR(B448="",C448=""),"",IFERROR(C448*IFERROR(INDEX(Ingredients!$J$5:$J$304,MATCH(B448,Ingredients!$A$5:$A$304,0)),""),""))</f>
        <v>0</v>
      </c>
      <c r="N448" s="8">
        <f>IF(OR(B448="",C448=""),"",IFERROR(C448*IFERROR(INDEX(Ingredients!$K$5:$K$304,MATCH(B448,Ingredients!$A$5:$A$304,0)),""),""))</f>
        <v>0</v>
      </c>
      <c r="O448" s="8">
        <f>IF(OR(B448="",C448=""),"",IFERROR(C448*IFERROR(INDEX(Ingredients!$L$5:$L$304,MATCH(B448,Ingredients!$A$5:$A$304,0)),""),""))</f>
        <v>0</v>
      </c>
      <c r="P448" s="8">
        <f>IF(OR(H448="",A448=""),"",IFERROR(H448/SUMIFS('Recipe Ingredients'!$H$5:$H$1204,'Recipe Ingredients'!$A$5:$A$1204,A448),""))</f>
        <v>0</v>
      </c>
      <c r="Q448" s="8">
        <f>IF(H448="","",COUNTIFS($H$5:$H$1204,"&gt;"&amp;H448)+1)</f>
        <v>0</v>
      </c>
      <c r="R448" s="8">
        <f>IF(B448="","",SUMIFS(Pantry!$C$5:$C$304,Pantry!$A$5:$A$304,B448))</f>
        <v>0</v>
      </c>
      <c r="S448" s="8">
        <f>IF(OR(B448="",C448=""),"",MAX(0,C448-R448))</f>
        <v>0</v>
      </c>
      <c r="T448" s="26"/>
      <c r="U448" s="8">
        <f>IF(OR(T448="",T448=0,G448=""),"",T448*G448)</f>
        <v>0</v>
      </c>
      <c r="V448" s="8">
        <f>IF(OR(S448="",T448="",T448=0),"",CEILING(S448/T448,1))</f>
        <v>0</v>
      </c>
      <c r="W448" s="27"/>
      <c r="X448" s="29"/>
      <c r="Y448" s="8">
        <f>IF(OR(C448="",X448=""),"",C448*(1+X448))</f>
        <v>0</v>
      </c>
      <c r="Z448" s="8">
        <f>IF(B448="","",IFERROR(INDEX(Ingredients!$O$5:$O$304,MATCH(B448,Ingredients!$A$5:$A$304,0)),""))</f>
        <v>0</v>
      </c>
      <c r="AA448" s="8">
        <f>IF(B448="","",IF(R448&gt;=C448,"In pantry","To buy"))</f>
        <v>0</v>
      </c>
      <c r="AB448" s="8">
        <f>IF(A448="","",COUNTIFS($A$5:A448,A448))</f>
        <v>0</v>
      </c>
      <c r="AC448" s="8">
        <f>IF(B448="","",IF(COUNTIFS('Dietary Filters'!$C$5:$C$104,B448)&gt;0,"Check","OK"))</f>
        <v>0</v>
      </c>
      <c r="AD448" s="25"/>
    </row>
    <row r="449" spans="1:30">
      <c r="A449" s="7"/>
      <c r="B449" s="7"/>
      <c r="C449" s="26"/>
      <c r="D449" s="27"/>
      <c r="E449" s="8">
        <f>IF(B449="","",IFERROR(INDEX(Ingredients!$B$5:$B$304,MATCH(B449,Ingredients!$A$5:$A$304,0)),""))</f>
        <v>0</v>
      </c>
      <c r="F449" s="8">
        <f>IF(B449="","",IFERROR(INDEX(Ingredients!$E$5:$E$304,MATCH(B449,Ingredients!$A$5:$A$304,0)),""))</f>
        <v>0</v>
      </c>
      <c r="G449" s="8">
        <f>IF(B449="","",IFERROR(INDEX(Ingredients!$D$5:$D$304,MATCH(B449,Ingredients!$A$5:$A$304,0)),""))</f>
        <v>0</v>
      </c>
      <c r="H449" s="8">
        <f>IF(OR(B449="",C449=""),"",IFERROR(C449*G449,""))</f>
        <v>0</v>
      </c>
      <c r="I449" s="8">
        <f>IF(A449="","",IFERROR(INDEX(Recipes!$D$5:$D$204,MATCH(A449,Recipes!$A$5:$A$204,0)),""))</f>
        <v>0</v>
      </c>
      <c r="J449" s="8">
        <f>IF(OR(H449="",I449="",I449=0),"",IFERROR(H449/I449,""))</f>
        <v>0</v>
      </c>
      <c r="K449" s="8">
        <f>IF(OR(B449="",C449=""),"",IFERROR(C449*IFERROR(INDEX(Ingredients!$H$5:$H$304,MATCH(B449,Ingredients!$A$5:$A$304,0)),""),""))</f>
        <v>0</v>
      </c>
      <c r="L449" s="8">
        <f>IF(OR(B449="",C449=""),"",IFERROR(C449*IFERROR(INDEX(Ingredients!$I$5:$I$304,MATCH(B449,Ingredients!$A$5:$A$304,0)),""),""))</f>
        <v>0</v>
      </c>
      <c r="M449" s="8">
        <f>IF(OR(B449="",C449=""),"",IFERROR(C449*IFERROR(INDEX(Ingredients!$J$5:$J$304,MATCH(B449,Ingredients!$A$5:$A$304,0)),""),""))</f>
        <v>0</v>
      </c>
      <c r="N449" s="8">
        <f>IF(OR(B449="",C449=""),"",IFERROR(C449*IFERROR(INDEX(Ingredients!$K$5:$K$304,MATCH(B449,Ingredients!$A$5:$A$304,0)),""),""))</f>
        <v>0</v>
      </c>
      <c r="O449" s="8">
        <f>IF(OR(B449="",C449=""),"",IFERROR(C449*IFERROR(INDEX(Ingredients!$L$5:$L$304,MATCH(B449,Ingredients!$A$5:$A$304,0)),""),""))</f>
        <v>0</v>
      </c>
      <c r="P449" s="8">
        <f>IF(OR(H449="",A449=""),"",IFERROR(H449/SUMIFS('Recipe Ingredients'!$H$5:$H$1204,'Recipe Ingredients'!$A$5:$A$1204,A449),""))</f>
        <v>0</v>
      </c>
      <c r="Q449" s="8">
        <f>IF(H449="","",COUNTIFS($H$5:$H$1204,"&gt;"&amp;H449)+1)</f>
        <v>0</v>
      </c>
      <c r="R449" s="8">
        <f>IF(B449="","",SUMIFS(Pantry!$C$5:$C$304,Pantry!$A$5:$A$304,B449))</f>
        <v>0</v>
      </c>
      <c r="S449" s="8">
        <f>IF(OR(B449="",C449=""),"",MAX(0,C449-R449))</f>
        <v>0</v>
      </c>
      <c r="T449" s="26"/>
      <c r="U449" s="8">
        <f>IF(OR(T449="",T449=0,G449=""),"",T449*G449)</f>
        <v>0</v>
      </c>
      <c r="V449" s="8">
        <f>IF(OR(S449="",T449="",T449=0),"",CEILING(S449/T449,1))</f>
        <v>0</v>
      </c>
      <c r="W449" s="27"/>
      <c r="X449" s="29"/>
      <c r="Y449" s="8">
        <f>IF(OR(C449="",X449=""),"",C449*(1+X449))</f>
        <v>0</v>
      </c>
      <c r="Z449" s="8">
        <f>IF(B449="","",IFERROR(INDEX(Ingredients!$O$5:$O$304,MATCH(B449,Ingredients!$A$5:$A$304,0)),""))</f>
        <v>0</v>
      </c>
      <c r="AA449" s="8">
        <f>IF(B449="","",IF(R449&gt;=C449,"In pantry","To buy"))</f>
        <v>0</v>
      </c>
      <c r="AB449" s="8">
        <f>IF(A449="","",COUNTIFS($A$5:A449,A449))</f>
        <v>0</v>
      </c>
      <c r="AC449" s="8">
        <f>IF(B449="","",IF(COUNTIFS('Dietary Filters'!$C$5:$C$104,B449)&gt;0,"Check","OK"))</f>
        <v>0</v>
      </c>
      <c r="AD449" s="25"/>
    </row>
    <row r="450" spans="1:30">
      <c r="A450" s="7"/>
      <c r="B450" s="7"/>
      <c r="C450" s="26"/>
      <c r="D450" s="27"/>
      <c r="E450" s="8">
        <f>IF(B450="","",IFERROR(INDEX(Ingredients!$B$5:$B$304,MATCH(B450,Ingredients!$A$5:$A$304,0)),""))</f>
        <v>0</v>
      </c>
      <c r="F450" s="8">
        <f>IF(B450="","",IFERROR(INDEX(Ingredients!$E$5:$E$304,MATCH(B450,Ingredients!$A$5:$A$304,0)),""))</f>
        <v>0</v>
      </c>
      <c r="G450" s="8">
        <f>IF(B450="","",IFERROR(INDEX(Ingredients!$D$5:$D$304,MATCH(B450,Ingredients!$A$5:$A$304,0)),""))</f>
        <v>0</v>
      </c>
      <c r="H450" s="8">
        <f>IF(OR(B450="",C450=""),"",IFERROR(C450*G450,""))</f>
        <v>0</v>
      </c>
      <c r="I450" s="8">
        <f>IF(A450="","",IFERROR(INDEX(Recipes!$D$5:$D$204,MATCH(A450,Recipes!$A$5:$A$204,0)),""))</f>
        <v>0</v>
      </c>
      <c r="J450" s="8">
        <f>IF(OR(H450="",I450="",I450=0),"",IFERROR(H450/I450,""))</f>
        <v>0</v>
      </c>
      <c r="K450" s="8">
        <f>IF(OR(B450="",C450=""),"",IFERROR(C450*IFERROR(INDEX(Ingredients!$H$5:$H$304,MATCH(B450,Ingredients!$A$5:$A$304,0)),""),""))</f>
        <v>0</v>
      </c>
      <c r="L450" s="8">
        <f>IF(OR(B450="",C450=""),"",IFERROR(C450*IFERROR(INDEX(Ingredients!$I$5:$I$304,MATCH(B450,Ingredients!$A$5:$A$304,0)),""),""))</f>
        <v>0</v>
      </c>
      <c r="M450" s="8">
        <f>IF(OR(B450="",C450=""),"",IFERROR(C450*IFERROR(INDEX(Ingredients!$J$5:$J$304,MATCH(B450,Ingredients!$A$5:$A$304,0)),""),""))</f>
        <v>0</v>
      </c>
      <c r="N450" s="8">
        <f>IF(OR(B450="",C450=""),"",IFERROR(C450*IFERROR(INDEX(Ingredients!$K$5:$K$304,MATCH(B450,Ingredients!$A$5:$A$304,0)),""),""))</f>
        <v>0</v>
      </c>
      <c r="O450" s="8">
        <f>IF(OR(B450="",C450=""),"",IFERROR(C450*IFERROR(INDEX(Ingredients!$L$5:$L$304,MATCH(B450,Ingredients!$A$5:$A$304,0)),""),""))</f>
        <v>0</v>
      </c>
      <c r="P450" s="8">
        <f>IF(OR(H450="",A450=""),"",IFERROR(H450/SUMIFS('Recipe Ingredients'!$H$5:$H$1204,'Recipe Ingredients'!$A$5:$A$1204,A450),""))</f>
        <v>0</v>
      </c>
      <c r="Q450" s="8">
        <f>IF(H450="","",COUNTIFS($H$5:$H$1204,"&gt;"&amp;H450)+1)</f>
        <v>0</v>
      </c>
      <c r="R450" s="8">
        <f>IF(B450="","",SUMIFS(Pantry!$C$5:$C$304,Pantry!$A$5:$A$304,B450))</f>
        <v>0</v>
      </c>
      <c r="S450" s="8">
        <f>IF(OR(B450="",C450=""),"",MAX(0,C450-R450))</f>
        <v>0</v>
      </c>
      <c r="T450" s="26"/>
      <c r="U450" s="8">
        <f>IF(OR(T450="",T450=0,G450=""),"",T450*G450)</f>
        <v>0</v>
      </c>
      <c r="V450" s="8">
        <f>IF(OR(S450="",T450="",T450=0),"",CEILING(S450/T450,1))</f>
        <v>0</v>
      </c>
      <c r="W450" s="27"/>
      <c r="X450" s="29"/>
      <c r="Y450" s="8">
        <f>IF(OR(C450="",X450=""),"",C450*(1+X450))</f>
        <v>0</v>
      </c>
      <c r="Z450" s="8">
        <f>IF(B450="","",IFERROR(INDEX(Ingredients!$O$5:$O$304,MATCH(B450,Ingredients!$A$5:$A$304,0)),""))</f>
        <v>0</v>
      </c>
      <c r="AA450" s="8">
        <f>IF(B450="","",IF(R450&gt;=C450,"In pantry","To buy"))</f>
        <v>0</v>
      </c>
      <c r="AB450" s="8">
        <f>IF(A450="","",COUNTIFS($A$5:A450,A450))</f>
        <v>0</v>
      </c>
      <c r="AC450" s="8">
        <f>IF(B450="","",IF(COUNTIFS('Dietary Filters'!$C$5:$C$104,B450)&gt;0,"Check","OK"))</f>
        <v>0</v>
      </c>
      <c r="AD450" s="25"/>
    </row>
    <row r="451" spans="1:30">
      <c r="A451" s="7"/>
      <c r="B451" s="7"/>
      <c r="C451" s="26"/>
      <c r="D451" s="27"/>
      <c r="E451" s="8">
        <f>IF(B451="","",IFERROR(INDEX(Ingredients!$B$5:$B$304,MATCH(B451,Ingredients!$A$5:$A$304,0)),""))</f>
        <v>0</v>
      </c>
      <c r="F451" s="8">
        <f>IF(B451="","",IFERROR(INDEX(Ingredients!$E$5:$E$304,MATCH(B451,Ingredients!$A$5:$A$304,0)),""))</f>
        <v>0</v>
      </c>
      <c r="G451" s="8">
        <f>IF(B451="","",IFERROR(INDEX(Ingredients!$D$5:$D$304,MATCH(B451,Ingredients!$A$5:$A$304,0)),""))</f>
        <v>0</v>
      </c>
      <c r="H451" s="8">
        <f>IF(OR(B451="",C451=""),"",IFERROR(C451*G451,""))</f>
        <v>0</v>
      </c>
      <c r="I451" s="8">
        <f>IF(A451="","",IFERROR(INDEX(Recipes!$D$5:$D$204,MATCH(A451,Recipes!$A$5:$A$204,0)),""))</f>
        <v>0</v>
      </c>
      <c r="J451" s="8">
        <f>IF(OR(H451="",I451="",I451=0),"",IFERROR(H451/I451,""))</f>
        <v>0</v>
      </c>
      <c r="K451" s="8">
        <f>IF(OR(B451="",C451=""),"",IFERROR(C451*IFERROR(INDEX(Ingredients!$H$5:$H$304,MATCH(B451,Ingredients!$A$5:$A$304,0)),""),""))</f>
        <v>0</v>
      </c>
      <c r="L451" s="8">
        <f>IF(OR(B451="",C451=""),"",IFERROR(C451*IFERROR(INDEX(Ingredients!$I$5:$I$304,MATCH(B451,Ingredients!$A$5:$A$304,0)),""),""))</f>
        <v>0</v>
      </c>
      <c r="M451" s="8">
        <f>IF(OR(B451="",C451=""),"",IFERROR(C451*IFERROR(INDEX(Ingredients!$J$5:$J$304,MATCH(B451,Ingredients!$A$5:$A$304,0)),""),""))</f>
        <v>0</v>
      </c>
      <c r="N451" s="8">
        <f>IF(OR(B451="",C451=""),"",IFERROR(C451*IFERROR(INDEX(Ingredients!$K$5:$K$304,MATCH(B451,Ingredients!$A$5:$A$304,0)),""),""))</f>
        <v>0</v>
      </c>
      <c r="O451" s="8">
        <f>IF(OR(B451="",C451=""),"",IFERROR(C451*IFERROR(INDEX(Ingredients!$L$5:$L$304,MATCH(B451,Ingredients!$A$5:$A$304,0)),""),""))</f>
        <v>0</v>
      </c>
      <c r="P451" s="8">
        <f>IF(OR(H451="",A451=""),"",IFERROR(H451/SUMIFS('Recipe Ingredients'!$H$5:$H$1204,'Recipe Ingredients'!$A$5:$A$1204,A451),""))</f>
        <v>0</v>
      </c>
      <c r="Q451" s="8">
        <f>IF(H451="","",COUNTIFS($H$5:$H$1204,"&gt;"&amp;H451)+1)</f>
        <v>0</v>
      </c>
      <c r="R451" s="8">
        <f>IF(B451="","",SUMIFS(Pantry!$C$5:$C$304,Pantry!$A$5:$A$304,B451))</f>
        <v>0</v>
      </c>
      <c r="S451" s="8">
        <f>IF(OR(B451="",C451=""),"",MAX(0,C451-R451))</f>
        <v>0</v>
      </c>
      <c r="T451" s="26"/>
      <c r="U451" s="8">
        <f>IF(OR(T451="",T451=0,G451=""),"",T451*G451)</f>
        <v>0</v>
      </c>
      <c r="V451" s="8">
        <f>IF(OR(S451="",T451="",T451=0),"",CEILING(S451/T451,1))</f>
        <v>0</v>
      </c>
      <c r="W451" s="27"/>
      <c r="X451" s="29"/>
      <c r="Y451" s="8">
        <f>IF(OR(C451="",X451=""),"",C451*(1+X451))</f>
        <v>0</v>
      </c>
      <c r="Z451" s="8">
        <f>IF(B451="","",IFERROR(INDEX(Ingredients!$O$5:$O$304,MATCH(B451,Ingredients!$A$5:$A$304,0)),""))</f>
        <v>0</v>
      </c>
      <c r="AA451" s="8">
        <f>IF(B451="","",IF(R451&gt;=C451,"In pantry","To buy"))</f>
        <v>0</v>
      </c>
      <c r="AB451" s="8">
        <f>IF(A451="","",COUNTIFS($A$5:A451,A451))</f>
        <v>0</v>
      </c>
      <c r="AC451" s="8">
        <f>IF(B451="","",IF(COUNTIFS('Dietary Filters'!$C$5:$C$104,B451)&gt;0,"Check","OK"))</f>
        <v>0</v>
      </c>
      <c r="AD451" s="25"/>
    </row>
    <row r="452" spans="1:30">
      <c r="A452" s="7"/>
      <c r="B452" s="7"/>
      <c r="C452" s="26"/>
      <c r="D452" s="27"/>
      <c r="E452" s="8">
        <f>IF(B452="","",IFERROR(INDEX(Ingredients!$B$5:$B$304,MATCH(B452,Ingredients!$A$5:$A$304,0)),""))</f>
        <v>0</v>
      </c>
      <c r="F452" s="8">
        <f>IF(B452="","",IFERROR(INDEX(Ingredients!$E$5:$E$304,MATCH(B452,Ingredients!$A$5:$A$304,0)),""))</f>
        <v>0</v>
      </c>
      <c r="G452" s="8">
        <f>IF(B452="","",IFERROR(INDEX(Ingredients!$D$5:$D$304,MATCH(B452,Ingredients!$A$5:$A$304,0)),""))</f>
        <v>0</v>
      </c>
      <c r="H452" s="8">
        <f>IF(OR(B452="",C452=""),"",IFERROR(C452*G452,""))</f>
        <v>0</v>
      </c>
      <c r="I452" s="8">
        <f>IF(A452="","",IFERROR(INDEX(Recipes!$D$5:$D$204,MATCH(A452,Recipes!$A$5:$A$204,0)),""))</f>
        <v>0</v>
      </c>
      <c r="J452" s="8">
        <f>IF(OR(H452="",I452="",I452=0),"",IFERROR(H452/I452,""))</f>
        <v>0</v>
      </c>
      <c r="K452" s="8">
        <f>IF(OR(B452="",C452=""),"",IFERROR(C452*IFERROR(INDEX(Ingredients!$H$5:$H$304,MATCH(B452,Ingredients!$A$5:$A$304,0)),""),""))</f>
        <v>0</v>
      </c>
      <c r="L452" s="8">
        <f>IF(OR(B452="",C452=""),"",IFERROR(C452*IFERROR(INDEX(Ingredients!$I$5:$I$304,MATCH(B452,Ingredients!$A$5:$A$304,0)),""),""))</f>
        <v>0</v>
      </c>
      <c r="M452" s="8">
        <f>IF(OR(B452="",C452=""),"",IFERROR(C452*IFERROR(INDEX(Ingredients!$J$5:$J$304,MATCH(B452,Ingredients!$A$5:$A$304,0)),""),""))</f>
        <v>0</v>
      </c>
      <c r="N452" s="8">
        <f>IF(OR(B452="",C452=""),"",IFERROR(C452*IFERROR(INDEX(Ingredients!$K$5:$K$304,MATCH(B452,Ingredients!$A$5:$A$304,0)),""),""))</f>
        <v>0</v>
      </c>
      <c r="O452" s="8">
        <f>IF(OR(B452="",C452=""),"",IFERROR(C452*IFERROR(INDEX(Ingredients!$L$5:$L$304,MATCH(B452,Ingredients!$A$5:$A$304,0)),""),""))</f>
        <v>0</v>
      </c>
      <c r="P452" s="8">
        <f>IF(OR(H452="",A452=""),"",IFERROR(H452/SUMIFS('Recipe Ingredients'!$H$5:$H$1204,'Recipe Ingredients'!$A$5:$A$1204,A452),""))</f>
        <v>0</v>
      </c>
      <c r="Q452" s="8">
        <f>IF(H452="","",COUNTIFS($H$5:$H$1204,"&gt;"&amp;H452)+1)</f>
        <v>0</v>
      </c>
      <c r="R452" s="8">
        <f>IF(B452="","",SUMIFS(Pantry!$C$5:$C$304,Pantry!$A$5:$A$304,B452))</f>
        <v>0</v>
      </c>
      <c r="S452" s="8">
        <f>IF(OR(B452="",C452=""),"",MAX(0,C452-R452))</f>
        <v>0</v>
      </c>
      <c r="T452" s="26"/>
      <c r="U452" s="8">
        <f>IF(OR(T452="",T452=0,G452=""),"",T452*G452)</f>
        <v>0</v>
      </c>
      <c r="V452" s="8">
        <f>IF(OR(S452="",T452="",T452=0),"",CEILING(S452/T452,1))</f>
        <v>0</v>
      </c>
      <c r="W452" s="27"/>
      <c r="X452" s="29"/>
      <c r="Y452" s="8">
        <f>IF(OR(C452="",X452=""),"",C452*(1+X452))</f>
        <v>0</v>
      </c>
      <c r="Z452" s="8">
        <f>IF(B452="","",IFERROR(INDEX(Ingredients!$O$5:$O$304,MATCH(B452,Ingredients!$A$5:$A$304,0)),""))</f>
        <v>0</v>
      </c>
      <c r="AA452" s="8">
        <f>IF(B452="","",IF(R452&gt;=C452,"In pantry","To buy"))</f>
        <v>0</v>
      </c>
      <c r="AB452" s="8">
        <f>IF(A452="","",COUNTIFS($A$5:A452,A452))</f>
        <v>0</v>
      </c>
      <c r="AC452" s="8">
        <f>IF(B452="","",IF(COUNTIFS('Dietary Filters'!$C$5:$C$104,B452)&gt;0,"Check","OK"))</f>
        <v>0</v>
      </c>
      <c r="AD452" s="25"/>
    </row>
    <row r="453" spans="1:30">
      <c r="A453" s="7"/>
      <c r="B453" s="7"/>
      <c r="C453" s="26"/>
      <c r="D453" s="27"/>
      <c r="E453" s="8">
        <f>IF(B453="","",IFERROR(INDEX(Ingredients!$B$5:$B$304,MATCH(B453,Ingredients!$A$5:$A$304,0)),""))</f>
        <v>0</v>
      </c>
      <c r="F453" s="8">
        <f>IF(B453="","",IFERROR(INDEX(Ingredients!$E$5:$E$304,MATCH(B453,Ingredients!$A$5:$A$304,0)),""))</f>
        <v>0</v>
      </c>
      <c r="G453" s="8">
        <f>IF(B453="","",IFERROR(INDEX(Ingredients!$D$5:$D$304,MATCH(B453,Ingredients!$A$5:$A$304,0)),""))</f>
        <v>0</v>
      </c>
      <c r="H453" s="8">
        <f>IF(OR(B453="",C453=""),"",IFERROR(C453*G453,""))</f>
        <v>0</v>
      </c>
      <c r="I453" s="8">
        <f>IF(A453="","",IFERROR(INDEX(Recipes!$D$5:$D$204,MATCH(A453,Recipes!$A$5:$A$204,0)),""))</f>
        <v>0</v>
      </c>
      <c r="J453" s="8">
        <f>IF(OR(H453="",I453="",I453=0),"",IFERROR(H453/I453,""))</f>
        <v>0</v>
      </c>
      <c r="K453" s="8">
        <f>IF(OR(B453="",C453=""),"",IFERROR(C453*IFERROR(INDEX(Ingredients!$H$5:$H$304,MATCH(B453,Ingredients!$A$5:$A$304,0)),""),""))</f>
        <v>0</v>
      </c>
      <c r="L453" s="8">
        <f>IF(OR(B453="",C453=""),"",IFERROR(C453*IFERROR(INDEX(Ingredients!$I$5:$I$304,MATCH(B453,Ingredients!$A$5:$A$304,0)),""),""))</f>
        <v>0</v>
      </c>
      <c r="M453" s="8">
        <f>IF(OR(B453="",C453=""),"",IFERROR(C453*IFERROR(INDEX(Ingredients!$J$5:$J$304,MATCH(B453,Ingredients!$A$5:$A$304,0)),""),""))</f>
        <v>0</v>
      </c>
      <c r="N453" s="8">
        <f>IF(OR(B453="",C453=""),"",IFERROR(C453*IFERROR(INDEX(Ingredients!$K$5:$K$304,MATCH(B453,Ingredients!$A$5:$A$304,0)),""),""))</f>
        <v>0</v>
      </c>
      <c r="O453" s="8">
        <f>IF(OR(B453="",C453=""),"",IFERROR(C453*IFERROR(INDEX(Ingredients!$L$5:$L$304,MATCH(B453,Ingredients!$A$5:$A$304,0)),""),""))</f>
        <v>0</v>
      </c>
      <c r="P453" s="8">
        <f>IF(OR(H453="",A453=""),"",IFERROR(H453/SUMIFS('Recipe Ingredients'!$H$5:$H$1204,'Recipe Ingredients'!$A$5:$A$1204,A453),""))</f>
        <v>0</v>
      </c>
      <c r="Q453" s="8">
        <f>IF(H453="","",COUNTIFS($H$5:$H$1204,"&gt;"&amp;H453)+1)</f>
        <v>0</v>
      </c>
      <c r="R453" s="8">
        <f>IF(B453="","",SUMIFS(Pantry!$C$5:$C$304,Pantry!$A$5:$A$304,B453))</f>
        <v>0</v>
      </c>
      <c r="S453" s="8">
        <f>IF(OR(B453="",C453=""),"",MAX(0,C453-R453))</f>
        <v>0</v>
      </c>
      <c r="T453" s="26"/>
      <c r="U453" s="8">
        <f>IF(OR(T453="",T453=0,G453=""),"",T453*G453)</f>
        <v>0</v>
      </c>
      <c r="V453" s="8">
        <f>IF(OR(S453="",T453="",T453=0),"",CEILING(S453/T453,1))</f>
        <v>0</v>
      </c>
      <c r="W453" s="27"/>
      <c r="X453" s="29"/>
      <c r="Y453" s="8">
        <f>IF(OR(C453="",X453=""),"",C453*(1+X453))</f>
        <v>0</v>
      </c>
      <c r="Z453" s="8">
        <f>IF(B453="","",IFERROR(INDEX(Ingredients!$O$5:$O$304,MATCH(B453,Ingredients!$A$5:$A$304,0)),""))</f>
        <v>0</v>
      </c>
      <c r="AA453" s="8">
        <f>IF(B453="","",IF(R453&gt;=C453,"In pantry","To buy"))</f>
        <v>0</v>
      </c>
      <c r="AB453" s="8">
        <f>IF(A453="","",COUNTIFS($A$5:A453,A453))</f>
        <v>0</v>
      </c>
      <c r="AC453" s="8">
        <f>IF(B453="","",IF(COUNTIFS('Dietary Filters'!$C$5:$C$104,B453)&gt;0,"Check","OK"))</f>
        <v>0</v>
      </c>
      <c r="AD453" s="25"/>
    </row>
    <row r="454" spans="1:30">
      <c r="A454" s="7"/>
      <c r="B454" s="7"/>
      <c r="C454" s="26"/>
      <c r="D454" s="27"/>
      <c r="E454" s="8">
        <f>IF(B454="","",IFERROR(INDEX(Ingredients!$B$5:$B$304,MATCH(B454,Ingredients!$A$5:$A$304,0)),""))</f>
        <v>0</v>
      </c>
      <c r="F454" s="8">
        <f>IF(B454="","",IFERROR(INDEX(Ingredients!$E$5:$E$304,MATCH(B454,Ingredients!$A$5:$A$304,0)),""))</f>
        <v>0</v>
      </c>
      <c r="G454" s="8">
        <f>IF(B454="","",IFERROR(INDEX(Ingredients!$D$5:$D$304,MATCH(B454,Ingredients!$A$5:$A$304,0)),""))</f>
        <v>0</v>
      </c>
      <c r="H454" s="8">
        <f>IF(OR(B454="",C454=""),"",IFERROR(C454*G454,""))</f>
        <v>0</v>
      </c>
      <c r="I454" s="8">
        <f>IF(A454="","",IFERROR(INDEX(Recipes!$D$5:$D$204,MATCH(A454,Recipes!$A$5:$A$204,0)),""))</f>
        <v>0</v>
      </c>
      <c r="J454" s="8">
        <f>IF(OR(H454="",I454="",I454=0),"",IFERROR(H454/I454,""))</f>
        <v>0</v>
      </c>
      <c r="K454" s="8">
        <f>IF(OR(B454="",C454=""),"",IFERROR(C454*IFERROR(INDEX(Ingredients!$H$5:$H$304,MATCH(B454,Ingredients!$A$5:$A$304,0)),""),""))</f>
        <v>0</v>
      </c>
      <c r="L454" s="8">
        <f>IF(OR(B454="",C454=""),"",IFERROR(C454*IFERROR(INDEX(Ingredients!$I$5:$I$304,MATCH(B454,Ingredients!$A$5:$A$304,0)),""),""))</f>
        <v>0</v>
      </c>
      <c r="M454" s="8">
        <f>IF(OR(B454="",C454=""),"",IFERROR(C454*IFERROR(INDEX(Ingredients!$J$5:$J$304,MATCH(B454,Ingredients!$A$5:$A$304,0)),""),""))</f>
        <v>0</v>
      </c>
      <c r="N454" s="8">
        <f>IF(OR(B454="",C454=""),"",IFERROR(C454*IFERROR(INDEX(Ingredients!$K$5:$K$304,MATCH(B454,Ingredients!$A$5:$A$304,0)),""),""))</f>
        <v>0</v>
      </c>
      <c r="O454" s="8">
        <f>IF(OR(B454="",C454=""),"",IFERROR(C454*IFERROR(INDEX(Ingredients!$L$5:$L$304,MATCH(B454,Ingredients!$A$5:$A$304,0)),""),""))</f>
        <v>0</v>
      </c>
      <c r="P454" s="8">
        <f>IF(OR(H454="",A454=""),"",IFERROR(H454/SUMIFS('Recipe Ingredients'!$H$5:$H$1204,'Recipe Ingredients'!$A$5:$A$1204,A454),""))</f>
        <v>0</v>
      </c>
      <c r="Q454" s="8">
        <f>IF(H454="","",COUNTIFS($H$5:$H$1204,"&gt;"&amp;H454)+1)</f>
        <v>0</v>
      </c>
      <c r="R454" s="8">
        <f>IF(B454="","",SUMIFS(Pantry!$C$5:$C$304,Pantry!$A$5:$A$304,B454))</f>
        <v>0</v>
      </c>
      <c r="S454" s="8">
        <f>IF(OR(B454="",C454=""),"",MAX(0,C454-R454))</f>
        <v>0</v>
      </c>
      <c r="T454" s="26"/>
      <c r="U454" s="8">
        <f>IF(OR(T454="",T454=0,G454=""),"",T454*G454)</f>
        <v>0</v>
      </c>
      <c r="V454" s="8">
        <f>IF(OR(S454="",T454="",T454=0),"",CEILING(S454/T454,1))</f>
        <v>0</v>
      </c>
      <c r="W454" s="27"/>
      <c r="X454" s="29"/>
      <c r="Y454" s="8">
        <f>IF(OR(C454="",X454=""),"",C454*(1+X454))</f>
        <v>0</v>
      </c>
      <c r="Z454" s="8">
        <f>IF(B454="","",IFERROR(INDEX(Ingredients!$O$5:$O$304,MATCH(B454,Ingredients!$A$5:$A$304,0)),""))</f>
        <v>0</v>
      </c>
      <c r="AA454" s="8">
        <f>IF(B454="","",IF(R454&gt;=C454,"In pantry","To buy"))</f>
        <v>0</v>
      </c>
      <c r="AB454" s="8">
        <f>IF(A454="","",COUNTIFS($A$5:A454,A454))</f>
        <v>0</v>
      </c>
      <c r="AC454" s="8">
        <f>IF(B454="","",IF(COUNTIFS('Dietary Filters'!$C$5:$C$104,B454)&gt;0,"Check","OK"))</f>
        <v>0</v>
      </c>
      <c r="AD454" s="25"/>
    </row>
    <row r="455" spans="1:30">
      <c r="A455" s="7"/>
      <c r="B455" s="7"/>
      <c r="C455" s="26"/>
      <c r="D455" s="27"/>
      <c r="E455" s="8">
        <f>IF(B455="","",IFERROR(INDEX(Ingredients!$B$5:$B$304,MATCH(B455,Ingredients!$A$5:$A$304,0)),""))</f>
        <v>0</v>
      </c>
      <c r="F455" s="8">
        <f>IF(B455="","",IFERROR(INDEX(Ingredients!$E$5:$E$304,MATCH(B455,Ingredients!$A$5:$A$304,0)),""))</f>
        <v>0</v>
      </c>
      <c r="G455" s="8">
        <f>IF(B455="","",IFERROR(INDEX(Ingredients!$D$5:$D$304,MATCH(B455,Ingredients!$A$5:$A$304,0)),""))</f>
        <v>0</v>
      </c>
      <c r="H455" s="8">
        <f>IF(OR(B455="",C455=""),"",IFERROR(C455*G455,""))</f>
        <v>0</v>
      </c>
      <c r="I455" s="8">
        <f>IF(A455="","",IFERROR(INDEX(Recipes!$D$5:$D$204,MATCH(A455,Recipes!$A$5:$A$204,0)),""))</f>
        <v>0</v>
      </c>
      <c r="J455" s="8">
        <f>IF(OR(H455="",I455="",I455=0),"",IFERROR(H455/I455,""))</f>
        <v>0</v>
      </c>
      <c r="K455" s="8">
        <f>IF(OR(B455="",C455=""),"",IFERROR(C455*IFERROR(INDEX(Ingredients!$H$5:$H$304,MATCH(B455,Ingredients!$A$5:$A$304,0)),""),""))</f>
        <v>0</v>
      </c>
      <c r="L455" s="8">
        <f>IF(OR(B455="",C455=""),"",IFERROR(C455*IFERROR(INDEX(Ingredients!$I$5:$I$304,MATCH(B455,Ingredients!$A$5:$A$304,0)),""),""))</f>
        <v>0</v>
      </c>
      <c r="M455" s="8">
        <f>IF(OR(B455="",C455=""),"",IFERROR(C455*IFERROR(INDEX(Ingredients!$J$5:$J$304,MATCH(B455,Ingredients!$A$5:$A$304,0)),""),""))</f>
        <v>0</v>
      </c>
      <c r="N455" s="8">
        <f>IF(OR(B455="",C455=""),"",IFERROR(C455*IFERROR(INDEX(Ingredients!$K$5:$K$304,MATCH(B455,Ingredients!$A$5:$A$304,0)),""),""))</f>
        <v>0</v>
      </c>
      <c r="O455" s="8">
        <f>IF(OR(B455="",C455=""),"",IFERROR(C455*IFERROR(INDEX(Ingredients!$L$5:$L$304,MATCH(B455,Ingredients!$A$5:$A$304,0)),""),""))</f>
        <v>0</v>
      </c>
      <c r="P455" s="8">
        <f>IF(OR(H455="",A455=""),"",IFERROR(H455/SUMIFS('Recipe Ingredients'!$H$5:$H$1204,'Recipe Ingredients'!$A$5:$A$1204,A455),""))</f>
        <v>0</v>
      </c>
      <c r="Q455" s="8">
        <f>IF(H455="","",COUNTIFS($H$5:$H$1204,"&gt;"&amp;H455)+1)</f>
        <v>0</v>
      </c>
      <c r="R455" s="8">
        <f>IF(B455="","",SUMIFS(Pantry!$C$5:$C$304,Pantry!$A$5:$A$304,B455))</f>
        <v>0</v>
      </c>
      <c r="S455" s="8">
        <f>IF(OR(B455="",C455=""),"",MAX(0,C455-R455))</f>
        <v>0</v>
      </c>
      <c r="T455" s="26"/>
      <c r="U455" s="8">
        <f>IF(OR(T455="",T455=0,G455=""),"",T455*G455)</f>
        <v>0</v>
      </c>
      <c r="V455" s="8">
        <f>IF(OR(S455="",T455="",T455=0),"",CEILING(S455/T455,1))</f>
        <v>0</v>
      </c>
      <c r="W455" s="27"/>
      <c r="X455" s="29"/>
      <c r="Y455" s="8">
        <f>IF(OR(C455="",X455=""),"",C455*(1+X455))</f>
        <v>0</v>
      </c>
      <c r="Z455" s="8">
        <f>IF(B455="","",IFERROR(INDEX(Ingredients!$O$5:$O$304,MATCH(B455,Ingredients!$A$5:$A$304,0)),""))</f>
        <v>0</v>
      </c>
      <c r="AA455" s="8">
        <f>IF(B455="","",IF(R455&gt;=C455,"In pantry","To buy"))</f>
        <v>0</v>
      </c>
      <c r="AB455" s="8">
        <f>IF(A455="","",COUNTIFS($A$5:A455,A455))</f>
        <v>0</v>
      </c>
      <c r="AC455" s="8">
        <f>IF(B455="","",IF(COUNTIFS('Dietary Filters'!$C$5:$C$104,B455)&gt;0,"Check","OK"))</f>
        <v>0</v>
      </c>
      <c r="AD455" s="25"/>
    </row>
    <row r="456" spans="1:30">
      <c r="A456" s="7"/>
      <c r="B456" s="7"/>
      <c r="C456" s="26"/>
      <c r="D456" s="27"/>
      <c r="E456" s="8">
        <f>IF(B456="","",IFERROR(INDEX(Ingredients!$B$5:$B$304,MATCH(B456,Ingredients!$A$5:$A$304,0)),""))</f>
        <v>0</v>
      </c>
      <c r="F456" s="8">
        <f>IF(B456="","",IFERROR(INDEX(Ingredients!$E$5:$E$304,MATCH(B456,Ingredients!$A$5:$A$304,0)),""))</f>
        <v>0</v>
      </c>
      <c r="G456" s="8">
        <f>IF(B456="","",IFERROR(INDEX(Ingredients!$D$5:$D$304,MATCH(B456,Ingredients!$A$5:$A$304,0)),""))</f>
        <v>0</v>
      </c>
      <c r="H456" s="8">
        <f>IF(OR(B456="",C456=""),"",IFERROR(C456*G456,""))</f>
        <v>0</v>
      </c>
      <c r="I456" s="8">
        <f>IF(A456="","",IFERROR(INDEX(Recipes!$D$5:$D$204,MATCH(A456,Recipes!$A$5:$A$204,0)),""))</f>
        <v>0</v>
      </c>
      <c r="J456" s="8">
        <f>IF(OR(H456="",I456="",I456=0),"",IFERROR(H456/I456,""))</f>
        <v>0</v>
      </c>
      <c r="K456" s="8">
        <f>IF(OR(B456="",C456=""),"",IFERROR(C456*IFERROR(INDEX(Ingredients!$H$5:$H$304,MATCH(B456,Ingredients!$A$5:$A$304,0)),""),""))</f>
        <v>0</v>
      </c>
      <c r="L456" s="8">
        <f>IF(OR(B456="",C456=""),"",IFERROR(C456*IFERROR(INDEX(Ingredients!$I$5:$I$304,MATCH(B456,Ingredients!$A$5:$A$304,0)),""),""))</f>
        <v>0</v>
      </c>
      <c r="M456" s="8">
        <f>IF(OR(B456="",C456=""),"",IFERROR(C456*IFERROR(INDEX(Ingredients!$J$5:$J$304,MATCH(B456,Ingredients!$A$5:$A$304,0)),""),""))</f>
        <v>0</v>
      </c>
      <c r="N456" s="8">
        <f>IF(OR(B456="",C456=""),"",IFERROR(C456*IFERROR(INDEX(Ingredients!$K$5:$K$304,MATCH(B456,Ingredients!$A$5:$A$304,0)),""),""))</f>
        <v>0</v>
      </c>
      <c r="O456" s="8">
        <f>IF(OR(B456="",C456=""),"",IFERROR(C456*IFERROR(INDEX(Ingredients!$L$5:$L$304,MATCH(B456,Ingredients!$A$5:$A$304,0)),""),""))</f>
        <v>0</v>
      </c>
      <c r="P456" s="8">
        <f>IF(OR(H456="",A456=""),"",IFERROR(H456/SUMIFS('Recipe Ingredients'!$H$5:$H$1204,'Recipe Ingredients'!$A$5:$A$1204,A456),""))</f>
        <v>0</v>
      </c>
      <c r="Q456" s="8">
        <f>IF(H456="","",COUNTIFS($H$5:$H$1204,"&gt;"&amp;H456)+1)</f>
        <v>0</v>
      </c>
      <c r="R456" s="8">
        <f>IF(B456="","",SUMIFS(Pantry!$C$5:$C$304,Pantry!$A$5:$A$304,B456))</f>
        <v>0</v>
      </c>
      <c r="S456" s="8">
        <f>IF(OR(B456="",C456=""),"",MAX(0,C456-R456))</f>
        <v>0</v>
      </c>
      <c r="T456" s="26"/>
      <c r="U456" s="8">
        <f>IF(OR(T456="",T456=0,G456=""),"",T456*G456)</f>
        <v>0</v>
      </c>
      <c r="V456" s="8">
        <f>IF(OR(S456="",T456="",T456=0),"",CEILING(S456/T456,1))</f>
        <v>0</v>
      </c>
      <c r="W456" s="27"/>
      <c r="X456" s="29"/>
      <c r="Y456" s="8">
        <f>IF(OR(C456="",X456=""),"",C456*(1+X456))</f>
        <v>0</v>
      </c>
      <c r="Z456" s="8">
        <f>IF(B456="","",IFERROR(INDEX(Ingredients!$O$5:$O$304,MATCH(B456,Ingredients!$A$5:$A$304,0)),""))</f>
        <v>0</v>
      </c>
      <c r="AA456" s="8">
        <f>IF(B456="","",IF(R456&gt;=C456,"In pantry","To buy"))</f>
        <v>0</v>
      </c>
      <c r="AB456" s="8">
        <f>IF(A456="","",COUNTIFS($A$5:A456,A456))</f>
        <v>0</v>
      </c>
      <c r="AC456" s="8">
        <f>IF(B456="","",IF(COUNTIFS('Dietary Filters'!$C$5:$C$104,B456)&gt;0,"Check","OK"))</f>
        <v>0</v>
      </c>
      <c r="AD456" s="25"/>
    </row>
    <row r="457" spans="1:30">
      <c r="A457" s="7"/>
      <c r="B457" s="7"/>
      <c r="C457" s="26"/>
      <c r="D457" s="27"/>
      <c r="E457" s="8">
        <f>IF(B457="","",IFERROR(INDEX(Ingredients!$B$5:$B$304,MATCH(B457,Ingredients!$A$5:$A$304,0)),""))</f>
        <v>0</v>
      </c>
      <c r="F457" s="8">
        <f>IF(B457="","",IFERROR(INDEX(Ingredients!$E$5:$E$304,MATCH(B457,Ingredients!$A$5:$A$304,0)),""))</f>
        <v>0</v>
      </c>
      <c r="G457" s="8">
        <f>IF(B457="","",IFERROR(INDEX(Ingredients!$D$5:$D$304,MATCH(B457,Ingredients!$A$5:$A$304,0)),""))</f>
        <v>0</v>
      </c>
      <c r="H457" s="8">
        <f>IF(OR(B457="",C457=""),"",IFERROR(C457*G457,""))</f>
        <v>0</v>
      </c>
      <c r="I457" s="8">
        <f>IF(A457="","",IFERROR(INDEX(Recipes!$D$5:$D$204,MATCH(A457,Recipes!$A$5:$A$204,0)),""))</f>
        <v>0</v>
      </c>
      <c r="J457" s="8">
        <f>IF(OR(H457="",I457="",I457=0),"",IFERROR(H457/I457,""))</f>
        <v>0</v>
      </c>
      <c r="K457" s="8">
        <f>IF(OR(B457="",C457=""),"",IFERROR(C457*IFERROR(INDEX(Ingredients!$H$5:$H$304,MATCH(B457,Ingredients!$A$5:$A$304,0)),""),""))</f>
        <v>0</v>
      </c>
      <c r="L457" s="8">
        <f>IF(OR(B457="",C457=""),"",IFERROR(C457*IFERROR(INDEX(Ingredients!$I$5:$I$304,MATCH(B457,Ingredients!$A$5:$A$304,0)),""),""))</f>
        <v>0</v>
      </c>
      <c r="M457" s="8">
        <f>IF(OR(B457="",C457=""),"",IFERROR(C457*IFERROR(INDEX(Ingredients!$J$5:$J$304,MATCH(B457,Ingredients!$A$5:$A$304,0)),""),""))</f>
        <v>0</v>
      </c>
      <c r="N457" s="8">
        <f>IF(OR(B457="",C457=""),"",IFERROR(C457*IFERROR(INDEX(Ingredients!$K$5:$K$304,MATCH(B457,Ingredients!$A$5:$A$304,0)),""),""))</f>
        <v>0</v>
      </c>
      <c r="O457" s="8">
        <f>IF(OR(B457="",C457=""),"",IFERROR(C457*IFERROR(INDEX(Ingredients!$L$5:$L$304,MATCH(B457,Ingredients!$A$5:$A$304,0)),""),""))</f>
        <v>0</v>
      </c>
      <c r="P457" s="8">
        <f>IF(OR(H457="",A457=""),"",IFERROR(H457/SUMIFS('Recipe Ingredients'!$H$5:$H$1204,'Recipe Ingredients'!$A$5:$A$1204,A457),""))</f>
        <v>0</v>
      </c>
      <c r="Q457" s="8">
        <f>IF(H457="","",COUNTIFS($H$5:$H$1204,"&gt;"&amp;H457)+1)</f>
        <v>0</v>
      </c>
      <c r="R457" s="8">
        <f>IF(B457="","",SUMIFS(Pantry!$C$5:$C$304,Pantry!$A$5:$A$304,B457))</f>
        <v>0</v>
      </c>
      <c r="S457" s="8">
        <f>IF(OR(B457="",C457=""),"",MAX(0,C457-R457))</f>
        <v>0</v>
      </c>
      <c r="T457" s="26"/>
      <c r="U457" s="8">
        <f>IF(OR(T457="",T457=0,G457=""),"",T457*G457)</f>
        <v>0</v>
      </c>
      <c r="V457" s="8">
        <f>IF(OR(S457="",T457="",T457=0),"",CEILING(S457/T457,1))</f>
        <v>0</v>
      </c>
      <c r="W457" s="27"/>
      <c r="X457" s="29"/>
      <c r="Y457" s="8">
        <f>IF(OR(C457="",X457=""),"",C457*(1+X457))</f>
        <v>0</v>
      </c>
      <c r="Z457" s="8">
        <f>IF(B457="","",IFERROR(INDEX(Ingredients!$O$5:$O$304,MATCH(B457,Ingredients!$A$5:$A$304,0)),""))</f>
        <v>0</v>
      </c>
      <c r="AA457" s="8">
        <f>IF(B457="","",IF(R457&gt;=C457,"In pantry","To buy"))</f>
        <v>0</v>
      </c>
      <c r="AB457" s="8">
        <f>IF(A457="","",COUNTIFS($A$5:A457,A457))</f>
        <v>0</v>
      </c>
      <c r="AC457" s="8">
        <f>IF(B457="","",IF(COUNTIFS('Dietary Filters'!$C$5:$C$104,B457)&gt;0,"Check","OK"))</f>
        <v>0</v>
      </c>
      <c r="AD457" s="25"/>
    </row>
    <row r="458" spans="1:30">
      <c r="A458" s="7"/>
      <c r="B458" s="7"/>
      <c r="C458" s="26"/>
      <c r="D458" s="27"/>
      <c r="E458" s="8">
        <f>IF(B458="","",IFERROR(INDEX(Ingredients!$B$5:$B$304,MATCH(B458,Ingredients!$A$5:$A$304,0)),""))</f>
        <v>0</v>
      </c>
      <c r="F458" s="8">
        <f>IF(B458="","",IFERROR(INDEX(Ingredients!$E$5:$E$304,MATCH(B458,Ingredients!$A$5:$A$304,0)),""))</f>
        <v>0</v>
      </c>
      <c r="G458" s="8">
        <f>IF(B458="","",IFERROR(INDEX(Ingredients!$D$5:$D$304,MATCH(B458,Ingredients!$A$5:$A$304,0)),""))</f>
        <v>0</v>
      </c>
      <c r="H458" s="8">
        <f>IF(OR(B458="",C458=""),"",IFERROR(C458*G458,""))</f>
        <v>0</v>
      </c>
      <c r="I458" s="8">
        <f>IF(A458="","",IFERROR(INDEX(Recipes!$D$5:$D$204,MATCH(A458,Recipes!$A$5:$A$204,0)),""))</f>
        <v>0</v>
      </c>
      <c r="J458" s="8">
        <f>IF(OR(H458="",I458="",I458=0),"",IFERROR(H458/I458,""))</f>
        <v>0</v>
      </c>
      <c r="K458" s="8">
        <f>IF(OR(B458="",C458=""),"",IFERROR(C458*IFERROR(INDEX(Ingredients!$H$5:$H$304,MATCH(B458,Ingredients!$A$5:$A$304,0)),""),""))</f>
        <v>0</v>
      </c>
      <c r="L458" s="8">
        <f>IF(OR(B458="",C458=""),"",IFERROR(C458*IFERROR(INDEX(Ingredients!$I$5:$I$304,MATCH(B458,Ingredients!$A$5:$A$304,0)),""),""))</f>
        <v>0</v>
      </c>
      <c r="M458" s="8">
        <f>IF(OR(B458="",C458=""),"",IFERROR(C458*IFERROR(INDEX(Ingredients!$J$5:$J$304,MATCH(B458,Ingredients!$A$5:$A$304,0)),""),""))</f>
        <v>0</v>
      </c>
      <c r="N458" s="8">
        <f>IF(OR(B458="",C458=""),"",IFERROR(C458*IFERROR(INDEX(Ingredients!$K$5:$K$304,MATCH(B458,Ingredients!$A$5:$A$304,0)),""),""))</f>
        <v>0</v>
      </c>
      <c r="O458" s="8">
        <f>IF(OR(B458="",C458=""),"",IFERROR(C458*IFERROR(INDEX(Ingredients!$L$5:$L$304,MATCH(B458,Ingredients!$A$5:$A$304,0)),""),""))</f>
        <v>0</v>
      </c>
      <c r="P458" s="8">
        <f>IF(OR(H458="",A458=""),"",IFERROR(H458/SUMIFS('Recipe Ingredients'!$H$5:$H$1204,'Recipe Ingredients'!$A$5:$A$1204,A458),""))</f>
        <v>0</v>
      </c>
      <c r="Q458" s="8">
        <f>IF(H458="","",COUNTIFS($H$5:$H$1204,"&gt;"&amp;H458)+1)</f>
        <v>0</v>
      </c>
      <c r="R458" s="8">
        <f>IF(B458="","",SUMIFS(Pantry!$C$5:$C$304,Pantry!$A$5:$A$304,B458))</f>
        <v>0</v>
      </c>
      <c r="S458" s="8">
        <f>IF(OR(B458="",C458=""),"",MAX(0,C458-R458))</f>
        <v>0</v>
      </c>
      <c r="T458" s="26"/>
      <c r="U458" s="8">
        <f>IF(OR(T458="",T458=0,G458=""),"",T458*G458)</f>
        <v>0</v>
      </c>
      <c r="V458" s="8">
        <f>IF(OR(S458="",T458="",T458=0),"",CEILING(S458/T458,1))</f>
        <v>0</v>
      </c>
      <c r="W458" s="27"/>
      <c r="X458" s="29"/>
      <c r="Y458" s="8">
        <f>IF(OR(C458="",X458=""),"",C458*(1+X458))</f>
        <v>0</v>
      </c>
      <c r="Z458" s="8">
        <f>IF(B458="","",IFERROR(INDEX(Ingredients!$O$5:$O$304,MATCH(B458,Ingredients!$A$5:$A$304,0)),""))</f>
        <v>0</v>
      </c>
      <c r="AA458" s="8">
        <f>IF(B458="","",IF(R458&gt;=C458,"In pantry","To buy"))</f>
        <v>0</v>
      </c>
      <c r="AB458" s="8">
        <f>IF(A458="","",COUNTIFS($A$5:A458,A458))</f>
        <v>0</v>
      </c>
      <c r="AC458" s="8">
        <f>IF(B458="","",IF(COUNTIFS('Dietary Filters'!$C$5:$C$104,B458)&gt;0,"Check","OK"))</f>
        <v>0</v>
      </c>
      <c r="AD458" s="25"/>
    </row>
    <row r="459" spans="1:30">
      <c r="A459" s="7"/>
      <c r="B459" s="7"/>
      <c r="C459" s="26"/>
      <c r="D459" s="27"/>
      <c r="E459" s="8">
        <f>IF(B459="","",IFERROR(INDEX(Ingredients!$B$5:$B$304,MATCH(B459,Ingredients!$A$5:$A$304,0)),""))</f>
        <v>0</v>
      </c>
      <c r="F459" s="8">
        <f>IF(B459="","",IFERROR(INDEX(Ingredients!$E$5:$E$304,MATCH(B459,Ingredients!$A$5:$A$304,0)),""))</f>
        <v>0</v>
      </c>
      <c r="G459" s="8">
        <f>IF(B459="","",IFERROR(INDEX(Ingredients!$D$5:$D$304,MATCH(B459,Ingredients!$A$5:$A$304,0)),""))</f>
        <v>0</v>
      </c>
      <c r="H459" s="8">
        <f>IF(OR(B459="",C459=""),"",IFERROR(C459*G459,""))</f>
        <v>0</v>
      </c>
      <c r="I459" s="8">
        <f>IF(A459="","",IFERROR(INDEX(Recipes!$D$5:$D$204,MATCH(A459,Recipes!$A$5:$A$204,0)),""))</f>
        <v>0</v>
      </c>
      <c r="J459" s="8">
        <f>IF(OR(H459="",I459="",I459=0),"",IFERROR(H459/I459,""))</f>
        <v>0</v>
      </c>
      <c r="K459" s="8">
        <f>IF(OR(B459="",C459=""),"",IFERROR(C459*IFERROR(INDEX(Ingredients!$H$5:$H$304,MATCH(B459,Ingredients!$A$5:$A$304,0)),""),""))</f>
        <v>0</v>
      </c>
      <c r="L459" s="8">
        <f>IF(OR(B459="",C459=""),"",IFERROR(C459*IFERROR(INDEX(Ingredients!$I$5:$I$304,MATCH(B459,Ingredients!$A$5:$A$304,0)),""),""))</f>
        <v>0</v>
      </c>
      <c r="M459" s="8">
        <f>IF(OR(B459="",C459=""),"",IFERROR(C459*IFERROR(INDEX(Ingredients!$J$5:$J$304,MATCH(B459,Ingredients!$A$5:$A$304,0)),""),""))</f>
        <v>0</v>
      </c>
      <c r="N459" s="8">
        <f>IF(OR(B459="",C459=""),"",IFERROR(C459*IFERROR(INDEX(Ingredients!$K$5:$K$304,MATCH(B459,Ingredients!$A$5:$A$304,0)),""),""))</f>
        <v>0</v>
      </c>
      <c r="O459" s="8">
        <f>IF(OR(B459="",C459=""),"",IFERROR(C459*IFERROR(INDEX(Ingredients!$L$5:$L$304,MATCH(B459,Ingredients!$A$5:$A$304,0)),""),""))</f>
        <v>0</v>
      </c>
      <c r="P459" s="8">
        <f>IF(OR(H459="",A459=""),"",IFERROR(H459/SUMIFS('Recipe Ingredients'!$H$5:$H$1204,'Recipe Ingredients'!$A$5:$A$1204,A459),""))</f>
        <v>0</v>
      </c>
      <c r="Q459" s="8">
        <f>IF(H459="","",COUNTIFS($H$5:$H$1204,"&gt;"&amp;H459)+1)</f>
        <v>0</v>
      </c>
      <c r="R459" s="8">
        <f>IF(B459="","",SUMIFS(Pantry!$C$5:$C$304,Pantry!$A$5:$A$304,B459))</f>
        <v>0</v>
      </c>
      <c r="S459" s="8">
        <f>IF(OR(B459="",C459=""),"",MAX(0,C459-R459))</f>
        <v>0</v>
      </c>
      <c r="T459" s="26"/>
      <c r="U459" s="8">
        <f>IF(OR(T459="",T459=0,G459=""),"",T459*G459)</f>
        <v>0</v>
      </c>
      <c r="V459" s="8">
        <f>IF(OR(S459="",T459="",T459=0),"",CEILING(S459/T459,1))</f>
        <v>0</v>
      </c>
      <c r="W459" s="27"/>
      <c r="X459" s="29"/>
      <c r="Y459" s="8">
        <f>IF(OR(C459="",X459=""),"",C459*(1+X459))</f>
        <v>0</v>
      </c>
      <c r="Z459" s="8">
        <f>IF(B459="","",IFERROR(INDEX(Ingredients!$O$5:$O$304,MATCH(B459,Ingredients!$A$5:$A$304,0)),""))</f>
        <v>0</v>
      </c>
      <c r="AA459" s="8">
        <f>IF(B459="","",IF(R459&gt;=C459,"In pantry","To buy"))</f>
        <v>0</v>
      </c>
      <c r="AB459" s="8">
        <f>IF(A459="","",COUNTIFS($A$5:A459,A459))</f>
        <v>0</v>
      </c>
      <c r="AC459" s="8">
        <f>IF(B459="","",IF(COUNTIFS('Dietary Filters'!$C$5:$C$104,B459)&gt;0,"Check","OK"))</f>
        <v>0</v>
      </c>
      <c r="AD459" s="25"/>
    </row>
    <row r="460" spans="1:30">
      <c r="A460" s="7"/>
      <c r="B460" s="7"/>
      <c r="C460" s="26"/>
      <c r="D460" s="27"/>
      <c r="E460" s="8">
        <f>IF(B460="","",IFERROR(INDEX(Ingredients!$B$5:$B$304,MATCH(B460,Ingredients!$A$5:$A$304,0)),""))</f>
        <v>0</v>
      </c>
      <c r="F460" s="8">
        <f>IF(B460="","",IFERROR(INDEX(Ingredients!$E$5:$E$304,MATCH(B460,Ingredients!$A$5:$A$304,0)),""))</f>
        <v>0</v>
      </c>
      <c r="G460" s="8">
        <f>IF(B460="","",IFERROR(INDEX(Ingredients!$D$5:$D$304,MATCH(B460,Ingredients!$A$5:$A$304,0)),""))</f>
        <v>0</v>
      </c>
      <c r="H460" s="8">
        <f>IF(OR(B460="",C460=""),"",IFERROR(C460*G460,""))</f>
        <v>0</v>
      </c>
      <c r="I460" s="8">
        <f>IF(A460="","",IFERROR(INDEX(Recipes!$D$5:$D$204,MATCH(A460,Recipes!$A$5:$A$204,0)),""))</f>
        <v>0</v>
      </c>
      <c r="J460" s="8">
        <f>IF(OR(H460="",I460="",I460=0),"",IFERROR(H460/I460,""))</f>
        <v>0</v>
      </c>
      <c r="K460" s="8">
        <f>IF(OR(B460="",C460=""),"",IFERROR(C460*IFERROR(INDEX(Ingredients!$H$5:$H$304,MATCH(B460,Ingredients!$A$5:$A$304,0)),""),""))</f>
        <v>0</v>
      </c>
      <c r="L460" s="8">
        <f>IF(OR(B460="",C460=""),"",IFERROR(C460*IFERROR(INDEX(Ingredients!$I$5:$I$304,MATCH(B460,Ingredients!$A$5:$A$304,0)),""),""))</f>
        <v>0</v>
      </c>
      <c r="M460" s="8">
        <f>IF(OR(B460="",C460=""),"",IFERROR(C460*IFERROR(INDEX(Ingredients!$J$5:$J$304,MATCH(B460,Ingredients!$A$5:$A$304,0)),""),""))</f>
        <v>0</v>
      </c>
      <c r="N460" s="8">
        <f>IF(OR(B460="",C460=""),"",IFERROR(C460*IFERROR(INDEX(Ingredients!$K$5:$K$304,MATCH(B460,Ingredients!$A$5:$A$304,0)),""),""))</f>
        <v>0</v>
      </c>
      <c r="O460" s="8">
        <f>IF(OR(B460="",C460=""),"",IFERROR(C460*IFERROR(INDEX(Ingredients!$L$5:$L$304,MATCH(B460,Ingredients!$A$5:$A$304,0)),""),""))</f>
        <v>0</v>
      </c>
      <c r="P460" s="8">
        <f>IF(OR(H460="",A460=""),"",IFERROR(H460/SUMIFS('Recipe Ingredients'!$H$5:$H$1204,'Recipe Ingredients'!$A$5:$A$1204,A460),""))</f>
        <v>0</v>
      </c>
      <c r="Q460" s="8">
        <f>IF(H460="","",COUNTIFS($H$5:$H$1204,"&gt;"&amp;H460)+1)</f>
        <v>0</v>
      </c>
      <c r="R460" s="8">
        <f>IF(B460="","",SUMIFS(Pantry!$C$5:$C$304,Pantry!$A$5:$A$304,B460))</f>
        <v>0</v>
      </c>
      <c r="S460" s="8">
        <f>IF(OR(B460="",C460=""),"",MAX(0,C460-R460))</f>
        <v>0</v>
      </c>
      <c r="T460" s="26"/>
      <c r="U460" s="8">
        <f>IF(OR(T460="",T460=0,G460=""),"",T460*G460)</f>
        <v>0</v>
      </c>
      <c r="V460" s="8">
        <f>IF(OR(S460="",T460="",T460=0),"",CEILING(S460/T460,1))</f>
        <v>0</v>
      </c>
      <c r="W460" s="27"/>
      <c r="X460" s="29"/>
      <c r="Y460" s="8">
        <f>IF(OR(C460="",X460=""),"",C460*(1+X460))</f>
        <v>0</v>
      </c>
      <c r="Z460" s="8">
        <f>IF(B460="","",IFERROR(INDEX(Ingredients!$O$5:$O$304,MATCH(B460,Ingredients!$A$5:$A$304,0)),""))</f>
        <v>0</v>
      </c>
      <c r="AA460" s="8">
        <f>IF(B460="","",IF(R460&gt;=C460,"In pantry","To buy"))</f>
        <v>0</v>
      </c>
      <c r="AB460" s="8">
        <f>IF(A460="","",COUNTIFS($A$5:A460,A460))</f>
        <v>0</v>
      </c>
      <c r="AC460" s="8">
        <f>IF(B460="","",IF(COUNTIFS('Dietary Filters'!$C$5:$C$104,B460)&gt;0,"Check","OK"))</f>
        <v>0</v>
      </c>
      <c r="AD460" s="25"/>
    </row>
    <row r="461" spans="1:30">
      <c r="A461" s="7"/>
      <c r="B461" s="7"/>
      <c r="C461" s="26"/>
      <c r="D461" s="27"/>
      <c r="E461" s="8">
        <f>IF(B461="","",IFERROR(INDEX(Ingredients!$B$5:$B$304,MATCH(B461,Ingredients!$A$5:$A$304,0)),""))</f>
        <v>0</v>
      </c>
      <c r="F461" s="8">
        <f>IF(B461="","",IFERROR(INDEX(Ingredients!$E$5:$E$304,MATCH(B461,Ingredients!$A$5:$A$304,0)),""))</f>
        <v>0</v>
      </c>
      <c r="G461" s="8">
        <f>IF(B461="","",IFERROR(INDEX(Ingredients!$D$5:$D$304,MATCH(B461,Ingredients!$A$5:$A$304,0)),""))</f>
        <v>0</v>
      </c>
      <c r="H461" s="8">
        <f>IF(OR(B461="",C461=""),"",IFERROR(C461*G461,""))</f>
        <v>0</v>
      </c>
      <c r="I461" s="8">
        <f>IF(A461="","",IFERROR(INDEX(Recipes!$D$5:$D$204,MATCH(A461,Recipes!$A$5:$A$204,0)),""))</f>
        <v>0</v>
      </c>
      <c r="J461" s="8">
        <f>IF(OR(H461="",I461="",I461=0),"",IFERROR(H461/I461,""))</f>
        <v>0</v>
      </c>
      <c r="K461" s="8">
        <f>IF(OR(B461="",C461=""),"",IFERROR(C461*IFERROR(INDEX(Ingredients!$H$5:$H$304,MATCH(B461,Ingredients!$A$5:$A$304,0)),""),""))</f>
        <v>0</v>
      </c>
      <c r="L461" s="8">
        <f>IF(OR(B461="",C461=""),"",IFERROR(C461*IFERROR(INDEX(Ingredients!$I$5:$I$304,MATCH(B461,Ingredients!$A$5:$A$304,0)),""),""))</f>
        <v>0</v>
      </c>
      <c r="M461" s="8">
        <f>IF(OR(B461="",C461=""),"",IFERROR(C461*IFERROR(INDEX(Ingredients!$J$5:$J$304,MATCH(B461,Ingredients!$A$5:$A$304,0)),""),""))</f>
        <v>0</v>
      </c>
      <c r="N461" s="8">
        <f>IF(OR(B461="",C461=""),"",IFERROR(C461*IFERROR(INDEX(Ingredients!$K$5:$K$304,MATCH(B461,Ingredients!$A$5:$A$304,0)),""),""))</f>
        <v>0</v>
      </c>
      <c r="O461" s="8">
        <f>IF(OR(B461="",C461=""),"",IFERROR(C461*IFERROR(INDEX(Ingredients!$L$5:$L$304,MATCH(B461,Ingredients!$A$5:$A$304,0)),""),""))</f>
        <v>0</v>
      </c>
      <c r="P461" s="8">
        <f>IF(OR(H461="",A461=""),"",IFERROR(H461/SUMIFS('Recipe Ingredients'!$H$5:$H$1204,'Recipe Ingredients'!$A$5:$A$1204,A461),""))</f>
        <v>0</v>
      </c>
      <c r="Q461" s="8">
        <f>IF(H461="","",COUNTIFS($H$5:$H$1204,"&gt;"&amp;H461)+1)</f>
        <v>0</v>
      </c>
      <c r="R461" s="8">
        <f>IF(B461="","",SUMIFS(Pantry!$C$5:$C$304,Pantry!$A$5:$A$304,B461))</f>
        <v>0</v>
      </c>
      <c r="S461" s="8">
        <f>IF(OR(B461="",C461=""),"",MAX(0,C461-R461))</f>
        <v>0</v>
      </c>
      <c r="T461" s="26"/>
      <c r="U461" s="8">
        <f>IF(OR(T461="",T461=0,G461=""),"",T461*G461)</f>
        <v>0</v>
      </c>
      <c r="V461" s="8">
        <f>IF(OR(S461="",T461="",T461=0),"",CEILING(S461/T461,1))</f>
        <v>0</v>
      </c>
      <c r="W461" s="27"/>
      <c r="X461" s="29"/>
      <c r="Y461" s="8">
        <f>IF(OR(C461="",X461=""),"",C461*(1+X461))</f>
        <v>0</v>
      </c>
      <c r="Z461" s="8">
        <f>IF(B461="","",IFERROR(INDEX(Ingredients!$O$5:$O$304,MATCH(B461,Ingredients!$A$5:$A$304,0)),""))</f>
        <v>0</v>
      </c>
      <c r="AA461" s="8">
        <f>IF(B461="","",IF(R461&gt;=C461,"In pantry","To buy"))</f>
        <v>0</v>
      </c>
      <c r="AB461" s="8">
        <f>IF(A461="","",COUNTIFS($A$5:A461,A461))</f>
        <v>0</v>
      </c>
      <c r="AC461" s="8">
        <f>IF(B461="","",IF(COUNTIFS('Dietary Filters'!$C$5:$C$104,B461)&gt;0,"Check","OK"))</f>
        <v>0</v>
      </c>
      <c r="AD461" s="25"/>
    </row>
    <row r="462" spans="1:30">
      <c r="A462" s="7"/>
      <c r="B462" s="7"/>
      <c r="C462" s="26"/>
      <c r="D462" s="27"/>
      <c r="E462" s="8">
        <f>IF(B462="","",IFERROR(INDEX(Ingredients!$B$5:$B$304,MATCH(B462,Ingredients!$A$5:$A$304,0)),""))</f>
        <v>0</v>
      </c>
      <c r="F462" s="8">
        <f>IF(B462="","",IFERROR(INDEX(Ingredients!$E$5:$E$304,MATCH(B462,Ingredients!$A$5:$A$304,0)),""))</f>
        <v>0</v>
      </c>
      <c r="G462" s="8">
        <f>IF(B462="","",IFERROR(INDEX(Ingredients!$D$5:$D$304,MATCH(B462,Ingredients!$A$5:$A$304,0)),""))</f>
        <v>0</v>
      </c>
      <c r="H462" s="8">
        <f>IF(OR(B462="",C462=""),"",IFERROR(C462*G462,""))</f>
        <v>0</v>
      </c>
      <c r="I462" s="8">
        <f>IF(A462="","",IFERROR(INDEX(Recipes!$D$5:$D$204,MATCH(A462,Recipes!$A$5:$A$204,0)),""))</f>
        <v>0</v>
      </c>
      <c r="J462" s="8">
        <f>IF(OR(H462="",I462="",I462=0),"",IFERROR(H462/I462,""))</f>
        <v>0</v>
      </c>
      <c r="K462" s="8">
        <f>IF(OR(B462="",C462=""),"",IFERROR(C462*IFERROR(INDEX(Ingredients!$H$5:$H$304,MATCH(B462,Ingredients!$A$5:$A$304,0)),""),""))</f>
        <v>0</v>
      </c>
      <c r="L462" s="8">
        <f>IF(OR(B462="",C462=""),"",IFERROR(C462*IFERROR(INDEX(Ingredients!$I$5:$I$304,MATCH(B462,Ingredients!$A$5:$A$304,0)),""),""))</f>
        <v>0</v>
      </c>
      <c r="M462" s="8">
        <f>IF(OR(B462="",C462=""),"",IFERROR(C462*IFERROR(INDEX(Ingredients!$J$5:$J$304,MATCH(B462,Ingredients!$A$5:$A$304,0)),""),""))</f>
        <v>0</v>
      </c>
      <c r="N462" s="8">
        <f>IF(OR(B462="",C462=""),"",IFERROR(C462*IFERROR(INDEX(Ingredients!$K$5:$K$304,MATCH(B462,Ingredients!$A$5:$A$304,0)),""),""))</f>
        <v>0</v>
      </c>
      <c r="O462" s="8">
        <f>IF(OR(B462="",C462=""),"",IFERROR(C462*IFERROR(INDEX(Ingredients!$L$5:$L$304,MATCH(B462,Ingredients!$A$5:$A$304,0)),""),""))</f>
        <v>0</v>
      </c>
      <c r="P462" s="8">
        <f>IF(OR(H462="",A462=""),"",IFERROR(H462/SUMIFS('Recipe Ingredients'!$H$5:$H$1204,'Recipe Ingredients'!$A$5:$A$1204,A462),""))</f>
        <v>0</v>
      </c>
      <c r="Q462" s="8">
        <f>IF(H462="","",COUNTIFS($H$5:$H$1204,"&gt;"&amp;H462)+1)</f>
        <v>0</v>
      </c>
      <c r="R462" s="8">
        <f>IF(B462="","",SUMIFS(Pantry!$C$5:$C$304,Pantry!$A$5:$A$304,B462))</f>
        <v>0</v>
      </c>
      <c r="S462" s="8">
        <f>IF(OR(B462="",C462=""),"",MAX(0,C462-R462))</f>
        <v>0</v>
      </c>
      <c r="T462" s="26"/>
      <c r="U462" s="8">
        <f>IF(OR(T462="",T462=0,G462=""),"",T462*G462)</f>
        <v>0</v>
      </c>
      <c r="V462" s="8">
        <f>IF(OR(S462="",T462="",T462=0),"",CEILING(S462/T462,1))</f>
        <v>0</v>
      </c>
      <c r="W462" s="27"/>
      <c r="X462" s="29"/>
      <c r="Y462" s="8">
        <f>IF(OR(C462="",X462=""),"",C462*(1+X462))</f>
        <v>0</v>
      </c>
      <c r="Z462" s="8">
        <f>IF(B462="","",IFERROR(INDEX(Ingredients!$O$5:$O$304,MATCH(B462,Ingredients!$A$5:$A$304,0)),""))</f>
        <v>0</v>
      </c>
      <c r="AA462" s="8">
        <f>IF(B462="","",IF(R462&gt;=C462,"In pantry","To buy"))</f>
        <v>0</v>
      </c>
      <c r="AB462" s="8">
        <f>IF(A462="","",COUNTIFS($A$5:A462,A462))</f>
        <v>0</v>
      </c>
      <c r="AC462" s="8">
        <f>IF(B462="","",IF(COUNTIFS('Dietary Filters'!$C$5:$C$104,B462)&gt;0,"Check","OK"))</f>
        <v>0</v>
      </c>
      <c r="AD462" s="25"/>
    </row>
    <row r="463" spans="1:30">
      <c r="A463" s="7"/>
      <c r="B463" s="7"/>
      <c r="C463" s="26"/>
      <c r="D463" s="27"/>
      <c r="E463" s="8">
        <f>IF(B463="","",IFERROR(INDEX(Ingredients!$B$5:$B$304,MATCH(B463,Ingredients!$A$5:$A$304,0)),""))</f>
        <v>0</v>
      </c>
      <c r="F463" s="8">
        <f>IF(B463="","",IFERROR(INDEX(Ingredients!$E$5:$E$304,MATCH(B463,Ingredients!$A$5:$A$304,0)),""))</f>
        <v>0</v>
      </c>
      <c r="G463" s="8">
        <f>IF(B463="","",IFERROR(INDEX(Ingredients!$D$5:$D$304,MATCH(B463,Ingredients!$A$5:$A$304,0)),""))</f>
        <v>0</v>
      </c>
      <c r="H463" s="8">
        <f>IF(OR(B463="",C463=""),"",IFERROR(C463*G463,""))</f>
        <v>0</v>
      </c>
      <c r="I463" s="8">
        <f>IF(A463="","",IFERROR(INDEX(Recipes!$D$5:$D$204,MATCH(A463,Recipes!$A$5:$A$204,0)),""))</f>
        <v>0</v>
      </c>
      <c r="J463" s="8">
        <f>IF(OR(H463="",I463="",I463=0),"",IFERROR(H463/I463,""))</f>
        <v>0</v>
      </c>
      <c r="K463" s="8">
        <f>IF(OR(B463="",C463=""),"",IFERROR(C463*IFERROR(INDEX(Ingredients!$H$5:$H$304,MATCH(B463,Ingredients!$A$5:$A$304,0)),""),""))</f>
        <v>0</v>
      </c>
      <c r="L463" s="8">
        <f>IF(OR(B463="",C463=""),"",IFERROR(C463*IFERROR(INDEX(Ingredients!$I$5:$I$304,MATCH(B463,Ingredients!$A$5:$A$304,0)),""),""))</f>
        <v>0</v>
      </c>
      <c r="M463" s="8">
        <f>IF(OR(B463="",C463=""),"",IFERROR(C463*IFERROR(INDEX(Ingredients!$J$5:$J$304,MATCH(B463,Ingredients!$A$5:$A$304,0)),""),""))</f>
        <v>0</v>
      </c>
      <c r="N463" s="8">
        <f>IF(OR(B463="",C463=""),"",IFERROR(C463*IFERROR(INDEX(Ingredients!$K$5:$K$304,MATCH(B463,Ingredients!$A$5:$A$304,0)),""),""))</f>
        <v>0</v>
      </c>
      <c r="O463" s="8">
        <f>IF(OR(B463="",C463=""),"",IFERROR(C463*IFERROR(INDEX(Ingredients!$L$5:$L$304,MATCH(B463,Ingredients!$A$5:$A$304,0)),""),""))</f>
        <v>0</v>
      </c>
      <c r="P463" s="8">
        <f>IF(OR(H463="",A463=""),"",IFERROR(H463/SUMIFS('Recipe Ingredients'!$H$5:$H$1204,'Recipe Ingredients'!$A$5:$A$1204,A463),""))</f>
        <v>0</v>
      </c>
      <c r="Q463" s="8">
        <f>IF(H463="","",COUNTIFS($H$5:$H$1204,"&gt;"&amp;H463)+1)</f>
        <v>0</v>
      </c>
      <c r="R463" s="8">
        <f>IF(B463="","",SUMIFS(Pantry!$C$5:$C$304,Pantry!$A$5:$A$304,B463))</f>
        <v>0</v>
      </c>
      <c r="S463" s="8">
        <f>IF(OR(B463="",C463=""),"",MAX(0,C463-R463))</f>
        <v>0</v>
      </c>
      <c r="T463" s="26"/>
      <c r="U463" s="8">
        <f>IF(OR(T463="",T463=0,G463=""),"",T463*G463)</f>
        <v>0</v>
      </c>
      <c r="V463" s="8">
        <f>IF(OR(S463="",T463="",T463=0),"",CEILING(S463/T463,1))</f>
        <v>0</v>
      </c>
      <c r="W463" s="27"/>
      <c r="X463" s="29"/>
      <c r="Y463" s="8">
        <f>IF(OR(C463="",X463=""),"",C463*(1+X463))</f>
        <v>0</v>
      </c>
      <c r="Z463" s="8">
        <f>IF(B463="","",IFERROR(INDEX(Ingredients!$O$5:$O$304,MATCH(B463,Ingredients!$A$5:$A$304,0)),""))</f>
        <v>0</v>
      </c>
      <c r="AA463" s="8">
        <f>IF(B463="","",IF(R463&gt;=C463,"In pantry","To buy"))</f>
        <v>0</v>
      </c>
      <c r="AB463" s="8">
        <f>IF(A463="","",COUNTIFS($A$5:A463,A463))</f>
        <v>0</v>
      </c>
      <c r="AC463" s="8">
        <f>IF(B463="","",IF(COUNTIFS('Dietary Filters'!$C$5:$C$104,B463)&gt;0,"Check","OK"))</f>
        <v>0</v>
      </c>
      <c r="AD463" s="25"/>
    </row>
    <row r="464" spans="1:30">
      <c r="A464" s="7"/>
      <c r="B464" s="7"/>
      <c r="C464" s="26"/>
      <c r="D464" s="27"/>
      <c r="E464" s="8">
        <f>IF(B464="","",IFERROR(INDEX(Ingredients!$B$5:$B$304,MATCH(B464,Ingredients!$A$5:$A$304,0)),""))</f>
        <v>0</v>
      </c>
      <c r="F464" s="8">
        <f>IF(B464="","",IFERROR(INDEX(Ingredients!$E$5:$E$304,MATCH(B464,Ingredients!$A$5:$A$304,0)),""))</f>
        <v>0</v>
      </c>
      <c r="G464" s="8">
        <f>IF(B464="","",IFERROR(INDEX(Ingredients!$D$5:$D$304,MATCH(B464,Ingredients!$A$5:$A$304,0)),""))</f>
        <v>0</v>
      </c>
      <c r="H464" s="8">
        <f>IF(OR(B464="",C464=""),"",IFERROR(C464*G464,""))</f>
        <v>0</v>
      </c>
      <c r="I464" s="8">
        <f>IF(A464="","",IFERROR(INDEX(Recipes!$D$5:$D$204,MATCH(A464,Recipes!$A$5:$A$204,0)),""))</f>
        <v>0</v>
      </c>
      <c r="J464" s="8">
        <f>IF(OR(H464="",I464="",I464=0),"",IFERROR(H464/I464,""))</f>
        <v>0</v>
      </c>
      <c r="K464" s="8">
        <f>IF(OR(B464="",C464=""),"",IFERROR(C464*IFERROR(INDEX(Ingredients!$H$5:$H$304,MATCH(B464,Ingredients!$A$5:$A$304,0)),""),""))</f>
        <v>0</v>
      </c>
      <c r="L464" s="8">
        <f>IF(OR(B464="",C464=""),"",IFERROR(C464*IFERROR(INDEX(Ingredients!$I$5:$I$304,MATCH(B464,Ingredients!$A$5:$A$304,0)),""),""))</f>
        <v>0</v>
      </c>
      <c r="M464" s="8">
        <f>IF(OR(B464="",C464=""),"",IFERROR(C464*IFERROR(INDEX(Ingredients!$J$5:$J$304,MATCH(B464,Ingredients!$A$5:$A$304,0)),""),""))</f>
        <v>0</v>
      </c>
      <c r="N464" s="8">
        <f>IF(OR(B464="",C464=""),"",IFERROR(C464*IFERROR(INDEX(Ingredients!$K$5:$K$304,MATCH(B464,Ingredients!$A$5:$A$304,0)),""),""))</f>
        <v>0</v>
      </c>
      <c r="O464" s="8">
        <f>IF(OR(B464="",C464=""),"",IFERROR(C464*IFERROR(INDEX(Ingredients!$L$5:$L$304,MATCH(B464,Ingredients!$A$5:$A$304,0)),""),""))</f>
        <v>0</v>
      </c>
      <c r="P464" s="8">
        <f>IF(OR(H464="",A464=""),"",IFERROR(H464/SUMIFS('Recipe Ingredients'!$H$5:$H$1204,'Recipe Ingredients'!$A$5:$A$1204,A464),""))</f>
        <v>0</v>
      </c>
      <c r="Q464" s="8">
        <f>IF(H464="","",COUNTIFS($H$5:$H$1204,"&gt;"&amp;H464)+1)</f>
        <v>0</v>
      </c>
      <c r="R464" s="8">
        <f>IF(B464="","",SUMIFS(Pantry!$C$5:$C$304,Pantry!$A$5:$A$304,B464))</f>
        <v>0</v>
      </c>
      <c r="S464" s="8">
        <f>IF(OR(B464="",C464=""),"",MAX(0,C464-R464))</f>
        <v>0</v>
      </c>
      <c r="T464" s="26"/>
      <c r="U464" s="8">
        <f>IF(OR(T464="",T464=0,G464=""),"",T464*G464)</f>
        <v>0</v>
      </c>
      <c r="V464" s="8">
        <f>IF(OR(S464="",T464="",T464=0),"",CEILING(S464/T464,1))</f>
        <v>0</v>
      </c>
      <c r="W464" s="27"/>
      <c r="X464" s="29"/>
      <c r="Y464" s="8">
        <f>IF(OR(C464="",X464=""),"",C464*(1+X464))</f>
        <v>0</v>
      </c>
      <c r="Z464" s="8">
        <f>IF(B464="","",IFERROR(INDEX(Ingredients!$O$5:$O$304,MATCH(B464,Ingredients!$A$5:$A$304,0)),""))</f>
        <v>0</v>
      </c>
      <c r="AA464" s="8">
        <f>IF(B464="","",IF(R464&gt;=C464,"In pantry","To buy"))</f>
        <v>0</v>
      </c>
      <c r="AB464" s="8">
        <f>IF(A464="","",COUNTIFS($A$5:A464,A464))</f>
        <v>0</v>
      </c>
      <c r="AC464" s="8">
        <f>IF(B464="","",IF(COUNTIFS('Dietary Filters'!$C$5:$C$104,B464)&gt;0,"Check","OK"))</f>
        <v>0</v>
      </c>
      <c r="AD464" s="25"/>
    </row>
    <row r="465" spans="1:30">
      <c r="A465" s="7"/>
      <c r="B465" s="7"/>
      <c r="C465" s="26"/>
      <c r="D465" s="27"/>
      <c r="E465" s="8">
        <f>IF(B465="","",IFERROR(INDEX(Ingredients!$B$5:$B$304,MATCH(B465,Ingredients!$A$5:$A$304,0)),""))</f>
        <v>0</v>
      </c>
      <c r="F465" s="8">
        <f>IF(B465="","",IFERROR(INDEX(Ingredients!$E$5:$E$304,MATCH(B465,Ingredients!$A$5:$A$304,0)),""))</f>
        <v>0</v>
      </c>
      <c r="G465" s="8">
        <f>IF(B465="","",IFERROR(INDEX(Ingredients!$D$5:$D$304,MATCH(B465,Ingredients!$A$5:$A$304,0)),""))</f>
        <v>0</v>
      </c>
      <c r="H465" s="8">
        <f>IF(OR(B465="",C465=""),"",IFERROR(C465*G465,""))</f>
        <v>0</v>
      </c>
      <c r="I465" s="8">
        <f>IF(A465="","",IFERROR(INDEX(Recipes!$D$5:$D$204,MATCH(A465,Recipes!$A$5:$A$204,0)),""))</f>
        <v>0</v>
      </c>
      <c r="J465" s="8">
        <f>IF(OR(H465="",I465="",I465=0),"",IFERROR(H465/I465,""))</f>
        <v>0</v>
      </c>
      <c r="K465" s="8">
        <f>IF(OR(B465="",C465=""),"",IFERROR(C465*IFERROR(INDEX(Ingredients!$H$5:$H$304,MATCH(B465,Ingredients!$A$5:$A$304,0)),""),""))</f>
        <v>0</v>
      </c>
      <c r="L465" s="8">
        <f>IF(OR(B465="",C465=""),"",IFERROR(C465*IFERROR(INDEX(Ingredients!$I$5:$I$304,MATCH(B465,Ingredients!$A$5:$A$304,0)),""),""))</f>
        <v>0</v>
      </c>
      <c r="M465" s="8">
        <f>IF(OR(B465="",C465=""),"",IFERROR(C465*IFERROR(INDEX(Ingredients!$J$5:$J$304,MATCH(B465,Ingredients!$A$5:$A$304,0)),""),""))</f>
        <v>0</v>
      </c>
      <c r="N465" s="8">
        <f>IF(OR(B465="",C465=""),"",IFERROR(C465*IFERROR(INDEX(Ingredients!$K$5:$K$304,MATCH(B465,Ingredients!$A$5:$A$304,0)),""),""))</f>
        <v>0</v>
      </c>
      <c r="O465" s="8">
        <f>IF(OR(B465="",C465=""),"",IFERROR(C465*IFERROR(INDEX(Ingredients!$L$5:$L$304,MATCH(B465,Ingredients!$A$5:$A$304,0)),""),""))</f>
        <v>0</v>
      </c>
      <c r="P465" s="8">
        <f>IF(OR(H465="",A465=""),"",IFERROR(H465/SUMIFS('Recipe Ingredients'!$H$5:$H$1204,'Recipe Ingredients'!$A$5:$A$1204,A465),""))</f>
        <v>0</v>
      </c>
      <c r="Q465" s="8">
        <f>IF(H465="","",COUNTIFS($H$5:$H$1204,"&gt;"&amp;H465)+1)</f>
        <v>0</v>
      </c>
      <c r="R465" s="8">
        <f>IF(B465="","",SUMIFS(Pantry!$C$5:$C$304,Pantry!$A$5:$A$304,B465))</f>
        <v>0</v>
      </c>
      <c r="S465" s="8">
        <f>IF(OR(B465="",C465=""),"",MAX(0,C465-R465))</f>
        <v>0</v>
      </c>
      <c r="T465" s="26"/>
      <c r="U465" s="8">
        <f>IF(OR(T465="",T465=0,G465=""),"",T465*G465)</f>
        <v>0</v>
      </c>
      <c r="V465" s="8">
        <f>IF(OR(S465="",T465="",T465=0),"",CEILING(S465/T465,1))</f>
        <v>0</v>
      </c>
      <c r="W465" s="27"/>
      <c r="X465" s="29"/>
      <c r="Y465" s="8">
        <f>IF(OR(C465="",X465=""),"",C465*(1+X465))</f>
        <v>0</v>
      </c>
      <c r="Z465" s="8">
        <f>IF(B465="","",IFERROR(INDEX(Ingredients!$O$5:$O$304,MATCH(B465,Ingredients!$A$5:$A$304,0)),""))</f>
        <v>0</v>
      </c>
      <c r="AA465" s="8">
        <f>IF(B465="","",IF(R465&gt;=C465,"In pantry","To buy"))</f>
        <v>0</v>
      </c>
      <c r="AB465" s="8">
        <f>IF(A465="","",COUNTIFS($A$5:A465,A465))</f>
        <v>0</v>
      </c>
      <c r="AC465" s="8">
        <f>IF(B465="","",IF(COUNTIFS('Dietary Filters'!$C$5:$C$104,B465)&gt;0,"Check","OK"))</f>
        <v>0</v>
      </c>
      <c r="AD465" s="25"/>
    </row>
    <row r="466" spans="1:30">
      <c r="A466" s="7"/>
      <c r="B466" s="7"/>
      <c r="C466" s="26"/>
      <c r="D466" s="27"/>
      <c r="E466" s="8">
        <f>IF(B466="","",IFERROR(INDEX(Ingredients!$B$5:$B$304,MATCH(B466,Ingredients!$A$5:$A$304,0)),""))</f>
        <v>0</v>
      </c>
      <c r="F466" s="8">
        <f>IF(B466="","",IFERROR(INDEX(Ingredients!$E$5:$E$304,MATCH(B466,Ingredients!$A$5:$A$304,0)),""))</f>
        <v>0</v>
      </c>
      <c r="G466" s="8">
        <f>IF(B466="","",IFERROR(INDEX(Ingredients!$D$5:$D$304,MATCH(B466,Ingredients!$A$5:$A$304,0)),""))</f>
        <v>0</v>
      </c>
      <c r="H466" s="8">
        <f>IF(OR(B466="",C466=""),"",IFERROR(C466*G466,""))</f>
        <v>0</v>
      </c>
      <c r="I466" s="8">
        <f>IF(A466="","",IFERROR(INDEX(Recipes!$D$5:$D$204,MATCH(A466,Recipes!$A$5:$A$204,0)),""))</f>
        <v>0</v>
      </c>
      <c r="J466" s="8">
        <f>IF(OR(H466="",I466="",I466=0),"",IFERROR(H466/I466,""))</f>
        <v>0</v>
      </c>
      <c r="K466" s="8">
        <f>IF(OR(B466="",C466=""),"",IFERROR(C466*IFERROR(INDEX(Ingredients!$H$5:$H$304,MATCH(B466,Ingredients!$A$5:$A$304,0)),""),""))</f>
        <v>0</v>
      </c>
      <c r="L466" s="8">
        <f>IF(OR(B466="",C466=""),"",IFERROR(C466*IFERROR(INDEX(Ingredients!$I$5:$I$304,MATCH(B466,Ingredients!$A$5:$A$304,0)),""),""))</f>
        <v>0</v>
      </c>
      <c r="M466" s="8">
        <f>IF(OR(B466="",C466=""),"",IFERROR(C466*IFERROR(INDEX(Ingredients!$J$5:$J$304,MATCH(B466,Ingredients!$A$5:$A$304,0)),""),""))</f>
        <v>0</v>
      </c>
      <c r="N466" s="8">
        <f>IF(OR(B466="",C466=""),"",IFERROR(C466*IFERROR(INDEX(Ingredients!$K$5:$K$304,MATCH(B466,Ingredients!$A$5:$A$304,0)),""),""))</f>
        <v>0</v>
      </c>
      <c r="O466" s="8">
        <f>IF(OR(B466="",C466=""),"",IFERROR(C466*IFERROR(INDEX(Ingredients!$L$5:$L$304,MATCH(B466,Ingredients!$A$5:$A$304,0)),""),""))</f>
        <v>0</v>
      </c>
      <c r="P466" s="8">
        <f>IF(OR(H466="",A466=""),"",IFERROR(H466/SUMIFS('Recipe Ingredients'!$H$5:$H$1204,'Recipe Ingredients'!$A$5:$A$1204,A466),""))</f>
        <v>0</v>
      </c>
      <c r="Q466" s="8">
        <f>IF(H466="","",COUNTIFS($H$5:$H$1204,"&gt;"&amp;H466)+1)</f>
        <v>0</v>
      </c>
      <c r="R466" s="8">
        <f>IF(B466="","",SUMIFS(Pantry!$C$5:$C$304,Pantry!$A$5:$A$304,B466))</f>
        <v>0</v>
      </c>
      <c r="S466" s="8">
        <f>IF(OR(B466="",C466=""),"",MAX(0,C466-R466))</f>
        <v>0</v>
      </c>
      <c r="T466" s="26"/>
      <c r="U466" s="8">
        <f>IF(OR(T466="",T466=0,G466=""),"",T466*G466)</f>
        <v>0</v>
      </c>
      <c r="V466" s="8">
        <f>IF(OR(S466="",T466="",T466=0),"",CEILING(S466/T466,1))</f>
        <v>0</v>
      </c>
      <c r="W466" s="27"/>
      <c r="X466" s="29"/>
      <c r="Y466" s="8">
        <f>IF(OR(C466="",X466=""),"",C466*(1+X466))</f>
        <v>0</v>
      </c>
      <c r="Z466" s="8">
        <f>IF(B466="","",IFERROR(INDEX(Ingredients!$O$5:$O$304,MATCH(B466,Ingredients!$A$5:$A$304,0)),""))</f>
        <v>0</v>
      </c>
      <c r="AA466" s="8">
        <f>IF(B466="","",IF(R466&gt;=C466,"In pantry","To buy"))</f>
        <v>0</v>
      </c>
      <c r="AB466" s="8">
        <f>IF(A466="","",COUNTIFS($A$5:A466,A466))</f>
        <v>0</v>
      </c>
      <c r="AC466" s="8">
        <f>IF(B466="","",IF(COUNTIFS('Dietary Filters'!$C$5:$C$104,B466)&gt;0,"Check","OK"))</f>
        <v>0</v>
      </c>
      <c r="AD466" s="25"/>
    </row>
    <row r="467" spans="1:30">
      <c r="A467" s="7"/>
      <c r="B467" s="7"/>
      <c r="C467" s="26"/>
      <c r="D467" s="27"/>
      <c r="E467" s="8">
        <f>IF(B467="","",IFERROR(INDEX(Ingredients!$B$5:$B$304,MATCH(B467,Ingredients!$A$5:$A$304,0)),""))</f>
        <v>0</v>
      </c>
      <c r="F467" s="8">
        <f>IF(B467="","",IFERROR(INDEX(Ingredients!$E$5:$E$304,MATCH(B467,Ingredients!$A$5:$A$304,0)),""))</f>
        <v>0</v>
      </c>
      <c r="G467" s="8">
        <f>IF(B467="","",IFERROR(INDEX(Ingredients!$D$5:$D$304,MATCH(B467,Ingredients!$A$5:$A$304,0)),""))</f>
        <v>0</v>
      </c>
      <c r="H467" s="8">
        <f>IF(OR(B467="",C467=""),"",IFERROR(C467*G467,""))</f>
        <v>0</v>
      </c>
      <c r="I467" s="8">
        <f>IF(A467="","",IFERROR(INDEX(Recipes!$D$5:$D$204,MATCH(A467,Recipes!$A$5:$A$204,0)),""))</f>
        <v>0</v>
      </c>
      <c r="J467" s="8">
        <f>IF(OR(H467="",I467="",I467=0),"",IFERROR(H467/I467,""))</f>
        <v>0</v>
      </c>
      <c r="K467" s="8">
        <f>IF(OR(B467="",C467=""),"",IFERROR(C467*IFERROR(INDEX(Ingredients!$H$5:$H$304,MATCH(B467,Ingredients!$A$5:$A$304,0)),""),""))</f>
        <v>0</v>
      </c>
      <c r="L467" s="8">
        <f>IF(OR(B467="",C467=""),"",IFERROR(C467*IFERROR(INDEX(Ingredients!$I$5:$I$304,MATCH(B467,Ingredients!$A$5:$A$304,0)),""),""))</f>
        <v>0</v>
      </c>
      <c r="M467" s="8">
        <f>IF(OR(B467="",C467=""),"",IFERROR(C467*IFERROR(INDEX(Ingredients!$J$5:$J$304,MATCH(B467,Ingredients!$A$5:$A$304,0)),""),""))</f>
        <v>0</v>
      </c>
      <c r="N467" s="8">
        <f>IF(OR(B467="",C467=""),"",IFERROR(C467*IFERROR(INDEX(Ingredients!$K$5:$K$304,MATCH(B467,Ingredients!$A$5:$A$304,0)),""),""))</f>
        <v>0</v>
      </c>
      <c r="O467" s="8">
        <f>IF(OR(B467="",C467=""),"",IFERROR(C467*IFERROR(INDEX(Ingredients!$L$5:$L$304,MATCH(B467,Ingredients!$A$5:$A$304,0)),""),""))</f>
        <v>0</v>
      </c>
      <c r="P467" s="8">
        <f>IF(OR(H467="",A467=""),"",IFERROR(H467/SUMIFS('Recipe Ingredients'!$H$5:$H$1204,'Recipe Ingredients'!$A$5:$A$1204,A467),""))</f>
        <v>0</v>
      </c>
      <c r="Q467" s="8">
        <f>IF(H467="","",COUNTIFS($H$5:$H$1204,"&gt;"&amp;H467)+1)</f>
        <v>0</v>
      </c>
      <c r="R467" s="8">
        <f>IF(B467="","",SUMIFS(Pantry!$C$5:$C$304,Pantry!$A$5:$A$304,B467))</f>
        <v>0</v>
      </c>
      <c r="S467" s="8">
        <f>IF(OR(B467="",C467=""),"",MAX(0,C467-R467))</f>
        <v>0</v>
      </c>
      <c r="T467" s="26"/>
      <c r="U467" s="8">
        <f>IF(OR(T467="",T467=0,G467=""),"",T467*G467)</f>
        <v>0</v>
      </c>
      <c r="V467" s="8">
        <f>IF(OR(S467="",T467="",T467=0),"",CEILING(S467/T467,1))</f>
        <v>0</v>
      </c>
      <c r="W467" s="27"/>
      <c r="X467" s="29"/>
      <c r="Y467" s="8">
        <f>IF(OR(C467="",X467=""),"",C467*(1+X467))</f>
        <v>0</v>
      </c>
      <c r="Z467" s="8">
        <f>IF(B467="","",IFERROR(INDEX(Ingredients!$O$5:$O$304,MATCH(B467,Ingredients!$A$5:$A$304,0)),""))</f>
        <v>0</v>
      </c>
      <c r="AA467" s="8">
        <f>IF(B467="","",IF(R467&gt;=C467,"In pantry","To buy"))</f>
        <v>0</v>
      </c>
      <c r="AB467" s="8">
        <f>IF(A467="","",COUNTIFS($A$5:A467,A467))</f>
        <v>0</v>
      </c>
      <c r="AC467" s="8">
        <f>IF(B467="","",IF(COUNTIFS('Dietary Filters'!$C$5:$C$104,B467)&gt;0,"Check","OK"))</f>
        <v>0</v>
      </c>
      <c r="AD467" s="25"/>
    </row>
    <row r="468" spans="1:30">
      <c r="A468" s="7"/>
      <c r="B468" s="7"/>
      <c r="C468" s="26"/>
      <c r="D468" s="27"/>
      <c r="E468" s="8">
        <f>IF(B468="","",IFERROR(INDEX(Ingredients!$B$5:$B$304,MATCH(B468,Ingredients!$A$5:$A$304,0)),""))</f>
        <v>0</v>
      </c>
      <c r="F468" s="8">
        <f>IF(B468="","",IFERROR(INDEX(Ingredients!$E$5:$E$304,MATCH(B468,Ingredients!$A$5:$A$304,0)),""))</f>
        <v>0</v>
      </c>
      <c r="G468" s="8">
        <f>IF(B468="","",IFERROR(INDEX(Ingredients!$D$5:$D$304,MATCH(B468,Ingredients!$A$5:$A$304,0)),""))</f>
        <v>0</v>
      </c>
      <c r="H468" s="8">
        <f>IF(OR(B468="",C468=""),"",IFERROR(C468*G468,""))</f>
        <v>0</v>
      </c>
      <c r="I468" s="8">
        <f>IF(A468="","",IFERROR(INDEX(Recipes!$D$5:$D$204,MATCH(A468,Recipes!$A$5:$A$204,0)),""))</f>
        <v>0</v>
      </c>
      <c r="J468" s="8">
        <f>IF(OR(H468="",I468="",I468=0),"",IFERROR(H468/I468,""))</f>
        <v>0</v>
      </c>
      <c r="K468" s="8">
        <f>IF(OR(B468="",C468=""),"",IFERROR(C468*IFERROR(INDEX(Ingredients!$H$5:$H$304,MATCH(B468,Ingredients!$A$5:$A$304,0)),""),""))</f>
        <v>0</v>
      </c>
      <c r="L468" s="8">
        <f>IF(OR(B468="",C468=""),"",IFERROR(C468*IFERROR(INDEX(Ingredients!$I$5:$I$304,MATCH(B468,Ingredients!$A$5:$A$304,0)),""),""))</f>
        <v>0</v>
      </c>
      <c r="M468" s="8">
        <f>IF(OR(B468="",C468=""),"",IFERROR(C468*IFERROR(INDEX(Ingredients!$J$5:$J$304,MATCH(B468,Ingredients!$A$5:$A$304,0)),""),""))</f>
        <v>0</v>
      </c>
      <c r="N468" s="8">
        <f>IF(OR(B468="",C468=""),"",IFERROR(C468*IFERROR(INDEX(Ingredients!$K$5:$K$304,MATCH(B468,Ingredients!$A$5:$A$304,0)),""),""))</f>
        <v>0</v>
      </c>
      <c r="O468" s="8">
        <f>IF(OR(B468="",C468=""),"",IFERROR(C468*IFERROR(INDEX(Ingredients!$L$5:$L$304,MATCH(B468,Ingredients!$A$5:$A$304,0)),""),""))</f>
        <v>0</v>
      </c>
      <c r="P468" s="8">
        <f>IF(OR(H468="",A468=""),"",IFERROR(H468/SUMIFS('Recipe Ingredients'!$H$5:$H$1204,'Recipe Ingredients'!$A$5:$A$1204,A468),""))</f>
        <v>0</v>
      </c>
      <c r="Q468" s="8">
        <f>IF(H468="","",COUNTIFS($H$5:$H$1204,"&gt;"&amp;H468)+1)</f>
        <v>0</v>
      </c>
      <c r="R468" s="8">
        <f>IF(B468="","",SUMIFS(Pantry!$C$5:$C$304,Pantry!$A$5:$A$304,B468))</f>
        <v>0</v>
      </c>
      <c r="S468" s="8">
        <f>IF(OR(B468="",C468=""),"",MAX(0,C468-R468))</f>
        <v>0</v>
      </c>
      <c r="T468" s="26"/>
      <c r="U468" s="8">
        <f>IF(OR(T468="",T468=0,G468=""),"",T468*G468)</f>
        <v>0</v>
      </c>
      <c r="V468" s="8">
        <f>IF(OR(S468="",T468="",T468=0),"",CEILING(S468/T468,1))</f>
        <v>0</v>
      </c>
      <c r="W468" s="27"/>
      <c r="X468" s="29"/>
      <c r="Y468" s="8">
        <f>IF(OR(C468="",X468=""),"",C468*(1+X468))</f>
        <v>0</v>
      </c>
      <c r="Z468" s="8">
        <f>IF(B468="","",IFERROR(INDEX(Ingredients!$O$5:$O$304,MATCH(B468,Ingredients!$A$5:$A$304,0)),""))</f>
        <v>0</v>
      </c>
      <c r="AA468" s="8">
        <f>IF(B468="","",IF(R468&gt;=C468,"In pantry","To buy"))</f>
        <v>0</v>
      </c>
      <c r="AB468" s="8">
        <f>IF(A468="","",COUNTIFS($A$5:A468,A468))</f>
        <v>0</v>
      </c>
      <c r="AC468" s="8">
        <f>IF(B468="","",IF(COUNTIFS('Dietary Filters'!$C$5:$C$104,B468)&gt;0,"Check","OK"))</f>
        <v>0</v>
      </c>
      <c r="AD468" s="25"/>
    </row>
    <row r="469" spans="1:30">
      <c r="A469" s="7"/>
      <c r="B469" s="7"/>
      <c r="C469" s="26"/>
      <c r="D469" s="27"/>
      <c r="E469" s="8">
        <f>IF(B469="","",IFERROR(INDEX(Ingredients!$B$5:$B$304,MATCH(B469,Ingredients!$A$5:$A$304,0)),""))</f>
        <v>0</v>
      </c>
      <c r="F469" s="8">
        <f>IF(B469="","",IFERROR(INDEX(Ingredients!$E$5:$E$304,MATCH(B469,Ingredients!$A$5:$A$304,0)),""))</f>
        <v>0</v>
      </c>
      <c r="G469" s="8">
        <f>IF(B469="","",IFERROR(INDEX(Ingredients!$D$5:$D$304,MATCH(B469,Ingredients!$A$5:$A$304,0)),""))</f>
        <v>0</v>
      </c>
      <c r="H469" s="8">
        <f>IF(OR(B469="",C469=""),"",IFERROR(C469*G469,""))</f>
        <v>0</v>
      </c>
      <c r="I469" s="8">
        <f>IF(A469="","",IFERROR(INDEX(Recipes!$D$5:$D$204,MATCH(A469,Recipes!$A$5:$A$204,0)),""))</f>
        <v>0</v>
      </c>
      <c r="J469" s="8">
        <f>IF(OR(H469="",I469="",I469=0),"",IFERROR(H469/I469,""))</f>
        <v>0</v>
      </c>
      <c r="K469" s="8">
        <f>IF(OR(B469="",C469=""),"",IFERROR(C469*IFERROR(INDEX(Ingredients!$H$5:$H$304,MATCH(B469,Ingredients!$A$5:$A$304,0)),""),""))</f>
        <v>0</v>
      </c>
      <c r="L469" s="8">
        <f>IF(OR(B469="",C469=""),"",IFERROR(C469*IFERROR(INDEX(Ingredients!$I$5:$I$304,MATCH(B469,Ingredients!$A$5:$A$304,0)),""),""))</f>
        <v>0</v>
      </c>
      <c r="M469" s="8">
        <f>IF(OR(B469="",C469=""),"",IFERROR(C469*IFERROR(INDEX(Ingredients!$J$5:$J$304,MATCH(B469,Ingredients!$A$5:$A$304,0)),""),""))</f>
        <v>0</v>
      </c>
      <c r="N469" s="8">
        <f>IF(OR(B469="",C469=""),"",IFERROR(C469*IFERROR(INDEX(Ingredients!$K$5:$K$304,MATCH(B469,Ingredients!$A$5:$A$304,0)),""),""))</f>
        <v>0</v>
      </c>
      <c r="O469" s="8">
        <f>IF(OR(B469="",C469=""),"",IFERROR(C469*IFERROR(INDEX(Ingredients!$L$5:$L$304,MATCH(B469,Ingredients!$A$5:$A$304,0)),""),""))</f>
        <v>0</v>
      </c>
      <c r="P469" s="8">
        <f>IF(OR(H469="",A469=""),"",IFERROR(H469/SUMIFS('Recipe Ingredients'!$H$5:$H$1204,'Recipe Ingredients'!$A$5:$A$1204,A469),""))</f>
        <v>0</v>
      </c>
      <c r="Q469" s="8">
        <f>IF(H469="","",COUNTIFS($H$5:$H$1204,"&gt;"&amp;H469)+1)</f>
        <v>0</v>
      </c>
      <c r="R469" s="8">
        <f>IF(B469="","",SUMIFS(Pantry!$C$5:$C$304,Pantry!$A$5:$A$304,B469))</f>
        <v>0</v>
      </c>
      <c r="S469" s="8">
        <f>IF(OR(B469="",C469=""),"",MAX(0,C469-R469))</f>
        <v>0</v>
      </c>
      <c r="T469" s="26"/>
      <c r="U469" s="8">
        <f>IF(OR(T469="",T469=0,G469=""),"",T469*G469)</f>
        <v>0</v>
      </c>
      <c r="V469" s="8">
        <f>IF(OR(S469="",T469="",T469=0),"",CEILING(S469/T469,1))</f>
        <v>0</v>
      </c>
      <c r="W469" s="27"/>
      <c r="X469" s="29"/>
      <c r="Y469" s="8">
        <f>IF(OR(C469="",X469=""),"",C469*(1+X469))</f>
        <v>0</v>
      </c>
      <c r="Z469" s="8">
        <f>IF(B469="","",IFERROR(INDEX(Ingredients!$O$5:$O$304,MATCH(B469,Ingredients!$A$5:$A$304,0)),""))</f>
        <v>0</v>
      </c>
      <c r="AA469" s="8">
        <f>IF(B469="","",IF(R469&gt;=C469,"In pantry","To buy"))</f>
        <v>0</v>
      </c>
      <c r="AB469" s="8">
        <f>IF(A469="","",COUNTIFS($A$5:A469,A469))</f>
        <v>0</v>
      </c>
      <c r="AC469" s="8">
        <f>IF(B469="","",IF(COUNTIFS('Dietary Filters'!$C$5:$C$104,B469)&gt;0,"Check","OK"))</f>
        <v>0</v>
      </c>
      <c r="AD469" s="25"/>
    </row>
    <row r="470" spans="1:30">
      <c r="A470" s="7"/>
      <c r="B470" s="7"/>
      <c r="C470" s="26"/>
      <c r="D470" s="27"/>
      <c r="E470" s="8">
        <f>IF(B470="","",IFERROR(INDEX(Ingredients!$B$5:$B$304,MATCH(B470,Ingredients!$A$5:$A$304,0)),""))</f>
        <v>0</v>
      </c>
      <c r="F470" s="8">
        <f>IF(B470="","",IFERROR(INDEX(Ingredients!$E$5:$E$304,MATCH(B470,Ingredients!$A$5:$A$304,0)),""))</f>
        <v>0</v>
      </c>
      <c r="G470" s="8">
        <f>IF(B470="","",IFERROR(INDEX(Ingredients!$D$5:$D$304,MATCH(B470,Ingredients!$A$5:$A$304,0)),""))</f>
        <v>0</v>
      </c>
      <c r="H470" s="8">
        <f>IF(OR(B470="",C470=""),"",IFERROR(C470*G470,""))</f>
        <v>0</v>
      </c>
      <c r="I470" s="8">
        <f>IF(A470="","",IFERROR(INDEX(Recipes!$D$5:$D$204,MATCH(A470,Recipes!$A$5:$A$204,0)),""))</f>
        <v>0</v>
      </c>
      <c r="J470" s="8">
        <f>IF(OR(H470="",I470="",I470=0),"",IFERROR(H470/I470,""))</f>
        <v>0</v>
      </c>
      <c r="K470" s="8">
        <f>IF(OR(B470="",C470=""),"",IFERROR(C470*IFERROR(INDEX(Ingredients!$H$5:$H$304,MATCH(B470,Ingredients!$A$5:$A$304,0)),""),""))</f>
        <v>0</v>
      </c>
      <c r="L470" s="8">
        <f>IF(OR(B470="",C470=""),"",IFERROR(C470*IFERROR(INDEX(Ingredients!$I$5:$I$304,MATCH(B470,Ingredients!$A$5:$A$304,0)),""),""))</f>
        <v>0</v>
      </c>
      <c r="M470" s="8">
        <f>IF(OR(B470="",C470=""),"",IFERROR(C470*IFERROR(INDEX(Ingredients!$J$5:$J$304,MATCH(B470,Ingredients!$A$5:$A$304,0)),""),""))</f>
        <v>0</v>
      </c>
      <c r="N470" s="8">
        <f>IF(OR(B470="",C470=""),"",IFERROR(C470*IFERROR(INDEX(Ingredients!$K$5:$K$304,MATCH(B470,Ingredients!$A$5:$A$304,0)),""),""))</f>
        <v>0</v>
      </c>
      <c r="O470" s="8">
        <f>IF(OR(B470="",C470=""),"",IFERROR(C470*IFERROR(INDEX(Ingredients!$L$5:$L$304,MATCH(B470,Ingredients!$A$5:$A$304,0)),""),""))</f>
        <v>0</v>
      </c>
      <c r="P470" s="8">
        <f>IF(OR(H470="",A470=""),"",IFERROR(H470/SUMIFS('Recipe Ingredients'!$H$5:$H$1204,'Recipe Ingredients'!$A$5:$A$1204,A470),""))</f>
        <v>0</v>
      </c>
      <c r="Q470" s="8">
        <f>IF(H470="","",COUNTIFS($H$5:$H$1204,"&gt;"&amp;H470)+1)</f>
        <v>0</v>
      </c>
      <c r="R470" s="8">
        <f>IF(B470="","",SUMIFS(Pantry!$C$5:$C$304,Pantry!$A$5:$A$304,B470))</f>
        <v>0</v>
      </c>
      <c r="S470" s="8">
        <f>IF(OR(B470="",C470=""),"",MAX(0,C470-R470))</f>
        <v>0</v>
      </c>
      <c r="T470" s="26"/>
      <c r="U470" s="8">
        <f>IF(OR(T470="",T470=0,G470=""),"",T470*G470)</f>
        <v>0</v>
      </c>
      <c r="V470" s="8">
        <f>IF(OR(S470="",T470="",T470=0),"",CEILING(S470/T470,1))</f>
        <v>0</v>
      </c>
      <c r="W470" s="27"/>
      <c r="X470" s="29"/>
      <c r="Y470" s="8">
        <f>IF(OR(C470="",X470=""),"",C470*(1+X470))</f>
        <v>0</v>
      </c>
      <c r="Z470" s="8">
        <f>IF(B470="","",IFERROR(INDEX(Ingredients!$O$5:$O$304,MATCH(B470,Ingredients!$A$5:$A$304,0)),""))</f>
        <v>0</v>
      </c>
      <c r="AA470" s="8">
        <f>IF(B470="","",IF(R470&gt;=C470,"In pantry","To buy"))</f>
        <v>0</v>
      </c>
      <c r="AB470" s="8">
        <f>IF(A470="","",COUNTIFS($A$5:A470,A470))</f>
        <v>0</v>
      </c>
      <c r="AC470" s="8">
        <f>IF(B470="","",IF(COUNTIFS('Dietary Filters'!$C$5:$C$104,B470)&gt;0,"Check","OK"))</f>
        <v>0</v>
      </c>
      <c r="AD470" s="25"/>
    </row>
    <row r="471" spans="1:30">
      <c r="A471" s="7"/>
      <c r="B471" s="7"/>
      <c r="C471" s="26"/>
      <c r="D471" s="27"/>
      <c r="E471" s="8">
        <f>IF(B471="","",IFERROR(INDEX(Ingredients!$B$5:$B$304,MATCH(B471,Ingredients!$A$5:$A$304,0)),""))</f>
        <v>0</v>
      </c>
      <c r="F471" s="8">
        <f>IF(B471="","",IFERROR(INDEX(Ingredients!$E$5:$E$304,MATCH(B471,Ingredients!$A$5:$A$304,0)),""))</f>
        <v>0</v>
      </c>
      <c r="G471" s="8">
        <f>IF(B471="","",IFERROR(INDEX(Ingredients!$D$5:$D$304,MATCH(B471,Ingredients!$A$5:$A$304,0)),""))</f>
        <v>0</v>
      </c>
      <c r="H471" s="8">
        <f>IF(OR(B471="",C471=""),"",IFERROR(C471*G471,""))</f>
        <v>0</v>
      </c>
      <c r="I471" s="8">
        <f>IF(A471="","",IFERROR(INDEX(Recipes!$D$5:$D$204,MATCH(A471,Recipes!$A$5:$A$204,0)),""))</f>
        <v>0</v>
      </c>
      <c r="J471" s="8">
        <f>IF(OR(H471="",I471="",I471=0),"",IFERROR(H471/I471,""))</f>
        <v>0</v>
      </c>
      <c r="K471" s="8">
        <f>IF(OR(B471="",C471=""),"",IFERROR(C471*IFERROR(INDEX(Ingredients!$H$5:$H$304,MATCH(B471,Ingredients!$A$5:$A$304,0)),""),""))</f>
        <v>0</v>
      </c>
      <c r="L471" s="8">
        <f>IF(OR(B471="",C471=""),"",IFERROR(C471*IFERROR(INDEX(Ingredients!$I$5:$I$304,MATCH(B471,Ingredients!$A$5:$A$304,0)),""),""))</f>
        <v>0</v>
      </c>
      <c r="M471" s="8">
        <f>IF(OR(B471="",C471=""),"",IFERROR(C471*IFERROR(INDEX(Ingredients!$J$5:$J$304,MATCH(B471,Ingredients!$A$5:$A$304,0)),""),""))</f>
        <v>0</v>
      </c>
      <c r="N471" s="8">
        <f>IF(OR(B471="",C471=""),"",IFERROR(C471*IFERROR(INDEX(Ingredients!$K$5:$K$304,MATCH(B471,Ingredients!$A$5:$A$304,0)),""),""))</f>
        <v>0</v>
      </c>
      <c r="O471" s="8">
        <f>IF(OR(B471="",C471=""),"",IFERROR(C471*IFERROR(INDEX(Ingredients!$L$5:$L$304,MATCH(B471,Ingredients!$A$5:$A$304,0)),""),""))</f>
        <v>0</v>
      </c>
      <c r="P471" s="8">
        <f>IF(OR(H471="",A471=""),"",IFERROR(H471/SUMIFS('Recipe Ingredients'!$H$5:$H$1204,'Recipe Ingredients'!$A$5:$A$1204,A471),""))</f>
        <v>0</v>
      </c>
      <c r="Q471" s="8">
        <f>IF(H471="","",COUNTIFS($H$5:$H$1204,"&gt;"&amp;H471)+1)</f>
        <v>0</v>
      </c>
      <c r="R471" s="8">
        <f>IF(B471="","",SUMIFS(Pantry!$C$5:$C$304,Pantry!$A$5:$A$304,B471))</f>
        <v>0</v>
      </c>
      <c r="S471" s="8">
        <f>IF(OR(B471="",C471=""),"",MAX(0,C471-R471))</f>
        <v>0</v>
      </c>
      <c r="T471" s="26"/>
      <c r="U471" s="8">
        <f>IF(OR(T471="",T471=0,G471=""),"",T471*G471)</f>
        <v>0</v>
      </c>
      <c r="V471" s="8">
        <f>IF(OR(S471="",T471="",T471=0),"",CEILING(S471/T471,1))</f>
        <v>0</v>
      </c>
      <c r="W471" s="27"/>
      <c r="X471" s="29"/>
      <c r="Y471" s="8">
        <f>IF(OR(C471="",X471=""),"",C471*(1+X471))</f>
        <v>0</v>
      </c>
      <c r="Z471" s="8">
        <f>IF(B471="","",IFERROR(INDEX(Ingredients!$O$5:$O$304,MATCH(B471,Ingredients!$A$5:$A$304,0)),""))</f>
        <v>0</v>
      </c>
      <c r="AA471" s="8">
        <f>IF(B471="","",IF(R471&gt;=C471,"In pantry","To buy"))</f>
        <v>0</v>
      </c>
      <c r="AB471" s="8">
        <f>IF(A471="","",COUNTIFS($A$5:A471,A471))</f>
        <v>0</v>
      </c>
      <c r="AC471" s="8">
        <f>IF(B471="","",IF(COUNTIFS('Dietary Filters'!$C$5:$C$104,B471)&gt;0,"Check","OK"))</f>
        <v>0</v>
      </c>
      <c r="AD471" s="25"/>
    </row>
    <row r="472" spans="1:30">
      <c r="A472" s="7"/>
      <c r="B472" s="7"/>
      <c r="C472" s="26"/>
      <c r="D472" s="27"/>
      <c r="E472" s="8">
        <f>IF(B472="","",IFERROR(INDEX(Ingredients!$B$5:$B$304,MATCH(B472,Ingredients!$A$5:$A$304,0)),""))</f>
        <v>0</v>
      </c>
      <c r="F472" s="8">
        <f>IF(B472="","",IFERROR(INDEX(Ingredients!$E$5:$E$304,MATCH(B472,Ingredients!$A$5:$A$304,0)),""))</f>
        <v>0</v>
      </c>
      <c r="G472" s="8">
        <f>IF(B472="","",IFERROR(INDEX(Ingredients!$D$5:$D$304,MATCH(B472,Ingredients!$A$5:$A$304,0)),""))</f>
        <v>0</v>
      </c>
      <c r="H472" s="8">
        <f>IF(OR(B472="",C472=""),"",IFERROR(C472*G472,""))</f>
        <v>0</v>
      </c>
      <c r="I472" s="8">
        <f>IF(A472="","",IFERROR(INDEX(Recipes!$D$5:$D$204,MATCH(A472,Recipes!$A$5:$A$204,0)),""))</f>
        <v>0</v>
      </c>
      <c r="J472" s="8">
        <f>IF(OR(H472="",I472="",I472=0),"",IFERROR(H472/I472,""))</f>
        <v>0</v>
      </c>
      <c r="K472" s="8">
        <f>IF(OR(B472="",C472=""),"",IFERROR(C472*IFERROR(INDEX(Ingredients!$H$5:$H$304,MATCH(B472,Ingredients!$A$5:$A$304,0)),""),""))</f>
        <v>0</v>
      </c>
      <c r="L472" s="8">
        <f>IF(OR(B472="",C472=""),"",IFERROR(C472*IFERROR(INDEX(Ingredients!$I$5:$I$304,MATCH(B472,Ingredients!$A$5:$A$304,0)),""),""))</f>
        <v>0</v>
      </c>
      <c r="M472" s="8">
        <f>IF(OR(B472="",C472=""),"",IFERROR(C472*IFERROR(INDEX(Ingredients!$J$5:$J$304,MATCH(B472,Ingredients!$A$5:$A$304,0)),""),""))</f>
        <v>0</v>
      </c>
      <c r="N472" s="8">
        <f>IF(OR(B472="",C472=""),"",IFERROR(C472*IFERROR(INDEX(Ingredients!$K$5:$K$304,MATCH(B472,Ingredients!$A$5:$A$304,0)),""),""))</f>
        <v>0</v>
      </c>
      <c r="O472" s="8">
        <f>IF(OR(B472="",C472=""),"",IFERROR(C472*IFERROR(INDEX(Ingredients!$L$5:$L$304,MATCH(B472,Ingredients!$A$5:$A$304,0)),""),""))</f>
        <v>0</v>
      </c>
      <c r="P472" s="8">
        <f>IF(OR(H472="",A472=""),"",IFERROR(H472/SUMIFS('Recipe Ingredients'!$H$5:$H$1204,'Recipe Ingredients'!$A$5:$A$1204,A472),""))</f>
        <v>0</v>
      </c>
      <c r="Q472" s="8">
        <f>IF(H472="","",COUNTIFS($H$5:$H$1204,"&gt;"&amp;H472)+1)</f>
        <v>0</v>
      </c>
      <c r="R472" s="8">
        <f>IF(B472="","",SUMIFS(Pantry!$C$5:$C$304,Pantry!$A$5:$A$304,B472))</f>
        <v>0</v>
      </c>
      <c r="S472" s="8">
        <f>IF(OR(B472="",C472=""),"",MAX(0,C472-R472))</f>
        <v>0</v>
      </c>
      <c r="T472" s="26"/>
      <c r="U472" s="8">
        <f>IF(OR(T472="",T472=0,G472=""),"",T472*G472)</f>
        <v>0</v>
      </c>
      <c r="V472" s="8">
        <f>IF(OR(S472="",T472="",T472=0),"",CEILING(S472/T472,1))</f>
        <v>0</v>
      </c>
      <c r="W472" s="27"/>
      <c r="X472" s="29"/>
      <c r="Y472" s="8">
        <f>IF(OR(C472="",X472=""),"",C472*(1+X472))</f>
        <v>0</v>
      </c>
      <c r="Z472" s="8">
        <f>IF(B472="","",IFERROR(INDEX(Ingredients!$O$5:$O$304,MATCH(B472,Ingredients!$A$5:$A$304,0)),""))</f>
        <v>0</v>
      </c>
      <c r="AA472" s="8">
        <f>IF(B472="","",IF(R472&gt;=C472,"In pantry","To buy"))</f>
        <v>0</v>
      </c>
      <c r="AB472" s="8">
        <f>IF(A472="","",COUNTIFS($A$5:A472,A472))</f>
        <v>0</v>
      </c>
      <c r="AC472" s="8">
        <f>IF(B472="","",IF(COUNTIFS('Dietary Filters'!$C$5:$C$104,B472)&gt;0,"Check","OK"))</f>
        <v>0</v>
      </c>
      <c r="AD472" s="25"/>
    </row>
    <row r="473" spans="1:30">
      <c r="A473" s="7"/>
      <c r="B473" s="7"/>
      <c r="C473" s="26"/>
      <c r="D473" s="27"/>
      <c r="E473" s="8">
        <f>IF(B473="","",IFERROR(INDEX(Ingredients!$B$5:$B$304,MATCH(B473,Ingredients!$A$5:$A$304,0)),""))</f>
        <v>0</v>
      </c>
      <c r="F473" s="8">
        <f>IF(B473="","",IFERROR(INDEX(Ingredients!$E$5:$E$304,MATCH(B473,Ingredients!$A$5:$A$304,0)),""))</f>
        <v>0</v>
      </c>
      <c r="G473" s="8">
        <f>IF(B473="","",IFERROR(INDEX(Ingredients!$D$5:$D$304,MATCH(B473,Ingredients!$A$5:$A$304,0)),""))</f>
        <v>0</v>
      </c>
      <c r="H473" s="8">
        <f>IF(OR(B473="",C473=""),"",IFERROR(C473*G473,""))</f>
        <v>0</v>
      </c>
      <c r="I473" s="8">
        <f>IF(A473="","",IFERROR(INDEX(Recipes!$D$5:$D$204,MATCH(A473,Recipes!$A$5:$A$204,0)),""))</f>
        <v>0</v>
      </c>
      <c r="J473" s="8">
        <f>IF(OR(H473="",I473="",I473=0),"",IFERROR(H473/I473,""))</f>
        <v>0</v>
      </c>
      <c r="K473" s="8">
        <f>IF(OR(B473="",C473=""),"",IFERROR(C473*IFERROR(INDEX(Ingredients!$H$5:$H$304,MATCH(B473,Ingredients!$A$5:$A$304,0)),""),""))</f>
        <v>0</v>
      </c>
      <c r="L473" s="8">
        <f>IF(OR(B473="",C473=""),"",IFERROR(C473*IFERROR(INDEX(Ingredients!$I$5:$I$304,MATCH(B473,Ingredients!$A$5:$A$304,0)),""),""))</f>
        <v>0</v>
      </c>
      <c r="M473" s="8">
        <f>IF(OR(B473="",C473=""),"",IFERROR(C473*IFERROR(INDEX(Ingredients!$J$5:$J$304,MATCH(B473,Ingredients!$A$5:$A$304,0)),""),""))</f>
        <v>0</v>
      </c>
      <c r="N473" s="8">
        <f>IF(OR(B473="",C473=""),"",IFERROR(C473*IFERROR(INDEX(Ingredients!$K$5:$K$304,MATCH(B473,Ingredients!$A$5:$A$304,0)),""),""))</f>
        <v>0</v>
      </c>
      <c r="O473" s="8">
        <f>IF(OR(B473="",C473=""),"",IFERROR(C473*IFERROR(INDEX(Ingredients!$L$5:$L$304,MATCH(B473,Ingredients!$A$5:$A$304,0)),""),""))</f>
        <v>0</v>
      </c>
      <c r="P473" s="8">
        <f>IF(OR(H473="",A473=""),"",IFERROR(H473/SUMIFS('Recipe Ingredients'!$H$5:$H$1204,'Recipe Ingredients'!$A$5:$A$1204,A473),""))</f>
        <v>0</v>
      </c>
      <c r="Q473" s="8">
        <f>IF(H473="","",COUNTIFS($H$5:$H$1204,"&gt;"&amp;H473)+1)</f>
        <v>0</v>
      </c>
      <c r="R473" s="8">
        <f>IF(B473="","",SUMIFS(Pantry!$C$5:$C$304,Pantry!$A$5:$A$304,B473))</f>
        <v>0</v>
      </c>
      <c r="S473" s="8">
        <f>IF(OR(B473="",C473=""),"",MAX(0,C473-R473))</f>
        <v>0</v>
      </c>
      <c r="T473" s="26"/>
      <c r="U473" s="8">
        <f>IF(OR(T473="",T473=0,G473=""),"",T473*G473)</f>
        <v>0</v>
      </c>
      <c r="V473" s="8">
        <f>IF(OR(S473="",T473="",T473=0),"",CEILING(S473/T473,1))</f>
        <v>0</v>
      </c>
      <c r="W473" s="27"/>
      <c r="X473" s="29"/>
      <c r="Y473" s="8">
        <f>IF(OR(C473="",X473=""),"",C473*(1+X473))</f>
        <v>0</v>
      </c>
      <c r="Z473" s="8">
        <f>IF(B473="","",IFERROR(INDEX(Ingredients!$O$5:$O$304,MATCH(B473,Ingredients!$A$5:$A$304,0)),""))</f>
        <v>0</v>
      </c>
      <c r="AA473" s="8">
        <f>IF(B473="","",IF(R473&gt;=C473,"In pantry","To buy"))</f>
        <v>0</v>
      </c>
      <c r="AB473" s="8">
        <f>IF(A473="","",COUNTIFS($A$5:A473,A473))</f>
        <v>0</v>
      </c>
      <c r="AC473" s="8">
        <f>IF(B473="","",IF(COUNTIFS('Dietary Filters'!$C$5:$C$104,B473)&gt;0,"Check","OK"))</f>
        <v>0</v>
      </c>
      <c r="AD473" s="25"/>
    </row>
    <row r="474" spans="1:30">
      <c r="A474" s="7"/>
      <c r="B474" s="7"/>
      <c r="C474" s="26"/>
      <c r="D474" s="27"/>
      <c r="E474" s="8">
        <f>IF(B474="","",IFERROR(INDEX(Ingredients!$B$5:$B$304,MATCH(B474,Ingredients!$A$5:$A$304,0)),""))</f>
        <v>0</v>
      </c>
      <c r="F474" s="8">
        <f>IF(B474="","",IFERROR(INDEX(Ingredients!$E$5:$E$304,MATCH(B474,Ingredients!$A$5:$A$304,0)),""))</f>
        <v>0</v>
      </c>
      <c r="G474" s="8">
        <f>IF(B474="","",IFERROR(INDEX(Ingredients!$D$5:$D$304,MATCH(B474,Ingredients!$A$5:$A$304,0)),""))</f>
        <v>0</v>
      </c>
      <c r="H474" s="8">
        <f>IF(OR(B474="",C474=""),"",IFERROR(C474*G474,""))</f>
        <v>0</v>
      </c>
      <c r="I474" s="8">
        <f>IF(A474="","",IFERROR(INDEX(Recipes!$D$5:$D$204,MATCH(A474,Recipes!$A$5:$A$204,0)),""))</f>
        <v>0</v>
      </c>
      <c r="J474" s="8">
        <f>IF(OR(H474="",I474="",I474=0),"",IFERROR(H474/I474,""))</f>
        <v>0</v>
      </c>
      <c r="K474" s="8">
        <f>IF(OR(B474="",C474=""),"",IFERROR(C474*IFERROR(INDEX(Ingredients!$H$5:$H$304,MATCH(B474,Ingredients!$A$5:$A$304,0)),""),""))</f>
        <v>0</v>
      </c>
      <c r="L474" s="8">
        <f>IF(OR(B474="",C474=""),"",IFERROR(C474*IFERROR(INDEX(Ingredients!$I$5:$I$304,MATCH(B474,Ingredients!$A$5:$A$304,0)),""),""))</f>
        <v>0</v>
      </c>
      <c r="M474" s="8">
        <f>IF(OR(B474="",C474=""),"",IFERROR(C474*IFERROR(INDEX(Ingredients!$J$5:$J$304,MATCH(B474,Ingredients!$A$5:$A$304,0)),""),""))</f>
        <v>0</v>
      </c>
      <c r="N474" s="8">
        <f>IF(OR(B474="",C474=""),"",IFERROR(C474*IFERROR(INDEX(Ingredients!$K$5:$K$304,MATCH(B474,Ingredients!$A$5:$A$304,0)),""),""))</f>
        <v>0</v>
      </c>
      <c r="O474" s="8">
        <f>IF(OR(B474="",C474=""),"",IFERROR(C474*IFERROR(INDEX(Ingredients!$L$5:$L$304,MATCH(B474,Ingredients!$A$5:$A$304,0)),""),""))</f>
        <v>0</v>
      </c>
      <c r="P474" s="8">
        <f>IF(OR(H474="",A474=""),"",IFERROR(H474/SUMIFS('Recipe Ingredients'!$H$5:$H$1204,'Recipe Ingredients'!$A$5:$A$1204,A474),""))</f>
        <v>0</v>
      </c>
      <c r="Q474" s="8">
        <f>IF(H474="","",COUNTIFS($H$5:$H$1204,"&gt;"&amp;H474)+1)</f>
        <v>0</v>
      </c>
      <c r="R474" s="8">
        <f>IF(B474="","",SUMIFS(Pantry!$C$5:$C$304,Pantry!$A$5:$A$304,B474))</f>
        <v>0</v>
      </c>
      <c r="S474" s="8">
        <f>IF(OR(B474="",C474=""),"",MAX(0,C474-R474))</f>
        <v>0</v>
      </c>
      <c r="T474" s="26"/>
      <c r="U474" s="8">
        <f>IF(OR(T474="",T474=0,G474=""),"",T474*G474)</f>
        <v>0</v>
      </c>
      <c r="V474" s="8">
        <f>IF(OR(S474="",T474="",T474=0),"",CEILING(S474/T474,1))</f>
        <v>0</v>
      </c>
      <c r="W474" s="27"/>
      <c r="X474" s="29"/>
      <c r="Y474" s="8">
        <f>IF(OR(C474="",X474=""),"",C474*(1+X474))</f>
        <v>0</v>
      </c>
      <c r="Z474" s="8">
        <f>IF(B474="","",IFERROR(INDEX(Ingredients!$O$5:$O$304,MATCH(B474,Ingredients!$A$5:$A$304,0)),""))</f>
        <v>0</v>
      </c>
      <c r="AA474" s="8">
        <f>IF(B474="","",IF(R474&gt;=C474,"In pantry","To buy"))</f>
        <v>0</v>
      </c>
      <c r="AB474" s="8">
        <f>IF(A474="","",COUNTIFS($A$5:A474,A474))</f>
        <v>0</v>
      </c>
      <c r="AC474" s="8">
        <f>IF(B474="","",IF(COUNTIFS('Dietary Filters'!$C$5:$C$104,B474)&gt;0,"Check","OK"))</f>
        <v>0</v>
      </c>
      <c r="AD474" s="25"/>
    </row>
    <row r="475" spans="1:30">
      <c r="A475" s="7"/>
      <c r="B475" s="7"/>
      <c r="C475" s="26"/>
      <c r="D475" s="27"/>
      <c r="E475" s="8">
        <f>IF(B475="","",IFERROR(INDEX(Ingredients!$B$5:$B$304,MATCH(B475,Ingredients!$A$5:$A$304,0)),""))</f>
        <v>0</v>
      </c>
      <c r="F475" s="8">
        <f>IF(B475="","",IFERROR(INDEX(Ingredients!$E$5:$E$304,MATCH(B475,Ingredients!$A$5:$A$304,0)),""))</f>
        <v>0</v>
      </c>
      <c r="G475" s="8">
        <f>IF(B475="","",IFERROR(INDEX(Ingredients!$D$5:$D$304,MATCH(B475,Ingredients!$A$5:$A$304,0)),""))</f>
        <v>0</v>
      </c>
      <c r="H475" s="8">
        <f>IF(OR(B475="",C475=""),"",IFERROR(C475*G475,""))</f>
        <v>0</v>
      </c>
      <c r="I475" s="8">
        <f>IF(A475="","",IFERROR(INDEX(Recipes!$D$5:$D$204,MATCH(A475,Recipes!$A$5:$A$204,0)),""))</f>
        <v>0</v>
      </c>
      <c r="J475" s="8">
        <f>IF(OR(H475="",I475="",I475=0),"",IFERROR(H475/I475,""))</f>
        <v>0</v>
      </c>
      <c r="K475" s="8">
        <f>IF(OR(B475="",C475=""),"",IFERROR(C475*IFERROR(INDEX(Ingredients!$H$5:$H$304,MATCH(B475,Ingredients!$A$5:$A$304,0)),""),""))</f>
        <v>0</v>
      </c>
      <c r="L475" s="8">
        <f>IF(OR(B475="",C475=""),"",IFERROR(C475*IFERROR(INDEX(Ingredients!$I$5:$I$304,MATCH(B475,Ingredients!$A$5:$A$304,0)),""),""))</f>
        <v>0</v>
      </c>
      <c r="M475" s="8">
        <f>IF(OR(B475="",C475=""),"",IFERROR(C475*IFERROR(INDEX(Ingredients!$J$5:$J$304,MATCH(B475,Ingredients!$A$5:$A$304,0)),""),""))</f>
        <v>0</v>
      </c>
      <c r="N475" s="8">
        <f>IF(OR(B475="",C475=""),"",IFERROR(C475*IFERROR(INDEX(Ingredients!$K$5:$K$304,MATCH(B475,Ingredients!$A$5:$A$304,0)),""),""))</f>
        <v>0</v>
      </c>
      <c r="O475" s="8">
        <f>IF(OR(B475="",C475=""),"",IFERROR(C475*IFERROR(INDEX(Ingredients!$L$5:$L$304,MATCH(B475,Ingredients!$A$5:$A$304,0)),""),""))</f>
        <v>0</v>
      </c>
      <c r="P475" s="8">
        <f>IF(OR(H475="",A475=""),"",IFERROR(H475/SUMIFS('Recipe Ingredients'!$H$5:$H$1204,'Recipe Ingredients'!$A$5:$A$1204,A475),""))</f>
        <v>0</v>
      </c>
      <c r="Q475" s="8">
        <f>IF(H475="","",COUNTIFS($H$5:$H$1204,"&gt;"&amp;H475)+1)</f>
        <v>0</v>
      </c>
      <c r="R475" s="8">
        <f>IF(B475="","",SUMIFS(Pantry!$C$5:$C$304,Pantry!$A$5:$A$304,B475))</f>
        <v>0</v>
      </c>
      <c r="S475" s="8">
        <f>IF(OR(B475="",C475=""),"",MAX(0,C475-R475))</f>
        <v>0</v>
      </c>
      <c r="T475" s="26"/>
      <c r="U475" s="8">
        <f>IF(OR(T475="",T475=0,G475=""),"",T475*G475)</f>
        <v>0</v>
      </c>
      <c r="V475" s="8">
        <f>IF(OR(S475="",T475="",T475=0),"",CEILING(S475/T475,1))</f>
        <v>0</v>
      </c>
      <c r="W475" s="27"/>
      <c r="X475" s="29"/>
      <c r="Y475" s="8">
        <f>IF(OR(C475="",X475=""),"",C475*(1+X475))</f>
        <v>0</v>
      </c>
      <c r="Z475" s="8">
        <f>IF(B475="","",IFERROR(INDEX(Ingredients!$O$5:$O$304,MATCH(B475,Ingredients!$A$5:$A$304,0)),""))</f>
        <v>0</v>
      </c>
      <c r="AA475" s="8">
        <f>IF(B475="","",IF(R475&gt;=C475,"In pantry","To buy"))</f>
        <v>0</v>
      </c>
      <c r="AB475" s="8">
        <f>IF(A475="","",COUNTIFS($A$5:A475,A475))</f>
        <v>0</v>
      </c>
      <c r="AC475" s="8">
        <f>IF(B475="","",IF(COUNTIFS('Dietary Filters'!$C$5:$C$104,B475)&gt;0,"Check","OK"))</f>
        <v>0</v>
      </c>
      <c r="AD475" s="25"/>
    </row>
    <row r="476" spans="1:30">
      <c r="A476" s="7"/>
      <c r="B476" s="7"/>
      <c r="C476" s="26"/>
      <c r="D476" s="27"/>
      <c r="E476" s="8">
        <f>IF(B476="","",IFERROR(INDEX(Ingredients!$B$5:$B$304,MATCH(B476,Ingredients!$A$5:$A$304,0)),""))</f>
        <v>0</v>
      </c>
      <c r="F476" s="8">
        <f>IF(B476="","",IFERROR(INDEX(Ingredients!$E$5:$E$304,MATCH(B476,Ingredients!$A$5:$A$304,0)),""))</f>
        <v>0</v>
      </c>
      <c r="G476" s="8">
        <f>IF(B476="","",IFERROR(INDEX(Ingredients!$D$5:$D$304,MATCH(B476,Ingredients!$A$5:$A$304,0)),""))</f>
        <v>0</v>
      </c>
      <c r="H476" s="8">
        <f>IF(OR(B476="",C476=""),"",IFERROR(C476*G476,""))</f>
        <v>0</v>
      </c>
      <c r="I476" s="8">
        <f>IF(A476="","",IFERROR(INDEX(Recipes!$D$5:$D$204,MATCH(A476,Recipes!$A$5:$A$204,0)),""))</f>
        <v>0</v>
      </c>
      <c r="J476" s="8">
        <f>IF(OR(H476="",I476="",I476=0),"",IFERROR(H476/I476,""))</f>
        <v>0</v>
      </c>
      <c r="K476" s="8">
        <f>IF(OR(B476="",C476=""),"",IFERROR(C476*IFERROR(INDEX(Ingredients!$H$5:$H$304,MATCH(B476,Ingredients!$A$5:$A$304,0)),""),""))</f>
        <v>0</v>
      </c>
      <c r="L476" s="8">
        <f>IF(OR(B476="",C476=""),"",IFERROR(C476*IFERROR(INDEX(Ingredients!$I$5:$I$304,MATCH(B476,Ingredients!$A$5:$A$304,0)),""),""))</f>
        <v>0</v>
      </c>
      <c r="M476" s="8">
        <f>IF(OR(B476="",C476=""),"",IFERROR(C476*IFERROR(INDEX(Ingredients!$J$5:$J$304,MATCH(B476,Ingredients!$A$5:$A$304,0)),""),""))</f>
        <v>0</v>
      </c>
      <c r="N476" s="8">
        <f>IF(OR(B476="",C476=""),"",IFERROR(C476*IFERROR(INDEX(Ingredients!$K$5:$K$304,MATCH(B476,Ingredients!$A$5:$A$304,0)),""),""))</f>
        <v>0</v>
      </c>
      <c r="O476" s="8">
        <f>IF(OR(B476="",C476=""),"",IFERROR(C476*IFERROR(INDEX(Ingredients!$L$5:$L$304,MATCH(B476,Ingredients!$A$5:$A$304,0)),""),""))</f>
        <v>0</v>
      </c>
      <c r="P476" s="8">
        <f>IF(OR(H476="",A476=""),"",IFERROR(H476/SUMIFS('Recipe Ingredients'!$H$5:$H$1204,'Recipe Ingredients'!$A$5:$A$1204,A476),""))</f>
        <v>0</v>
      </c>
      <c r="Q476" s="8">
        <f>IF(H476="","",COUNTIFS($H$5:$H$1204,"&gt;"&amp;H476)+1)</f>
        <v>0</v>
      </c>
      <c r="R476" s="8">
        <f>IF(B476="","",SUMIFS(Pantry!$C$5:$C$304,Pantry!$A$5:$A$304,B476))</f>
        <v>0</v>
      </c>
      <c r="S476" s="8">
        <f>IF(OR(B476="",C476=""),"",MAX(0,C476-R476))</f>
        <v>0</v>
      </c>
      <c r="T476" s="26"/>
      <c r="U476" s="8">
        <f>IF(OR(T476="",T476=0,G476=""),"",T476*G476)</f>
        <v>0</v>
      </c>
      <c r="V476" s="8">
        <f>IF(OR(S476="",T476="",T476=0),"",CEILING(S476/T476,1))</f>
        <v>0</v>
      </c>
      <c r="W476" s="27"/>
      <c r="X476" s="29"/>
      <c r="Y476" s="8">
        <f>IF(OR(C476="",X476=""),"",C476*(1+X476))</f>
        <v>0</v>
      </c>
      <c r="Z476" s="8">
        <f>IF(B476="","",IFERROR(INDEX(Ingredients!$O$5:$O$304,MATCH(B476,Ingredients!$A$5:$A$304,0)),""))</f>
        <v>0</v>
      </c>
      <c r="AA476" s="8">
        <f>IF(B476="","",IF(R476&gt;=C476,"In pantry","To buy"))</f>
        <v>0</v>
      </c>
      <c r="AB476" s="8">
        <f>IF(A476="","",COUNTIFS($A$5:A476,A476))</f>
        <v>0</v>
      </c>
      <c r="AC476" s="8">
        <f>IF(B476="","",IF(COUNTIFS('Dietary Filters'!$C$5:$C$104,B476)&gt;0,"Check","OK"))</f>
        <v>0</v>
      </c>
      <c r="AD476" s="25"/>
    </row>
    <row r="477" spans="1:30">
      <c r="A477" s="7"/>
      <c r="B477" s="7"/>
      <c r="C477" s="26"/>
      <c r="D477" s="27"/>
      <c r="E477" s="8">
        <f>IF(B477="","",IFERROR(INDEX(Ingredients!$B$5:$B$304,MATCH(B477,Ingredients!$A$5:$A$304,0)),""))</f>
        <v>0</v>
      </c>
      <c r="F477" s="8">
        <f>IF(B477="","",IFERROR(INDEX(Ingredients!$E$5:$E$304,MATCH(B477,Ingredients!$A$5:$A$304,0)),""))</f>
        <v>0</v>
      </c>
      <c r="G477" s="8">
        <f>IF(B477="","",IFERROR(INDEX(Ingredients!$D$5:$D$304,MATCH(B477,Ingredients!$A$5:$A$304,0)),""))</f>
        <v>0</v>
      </c>
      <c r="H477" s="8">
        <f>IF(OR(B477="",C477=""),"",IFERROR(C477*G477,""))</f>
        <v>0</v>
      </c>
      <c r="I477" s="8">
        <f>IF(A477="","",IFERROR(INDEX(Recipes!$D$5:$D$204,MATCH(A477,Recipes!$A$5:$A$204,0)),""))</f>
        <v>0</v>
      </c>
      <c r="J477" s="8">
        <f>IF(OR(H477="",I477="",I477=0),"",IFERROR(H477/I477,""))</f>
        <v>0</v>
      </c>
      <c r="K477" s="8">
        <f>IF(OR(B477="",C477=""),"",IFERROR(C477*IFERROR(INDEX(Ingredients!$H$5:$H$304,MATCH(B477,Ingredients!$A$5:$A$304,0)),""),""))</f>
        <v>0</v>
      </c>
      <c r="L477" s="8">
        <f>IF(OR(B477="",C477=""),"",IFERROR(C477*IFERROR(INDEX(Ingredients!$I$5:$I$304,MATCH(B477,Ingredients!$A$5:$A$304,0)),""),""))</f>
        <v>0</v>
      </c>
      <c r="M477" s="8">
        <f>IF(OR(B477="",C477=""),"",IFERROR(C477*IFERROR(INDEX(Ingredients!$J$5:$J$304,MATCH(B477,Ingredients!$A$5:$A$304,0)),""),""))</f>
        <v>0</v>
      </c>
      <c r="N477" s="8">
        <f>IF(OR(B477="",C477=""),"",IFERROR(C477*IFERROR(INDEX(Ingredients!$K$5:$K$304,MATCH(B477,Ingredients!$A$5:$A$304,0)),""),""))</f>
        <v>0</v>
      </c>
      <c r="O477" s="8">
        <f>IF(OR(B477="",C477=""),"",IFERROR(C477*IFERROR(INDEX(Ingredients!$L$5:$L$304,MATCH(B477,Ingredients!$A$5:$A$304,0)),""),""))</f>
        <v>0</v>
      </c>
      <c r="P477" s="8">
        <f>IF(OR(H477="",A477=""),"",IFERROR(H477/SUMIFS('Recipe Ingredients'!$H$5:$H$1204,'Recipe Ingredients'!$A$5:$A$1204,A477),""))</f>
        <v>0</v>
      </c>
      <c r="Q477" s="8">
        <f>IF(H477="","",COUNTIFS($H$5:$H$1204,"&gt;"&amp;H477)+1)</f>
        <v>0</v>
      </c>
      <c r="R477" s="8">
        <f>IF(B477="","",SUMIFS(Pantry!$C$5:$C$304,Pantry!$A$5:$A$304,B477))</f>
        <v>0</v>
      </c>
      <c r="S477" s="8">
        <f>IF(OR(B477="",C477=""),"",MAX(0,C477-R477))</f>
        <v>0</v>
      </c>
      <c r="T477" s="26"/>
      <c r="U477" s="8">
        <f>IF(OR(T477="",T477=0,G477=""),"",T477*G477)</f>
        <v>0</v>
      </c>
      <c r="V477" s="8">
        <f>IF(OR(S477="",T477="",T477=0),"",CEILING(S477/T477,1))</f>
        <v>0</v>
      </c>
      <c r="W477" s="27"/>
      <c r="X477" s="29"/>
      <c r="Y477" s="8">
        <f>IF(OR(C477="",X477=""),"",C477*(1+X477))</f>
        <v>0</v>
      </c>
      <c r="Z477" s="8">
        <f>IF(B477="","",IFERROR(INDEX(Ingredients!$O$5:$O$304,MATCH(B477,Ingredients!$A$5:$A$304,0)),""))</f>
        <v>0</v>
      </c>
      <c r="AA477" s="8">
        <f>IF(B477="","",IF(R477&gt;=C477,"In pantry","To buy"))</f>
        <v>0</v>
      </c>
      <c r="AB477" s="8">
        <f>IF(A477="","",COUNTIFS($A$5:A477,A477))</f>
        <v>0</v>
      </c>
      <c r="AC477" s="8">
        <f>IF(B477="","",IF(COUNTIFS('Dietary Filters'!$C$5:$C$104,B477)&gt;0,"Check","OK"))</f>
        <v>0</v>
      </c>
      <c r="AD477" s="25"/>
    </row>
    <row r="478" spans="1:30">
      <c r="A478" s="7"/>
      <c r="B478" s="7"/>
      <c r="C478" s="26"/>
      <c r="D478" s="27"/>
      <c r="E478" s="8">
        <f>IF(B478="","",IFERROR(INDEX(Ingredients!$B$5:$B$304,MATCH(B478,Ingredients!$A$5:$A$304,0)),""))</f>
        <v>0</v>
      </c>
      <c r="F478" s="8">
        <f>IF(B478="","",IFERROR(INDEX(Ingredients!$E$5:$E$304,MATCH(B478,Ingredients!$A$5:$A$304,0)),""))</f>
        <v>0</v>
      </c>
      <c r="G478" s="8">
        <f>IF(B478="","",IFERROR(INDEX(Ingredients!$D$5:$D$304,MATCH(B478,Ingredients!$A$5:$A$304,0)),""))</f>
        <v>0</v>
      </c>
      <c r="H478" s="8">
        <f>IF(OR(B478="",C478=""),"",IFERROR(C478*G478,""))</f>
        <v>0</v>
      </c>
      <c r="I478" s="8">
        <f>IF(A478="","",IFERROR(INDEX(Recipes!$D$5:$D$204,MATCH(A478,Recipes!$A$5:$A$204,0)),""))</f>
        <v>0</v>
      </c>
      <c r="J478" s="8">
        <f>IF(OR(H478="",I478="",I478=0),"",IFERROR(H478/I478,""))</f>
        <v>0</v>
      </c>
      <c r="K478" s="8">
        <f>IF(OR(B478="",C478=""),"",IFERROR(C478*IFERROR(INDEX(Ingredients!$H$5:$H$304,MATCH(B478,Ingredients!$A$5:$A$304,0)),""),""))</f>
        <v>0</v>
      </c>
      <c r="L478" s="8">
        <f>IF(OR(B478="",C478=""),"",IFERROR(C478*IFERROR(INDEX(Ingredients!$I$5:$I$304,MATCH(B478,Ingredients!$A$5:$A$304,0)),""),""))</f>
        <v>0</v>
      </c>
      <c r="M478" s="8">
        <f>IF(OR(B478="",C478=""),"",IFERROR(C478*IFERROR(INDEX(Ingredients!$J$5:$J$304,MATCH(B478,Ingredients!$A$5:$A$304,0)),""),""))</f>
        <v>0</v>
      </c>
      <c r="N478" s="8">
        <f>IF(OR(B478="",C478=""),"",IFERROR(C478*IFERROR(INDEX(Ingredients!$K$5:$K$304,MATCH(B478,Ingredients!$A$5:$A$304,0)),""),""))</f>
        <v>0</v>
      </c>
      <c r="O478" s="8">
        <f>IF(OR(B478="",C478=""),"",IFERROR(C478*IFERROR(INDEX(Ingredients!$L$5:$L$304,MATCH(B478,Ingredients!$A$5:$A$304,0)),""),""))</f>
        <v>0</v>
      </c>
      <c r="P478" s="8">
        <f>IF(OR(H478="",A478=""),"",IFERROR(H478/SUMIFS('Recipe Ingredients'!$H$5:$H$1204,'Recipe Ingredients'!$A$5:$A$1204,A478),""))</f>
        <v>0</v>
      </c>
      <c r="Q478" s="8">
        <f>IF(H478="","",COUNTIFS($H$5:$H$1204,"&gt;"&amp;H478)+1)</f>
        <v>0</v>
      </c>
      <c r="R478" s="8">
        <f>IF(B478="","",SUMIFS(Pantry!$C$5:$C$304,Pantry!$A$5:$A$304,B478))</f>
        <v>0</v>
      </c>
      <c r="S478" s="8">
        <f>IF(OR(B478="",C478=""),"",MAX(0,C478-R478))</f>
        <v>0</v>
      </c>
      <c r="T478" s="26"/>
      <c r="U478" s="8">
        <f>IF(OR(T478="",T478=0,G478=""),"",T478*G478)</f>
        <v>0</v>
      </c>
      <c r="V478" s="8">
        <f>IF(OR(S478="",T478="",T478=0),"",CEILING(S478/T478,1))</f>
        <v>0</v>
      </c>
      <c r="W478" s="27"/>
      <c r="X478" s="29"/>
      <c r="Y478" s="8">
        <f>IF(OR(C478="",X478=""),"",C478*(1+X478))</f>
        <v>0</v>
      </c>
      <c r="Z478" s="8">
        <f>IF(B478="","",IFERROR(INDEX(Ingredients!$O$5:$O$304,MATCH(B478,Ingredients!$A$5:$A$304,0)),""))</f>
        <v>0</v>
      </c>
      <c r="AA478" s="8">
        <f>IF(B478="","",IF(R478&gt;=C478,"In pantry","To buy"))</f>
        <v>0</v>
      </c>
      <c r="AB478" s="8">
        <f>IF(A478="","",COUNTIFS($A$5:A478,A478))</f>
        <v>0</v>
      </c>
      <c r="AC478" s="8">
        <f>IF(B478="","",IF(COUNTIFS('Dietary Filters'!$C$5:$C$104,B478)&gt;0,"Check","OK"))</f>
        <v>0</v>
      </c>
      <c r="AD478" s="25"/>
    </row>
    <row r="479" spans="1:30">
      <c r="A479" s="7"/>
      <c r="B479" s="7"/>
      <c r="C479" s="26"/>
      <c r="D479" s="27"/>
      <c r="E479" s="8">
        <f>IF(B479="","",IFERROR(INDEX(Ingredients!$B$5:$B$304,MATCH(B479,Ingredients!$A$5:$A$304,0)),""))</f>
        <v>0</v>
      </c>
      <c r="F479" s="8">
        <f>IF(B479="","",IFERROR(INDEX(Ingredients!$E$5:$E$304,MATCH(B479,Ingredients!$A$5:$A$304,0)),""))</f>
        <v>0</v>
      </c>
      <c r="G479" s="8">
        <f>IF(B479="","",IFERROR(INDEX(Ingredients!$D$5:$D$304,MATCH(B479,Ingredients!$A$5:$A$304,0)),""))</f>
        <v>0</v>
      </c>
      <c r="H479" s="8">
        <f>IF(OR(B479="",C479=""),"",IFERROR(C479*G479,""))</f>
        <v>0</v>
      </c>
      <c r="I479" s="8">
        <f>IF(A479="","",IFERROR(INDEX(Recipes!$D$5:$D$204,MATCH(A479,Recipes!$A$5:$A$204,0)),""))</f>
        <v>0</v>
      </c>
      <c r="J479" s="8">
        <f>IF(OR(H479="",I479="",I479=0),"",IFERROR(H479/I479,""))</f>
        <v>0</v>
      </c>
      <c r="K479" s="8">
        <f>IF(OR(B479="",C479=""),"",IFERROR(C479*IFERROR(INDEX(Ingredients!$H$5:$H$304,MATCH(B479,Ingredients!$A$5:$A$304,0)),""),""))</f>
        <v>0</v>
      </c>
      <c r="L479" s="8">
        <f>IF(OR(B479="",C479=""),"",IFERROR(C479*IFERROR(INDEX(Ingredients!$I$5:$I$304,MATCH(B479,Ingredients!$A$5:$A$304,0)),""),""))</f>
        <v>0</v>
      </c>
      <c r="M479" s="8">
        <f>IF(OR(B479="",C479=""),"",IFERROR(C479*IFERROR(INDEX(Ingredients!$J$5:$J$304,MATCH(B479,Ingredients!$A$5:$A$304,0)),""),""))</f>
        <v>0</v>
      </c>
      <c r="N479" s="8">
        <f>IF(OR(B479="",C479=""),"",IFERROR(C479*IFERROR(INDEX(Ingredients!$K$5:$K$304,MATCH(B479,Ingredients!$A$5:$A$304,0)),""),""))</f>
        <v>0</v>
      </c>
      <c r="O479" s="8">
        <f>IF(OR(B479="",C479=""),"",IFERROR(C479*IFERROR(INDEX(Ingredients!$L$5:$L$304,MATCH(B479,Ingredients!$A$5:$A$304,0)),""),""))</f>
        <v>0</v>
      </c>
      <c r="P479" s="8">
        <f>IF(OR(H479="",A479=""),"",IFERROR(H479/SUMIFS('Recipe Ingredients'!$H$5:$H$1204,'Recipe Ingredients'!$A$5:$A$1204,A479),""))</f>
        <v>0</v>
      </c>
      <c r="Q479" s="8">
        <f>IF(H479="","",COUNTIFS($H$5:$H$1204,"&gt;"&amp;H479)+1)</f>
        <v>0</v>
      </c>
      <c r="R479" s="8">
        <f>IF(B479="","",SUMIFS(Pantry!$C$5:$C$304,Pantry!$A$5:$A$304,B479))</f>
        <v>0</v>
      </c>
      <c r="S479" s="8">
        <f>IF(OR(B479="",C479=""),"",MAX(0,C479-R479))</f>
        <v>0</v>
      </c>
      <c r="T479" s="26"/>
      <c r="U479" s="8">
        <f>IF(OR(T479="",T479=0,G479=""),"",T479*G479)</f>
        <v>0</v>
      </c>
      <c r="V479" s="8">
        <f>IF(OR(S479="",T479="",T479=0),"",CEILING(S479/T479,1))</f>
        <v>0</v>
      </c>
      <c r="W479" s="27"/>
      <c r="X479" s="29"/>
      <c r="Y479" s="8">
        <f>IF(OR(C479="",X479=""),"",C479*(1+X479))</f>
        <v>0</v>
      </c>
      <c r="Z479" s="8">
        <f>IF(B479="","",IFERROR(INDEX(Ingredients!$O$5:$O$304,MATCH(B479,Ingredients!$A$5:$A$304,0)),""))</f>
        <v>0</v>
      </c>
      <c r="AA479" s="8">
        <f>IF(B479="","",IF(R479&gt;=C479,"In pantry","To buy"))</f>
        <v>0</v>
      </c>
      <c r="AB479" s="8">
        <f>IF(A479="","",COUNTIFS($A$5:A479,A479))</f>
        <v>0</v>
      </c>
      <c r="AC479" s="8">
        <f>IF(B479="","",IF(COUNTIFS('Dietary Filters'!$C$5:$C$104,B479)&gt;0,"Check","OK"))</f>
        <v>0</v>
      </c>
      <c r="AD479" s="25"/>
    </row>
    <row r="480" spans="1:30">
      <c r="A480" s="7"/>
      <c r="B480" s="7"/>
      <c r="C480" s="26"/>
      <c r="D480" s="27"/>
      <c r="E480" s="8">
        <f>IF(B480="","",IFERROR(INDEX(Ingredients!$B$5:$B$304,MATCH(B480,Ingredients!$A$5:$A$304,0)),""))</f>
        <v>0</v>
      </c>
      <c r="F480" s="8">
        <f>IF(B480="","",IFERROR(INDEX(Ingredients!$E$5:$E$304,MATCH(B480,Ingredients!$A$5:$A$304,0)),""))</f>
        <v>0</v>
      </c>
      <c r="G480" s="8">
        <f>IF(B480="","",IFERROR(INDEX(Ingredients!$D$5:$D$304,MATCH(B480,Ingredients!$A$5:$A$304,0)),""))</f>
        <v>0</v>
      </c>
      <c r="H480" s="8">
        <f>IF(OR(B480="",C480=""),"",IFERROR(C480*G480,""))</f>
        <v>0</v>
      </c>
      <c r="I480" s="8">
        <f>IF(A480="","",IFERROR(INDEX(Recipes!$D$5:$D$204,MATCH(A480,Recipes!$A$5:$A$204,0)),""))</f>
        <v>0</v>
      </c>
      <c r="J480" s="8">
        <f>IF(OR(H480="",I480="",I480=0),"",IFERROR(H480/I480,""))</f>
        <v>0</v>
      </c>
      <c r="K480" s="8">
        <f>IF(OR(B480="",C480=""),"",IFERROR(C480*IFERROR(INDEX(Ingredients!$H$5:$H$304,MATCH(B480,Ingredients!$A$5:$A$304,0)),""),""))</f>
        <v>0</v>
      </c>
      <c r="L480" s="8">
        <f>IF(OR(B480="",C480=""),"",IFERROR(C480*IFERROR(INDEX(Ingredients!$I$5:$I$304,MATCH(B480,Ingredients!$A$5:$A$304,0)),""),""))</f>
        <v>0</v>
      </c>
      <c r="M480" s="8">
        <f>IF(OR(B480="",C480=""),"",IFERROR(C480*IFERROR(INDEX(Ingredients!$J$5:$J$304,MATCH(B480,Ingredients!$A$5:$A$304,0)),""),""))</f>
        <v>0</v>
      </c>
      <c r="N480" s="8">
        <f>IF(OR(B480="",C480=""),"",IFERROR(C480*IFERROR(INDEX(Ingredients!$K$5:$K$304,MATCH(B480,Ingredients!$A$5:$A$304,0)),""),""))</f>
        <v>0</v>
      </c>
      <c r="O480" s="8">
        <f>IF(OR(B480="",C480=""),"",IFERROR(C480*IFERROR(INDEX(Ingredients!$L$5:$L$304,MATCH(B480,Ingredients!$A$5:$A$304,0)),""),""))</f>
        <v>0</v>
      </c>
      <c r="P480" s="8">
        <f>IF(OR(H480="",A480=""),"",IFERROR(H480/SUMIFS('Recipe Ingredients'!$H$5:$H$1204,'Recipe Ingredients'!$A$5:$A$1204,A480),""))</f>
        <v>0</v>
      </c>
      <c r="Q480" s="8">
        <f>IF(H480="","",COUNTIFS($H$5:$H$1204,"&gt;"&amp;H480)+1)</f>
        <v>0</v>
      </c>
      <c r="R480" s="8">
        <f>IF(B480="","",SUMIFS(Pantry!$C$5:$C$304,Pantry!$A$5:$A$304,B480))</f>
        <v>0</v>
      </c>
      <c r="S480" s="8">
        <f>IF(OR(B480="",C480=""),"",MAX(0,C480-R480))</f>
        <v>0</v>
      </c>
      <c r="T480" s="26"/>
      <c r="U480" s="8">
        <f>IF(OR(T480="",T480=0,G480=""),"",T480*G480)</f>
        <v>0</v>
      </c>
      <c r="V480" s="8">
        <f>IF(OR(S480="",T480="",T480=0),"",CEILING(S480/T480,1))</f>
        <v>0</v>
      </c>
      <c r="W480" s="27"/>
      <c r="X480" s="29"/>
      <c r="Y480" s="8">
        <f>IF(OR(C480="",X480=""),"",C480*(1+X480))</f>
        <v>0</v>
      </c>
      <c r="Z480" s="8">
        <f>IF(B480="","",IFERROR(INDEX(Ingredients!$O$5:$O$304,MATCH(B480,Ingredients!$A$5:$A$304,0)),""))</f>
        <v>0</v>
      </c>
      <c r="AA480" s="8">
        <f>IF(B480="","",IF(R480&gt;=C480,"In pantry","To buy"))</f>
        <v>0</v>
      </c>
      <c r="AB480" s="8">
        <f>IF(A480="","",COUNTIFS($A$5:A480,A480))</f>
        <v>0</v>
      </c>
      <c r="AC480" s="8">
        <f>IF(B480="","",IF(COUNTIFS('Dietary Filters'!$C$5:$C$104,B480)&gt;0,"Check","OK"))</f>
        <v>0</v>
      </c>
      <c r="AD480" s="25"/>
    </row>
    <row r="481" spans="1:30">
      <c r="A481" s="7"/>
      <c r="B481" s="7"/>
      <c r="C481" s="26"/>
      <c r="D481" s="27"/>
      <c r="E481" s="8">
        <f>IF(B481="","",IFERROR(INDEX(Ingredients!$B$5:$B$304,MATCH(B481,Ingredients!$A$5:$A$304,0)),""))</f>
        <v>0</v>
      </c>
      <c r="F481" s="8">
        <f>IF(B481="","",IFERROR(INDEX(Ingredients!$E$5:$E$304,MATCH(B481,Ingredients!$A$5:$A$304,0)),""))</f>
        <v>0</v>
      </c>
      <c r="G481" s="8">
        <f>IF(B481="","",IFERROR(INDEX(Ingredients!$D$5:$D$304,MATCH(B481,Ingredients!$A$5:$A$304,0)),""))</f>
        <v>0</v>
      </c>
      <c r="H481" s="8">
        <f>IF(OR(B481="",C481=""),"",IFERROR(C481*G481,""))</f>
        <v>0</v>
      </c>
      <c r="I481" s="8">
        <f>IF(A481="","",IFERROR(INDEX(Recipes!$D$5:$D$204,MATCH(A481,Recipes!$A$5:$A$204,0)),""))</f>
        <v>0</v>
      </c>
      <c r="J481" s="8">
        <f>IF(OR(H481="",I481="",I481=0),"",IFERROR(H481/I481,""))</f>
        <v>0</v>
      </c>
      <c r="K481" s="8">
        <f>IF(OR(B481="",C481=""),"",IFERROR(C481*IFERROR(INDEX(Ingredients!$H$5:$H$304,MATCH(B481,Ingredients!$A$5:$A$304,0)),""),""))</f>
        <v>0</v>
      </c>
      <c r="L481" s="8">
        <f>IF(OR(B481="",C481=""),"",IFERROR(C481*IFERROR(INDEX(Ingredients!$I$5:$I$304,MATCH(B481,Ingredients!$A$5:$A$304,0)),""),""))</f>
        <v>0</v>
      </c>
      <c r="M481" s="8">
        <f>IF(OR(B481="",C481=""),"",IFERROR(C481*IFERROR(INDEX(Ingredients!$J$5:$J$304,MATCH(B481,Ingredients!$A$5:$A$304,0)),""),""))</f>
        <v>0</v>
      </c>
      <c r="N481" s="8">
        <f>IF(OR(B481="",C481=""),"",IFERROR(C481*IFERROR(INDEX(Ingredients!$K$5:$K$304,MATCH(B481,Ingredients!$A$5:$A$304,0)),""),""))</f>
        <v>0</v>
      </c>
      <c r="O481" s="8">
        <f>IF(OR(B481="",C481=""),"",IFERROR(C481*IFERROR(INDEX(Ingredients!$L$5:$L$304,MATCH(B481,Ingredients!$A$5:$A$304,0)),""),""))</f>
        <v>0</v>
      </c>
      <c r="P481" s="8">
        <f>IF(OR(H481="",A481=""),"",IFERROR(H481/SUMIFS('Recipe Ingredients'!$H$5:$H$1204,'Recipe Ingredients'!$A$5:$A$1204,A481),""))</f>
        <v>0</v>
      </c>
      <c r="Q481" s="8">
        <f>IF(H481="","",COUNTIFS($H$5:$H$1204,"&gt;"&amp;H481)+1)</f>
        <v>0</v>
      </c>
      <c r="R481" s="8">
        <f>IF(B481="","",SUMIFS(Pantry!$C$5:$C$304,Pantry!$A$5:$A$304,B481))</f>
        <v>0</v>
      </c>
      <c r="S481" s="8">
        <f>IF(OR(B481="",C481=""),"",MAX(0,C481-R481))</f>
        <v>0</v>
      </c>
      <c r="T481" s="26"/>
      <c r="U481" s="8">
        <f>IF(OR(T481="",T481=0,G481=""),"",T481*G481)</f>
        <v>0</v>
      </c>
      <c r="V481" s="8">
        <f>IF(OR(S481="",T481="",T481=0),"",CEILING(S481/T481,1))</f>
        <v>0</v>
      </c>
      <c r="W481" s="27"/>
      <c r="X481" s="29"/>
      <c r="Y481" s="8">
        <f>IF(OR(C481="",X481=""),"",C481*(1+X481))</f>
        <v>0</v>
      </c>
      <c r="Z481" s="8">
        <f>IF(B481="","",IFERROR(INDEX(Ingredients!$O$5:$O$304,MATCH(B481,Ingredients!$A$5:$A$304,0)),""))</f>
        <v>0</v>
      </c>
      <c r="AA481" s="8">
        <f>IF(B481="","",IF(R481&gt;=C481,"In pantry","To buy"))</f>
        <v>0</v>
      </c>
      <c r="AB481" s="8">
        <f>IF(A481="","",COUNTIFS($A$5:A481,A481))</f>
        <v>0</v>
      </c>
      <c r="AC481" s="8">
        <f>IF(B481="","",IF(COUNTIFS('Dietary Filters'!$C$5:$C$104,B481)&gt;0,"Check","OK"))</f>
        <v>0</v>
      </c>
      <c r="AD481" s="25"/>
    </row>
    <row r="482" spans="1:30">
      <c r="A482" s="7"/>
      <c r="B482" s="7"/>
      <c r="C482" s="26"/>
      <c r="D482" s="27"/>
      <c r="E482" s="8">
        <f>IF(B482="","",IFERROR(INDEX(Ingredients!$B$5:$B$304,MATCH(B482,Ingredients!$A$5:$A$304,0)),""))</f>
        <v>0</v>
      </c>
      <c r="F482" s="8">
        <f>IF(B482="","",IFERROR(INDEX(Ingredients!$E$5:$E$304,MATCH(B482,Ingredients!$A$5:$A$304,0)),""))</f>
        <v>0</v>
      </c>
      <c r="G482" s="8">
        <f>IF(B482="","",IFERROR(INDEX(Ingredients!$D$5:$D$304,MATCH(B482,Ingredients!$A$5:$A$304,0)),""))</f>
        <v>0</v>
      </c>
      <c r="H482" s="8">
        <f>IF(OR(B482="",C482=""),"",IFERROR(C482*G482,""))</f>
        <v>0</v>
      </c>
      <c r="I482" s="8">
        <f>IF(A482="","",IFERROR(INDEX(Recipes!$D$5:$D$204,MATCH(A482,Recipes!$A$5:$A$204,0)),""))</f>
        <v>0</v>
      </c>
      <c r="J482" s="8">
        <f>IF(OR(H482="",I482="",I482=0),"",IFERROR(H482/I482,""))</f>
        <v>0</v>
      </c>
      <c r="K482" s="8">
        <f>IF(OR(B482="",C482=""),"",IFERROR(C482*IFERROR(INDEX(Ingredients!$H$5:$H$304,MATCH(B482,Ingredients!$A$5:$A$304,0)),""),""))</f>
        <v>0</v>
      </c>
      <c r="L482" s="8">
        <f>IF(OR(B482="",C482=""),"",IFERROR(C482*IFERROR(INDEX(Ingredients!$I$5:$I$304,MATCH(B482,Ingredients!$A$5:$A$304,0)),""),""))</f>
        <v>0</v>
      </c>
      <c r="M482" s="8">
        <f>IF(OR(B482="",C482=""),"",IFERROR(C482*IFERROR(INDEX(Ingredients!$J$5:$J$304,MATCH(B482,Ingredients!$A$5:$A$304,0)),""),""))</f>
        <v>0</v>
      </c>
      <c r="N482" s="8">
        <f>IF(OR(B482="",C482=""),"",IFERROR(C482*IFERROR(INDEX(Ingredients!$K$5:$K$304,MATCH(B482,Ingredients!$A$5:$A$304,0)),""),""))</f>
        <v>0</v>
      </c>
      <c r="O482" s="8">
        <f>IF(OR(B482="",C482=""),"",IFERROR(C482*IFERROR(INDEX(Ingredients!$L$5:$L$304,MATCH(B482,Ingredients!$A$5:$A$304,0)),""),""))</f>
        <v>0</v>
      </c>
      <c r="P482" s="8">
        <f>IF(OR(H482="",A482=""),"",IFERROR(H482/SUMIFS('Recipe Ingredients'!$H$5:$H$1204,'Recipe Ingredients'!$A$5:$A$1204,A482),""))</f>
        <v>0</v>
      </c>
      <c r="Q482" s="8">
        <f>IF(H482="","",COUNTIFS($H$5:$H$1204,"&gt;"&amp;H482)+1)</f>
        <v>0</v>
      </c>
      <c r="R482" s="8">
        <f>IF(B482="","",SUMIFS(Pantry!$C$5:$C$304,Pantry!$A$5:$A$304,B482))</f>
        <v>0</v>
      </c>
      <c r="S482" s="8">
        <f>IF(OR(B482="",C482=""),"",MAX(0,C482-R482))</f>
        <v>0</v>
      </c>
      <c r="T482" s="26"/>
      <c r="U482" s="8">
        <f>IF(OR(T482="",T482=0,G482=""),"",T482*G482)</f>
        <v>0</v>
      </c>
      <c r="V482" s="8">
        <f>IF(OR(S482="",T482="",T482=0),"",CEILING(S482/T482,1))</f>
        <v>0</v>
      </c>
      <c r="W482" s="27"/>
      <c r="X482" s="29"/>
      <c r="Y482" s="8">
        <f>IF(OR(C482="",X482=""),"",C482*(1+X482))</f>
        <v>0</v>
      </c>
      <c r="Z482" s="8">
        <f>IF(B482="","",IFERROR(INDEX(Ingredients!$O$5:$O$304,MATCH(B482,Ingredients!$A$5:$A$304,0)),""))</f>
        <v>0</v>
      </c>
      <c r="AA482" s="8">
        <f>IF(B482="","",IF(R482&gt;=C482,"In pantry","To buy"))</f>
        <v>0</v>
      </c>
      <c r="AB482" s="8">
        <f>IF(A482="","",COUNTIFS($A$5:A482,A482))</f>
        <v>0</v>
      </c>
      <c r="AC482" s="8">
        <f>IF(B482="","",IF(COUNTIFS('Dietary Filters'!$C$5:$C$104,B482)&gt;0,"Check","OK"))</f>
        <v>0</v>
      </c>
      <c r="AD482" s="25"/>
    </row>
    <row r="483" spans="1:30">
      <c r="A483" s="7"/>
      <c r="B483" s="7"/>
      <c r="C483" s="26"/>
      <c r="D483" s="27"/>
      <c r="E483" s="8">
        <f>IF(B483="","",IFERROR(INDEX(Ingredients!$B$5:$B$304,MATCH(B483,Ingredients!$A$5:$A$304,0)),""))</f>
        <v>0</v>
      </c>
      <c r="F483" s="8">
        <f>IF(B483="","",IFERROR(INDEX(Ingredients!$E$5:$E$304,MATCH(B483,Ingredients!$A$5:$A$304,0)),""))</f>
        <v>0</v>
      </c>
      <c r="G483" s="8">
        <f>IF(B483="","",IFERROR(INDEX(Ingredients!$D$5:$D$304,MATCH(B483,Ingredients!$A$5:$A$304,0)),""))</f>
        <v>0</v>
      </c>
      <c r="H483" s="8">
        <f>IF(OR(B483="",C483=""),"",IFERROR(C483*G483,""))</f>
        <v>0</v>
      </c>
      <c r="I483" s="8">
        <f>IF(A483="","",IFERROR(INDEX(Recipes!$D$5:$D$204,MATCH(A483,Recipes!$A$5:$A$204,0)),""))</f>
        <v>0</v>
      </c>
      <c r="J483" s="8">
        <f>IF(OR(H483="",I483="",I483=0),"",IFERROR(H483/I483,""))</f>
        <v>0</v>
      </c>
      <c r="K483" s="8">
        <f>IF(OR(B483="",C483=""),"",IFERROR(C483*IFERROR(INDEX(Ingredients!$H$5:$H$304,MATCH(B483,Ingredients!$A$5:$A$304,0)),""),""))</f>
        <v>0</v>
      </c>
      <c r="L483" s="8">
        <f>IF(OR(B483="",C483=""),"",IFERROR(C483*IFERROR(INDEX(Ingredients!$I$5:$I$304,MATCH(B483,Ingredients!$A$5:$A$304,0)),""),""))</f>
        <v>0</v>
      </c>
      <c r="M483" s="8">
        <f>IF(OR(B483="",C483=""),"",IFERROR(C483*IFERROR(INDEX(Ingredients!$J$5:$J$304,MATCH(B483,Ingredients!$A$5:$A$304,0)),""),""))</f>
        <v>0</v>
      </c>
      <c r="N483" s="8">
        <f>IF(OR(B483="",C483=""),"",IFERROR(C483*IFERROR(INDEX(Ingredients!$K$5:$K$304,MATCH(B483,Ingredients!$A$5:$A$304,0)),""),""))</f>
        <v>0</v>
      </c>
      <c r="O483" s="8">
        <f>IF(OR(B483="",C483=""),"",IFERROR(C483*IFERROR(INDEX(Ingredients!$L$5:$L$304,MATCH(B483,Ingredients!$A$5:$A$304,0)),""),""))</f>
        <v>0</v>
      </c>
      <c r="P483" s="8">
        <f>IF(OR(H483="",A483=""),"",IFERROR(H483/SUMIFS('Recipe Ingredients'!$H$5:$H$1204,'Recipe Ingredients'!$A$5:$A$1204,A483),""))</f>
        <v>0</v>
      </c>
      <c r="Q483" s="8">
        <f>IF(H483="","",COUNTIFS($H$5:$H$1204,"&gt;"&amp;H483)+1)</f>
        <v>0</v>
      </c>
      <c r="R483" s="8">
        <f>IF(B483="","",SUMIFS(Pantry!$C$5:$C$304,Pantry!$A$5:$A$304,B483))</f>
        <v>0</v>
      </c>
      <c r="S483" s="8">
        <f>IF(OR(B483="",C483=""),"",MAX(0,C483-R483))</f>
        <v>0</v>
      </c>
      <c r="T483" s="26"/>
      <c r="U483" s="8">
        <f>IF(OR(T483="",T483=0,G483=""),"",T483*G483)</f>
        <v>0</v>
      </c>
      <c r="V483" s="8">
        <f>IF(OR(S483="",T483="",T483=0),"",CEILING(S483/T483,1))</f>
        <v>0</v>
      </c>
      <c r="W483" s="27"/>
      <c r="X483" s="29"/>
      <c r="Y483" s="8">
        <f>IF(OR(C483="",X483=""),"",C483*(1+X483))</f>
        <v>0</v>
      </c>
      <c r="Z483" s="8">
        <f>IF(B483="","",IFERROR(INDEX(Ingredients!$O$5:$O$304,MATCH(B483,Ingredients!$A$5:$A$304,0)),""))</f>
        <v>0</v>
      </c>
      <c r="AA483" s="8">
        <f>IF(B483="","",IF(R483&gt;=C483,"In pantry","To buy"))</f>
        <v>0</v>
      </c>
      <c r="AB483" s="8">
        <f>IF(A483="","",COUNTIFS($A$5:A483,A483))</f>
        <v>0</v>
      </c>
      <c r="AC483" s="8">
        <f>IF(B483="","",IF(COUNTIFS('Dietary Filters'!$C$5:$C$104,B483)&gt;0,"Check","OK"))</f>
        <v>0</v>
      </c>
      <c r="AD483" s="25"/>
    </row>
    <row r="484" spans="1:30">
      <c r="A484" s="7"/>
      <c r="B484" s="7"/>
      <c r="C484" s="26"/>
      <c r="D484" s="27"/>
      <c r="E484" s="8">
        <f>IF(B484="","",IFERROR(INDEX(Ingredients!$B$5:$B$304,MATCH(B484,Ingredients!$A$5:$A$304,0)),""))</f>
        <v>0</v>
      </c>
      <c r="F484" s="8">
        <f>IF(B484="","",IFERROR(INDEX(Ingredients!$E$5:$E$304,MATCH(B484,Ingredients!$A$5:$A$304,0)),""))</f>
        <v>0</v>
      </c>
      <c r="G484" s="8">
        <f>IF(B484="","",IFERROR(INDEX(Ingredients!$D$5:$D$304,MATCH(B484,Ingredients!$A$5:$A$304,0)),""))</f>
        <v>0</v>
      </c>
      <c r="H484" s="8">
        <f>IF(OR(B484="",C484=""),"",IFERROR(C484*G484,""))</f>
        <v>0</v>
      </c>
      <c r="I484" s="8">
        <f>IF(A484="","",IFERROR(INDEX(Recipes!$D$5:$D$204,MATCH(A484,Recipes!$A$5:$A$204,0)),""))</f>
        <v>0</v>
      </c>
      <c r="J484" s="8">
        <f>IF(OR(H484="",I484="",I484=0),"",IFERROR(H484/I484,""))</f>
        <v>0</v>
      </c>
      <c r="K484" s="8">
        <f>IF(OR(B484="",C484=""),"",IFERROR(C484*IFERROR(INDEX(Ingredients!$H$5:$H$304,MATCH(B484,Ingredients!$A$5:$A$304,0)),""),""))</f>
        <v>0</v>
      </c>
      <c r="L484" s="8">
        <f>IF(OR(B484="",C484=""),"",IFERROR(C484*IFERROR(INDEX(Ingredients!$I$5:$I$304,MATCH(B484,Ingredients!$A$5:$A$304,0)),""),""))</f>
        <v>0</v>
      </c>
      <c r="M484" s="8">
        <f>IF(OR(B484="",C484=""),"",IFERROR(C484*IFERROR(INDEX(Ingredients!$J$5:$J$304,MATCH(B484,Ingredients!$A$5:$A$304,0)),""),""))</f>
        <v>0</v>
      </c>
      <c r="N484" s="8">
        <f>IF(OR(B484="",C484=""),"",IFERROR(C484*IFERROR(INDEX(Ingredients!$K$5:$K$304,MATCH(B484,Ingredients!$A$5:$A$304,0)),""),""))</f>
        <v>0</v>
      </c>
      <c r="O484" s="8">
        <f>IF(OR(B484="",C484=""),"",IFERROR(C484*IFERROR(INDEX(Ingredients!$L$5:$L$304,MATCH(B484,Ingredients!$A$5:$A$304,0)),""),""))</f>
        <v>0</v>
      </c>
      <c r="P484" s="8">
        <f>IF(OR(H484="",A484=""),"",IFERROR(H484/SUMIFS('Recipe Ingredients'!$H$5:$H$1204,'Recipe Ingredients'!$A$5:$A$1204,A484),""))</f>
        <v>0</v>
      </c>
      <c r="Q484" s="8">
        <f>IF(H484="","",COUNTIFS($H$5:$H$1204,"&gt;"&amp;H484)+1)</f>
        <v>0</v>
      </c>
      <c r="R484" s="8">
        <f>IF(B484="","",SUMIFS(Pantry!$C$5:$C$304,Pantry!$A$5:$A$304,B484))</f>
        <v>0</v>
      </c>
      <c r="S484" s="8">
        <f>IF(OR(B484="",C484=""),"",MAX(0,C484-R484))</f>
        <v>0</v>
      </c>
      <c r="T484" s="26"/>
      <c r="U484" s="8">
        <f>IF(OR(T484="",T484=0,G484=""),"",T484*G484)</f>
        <v>0</v>
      </c>
      <c r="V484" s="8">
        <f>IF(OR(S484="",T484="",T484=0),"",CEILING(S484/T484,1))</f>
        <v>0</v>
      </c>
      <c r="W484" s="27"/>
      <c r="X484" s="29"/>
      <c r="Y484" s="8">
        <f>IF(OR(C484="",X484=""),"",C484*(1+X484))</f>
        <v>0</v>
      </c>
      <c r="Z484" s="8">
        <f>IF(B484="","",IFERROR(INDEX(Ingredients!$O$5:$O$304,MATCH(B484,Ingredients!$A$5:$A$304,0)),""))</f>
        <v>0</v>
      </c>
      <c r="AA484" s="8">
        <f>IF(B484="","",IF(R484&gt;=C484,"In pantry","To buy"))</f>
        <v>0</v>
      </c>
      <c r="AB484" s="8">
        <f>IF(A484="","",COUNTIFS($A$5:A484,A484))</f>
        <v>0</v>
      </c>
      <c r="AC484" s="8">
        <f>IF(B484="","",IF(COUNTIFS('Dietary Filters'!$C$5:$C$104,B484)&gt;0,"Check","OK"))</f>
        <v>0</v>
      </c>
      <c r="AD484" s="25"/>
    </row>
    <row r="485" spans="1:30">
      <c r="A485" s="7"/>
      <c r="B485" s="7"/>
      <c r="C485" s="26"/>
      <c r="D485" s="27"/>
      <c r="E485" s="8">
        <f>IF(B485="","",IFERROR(INDEX(Ingredients!$B$5:$B$304,MATCH(B485,Ingredients!$A$5:$A$304,0)),""))</f>
        <v>0</v>
      </c>
      <c r="F485" s="8">
        <f>IF(B485="","",IFERROR(INDEX(Ingredients!$E$5:$E$304,MATCH(B485,Ingredients!$A$5:$A$304,0)),""))</f>
        <v>0</v>
      </c>
      <c r="G485" s="8">
        <f>IF(B485="","",IFERROR(INDEX(Ingredients!$D$5:$D$304,MATCH(B485,Ingredients!$A$5:$A$304,0)),""))</f>
        <v>0</v>
      </c>
      <c r="H485" s="8">
        <f>IF(OR(B485="",C485=""),"",IFERROR(C485*G485,""))</f>
        <v>0</v>
      </c>
      <c r="I485" s="8">
        <f>IF(A485="","",IFERROR(INDEX(Recipes!$D$5:$D$204,MATCH(A485,Recipes!$A$5:$A$204,0)),""))</f>
        <v>0</v>
      </c>
      <c r="J485" s="8">
        <f>IF(OR(H485="",I485="",I485=0),"",IFERROR(H485/I485,""))</f>
        <v>0</v>
      </c>
      <c r="K485" s="8">
        <f>IF(OR(B485="",C485=""),"",IFERROR(C485*IFERROR(INDEX(Ingredients!$H$5:$H$304,MATCH(B485,Ingredients!$A$5:$A$304,0)),""),""))</f>
        <v>0</v>
      </c>
      <c r="L485" s="8">
        <f>IF(OR(B485="",C485=""),"",IFERROR(C485*IFERROR(INDEX(Ingredients!$I$5:$I$304,MATCH(B485,Ingredients!$A$5:$A$304,0)),""),""))</f>
        <v>0</v>
      </c>
      <c r="M485" s="8">
        <f>IF(OR(B485="",C485=""),"",IFERROR(C485*IFERROR(INDEX(Ingredients!$J$5:$J$304,MATCH(B485,Ingredients!$A$5:$A$304,0)),""),""))</f>
        <v>0</v>
      </c>
      <c r="N485" s="8">
        <f>IF(OR(B485="",C485=""),"",IFERROR(C485*IFERROR(INDEX(Ingredients!$K$5:$K$304,MATCH(B485,Ingredients!$A$5:$A$304,0)),""),""))</f>
        <v>0</v>
      </c>
      <c r="O485" s="8">
        <f>IF(OR(B485="",C485=""),"",IFERROR(C485*IFERROR(INDEX(Ingredients!$L$5:$L$304,MATCH(B485,Ingredients!$A$5:$A$304,0)),""),""))</f>
        <v>0</v>
      </c>
      <c r="P485" s="8">
        <f>IF(OR(H485="",A485=""),"",IFERROR(H485/SUMIFS('Recipe Ingredients'!$H$5:$H$1204,'Recipe Ingredients'!$A$5:$A$1204,A485),""))</f>
        <v>0</v>
      </c>
      <c r="Q485" s="8">
        <f>IF(H485="","",COUNTIFS($H$5:$H$1204,"&gt;"&amp;H485)+1)</f>
        <v>0</v>
      </c>
      <c r="R485" s="8">
        <f>IF(B485="","",SUMIFS(Pantry!$C$5:$C$304,Pantry!$A$5:$A$304,B485))</f>
        <v>0</v>
      </c>
      <c r="S485" s="8">
        <f>IF(OR(B485="",C485=""),"",MAX(0,C485-R485))</f>
        <v>0</v>
      </c>
      <c r="T485" s="26"/>
      <c r="U485" s="8">
        <f>IF(OR(T485="",T485=0,G485=""),"",T485*G485)</f>
        <v>0</v>
      </c>
      <c r="V485" s="8">
        <f>IF(OR(S485="",T485="",T485=0),"",CEILING(S485/T485,1))</f>
        <v>0</v>
      </c>
      <c r="W485" s="27"/>
      <c r="X485" s="29"/>
      <c r="Y485" s="8">
        <f>IF(OR(C485="",X485=""),"",C485*(1+X485))</f>
        <v>0</v>
      </c>
      <c r="Z485" s="8">
        <f>IF(B485="","",IFERROR(INDEX(Ingredients!$O$5:$O$304,MATCH(B485,Ingredients!$A$5:$A$304,0)),""))</f>
        <v>0</v>
      </c>
      <c r="AA485" s="8">
        <f>IF(B485="","",IF(R485&gt;=C485,"In pantry","To buy"))</f>
        <v>0</v>
      </c>
      <c r="AB485" s="8">
        <f>IF(A485="","",COUNTIFS($A$5:A485,A485))</f>
        <v>0</v>
      </c>
      <c r="AC485" s="8">
        <f>IF(B485="","",IF(COUNTIFS('Dietary Filters'!$C$5:$C$104,B485)&gt;0,"Check","OK"))</f>
        <v>0</v>
      </c>
      <c r="AD485" s="25"/>
    </row>
    <row r="486" spans="1:30">
      <c r="A486" s="7"/>
      <c r="B486" s="7"/>
      <c r="C486" s="26"/>
      <c r="D486" s="27"/>
      <c r="E486" s="8">
        <f>IF(B486="","",IFERROR(INDEX(Ingredients!$B$5:$B$304,MATCH(B486,Ingredients!$A$5:$A$304,0)),""))</f>
        <v>0</v>
      </c>
      <c r="F486" s="8">
        <f>IF(B486="","",IFERROR(INDEX(Ingredients!$E$5:$E$304,MATCH(B486,Ingredients!$A$5:$A$304,0)),""))</f>
        <v>0</v>
      </c>
      <c r="G486" s="8">
        <f>IF(B486="","",IFERROR(INDEX(Ingredients!$D$5:$D$304,MATCH(B486,Ingredients!$A$5:$A$304,0)),""))</f>
        <v>0</v>
      </c>
      <c r="H486" s="8">
        <f>IF(OR(B486="",C486=""),"",IFERROR(C486*G486,""))</f>
        <v>0</v>
      </c>
      <c r="I486" s="8">
        <f>IF(A486="","",IFERROR(INDEX(Recipes!$D$5:$D$204,MATCH(A486,Recipes!$A$5:$A$204,0)),""))</f>
        <v>0</v>
      </c>
      <c r="J486" s="8">
        <f>IF(OR(H486="",I486="",I486=0),"",IFERROR(H486/I486,""))</f>
        <v>0</v>
      </c>
      <c r="K486" s="8">
        <f>IF(OR(B486="",C486=""),"",IFERROR(C486*IFERROR(INDEX(Ingredients!$H$5:$H$304,MATCH(B486,Ingredients!$A$5:$A$304,0)),""),""))</f>
        <v>0</v>
      </c>
      <c r="L486" s="8">
        <f>IF(OR(B486="",C486=""),"",IFERROR(C486*IFERROR(INDEX(Ingredients!$I$5:$I$304,MATCH(B486,Ingredients!$A$5:$A$304,0)),""),""))</f>
        <v>0</v>
      </c>
      <c r="M486" s="8">
        <f>IF(OR(B486="",C486=""),"",IFERROR(C486*IFERROR(INDEX(Ingredients!$J$5:$J$304,MATCH(B486,Ingredients!$A$5:$A$304,0)),""),""))</f>
        <v>0</v>
      </c>
      <c r="N486" s="8">
        <f>IF(OR(B486="",C486=""),"",IFERROR(C486*IFERROR(INDEX(Ingredients!$K$5:$K$304,MATCH(B486,Ingredients!$A$5:$A$304,0)),""),""))</f>
        <v>0</v>
      </c>
      <c r="O486" s="8">
        <f>IF(OR(B486="",C486=""),"",IFERROR(C486*IFERROR(INDEX(Ingredients!$L$5:$L$304,MATCH(B486,Ingredients!$A$5:$A$304,0)),""),""))</f>
        <v>0</v>
      </c>
      <c r="P486" s="8">
        <f>IF(OR(H486="",A486=""),"",IFERROR(H486/SUMIFS('Recipe Ingredients'!$H$5:$H$1204,'Recipe Ingredients'!$A$5:$A$1204,A486),""))</f>
        <v>0</v>
      </c>
      <c r="Q486" s="8">
        <f>IF(H486="","",COUNTIFS($H$5:$H$1204,"&gt;"&amp;H486)+1)</f>
        <v>0</v>
      </c>
      <c r="R486" s="8">
        <f>IF(B486="","",SUMIFS(Pantry!$C$5:$C$304,Pantry!$A$5:$A$304,B486))</f>
        <v>0</v>
      </c>
      <c r="S486" s="8">
        <f>IF(OR(B486="",C486=""),"",MAX(0,C486-R486))</f>
        <v>0</v>
      </c>
      <c r="T486" s="26"/>
      <c r="U486" s="8">
        <f>IF(OR(T486="",T486=0,G486=""),"",T486*G486)</f>
        <v>0</v>
      </c>
      <c r="V486" s="8">
        <f>IF(OR(S486="",T486="",T486=0),"",CEILING(S486/T486,1))</f>
        <v>0</v>
      </c>
      <c r="W486" s="27"/>
      <c r="X486" s="29"/>
      <c r="Y486" s="8">
        <f>IF(OR(C486="",X486=""),"",C486*(1+X486))</f>
        <v>0</v>
      </c>
      <c r="Z486" s="8">
        <f>IF(B486="","",IFERROR(INDEX(Ingredients!$O$5:$O$304,MATCH(B486,Ingredients!$A$5:$A$304,0)),""))</f>
        <v>0</v>
      </c>
      <c r="AA486" s="8">
        <f>IF(B486="","",IF(R486&gt;=C486,"In pantry","To buy"))</f>
        <v>0</v>
      </c>
      <c r="AB486" s="8">
        <f>IF(A486="","",COUNTIFS($A$5:A486,A486))</f>
        <v>0</v>
      </c>
      <c r="AC486" s="8">
        <f>IF(B486="","",IF(COUNTIFS('Dietary Filters'!$C$5:$C$104,B486)&gt;0,"Check","OK"))</f>
        <v>0</v>
      </c>
      <c r="AD486" s="25"/>
    </row>
    <row r="487" spans="1:30">
      <c r="A487" s="7"/>
      <c r="B487" s="7"/>
      <c r="C487" s="26"/>
      <c r="D487" s="27"/>
      <c r="E487" s="8">
        <f>IF(B487="","",IFERROR(INDEX(Ingredients!$B$5:$B$304,MATCH(B487,Ingredients!$A$5:$A$304,0)),""))</f>
        <v>0</v>
      </c>
      <c r="F487" s="8">
        <f>IF(B487="","",IFERROR(INDEX(Ingredients!$E$5:$E$304,MATCH(B487,Ingredients!$A$5:$A$304,0)),""))</f>
        <v>0</v>
      </c>
      <c r="G487" s="8">
        <f>IF(B487="","",IFERROR(INDEX(Ingredients!$D$5:$D$304,MATCH(B487,Ingredients!$A$5:$A$304,0)),""))</f>
        <v>0</v>
      </c>
      <c r="H487" s="8">
        <f>IF(OR(B487="",C487=""),"",IFERROR(C487*G487,""))</f>
        <v>0</v>
      </c>
      <c r="I487" s="8">
        <f>IF(A487="","",IFERROR(INDEX(Recipes!$D$5:$D$204,MATCH(A487,Recipes!$A$5:$A$204,0)),""))</f>
        <v>0</v>
      </c>
      <c r="J487" s="8">
        <f>IF(OR(H487="",I487="",I487=0),"",IFERROR(H487/I487,""))</f>
        <v>0</v>
      </c>
      <c r="K487" s="8">
        <f>IF(OR(B487="",C487=""),"",IFERROR(C487*IFERROR(INDEX(Ingredients!$H$5:$H$304,MATCH(B487,Ingredients!$A$5:$A$304,0)),""),""))</f>
        <v>0</v>
      </c>
      <c r="L487" s="8">
        <f>IF(OR(B487="",C487=""),"",IFERROR(C487*IFERROR(INDEX(Ingredients!$I$5:$I$304,MATCH(B487,Ingredients!$A$5:$A$304,0)),""),""))</f>
        <v>0</v>
      </c>
      <c r="M487" s="8">
        <f>IF(OR(B487="",C487=""),"",IFERROR(C487*IFERROR(INDEX(Ingredients!$J$5:$J$304,MATCH(B487,Ingredients!$A$5:$A$304,0)),""),""))</f>
        <v>0</v>
      </c>
      <c r="N487" s="8">
        <f>IF(OR(B487="",C487=""),"",IFERROR(C487*IFERROR(INDEX(Ingredients!$K$5:$K$304,MATCH(B487,Ingredients!$A$5:$A$304,0)),""),""))</f>
        <v>0</v>
      </c>
      <c r="O487" s="8">
        <f>IF(OR(B487="",C487=""),"",IFERROR(C487*IFERROR(INDEX(Ingredients!$L$5:$L$304,MATCH(B487,Ingredients!$A$5:$A$304,0)),""),""))</f>
        <v>0</v>
      </c>
      <c r="P487" s="8">
        <f>IF(OR(H487="",A487=""),"",IFERROR(H487/SUMIFS('Recipe Ingredients'!$H$5:$H$1204,'Recipe Ingredients'!$A$5:$A$1204,A487),""))</f>
        <v>0</v>
      </c>
      <c r="Q487" s="8">
        <f>IF(H487="","",COUNTIFS($H$5:$H$1204,"&gt;"&amp;H487)+1)</f>
        <v>0</v>
      </c>
      <c r="R487" s="8">
        <f>IF(B487="","",SUMIFS(Pantry!$C$5:$C$304,Pantry!$A$5:$A$304,B487))</f>
        <v>0</v>
      </c>
      <c r="S487" s="8">
        <f>IF(OR(B487="",C487=""),"",MAX(0,C487-R487))</f>
        <v>0</v>
      </c>
      <c r="T487" s="26"/>
      <c r="U487" s="8">
        <f>IF(OR(T487="",T487=0,G487=""),"",T487*G487)</f>
        <v>0</v>
      </c>
      <c r="V487" s="8">
        <f>IF(OR(S487="",T487="",T487=0),"",CEILING(S487/T487,1))</f>
        <v>0</v>
      </c>
      <c r="W487" s="27"/>
      <c r="X487" s="29"/>
      <c r="Y487" s="8">
        <f>IF(OR(C487="",X487=""),"",C487*(1+X487))</f>
        <v>0</v>
      </c>
      <c r="Z487" s="8">
        <f>IF(B487="","",IFERROR(INDEX(Ingredients!$O$5:$O$304,MATCH(B487,Ingredients!$A$5:$A$304,0)),""))</f>
        <v>0</v>
      </c>
      <c r="AA487" s="8">
        <f>IF(B487="","",IF(R487&gt;=C487,"In pantry","To buy"))</f>
        <v>0</v>
      </c>
      <c r="AB487" s="8">
        <f>IF(A487="","",COUNTIFS($A$5:A487,A487))</f>
        <v>0</v>
      </c>
      <c r="AC487" s="8">
        <f>IF(B487="","",IF(COUNTIFS('Dietary Filters'!$C$5:$C$104,B487)&gt;0,"Check","OK"))</f>
        <v>0</v>
      </c>
      <c r="AD487" s="25"/>
    </row>
    <row r="488" spans="1:30">
      <c r="A488" s="7"/>
      <c r="B488" s="7"/>
      <c r="C488" s="26"/>
      <c r="D488" s="27"/>
      <c r="E488" s="8">
        <f>IF(B488="","",IFERROR(INDEX(Ingredients!$B$5:$B$304,MATCH(B488,Ingredients!$A$5:$A$304,0)),""))</f>
        <v>0</v>
      </c>
      <c r="F488" s="8">
        <f>IF(B488="","",IFERROR(INDEX(Ingredients!$E$5:$E$304,MATCH(B488,Ingredients!$A$5:$A$304,0)),""))</f>
        <v>0</v>
      </c>
      <c r="G488" s="8">
        <f>IF(B488="","",IFERROR(INDEX(Ingredients!$D$5:$D$304,MATCH(B488,Ingredients!$A$5:$A$304,0)),""))</f>
        <v>0</v>
      </c>
      <c r="H488" s="8">
        <f>IF(OR(B488="",C488=""),"",IFERROR(C488*G488,""))</f>
        <v>0</v>
      </c>
      <c r="I488" s="8">
        <f>IF(A488="","",IFERROR(INDEX(Recipes!$D$5:$D$204,MATCH(A488,Recipes!$A$5:$A$204,0)),""))</f>
        <v>0</v>
      </c>
      <c r="J488" s="8">
        <f>IF(OR(H488="",I488="",I488=0),"",IFERROR(H488/I488,""))</f>
        <v>0</v>
      </c>
      <c r="K488" s="8">
        <f>IF(OR(B488="",C488=""),"",IFERROR(C488*IFERROR(INDEX(Ingredients!$H$5:$H$304,MATCH(B488,Ingredients!$A$5:$A$304,0)),""),""))</f>
        <v>0</v>
      </c>
      <c r="L488" s="8">
        <f>IF(OR(B488="",C488=""),"",IFERROR(C488*IFERROR(INDEX(Ingredients!$I$5:$I$304,MATCH(B488,Ingredients!$A$5:$A$304,0)),""),""))</f>
        <v>0</v>
      </c>
      <c r="M488" s="8">
        <f>IF(OR(B488="",C488=""),"",IFERROR(C488*IFERROR(INDEX(Ingredients!$J$5:$J$304,MATCH(B488,Ingredients!$A$5:$A$304,0)),""),""))</f>
        <v>0</v>
      </c>
      <c r="N488" s="8">
        <f>IF(OR(B488="",C488=""),"",IFERROR(C488*IFERROR(INDEX(Ingredients!$K$5:$K$304,MATCH(B488,Ingredients!$A$5:$A$304,0)),""),""))</f>
        <v>0</v>
      </c>
      <c r="O488" s="8">
        <f>IF(OR(B488="",C488=""),"",IFERROR(C488*IFERROR(INDEX(Ingredients!$L$5:$L$304,MATCH(B488,Ingredients!$A$5:$A$304,0)),""),""))</f>
        <v>0</v>
      </c>
      <c r="P488" s="8">
        <f>IF(OR(H488="",A488=""),"",IFERROR(H488/SUMIFS('Recipe Ingredients'!$H$5:$H$1204,'Recipe Ingredients'!$A$5:$A$1204,A488),""))</f>
        <v>0</v>
      </c>
      <c r="Q488" s="8">
        <f>IF(H488="","",COUNTIFS($H$5:$H$1204,"&gt;"&amp;H488)+1)</f>
        <v>0</v>
      </c>
      <c r="R488" s="8">
        <f>IF(B488="","",SUMIFS(Pantry!$C$5:$C$304,Pantry!$A$5:$A$304,B488))</f>
        <v>0</v>
      </c>
      <c r="S488" s="8">
        <f>IF(OR(B488="",C488=""),"",MAX(0,C488-R488))</f>
        <v>0</v>
      </c>
      <c r="T488" s="26"/>
      <c r="U488" s="8">
        <f>IF(OR(T488="",T488=0,G488=""),"",T488*G488)</f>
        <v>0</v>
      </c>
      <c r="V488" s="8">
        <f>IF(OR(S488="",T488="",T488=0),"",CEILING(S488/T488,1))</f>
        <v>0</v>
      </c>
      <c r="W488" s="27"/>
      <c r="X488" s="29"/>
      <c r="Y488" s="8">
        <f>IF(OR(C488="",X488=""),"",C488*(1+X488))</f>
        <v>0</v>
      </c>
      <c r="Z488" s="8">
        <f>IF(B488="","",IFERROR(INDEX(Ingredients!$O$5:$O$304,MATCH(B488,Ingredients!$A$5:$A$304,0)),""))</f>
        <v>0</v>
      </c>
      <c r="AA488" s="8">
        <f>IF(B488="","",IF(R488&gt;=C488,"In pantry","To buy"))</f>
        <v>0</v>
      </c>
      <c r="AB488" s="8">
        <f>IF(A488="","",COUNTIFS($A$5:A488,A488))</f>
        <v>0</v>
      </c>
      <c r="AC488" s="8">
        <f>IF(B488="","",IF(COUNTIFS('Dietary Filters'!$C$5:$C$104,B488)&gt;0,"Check","OK"))</f>
        <v>0</v>
      </c>
      <c r="AD488" s="25"/>
    </row>
    <row r="489" spans="1:30">
      <c r="A489" s="7"/>
      <c r="B489" s="7"/>
      <c r="C489" s="26"/>
      <c r="D489" s="27"/>
      <c r="E489" s="8">
        <f>IF(B489="","",IFERROR(INDEX(Ingredients!$B$5:$B$304,MATCH(B489,Ingredients!$A$5:$A$304,0)),""))</f>
        <v>0</v>
      </c>
      <c r="F489" s="8">
        <f>IF(B489="","",IFERROR(INDEX(Ingredients!$E$5:$E$304,MATCH(B489,Ingredients!$A$5:$A$304,0)),""))</f>
        <v>0</v>
      </c>
      <c r="G489" s="8">
        <f>IF(B489="","",IFERROR(INDEX(Ingredients!$D$5:$D$304,MATCH(B489,Ingredients!$A$5:$A$304,0)),""))</f>
        <v>0</v>
      </c>
      <c r="H489" s="8">
        <f>IF(OR(B489="",C489=""),"",IFERROR(C489*G489,""))</f>
        <v>0</v>
      </c>
      <c r="I489" s="8">
        <f>IF(A489="","",IFERROR(INDEX(Recipes!$D$5:$D$204,MATCH(A489,Recipes!$A$5:$A$204,0)),""))</f>
        <v>0</v>
      </c>
      <c r="J489" s="8">
        <f>IF(OR(H489="",I489="",I489=0),"",IFERROR(H489/I489,""))</f>
        <v>0</v>
      </c>
      <c r="K489" s="8">
        <f>IF(OR(B489="",C489=""),"",IFERROR(C489*IFERROR(INDEX(Ingredients!$H$5:$H$304,MATCH(B489,Ingredients!$A$5:$A$304,0)),""),""))</f>
        <v>0</v>
      </c>
      <c r="L489" s="8">
        <f>IF(OR(B489="",C489=""),"",IFERROR(C489*IFERROR(INDEX(Ingredients!$I$5:$I$304,MATCH(B489,Ingredients!$A$5:$A$304,0)),""),""))</f>
        <v>0</v>
      </c>
      <c r="M489" s="8">
        <f>IF(OR(B489="",C489=""),"",IFERROR(C489*IFERROR(INDEX(Ingredients!$J$5:$J$304,MATCH(B489,Ingredients!$A$5:$A$304,0)),""),""))</f>
        <v>0</v>
      </c>
      <c r="N489" s="8">
        <f>IF(OR(B489="",C489=""),"",IFERROR(C489*IFERROR(INDEX(Ingredients!$K$5:$K$304,MATCH(B489,Ingredients!$A$5:$A$304,0)),""),""))</f>
        <v>0</v>
      </c>
      <c r="O489" s="8">
        <f>IF(OR(B489="",C489=""),"",IFERROR(C489*IFERROR(INDEX(Ingredients!$L$5:$L$304,MATCH(B489,Ingredients!$A$5:$A$304,0)),""),""))</f>
        <v>0</v>
      </c>
      <c r="P489" s="8">
        <f>IF(OR(H489="",A489=""),"",IFERROR(H489/SUMIFS('Recipe Ingredients'!$H$5:$H$1204,'Recipe Ingredients'!$A$5:$A$1204,A489),""))</f>
        <v>0</v>
      </c>
      <c r="Q489" s="8">
        <f>IF(H489="","",COUNTIFS($H$5:$H$1204,"&gt;"&amp;H489)+1)</f>
        <v>0</v>
      </c>
      <c r="R489" s="8">
        <f>IF(B489="","",SUMIFS(Pantry!$C$5:$C$304,Pantry!$A$5:$A$304,B489))</f>
        <v>0</v>
      </c>
      <c r="S489" s="8">
        <f>IF(OR(B489="",C489=""),"",MAX(0,C489-R489))</f>
        <v>0</v>
      </c>
      <c r="T489" s="26"/>
      <c r="U489" s="8">
        <f>IF(OR(T489="",T489=0,G489=""),"",T489*G489)</f>
        <v>0</v>
      </c>
      <c r="V489" s="8">
        <f>IF(OR(S489="",T489="",T489=0),"",CEILING(S489/T489,1))</f>
        <v>0</v>
      </c>
      <c r="W489" s="27"/>
      <c r="X489" s="29"/>
      <c r="Y489" s="8">
        <f>IF(OR(C489="",X489=""),"",C489*(1+X489))</f>
        <v>0</v>
      </c>
      <c r="Z489" s="8">
        <f>IF(B489="","",IFERROR(INDEX(Ingredients!$O$5:$O$304,MATCH(B489,Ingredients!$A$5:$A$304,0)),""))</f>
        <v>0</v>
      </c>
      <c r="AA489" s="8">
        <f>IF(B489="","",IF(R489&gt;=C489,"In pantry","To buy"))</f>
        <v>0</v>
      </c>
      <c r="AB489" s="8">
        <f>IF(A489="","",COUNTIFS($A$5:A489,A489))</f>
        <v>0</v>
      </c>
      <c r="AC489" s="8">
        <f>IF(B489="","",IF(COUNTIFS('Dietary Filters'!$C$5:$C$104,B489)&gt;0,"Check","OK"))</f>
        <v>0</v>
      </c>
      <c r="AD489" s="25"/>
    </row>
    <row r="490" spans="1:30">
      <c r="A490" s="7"/>
      <c r="B490" s="7"/>
      <c r="C490" s="26"/>
      <c r="D490" s="27"/>
      <c r="E490" s="8">
        <f>IF(B490="","",IFERROR(INDEX(Ingredients!$B$5:$B$304,MATCH(B490,Ingredients!$A$5:$A$304,0)),""))</f>
        <v>0</v>
      </c>
      <c r="F490" s="8">
        <f>IF(B490="","",IFERROR(INDEX(Ingredients!$E$5:$E$304,MATCH(B490,Ingredients!$A$5:$A$304,0)),""))</f>
        <v>0</v>
      </c>
      <c r="G490" s="8">
        <f>IF(B490="","",IFERROR(INDEX(Ingredients!$D$5:$D$304,MATCH(B490,Ingredients!$A$5:$A$304,0)),""))</f>
        <v>0</v>
      </c>
      <c r="H490" s="8">
        <f>IF(OR(B490="",C490=""),"",IFERROR(C490*G490,""))</f>
        <v>0</v>
      </c>
      <c r="I490" s="8">
        <f>IF(A490="","",IFERROR(INDEX(Recipes!$D$5:$D$204,MATCH(A490,Recipes!$A$5:$A$204,0)),""))</f>
        <v>0</v>
      </c>
      <c r="J490" s="8">
        <f>IF(OR(H490="",I490="",I490=0),"",IFERROR(H490/I490,""))</f>
        <v>0</v>
      </c>
      <c r="K490" s="8">
        <f>IF(OR(B490="",C490=""),"",IFERROR(C490*IFERROR(INDEX(Ingredients!$H$5:$H$304,MATCH(B490,Ingredients!$A$5:$A$304,0)),""),""))</f>
        <v>0</v>
      </c>
      <c r="L490" s="8">
        <f>IF(OR(B490="",C490=""),"",IFERROR(C490*IFERROR(INDEX(Ingredients!$I$5:$I$304,MATCH(B490,Ingredients!$A$5:$A$304,0)),""),""))</f>
        <v>0</v>
      </c>
      <c r="M490" s="8">
        <f>IF(OR(B490="",C490=""),"",IFERROR(C490*IFERROR(INDEX(Ingredients!$J$5:$J$304,MATCH(B490,Ingredients!$A$5:$A$304,0)),""),""))</f>
        <v>0</v>
      </c>
      <c r="N490" s="8">
        <f>IF(OR(B490="",C490=""),"",IFERROR(C490*IFERROR(INDEX(Ingredients!$K$5:$K$304,MATCH(B490,Ingredients!$A$5:$A$304,0)),""),""))</f>
        <v>0</v>
      </c>
      <c r="O490" s="8">
        <f>IF(OR(B490="",C490=""),"",IFERROR(C490*IFERROR(INDEX(Ingredients!$L$5:$L$304,MATCH(B490,Ingredients!$A$5:$A$304,0)),""),""))</f>
        <v>0</v>
      </c>
      <c r="P490" s="8">
        <f>IF(OR(H490="",A490=""),"",IFERROR(H490/SUMIFS('Recipe Ingredients'!$H$5:$H$1204,'Recipe Ingredients'!$A$5:$A$1204,A490),""))</f>
        <v>0</v>
      </c>
      <c r="Q490" s="8">
        <f>IF(H490="","",COUNTIFS($H$5:$H$1204,"&gt;"&amp;H490)+1)</f>
        <v>0</v>
      </c>
      <c r="R490" s="8">
        <f>IF(B490="","",SUMIFS(Pantry!$C$5:$C$304,Pantry!$A$5:$A$304,B490))</f>
        <v>0</v>
      </c>
      <c r="S490" s="8">
        <f>IF(OR(B490="",C490=""),"",MAX(0,C490-R490))</f>
        <v>0</v>
      </c>
      <c r="T490" s="26"/>
      <c r="U490" s="8">
        <f>IF(OR(T490="",T490=0,G490=""),"",T490*G490)</f>
        <v>0</v>
      </c>
      <c r="V490" s="8">
        <f>IF(OR(S490="",T490="",T490=0),"",CEILING(S490/T490,1))</f>
        <v>0</v>
      </c>
      <c r="W490" s="27"/>
      <c r="X490" s="29"/>
      <c r="Y490" s="8">
        <f>IF(OR(C490="",X490=""),"",C490*(1+X490))</f>
        <v>0</v>
      </c>
      <c r="Z490" s="8">
        <f>IF(B490="","",IFERROR(INDEX(Ingredients!$O$5:$O$304,MATCH(B490,Ingredients!$A$5:$A$304,0)),""))</f>
        <v>0</v>
      </c>
      <c r="AA490" s="8">
        <f>IF(B490="","",IF(R490&gt;=C490,"In pantry","To buy"))</f>
        <v>0</v>
      </c>
      <c r="AB490" s="8">
        <f>IF(A490="","",COUNTIFS($A$5:A490,A490))</f>
        <v>0</v>
      </c>
      <c r="AC490" s="8">
        <f>IF(B490="","",IF(COUNTIFS('Dietary Filters'!$C$5:$C$104,B490)&gt;0,"Check","OK"))</f>
        <v>0</v>
      </c>
      <c r="AD490" s="25"/>
    </row>
    <row r="491" spans="1:30">
      <c r="A491" s="7"/>
      <c r="B491" s="7"/>
      <c r="C491" s="26"/>
      <c r="D491" s="27"/>
      <c r="E491" s="8">
        <f>IF(B491="","",IFERROR(INDEX(Ingredients!$B$5:$B$304,MATCH(B491,Ingredients!$A$5:$A$304,0)),""))</f>
        <v>0</v>
      </c>
      <c r="F491" s="8">
        <f>IF(B491="","",IFERROR(INDEX(Ingredients!$E$5:$E$304,MATCH(B491,Ingredients!$A$5:$A$304,0)),""))</f>
        <v>0</v>
      </c>
      <c r="G491" s="8">
        <f>IF(B491="","",IFERROR(INDEX(Ingredients!$D$5:$D$304,MATCH(B491,Ingredients!$A$5:$A$304,0)),""))</f>
        <v>0</v>
      </c>
      <c r="H491" s="8">
        <f>IF(OR(B491="",C491=""),"",IFERROR(C491*G491,""))</f>
        <v>0</v>
      </c>
      <c r="I491" s="8">
        <f>IF(A491="","",IFERROR(INDEX(Recipes!$D$5:$D$204,MATCH(A491,Recipes!$A$5:$A$204,0)),""))</f>
        <v>0</v>
      </c>
      <c r="J491" s="8">
        <f>IF(OR(H491="",I491="",I491=0),"",IFERROR(H491/I491,""))</f>
        <v>0</v>
      </c>
      <c r="K491" s="8">
        <f>IF(OR(B491="",C491=""),"",IFERROR(C491*IFERROR(INDEX(Ingredients!$H$5:$H$304,MATCH(B491,Ingredients!$A$5:$A$304,0)),""),""))</f>
        <v>0</v>
      </c>
      <c r="L491" s="8">
        <f>IF(OR(B491="",C491=""),"",IFERROR(C491*IFERROR(INDEX(Ingredients!$I$5:$I$304,MATCH(B491,Ingredients!$A$5:$A$304,0)),""),""))</f>
        <v>0</v>
      </c>
      <c r="M491" s="8">
        <f>IF(OR(B491="",C491=""),"",IFERROR(C491*IFERROR(INDEX(Ingredients!$J$5:$J$304,MATCH(B491,Ingredients!$A$5:$A$304,0)),""),""))</f>
        <v>0</v>
      </c>
      <c r="N491" s="8">
        <f>IF(OR(B491="",C491=""),"",IFERROR(C491*IFERROR(INDEX(Ingredients!$K$5:$K$304,MATCH(B491,Ingredients!$A$5:$A$304,0)),""),""))</f>
        <v>0</v>
      </c>
      <c r="O491" s="8">
        <f>IF(OR(B491="",C491=""),"",IFERROR(C491*IFERROR(INDEX(Ingredients!$L$5:$L$304,MATCH(B491,Ingredients!$A$5:$A$304,0)),""),""))</f>
        <v>0</v>
      </c>
      <c r="P491" s="8">
        <f>IF(OR(H491="",A491=""),"",IFERROR(H491/SUMIFS('Recipe Ingredients'!$H$5:$H$1204,'Recipe Ingredients'!$A$5:$A$1204,A491),""))</f>
        <v>0</v>
      </c>
      <c r="Q491" s="8">
        <f>IF(H491="","",COUNTIFS($H$5:$H$1204,"&gt;"&amp;H491)+1)</f>
        <v>0</v>
      </c>
      <c r="R491" s="8">
        <f>IF(B491="","",SUMIFS(Pantry!$C$5:$C$304,Pantry!$A$5:$A$304,B491))</f>
        <v>0</v>
      </c>
      <c r="S491" s="8">
        <f>IF(OR(B491="",C491=""),"",MAX(0,C491-R491))</f>
        <v>0</v>
      </c>
      <c r="T491" s="26"/>
      <c r="U491" s="8">
        <f>IF(OR(T491="",T491=0,G491=""),"",T491*G491)</f>
        <v>0</v>
      </c>
      <c r="V491" s="8">
        <f>IF(OR(S491="",T491="",T491=0),"",CEILING(S491/T491,1))</f>
        <v>0</v>
      </c>
      <c r="W491" s="27"/>
      <c r="X491" s="29"/>
      <c r="Y491" s="8">
        <f>IF(OR(C491="",X491=""),"",C491*(1+X491))</f>
        <v>0</v>
      </c>
      <c r="Z491" s="8">
        <f>IF(B491="","",IFERROR(INDEX(Ingredients!$O$5:$O$304,MATCH(B491,Ingredients!$A$5:$A$304,0)),""))</f>
        <v>0</v>
      </c>
      <c r="AA491" s="8">
        <f>IF(B491="","",IF(R491&gt;=C491,"In pantry","To buy"))</f>
        <v>0</v>
      </c>
      <c r="AB491" s="8">
        <f>IF(A491="","",COUNTIFS($A$5:A491,A491))</f>
        <v>0</v>
      </c>
      <c r="AC491" s="8">
        <f>IF(B491="","",IF(COUNTIFS('Dietary Filters'!$C$5:$C$104,B491)&gt;0,"Check","OK"))</f>
        <v>0</v>
      </c>
      <c r="AD491" s="25"/>
    </row>
    <row r="492" spans="1:30">
      <c r="A492" s="7"/>
      <c r="B492" s="7"/>
      <c r="C492" s="26"/>
      <c r="D492" s="27"/>
      <c r="E492" s="8">
        <f>IF(B492="","",IFERROR(INDEX(Ingredients!$B$5:$B$304,MATCH(B492,Ingredients!$A$5:$A$304,0)),""))</f>
        <v>0</v>
      </c>
      <c r="F492" s="8">
        <f>IF(B492="","",IFERROR(INDEX(Ingredients!$E$5:$E$304,MATCH(B492,Ingredients!$A$5:$A$304,0)),""))</f>
        <v>0</v>
      </c>
      <c r="G492" s="8">
        <f>IF(B492="","",IFERROR(INDEX(Ingredients!$D$5:$D$304,MATCH(B492,Ingredients!$A$5:$A$304,0)),""))</f>
        <v>0</v>
      </c>
      <c r="H492" s="8">
        <f>IF(OR(B492="",C492=""),"",IFERROR(C492*G492,""))</f>
        <v>0</v>
      </c>
      <c r="I492" s="8">
        <f>IF(A492="","",IFERROR(INDEX(Recipes!$D$5:$D$204,MATCH(A492,Recipes!$A$5:$A$204,0)),""))</f>
        <v>0</v>
      </c>
      <c r="J492" s="8">
        <f>IF(OR(H492="",I492="",I492=0),"",IFERROR(H492/I492,""))</f>
        <v>0</v>
      </c>
      <c r="K492" s="8">
        <f>IF(OR(B492="",C492=""),"",IFERROR(C492*IFERROR(INDEX(Ingredients!$H$5:$H$304,MATCH(B492,Ingredients!$A$5:$A$304,0)),""),""))</f>
        <v>0</v>
      </c>
      <c r="L492" s="8">
        <f>IF(OR(B492="",C492=""),"",IFERROR(C492*IFERROR(INDEX(Ingredients!$I$5:$I$304,MATCH(B492,Ingredients!$A$5:$A$304,0)),""),""))</f>
        <v>0</v>
      </c>
      <c r="M492" s="8">
        <f>IF(OR(B492="",C492=""),"",IFERROR(C492*IFERROR(INDEX(Ingredients!$J$5:$J$304,MATCH(B492,Ingredients!$A$5:$A$304,0)),""),""))</f>
        <v>0</v>
      </c>
      <c r="N492" s="8">
        <f>IF(OR(B492="",C492=""),"",IFERROR(C492*IFERROR(INDEX(Ingredients!$K$5:$K$304,MATCH(B492,Ingredients!$A$5:$A$304,0)),""),""))</f>
        <v>0</v>
      </c>
      <c r="O492" s="8">
        <f>IF(OR(B492="",C492=""),"",IFERROR(C492*IFERROR(INDEX(Ingredients!$L$5:$L$304,MATCH(B492,Ingredients!$A$5:$A$304,0)),""),""))</f>
        <v>0</v>
      </c>
      <c r="P492" s="8">
        <f>IF(OR(H492="",A492=""),"",IFERROR(H492/SUMIFS('Recipe Ingredients'!$H$5:$H$1204,'Recipe Ingredients'!$A$5:$A$1204,A492),""))</f>
        <v>0</v>
      </c>
      <c r="Q492" s="8">
        <f>IF(H492="","",COUNTIFS($H$5:$H$1204,"&gt;"&amp;H492)+1)</f>
        <v>0</v>
      </c>
      <c r="R492" s="8">
        <f>IF(B492="","",SUMIFS(Pantry!$C$5:$C$304,Pantry!$A$5:$A$304,B492))</f>
        <v>0</v>
      </c>
      <c r="S492" s="8">
        <f>IF(OR(B492="",C492=""),"",MAX(0,C492-R492))</f>
        <v>0</v>
      </c>
      <c r="T492" s="26"/>
      <c r="U492" s="8">
        <f>IF(OR(T492="",T492=0,G492=""),"",T492*G492)</f>
        <v>0</v>
      </c>
      <c r="V492" s="8">
        <f>IF(OR(S492="",T492="",T492=0),"",CEILING(S492/T492,1))</f>
        <v>0</v>
      </c>
      <c r="W492" s="27"/>
      <c r="X492" s="29"/>
      <c r="Y492" s="8">
        <f>IF(OR(C492="",X492=""),"",C492*(1+X492))</f>
        <v>0</v>
      </c>
      <c r="Z492" s="8">
        <f>IF(B492="","",IFERROR(INDEX(Ingredients!$O$5:$O$304,MATCH(B492,Ingredients!$A$5:$A$304,0)),""))</f>
        <v>0</v>
      </c>
      <c r="AA492" s="8">
        <f>IF(B492="","",IF(R492&gt;=C492,"In pantry","To buy"))</f>
        <v>0</v>
      </c>
      <c r="AB492" s="8">
        <f>IF(A492="","",COUNTIFS($A$5:A492,A492))</f>
        <v>0</v>
      </c>
      <c r="AC492" s="8">
        <f>IF(B492="","",IF(COUNTIFS('Dietary Filters'!$C$5:$C$104,B492)&gt;0,"Check","OK"))</f>
        <v>0</v>
      </c>
      <c r="AD492" s="25"/>
    </row>
    <row r="493" spans="1:30">
      <c r="A493" s="7"/>
      <c r="B493" s="7"/>
      <c r="C493" s="26"/>
      <c r="D493" s="27"/>
      <c r="E493" s="8">
        <f>IF(B493="","",IFERROR(INDEX(Ingredients!$B$5:$B$304,MATCH(B493,Ingredients!$A$5:$A$304,0)),""))</f>
        <v>0</v>
      </c>
      <c r="F493" s="8">
        <f>IF(B493="","",IFERROR(INDEX(Ingredients!$E$5:$E$304,MATCH(B493,Ingredients!$A$5:$A$304,0)),""))</f>
        <v>0</v>
      </c>
      <c r="G493" s="8">
        <f>IF(B493="","",IFERROR(INDEX(Ingredients!$D$5:$D$304,MATCH(B493,Ingredients!$A$5:$A$304,0)),""))</f>
        <v>0</v>
      </c>
      <c r="H493" s="8">
        <f>IF(OR(B493="",C493=""),"",IFERROR(C493*G493,""))</f>
        <v>0</v>
      </c>
      <c r="I493" s="8">
        <f>IF(A493="","",IFERROR(INDEX(Recipes!$D$5:$D$204,MATCH(A493,Recipes!$A$5:$A$204,0)),""))</f>
        <v>0</v>
      </c>
      <c r="J493" s="8">
        <f>IF(OR(H493="",I493="",I493=0),"",IFERROR(H493/I493,""))</f>
        <v>0</v>
      </c>
      <c r="K493" s="8">
        <f>IF(OR(B493="",C493=""),"",IFERROR(C493*IFERROR(INDEX(Ingredients!$H$5:$H$304,MATCH(B493,Ingredients!$A$5:$A$304,0)),""),""))</f>
        <v>0</v>
      </c>
      <c r="L493" s="8">
        <f>IF(OR(B493="",C493=""),"",IFERROR(C493*IFERROR(INDEX(Ingredients!$I$5:$I$304,MATCH(B493,Ingredients!$A$5:$A$304,0)),""),""))</f>
        <v>0</v>
      </c>
      <c r="M493" s="8">
        <f>IF(OR(B493="",C493=""),"",IFERROR(C493*IFERROR(INDEX(Ingredients!$J$5:$J$304,MATCH(B493,Ingredients!$A$5:$A$304,0)),""),""))</f>
        <v>0</v>
      </c>
      <c r="N493" s="8">
        <f>IF(OR(B493="",C493=""),"",IFERROR(C493*IFERROR(INDEX(Ingredients!$K$5:$K$304,MATCH(B493,Ingredients!$A$5:$A$304,0)),""),""))</f>
        <v>0</v>
      </c>
      <c r="O493" s="8">
        <f>IF(OR(B493="",C493=""),"",IFERROR(C493*IFERROR(INDEX(Ingredients!$L$5:$L$304,MATCH(B493,Ingredients!$A$5:$A$304,0)),""),""))</f>
        <v>0</v>
      </c>
      <c r="P493" s="8">
        <f>IF(OR(H493="",A493=""),"",IFERROR(H493/SUMIFS('Recipe Ingredients'!$H$5:$H$1204,'Recipe Ingredients'!$A$5:$A$1204,A493),""))</f>
        <v>0</v>
      </c>
      <c r="Q493" s="8">
        <f>IF(H493="","",COUNTIFS($H$5:$H$1204,"&gt;"&amp;H493)+1)</f>
        <v>0</v>
      </c>
      <c r="R493" s="8">
        <f>IF(B493="","",SUMIFS(Pantry!$C$5:$C$304,Pantry!$A$5:$A$304,B493))</f>
        <v>0</v>
      </c>
      <c r="S493" s="8">
        <f>IF(OR(B493="",C493=""),"",MAX(0,C493-R493))</f>
        <v>0</v>
      </c>
      <c r="T493" s="26"/>
      <c r="U493" s="8">
        <f>IF(OR(T493="",T493=0,G493=""),"",T493*G493)</f>
        <v>0</v>
      </c>
      <c r="V493" s="8">
        <f>IF(OR(S493="",T493="",T493=0),"",CEILING(S493/T493,1))</f>
        <v>0</v>
      </c>
      <c r="W493" s="27"/>
      <c r="X493" s="29"/>
      <c r="Y493" s="8">
        <f>IF(OR(C493="",X493=""),"",C493*(1+X493))</f>
        <v>0</v>
      </c>
      <c r="Z493" s="8">
        <f>IF(B493="","",IFERROR(INDEX(Ingredients!$O$5:$O$304,MATCH(B493,Ingredients!$A$5:$A$304,0)),""))</f>
        <v>0</v>
      </c>
      <c r="AA493" s="8">
        <f>IF(B493="","",IF(R493&gt;=C493,"In pantry","To buy"))</f>
        <v>0</v>
      </c>
      <c r="AB493" s="8">
        <f>IF(A493="","",COUNTIFS($A$5:A493,A493))</f>
        <v>0</v>
      </c>
      <c r="AC493" s="8">
        <f>IF(B493="","",IF(COUNTIFS('Dietary Filters'!$C$5:$C$104,B493)&gt;0,"Check","OK"))</f>
        <v>0</v>
      </c>
      <c r="AD493" s="25"/>
    </row>
    <row r="494" spans="1:30">
      <c r="A494" s="7"/>
      <c r="B494" s="7"/>
      <c r="C494" s="26"/>
      <c r="D494" s="27"/>
      <c r="E494" s="8">
        <f>IF(B494="","",IFERROR(INDEX(Ingredients!$B$5:$B$304,MATCH(B494,Ingredients!$A$5:$A$304,0)),""))</f>
        <v>0</v>
      </c>
      <c r="F494" s="8">
        <f>IF(B494="","",IFERROR(INDEX(Ingredients!$E$5:$E$304,MATCH(B494,Ingredients!$A$5:$A$304,0)),""))</f>
        <v>0</v>
      </c>
      <c r="G494" s="8">
        <f>IF(B494="","",IFERROR(INDEX(Ingredients!$D$5:$D$304,MATCH(B494,Ingredients!$A$5:$A$304,0)),""))</f>
        <v>0</v>
      </c>
      <c r="H494" s="8">
        <f>IF(OR(B494="",C494=""),"",IFERROR(C494*G494,""))</f>
        <v>0</v>
      </c>
      <c r="I494" s="8">
        <f>IF(A494="","",IFERROR(INDEX(Recipes!$D$5:$D$204,MATCH(A494,Recipes!$A$5:$A$204,0)),""))</f>
        <v>0</v>
      </c>
      <c r="J494" s="8">
        <f>IF(OR(H494="",I494="",I494=0),"",IFERROR(H494/I494,""))</f>
        <v>0</v>
      </c>
      <c r="K494" s="8">
        <f>IF(OR(B494="",C494=""),"",IFERROR(C494*IFERROR(INDEX(Ingredients!$H$5:$H$304,MATCH(B494,Ingredients!$A$5:$A$304,0)),""),""))</f>
        <v>0</v>
      </c>
      <c r="L494" s="8">
        <f>IF(OR(B494="",C494=""),"",IFERROR(C494*IFERROR(INDEX(Ingredients!$I$5:$I$304,MATCH(B494,Ingredients!$A$5:$A$304,0)),""),""))</f>
        <v>0</v>
      </c>
      <c r="M494" s="8">
        <f>IF(OR(B494="",C494=""),"",IFERROR(C494*IFERROR(INDEX(Ingredients!$J$5:$J$304,MATCH(B494,Ingredients!$A$5:$A$304,0)),""),""))</f>
        <v>0</v>
      </c>
      <c r="N494" s="8">
        <f>IF(OR(B494="",C494=""),"",IFERROR(C494*IFERROR(INDEX(Ingredients!$K$5:$K$304,MATCH(B494,Ingredients!$A$5:$A$304,0)),""),""))</f>
        <v>0</v>
      </c>
      <c r="O494" s="8">
        <f>IF(OR(B494="",C494=""),"",IFERROR(C494*IFERROR(INDEX(Ingredients!$L$5:$L$304,MATCH(B494,Ingredients!$A$5:$A$304,0)),""),""))</f>
        <v>0</v>
      </c>
      <c r="P494" s="8">
        <f>IF(OR(H494="",A494=""),"",IFERROR(H494/SUMIFS('Recipe Ingredients'!$H$5:$H$1204,'Recipe Ingredients'!$A$5:$A$1204,A494),""))</f>
        <v>0</v>
      </c>
      <c r="Q494" s="8">
        <f>IF(H494="","",COUNTIFS($H$5:$H$1204,"&gt;"&amp;H494)+1)</f>
        <v>0</v>
      </c>
      <c r="R494" s="8">
        <f>IF(B494="","",SUMIFS(Pantry!$C$5:$C$304,Pantry!$A$5:$A$304,B494))</f>
        <v>0</v>
      </c>
      <c r="S494" s="8">
        <f>IF(OR(B494="",C494=""),"",MAX(0,C494-R494))</f>
        <v>0</v>
      </c>
      <c r="T494" s="26"/>
      <c r="U494" s="8">
        <f>IF(OR(T494="",T494=0,G494=""),"",T494*G494)</f>
        <v>0</v>
      </c>
      <c r="V494" s="8">
        <f>IF(OR(S494="",T494="",T494=0),"",CEILING(S494/T494,1))</f>
        <v>0</v>
      </c>
      <c r="W494" s="27"/>
      <c r="X494" s="29"/>
      <c r="Y494" s="8">
        <f>IF(OR(C494="",X494=""),"",C494*(1+X494))</f>
        <v>0</v>
      </c>
      <c r="Z494" s="8">
        <f>IF(B494="","",IFERROR(INDEX(Ingredients!$O$5:$O$304,MATCH(B494,Ingredients!$A$5:$A$304,0)),""))</f>
        <v>0</v>
      </c>
      <c r="AA494" s="8">
        <f>IF(B494="","",IF(R494&gt;=C494,"In pantry","To buy"))</f>
        <v>0</v>
      </c>
      <c r="AB494" s="8">
        <f>IF(A494="","",COUNTIFS($A$5:A494,A494))</f>
        <v>0</v>
      </c>
      <c r="AC494" s="8">
        <f>IF(B494="","",IF(COUNTIFS('Dietary Filters'!$C$5:$C$104,B494)&gt;0,"Check","OK"))</f>
        <v>0</v>
      </c>
      <c r="AD494" s="25"/>
    </row>
    <row r="495" spans="1:30">
      <c r="A495" s="7"/>
      <c r="B495" s="7"/>
      <c r="C495" s="26"/>
      <c r="D495" s="27"/>
      <c r="E495" s="8">
        <f>IF(B495="","",IFERROR(INDEX(Ingredients!$B$5:$B$304,MATCH(B495,Ingredients!$A$5:$A$304,0)),""))</f>
        <v>0</v>
      </c>
      <c r="F495" s="8">
        <f>IF(B495="","",IFERROR(INDEX(Ingredients!$E$5:$E$304,MATCH(B495,Ingredients!$A$5:$A$304,0)),""))</f>
        <v>0</v>
      </c>
      <c r="G495" s="8">
        <f>IF(B495="","",IFERROR(INDEX(Ingredients!$D$5:$D$304,MATCH(B495,Ingredients!$A$5:$A$304,0)),""))</f>
        <v>0</v>
      </c>
      <c r="H495" s="8">
        <f>IF(OR(B495="",C495=""),"",IFERROR(C495*G495,""))</f>
        <v>0</v>
      </c>
      <c r="I495" s="8">
        <f>IF(A495="","",IFERROR(INDEX(Recipes!$D$5:$D$204,MATCH(A495,Recipes!$A$5:$A$204,0)),""))</f>
        <v>0</v>
      </c>
      <c r="J495" s="8">
        <f>IF(OR(H495="",I495="",I495=0),"",IFERROR(H495/I495,""))</f>
        <v>0</v>
      </c>
      <c r="K495" s="8">
        <f>IF(OR(B495="",C495=""),"",IFERROR(C495*IFERROR(INDEX(Ingredients!$H$5:$H$304,MATCH(B495,Ingredients!$A$5:$A$304,0)),""),""))</f>
        <v>0</v>
      </c>
      <c r="L495" s="8">
        <f>IF(OR(B495="",C495=""),"",IFERROR(C495*IFERROR(INDEX(Ingredients!$I$5:$I$304,MATCH(B495,Ingredients!$A$5:$A$304,0)),""),""))</f>
        <v>0</v>
      </c>
      <c r="M495" s="8">
        <f>IF(OR(B495="",C495=""),"",IFERROR(C495*IFERROR(INDEX(Ingredients!$J$5:$J$304,MATCH(B495,Ingredients!$A$5:$A$304,0)),""),""))</f>
        <v>0</v>
      </c>
      <c r="N495" s="8">
        <f>IF(OR(B495="",C495=""),"",IFERROR(C495*IFERROR(INDEX(Ingredients!$K$5:$K$304,MATCH(B495,Ingredients!$A$5:$A$304,0)),""),""))</f>
        <v>0</v>
      </c>
      <c r="O495" s="8">
        <f>IF(OR(B495="",C495=""),"",IFERROR(C495*IFERROR(INDEX(Ingredients!$L$5:$L$304,MATCH(B495,Ingredients!$A$5:$A$304,0)),""),""))</f>
        <v>0</v>
      </c>
      <c r="P495" s="8">
        <f>IF(OR(H495="",A495=""),"",IFERROR(H495/SUMIFS('Recipe Ingredients'!$H$5:$H$1204,'Recipe Ingredients'!$A$5:$A$1204,A495),""))</f>
        <v>0</v>
      </c>
      <c r="Q495" s="8">
        <f>IF(H495="","",COUNTIFS($H$5:$H$1204,"&gt;"&amp;H495)+1)</f>
        <v>0</v>
      </c>
      <c r="R495" s="8">
        <f>IF(B495="","",SUMIFS(Pantry!$C$5:$C$304,Pantry!$A$5:$A$304,B495))</f>
        <v>0</v>
      </c>
      <c r="S495" s="8">
        <f>IF(OR(B495="",C495=""),"",MAX(0,C495-R495))</f>
        <v>0</v>
      </c>
      <c r="T495" s="26"/>
      <c r="U495" s="8">
        <f>IF(OR(T495="",T495=0,G495=""),"",T495*G495)</f>
        <v>0</v>
      </c>
      <c r="V495" s="8">
        <f>IF(OR(S495="",T495="",T495=0),"",CEILING(S495/T495,1))</f>
        <v>0</v>
      </c>
      <c r="W495" s="27"/>
      <c r="X495" s="29"/>
      <c r="Y495" s="8">
        <f>IF(OR(C495="",X495=""),"",C495*(1+X495))</f>
        <v>0</v>
      </c>
      <c r="Z495" s="8">
        <f>IF(B495="","",IFERROR(INDEX(Ingredients!$O$5:$O$304,MATCH(B495,Ingredients!$A$5:$A$304,0)),""))</f>
        <v>0</v>
      </c>
      <c r="AA495" s="8">
        <f>IF(B495="","",IF(R495&gt;=C495,"In pantry","To buy"))</f>
        <v>0</v>
      </c>
      <c r="AB495" s="8">
        <f>IF(A495="","",COUNTIFS($A$5:A495,A495))</f>
        <v>0</v>
      </c>
      <c r="AC495" s="8">
        <f>IF(B495="","",IF(COUNTIFS('Dietary Filters'!$C$5:$C$104,B495)&gt;0,"Check","OK"))</f>
        <v>0</v>
      </c>
      <c r="AD495" s="25"/>
    </row>
    <row r="496" spans="1:30">
      <c r="A496" s="7"/>
      <c r="B496" s="7"/>
      <c r="C496" s="26"/>
      <c r="D496" s="27"/>
      <c r="E496" s="8">
        <f>IF(B496="","",IFERROR(INDEX(Ingredients!$B$5:$B$304,MATCH(B496,Ingredients!$A$5:$A$304,0)),""))</f>
        <v>0</v>
      </c>
      <c r="F496" s="8">
        <f>IF(B496="","",IFERROR(INDEX(Ingredients!$E$5:$E$304,MATCH(B496,Ingredients!$A$5:$A$304,0)),""))</f>
        <v>0</v>
      </c>
      <c r="G496" s="8">
        <f>IF(B496="","",IFERROR(INDEX(Ingredients!$D$5:$D$304,MATCH(B496,Ingredients!$A$5:$A$304,0)),""))</f>
        <v>0</v>
      </c>
      <c r="H496" s="8">
        <f>IF(OR(B496="",C496=""),"",IFERROR(C496*G496,""))</f>
        <v>0</v>
      </c>
      <c r="I496" s="8">
        <f>IF(A496="","",IFERROR(INDEX(Recipes!$D$5:$D$204,MATCH(A496,Recipes!$A$5:$A$204,0)),""))</f>
        <v>0</v>
      </c>
      <c r="J496" s="8">
        <f>IF(OR(H496="",I496="",I496=0),"",IFERROR(H496/I496,""))</f>
        <v>0</v>
      </c>
      <c r="K496" s="8">
        <f>IF(OR(B496="",C496=""),"",IFERROR(C496*IFERROR(INDEX(Ingredients!$H$5:$H$304,MATCH(B496,Ingredients!$A$5:$A$304,0)),""),""))</f>
        <v>0</v>
      </c>
      <c r="L496" s="8">
        <f>IF(OR(B496="",C496=""),"",IFERROR(C496*IFERROR(INDEX(Ingredients!$I$5:$I$304,MATCH(B496,Ingredients!$A$5:$A$304,0)),""),""))</f>
        <v>0</v>
      </c>
      <c r="M496" s="8">
        <f>IF(OR(B496="",C496=""),"",IFERROR(C496*IFERROR(INDEX(Ingredients!$J$5:$J$304,MATCH(B496,Ingredients!$A$5:$A$304,0)),""),""))</f>
        <v>0</v>
      </c>
      <c r="N496" s="8">
        <f>IF(OR(B496="",C496=""),"",IFERROR(C496*IFERROR(INDEX(Ingredients!$K$5:$K$304,MATCH(B496,Ingredients!$A$5:$A$304,0)),""),""))</f>
        <v>0</v>
      </c>
      <c r="O496" s="8">
        <f>IF(OR(B496="",C496=""),"",IFERROR(C496*IFERROR(INDEX(Ingredients!$L$5:$L$304,MATCH(B496,Ingredients!$A$5:$A$304,0)),""),""))</f>
        <v>0</v>
      </c>
      <c r="P496" s="8">
        <f>IF(OR(H496="",A496=""),"",IFERROR(H496/SUMIFS('Recipe Ingredients'!$H$5:$H$1204,'Recipe Ingredients'!$A$5:$A$1204,A496),""))</f>
        <v>0</v>
      </c>
      <c r="Q496" s="8">
        <f>IF(H496="","",COUNTIFS($H$5:$H$1204,"&gt;"&amp;H496)+1)</f>
        <v>0</v>
      </c>
      <c r="R496" s="8">
        <f>IF(B496="","",SUMIFS(Pantry!$C$5:$C$304,Pantry!$A$5:$A$304,B496))</f>
        <v>0</v>
      </c>
      <c r="S496" s="8">
        <f>IF(OR(B496="",C496=""),"",MAX(0,C496-R496))</f>
        <v>0</v>
      </c>
      <c r="T496" s="26"/>
      <c r="U496" s="8">
        <f>IF(OR(T496="",T496=0,G496=""),"",T496*G496)</f>
        <v>0</v>
      </c>
      <c r="V496" s="8">
        <f>IF(OR(S496="",T496="",T496=0),"",CEILING(S496/T496,1))</f>
        <v>0</v>
      </c>
      <c r="W496" s="27"/>
      <c r="X496" s="29"/>
      <c r="Y496" s="8">
        <f>IF(OR(C496="",X496=""),"",C496*(1+X496))</f>
        <v>0</v>
      </c>
      <c r="Z496" s="8">
        <f>IF(B496="","",IFERROR(INDEX(Ingredients!$O$5:$O$304,MATCH(B496,Ingredients!$A$5:$A$304,0)),""))</f>
        <v>0</v>
      </c>
      <c r="AA496" s="8">
        <f>IF(B496="","",IF(R496&gt;=C496,"In pantry","To buy"))</f>
        <v>0</v>
      </c>
      <c r="AB496" s="8">
        <f>IF(A496="","",COUNTIFS($A$5:A496,A496))</f>
        <v>0</v>
      </c>
      <c r="AC496" s="8">
        <f>IF(B496="","",IF(COUNTIFS('Dietary Filters'!$C$5:$C$104,B496)&gt;0,"Check","OK"))</f>
        <v>0</v>
      </c>
      <c r="AD496" s="25"/>
    </row>
    <row r="497" spans="1:30">
      <c r="A497" s="7"/>
      <c r="B497" s="7"/>
      <c r="C497" s="26"/>
      <c r="D497" s="27"/>
      <c r="E497" s="8">
        <f>IF(B497="","",IFERROR(INDEX(Ingredients!$B$5:$B$304,MATCH(B497,Ingredients!$A$5:$A$304,0)),""))</f>
        <v>0</v>
      </c>
      <c r="F497" s="8">
        <f>IF(B497="","",IFERROR(INDEX(Ingredients!$E$5:$E$304,MATCH(B497,Ingredients!$A$5:$A$304,0)),""))</f>
        <v>0</v>
      </c>
      <c r="G497" s="8">
        <f>IF(B497="","",IFERROR(INDEX(Ingredients!$D$5:$D$304,MATCH(B497,Ingredients!$A$5:$A$304,0)),""))</f>
        <v>0</v>
      </c>
      <c r="H497" s="8">
        <f>IF(OR(B497="",C497=""),"",IFERROR(C497*G497,""))</f>
        <v>0</v>
      </c>
      <c r="I497" s="8">
        <f>IF(A497="","",IFERROR(INDEX(Recipes!$D$5:$D$204,MATCH(A497,Recipes!$A$5:$A$204,0)),""))</f>
        <v>0</v>
      </c>
      <c r="J497" s="8">
        <f>IF(OR(H497="",I497="",I497=0),"",IFERROR(H497/I497,""))</f>
        <v>0</v>
      </c>
      <c r="K497" s="8">
        <f>IF(OR(B497="",C497=""),"",IFERROR(C497*IFERROR(INDEX(Ingredients!$H$5:$H$304,MATCH(B497,Ingredients!$A$5:$A$304,0)),""),""))</f>
        <v>0</v>
      </c>
      <c r="L497" s="8">
        <f>IF(OR(B497="",C497=""),"",IFERROR(C497*IFERROR(INDEX(Ingredients!$I$5:$I$304,MATCH(B497,Ingredients!$A$5:$A$304,0)),""),""))</f>
        <v>0</v>
      </c>
      <c r="M497" s="8">
        <f>IF(OR(B497="",C497=""),"",IFERROR(C497*IFERROR(INDEX(Ingredients!$J$5:$J$304,MATCH(B497,Ingredients!$A$5:$A$304,0)),""),""))</f>
        <v>0</v>
      </c>
      <c r="N497" s="8">
        <f>IF(OR(B497="",C497=""),"",IFERROR(C497*IFERROR(INDEX(Ingredients!$K$5:$K$304,MATCH(B497,Ingredients!$A$5:$A$304,0)),""),""))</f>
        <v>0</v>
      </c>
      <c r="O497" s="8">
        <f>IF(OR(B497="",C497=""),"",IFERROR(C497*IFERROR(INDEX(Ingredients!$L$5:$L$304,MATCH(B497,Ingredients!$A$5:$A$304,0)),""),""))</f>
        <v>0</v>
      </c>
      <c r="P497" s="8">
        <f>IF(OR(H497="",A497=""),"",IFERROR(H497/SUMIFS('Recipe Ingredients'!$H$5:$H$1204,'Recipe Ingredients'!$A$5:$A$1204,A497),""))</f>
        <v>0</v>
      </c>
      <c r="Q497" s="8">
        <f>IF(H497="","",COUNTIFS($H$5:$H$1204,"&gt;"&amp;H497)+1)</f>
        <v>0</v>
      </c>
      <c r="R497" s="8">
        <f>IF(B497="","",SUMIFS(Pantry!$C$5:$C$304,Pantry!$A$5:$A$304,B497))</f>
        <v>0</v>
      </c>
      <c r="S497" s="8">
        <f>IF(OR(B497="",C497=""),"",MAX(0,C497-R497))</f>
        <v>0</v>
      </c>
      <c r="T497" s="26"/>
      <c r="U497" s="8">
        <f>IF(OR(T497="",T497=0,G497=""),"",T497*G497)</f>
        <v>0</v>
      </c>
      <c r="V497" s="8">
        <f>IF(OR(S497="",T497="",T497=0),"",CEILING(S497/T497,1))</f>
        <v>0</v>
      </c>
      <c r="W497" s="27"/>
      <c r="X497" s="29"/>
      <c r="Y497" s="8">
        <f>IF(OR(C497="",X497=""),"",C497*(1+X497))</f>
        <v>0</v>
      </c>
      <c r="Z497" s="8">
        <f>IF(B497="","",IFERROR(INDEX(Ingredients!$O$5:$O$304,MATCH(B497,Ingredients!$A$5:$A$304,0)),""))</f>
        <v>0</v>
      </c>
      <c r="AA497" s="8">
        <f>IF(B497="","",IF(R497&gt;=C497,"In pantry","To buy"))</f>
        <v>0</v>
      </c>
      <c r="AB497" s="8">
        <f>IF(A497="","",COUNTIFS($A$5:A497,A497))</f>
        <v>0</v>
      </c>
      <c r="AC497" s="8">
        <f>IF(B497="","",IF(COUNTIFS('Dietary Filters'!$C$5:$C$104,B497)&gt;0,"Check","OK"))</f>
        <v>0</v>
      </c>
      <c r="AD497" s="25"/>
    </row>
    <row r="498" spans="1:30">
      <c r="A498" s="7"/>
      <c r="B498" s="7"/>
      <c r="C498" s="26"/>
      <c r="D498" s="27"/>
      <c r="E498" s="8">
        <f>IF(B498="","",IFERROR(INDEX(Ingredients!$B$5:$B$304,MATCH(B498,Ingredients!$A$5:$A$304,0)),""))</f>
        <v>0</v>
      </c>
      <c r="F498" s="8">
        <f>IF(B498="","",IFERROR(INDEX(Ingredients!$E$5:$E$304,MATCH(B498,Ingredients!$A$5:$A$304,0)),""))</f>
        <v>0</v>
      </c>
      <c r="G498" s="8">
        <f>IF(B498="","",IFERROR(INDEX(Ingredients!$D$5:$D$304,MATCH(B498,Ingredients!$A$5:$A$304,0)),""))</f>
        <v>0</v>
      </c>
      <c r="H498" s="8">
        <f>IF(OR(B498="",C498=""),"",IFERROR(C498*G498,""))</f>
        <v>0</v>
      </c>
      <c r="I498" s="8">
        <f>IF(A498="","",IFERROR(INDEX(Recipes!$D$5:$D$204,MATCH(A498,Recipes!$A$5:$A$204,0)),""))</f>
        <v>0</v>
      </c>
      <c r="J498" s="8">
        <f>IF(OR(H498="",I498="",I498=0),"",IFERROR(H498/I498,""))</f>
        <v>0</v>
      </c>
      <c r="K498" s="8">
        <f>IF(OR(B498="",C498=""),"",IFERROR(C498*IFERROR(INDEX(Ingredients!$H$5:$H$304,MATCH(B498,Ingredients!$A$5:$A$304,0)),""),""))</f>
        <v>0</v>
      </c>
      <c r="L498" s="8">
        <f>IF(OR(B498="",C498=""),"",IFERROR(C498*IFERROR(INDEX(Ingredients!$I$5:$I$304,MATCH(B498,Ingredients!$A$5:$A$304,0)),""),""))</f>
        <v>0</v>
      </c>
      <c r="M498" s="8">
        <f>IF(OR(B498="",C498=""),"",IFERROR(C498*IFERROR(INDEX(Ingredients!$J$5:$J$304,MATCH(B498,Ingredients!$A$5:$A$304,0)),""),""))</f>
        <v>0</v>
      </c>
      <c r="N498" s="8">
        <f>IF(OR(B498="",C498=""),"",IFERROR(C498*IFERROR(INDEX(Ingredients!$K$5:$K$304,MATCH(B498,Ingredients!$A$5:$A$304,0)),""),""))</f>
        <v>0</v>
      </c>
      <c r="O498" s="8">
        <f>IF(OR(B498="",C498=""),"",IFERROR(C498*IFERROR(INDEX(Ingredients!$L$5:$L$304,MATCH(B498,Ingredients!$A$5:$A$304,0)),""),""))</f>
        <v>0</v>
      </c>
      <c r="P498" s="8">
        <f>IF(OR(H498="",A498=""),"",IFERROR(H498/SUMIFS('Recipe Ingredients'!$H$5:$H$1204,'Recipe Ingredients'!$A$5:$A$1204,A498),""))</f>
        <v>0</v>
      </c>
      <c r="Q498" s="8">
        <f>IF(H498="","",COUNTIFS($H$5:$H$1204,"&gt;"&amp;H498)+1)</f>
        <v>0</v>
      </c>
      <c r="R498" s="8">
        <f>IF(B498="","",SUMIFS(Pantry!$C$5:$C$304,Pantry!$A$5:$A$304,B498))</f>
        <v>0</v>
      </c>
      <c r="S498" s="8">
        <f>IF(OR(B498="",C498=""),"",MAX(0,C498-R498))</f>
        <v>0</v>
      </c>
      <c r="T498" s="26"/>
      <c r="U498" s="8">
        <f>IF(OR(T498="",T498=0,G498=""),"",T498*G498)</f>
        <v>0</v>
      </c>
      <c r="V498" s="8">
        <f>IF(OR(S498="",T498="",T498=0),"",CEILING(S498/T498,1))</f>
        <v>0</v>
      </c>
      <c r="W498" s="27"/>
      <c r="X498" s="29"/>
      <c r="Y498" s="8">
        <f>IF(OR(C498="",X498=""),"",C498*(1+X498))</f>
        <v>0</v>
      </c>
      <c r="Z498" s="8">
        <f>IF(B498="","",IFERROR(INDEX(Ingredients!$O$5:$O$304,MATCH(B498,Ingredients!$A$5:$A$304,0)),""))</f>
        <v>0</v>
      </c>
      <c r="AA498" s="8">
        <f>IF(B498="","",IF(R498&gt;=C498,"In pantry","To buy"))</f>
        <v>0</v>
      </c>
      <c r="AB498" s="8">
        <f>IF(A498="","",COUNTIFS($A$5:A498,A498))</f>
        <v>0</v>
      </c>
      <c r="AC498" s="8">
        <f>IF(B498="","",IF(COUNTIFS('Dietary Filters'!$C$5:$C$104,B498)&gt;0,"Check","OK"))</f>
        <v>0</v>
      </c>
      <c r="AD498" s="25"/>
    </row>
    <row r="499" spans="1:30">
      <c r="A499" s="7"/>
      <c r="B499" s="7"/>
      <c r="C499" s="26"/>
      <c r="D499" s="27"/>
      <c r="E499" s="8">
        <f>IF(B499="","",IFERROR(INDEX(Ingredients!$B$5:$B$304,MATCH(B499,Ingredients!$A$5:$A$304,0)),""))</f>
        <v>0</v>
      </c>
      <c r="F499" s="8">
        <f>IF(B499="","",IFERROR(INDEX(Ingredients!$E$5:$E$304,MATCH(B499,Ingredients!$A$5:$A$304,0)),""))</f>
        <v>0</v>
      </c>
      <c r="G499" s="8">
        <f>IF(B499="","",IFERROR(INDEX(Ingredients!$D$5:$D$304,MATCH(B499,Ingredients!$A$5:$A$304,0)),""))</f>
        <v>0</v>
      </c>
      <c r="H499" s="8">
        <f>IF(OR(B499="",C499=""),"",IFERROR(C499*G499,""))</f>
        <v>0</v>
      </c>
      <c r="I499" s="8">
        <f>IF(A499="","",IFERROR(INDEX(Recipes!$D$5:$D$204,MATCH(A499,Recipes!$A$5:$A$204,0)),""))</f>
        <v>0</v>
      </c>
      <c r="J499" s="8">
        <f>IF(OR(H499="",I499="",I499=0),"",IFERROR(H499/I499,""))</f>
        <v>0</v>
      </c>
      <c r="K499" s="8">
        <f>IF(OR(B499="",C499=""),"",IFERROR(C499*IFERROR(INDEX(Ingredients!$H$5:$H$304,MATCH(B499,Ingredients!$A$5:$A$304,0)),""),""))</f>
        <v>0</v>
      </c>
      <c r="L499" s="8">
        <f>IF(OR(B499="",C499=""),"",IFERROR(C499*IFERROR(INDEX(Ingredients!$I$5:$I$304,MATCH(B499,Ingredients!$A$5:$A$304,0)),""),""))</f>
        <v>0</v>
      </c>
      <c r="M499" s="8">
        <f>IF(OR(B499="",C499=""),"",IFERROR(C499*IFERROR(INDEX(Ingredients!$J$5:$J$304,MATCH(B499,Ingredients!$A$5:$A$304,0)),""),""))</f>
        <v>0</v>
      </c>
      <c r="N499" s="8">
        <f>IF(OR(B499="",C499=""),"",IFERROR(C499*IFERROR(INDEX(Ingredients!$K$5:$K$304,MATCH(B499,Ingredients!$A$5:$A$304,0)),""),""))</f>
        <v>0</v>
      </c>
      <c r="O499" s="8">
        <f>IF(OR(B499="",C499=""),"",IFERROR(C499*IFERROR(INDEX(Ingredients!$L$5:$L$304,MATCH(B499,Ingredients!$A$5:$A$304,0)),""),""))</f>
        <v>0</v>
      </c>
      <c r="P499" s="8">
        <f>IF(OR(H499="",A499=""),"",IFERROR(H499/SUMIFS('Recipe Ingredients'!$H$5:$H$1204,'Recipe Ingredients'!$A$5:$A$1204,A499),""))</f>
        <v>0</v>
      </c>
      <c r="Q499" s="8">
        <f>IF(H499="","",COUNTIFS($H$5:$H$1204,"&gt;"&amp;H499)+1)</f>
        <v>0</v>
      </c>
      <c r="R499" s="8">
        <f>IF(B499="","",SUMIFS(Pantry!$C$5:$C$304,Pantry!$A$5:$A$304,B499))</f>
        <v>0</v>
      </c>
      <c r="S499" s="8">
        <f>IF(OR(B499="",C499=""),"",MAX(0,C499-R499))</f>
        <v>0</v>
      </c>
      <c r="T499" s="26"/>
      <c r="U499" s="8">
        <f>IF(OR(T499="",T499=0,G499=""),"",T499*G499)</f>
        <v>0</v>
      </c>
      <c r="V499" s="8">
        <f>IF(OR(S499="",T499="",T499=0),"",CEILING(S499/T499,1))</f>
        <v>0</v>
      </c>
      <c r="W499" s="27"/>
      <c r="X499" s="29"/>
      <c r="Y499" s="8">
        <f>IF(OR(C499="",X499=""),"",C499*(1+X499))</f>
        <v>0</v>
      </c>
      <c r="Z499" s="8">
        <f>IF(B499="","",IFERROR(INDEX(Ingredients!$O$5:$O$304,MATCH(B499,Ingredients!$A$5:$A$304,0)),""))</f>
        <v>0</v>
      </c>
      <c r="AA499" s="8">
        <f>IF(B499="","",IF(R499&gt;=C499,"In pantry","To buy"))</f>
        <v>0</v>
      </c>
      <c r="AB499" s="8">
        <f>IF(A499="","",COUNTIFS($A$5:A499,A499))</f>
        <v>0</v>
      </c>
      <c r="AC499" s="8">
        <f>IF(B499="","",IF(COUNTIFS('Dietary Filters'!$C$5:$C$104,B499)&gt;0,"Check","OK"))</f>
        <v>0</v>
      </c>
      <c r="AD499" s="25"/>
    </row>
    <row r="500" spans="1:30">
      <c r="A500" s="7"/>
      <c r="B500" s="7"/>
      <c r="C500" s="26"/>
      <c r="D500" s="27"/>
      <c r="E500" s="8">
        <f>IF(B500="","",IFERROR(INDEX(Ingredients!$B$5:$B$304,MATCH(B500,Ingredients!$A$5:$A$304,0)),""))</f>
        <v>0</v>
      </c>
      <c r="F500" s="8">
        <f>IF(B500="","",IFERROR(INDEX(Ingredients!$E$5:$E$304,MATCH(B500,Ingredients!$A$5:$A$304,0)),""))</f>
        <v>0</v>
      </c>
      <c r="G500" s="8">
        <f>IF(B500="","",IFERROR(INDEX(Ingredients!$D$5:$D$304,MATCH(B500,Ingredients!$A$5:$A$304,0)),""))</f>
        <v>0</v>
      </c>
      <c r="H500" s="8">
        <f>IF(OR(B500="",C500=""),"",IFERROR(C500*G500,""))</f>
        <v>0</v>
      </c>
      <c r="I500" s="8">
        <f>IF(A500="","",IFERROR(INDEX(Recipes!$D$5:$D$204,MATCH(A500,Recipes!$A$5:$A$204,0)),""))</f>
        <v>0</v>
      </c>
      <c r="J500" s="8">
        <f>IF(OR(H500="",I500="",I500=0),"",IFERROR(H500/I500,""))</f>
        <v>0</v>
      </c>
      <c r="K500" s="8">
        <f>IF(OR(B500="",C500=""),"",IFERROR(C500*IFERROR(INDEX(Ingredients!$H$5:$H$304,MATCH(B500,Ingredients!$A$5:$A$304,0)),""),""))</f>
        <v>0</v>
      </c>
      <c r="L500" s="8">
        <f>IF(OR(B500="",C500=""),"",IFERROR(C500*IFERROR(INDEX(Ingredients!$I$5:$I$304,MATCH(B500,Ingredients!$A$5:$A$304,0)),""),""))</f>
        <v>0</v>
      </c>
      <c r="M500" s="8">
        <f>IF(OR(B500="",C500=""),"",IFERROR(C500*IFERROR(INDEX(Ingredients!$J$5:$J$304,MATCH(B500,Ingredients!$A$5:$A$304,0)),""),""))</f>
        <v>0</v>
      </c>
      <c r="N500" s="8">
        <f>IF(OR(B500="",C500=""),"",IFERROR(C500*IFERROR(INDEX(Ingredients!$K$5:$K$304,MATCH(B500,Ingredients!$A$5:$A$304,0)),""),""))</f>
        <v>0</v>
      </c>
      <c r="O500" s="8">
        <f>IF(OR(B500="",C500=""),"",IFERROR(C500*IFERROR(INDEX(Ingredients!$L$5:$L$304,MATCH(B500,Ingredients!$A$5:$A$304,0)),""),""))</f>
        <v>0</v>
      </c>
      <c r="P500" s="8">
        <f>IF(OR(H500="",A500=""),"",IFERROR(H500/SUMIFS('Recipe Ingredients'!$H$5:$H$1204,'Recipe Ingredients'!$A$5:$A$1204,A500),""))</f>
        <v>0</v>
      </c>
      <c r="Q500" s="8">
        <f>IF(H500="","",COUNTIFS($H$5:$H$1204,"&gt;"&amp;H500)+1)</f>
        <v>0</v>
      </c>
      <c r="R500" s="8">
        <f>IF(B500="","",SUMIFS(Pantry!$C$5:$C$304,Pantry!$A$5:$A$304,B500))</f>
        <v>0</v>
      </c>
      <c r="S500" s="8">
        <f>IF(OR(B500="",C500=""),"",MAX(0,C500-R500))</f>
        <v>0</v>
      </c>
      <c r="T500" s="26"/>
      <c r="U500" s="8">
        <f>IF(OR(T500="",T500=0,G500=""),"",T500*G500)</f>
        <v>0</v>
      </c>
      <c r="V500" s="8">
        <f>IF(OR(S500="",T500="",T500=0),"",CEILING(S500/T500,1))</f>
        <v>0</v>
      </c>
      <c r="W500" s="27"/>
      <c r="X500" s="29"/>
      <c r="Y500" s="8">
        <f>IF(OR(C500="",X500=""),"",C500*(1+X500))</f>
        <v>0</v>
      </c>
      <c r="Z500" s="8">
        <f>IF(B500="","",IFERROR(INDEX(Ingredients!$O$5:$O$304,MATCH(B500,Ingredients!$A$5:$A$304,0)),""))</f>
        <v>0</v>
      </c>
      <c r="AA500" s="8">
        <f>IF(B500="","",IF(R500&gt;=C500,"In pantry","To buy"))</f>
        <v>0</v>
      </c>
      <c r="AB500" s="8">
        <f>IF(A500="","",COUNTIFS($A$5:A500,A500))</f>
        <v>0</v>
      </c>
      <c r="AC500" s="8">
        <f>IF(B500="","",IF(COUNTIFS('Dietary Filters'!$C$5:$C$104,B500)&gt;0,"Check","OK"))</f>
        <v>0</v>
      </c>
      <c r="AD500" s="25"/>
    </row>
    <row r="501" spans="1:30">
      <c r="A501" s="7"/>
      <c r="B501" s="7"/>
      <c r="C501" s="26"/>
      <c r="D501" s="27"/>
      <c r="E501" s="8">
        <f>IF(B501="","",IFERROR(INDEX(Ingredients!$B$5:$B$304,MATCH(B501,Ingredients!$A$5:$A$304,0)),""))</f>
        <v>0</v>
      </c>
      <c r="F501" s="8">
        <f>IF(B501="","",IFERROR(INDEX(Ingredients!$E$5:$E$304,MATCH(B501,Ingredients!$A$5:$A$304,0)),""))</f>
        <v>0</v>
      </c>
      <c r="G501" s="8">
        <f>IF(B501="","",IFERROR(INDEX(Ingredients!$D$5:$D$304,MATCH(B501,Ingredients!$A$5:$A$304,0)),""))</f>
        <v>0</v>
      </c>
      <c r="H501" s="8">
        <f>IF(OR(B501="",C501=""),"",IFERROR(C501*G501,""))</f>
        <v>0</v>
      </c>
      <c r="I501" s="8">
        <f>IF(A501="","",IFERROR(INDEX(Recipes!$D$5:$D$204,MATCH(A501,Recipes!$A$5:$A$204,0)),""))</f>
        <v>0</v>
      </c>
      <c r="J501" s="8">
        <f>IF(OR(H501="",I501="",I501=0),"",IFERROR(H501/I501,""))</f>
        <v>0</v>
      </c>
      <c r="K501" s="8">
        <f>IF(OR(B501="",C501=""),"",IFERROR(C501*IFERROR(INDEX(Ingredients!$H$5:$H$304,MATCH(B501,Ingredients!$A$5:$A$304,0)),""),""))</f>
        <v>0</v>
      </c>
      <c r="L501" s="8">
        <f>IF(OR(B501="",C501=""),"",IFERROR(C501*IFERROR(INDEX(Ingredients!$I$5:$I$304,MATCH(B501,Ingredients!$A$5:$A$304,0)),""),""))</f>
        <v>0</v>
      </c>
      <c r="M501" s="8">
        <f>IF(OR(B501="",C501=""),"",IFERROR(C501*IFERROR(INDEX(Ingredients!$J$5:$J$304,MATCH(B501,Ingredients!$A$5:$A$304,0)),""),""))</f>
        <v>0</v>
      </c>
      <c r="N501" s="8">
        <f>IF(OR(B501="",C501=""),"",IFERROR(C501*IFERROR(INDEX(Ingredients!$K$5:$K$304,MATCH(B501,Ingredients!$A$5:$A$304,0)),""),""))</f>
        <v>0</v>
      </c>
      <c r="O501" s="8">
        <f>IF(OR(B501="",C501=""),"",IFERROR(C501*IFERROR(INDEX(Ingredients!$L$5:$L$304,MATCH(B501,Ingredients!$A$5:$A$304,0)),""),""))</f>
        <v>0</v>
      </c>
      <c r="P501" s="8">
        <f>IF(OR(H501="",A501=""),"",IFERROR(H501/SUMIFS('Recipe Ingredients'!$H$5:$H$1204,'Recipe Ingredients'!$A$5:$A$1204,A501),""))</f>
        <v>0</v>
      </c>
      <c r="Q501" s="8">
        <f>IF(H501="","",COUNTIFS($H$5:$H$1204,"&gt;"&amp;H501)+1)</f>
        <v>0</v>
      </c>
      <c r="R501" s="8">
        <f>IF(B501="","",SUMIFS(Pantry!$C$5:$C$304,Pantry!$A$5:$A$304,B501))</f>
        <v>0</v>
      </c>
      <c r="S501" s="8">
        <f>IF(OR(B501="",C501=""),"",MAX(0,C501-R501))</f>
        <v>0</v>
      </c>
      <c r="T501" s="26"/>
      <c r="U501" s="8">
        <f>IF(OR(T501="",T501=0,G501=""),"",T501*G501)</f>
        <v>0</v>
      </c>
      <c r="V501" s="8">
        <f>IF(OR(S501="",T501="",T501=0),"",CEILING(S501/T501,1))</f>
        <v>0</v>
      </c>
      <c r="W501" s="27"/>
      <c r="X501" s="29"/>
      <c r="Y501" s="8">
        <f>IF(OR(C501="",X501=""),"",C501*(1+X501))</f>
        <v>0</v>
      </c>
      <c r="Z501" s="8">
        <f>IF(B501="","",IFERROR(INDEX(Ingredients!$O$5:$O$304,MATCH(B501,Ingredients!$A$5:$A$304,0)),""))</f>
        <v>0</v>
      </c>
      <c r="AA501" s="8">
        <f>IF(B501="","",IF(R501&gt;=C501,"In pantry","To buy"))</f>
        <v>0</v>
      </c>
      <c r="AB501" s="8">
        <f>IF(A501="","",COUNTIFS($A$5:A501,A501))</f>
        <v>0</v>
      </c>
      <c r="AC501" s="8">
        <f>IF(B501="","",IF(COUNTIFS('Dietary Filters'!$C$5:$C$104,B501)&gt;0,"Check","OK"))</f>
        <v>0</v>
      </c>
      <c r="AD501" s="25"/>
    </row>
    <row r="502" spans="1:30">
      <c r="A502" s="7"/>
      <c r="B502" s="7"/>
      <c r="C502" s="26"/>
      <c r="D502" s="27"/>
      <c r="E502" s="8">
        <f>IF(B502="","",IFERROR(INDEX(Ingredients!$B$5:$B$304,MATCH(B502,Ingredients!$A$5:$A$304,0)),""))</f>
        <v>0</v>
      </c>
      <c r="F502" s="8">
        <f>IF(B502="","",IFERROR(INDEX(Ingredients!$E$5:$E$304,MATCH(B502,Ingredients!$A$5:$A$304,0)),""))</f>
        <v>0</v>
      </c>
      <c r="G502" s="8">
        <f>IF(B502="","",IFERROR(INDEX(Ingredients!$D$5:$D$304,MATCH(B502,Ingredients!$A$5:$A$304,0)),""))</f>
        <v>0</v>
      </c>
      <c r="H502" s="8">
        <f>IF(OR(B502="",C502=""),"",IFERROR(C502*G502,""))</f>
        <v>0</v>
      </c>
      <c r="I502" s="8">
        <f>IF(A502="","",IFERROR(INDEX(Recipes!$D$5:$D$204,MATCH(A502,Recipes!$A$5:$A$204,0)),""))</f>
        <v>0</v>
      </c>
      <c r="J502" s="8">
        <f>IF(OR(H502="",I502="",I502=0),"",IFERROR(H502/I502,""))</f>
        <v>0</v>
      </c>
      <c r="K502" s="8">
        <f>IF(OR(B502="",C502=""),"",IFERROR(C502*IFERROR(INDEX(Ingredients!$H$5:$H$304,MATCH(B502,Ingredients!$A$5:$A$304,0)),""),""))</f>
        <v>0</v>
      </c>
      <c r="L502" s="8">
        <f>IF(OR(B502="",C502=""),"",IFERROR(C502*IFERROR(INDEX(Ingredients!$I$5:$I$304,MATCH(B502,Ingredients!$A$5:$A$304,0)),""),""))</f>
        <v>0</v>
      </c>
      <c r="M502" s="8">
        <f>IF(OR(B502="",C502=""),"",IFERROR(C502*IFERROR(INDEX(Ingredients!$J$5:$J$304,MATCH(B502,Ingredients!$A$5:$A$304,0)),""),""))</f>
        <v>0</v>
      </c>
      <c r="N502" s="8">
        <f>IF(OR(B502="",C502=""),"",IFERROR(C502*IFERROR(INDEX(Ingredients!$K$5:$K$304,MATCH(B502,Ingredients!$A$5:$A$304,0)),""),""))</f>
        <v>0</v>
      </c>
      <c r="O502" s="8">
        <f>IF(OR(B502="",C502=""),"",IFERROR(C502*IFERROR(INDEX(Ingredients!$L$5:$L$304,MATCH(B502,Ingredients!$A$5:$A$304,0)),""),""))</f>
        <v>0</v>
      </c>
      <c r="P502" s="8">
        <f>IF(OR(H502="",A502=""),"",IFERROR(H502/SUMIFS('Recipe Ingredients'!$H$5:$H$1204,'Recipe Ingredients'!$A$5:$A$1204,A502),""))</f>
        <v>0</v>
      </c>
      <c r="Q502" s="8">
        <f>IF(H502="","",COUNTIFS($H$5:$H$1204,"&gt;"&amp;H502)+1)</f>
        <v>0</v>
      </c>
      <c r="R502" s="8">
        <f>IF(B502="","",SUMIFS(Pantry!$C$5:$C$304,Pantry!$A$5:$A$304,B502))</f>
        <v>0</v>
      </c>
      <c r="S502" s="8">
        <f>IF(OR(B502="",C502=""),"",MAX(0,C502-R502))</f>
        <v>0</v>
      </c>
      <c r="T502" s="26"/>
      <c r="U502" s="8">
        <f>IF(OR(T502="",T502=0,G502=""),"",T502*G502)</f>
        <v>0</v>
      </c>
      <c r="V502" s="8">
        <f>IF(OR(S502="",T502="",T502=0),"",CEILING(S502/T502,1))</f>
        <v>0</v>
      </c>
      <c r="W502" s="27"/>
      <c r="X502" s="29"/>
      <c r="Y502" s="8">
        <f>IF(OR(C502="",X502=""),"",C502*(1+X502))</f>
        <v>0</v>
      </c>
      <c r="Z502" s="8">
        <f>IF(B502="","",IFERROR(INDEX(Ingredients!$O$5:$O$304,MATCH(B502,Ingredients!$A$5:$A$304,0)),""))</f>
        <v>0</v>
      </c>
      <c r="AA502" s="8">
        <f>IF(B502="","",IF(R502&gt;=C502,"In pantry","To buy"))</f>
        <v>0</v>
      </c>
      <c r="AB502" s="8">
        <f>IF(A502="","",COUNTIFS($A$5:A502,A502))</f>
        <v>0</v>
      </c>
      <c r="AC502" s="8">
        <f>IF(B502="","",IF(COUNTIFS('Dietary Filters'!$C$5:$C$104,B502)&gt;0,"Check","OK"))</f>
        <v>0</v>
      </c>
      <c r="AD502" s="25"/>
    </row>
    <row r="503" spans="1:30">
      <c r="A503" s="7"/>
      <c r="B503" s="7"/>
      <c r="C503" s="26"/>
      <c r="D503" s="27"/>
      <c r="E503" s="8">
        <f>IF(B503="","",IFERROR(INDEX(Ingredients!$B$5:$B$304,MATCH(B503,Ingredients!$A$5:$A$304,0)),""))</f>
        <v>0</v>
      </c>
      <c r="F503" s="8">
        <f>IF(B503="","",IFERROR(INDEX(Ingredients!$E$5:$E$304,MATCH(B503,Ingredients!$A$5:$A$304,0)),""))</f>
        <v>0</v>
      </c>
      <c r="G503" s="8">
        <f>IF(B503="","",IFERROR(INDEX(Ingredients!$D$5:$D$304,MATCH(B503,Ingredients!$A$5:$A$304,0)),""))</f>
        <v>0</v>
      </c>
      <c r="H503" s="8">
        <f>IF(OR(B503="",C503=""),"",IFERROR(C503*G503,""))</f>
        <v>0</v>
      </c>
      <c r="I503" s="8">
        <f>IF(A503="","",IFERROR(INDEX(Recipes!$D$5:$D$204,MATCH(A503,Recipes!$A$5:$A$204,0)),""))</f>
        <v>0</v>
      </c>
      <c r="J503" s="8">
        <f>IF(OR(H503="",I503="",I503=0),"",IFERROR(H503/I503,""))</f>
        <v>0</v>
      </c>
      <c r="K503" s="8">
        <f>IF(OR(B503="",C503=""),"",IFERROR(C503*IFERROR(INDEX(Ingredients!$H$5:$H$304,MATCH(B503,Ingredients!$A$5:$A$304,0)),""),""))</f>
        <v>0</v>
      </c>
      <c r="L503" s="8">
        <f>IF(OR(B503="",C503=""),"",IFERROR(C503*IFERROR(INDEX(Ingredients!$I$5:$I$304,MATCH(B503,Ingredients!$A$5:$A$304,0)),""),""))</f>
        <v>0</v>
      </c>
      <c r="M503" s="8">
        <f>IF(OR(B503="",C503=""),"",IFERROR(C503*IFERROR(INDEX(Ingredients!$J$5:$J$304,MATCH(B503,Ingredients!$A$5:$A$304,0)),""),""))</f>
        <v>0</v>
      </c>
      <c r="N503" s="8">
        <f>IF(OR(B503="",C503=""),"",IFERROR(C503*IFERROR(INDEX(Ingredients!$K$5:$K$304,MATCH(B503,Ingredients!$A$5:$A$304,0)),""),""))</f>
        <v>0</v>
      </c>
      <c r="O503" s="8">
        <f>IF(OR(B503="",C503=""),"",IFERROR(C503*IFERROR(INDEX(Ingredients!$L$5:$L$304,MATCH(B503,Ingredients!$A$5:$A$304,0)),""),""))</f>
        <v>0</v>
      </c>
      <c r="P503" s="8">
        <f>IF(OR(H503="",A503=""),"",IFERROR(H503/SUMIFS('Recipe Ingredients'!$H$5:$H$1204,'Recipe Ingredients'!$A$5:$A$1204,A503),""))</f>
        <v>0</v>
      </c>
      <c r="Q503" s="8">
        <f>IF(H503="","",COUNTIFS($H$5:$H$1204,"&gt;"&amp;H503)+1)</f>
        <v>0</v>
      </c>
      <c r="R503" s="8">
        <f>IF(B503="","",SUMIFS(Pantry!$C$5:$C$304,Pantry!$A$5:$A$304,B503))</f>
        <v>0</v>
      </c>
      <c r="S503" s="8">
        <f>IF(OR(B503="",C503=""),"",MAX(0,C503-R503))</f>
        <v>0</v>
      </c>
      <c r="T503" s="26"/>
      <c r="U503" s="8">
        <f>IF(OR(T503="",T503=0,G503=""),"",T503*G503)</f>
        <v>0</v>
      </c>
      <c r="V503" s="8">
        <f>IF(OR(S503="",T503="",T503=0),"",CEILING(S503/T503,1))</f>
        <v>0</v>
      </c>
      <c r="W503" s="27"/>
      <c r="X503" s="29"/>
      <c r="Y503" s="8">
        <f>IF(OR(C503="",X503=""),"",C503*(1+X503))</f>
        <v>0</v>
      </c>
      <c r="Z503" s="8">
        <f>IF(B503="","",IFERROR(INDEX(Ingredients!$O$5:$O$304,MATCH(B503,Ingredients!$A$5:$A$304,0)),""))</f>
        <v>0</v>
      </c>
      <c r="AA503" s="8">
        <f>IF(B503="","",IF(R503&gt;=C503,"In pantry","To buy"))</f>
        <v>0</v>
      </c>
      <c r="AB503" s="8">
        <f>IF(A503="","",COUNTIFS($A$5:A503,A503))</f>
        <v>0</v>
      </c>
      <c r="AC503" s="8">
        <f>IF(B503="","",IF(COUNTIFS('Dietary Filters'!$C$5:$C$104,B503)&gt;0,"Check","OK"))</f>
        <v>0</v>
      </c>
      <c r="AD503" s="25"/>
    </row>
    <row r="504" spans="1:30">
      <c r="A504" s="7"/>
      <c r="B504" s="7"/>
      <c r="C504" s="26"/>
      <c r="D504" s="27"/>
      <c r="E504" s="8">
        <f>IF(B504="","",IFERROR(INDEX(Ingredients!$B$5:$B$304,MATCH(B504,Ingredients!$A$5:$A$304,0)),""))</f>
        <v>0</v>
      </c>
      <c r="F504" s="8">
        <f>IF(B504="","",IFERROR(INDEX(Ingredients!$E$5:$E$304,MATCH(B504,Ingredients!$A$5:$A$304,0)),""))</f>
        <v>0</v>
      </c>
      <c r="G504" s="8">
        <f>IF(B504="","",IFERROR(INDEX(Ingredients!$D$5:$D$304,MATCH(B504,Ingredients!$A$5:$A$304,0)),""))</f>
        <v>0</v>
      </c>
      <c r="H504" s="8">
        <f>IF(OR(B504="",C504=""),"",IFERROR(C504*G504,""))</f>
        <v>0</v>
      </c>
      <c r="I504" s="8">
        <f>IF(A504="","",IFERROR(INDEX(Recipes!$D$5:$D$204,MATCH(A504,Recipes!$A$5:$A$204,0)),""))</f>
        <v>0</v>
      </c>
      <c r="J504" s="8">
        <f>IF(OR(H504="",I504="",I504=0),"",IFERROR(H504/I504,""))</f>
        <v>0</v>
      </c>
      <c r="K504" s="8">
        <f>IF(OR(B504="",C504=""),"",IFERROR(C504*IFERROR(INDEX(Ingredients!$H$5:$H$304,MATCH(B504,Ingredients!$A$5:$A$304,0)),""),""))</f>
        <v>0</v>
      </c>
      <c r="L504" s="8">
        <f>IF(OR(B504="",C504=""),"",IFERROR(C504*IFERROR(INDEX(Ingredients!$I$5:$I$304,MATCH(B504,Ingredients!$A$5:$A$304,0)),""),""))</f>
        <v>0</v>
      </c>
      <c r="M504" s="8">
        <f>IF(OR(B504="",C504=""),"",IFERROR(C504*IFERROR(INDEX(Ingredients!$J$5:$J$304,MATCH(B504,Ingredients!$A$5:$A$304,0)),""),""))</f>
        <v>0</v>
      </c>
      <c r="N504" s="8">
        <f>IF(OR(B504="",C504=""),"",IFERROR(C504*IFERROR(INDEX(Ingredients!$K$5:$K$304,MATCH(B504,Ingredients!$A$5:$A$304,0)),""),""))</f>
        <v>0</v>
      </c>
      <c r="O504" s="8">
        <f>IF(OR(B504="",C504=""),"",IFERROR(C504*IFERROR(INDEX(Ingredients!$L$5:$L$304,MATCH(B504,Ingredients!$A$5:$A$304,0)),""),""))</f>
        <v>0</v>
      </c>
      <c r="P504" s="8">
        <f>IF(OR(H504="",A504=""),"",IFERROR(H504/SUMIFS('Recipe Ingredients'!$H$5:$H$1204,'Recipe Ingredients'!$A$5:$A$1204,A504),""))</f>
        <v>0</v>
      </c>
      <c r="Q504" s="8">
        <f>IF(H504="","",COUNTIFS($H$5:$H$1204,"&gt;"&amp;H504)+1)</f>
        <v>0</v>
      </c>
      <c r="R504" s="8">
        <f>IF(B504="","",SUMIFS(Pantry!$C$5:$C$304,Pantry!$A$5:$A$304,B504))</f>
        <v>0</v>
      </c>
      <c r="S504" s="8">
        <f>IF(OR(B504="",C504=""),"",MAX(0,C504-R504))</f>
        <v>0</v>
      </c>
      <c r="T504" s="26"/>
      <c r="U504" s="8">
        <f>IF(OR(T504="",T504=0,G504=""),"",T504*G504)</f>
        <v>0</v>
      </c>
      <c r="V504" s="8">
        <f>IF(OR(S504="",T504="",T504=0),"",CEILING(S504/T504,1))</f>
        <v>0</v>
      </c>
      <c r="W504" s="27"/>
      <c r="X504" s="29"/>
      <c r="Y504" s="8">
        <f>IF(OR(C504="",X504=""),"",C504*(1+X504))</f>
        <v>0</v>
      </c>
      <c r="Z504" s="8">
        <f>IF(B504="","",IFERROR(INDEX(Ingredients!$O$5:$O$304,MATCH(B504,Ingredients!$A$5:$A$304,0)),""))</f>
        <v>0</v>
      </c>
      <c r="AA504" s="8">
        <f>IF(B504="","",IF(R504&gt;=C504,"In pantry","To buy"))</f>
        <v>0</v>
      </c>
      <c r="AB504" s="8">
        <f>IF(A504="","",COUNTIFS($A$5:A504,A504))</f>
        <v>0</v>
      </c>
      <c r="AC504" s="8">
        <f>IF(B504="","",IF(COUNTIFS('Dietary Filters'!$C$5:$C$104,B504)&gt;0,"Check","OK"))</f>
        <v>0</v>
      </c>
      <c r="AD504" s="25"/>
    </row>
    <row r="505" spans="1:30">
      <c r="A505" s="7"/>
      <c r="B505" s="7"/>
      <c r="C505" s="26"/>
      <c r="D505" s="27"/>
      <c r="E505" s="8">
        <f>IF(B505="","",IFERROR(INDEX(Ingredients!$B$5:$B$304,MATCH(B505,Ingredients!$A$5:$A$304,0)),""))</f>
        <v>0</v>
      </c>
      <c r="F505" s="8">
        <f>IF(B505="","",IFERROR(INDEX(Ingredients!$E$5:$E$304,MATCH(B505,Ingredients!$A$5:$A$304,0)),""))</f>
        <v>0</v>
      </c>
      <c r="G505" s="8">
        <f>IF(B505="","",IFERROR(INDEX(Ingredients!$D$5:$D$304,MATCH(B505,Ingredients!$A$5:$A$304,0)),""))</f>
        <v>0</v>
      </c>
      <c r="H505" s="8">
        <f>IF(OR(B505="",C505=""),"",IFERROR(C505*G505,""))</f>
        <v>0</v>
      </c>
      <c r="I505" s="8">
        <f>IF(A505="","",IFERROR(INDEX(Recipes!$D$5:$D$204,MATCH(A505,Recipes!$A$5:$A$204,0)),""))</f>
        <v>0</v>
      </c>
      <c r="J505" s="8">
        <f>IF(OR(H505="",I505="",I505=0),"",IFERROR(H505/I505,""))</f>
        <v>0</v>
      </c>
      <c r="K505" s="8">
        <f>IF(OR(B505="",C505=""),"",IFERROR(C505*IFERROR(INDEX(Ingredients!$H$5:$H$304,MATCH(B505,Ingredients!$A$5:$A$304,0)),""),""))</f>
        <v>0</v>
      </c>
      <c r="L505" s="8">
        <f>IF(OR(B505="",C505=""),"",IFERROR(C505*IFERROR(INDEX(Ingredients!$I$5:$I$304,MATCH(B505,Ingredients!$A$5:$A$304,0)),""),""))</f>
        <v>0</v>
      </c>
      <c r="M505" s="8">
        <f>IF(OR(B505="",C505=""),"",IFERROR(C505*IFERROR(INDEX(Ingredients!$J$5:$J$304,MATCH(B505,Ingredients!$A$5:$A$304,0)),""),""))</f>
        <v>0</v>
      </c>
      <c r="N505" s="8">
        <f>IF(OR(B505="",C505=""),"",IFERROR(C505*IFERROR(INDEX(Ingredients!$K$5:$K$304,MATCH(B505,Ingredients!$A$5:$A$304,0)),""),""))</f>
        <v>0</v>
      </c>
      <c r="O505" s="8">
        <f>IF(OR(B505="",C505=""),"",IFERROR(C505*IFERROR(INDEX(Ingredients!$L$5:$L$304,MATCH(B505,Ingredients!$A$5:$A$304,0)),""),""))</f>
        <v>0</v>
      </c>
      <c r="P505" s="8">
        <f>IF(OR(H505="",A505=""),"",IFERROR(H505/SUMIFS('Recipe Ingredients'!$H$5:$H$1204,'Recipe Ingredients'!$A$5:$A$1204,A505),""))</f>
        <v>0</v>
      </c>
      <c r="Q505" s="8">
        <f>IF(H505="","",COUNTIFS($H$5:$H$1204,"&gt;"&amp;H505)+1)</f>
        <v>0</v>
      </c>
      <c r="R505" s="8">
        <f>IF(B505="","",SUMIFS(Pantry!$C$5:$C$304,Pantry!$A$5:$A$304,B505))</f>
        <v>0</v>
      </c>
      <c r="S505" s="8">
        <f>IF(OR(B505="",C505=""),"",MAX(0,C505-R505))</f>
        <v>0</v>
      </c>
      <c r="T505" s="26"/>
      <c r="U505" s="8">
        <f>IF(OR(T505="",T505=0,G505=""),"",T505*G505)</f>
        <v>0</v>
      </c>
      <c r="V505" s="8">
        <f>IF(OR(S505="",T505="",T505=0),"",CEILING(S505/T505,1))</f>
        <v>0</v>
      </c>
      <c r="W505" s="27"/>
      <c r="X505" s="29"/>
      <c r="Y505" s="8">
        <f>IF(OR(C505="",X505=""),"",C505*(1+X505))</f>
        <v>0</v>
      </c>
      <c r="Z505" s="8">
        <f>IF(B505="","",IFERROR(INDEX(Ingredients!$O$5:$O$304,MATCH(B505,Ingredients!$A$5:$A$304,0)),""))</f>
        <v>0</v>
      </c>
      <c r="AA505" s="8">
        <f>IF(B505="","",IF(R505&gt;=C505,"In pantry","To buy"))</f>
        <v>0</v>
      </c>
      <c r="AB505" s="8">
        <f>IF(A505="","",COUNTIFS($A$5:A505,A505))</f>
        <v>0</v>
      </c>
      <c r="AC505" s="8">
        <f>IF(B505="","",IF(COUNTIFS('Dietary Filters'!$C$5:$C$104,B505)&gt;0,"Check","OK"))</f>
        <v>0</v>
      </c>
      <c r="AD505" s="25"/>
    </row>
    <row r="506" spans="1:30">
      <c r="A506" s="7"/>
      <c r="B506" s="7"/>
      <c r="C506" s="26"/>
      <c r="D506" s="27"/>
      <c r="E506" s="8">
        <f>IF(B506="","",IFERROR(INDEX(Ingredients!$B$5:$B$304,MATCH(B506,Ingredients!$A$5:$A$304,0)),""))</f>
        <v>0</v>
      </c>
      <c r="F506" s="8">
        <f>IF(B506="","",IFERROR(INDEX(Ingredients!$E$5:$E$304,MATCH(B506,Ingredients!$A$5:$A$304,0)),""))</f>
        <v>0</v>
      </c>
      <c r="G506" s="8">
        <f>IF(B506="","",IFERROR(INDEX(Ingredients!$D$5:$D$304,MATCH(B506,Ingredients!$A$5:$A$304,0)),""))</f>
        <v>0</v>
      </c>
      <c r="H506" s="8">
        <f>IF(OR(B506="",C506=""),"",IFERROR(C506*G506,""))</f>
        <v>0</v>
      </c>
      <c r="I506" s="8">
        <f>IF(A506="","",IFERROR(INDEX(Recipes!$D$5:$D$204,MATCH(A506,Recipes!$A$5:$A$204,0)),""))</f>
        <v>0</v>
      </c>
      <c r="J506" s="8">
        <f>IF(OR(H506="",I506="",I506=0),"",IFERROR(H506/I506,""))</f>
        <v>0</v>
      </c>
      <c r="K506" s="8">
        <f>IF(OR(B506="",C506=""),"",IFERROR(C506*IFERROR(INDEX(Ingredients!$H$5:$H$304,MATCH(B506,Ingredients!$A$5:$A$304,0)),""),""))</f>
        <v>0</v>
      </c>
      <c r="L506" s="8">
        <f>IF(OR(B506="",C506=""),"",IFERROR(C506*IFERROR(INDEX(Ingredients!$I$5:$I$304,MATCH(B506,Ingredients!$A$5:$A$304,0)),""),""))</f>
        <v>0</v>
      </c>
      <c r="M506" s="8">
        <f>IF(OR(B506="",C506=""),"",IFERROR(C506*IFERROR(INDEX(Ingredients!$J$5:$J$304,MATCH(B506,Ingredients!$A$5:$A$304,0)),""),""))</f>
        <v>0</v>
      </c>
      <c r="N506" s="8">
        <f>IF(OR(B506="",C506=""),"",IFERROR(C506*IFERROR(INDEX(Ingredients!$K$5:$K$304,MATCH(B506,Ingredients!$A$5:$A$304,0)),""),""))</f>
        <v>0</v>
      </c>
      <c r="O506" s="8">
        <f>IF(OR(B506="",C506=""),"",IFERROR(C506*IFERROR(INDEX(Ingredients!$L$5:$L$304,MATCH(B506,Ingredients!$A$5:$A$304,0)),""),""))</f>
        <v>0</v>
      </c>
      <c r="P506" s="8">
        <f>IF(OR(H506="",A506=""),"",IFERROR(H506/SUMIFS('Recipe Ingredients'!$H$5:$H$1204,'Recipe Ingredients'!$A$5:$A$1204,A506),""))</f>
        <v>0</v>
      </c>
      <c r="Q506" s="8">
        <f>IF(H506="","",COUNTIFS($H$5:$H$1204,"&gt;"&amp;H506)+1)</f>
        <v>0</v>
      </c>
      <c r="R506" s="8">
        <f>IF(B506="","",SUMIFS(Pantry!$C$5:$C$304,Pantry!$A$5:$A$304,B506))</f>
        <v>0</v>
      </c>
      <c r="S506" s="8">
        <f>IF(OR(B506="",C506=""),"",MAX(0,C506-R506))</f>
        <v>0</v>
      </c>
      <c r="T506" s="26"/>
      <c r="U506" s="8">
        <f>IF(OR(T506="",T506=0,G506=""),"",T506*G506)</f>
        <v>0</v>
      </c>
      <c r="V506" s="8">
        <f>IF(OR(S506="",T506="",T506=0),"",CEILING(S506/T506,1))</f>
        <v>0</v>
      </c>
      <c r="W506" s="27"/>
      <c r="X506" s="29"/>
      <c r="Y506" s="8">
        <f>IF(OR(C506="",X506=""),"",C506*(1+X506))</f>
        <v>0</v>
      </c>
      <c r="Z506" s="8">
        <f>IF(B506="","",IFERROR(INDEX(Ingredients!$O$5:$O$304,MATCH(B506,Ingredients!$A$5:$A$304,0)),""))</f>
        <v>0</v>
      </c>
      <c r="AA506" s="8">
        <f>IF(B506="","",IF(R506&gt;=C506,"In pantry","To buy"))</f>
        <v>0</v>
      </c>
      <c r="AB506" s="8">
        <f>IF(A506="","",COUNTIFS($A$5:A506,A506))</f>
        <v>0</v>
      </c>
      <c r="AC506" s="8">
        <f>IF(B506="","",IF(COUNTIFS('Dietary Filters'!$C$5:$C$104,B506)&gt;0,"Check","OK"))</f>
        <v>0</v>
      </c>
      <c r="AD506" s="25"/>
    </row>
    <row r="507" spans="1:30">
      <c r="A507" s="7"/>
      <c r="B507" s="7"/>
      <c r="C507" s="26"/>
      <c r="D507" s="27"/>
      <c r="E507" s="8">
        <f>IF(B507="","",IFERROR(INDEX(Ingredients!$B$5:$B$304,MATCH(B507,Ingredients!$A$5:$A$304,0)),""))</f>
        <v>0</v>
      </c>
      <c r="F507" s="8">
        <f>IF(B507="","",IFERROR(INDEX(Ingredients!$E$5:$E$304,MATCH(B507,Ingredients!$A$5:$A$304,0)),""))</f>
        <v>0</v>
      </c>
      <c r="G507" s="8">
        <f>IF(B507="","",IFERROR(INDEX(Ingredients!$D$5:$D$304,MATCH(B507,Ingredients!$A$5:$A$304,0)),""))</f>
        <v>0</v>
      </c>
      <c r="H507" s="8">
        <f>IF(OR(B507="",C507=""),"",IFERROR(C507*G507,""))</f>
        <v>0</v>
      </c>
      <c r="I507" s="8">
        <f>IF(A507="","",IFERROR(INDEX(Recipes!$D$5:$D$204,MATCH(A507,Recipes!$A$5:$A$204,0)),""))</f>
        <v>0</v>
      </c>
      <c r="J507" s="8">
        <f>IF(OR(H507="",I507="",I507=0),"",IFERROR(H507/I507,""))</f>
        <v>0</v>
      </c>
      <c r="K507" s="8">
        <f>IF(OR(B507="",C507=""),"",IFERROR(C507*IFERROR(INDEX(Ingredients!$H$5:$H$304,MATCH(B507,Ingredients!$A$5:$A$304,0)),""),""))</f>
        <v>0</v>
      </c>
      <c r="L507" s="8">
        <f>IF(OR(B507="",C507=""),"",IFERROR(C507*IFERROR(INDEX(Ingredients!$I$5:$I$304,MATCH(B507,Ingredients!$A$5:$A$304,0)),""),""))</f>
        <v>0</v>
      </c>
      <c r="M507" s="8">
        <f>IF(OR(B507="",C507=""),"",IFERROR(C507*IFERROR(INDEX(Ingredients!$J$5:$J$304,MATCH(B507,Ingredients!$A$5:$A$304,0)),""),""))</f>
        <v>0</v>
      </c>
      <c r="N507" s="8">
        <f>IF(OR(B507="",C507=""),"",IFERROR(C507*IFERROR(INDEX(Ingredients!$K$5:$K$304,MATCH(B507,Ingredients!$A$5:$A$304,0)),""),""))</f>
        <v>0</v>
      </c>
      <c r="O507" s="8">
        <f>IF(OR(B507="",C507=""),"",IFERROR(C507*IFERROR(INDEX(Ingredients!$L$5:$L$304,MATCH(B507,Ingredients!$A$5:$A$304,0)),""),""))</f>
        <v>0</v>
      </c>
      <c r="P507" s="8">
        <f>IF(OR(H507="",A507=""),"",IFERROR(H507/SUMIFS('Recipe Ingredients'!$H$5:$H$1204,'Recipe Ingredients'!$A$5:$A$1204,A507),""))</f>
        <v>0</v>
      </c>
      <c r="Q507" s="8">
        <f>IF(H507="","",COUNTIFS($H$5:$H$1204,"&gt;"&amp;H507)+1)</f>
        <v>0</v>
      </c>
      <c r="R507" s="8">
        <f>IF(B507="","",SUMIFS(Pantry!$C$5:$C$304,Pantry!$A$5:$A$304,B507))</f>
        <v>0</v>
      </c>
      <c r="S507" s="8">
        <f>IF(OR(B507="",C507=""),"",MAX(0,C507-R507))</f>
        <v>0</v>
      </c>
      <c r="T507" s="26"/>
      <c r="U507" s="8">
        <f>IF(OR(T507="",T507=0,G507=""),"",T507*G507)</f>
        <v>0</v>
      </c>
      <c r="V507" s="8">
        <f>IF(OR(S507="",T507="",T507=0),"",CEILING(S507/T507,1))</f>
        <v>0</v>
      </c>
      <c r="W507" s="27"/>
      <c r="X507" s="29"/>
      <c r="Y507" s="8">
        <f>IF(OR(C507="",X507=""),"",C507*(1+X507))</f>
        <v>0</v>
      </c>
      <c r="Z507" s="8">
        <f>IF(B507="","",IFERROR(INDEX(Ingredients!$O$5:$O$304,MATCH(B507,Ingredients!$A$5:$A$304,0)),""))</f>
        <v>0</v>
      </c>
      <c r="AA507" s="8">
        <f>IF(B507="","",IF(R507&gt;=C507,"In pantry","To buy"))</f>
        <v>0</v>
      </c>
      <c r="AB507" s="8">
        <f>IF(A507="","",COUNTIFS($A$5:A507,A507))</f>
        <v>0</v>
      </c>
      <c r="AC507" s="8">
        <f>IF(B507="","",IF(COUNTIFS('Dietary Filters'!$C$5:$C$104,B507)&gt;0,"Check","OK"))</f>
        <v>0</v>
      </c>
      <c r="AD507" s="25"/>
    </row>
    <row r="508" spans="1:30">
      <c r="A508" s="7"/>
      <c r="B508" s="7"/>
      <c r="C508" s="26"/>
      <c r="D508" s="27"/>
      <c r="E508" s="8">
        <f>IF(B508="","",IFERROR(INDEX(Ingredients!$B$5:$B$304,MATCH(B508,Ingredients!$A$5:$A$304,0)),""))</f>
        <v>0</v>
      </c>
      <c r="F508" s="8">
        <f>IF(B508="","",IFERROR(INDEX(Ingredients!$E$5:$E$304,MATCH(B508,Ingredients!$A$5:$A$304,0)),""))</f>
        <v>0</v>
      </c>
      <c r="G508" s="8">
        <f>IF(B508="","",IFERROR(INDEX(Ingredients!$D$5:$D$304,MATCH(B508,Ingredients!$A$5:$A$304,0)),""))</f>
        <v>0</v>
      </c>
      <c r="H508" s="8">
        <f>IF(OR(B508="",C508=""),"",IFERROR(C508*G508,""))</f>
        <v>0</v>
      </c>
      <c r="I508" s="8">
        <f>IF(A508="","",IFERROR(INDEX(Recipes!$D$5:$D$204,MATCH(A508,Recipes!$A$5:$A$204,0)),""))</f>
        <v>0</v>
      </c>
      <c r="J508" s="8">
        <f>IF(OR(H508="",I508="",I508=0),"",IFERROR(H508/I508,""))</f>
        <v>0</v>
      </c>
      <c r="K508" s="8">
        <f>IF(OR(B508="",C508=""),"",IFERROR(C508*IFERROR(INDEX(Ingredients!$H$5:$H$304,MATCH(B508,Ingredients!$A$5:$A$304,0)),""),""))</f>
        <v>0</v>
      </c>
      <c r="L508" s="8">
        <f>IF(OR(B508="",C508=""),"",IFERROR(C508*IFERROR(INDEX(Ingredients!$I$5:$I$304,MATCH(B508,Ingredients!$A$5:$A$304,0)),""),""))</f>
        <v>0</v>
      </c>
      <c r="M508" s="8">
        <f>IF(OR(B508="",C508=""),"",IFERROR(C508*IFERROR(INDEX(Ingredients!$J$5:$J$304,MATCH(B508,Ingredients!$A$5:$A$304,0)),""),""))</f>
        <v>0</v>
      </c>
      <c r="N508" s="8">
        <f>IF(OR(B508="",C508=""),"",IFERROR(C508*IFERROR(INDEX(Ingredients!$K$5:$K$304,MATCH(B508,Ingredients!$A$5:$A$304,0)),""),""))</f>
        <v>0</v>
      </c>
      <c r="O508" s="8">
        <f>IF(OR(B508="",C508=""),"",IFERROR(C508*IFERROR(INDEX(Ingredients!$L$5:$L$304,MATCH(B508,Ingredients!$A$5:$A$304,0)),""),""))</f>
        <v>0</v>
      </c>
      <c r="P508" s="8">
        <f>IF(OR(H508="",A508=""),"",IFERROR(H508/SUMIFS('Recipe Ingredients'!$H$5:$H$1204,'Recipe Ingredients'!$A$5:$A$1204,A508),""))</f>
        <v>0</v>
      </c>
      <c r="Q508" s="8">
        <f>IF(H508="","",COUNTIFS($H$5:$H$1204,"&gt;"&amp;H508)+1)</f>
        <v>0</v>
      </c>
      <c r="R508" s="8">
        <f>IF(B508="","",SUMIFS(Pantry!$C$5:$C$304,Pantry!$A$5:$A$304,B508))</f>
        <v>0</v>
      </c>
      <c r="S508" s="8">
        <f>IF(OR(B508="",C508=""),"",MAX(0,C508-R508))</f>
        <v>0</v>
      </c>
      <c r="T508" s="26"/>
      <c r="U508" s="8">
        <f>IF(OR(T508="",T508=0,G508=""),"",T508*G508)</f>
        <v>0</v>
      </c>
      <c r="V508" s="8">
        <f>IF(OR(S508="",T508="",T508=0),"",CEILING(S508/T508,1))</f>
        <v>0</v>
      </c>
      <c r="W508" s="27"/>
      <c r="X508" s="29"/>
      <c r="Y508" s="8">
        <f>IF(OR(C508="",X508=""),"",C508*(1+X508))</f>
        <v>0</v>
      </c>
      <c r="Z508" s="8">
        <f>IF(B508="","",IFERROR(INDEX(Ingredients!$O$5:$O$304,MATCH(B508,Ingredients!$A$5:$A$304,0)),""))</f>
        <v>0</v>
      </c>
      <c r="AA508" s="8">
        <f>IF(B508="","",IF(R508&gt;=C508,"In pantry","To buy"))</f>
        <v>0</v>
      </c>
      <c r="AB508" s="8">
        <f>IF(A508="","",COUNTIFS($A$5:A508,A508))</f>
        <v>0</v>
      </c>
      <c r="AC508" s="8">
        <f>IF(B508="","",IF(COUNTIFS('Dietary Filters'!$C$5:$C$104,B508)&gt;0,"Check","OK"))</f>
        <v>0</v>
      </c>
      <c r="AD508" s="25"/>
    </row>
    <row r="509" spans="1:30">
      <c r="A509" s="7"/>
      <c r="B509" s="7"/>
      <c r="C509" s="26"/>
      <c r="D509" s="27"/>
      <c r="E509" s="8">
        <f>IF(B509="","",IFERROR(INDEX(Ingredients!$B$5:$B$304,MATCH(B509,Ingredients!$A$5:$A$304,0)),""))</f>
        <v>0</v>
      </c>
      <c r="F509" s="8">
        <f>IF(B509="","",IFERROR(INDEX(Ingredients!$E$5:$E$304,MATCH(B509,Ingredients!$A$5:$A$304,0)),""))</f>
        <v>0</v>
      </c>
      <c r="G509" s="8">
        <f>IF(B509="","",IFERROR(INDEX(Ingredients!$D$5:$D$304,MATCH(B509,Ingredients!$A$5:$A$304,0)),""))</f>
        <v>0</v>
      </c>
      <c r="H509" s="8">
        <f>IF(OR(B509="",C509=""),"",IFERROR(C509*G509,""))</f>
        <v>0</v>
      </c>
      <c r="I509" s="8">
        <f>IF(A509="","",IFERROR(INDEX(Recipes!$D$5:$D$204,MATCH(A509,Recipes!$A$5:$A$204,0)),""))</f>
        <v>0</v>
      </c>
      <c r="J509" s="8">
        <f>IF(OR(H509="",I509="",I509=0),"",IFERROR(H509/I509,""))</f>
        <v>0</v>
      </c>
      <c r="K509" s="8">
        <f>IF(OR(B509="",C509=""),"",IFERROR(C509*IFERROR(INDEX(Ingredients!$H$5:$H$304,MATCH(B509,Ingredients!$A$5:$A$304,0)),""),""))</f>
        <v>0</v>
      </c>
      <c r="L509" s="8">
        <f>IF(OR(B509="",C509=""),"",IFERROR(C509*IFERROR(INDEX(Ingredients!$I$5:$I$304,MATCH(B509,Ingredients!$A$5:$A$304,0)),""),""))</f>
        <v>0</v>
      </c>
      <c r="M509" s="8">
        <f>IF(OR(B509="",C509=""),"",IFERROR(C509*IFERROR(INDEX(Ingredients!$J$5:$J$304,MATCH(B509,Ingredients!$A$5:$A$304,0)),""),""))</f>
        <v>0</v>
      </c>
      <c r="N509" s="8">
        <f>IF(OR(B509="",C509=""),"",IFERROR(C509*IFERROR(INDEX(Ingredients!$K$5:$K$304,MATCH(B509,Ingredients!$A$5:$A$304,0)),""),""))</f>
        <v>0</v>
      </c>
      <c r="O509" s="8">
        <f>IF(OR(B509="",C509=""),"",IFERROR(C509*IFERROR(INDEX(Ingredients!$L$5:$L$304,MATCH(B509,Ingredients!$A$5:$A$304,0)),""),""))</f>
        <v>0</v>
      </c>
      <c r="P509" s="8">
        <f>IF(OR(H509="",A509=""),"",IFERROR(H509/SUMIFS('Recipe Ingredients'!$H$5:$H$1204,'Recipe Ingredients'!$A$5:$A$1204,A509),""))</f>
        <v>0</v>
      </c>
      <c r="Q509" s="8">
        <f>IF(H509="","",COUNTIFS($H$5:$H$1204,"&gt;"&amp;H509)+1)</f>
        <v>0</v>
      </c>
      <c r="R509" s="8">
        <f>IF(B509="","",SUMIFS(Pantry!$C$5:$C$304,Pantry!$A$5:$A$304,B509))</f>
        <v>0</v>
      </c>
      <c r="S509" s="8">
        <f>IF(OR(B509="",C509=""),"",MAX(0,C509-R509))</f>
        <v>0</v>
      </c>
      <c r="T509" s="26"/>
      <c r="U509" s="8">
        <f>IF(OR(T509="",T509=0,G509=""),"",T509*G509)</f>
        <v>0</v>
      </c>
      <c r="V509" s="8">
        <f>IF(OR(S509="",T509="",T509=0),"",CEILING(S509/T509,1))</f>
        <v>0</v>
      </c>
      <c r="W509" s="27"/>
      <c r="X509" s="29"/>
      <c r="Y509" s="8">
        <f>IF(OR(C509="",X509=""),"",C509*(1+X509))</f>
        <v>0</v>
      </c>
      <c r="Z509" s="8">
        <f>IF(B509="","",IFERROR(INDEX(Ingredients!$O$5:$O$304,MATCH(B509,Ingredients!$A$5:$A$304,0)),""))</f>
        <v>0</v>
      </c>
      <c r="AA509" s="8">
        <f>IF(B509="","",IF(R509&gt;=C509,"In pantry","To buy"))</f>
        <v>0</v>
      </c>
      <c r="AB509" s="8">
        <f>IF(A509="","",COUNTIFS($A$5:A509,A509))</f>
        <v>0</v>
      </c>
      <c r="AC509" s="8">
        <f>IF(B509="","",IF(COUNTIFS('Dietary Filters'!$C$5:$C$104,B509)&gt;0,"Check","OK"))</f>
        <v>0</v>
      </c>
      <c r="AD509" s="25"/>
    </row>
    <row r="510" spans="1:30">
      <c r="A510" s="7"/>
      <c r="B510" s="7"/>
      <c r="C510" s="26"/>
      <c r="D510" s="27"/>
      <c r="E510" s="8">
        <f>IF(B510="","",IFERROR(INDEX(Ingredients!$B$5:$B$304,MATCH(B510,Ingredients!$A$5:$A$304,0)),""))</f>
        <v>0</v>
      </c>
      <c r="F510" s="8">
        <f>IF(B510="","",IFERROR(INDEX(Ingredients!$E$5:$E$304,MATCH(B510,Ingredients!$A$5:$A$304,0)),""))</f>
        <v>0</v>
      </c>
      <c r="G510" s="8">
        <f>IF(B510="","",IFERROR(INDEX(Ingredients!$D$5:$D$304,MATCH(B510,Ingredients!$A$5:$A$304,0)),""))</f>
        <v>0</v>
      </c>
      <c r="H510" s="8">
        <f>IF(OR(B510="",C510=""),"",IFERROR(C510*G510,""))</f>
        <v>0</v>
      </c>
      <c r="I510" s="8">
        <f>IF(A510="","",IFERROR(INDEX(Recipes!$D$5:$D$204,MATCH(A510,Recipes!$A$5:$A$204,0)),""))</f>
        <v>0</v>
      </c>
      <c r="J510" s="8">
        <f>IF(OR(H510="",I510="",I510=0),"",IFERROR(H510/I510,""))</f>
        <v>0</v>
      </c>
      <c r="K510" s="8">
        <f>IF(OR(B510="",C510=""),"",IFERROR(C510*IFERROR(INDEX(Ingredients!$H$5:$H$304,MATCH(B510,Ingredients!$A$5:$A$304,0)),""),""))</f>
        <v>0</v>
      </c>
      <c r="L510" s="8">
        <f>IF(OR(B510="",C510=""),"",IFERROR(C510*IFERROR(INDEX(Ingredients!$I$5:$I$304,MATCH(B510,Ingredients!$A$5:$A$304,0)),""),""))</f>
        <v>0</v>
      </c>
      <c r="M510" s="8">
        <f>IF(OR(B510="",C510=""),"",IFERROR(C510*IFERROR(INDEX(Ingredients!$J$5:$J$304,MATCH(B510,Ingredients!$A$5:$A$304,0)),""),""))</f>
        <v>0</v>
      </c>
      <c r="N510" s="8">
        <f>IF(OR(B510="",C510=""),"",IFERROR(C510*IFERROR(INDEX(Ingredients!$K$5:$K$304,MATCH(B510,Ingredients!$A$5:$A$304,0)),""),""))</f>
        <v>0</v>
      </c>
      <c r="O510" s="8">
        <f>IF(OR(B510="",C510=""),"",IFERROR(C510*IFERROR(INDEX(Ingredients!$L$5:$L$304,MATCH(B510,Ingredients!$A$5:$A$304,0)),""),""))</f>
        <v>0</v>
      </c>
      <c r="P510" s="8">
        <f>IF(OR(H510="",A510=""),"",IFERROR(H510/SUMIFS('Recipe Ingredients'!$H$5:$H$1204,'Recipe Ingredients'!$A$5:$A$1204,A510),""))</f>
        <v>0</v>
      </c>
      <c r="Q510" s="8">
        <f>IF(H510="","",COUNTIFS($H$5:$H$1204,"&gt;"&amp;H510)+1)</f>
        <v>0</v>
      </c>
      <c r="R510" s="8">
        <f>IF(B510="","",SUMIFS(Pantry!$C$5:$C$304,Pantry!$A$5:$A$304,B510))</f>
        <v>0</v>
      </c>
      <c r="S510" s="8">
        <f>IF(OR(B510="",C510=""),"",MAX(0,C510-R510))</f>
        <v>0</v>
      </c>
      <c r="T510" s="26"/>
      <c r="U510" s="8">
        <f>IF(OR(T510="",T510=0,G510=""),"",T510*G510)</f>
        <v>0</v>
      </c>
      <c r="V510" s="8">
        <f>IF(OR(S510="",T510="",T510=0),"",CEILING(S510/T510,1))</f>
        <v>0</v>
      </c>
      <c r="W510" s="27"/>
      <c r="X510" s="29"/>
      <c r="Y510" s="8">
        <f>IF(OR(C510="",X510=""),"",C510*(1+X510))</f>
        <v>0</v>
      </c>
      <c r="Z510" s="8">
        <f>IF(B510="","",IFERROR(INDEX(Ingredients!$O$5:$O$304,MATCH(B510,Ingredients!$A$5:$A$304,0)),""))</f>
        <v>0</v>
      </c>
      <c r="AA510" s="8">
        <f>IF(B510="","",IF(R510&gt;=C510,"In pantry","To buy"))</f>
        <v>0</v>
      </c>
      <c r="AB510" s="8">
        <f>IF(A510="","",COUNTIFS($A$5:A510,A510))</f>
        <v>0</v>
      </c>
      <c r="AC510" s="8">
        <f>IF(B510="","",IF(COUNTIFS('Dietary Filters'!$C$5:$C$104,B510)&gt;0,"Check","OK"))</f>
        <v>0</v>
      </c>
      <c r="AD510" s="25"/>
    </row>
    <row r="511" spans="1:30">
      <c r="A511" s="7"/>
      <c r="B511" s="7"/>
      <c r="C511" s="26"/>
      <c r="D511" s="27"/>
      <c r="E511" s="8">
        <f>IF(B511="","",IFERROR(INDEX(Ingredients!$B$5:$B$304,MATCH(B511,Ingredients!$A$5:$A$304,0)),""))</f>
        <v>0</v>
      </c>
      <c r="F511" s="8">
        <f>IF(B511="","",IFERROR(INDEX(Ingredients!$E$5:$E$304,MATCH(B511,Ingredients!$A$5:$A$304,0)),""))</f>
        <v>0</v>
      </c>
      <c r="G511" s="8">
        <f>IF(B511="","",IFERROR(INDEX(Ingredients!$D$5:$D$304,MATCH(B511,Ingredients!$A$5:$A$304,0)),""))</f>
        <v>0</v>
      </c>
      <c r="H511" s="8">
        <f>IF(OR(B511="",C511=""),"",IFERROR(C511*G511,""))</f>
        <v>0</v>
      </c>
      <c r="I511" s="8">
        <f>IF(A511="","",IFERROR(INDEX(Recipes!$D$5:$D$204,MATCH(A511,Recipes!$A$5:$A$204,0)),""))</f>
        <v>0</v>
      </c>
      <c r="J511" s="8">
        <f>IF(OR(H511="",I511="",I511=0),"",IFERROR(H511/I511,""))</f>
        <v>0</v>
      </c>
      <c r="K511" s="8">
        <f>IF(OR(B511="",C511=""),"",IFERROR(C511*IFERROR(INDEX(Ingredients!$H$5:$H$304,MATCH(B511,Ingredients!$A$5:$A$304,0)),""),""))</f>
        <v>0</v>
      </c>
      <c r="L511" s="8">
        <f>IF(OR(B511="",C511=""),"",IFERROR(C511*IFERROR(INDEX(Ingredients!$I$5:$I$304,MATCH(B511,Ingredients!$A$5:$A$304,0)),""),""))</f>
        <v>0</v>
      </c>
      <c r="M511" s="8">
        <f>IF(OR(B511="",C511=""),"",IFERROR(C511*IFERROR(INDEX(Ingredients!$J$5:$J$304,MATCH(B511,Ingredients!$A$5:$A$304,0)),""),""))</f>
        <v>0</v>
      </c>
      <c r="N511" s="8">
        <f>IF(OR(B511="",C511=""),"",IFERROR(C511*IFERROR(INDEX(Ingredients!$K$5:$K$304,MATCH(B511,Ingredients!$A$5:$A$304,0)),""),""))</f>
        <v>0</v>
      </c>
      <c r="O511" s="8">
        <f>IF(OR(B511="",C511=""),"",IFERROR(C511*IFERROR(INDEX(Ingredients!$L$5:$L$304,MATCH(B511,Ingredients!$A$5:$A$304,0)),""),""))</f>
        <v>0</v>
      </c>
      <c r="P511" s="8">
        <f>IF(OR(H511="",A511=""),"",IFERROR(H511/SUMIFS('Recipe Ingredients'!$H$5:$H$1204,'Recipe Ingredients'!$A$5:$A$1204,A511),""))</f>
        <v>0</v>
      </c>
      <c r="Q511" s="8">
        <f>IF(H511="","",COUNTIFS($H$5:$H$1204,"&gt;"&amp;H511)+1)</f>
        <v>0</v>
      </c>
      <c r="R511" s="8">
        <f>IF(B511="","",SUMIFS(Pantry!$C$5:$C$304,Pantry!$A$5:$A$304,B511))</f>
        <v>0</v>
      </c>
      <c r="S511" s="8">
        <f>IF(OR(B511="",C511=""),"",MAX(0,C511-R511))</f>
        <v>0</v>
      </c>
      <c r="T511" s="26"/>
      <c r="U511" s="8">
        <f>IF(OR(T511="",T511=0,G511=""),"",T511*G511)</f>
        <v>0</v>
      </c>
      <c r="V511" s="8">
        <f>IF(OR(S511="",T511="",T511=0),"",CEILING(S511/T511,1))</f>
        <v>0</v>
      </c>
      <c r="W511" s="27"/>
      <c r="X511" s="29"/>
      <c r="Y511" s="8">
        <f>IF(OR(C511="",X511=""),"",C511*(1+X511))</f>
        <v>0</v>
      </c>
      <c r="Z511" s="8">
        <f>IF(B511="","",IFERROR(INDEX(Ingredients!$O$5:$O$304,MATCH(B511,Ingredients!$A$5:$A$304,0)),""))</f>
        <v>0</v>
      </c>
      <c r="AA511" s="8">
        <f>IF(B511="","",IF(R511&gt;=C511,"In pantry","To buy"))</f>
        <v>0</v>
      </c>
      <c r="AB511" s="8">
        <f>IF(A511="","",COUNTIFS($A$5:A511,A511))</f>
        <v>0</v>
      </c>
      <c r="AC511" s="8">
        <f>IF(B511="","",IF(COUNTIFS('Dietary Filters'!$C$5:$C$104,B511)&gt;0,"Check","OK"))</f>
        <v>0</v>
      </c>
      <c r="AD511" s="25"/>
    </row>
    <row r="512" spans="1:30">
      <c r="A512" s="7"/>
      <c r="B512" s="7"/>
      <c r="C512" s="26"/>
      <c r="D512" s="27"/>
      <c r="E512" s="8">
        <f>IF(B512="","",IFERROR(INDEX(Ingredients!$B$5:$B$304,MATCH(B512,Ingredients!$A$5:$A$304,0)),""))</f>
        <v>0</v>
      </c>
      <c r="F512" s="8">
        <f>IF(B512="","",IFERROR(INDEX(Ingredients!$E$5:$E$304,MATCH(B512,Ingredients!$A$5:$A$304,0)),""))</f>
        <v>0</v>
      </c>
      <c r="G512" s="8">
        <f>IF(B512="","",IFERROR(INDEX(Ingredients!$D$5:$D$304,MATCH(B512,Ingredients!$A$5:$A$304,0)),""))</f>
        <v>0</v>
      </c>
      <c r="H512" s="8">
        <f>IF(OR(B512="",C512=""),"",IFERROR(C512*G512,""))</f>
        <v>0</v>
      </c>
      <c r="I512" s="8">
        <f>IF(A512="","",IFERROR(INDEX(Recipes!$D$5:$D$204,MATCH(A512,Recipes!$A$5:$A$204,0)),""))</f>
        <v>0</v>
      </c>
      <c r="J512" s="8">
        <f>IF(OR(H512="",I512="",I512=0),"",IFERROR(H512/I512,""))</f>
        <v>0</v>
      </c>
      <c r="K512" s="8">
        <f>IF(OR(B512="",C512=""),"",IFERROR(C512*IFERROR(INDEX(Ingredients!$H$5:$H$304,MATCH(B512,Ingredients!$A$5:$A$304,0)),""),""))</f>
        <v>0</v>
      </c>
      <c r="L512" s="8">
        <f>IF(OR(B512="",C512=""),"",IFERROR(C512*IFERROR(INDEX(Ingredients!$I$5:$I$304,MATCH(B512,Ingredients!$A$5:$A$304,0)),""),""))</f>
        <v>0</v>
      </c>
      <c r="M512" s="8">
        <f>IF(OR(B512="",C512=""),"",IFERROR(C512*IFERROR(INDEX(Ingredients!$J$5:$J$304,MATCH(B512,Ingredients!$A$5:$A$304,0)),""),""))</f>
        <v>0</v>
      </c>
      <c r="N512" s="8">
        <f>IF(OR(B512="",C512=""),"",IFERROR(C512*IFERROR(INDEX(Ingredients!$K$5:$K$304,MATCH(B512,Ingredients!$A$5:$A$304,0)),""),""))</f>
        <v>0</v>
      </c>
      <c r="O512" s="8">
        <f>IF(OR(B512="",C512=""),"",IFERROR(C512*IFERROR(INDEX(Ingredients!$L$5:$L$304,MATCH(B512,Ingredients!$A$5:$A$304,0)),""),""))</f>
        <v>0</v>
      </c>
      <c r="P512" s="8">
        <f>IF(OR(H512="",A512=""),"",IFERROR(H512/SUMIFS('Recipe Ingredients'!$H$5:$H$1204,'Recipe Ingredients'!$A$5:$A$1204,A512),""))</f>
        <v>0</v>
      </c>
      <c r="Q512" s="8">
        <f>IF(H512="","",COUNTIFS($H$5:$H$1204,"&gt;"&amp;H512)+1)</f>
        <v>0</v>
      </c>
      <c r="R512" s="8">
        <f>IF(B512="","",SUMIFS(Pantry!$C$5:$C$304,Pantry!$A$5:$A$304,B512))</f>
        <v>0</v>
      </c>
      <c r="S512" s="8">
        <f>IF(OR(B512="",C512=""),"",MAX(0,C512-R512))</f>
        <v>0</v>
      </c>
      <c r="T512" s="26"/>
      <c r="U512" s="8">
        <f>IF(OR(T512="",T512=0,G512=""),"",T512*G512)</f>
        <v>0</v>
      </c>
      <c r="V512" s="8">
        <f>IF(OR(S512="",T512="",T512=0),"",CEILING(S512/T512,1))</f>
        <v>0</v>
      </c>
      <c r="W512" s="27"/>
      <c r="X512" s="29"/>
      <c r="Y512" s="8">
        <f>IF(OR(C512="",X512=""),"",C512*(1+X512))</f>
        <v>0</v>
      </c>
      <c r="Z512" s="8">
        <f>IF(B512="","",IFERROR(INDEX(Ingredients!$O$5:$O$304,MATCH(B512,Ingredients!$A$5:$A$304,0)),""))</f>
        <v>0</v>
      </c>
      <c r="AA512" s="8">
        <f>IF(B512="","",IF(R512&gt;=C512,"In pantry","To buy"))</f>
        <v>0</v>
      </c>
      <c r="AB512" s="8">
        <f>IF(A512="","",COUNTIFS($A$5:A512,A512))</f>
        <v>0</v>
      </c>
      <c r="AC512" s="8">
        <f>IF(B512="","",IF(COUNTIFS('Dietary Filters'!$C$5:$C$104,B512)&gt;0,"Check","OK"))</f>
        <v>0</v>
      </c>
      <c r="AD512" s="25"/>
    </row>
    <row r="513" spans="1:30">
      <c r="A513" s="7"/>
      <c r="B513" s="7"/>
      <c r="C513" s="26"/>
      <c r="D513" s="27"/>
      <c r="E513" s="8">
        <f>IF(B513="","",IFERROR(INDEX(Ingredients!$B$5:$B$304,MATCH(B513,Ingredients!$A$5:$A$304,0)),""))</f>
        <v>0</v>
      </c>
      <c r="F513" s="8">
        <f>IF(B513="","",IFERROR(INDEX(Ingredients!$E$5:$E$304,MATCH(B513,Ingredients!$A$5:$A$304,0)),""))</f>
        <v>0</v>
      </c>
      <c r="G513" s="8">
        <f>IF(B513="","",IFERROR(INDEX(Ingredients!$D$5:$D$304,MATCH(B513,Ingredients!$A$5:$A$304,0)),""))</f>
        <v>0</v>
      </c>
      <c r="H513" s="8">
        <f>IF(OR(B513="",C513=""),"",IFERROR(C513*G513,""))</f>
        <v>0</v>
      </c>
      <c r="I513" s="8">
        <f>IF(A513="","",IFERROR(INDEX(Recipes!$D$5:$D$204,MATCH(A513,Recipes!$A$5:$A$204,0)),""))</f>
        <v>0</v>
      </c>
      <c r="J513" s="8">
        <f>IF(OR(H513="",I513="",I513=0),"",IFERROR(H513/I513,""))</f>
        <v>0</v>
      </c>
      <c r="K513" s="8">
        <f>IF(OR(B513="",C513=""),"",IFERROR(C513*IFERROR(INDEX(Ingredients!$H$5:$H$304,MATCH(B513,Ingredients!$A$5:$A$304,0)),""),""))</f>
        <v>0</v>
      </c>
      <c r="L513" s="8">
        <f>IF(OR(B513="",C513=""),"",IFERROR(C513*IFERROR(INDEX(Ingredients!$I$5:$I$304,MATCH(B513,Ingredients!$A$5:$A$304,0)),""),""))</f>
        <v>0</v>
      </c>
      <c r="M513" s="8">
        <f>IF(OR(B513="",C513=""),"",IFERROR(C513*IFERROR(INDEX(Ingredients!$J$5:$J$304,MATCH(B513,Ingredients!$A$5:$A$304,0)),""),""))</f>
        <v>0</v>
      </c>
      <c r="N513" s="8">
        <f>IF(OR(B513="",C513=""),"",IFERROR(C513*IFERROR(INDEX(Ingredients!$K$5:$K$304,MATCH(B513,Ingredients!$A$5:$A$304,0)),""),""))</f>
        <v>0</v>
      </c>
      <c r="O513" s="8">
        <f>IF(OR(B513="",C513=""),"",IFERROR(C513*IFERROR(INDEX(Ingredients!$L$5:$L$304,MATCH(B513,Ingredients!$A$5:$A$304,0)),""),""))</f>
        <v>0</v>
      </c>
      <c r="P513" s="8">
        <f>IF(OR(H513="",A513=""),"",IFERROR(H513/SUMIFS('Recipe Ingredients'!$H$5:$H$1204,'Recipe Ingredients'!$A$5:$A$1204,A513),""))</f>
        <v>0</v>
      </c>
      <c r="Q513" s="8">
        <f>IF(H513="","",COUNTIFS($H$5:$H$1204,"&gt;"&amp;H513)+1)</f>
        <v>0</v>
      </c>
      <c r="R513" s="8">
        <f>IF(B513="","",SUMIFS(Pantry!$C$5:$C$304,Pantry!$A$5:$A$304,B513))</f>
        <v>0</v>
      </c>
      <c r="S513" s="8">
        <f>IF(OR(B513="",C513=""),"",MAX(0,C513-R513))</f>
        <v>0</v>
      </c>
      <c r="T513" s="26"/>
      <c r="U513" s="8">
        <f>IF(OR(T513="",T513=0,G513=""),"",T513*G513)</f>
        <v>0</v>
      </c>
      <c r="V513" s="8">
        <f>IF(OR(S513="",T513="",T513=0),"",CEILING(S513/T513,1))</f>
        <v>0</v>
      </c>
      <c r="W513" s="27"/>
      <c r="X513" s="29"/>
      <c r="Y513" s="8">
        <f>IF(OR(C513="",X513=""),"",C513*(1+X513))</f>
        <v>0</v>
      </c>
      <c r="Z513" s="8">
        <f>IF(B513="","",IFERROR(INDEX(Ingredients!$O$5:$O$304,MATCH(B513,Ingredients!$A$5:$A$304,0)),""))</f>
        <v>0</v>
      </c>
      <c r="AA513" s="8">
        <f>IF(B513="","",IF(R513&gt;=C513,"In pantry","To buy"))</f>
        <v>0</v>
      </c>
      <c r="AB513" s="8">
        <f>IF(A513="","",COUNTIFS($A$5:A513,A513))</f>
        <v>0</v>
      </c>
      <c r="AC513" s="8">
        <f>IF(B513="","",IF(COUNTIFS('Dietary Filters'!$C$5:$C$104,B513)&gt;0,"Check","OK"))</f>
        <v>0</v>
      </c>
      <c r="AD513" s="25"/>
    </row>
    <row r="514" spans="1:30">
      <c r="A514" s="7"/>
      <c r="B514" s="7"/>
      <c r="C514" s="26"/>
      <c r="D514" s="27"/>
      <c r="E514" s="8">
        <f>IF(B514="","",IFERROR(INDEX(Ingredients!$B$5:$B$304,MATCH(B514,Ingredients!$A$5:$A$304,0)),""))</f>
        <v>0</v>
      </c>
      <c r="F514" s="8">
        <f>IF(B514="","",IFERROR(INDEX(Ingredients!$E$5:$E$304,MATCH(B514,Ingredients!$A$5:$A$304,0)),""))</f>
        <v>0</v>
      </c>
      <c r="G514" s="8">
        <f>IF(B514="","",IFERROR(INDEX(Ingredients!$D$5:$D$304,MATCH(B514,Ingredients!$A$5:$A$304,0)),""))</f>
        <v>0</v>
      </c>
      <c r="H514" s="8">
        <f>IF(OR(B514="",C514=""),"",IFERROR(C514*G514,""))</f>
        <v>0</v>
      </c>
      <c r="I514" s="8">
        <f>IF(A514="","",IFERROR(INDEX(Recipes!$D$5:$D$204,MATCH(A514,Recipes!$A$5:$A$204,0)),""))</f>
        <v>0</v>
      </c>
      <c r="J514" s="8">
        <f>IF(OR(H514="",I514="",I514=0),"",IFERROR(H514/I514,""))</f>
        <v>0</v>
      </c>
      <c r="K514" s="8">
        <f>IF(OR(B514="",C514=""),"",IFERROR(C514*IFERROR(INDEX(Ingredients!$H$5:$H$304,MATCH(B514,Ingredients!$A$5:$A$304,0)),""),""))</f>
        <v>0</v>
      </c>
      <c r="L514" s="8">
        <f>IF(OR(B514="",C514=""),"",IFERROR(C514*IFERROR(INDEX(Ingredients!$I$5:$I$304,MATCH(B514,Ingredients!$A$5:$A$304,0)),""),""))</f>
        <v>0</v>
      </c>
      <c r="M514" s="8">
        <f>IF(OR(B514="",C514=""),"",IFERROR(C514*IFERROR(INDEX(Ingredients!$J$5:$J$304,MATCH(B514,Ingredients!$A$5:$A$304,0)),""),""))</f>
        <v>0</v>
      </c>
      <c r="N514" s="8">
        <f>IF(OR(B514="",C514=""),"",IFERROR(C514*IFERROR(INDEX(Ingredients!$K$5:$K$304,MATCH(B514,Ingredients!$A$5:$A$304,0)),""),""))</f>
        <v>0</v>
      </c>
      <c r="O514" s="8">
        <f>IF(OR(B514="",C514=""),"",IFERROR(C514*IFERROR(INDEX(Ingredients!$L$5:$L$304,MATCH(B514,Ingredients!$A$5:$A$304,0)),""),""))</f>
        <v>0</v>
      </c>
      <c r="P514" s="8">
        <f>IF(OR(H514="",A514=""),"",IFERROR(H514/SUMIFS('Recipe Ingredients'!$H$5:$H$1204,'Recipe Ingredients'!$A$5:$A$1204,A514),""))</f>
        <v>0</v>
      </c>
      <c r="Q514" s="8">
        <f>IF(H514="","",COUNTIFS($H$5:$H$1204,"&gt;"&amp;H514)+1)</f>
        <v>0</v>
      </c>
      <c r="R514" s="8">
        <f>IF(B514="","",SUMIFS(Pantry!$C$5:$C$304,Pantry!$A$5:$A$304,B514))</f>
        <v>0</v>
      </c>
      <c r="S514" s="8">
        <f>IF(OR(B514="",C514=""),"",MAX(0,C514-R514))</f>
        <v>0</v>
      </c>
      <c r="T514" s="26"/>
      <c r="U514" s="8">
        <f>IF(OR(T514="",T514=0,G514=""),"",T514*G514)</f>
        <v>0</v>
      </c>
      <c r="V514" s="8">
        <f>IF(OR(S514="",T514="",T514=0),"",CEILING(S514/T514,1))</f>
        <v>0</v>
      </c>
      <c r="W514" s="27"/>
      <c r="X514" s="29"/>
      <c r="Y514" s="8">
        <f>IF(OR(C514="",X514=""),"",C514*(1+X514))</f>
        <v>0</v>
      </c>
      <c r="Z514" s="8">
        <f>IF(B514="","",IFERROR(INDEX(Ingredients!$O$5:$O$304,MATCH(B514,Ingredients!$A$5:$A$304,0)),""))</f>
        <v>0</v>
      </c>
      <c r="AA514" s="8">
        <f>IF(B514="","",IF(R514&gt;=C514,"In pantry","To buy"))</f>
        <v>0</v>
      </c>
      <c r="AB514" s="8">
        <f>IF(A514="","",COUNTIFS($A$5:A514,A514))</f>
        <v>0</v>
      </c>
      <c r="AC514" s="8">
        <f>IF(B514="","",IF(COUNTIFS('Dietary Filters'!$C$5:$C$104,B514)&gt;0,"Check","OK"))</f>
        <v>0</v>
      </c>
      <c r="AD514" s="25"/>
    </row>
    <row r="515" spans="1:30">
      <c r="A515" s="7"/>
      <c r="B515" s="7"/>
      <c r="C515" s="26"/>
      <c r="D515" s="27"/>
      <c r="E515" s="8">
        <f>IF(B515="","",IFERROR(INDEX(Ingredients!$B$5:$B$304,MATCH(B515,Ingredients!$A$5:$A$304,0)),""))</f>
        <v>0</v>
      </c>
      <c r="F515" s="8">
        <f>IF(B515="","",IFERROR(INDEX(Ingredients!$E$5:$E$304,MATCH(B515,Ingredients!$A$5:$A$304,0)),""))</f>
        <v>0</v>
      </c>
      <c r="G515" s="8">
        <f>IF(B515="","",IFERROR(INDEX(Ingredients!$D$5:$D$304,MATCH(B515,Ingredients!$A$5:$A$304,0)),""))</f>
        <v>0</v>
      </c>
      <c r="H515" s="8">
        <f>IF(OR(B515="",C515=""),"",IFERROR(C515*G515,""))</f>
        <v>0</v>
      </c>
      <c r="I515" s="8">
        <f>IF(A515="","",IFERROR(INDEX(Recipes!$D$5:$D$204,MATCH(A515,Recipes!$A$5:$A$204,0)),""))</f>
        <v>0</v>
      </c>
      <c r="J515" s="8">
        <f>IF(OR(H515="",I515="",I515=0),"",IFERROR(H515/I515,""))</f>
        <v>0</v>
      </c>
      <c r="K515" s="8">
        <f>IF(OR(B515="",C515=""),"",IFERROR(C515*IFERROR(INDEX(Ingredients!$H$5:$H$304,MATCH(B515,Ingredients!$A$5:$A$304,0)),""),""))</f>
        <v>0</v>
      </c>
      <c r="L515" s="8">
        <f>IF(OR(B515="",C515=""),"",IFERROR(C515*IFERROR(INDEX(Ingredients!$I$5:$I$304,MATCH(B515,Ingredients!$A$5:$A$304,0)),""),""))</f>
        <v>0</v>
      </c>
      <c r="M515" s="8">
        <f>IF(OR(B515="",C515=""),"",IFERROR(C515*IFERROR(INDEX(Ingredients!$J$5:$J$304,MATCH(B515,Ingredients!$A$5:$A$304,0)),""),""))</f>
        <v>0</v>
      </c>
      <c r="N515" s="8">
        <f>IF(OR(B515="",C515=""),"",IFERROR(C515*IFERROR(INDEX(Ingredients!$K$5:$K$304,MATCH(B515,Ingredients!$A$5:$A$304,0)),""),""))</f>
        <v>0</v>
      </c>
      <c r="O515" s="8">
        <f>IF(OR(B515="",C515=""),"",IFERROR(C515*IFERROR(INDEX(Ingredients!$L$5:$L$304,MATCH(B515,Ingredients!$A$5:$A$304,0)),""),""))</f>
        <v>0</v>
      </c>
      <c r="P515" s="8">
        <f>IF(OR(H515="",A515=""),"",IFERROR(H515/SUMIFS('Recipe Ingredients'!$H$5:$H$1204,'Recipe Ingredients'!$A$5:$A$1204,A515),""))</f>
        <v>0</v>
      </c>
      <c r="Q515" s="8">
        <f>IF(H515="","",COUNTIFS($H$5:$H$1204,"&gt;"&amp;H515)+1)</f>
        <v>0</v>
      </c>
      <c r="R515" s="8">
        <f>IF(B515="","",SUMIFS(Pantry!$C$5:$C$304,Pantry!$A$5:$A$304,B515))</f>
        <v>0</v>
      </c>
      <c r="S515" s="8">
        <f>IF(OR(B515="",C515=""),"",MAX(0,C515-R515))</f>
        <v>0</v>
      </c>
      <c r="T515" s="26"/>
      <c r="U515" s="8">
        <f>IF(OR(T515="",T515=0,G515=""),"",T515*G515)</f>
        <v>0</v>
      </c>
      <c r="V515" s="8">
        <f>IF(OR(S515="",T515="",T515=0),"",CEILING(S515/T515,1))</f>
        <v>0</v>
      </c>
      <c r="W515" s="27"/>
      <c r="X515" s="29"/>
      <c r="Y515" s="8">
        <f>IF(OR(C515="",X515=""),"",C515*(1+X515))</f>
        <v>0</v>
      </c>
      <c r="Z515" s="8">
        <f>IF(B515="","",IFERROR(INDEX(Ingredients!$O$5:$O$304,MATCH(B515,Ingredients!$A$5:$A$304,0)),""))</f>
        <v>0</v>
      </c>
      <c r="AA515" s="8">
        <f>IF(B515="","",IF(R515&gt;=C515,"In pantry","To buy"))</f>
        <v>0</v>
      </c>
      <c r="AB515" s="8">
        <f>IF(A515="","",COUNTIFS($A$5:A515,A515))</f>
        <v>0</v>
      </c>
      <c r="AC515" s="8">
        <f>IF(B515="","",IF(COUNTIFS('Dietary Filters'!$C$5:$C$104,B515)&gt;0,"Check","OK"))</f>
        <v>0</v>
      </c>
      <c r="AD515" s="25"/>
    </row>
    <row r="516" spans="1:30">
      <c r="A516" s="7"/>
      <c r="B516" s="7"/>
      <c r="C516" s="26"/>
      <c r="D516" s="27"/>
      <c r="E516" s="8">
        <f>IF(B516="","",IFERROR(INDEX(Ingredients!$B$5:$B$304,MATCH(B516,Ingredients!$A$5:$A$304,0)),""))</f>
        <v>0</v>
      </c>
      <c r="F516" s="8">
        <f>IF(B516="","",IFERROR(INDEX(Ingredients!$E$5:$E$304,MATCH(B516,Ingredients!$A$5:$A$304,0)),""))</f>
        <v>0</v>
      </c>
      <c r="G516" s="8">
        <f>IF(B516="","",IFERROR(INDEX(Ingredients!$D$5:$D$304,MATCH(B516,Ingredients!$A$5:$A$304,0)),""))</f>
        <v>0</v>
      </c>
      <c r="H516" s="8">
        <f>IF(OR(B516="",C516=""),"",IFERROR(C516*G516,""))</f>
        <v>0</v>
      </c>
      <c r="I516" s="8">
        <f>IF(A516="","",IFERROR(INDEX(Recipes!$D$5:$D$204,MATCH(A516,Recipes!$A$5:$A$204,0)),""))</f>
        <v>0</v>
      </c>
      <c r="J516" s="8">
        <f>IF(OR(H516="",I516="",I516=0),"",IFERROR(H516/I516,""))</f>
        <v>0</v>
      </c>
      <c r="K516" s="8">
        <f>IF(OR(B516="",C516=""),"",IFERROR(C516*IFERROR(INDEX(Ingredients!$H$5:$H$304,MATCH(B516,Ingredients!$A$5:$A$304,0)),""),""))</f>
        <v>0</v>
      </c>
      <c r="L516" s="8">
        <f>IF(OR(B516="",C516=""),"",IFERROR(C516*IFERROR(INDEX(Ingredients!$I$5:$I$304,MATCH(B516,Ingredients!$A$5:$A$304,0)),""),""))</f>
        <v>0</v>
      </c>
      <c r="M516" s="8">
        <f>IF(OR(B516="",C516=""),"",IFERROR(C516*IFERROR(INDEX(Ingredients!$J$5:$J$304,MATCH(B516,Ingredients!$A$5:$A$304,0)),""),""))</f>
        <v>0</v>
      </c>
      <c r="N516" s="8">
        <f>IF(OR(B516="",C516=""),"",IFERROR(C516*IFERROR(INDEX(Ingredients!$K$5:$K$304,MATCH(B516,Ingredients!$A$5:$A$304,0)),""),""))</f>
        <v>0</v>
      </c>
      <c r="O516" s="8">
        <f>IF(OR(B516="",C516=""),"",IFERROR(C516*IFERROR(INDEX(Ingredients!$L$5:$L$304,MATCH(B516,Ingredients!$A$5:$A$304,0)),""),""))</f>
        <v>0</v>
      </c>
      <c r="P516" s="8">
        <f>IF(OR(H516="",A516=""),"",IFERROR(H516/SUMIFS('Recipe Ingredients'!$H$5:$H$1204,'Recipe Ingredients'!$A$5:$A$1204,A516),""))</f>
        <v>0</v>
      </c>
      <c r="Q516" s="8">
        <f>IF(H516="","",COUNTIFS($H$5:$H$1204,"&gt;"&amp;H516)+1)</f>
        <v>0</v>
      </c>
      <c r="R516" s="8">
        <f>IF(B516="","",SUMIFS(Pantry!$C$5:$C$304,Pantry!$A$5:$A$304,B516))</f>
        <v>0</v>
      </c>
      <c r="S516" s="8">
        <f>IF(OR(B516="",C516=""),"",MAX(0,C516-R516))</f>
        <v>0</v>
      </c>
      <c r="T516" s="26"/>
      <c r="U516" s="8">
        <f>IF(OR(T516="",T516=0,G516=""),"",T516*G516)</f>
        <v>0</v>
      </c>
      <c r="V516" s="8">
        <f>IF(OR(S516="",T516="",T516=0),"",CEILING(S516/T516,1))</f>
        <v>0</v>
      </c>
      <c r="W516" s="27"/>
      <c r="X516" s="29"/>
      <c r="Y516" s="8">
        <f>IF(OR(C516="",X516=""),"",C516*(1+X516))</f>
        <v>0</v>
      </c>
      <c r="Z516" s="8">
        <f>IF(B516="","",IFERROR(INDEX(Ingredients!$O$5:$O$304,MATCH(B516,Ingredients!$A$5:$A$304,0)),""))</f>
        <v>0</v>
      </c>
      <c r="AA516" s="8">
        <f>IF(B516="","",IF(R516&gt;=C516,"In pantry","To buy"))</f>
        <v>0</v>
      </c>
      <c r="AB516" s="8">
        <f>IF(A516="","",COUNTIFS($A$5:A516,A516))</f>
        <v>0</v>
      </c>
      <c r="AC516" s="8">
        <f>IF(B516="","",IF(COUNTIFS('Dietary Filters'!$C$5:$C$104,B516)&gt;0,"Check","OK"))</f>
        <v>0</v>
      </c>
      <c r="AD516" s="25"/>
    </row>
    <row r="517" spans="1:30">
      <c r="A517" s="7"/>
      <c r="B517" s="7"/>
      <c r="C517" s="26"/>
      <c r="D517" s="27"/>
      <c r="E517" s="8">
        <f>IF(B517="","",IFERROR(INDEX(Ingredients!$B$5:$B$304,MATCH(B517,Ingredients!$A$5:$A$304,0)),""))</f>
        <v>0</v>
      </c>
      <c r="F517" s="8">
        <f>IF(B517="","",IFERROR(INDEX(Ingredients!$E$5:$E$304,MATCH(B517,Ingredients!$A$5:$A$304,0)),""))</f>
        <v>0</v>
      </c>
      <c r="G517" s="8">
        <f>IF(B517="","",IFERROR(INDEX(Ingredients!$D$5:$D$304,MATCH(B517,Ingredients!$A$5:$A$304,0)),""))</f>
        <v>0</v>
      </c>
      <c r="H517" s="8">
        <f>IF(OR(B517="",C517=""),"",IFERROR(C517*G517,""))</f>
        <v>0</v>
      </c>
      <c r="I517" s="8">
        <f>IF(A517="","",IFERROR(INDEX(Recipes!$D$5:$D$204,MATCH(A517,Recipes!$A$5:$A$204,0)),""))</f>
        <v>0</v>
      </c>
      <c r="J517" s="8">
        <f>IF(OR(H517="",I517="",I517=0),"",IFERROR(H517/I517,""))</f>
        <v>0</v>
      </c>
      <c r="K517" s="8">
        <f>IF(OR(B517="",C517=""),"",IFERROR(C517*IFERROR(INDEX(Ingredients!$H$5:$H$304,MATCH(B517,Ingredients!$A$5:$A$304,0)),""),""))</f>
        <v>0</v>
      </c>
      <c r="L517" s="8">
        <f>IF(OR(B517="",C517=""),"",IFERROR(C517*IFERROR(INDEX(Ingredients!$I$5:$I$304,MATCH(B517,Ingredients!$A$5:$A$304,0)),""),""))</f>
        <v>0</v>
      </c>
      <c r="M517" s="8">
        <f>IF(OR(B517="",C517=""),"",IFERROR(C517*IFERROR(INDEX(Ingredients!$J$5:$J$304,MATCH(B517,Ingredients!$A$5:$A$304,0)),""),""))</f>
        <v>0</v>
      </c>
      <c r="N517" s="8">
        <f>IF(OR(B517="",C517=""),"",IFERROR(C517*IFERROR(INDEX(Ingredients!$K$5:$K$304,MATCH(B517,Ingredients!$A$5:$A$304,0)),""),""))</f>
        <v>0</v>
      </c>
      <c r="O517" s="8">
        <f>IF(OR(B517="",C517=""),"",IFERROR(C517*IFERROR(INDEX(Ingredients!$L$5:$L$304,MATCH(B517,Ingredients!$A$5:$A$304,0)),""),""))</f>
        <v>0</v>
      </c>
      <c r="P517" s="8">
        <f>IF(OR(H517="",A517=""),"",IFERROR(H517/SUMIFS('Recipe Ingredients'!$H$5:$H$1204,'Recipe Ingredients'!$A$5:$A$1204,A517),""))</f>
        <v>0</v>
      </c>
      <c r="Q517" s="8">
        <f>IF(H517="","",COUNTIFS($H$5:$H$1204,"&gt;"&amp;H517)+1)</f>
        <v>0</v>
      </c>
      <c r="R517" s="8">
        <f>IF(B517="","",SUMIFS(Pantry!$C$5:$C$304,Pantry!$A$5:$A$304,B517))</f>
        <v>0</v>
      </c>
      <c r="S517" s="8">
        <f>IF(OR(B517="",C517=""),"",MAX(0,C517-R517))</f>
        <v>0</v>
      </c>
      <c r="T517" s="26"/>
      <c r="U517" s="8">
        <f>IF(OR(T517="",T517=0,G517=""),"",T517*G517)</f>
        <v>0</v>
      </c>
      <c r="V517" s="8">
        <f>IF(OR(S517="",T517="",T517=0),"",CEILING(S517/T517,1))</f>
        <v>0</v>
      </c>
      <c r="W517" s="27"/>
      <c r="X517" s="29"/>
      <c r="Y517" s="8">
        <f>IF(OR(C517="",X517=""),"",C517*(1+X517))</f>
        <v>0</v>
      </c>
      <c r="Z517" s="8">
        <f>IF(B517="","",IFERROR(INDEX(Ingredients!$O$5:$O$304,MATCH(B517,Ingredients!$A$5:$A$304,0)),""))</f>
        <v>0</v>
      </c>
      <c r="AA517" s="8">
        <f>IF(B517="","",IF(R517&gt;=C517,"In pantry","To buy"))</f>
        <v>0</v>
      </c>
      <c r="AB517" s="8">
        <f>IF(A517="","",COUNTIFS($A$5:A517,A517))</f>
        <v>0</v>
      </c>
      <c r="AC517" s="8">
        <f>IF(B517="","",IF(COUNTIFS('Dietary Filters'!$C$5:$C$104,B517)&gt;0,"Check","OK"))</f>
        <v>0</v>
      </c>
      <c r="AD517" s="25"/>
    </row>
    <row r="518" spans="1:30">
      <c r="A518" s="7"/>
      <c r="B518" s="7"/>
      <c r="C518" s="26"/>
      <c r="D518" s="27"/>
      <c r="E518" s="8">
        <f>IF(B518="","",IFERROR(INDEX(Ingredients!$B$5:$B$304,MATCH(B518,Ingredients!$A$5:$A$304,0)),""))</f>
        <v>0</v>
      </c>
      <c r="F518" s="8">
        <f>IF(B518="","",IFERROR(INDEX(Ingredients!$E$5:$E$304,MATCH(B518,Ingredients!$A$5:$A$304,0)),""))</f>
        <v>0</v>
      </c>
      <c r="G518" s="8">
        <f>IF(B518="","",IFERROR(INDEX(Ingredients!$D$5:$D$304,MATCH(B518,Ingredients!$A$5:$A$304,0)),""))</f>
        <v>0</v>
      </c>
      <c r="H518" s="8">
        <f>IF(OR(B518="",C518=""),"",IFERROR(C518*G518,""))</f>
        <v>0</v>
      </c>
      <c r="I518" s="8">
        <f>IF(A518="","",IFERROR(INDEX(Recipes!$D$5:$D$204,MATCH(A518,Recipes!$A$5:$A$204,0)),""))</f>
        <v>0</v>
      </c>
      <c r="J518" s="8">
        <f>IF(OR(H518="",I518="",I518=0),"",IFERROR(H518/I518,""))</f>
        <v>0</v>
      </c>
      <c r="K518" s="8">
        <f>IF(OR(B518="",C518=""),"",IFERROR(C518*IFERROR(INDEX(Ingredients!$H$5:$H$304,MATCH(B518,Ingredients!$A$5:$A$304,0)),""),""))</f>
        <v>0</v>
      </c>
      <c r="L518" s="8">
        <f>IF(OR(B518="",C518=""),"",IFERROR(C518*IFERROR(INDEX(Ingredients!$I$5:$I$304,MATCH(B518,Ingredients!$A$5:$A$304,0)),""),""))</f>
        <v>0</v>
      </c>
      <c r="M518" s="8">
        <f>IF(OR(B518="",C518=""),"",IFERROR(C518*IFERROR(INDEX(Ingredients!$J$5:$J$304,MATCH(B518,Ingredients!$A$5:$A$304,0)),""),""))</f>
        <v>0</v>
      </c>
      <c r="N518" s="8">
        <f>IF(OR(B518="",C518=""),"",IFERROR(C518*IFERROR(INDEX(Ingredients!$K$5:$K$304,MATCH(B518,Ingredients!$A$5:$A$304,0)),""),""))</f>
        <v>0</v>
      </c>
      <c r="O518" s="8">
        <f>IF(OR(B518="",C518=""),"",IFERROR(C518*IFERROR(INDEX(Ingredients!$L$5:$L$304,MATCH(B518,Ingredients!$A$5:$A$304,0)),""),""))</f>
        <v>0</v>
      </c>
      <c r="P518" s="8">
        <f>IF(OR(H518="",A518=""),"",IFERROR(H518/SUMIFS('Recipe Ingredients'!$H$5:$H$1204,'Recipe Ingredients'!$A$5:$A$1204,A518),""))</f>
        <v>0</v>
      </c>
      <c r="Q518" s="8">
        <f>IF(H518="","",COUNTIFS($H$5:$H$1204,"&gt;"&amp;H518)+1)</f>
        <v>0</v>
      </c>
      <c r="R518" s="8">
        <f>IF(B518="","",SUMIFS(Pantry!$C$5:$C$304,Pantry!$A$5:$A$304,B518))</f>
        <v>0</v>
      </c>
      <c r="S518" s="8">
        <f>IF(OR(B518="",C518=""),"",MAX(0,C518-R518))</f>
        <v>0</v>
      </c>
      <c r="T518" s="26"/>
      <c r="U518" s="8">
        <f>IF(OR(T518="",T518=0,G518=""),"",T518*G518)</f>
        <v>0</v>
      </c>
      <c r="V518" s="8">
        <f>IF(OR(S518="",T518="",T518=0),"",CEILING(S518/T518,1))</f>
        <v>0</v>
      </c>
      <c r="W518" s="27"/>
      <c r="X518" s="29"/>
      <c r="Y518" s="8">
        <f>IF(OR(C518="",X518=""),"",C518*(1+X518))</f>
        <v>0</v>
      </c>
      <c r="Z518" s="8">
        <f>IF(B518="","",IFERROR(INDEX(Ingredients!$O$5:$O$304,MATCH(B518,Ingredients!$A$5:$A$304,0)),""))</f>
        <v>0</v>
      </c>
      <c r="AA518" s="8">
        <f>IF(B518="","",IF(R518&gt;=C518,"In pantry","To buy"))</f>
        <v>0</v>
      </c>
      <c r="AB518" s="8">
        <f>IF(A518="","",COUNTIFS($A$5:A518,A518))</f>
        <v>0</v>
      </c>
      <c r="AC518" s="8">
        <f>IF(B518="","",IF(COUNTIFS('Dietary Filters'!$C$5:$C$104,B518)&gt;0,"Check","OK"))</f>
        <v>0</v>
      </c>
      <c r="AD518" s="25"/>
    </row>
    <row r="519" spans="1:30">
      <c r="A519" s="7"/>
      <c r="B519" s="7"/>
      <c r="C519" s="26"/>
      <c r="D519" s="27"/>
      <c r="E519" s="8">
        <f>IF(B519="","",IFERROR(INDEX(Ingredients!$B$5:$B$304,MATCH(B519,Ingredients!$A$5:$A$304,0)),""))</f>
        <v>0</v>
      </c>
      <c r="F519" s="8">
        <f>IF(B519="","",IFERROR(INDEX(Ingredients!$E$5:$E$304,MATCH(B519,Ingredients!$A$5:$A$304,0)),""))</f>
        <v>0</v>
      </c>
      <c r="G519" s="8">
        <f>IF(B519="","",IFERROR(INDEX(Ingredients!$D$5:$D$304,MATCH(B519,Ingredients!$A$5:$A$304,0)),""))</f>
        <v>0</v>
      </c>
      <c r="H519" s="8">
        <f>IF(OR(B519="",C519=""),"",IFERROR(C519*G519,""))</f>
        <v>0</v>
      </c>
      <c r="I519" s="8">
        <f>IF(A519="","",IFERROR(INDEX(Recipes!$D$5:$D$204,MATCH(A519,Recipes!$A$5:$A$204,0)),""))</f>
        <v>0</v>
      </c>
      <c r="J519" s="8">
        <f>IF(OR(H519="",I519="",I519=0),"",IFERROR(H519/I519,""))</f>
        <v>0</v>
      </c>
      <c r="K519" s="8">
        <f>IF(OR(B519="",C519=""),"",IFERROR(C519*IFERROR(INDEX(Ingredients!$H$5:$H$304,MATCH(B519,Ingredients!$A$5:$A$304,0)),""),""))</f>
        <v>0</v>
      </c>
      <c r="L519" s="8">
        <f>IF(OR(B519="",C519=""),"",IFERROR(C519*IFERROR(INDEX(Ingredients!$I$5:$I$304,MATCH(B519,Ingredients!$A$5:$A$304,0)),""),""))</f>
        <v>0</v>
      </c>
      <c r="M519" s="8">
        <f>IF(OR(B519="",C519=""),"",IFERROR(C519*IFERROR(INDEX(Ingredients!$J$5:$J$304,MATCH(B519,Ingredients!$A$5:$A$304,0)),""),""))</f>
        <v>0</v>
      </c>
      <c r="N519" s="8">
        <f>IF(OR(B519="",C519=""),"",IFERROR(C519*IFERROR(INDEX(Ingredients!$K$5:$K$304,MATCH(B519,Ingredients!$A$5:$A$304,0)),""),""))</f>
        <v>0</v>
      </c>
      <c r="O519" s="8">
        <f>IF(OR(B519="",C519=""),"",IFERROR(C519*IFERROR(INDEX(Ingredients!$L$5:$L$304,MATCH(B519,Ingredients!$A$5:$A$304,0)),""),""))</f>
        <v>0</v>
      </c>
      <c r="P519" s="8">
        <f>IF(OR(H519="",A519=""),"",IFERROR(H519/SUMIFS('Recipe Ingredients'!$H$5:$H$1204,'Recipe Ingredients'!$A$5:$A$1204,A519),""))</f>
        <v>0</v>
      </c>
      <c r="Q519" s="8">
        <f>IF(H519="","",COUNTIFS($H$5:$H$1204,"&gt;"&amp;H519)+1)</f>
        <v>0</v>
      </c>
      <c r="R519" s="8">
        <f>IF(B519="","",SUMIFS(Pantry!$C$5:$C$304,Pantry!$A$5:$A$304,B519))</f>
        <v>0</v>
      </c>
      <c r="S519" s="8">
        <f>IF(OR(B519="",C519=""),"",MAX(0,C519-R519))</f>
        <v>0</v>
      </c>
      <c r="T519" s="26"/>
      <c r="U519" s="8">
        <f>IF(OR(T519="",T519=0,G519=""),"",T519*G519)</f>
        <v>0</v>
      </c>
      <c r="V519" s="8">
        <f>IF(OR(S519="",T519="",T519=0),"",CEILING(S519/T519,1))</f>
        <v>0</v>
      </c>
      <c r="W519" s="27"/>
      <c r="X519" s="29"/>
      <c r="Y519" s="8">
        <f>IF(OR(C519="",X519=""),"",C519*(1+X519))</f>
        <v>0</v>
      </c>
      <c r="Z519" s="8">
        <f>IF(B519="","",IFERROR(INDEX(Ingredients!$O$5:$O$304,MATCH(B519,Ingredients!$A$5:$A$304,0)),""))</f>
        <v>0</v>
      </c>
      <c r="AA519" s="8">
        <f>IF(B519="","",IF(R519&gt;=C519,"In pantry","To buy"))</f>
        <v>0</v>
      </c>
      <c r="AB519" s="8">
        <f>IF(A519="","",COUNTIFS($A$5:A519,A519))</f>
        <v>0</v>
      </c>
      <c r="AC519" s="8">
        <f>IF(B519="","",IF(COUNTIFS('Dietary Filters'!$C$5:$C$104,B519)&gt;0,"Check","OK"))</f>
        <v>0</v>
      </c>
      <c r="AD519" s="25"/>
    </row>
    <row r="520" spans="1:30">
      <c r="A520" s="7"/>
      <c r="B520" s="7"/>
      <c r="C520" s="26"/>
      <c r="D520" s="27"/>
      <c r="E520" s="8">
        <f>IF(B520="","",IFERROR(INDEX(Ingredients!$B$5:$B$304,MATCH(B520,Ingredients!$A$5:$A$304,0)),""))</f>
        <v>0</v>
      </c>
      <c r="F520" s="8">
        <f>IF(B520="","",IFERROR(INDEX(Ingredients!$E$5:$E$304,MATCH(B520,Ingredients!$A$5:$A$304,0)),""))</f>
        <v>0</v>
      </c>
      <c r="G520" s="8">
        <f>IF(B520="","",IFERROR(INDEX(Ingredients!$D$5:$D$304,MATCH(B520,Ingredients!$A$5:$A$304,0)),""))</f>
        <v>0</v>
      </c>
      <c r="H520" s="8">
        <f>IF(OR(B520="",C520=""),"",IFERROR(C520*G520,""))</f>
        <v>0</v>
      </c>
      <c r="I520" s="8">
        <f>IF(A520="","",IFERROR(INDEX(Recipes!$D$5:$D$204,MATCH(A520,Recipes!$A$5:$A$204,0)),""))</f>
        <v>0</v>
      </c>
      <c r="J520" s="8">
        <f>IF(OR(H520="",I520="",I520=0),"",IFERROR(H520/I520,""))</f>
        <v>0</v>
      </c>
      <c r="K520" s="8">
        <f>IF(OR(B520="",C520=""),"",IFERROR(C520*IFERROR(INDEX(Ingredients!$H$5:$H$304,MATCH(B520,Ingredients!$A$5:$A$304,0)),""),""))</f>
        <v>0</v>
      </c>
      <c r="L520" s="8">
        <f>IF(OR(B520="",C520=""),"",IFERROR(C520*IFERROR(INDEX(Ingredients!$I$5:$I$304,MATCH(B520,Ingredients!$A$5:$A$304,0)),""),""))</f>
        <v>0</v>
      </c>
      <c r="M520" s="8">
        <f>IF(OR(B520="",C520=""),"",IFERROR(C520*IFERROR(INDEX(Ingredients!$J$5:$J$304,MATCH(B520,Ingredients!$A$5:$A$304,0)),""),""))</f>
        <v>0</v>
      </c>
      <c r="N520" s="8">
        <f>IF(OR(B520="",C520=""),"",IFERROR(C520*IFERROR(INDEX(Ingredients!$K$5:$K$304,MATCH(B520,Ingredients!$A$5:$A$304,0)),""),""))</f>
        <v>0</v>
      </c>
      <c r="O520" s="8">
        <f>IF(OR(B520="",C520=""),"",IFERROR(C520*IFERROR(INDEX(Ingredients!$L$5:$L$304,MATCH(B520,Ingredients!$A$5:$A$304,0)),""),""))</f>
        <v>0</v>
      </c>
      <c r="P520" s="8">
        <f>IF(OR(H520="",A520=""),"",IFERROR(H520/SUMIFS('Recipe Ingredients'!$H$5:$H$1204,'Recipe Ingredients'!$A$5:$A$1204,A520),""))</f>
        <v>0</v>
      </c>
      <c r="Q520" s="8">
        <f>IF(H520="","",COUNTIFS($H$5:$H$1204,"&gt;"&amp;H520)+1)</f>
        <v>0</v>
      </c>
      <c r="R520" s="8">
        <f>IF(B520="","",SUMIFS(Pantry!$C$5:$C$304,Pantry!$A$5:$A$304,B520))</f>
        <v>0</v>
      </c>
      <c r="S520" s="8">
        <f>IF(OR(B520="",C520=""),"",MAX(0,C520-R520))</f>
        <v>0</v>
      </c>
      <c r="T520" s="26"/>
      <c r="U520" s="8">
        <f>IF(OR(T520="",T520=0,G520=""),"",T520*G520)</f>
        <v>0</v>
      </c>
      <c r="V520" s="8">
        <f>IF(OR(S520="",T520="",T520=0),"",CEILING(S520/T520,1))</f>
        <v>0</v>
      </c>
      <c r="W520" s="27"/>
      <c r="X520" s="29"/>
      <c r="Y520" s="8">
        <f>IF(OR(C520="",X520=""),"",C520*(1+X520))</f>
        <v>0</v>
      </c>
      <c r="Z520" s="8">
        <f>IF(B520="","",IFERROR(INDEX(Ingredients!$O$5:$O$304,MATCH(B520,Ingredients!$A$5:$A$304,0)),""))</f>
        <v>0</v>
      </c>
      <c r="AA520" s="8">
        <f>IF(B520="","",IF(R520&gt;=C520,"In pantry","To buy"))</f>
        <v>0</v>
      </c>
      <c r="AB520" s="8">
        <f>IF(A520="","",COUNTIFS($A$5:A520,A520))</f>
        <v>0</v>
      </c>
      <c r="AC520" s="8">
        <f>IF(B520="","",IF(COUNTIFS('Dietary Filters'!$C$5:$C$104,B520)&gt;0,"Check","OK"))</f>
        <v>0</v>
      </c>
      <c r="AD520" s="25"/>
    </row>
    <row r="521" spans="1:30">
      <c r="A521" s="7"/>
      <c r="B521" s="7"/>
      <c r="C521" s="26"/>
      <c r="D521" s="27"/>
      <c r="E521" s="8">
        <f>IF(B521="","",IFERROR(INDEX(Ingredients!$B$5:$B$304,MATCH(B521,Ingredients!$A$5:$A$304,0)),""))</f>
        <v>0</v>
      </c>
      <c r="F521" s="8">
        <f>IF(B521="","",IFERROR(INDEX(Ingredients!$E$5:$E$304,MATCH(B521,Ingredients!$A$5:$A$304,0)),""))</f>
        <v>0</v>
      </c>
      <c r="G521" s="8">
        <f>IF(B521="","",IFERROR(INDEX(Ingredients!$D$5:$D$304,MATCH(B521,Ingredients!$A$5:$A$304,0)),""))</f>
        <v>0</v>
      </c>
      <c r="H521" s="8">
        <f>IF(OR(B521="",C521=""),"",IFERROR(C521*G521,""))</f>
        <v>0</v>
      </c>
      <c r="I521" s="8">
        <f>IF(A521="","",IFERROR(INDEX(Recipes!$D$5:$D$204,MATCH(A521,Recipes!$A$5:$A$204,0)),""))</f>
        <v>0</v>
      </c>
      <c r="J521" s="8">
        <f>IF(OR(H521="",I521="",I521=0),"",IFERROR(H521/I521,""))</f>
        <v>0</v>
      </c>
      <c r="K521" s="8">
        <f>IF(OR(B521="",C521=""),"",IFERROR(C521*IFERROR(INDEX(Ingredients!$H$5:$H$304,MATCH(B521,Ingredients!$A$5:$A$304,0)),""),""))</f>
        <v>0</v>
      </c>
      <c r="L521" s="8">
        <f>IF(OR(B521="",C521=""),"",IFERROR(C521*IFERROR(INDEX(Ingredients!$I$5:$I$304,MATCH(B521,Ingredients!$A$5:$A$304,0)),""),""))</f>
        <v>0</v>
      </c>
      <c r="M521" s="8">
        <f>IF(OR(B521="",C521=""),"",IFERROR(C521*IFERROR(INDEX(Ingredients!$J$5:$J$304,MATCH(B521,Ingredients!$A$5:$A$304,0)),""),""))</f>
        <v>0</v>
      </c>
      <c r="N521" s="8">
        <f>IF(OR(B521="",C521=""),"",IFERROR(C521*IFERROR(INDEX(Ingredients!$K$5:$K$304,MATCH(B521,Ingredients!$A$5:$A$304,0)),""),""))</f>
        <v>0</v>
      </c>
      <c r="O521" s="8">
        <f>IF(OR(B521="",C521=""),"",IFERROR(C521*IFERROR(INDEX(Ingredients!$L$5:$L$304,MATCH(B521,Ingredients!$A$5:$A$304,0)),""),""))</f>
        <v>0</v>
      </c>
      <c r="P521" s="8">
        <f>IF(OR(H521="",A521=""),"",IFERROR(H521/SUMIFS('Recipe Ingredients'!$H$5:$H$1204,'Recipe Ingredients'!$A$5:$A$1204,A521),""))</f>
        <v>0</v>
      </c>
      <c r="Q521" s="8">
        <f>IF(H521="","",COUNTIFS($H$5:$H$1204,"&gt;"&amp;H521)+1)</f>
        <v>0</v>
      </c>
      <c r="R521" s="8">
        <f>IF(B521="","",SUMIFS(Pantry!$C$5:$C$304,Pantry!$A$5:$A$304,B521))</f>
        <v>0</v>
      </c>
      <c r="S521" s="8">
        <f>IF(OR(B521="",C521=""),"",MAX(0,C521-R521))</f>
        <v>0</v>
      </c>
      <c r="T521" s="26"/>
      <c r="U521" s="8">
        <f>IF(OR(T521="",T521=0,G521=""),"",T521*G521)</f>
        <v>0</v>
      </c>
      <c r="V521" s="8">
        <f>IF(OR(S521="",T521="",T521=0),"",CEILING(S521/T521,1))</f>
        <v>0</v>
      </c>
      <c r="W521" s="27"/>
      <c r="X521" s="29"/>
      <c r="Y521" s="8">
        <f>IF(OR(C521="",X521=""),"",C521*(1+X521))</f>
        <v>0</v>
      </c>
      <c r="Z521" s="8">
        <f>IF(B521="","",IFERROR(INDEX(Ingredients!$O$5:$O$304,MATCH(B521,Ingredients!$A$5:$A$304,0)),""))</f>
        <v>0</v>
      </c>
      <c r="AA521" s="8">
        <f>IF(B521="","",IF(R521&gt;=C521,"In pantry","To buy"))</f>
        <v>0</v>
      </c>
      <c r="AB521" s="8">
        <f>IF(A521="","",COUNTIFS($A$5:A521,A521))</f>
        <v>0</v>
      </c>
      <c r="AC521" s="8">
        <f>IF(B521="","",IF(COUNTIFS('Dietary Filters'!$C$5:$C$104,B521)&gt;0,"Check","OK"))</f>
        <v>0</v>
      </c>
      <c r="AD521" s="25"/>
    </row>
    <row r="522" spans="1:30">
      <c r="A522" s="7"/>
      <c r="B522" s="7"/>
      <c r="C522" s="26"/>
      <c r="D522" s="27"/>
      <c r="E522" s="8">
        <f>IF(B522="","",IFERROR(INDEX(Ingredients!$B$5:$B$304,MATCH(B522,Ingredients!$A$5:$A$304,0)),""))</f>
        <v>0</v>
      </c>
      <c r="F522" s="8">
        <f>IF(B522="","",IFERROR(INDEX(Ingredients!$E$5:$E$304,MATCH(B522,Ingredients!$A$5:$A$304,0)),""))</f>
        <v>0</v>
      </c>
      <c r="G522" s="8">
        <f>IF(B522="","",IFERROR(INDEX(Ingredients!$D$5:$D$304,MATCH(B522,Ingredients!$A$5:$A$304,0)),""))</f>
        <v>0</v>
      </c>
      <c r="H522" s="8">
        <f>IF(OR(B522="",C522=""),"",IFERROR(C522*G522,""))</f>
        <v>0</v>
      </c>
      <c r="I522" s="8">
        <f>IF(A522="","",IFERROR(INDEX(Recipes!$D$5:$D$204,MATCH(A522,Recipes!$A$5:$A$204,0)),""))</f>
        <v>0</v>
      </c>
      <c r="J522" s="8">
        <f>IF(OR(H522="",I522="",I522=0),"",IFERROR(H522/I522,""))</f>
        <v>0</v>
      </c>
      <c r="K522" s="8">
        <f>IF(OR(B522="",C522=""),"",IFERROR(C522*IFERROR(INDEX(Ingredients!$H$5:$H$304,MATCH(B522,Ingredients!$A$5:$A$304,0)),""),""))</f>
        <v>0</v>
      </c>
      <c r="L522" s="8">
        <f>IF(OR(B522="",C522=""),"",IFERROR(C522*IFERROR(INDEX(Ingredients!$I$5:$I$304,MATCH(B522,Ingredients!$A$5:$A$304,0)),""),""))</f>
        <v>0</v>
      </c>
      <c r="M522" s="8">
        <f>IF(OR(B522="",C522=""),"",IFERROR(C522*IFERROR(INDEX(Ingredients!$J$5:$J$304,MATCH(B522,Ingredients!$A$5:$A$304,0)),""),""))</f>
        <v>0</v>
      </c>
      <c r="N522" s="8">
        <f>IF(OR(B522="",C522=""),"",IFERROR(C522*IFERROR(INDEX(Ingredients!$K$5:$K$304,MATCH(B522,Ingredients!$A$5:$A$304,0)),""),""))</f>
        <v>0</v>
      </c>
      <c r="O522" s="8">
        <f>IF(OR(B522="",C522=""),"",IFERROR(C522*IFERROR(INDEX(Ingredients!$L$5:$L$304,MATCH(B522,Ingredients!$A$5:$A$304,0)),""),""))</f>
        <v>0</v>
      </c>
      <c r="P522" s="8">
        <f>IF(OR(H522="",A522=""),"",IFERROR(H522/SUMIFS('Recipe Ingredients'!$H$5:$H$1204,'Recipe Ingredients'!$A$5:$A$1204,A522),""))</f>
        <v>0</v>
      </c>
      <c r="Q522" s="8">
        <f>IF(H522="","",COUNTIFS($H$5:$H$1204,"&gt;"&amp;H522)+1)</f>
        <v>0</v>
      </c>
      <c r="R522" s="8">
        <f>IF(B522="","",SUMIFS(Pantry!$C$5:$C$304,Pantry!$A$5:$A$304,B522))</f>
        <v>0</v>
      </c>
      <c r="S522" s="8">
        <f>IF(OR(B522="",C522=""),"",MAX(0,C522-R522))</f>
        <v>0</v>
      </c>
      <c r="T522" s="26"/>
      <c r="U522" s="8">
        <f>IF(OR(T522="",T522=0,G522=""),"",T522*G522)</f>
        <v>0</v>
      </c>
      <c r="V522" s="8">
        <f>IF(OR(S522="",T522="",T522=0),"",CEILING(S522/T522,1))</f>
        <v>0</v>
      </c>
      <c r="W522" s="27"/>
      <c r="X522" s="29"/>
      <c r="Y522" s="8">
        <f>IF(OR(C522="",X522=""),"",C522*(1+X522))</f>
        <v>0</v>
      </c>
      <c r="Z522" s="8">
        <f>IF(B522="","",IFERROR(INDEX(Ingredients!$O$5:$O$304,MATCH(B522,Ingredients!$A$5:$A$304,0)),""))</f>
        <v>0</v>
      </c>
      <c r="AA522" s="8">
        <f>IF(B522="","",IF(R522&gt;=C522,"In pantry","To buy"))</f>
        <v>0</v>
      </c>
      <c r="AB522" s="8">
        <f>IF(A522="","",COUNTIFS($A$5:A522,A522))</f>
        <v>0</v>
      </c>
      <c r="AC522" s="8">
        <f>IF(B522="","",IF(COUNTIFS('Dietary Filters'!$C$5:$C$104,B522)&gt;0,"Check","OK"))</f>
        <v>0</v>
      </c>
      <c r="AD522" s="25"/>
    </row>
    <row r="523" spans="1:30">
      <c r="A523" s="7"/>
      <c r="B523" s="7"/>
      <c r="C523" s="26"/>
      <c r="D523" s="27"/>
      <c r="E523" s="8">
        <f>IF(B523="","",IFERROR(INDEX(Ingredients!$B$5:$B$304,MATCH(B523,Ingredients!$A$5:$A$304,0)),""))</f>
        <v>0</v>
      </c>
      <c r="F523" s="8">
        <f>IF(B523="","",IFERROR(INDEX(Ingredients!$E$5:$E$304,MATCH(B523,Ingredients!$A$5:$A$304,0)),""))</f>
        <v>0</v>
      </c>
      <c r="G523" s="8">
        <f>IF(B523="","",IFERROR(INDEX(Ingredients!$D$5:$D$304,MATCH(B523,Ingredients!$A$5:$A$304,0)),""))</f>
        <v>0</v>
      </c>
      <c r="H523" s="8">
        <f>IF(OR(B523="",C523=""),"",IFERROR(C523*G523,""))</f>
        <v>0</v>
      </c>
      <c r="I523" s="8">
        <f>IF(A523="","",IFERROR(INDEX(Recipes!$D$5:$D$204,MATCH(A523,Recipes!$A$5:$A$204,0)),""))</f>
        <v>0</v>
      </c>
      <c r="J523" s="8">
        <f>IF(OR(H523="",I523="",I523=0),"",IFERROR(H523/I523,""))</f>
        <v>0</v>
      </c>
      <c r="K523" s="8">
        <f>IF(OR(B523="",C523=""),"",IFERROR(C523*IFERROR(INDEX(Ingredients!$H$5:$H$304,MATCH(B523,Ingredients!$A$5:$A$304,0)),""),""))</f>
        <v>0</v>
      </c>
      <c r="L523" s="8">
        <f>IF(OR(B523="",C523=""),"",IFERROR(C523*IFERROR(INDEX(Ingredients!$I$5:$I$304,MATCH(B523,Ingredients!$A$5:$A$304,0)),""),""))</f>
        <v>0</v>
      </c>
      <c r="M523" s="8">
        <f>IF(OR(B523="",C523=""),"",IFERROR(C523*IFERROR(INDEX(Ingredients!$J$5:$J$304,MATCH(B523,Ingredients!$A$5:$A$304,0)),""),""))</f>
        <v>0</v>
      </c>
      <c r="N523" s="8">
        <f>IF(OR(B523="",C523=""),"",IFERROR(C523*IFERROR(INDEX(Ingredients!$K$5:$K$304,MATCH(B523,Ingredients!$A$5:$A$304,0)),""),""))</f>
        <v>0</v>
      </c>
      <c r="O523" s="8">
        <f>IF(OR(B523="",C523=""),"",IFERROR(C523*IFERROR(INDEX(Ingredients!$L$5:$L$304,MATCH(B523,Ingredients!$A$5:$A$304,0)),""),""))</f>
        <v>0</v>
      </c>
      <c r="P523" s="8">
        <f>IF(OR(H523="",A523=""),"",IFERROR(H523/SUMIFS('Recipe Ingredients'!$H$5:$H$1204,'Recipe Ingredients'!$A$5:$A$1204,A523),""))</f>
        <v>0</v>
      </c>
      <c r="Q523" s="8">
        <f>IF(H523="","",COUNTIFS($H$5:$H$1204,"&gt;"&amp;H523)+1)</f>
        <v>0</v>
      </c>
      <c r="R523" s="8">
        <f>IF(B523="","",SUMIFS(Pantry!$C$5:$C$304,Pantry!$A$5:$A$304,B523))</f>
        <v>0</v>
      </c>
      <c r="S523" s="8">
        <f>IF(OR(B523="",C523=""),"",MAX(0,C523-R523))</f>
        <v>0</v>
      </c>
      <c r="T523" s="26"/>
      <c r="U523" s="8">
        <f>IF(OR(T523="",T523=0,G523=""),"",T523*G523)</f>
        <v>0</v>
      </c>
      <c r="V523" s="8">
        <f>IF(OR(S523="",T523="",T523=0),"",CEILING(S523/T523,1))</f>
        <v>0</v>
      </c>
      <c r="W523" s="27"/>
      <c r="X523" s="29"/>
      <c r="Y523" s="8">
        <f>IF(OR(C523="",X523=""),"",C523*(1+X523))</f>
        <v>0</v>
      </c>
      <c r="Z523" s="8">
        <f>IF(B523="","",IFERROR(INDEX(Ingredients!$O$5:$O$304,MATCH(B523,Ingredients!$A$5:$A$304,0)),""))</f>
        <v>0</v>
      </c>
      <c r="AA523" s="8">
        <f>IF(B523="","",IF(R523&gt;=C523,"In pantry","To buy"))</f>
        <v>0</v>
      </c>
      <c r="AB523" s="8">
        <f>IF(A523="","",COUNTIFS($A$5:A523,A523))</f>
        <v>0</v>
      </c>
      <c r="AC523" s="8">
        <f>IF(B523="","",IF(COUNTIFS('Dietary Filters'!$C$5:$C$104,B523)&gt;0,"Check","OK"))</f>
        <v>0</v>
      </c>
      <c r="AD523" s="25"/>
    </row>
    <row r="524" spans="1:30">
      <c r="A524" s="7"/>
      <c r="B524" s="7"/>
      <c r="C524" s="26"/>
      <c r="D524" s="27"/>
      <c r="E524" s="8">
        <f>IF(B524="","",IFERROR(INDEX(Ingredients!$B$5:$B$304,MATCH(B524,Ingredients!$A$5:$A$304,0)),""))</f>
        <v>0</v>
      </c>
      <c r="F524" s="8">
        <f>IF(B524="","",IFERROR(INDEX(Ingredients!$E$5:$E$304,MATCH(B524,Ingredients!$A$5:$A$304,0)),""))</f>
        <v>0</v>
      </c>
      <c r="G524" s="8">
        <f>IF(B524="","",IFERROR(INDEX(Ingredients!$D$5:$D$304,MATCH(B524,Ingredients!$A$5:$A$304,0)),""))</f>
        <v>0</v>
      </c>
      <c r="H524" s="8">
        <f>IF(OR(B524="",C524=""),"",IFERROR(C524*G524,""))</f>
        <v>0</v>
      </c>
      <c r="I524" s="8">
        <f>IF(A524="","",IFERROR(INDEX(Recipes!$D$5:$D$204,MATCH(A524,Recipes!$A$5:$A$204,0)),""))</f>
        <v>0</v>
      </c>
      <c r="J524" s="8">
        <f>IF(OR(H524="",I524="",I524=0),"",IFERROR(H524/I524,""))</f>
        <v>0</v>
      </c>
      <c r="K524" s="8">
        <f>IF(OR(B524="",C524=""),"",IFERROR(C524*IFERROR(INDEX(Ingredients!$H$5:$H$304,MATCH(B524,Ingredients!$A$5:$A$304,0)),""),""))</f>
        <v>0</v>
      </c>
      <c r="L524" s="8">
        <f>IF(OR(B524="",C524=""),"",IFERROR(C524*IFERROR(INDEX(Ingredients!$I$5:$I$304,MATCH(B524,Ingredients!$A$5:$A$304,0)),""),""))</f>
        <v>0</v>
      </c>
      <c r="M524" s="8">
        <f>IF(OR(B524="",C524=""),"",IFERROR(C524*IFERROR(INDEX(Ingredients!$J$5:$J$304,MATCH(B524,Ingredients!$A$5:$A$304,0)),""),""))</f>
        <v>0</v>
      </c>
      <c r="N524" s="8">
        <f>IF(OR(B524="",C524=""),"",IFERROR(C524*IFERROR(INDEX(Ingredients!$K$5:$K$304,MATCH(B524,Ingredients!$A$5:$A$304,0)),""),""))</f>
        <v>0</v>
      </c>
      <c r="O524" s="8">
        <f>IF(OR(B524="",C524=""),"",IFERROR(C524*IFERROR(INDEX(Ingredients!$L$5:$L$304,MATCH(B524,Ingredients!$A$5:$A$304,0)),""),""))</f>
        <v>0</v>
      </c>
      <c r="P524" s="8">
        <f>IF(OR(H524="",A524=""),"",IFERROR(H524/SUMIFS('Recipe Ingredients'!$H$5:$H$1204,'Recipe Ingredients'!$A$5:$A$1204,A524),""))</f>
        <v>0</v>
      </c>
      <c r="Q524" s="8">
        <f>IF(H524="","",COUNTIFS($H$5:$H$1204,"&gt;"&amp;H524)+1)</f>
        <v>0</v>
      </c>
      <c r="R524" s="8">
        <f>IF(B524="","",SUMIFS(Pantry!$C$5:$C$304,Pantry!$A$5:$A$304,B524))</f>
        <v>0</v>
      </c>
      <c r="S524" s="8">
        <f>IF(OR(B524="",C524=""),"",MAX(0,C524-R524))</f>
        <v>0</v>
      </c>
      <c r="T524" s="26"/>
      <c r="U524" s="8">
        <f>IF(OR(T524="",T524=0,G524=""),"",T524*G524)</f>
        <v>0</v>
      </c>
      <c r="V524" s="8">
        <f>IF(OR(S524="",T524="",T524=0),"",CEILING(S524/T524,1))</f>
        <v>0</v>
      </c>
      <c r="W524" s="27"/>
      <c r="X524" s="29"/>
      <c r="Y524" s="8">
        <f>IF(OR(C524="",X524=""),"",C524*(1+X524))</f>
        <v>0</v>
      </c>
      <c r="Z524" s="8">
        <f>IF(B524="","",IFERROR(INDEX(Ingredients!$O$5:$O$304,MATCH(B524,Ingredients!$A$5:$A$304,0)),""))</f>
        <v>0</v>
      </c>
      <c r="AA524" s="8">
        <f>IF(B524="","",IF(R524&gt;=C524,"In pantry","To buy"))</f>
        <v>0</v>
      </c>
      <c r="AB524" s="8">
        <f>IF(A524="","",COUNTIFS($A$5:A524,A524))</f>
        <v>0</v>
      </c>
      <c r="AC524" s="8">
        <f>IF(B524="","",IF(COUNTIFS('Dietary Filters'!$C$5:$C$104,B524)&gt;0,"Check","OK"))</f>
        <v>0</v>
      </c>
      <c r="AD524" s="25"/>
    </row>
    <row r="525" spans="1:30">
      <c r="A525" s="7"/>
      <c r="B525" s="7"/>
      <c r="C525" s="26"/>
      <c r="D525" s="27"/>
      <c r="E525" s="8">
        <f>IF(B525="","",IFERROR(INDEX(Ingredients!$B$5:$B$304,MATCH(B525,Ingredients!$A$5:$A$304,0)),""))</f>
        <v>0</v>
      </c>
      <c r="F525" s="8">
        <f>IF(B525="","",IFERROR(INDEX(Ingredients!$E$5:$E$304,MATCH(B525,Ingredients!$A$5:$A$304,0)),""))</f>
        <v>0</v>
      </c>
      <c r="G525" s="8">
        <f>IF(B525="","",IFERROR(INDEX(Ingredients!$D$5:$D$304,MATCH(B525,Ingredients!$A$5:$A$304,0)),""))</f>
        <v>0</v>
      </c>
      <c r="H525" s="8">
        <f>IF(OR(B525="",C525=""),"",IFERROR(C525*G525,""))</f>
        <v>0</v>
      </c>
      <c r="I525" s="8">
        <f>IF(A525="","",IFERROR(INDEX(Recipes!$D$5:$D$204,MATCH(A525,Recipes!$A$5:$A$204,0)),""))</f>
        <v>0</v>
      </c>
      <c r="J525" s="8">
        <f>IF(OR(H525="",I525="",I525=0),"",IFERROR(H525/I525,""))</f>
        <v>0</v>
      </c>
      <c r="K525" s="8">
        <f>IF(OR(B525="",C525=""),"",IFERROR(C525*IFERROR(INDEX(Ingredients!$H$5:$H$304,MATCH(B525,Ingredients!$A$5:$A$304,0)),""),""))</f>
        <v>0</v>
      </c>
      <c r="L525" s="8">
        <f>IF(OR(B525="",C525=""),"",IFERROR(C525*IFERROR(INDEX(Ingredients!$I$5:$I$304,MATCH(B525,Ingredients!$A$5:$A$304,0)),""),""))</f>
        <v>0</v>
      </c>
      <c r="M525" s="8">
        <f>IF(OR(B525="",C525=""),"",IFERROR(C525*IFERROR(INDEX(Ingredients!$J$5:$J$304,MATCH(B525,Ingredients!$A$5:$A$304,0)),""),""))</f>
        <v>0</v>
      </c>
      <c r="N525" s="8">
        <f>IF(OR(B525="",C525=""),"",IFERROR(C525*IFERROR(INDEX(Ingredients!$K$5:$K$304,MATCH(B525,Ingredients!$A$5:$A$304,0)),""),""))</f>
        <v>0</v>
      </c>
      <c r="O525" s="8">
        <f>IF(OR(B525="",C525=""),"",IFERROR(C525*IFERROR(INDEX(Ingredients!$L$5:$L$304,MATCH(B525,Ingredients!$A$5:$A$304,0)),""),""))</f>
        <v>0</v>
      </c>
      <c r="P525" s="8">
        <f>IF(OR(H525="",A525=""),"",IFERROR(H525/SUMIFS('Recipe Ingredients'!$H$5:$H$1204,'Recipe Ingredients'!$A$5:$A$1204,A525),""))</f>
        <v>0</v>
      </c>
      <c r="Q525" s="8">
        <f>IF(H525="","",COUNTIFS($H$5:$H$1204,"&gt;"&amp;H525)+1)</f>
        <v>0</v>
      </c>
      <c r="R525" s="8">
        <f>IF(B525="","",SUMIFS(Pantry!$C$5:$C$304,Pantry!$A$5:$A$304,B525))</f>
        <v>0</v>
      </c>
      <c r="S525" s="8">
        <f>IF(OR(B525="",C525=""),"",MAX(0,C525-R525))</f>
        <v>0</v>
      </c>
      <c r="T525" s="26"/>
      <c r="U525" s="8">
        <f>IF(OR(T525="",T525=0,G525=""),"",T525*G525)</f>
        <v>0</v>
      </c>
      <c r="V525" s="8">
        <f>IF(OR(S525="",T525="",T525=0),"",CEILING(S525/T525,1))</f>
        <v>0</v>
      </c>
      <c r="W525" s="27"/>
      <c r="X525" s="29"/>
      <c r="Y525" s="8">
        <f>IF(OR(C525="",X525=""),"",C525*(1+X525))</f>
        <v>0</v>
      </c>
      <c r="Z525" s="8">
        <f>IF(B525="","",IFERROR(INDEX(Ingredients!$O$5:$O$304,MATCH(B525,Ingredients!$A$5:$A$304,0)),""))</f>
        <v>0</v>
      </c>
      <c r="AA525" s="8">
        <f>IF(B525="","",IF(R525&gt;=C525,"In pantry","To buy"))</f>
        <v>0</v>
      </c>
      <c r="AB525" s="8">
        <f>IF(A525="","",COUNTIFS($A$5:A525,A525))</f>
        <v>0</v>
      </c>
      <c r="AC525" s="8">
        <f>IF(B525="","",IF(COUNTIFS('Dietary Filters'!$C$5:$C$104,B525)&gt;0,"Check","OK"))</f>
        <v>0</v>
      </c>
      <c r="AD525" s="25"/>
    </row>
    <row r="526" spans="1:30">
      <c r="A526" s="7"/>
      <c r="B526" s="7"/>
      <c r="C526" s="26"/>
      <c r="D526" s="27"/>
      <c r="E526" s="8">
        <f>IF(B526="","",IFERROR(INDEX(Ingredients!$B$5:$B$304,MATCH(B526,Ingredients!$A$5:$A$304,0)),""))</f>
        <v>0</v>
      </c>
      <c r="F526" s="8">
        <f>IF(B526="","",IFERROR(INDEX(Ingredients!$E$5:$E$304,MATCH(B526,Ingredients!$A$5:$A$304,0)),""))</f>
        <v>0</v>
      </c>
      <c r="G526" s="8">
        <f>IF(B526="","",IFERROR(INDEX(Ingredients!$D$5:$D$304,MATCH(B526,Ingredients!$A$5:$A$304,0)),""))</f>
        <v>0</v>
      </c>
      <c r="H526" s="8">
        <f>IF(OR(B526="",C526=""),"",IFERROR(C526*G526,""))</f>
        <v>0</v>
      </c>
      <c r="I526" s="8">
        <f>IF(A526="","",IFERROR(INDEX(Recipes!$D$5:$D$204,MATCH(A526,Recipes!$A$5:$A$204,0)),""))</f>
        <v>0</v>
      </c>
      <c r="J526" s="8">
        <f>IF(OR(H526="",I526="",I526=0),"",IFERROR(H526/I526,""))</f>
        <v>0</v>
      </c>
      <c r="K526" s="8">
        <f>IF(OR(B526="",C526=""),"",IFERROR(C526*IFERROR(INDEX(Ingredients!$H$5:$H$304,MATCH(B526,Ingredients!$A$5:$A$304,0)),""),""))</f>
        <v>0</v>
      </c>
      <c r="L526" s="8">
        <f>IF(OR(B526="",C526=""),"",IFERROR(C526*IFERROR(INDEX(Ingredients!$I$5:$I$304,MATCH(B526,Ingredients!$A$5:$A$304,0)),""),""))</f>
        <v>0</v>
      </c>
      <c r="M526" s="8">
        <f>IF(OR(B526="",C526=""),"",IFERROR(C526*IFERROR(INDEX(Ingredients!$J$5:$J$304,MATCH(B526,Ingredients!$A$5:$A$304,0)),""),""))</f>
        <v>0</v>
      </c>
      <c r="N526" s="8">
        <f>IF(OR(B526="",C526=""),"",IFERROR(C526*IFERROR(INDEX(Ingredients!$K$5:$K$304,MATCH(B526,Ingredients!$A$5:$A$304,0)),""),""))</f>
        <v>0</v>
      </c>
      <c r="O526" s="8">
        <f>IF(OR(B526="",C526=""),"",IFERROR(C526*IFERROR(INDEX(Ingredients!$L$5:$L$304,MATCH(B526,Ingredients!$A$5:$A$304,0)),""),""))</f>
        <v>0</v>
      </c>
      <c r="P526" s="8">
        <f>IF(OR(H526="",A526=""),"",IFERROR(H526/SUMIFS('Recipe Ingredients'!$H$5:$H$1204,'Recipe Ingredients'!$A$5:$A$1204,A526),""))</f>
        <v>0</v>
      </c>
      <c r="Q526" s="8">
        <f>IF(H526="","",COUNTIFS($H$5:$H$1204,"&gt;"&amp;H526)+1)</f>
        <v>0</v>
      </c>
      <c r="R526" s="8">
        <f>IF(B526="","",SUMIFS(Pantry!$C$5:$C$304,Pantry!$A$5:$A$304,B526))</f>
        <v>0</v>
      </c>
      <c r="S526" s="8">
        <f>IF(OR(B526="",C526=""),"",MAX(0,C526-R526))</f>
        <v>0</v>
      </c>
      <c r="T526" s="26"/>
      <c r="U526" s="8">
        <f>IF(OR(T526="",T526=0,G526=""),"",T526*G526)</f>
        <v>0</v>
      </c>
      <c r="V526" s="8">
        <f>IF(OR(S526="",T526="",T526=0),"",CEILING(S526/T526,1))</f>
        <v>0</v>
      </c>
      <c r="W526" s="27"/>
      <c r="X526" s="29"/>
      <c r="Y526" s="8">
        <f>IF(OR(C526="",X526=""),"",C526*(1+X526))</f>
        <v>0</v>
      </c>
      <c r="Z526" s="8">
        <f>IF(B526="","",IFERROR(INDEX(Ingredients!$O$5:$O$304,MATCH(B526,Ingredients!$A$5:$A$304,0)),""))</f>
        <v>0</v>
      </c>
      <c r="AA526" s="8">
        <f>IF(B526="","",IF(R526&gt;=C526,"In pantry","To buy"))</f>
        <v>0</v>
      </c>
      <c r="AB526" s="8">
        <f>IF(A526="","",COUNTIFS($A$5:A526,A526))</f>
        <v>0</v>
      </c>
      <c r="AC526" s="8">
        <f>IF(B526="","",IF(COUNTIFS('Dietary Filters'!$C$5:$C$104,B526)&gt;0,"Check","OK"))</f>
        <v>0</v>
      </c>
      <c r="AD526" s="25"/>
    </row>
    <row r="527" spans="1:30">
      <c r="A527" s="7"/>
      <c r="B527" s="7"/>
      <c r="C527" s="26"/>
      <c r="D527" s="27"/>
      <c r="E527" s="8">
        <f>IF(B527="","",IFERROR(INDEX(Ingredients!$B$5:$B$304,MATCH(B527,Ingredients!$A$5:$A$304,0)),""))</f>
        <v>0</v>
      </c>
      <c r="F527" s="8">
        <f>IF(B527="","",IFERROR(INDEX(Ingredients!$E$5:$E$304,MATCH(B527,Ingredients!$A$5:$A$304,0)),""))</f>
        <v>0</v>
      </c>
      <c r="G527" s="8">
        <f>IF(B527="","",IFERROR(INDEX(Ingredients!$D$5:$D$304,MATCH(B527,Ingredients!$A$5:$A$304,0)),""))</f>
        <v>0</v>
      </c>
      <c r="H527" s="8">
        <f>IF(OR(B527="",C527=""),"",IFERROR(C527*G527,""))</f>
        <v>0</v>
      </c>
      <c r="I527" s="8">
        <f>IF(A527="","",IFERROR(INDEX(Recipes!$D$5:$D$204,MATCH(A527,Recipes!$A$5:$A$204,0)),""))</f>
        <v>0</v>
      </c>
      <c r="J527" s="8">
        <f>IF(OR(H527="",I527="",I527=0),"",IFERROR(H527/I527,""))</f>
        <v>0</v>
      </c>
      <c r="K527" s="8">
        <f>IF(OR(B527="",C527=""),"",IFERROR(C527*IFERROR(INDEX(Ingredients!$H$5:$H$304,MATCH(B527,Ingredients!$A$5:$A$304,0)),""),""))</f>
        <v>0</v>
      </c>
      <c r="L527" s="8">
        <f>IF(OR(B527="",C527=""),"",IFERROR(C527*IFERROR(INDEX(Ingredients!$I$5:$I$304,MATCH(B527,Ingredients!$A$5:$A$304,0)),""),""))</f>
        <v>0</v>
      </c>
      <c r="M527" s="8">
        <f>IF(OR(B527="",C527=""),"",IFERROR(C527*IFERROR(INDEX(Ingredients!$J$5:$J$304,MATCH(B527,Ingredients!$A$5:$A$304,0)),""),""))</f>
        <v>0</v>
      </c>
      <c r="N527" s="8">
        <f>IF(OR(B527="",C527=""),"",IFERROR(C527*IFERROR(INDEX(Ingredients!$K$5:$K$304,MATCH(B527,Ingredients!$A$5:$A$304,0)),""),""))</f>
        <v>0</v>
      </c>
      <c r="O527" s="8">
        <f>IF(OR(B527="",C527=""),"",IFERROR(C527*IFERROR(INDEX(Ingredients!$L$5:$L$304,MATCH(B527,Ingredients!$A$5:$A$304,0)),""),""))</f>
        <v>0</v>
      </c>
      <c r="P527" s="8">
        <f>IF(OR(H527="",A527=""),"",IFERROR(H527/SUMIFS('Recipe Ingredients'!$H$5:$H$1204,'Recipe Ingredients'!$A$5:$A$1204,A527),""))</f>
        <v>0</v>
      </c>
      <c r="Q527" s="8">
        <f>IF(H527="","",COUNTIFS($H$5:$H$1204,"&gt;"&amp;H527)+1)</f>
        <v>0</v>
      </c>
      <c r="R527" s="8">
        <f>IF(B527="","",SUMIFS(Pantry!$C$5:$C$304,Pantry!$A$5:$A$304,B527))</f>
        <v>0</v>
      </c>
      <c r="S527" s="8">
        <f>IF(OR(B527="",C527=""),"",MAX(0,C527-R527))</f>
        <v>0</v>
      </c>
      <c r="T527" s="26"/>
      <c r="U527" s="8">
        <f>IF(OR(T527="",T527=0,G527=""),"",T527*G527)</f>
        <v>0</v>
      </c>
      <c r="V527" s="8">
        <f>IF(OR(S527="",T527="",T527=0),"",CEILING(S527/T527,1))</f>
        <v>0</v>
      </c>
      <c r="W527" s="27"/>
      <c r="X527" s="29"/>
      <c r="Y527" s="8">
        <f>IF(OR(C527="",X527=""),"",C527*(1+X527))</f>
        <v>0</v>
      </c>
      <c r="Z527" s="8">
        <f>IF(B527="","",IFERROR(INDEX(Ingredients!$O$5:$O$304,MATCH(B527,Ingredients!$A$5:$A$304,0)),""))</f>
        <v>0</v>
      </c>
      <c r="AA527" s="8">
        <f>IF(B527="","",IF(R527&gt;=C527,"In pantry","To buy"))</f>
        <v>0</v>
      </c>
      <c r="AB527" s="8">
        <f>IF(A527="","",COUNTIFS($A$5:A527,A527))</f>
        <v>0</v>
      </c>
      <c r="AC527" s="8">
        <f>IF(B527="","",IF(COUNTIFS('Dietary Filters'!$C$5:$C$104,B527)&gt;0,"Check","OK"))</f>
        <v>0</v>
      </c>
      <c r="AD527" s="25"/>
    </row>
    <row r="528" spans="1:30">
      <c r="A528" s="7"/>
      <c r="B528" s="7"/>
      <c r="C528" s="26"/>
      <c r="D528" s="27"/>
      <c r="E528" s="8">
        <f>IF(B528="","",IFERROR(INDEX(Ingredients!$B$5:$B$304,MATCH(B528,Ingredients!$A$5:$A$304,0)),""))</f>
        <v>0</v>
      </c>
      <c r="F528" s="8">
        <f>IF(B528="","",IFERROR(INDEX(Ingredients!$E$5:$E$304,MATCH(B528,Ingredients!$A$5:$A$304,0)),""))</f>
        <v>0</v>
      </c>
      <c r="G528" s="8">
        <f>IF(B528="","",IFERROR(INDEX(Ingredients!$D$5:$D$304,MATCH(B528,Ingredients!$A$5:$A$304,0)),""))</f>
        <v>0</v>
      </c>
      <c r="H528" s="8">
        <f>IF(OR(B528="",C528=""),"",IFERROR(C528*G528,""))</f>
        <v>0</v>
      </c>
      <c r="I528" s="8">
        <f>IF(A528="","",IFERROR(INDEX(Recipes!$D$5:$D$204,MATCH(A528,Recipes!$A$5:$A$204,0)),""))</f>
        <v>0</v>
      </c>
      <c r="J528" s="8">
        <f>IF(OR(H528="",I528="",I528=0),"",IFERROR(H528/I528,""))</f>
        <v>0</v>
      </c>
      <c r="K528" s="8">
        <f>IF(OR(B528="",C528=""),"",IFERROR(C528*IFERROR(INDEX(Ingredients!$H$5:$H$304,MATCH(B528,Ingredients!$A$5:$A$304,0)),""),""))</f>
        <v>0</v>
      </c>
      <c r="L528" s="8">
        <f>IF(OR(B528="",C528=""),"",IFERROR(C528*IFERROR(INDEX(Ingredients!$I$5:$I$304,MATCH(B528,Ingredients!$A$5:$A$304,0)),""),""))</f>
        <v>0</v>
      </c>
      <c r="M528" s="8">
        <f>IF(OR(B528="",C528=""),"",IFERROR(C528*IFERROR(INDEX(Ingredients!$J$5:$J$304,MATCH(B528,Ingredients!$A$5:$A$304,0)),""),""))</f>
        <v>0</v>
      </c>
      <c r="N528" s="8">
        <f>IF(OR(B528="",C528=""),"",IFERROR(C528*IFERROR(INDEX(Ingredients!$K$5:$K$304,MATCH(B528,Ingredients!$A$5:$A$304,0)),""),""))</f>
        <v>0</v>
      </c>
      <c r="O528" s="8">
        <f>IF(OR(B528="",C528=""),"",IFERROR(C528*IFERROR(INDEX(Ingredients!$L$5:$L$304,MATCH(B528,Ingredients!$A$5:$A$304,0)),""),""))</f>
        <v>0</v>
      </c>
      <c r="P528" s="8">
        <f>IF(OR(H528="",A528=""),"",IFERROR(H528/SUMIFS('Recipe Ingredients'!$H$5:$H$1204,'Recipe Ingredients'!$A$5:$A$1204,A528),""))</f>
        <v>0</v>
      </c>
      <c r="Q528" s="8">
        <f>IF(H528="","",COUNTIFS($H$5:$H$1204,"&gt;"&amp;H528)+1)</f>
        <v>0</v>
      </c>
      <c r="R528" s="8">
        <f>IF(B528="","",SUMIFS(Pantry!$C$5:$C$304,Pantry!$A$5:$A$304,B528))</f>
        <v>0</v>
      </c>
      <c r="S528" s="8">
        <f>IF(OR(B528="",C528=""),"",MAX(0,C528-R528))</f>
        <v>0</v>
      </c>
      <c r="T528" s="26"/>
      <c r="U528" s="8">
        <f>IF(OR(T528="",T528=0,G528=""),"",T528*G528)</f>
        <v>0</v>
      </c>
      <c r="V528" s="8">
        <f>IF(OR(S528="",T528="",T528=0),"",CEILING(S528/T528,1))</f>
        <v>0</v>
      </c>
      <c r="W528" s="27"/>
      <c r="X528" s="29"/>
      <c r="Y528" s="8">
        <f>IF(OR(C528="",X528=""),"",C528*(1+X528))</f>
        <v>0</v>
      </c>
      <c r="Z528" s="8">
        <f>IF(B528="","",IFERROR(INDEX(Ingredients!$O$5:$O$304,MATCH(B528,Ingredients!$A$5:$A$304,0)),""))</f>
        <v>0</v>
      </c>
      <c r="AA528" s="8">
        <f>IF(B528="","",IF(R528&gt;=C528,"In pantry","To buy"))</f>
        <v>0</v>
      </c>
      <c r="AB528" s="8">
        <f>IF(A528="","",COUNTIFS($A$5:A528,A528))</f>
        <v>0</v>
      </c>
      <c r="AC528" s="8">
        <f>IF(B528="","",IF(COUNTIFS('Dietary Filters'!$C$5:$C$104,B528)&gt;0,"Check","OK"))</f>
        <v>0</v>
      </c>
      <c r="AD528" s="25"/>
    </row>
    <row r="529" spans="1:30">
      <c r="A529" s="7"/>
      <c r="B529" s="7"/>
      <c r="C529" s="26"/>
      <c r="D529" s="27"/>
      <c r="E529" s="8">
        <f>IF(B529="","",IFERROR(INDEX(Ingredients!$B$5:$B$304,MATCH(B529,Ingredients!$A$5:$A$304,0)),""))</f>
        <v>0</v>
      </c>
      <c r="F529" s="8">
        <f>IF(B529="","",IFERROR(INDEX(Ingredients!$E$5:$E$304,MATCH(B529,Ingredients!$A$5:$A$304,0)),""))</f>
        <v>0</v>
      </c>
      <c r="G529" s="8">
        <f>IF(B529="","",IFERROR(INDEX(Ingredients!$D$5:$D$304,MATCH(B529,Ingredients!$A$5:$A$304,0)),""))</f>
        <v>0</v>
      </c>
      <c r="H529" s="8">
        <f>IF(OR(B529="",C529=""),"",IFERROR(C529*G529,""))</f>
        <v>0</v>
      </c>
      <c r="I529" s="8">
        <f>IF(A529="","",IFERROR(INDEX(Recipes!$D$5:$D$204,MATCH(A529,Recipes!$A$5:$A$204,0)),""))</f>
        <v>0</v>
      </c>
      <c r="J529" s="8">
        <f>IF(OR(H529="",I529="",I529=0),"",IFERROR(H529/I529,""))</f>
        <v>0</v>
      </c>
      <c r="K529" s="8">
        <f>IF(OR(B529="",C529=""),"",IFERROR(C529*IFERROR(INDEX(Ingredients!$H$5:$H$304,MATCH(B529,Ingredients!$A$5:$A$304,0)),""),""))</f>
        <v>0</v>
      </c>
      <c r="L529" s="8">
        <f>IF(OR(B529="",C529=""),"",IFERROR(C529*IFERROR(INDEX(Ingredients!$I$5:$I$304,MATCH(B529,Ingredients!$A$5:$A$304,0)),""),""))</f>
        <v>0</v>
      </c>
      <c r="M529" s="8">
        <f>IF(OR(B529="",C529=""),"",IFERROR(C529*IFERROR(INDEX(Ingredients!$J$5:$J$304,MATCH(B529,Ingredients!$A$5:$A$304,0)),""),""))</f>
        <v>0</v>
      </c>
      <c r="N529" s="8">
        <f>IF(OR(B529="",C529=""),"",IFERROR(C529*IFERROR(INDEX(Ingredients!$K$5:$K$304,MATCH(B529,Ingredients!$A$5:$A$304,0)),""),""))</f>
        <v>0</v>
      </c>
      <c r="O529" s="8">
        <f>IF(OR(B529="",C529=""),"",IFERROR(C529*IFERROR(INDEX(Ingredients!$L$5:$L$304,MATCH(B529,Ingredients!$A$5:$A$304,0)),""),""))</f>
        <v>0</v>
      </c>
      <c r="P529" s="8">
        <f>IF(OR(H529="",A529=""),"",IFERROR(H529/SUMIFS('Recipe Ingredients'!$H$5:$H$1204,'Recipe Ingredients'!$A$5:$A$1204,A529),""))</f>
        <v>0</v>
      </c>
      <c r="Q529" s="8">
        <f>IF(H529="","",COUNTIFS($H$5:$H$1204,"&gt;"&amp;H529)+1)</f>
        <v>0</v>
      </c>
      <c r="R529" s="8">
        <f>IF(B529="","",SUMIFS(Pantry!$C$5:$C$304,Pantry!$A$5:$A$304,B529))</f>
        <v>0</v>
      </c>
      <c r="S529" s="8">
        <f>IF(OR(B529="",C529=""),"",MAX(0,C529-R529))</f>
        <v>0</v>
      </c>
      <c r="T529" s="26"/>
      <c r="U529" s="8">
        <f>IF(OR(T529="",T529=0,G529=""),"",T529*G529)</f>
        <v>0</v>
      </c>
      <c r="V529" s="8">
        <f>IF(OR(S529="",T529="",T529=0),"",CEILING(S529/T529,1))</f>
        <v>0</v>
      </c>
      <c r="W529" s="27"/>
      <c r="X529" s="29"/>
      <c r="Y529" s="8">
        <f>IF(OR(C529="",X529=""),"",C529*(1+X529))</f>
        <v>0</v>
      </c>
      <c r="Z529" s="8">
        <f>IF(B529="","",IFERROR(INDEX(Ingredients!$O$5:$O$304,MATCH(B529,Ingredients!$A$5:$A$304,0)),""))</f>
        <v>0</v>
      </c>
      <c r="AA529" s="8">
        <f>IF(B529="","",IF(R529&gt;=C529,"In pantry","To buy"))</f>
        <v>0</v>
      </c>
      <c r="AB529" s="8">
        <f>IF(A529="","",COUNTIFS($A$5:A529,A529))</f>
        <v>0</v>
      </c>
      <c r="AC529" s="8">
        <f>IF(B529="","",IF(COUNTIFS('Dietary Filters'!$C$5:$C$104,B529)&gt;0,"Check","OK"))</f>
        <v>0</v>
      </c>
      <c r="AD529" s="25"/>
    </row>
    <row r="530" spans="1:30">
      <c r="A530" s="7"/>
      <c r="B530" s="7"/>
      <c r="C530" s="26"/>
      <c r="D530" s="27"/>
      <c r="E530" s="8">
        <f>IF(B530="","",IFERROR(INDEX(Ingredients!$B$5:$B$304,MATCH(B530,Ingredients!$A$5:$A$304,0)),""))</f>
        <v>0</v>
      </c>
      <c r="F530" s="8">
        <f>IF(B530="","",IFERROR(INDEX(Ingredients!$E$5:$E$304,MATCH(B530,Ingredients!$A$5:$A$304,0)),""))</f>
        <v>0</v>
      </c>
      <c r="G530" s="8">
        <f>IF(B530="","",IFERROR(INDEX(Ingredients!$D$5:$D$304,MATCH(B530,Ingredients!$A$5:$A$304,0)),""))</f>
        <v>0</v>
      </c>
      <c r="H530" s="8">
        <f>IF(OR(B530="",C530=""),"",IFERROR(C530*G530,""))</f>
        <v>0</v>
      </c>
      <c r="I530" s="8">
        <f>IF(A530="","",IFERROR(INDEX(Recipes!$D$5:$D$204,MATCH(A530,Recipes!$A$5:$A$204,0)),""))</f>
        <v>0</v>
      </c>
      <c r="J530" s="8">
        <f>IF(OR(H530="",I530="",I530=0),"",IFERROR(H530/I530,""))</f>
        <v>0</v>
      </c>
      <c r="K530" s="8">
        <f>IF(OR(B530="",C530=""),"",IFERROR(C530*IFERROR(INDEX(Ingredients!$H$5:$H$304,MATCH(B530,Ingredients!$A$5:$A$304,0)),""),""))</f>
        <v>0</v>
      </c>
      <c r="L530" s="8">
        <f>IF(OR(B530="",C530=""),"",IFERROR(C530*IFERROR(INDEX(Ingredients!$I$5:$I$304,MATCH(B530,Ingredients!$A$5:$A$304,0)),""),""))</f>
        <v>0</v>
      </c>
      <c r="M530" s="8">
        <f>IF(OR(B530="",C530=""),"",IFERROR(C530*IFERROR(INDEX(Ingredients!$J$5:$J$304,MATCH(B530,Ingredients!$A$5:$A$304,0)),""),""))</f>
        <v>0</v>
      </c>
      <c r="N530" s="8">
        <f>IF(OR(B530="",C530=""),"",IFERROR(C530*IFERROR(INDEX(Ingredients!$K$5:$K$304,MATCH(B530,Ingredients!$A$5:$A$304,0)),""),""))</f>
        <v>0</v>
      </c>
      <c r="O530" s="8">
        <f>IF(OR(B530="",C530=""),"",IFERROR(C530*IFERROR(INDEX(Ingredients!$L$5:$L$304,MATCH(B530,Ingredients!$A$5:$A$304,0)),""),""))</f>
        <v>0</v>
      </c>
      <c r="P530" s="8">
        <f>IF(OR(H530="",A530=""),"",IFERROR(H530/SUMIFS('Recipe Ingredients'!$H$5:$H$1204,'Recipe Ingredients'!$A$5:$A$1204,A530),""))</f>
        <v>0</v>
      </c>
      <c r="Q530" s="8">
        <f>IF(H530="","",COUNTIFS($H$5:$H$1204,"&gt;"&amp;H530)+1)</f>
        <v>0</v>
      </c>
      <c r="R530" s="8">
        <f>IF(B530="","",SUMIFS(Pantry!$C$5:$C$304,Pantry!$A$5:$A$304,B530))</f>
        <v>0</v>
      </c>
      <c r="S530" s="8">
        <f>IF(OR(B530="",C530=""),"",MAX(0,C530-R530))</f>
        <v>0</v>
      </c>
      <c r="T530" s="26"/>
      <c r="U530" s="8">
        <f>IF(OR(T530="",T530=0,G530=""),"",T530*G530)</f>
        <v>0</v>
      </c>
      <c r="V530" s="8">
        <f>IF(OR(S530="",T530="",T530=0),"",CEILING(S530/T530,1))</f>
        <v>0</v>
      </c>
      <c r="W530" s="27"/>
      <c r="X530" s="29"/>
      <c r="Y530" s="8">
        <f>IF(OR(C530="",X530=""),"",C530*(1+X530))</f>
        <v>0</v>
      </c>
      <c r="Z530" s="8">
        <f>IF(B530="","",IFERROR(INDEX(Ingredients!$O$5:$O$304,MATCH(B530,Ingredients!$A$5:$A$304,0)),""))</f>
        <v>0</v>
      </c>
      <c r="AA530" s="8">
        <f>IF(B530="","",IF(R530&gt;=C530,"In pantry","To buy"))</f>
        <v>0</v>
      </c>
      <c r="AB530" s="8">
        <f>IF(A530="","",COUNTIFS($A$5:A530,A530))</f>
        <v>0</v>
      </c>
      <c r="AC530" s="8">
        <f>IF(B530="","",IF(COUNTIFS('Dietary Filters'!$C$5:$C$104,B530)&gt;0,"Check","OK"))</f>
        <v>0</v>
      </c>
      <c r="AD530" s="25"/>
    </row>
    <row r="531" spans="1:30">
      <c r="A531" s="7"/>
      <c r="B531" s="7"/>
      <c r="C531" s="26"/>
      <c r="D531" s="27"/>
      <c r="E531" s="8">
        <f>IF(B531="","",IFERROR(INDEX(Ingredients!$B$5:$B$304,MATCH(B531,Ingredients!$A$5:$A$304,0)),""))</f>
        <v>0</v>
      </c>
      <c r="F531" s="8">
        <f>IF(B531="","",IFERROR(INDEX(Ingredients!$E$5:$E$304,MATCH(B531,Ingredients!$A$5:$A$304,0)),""))</f>
        <v>0</v>
      </c>
      <c r="G531" s="8">
        <f>IF(B531="","",IFERROR(INDEX(Ingredients!$D$5:$D$304,MATCH(B531,Ingredients!$A$5:$A$304,0)),""))</f>
        <v>0</v>
      </c>
      <c r="H531" s="8">
        <f>IF(OR(B531="",C531=""),"",IFERROR(C531*G531,""))</f>
        <v>0</v>
      </c>
      <c r="I531" s="8">
        <f>IF(A531="","",IFERROR(INDEX(Recipes!$D$5:$D$204,MATCH(A531,Recipes!$A$5:$A$204,0)),""))</f>
        <v>0</v>
      </c>
      <c r="J531" s="8">
        <f>IF(OR(H531="",I531="",I531=0),"",IFERROR(H531/I531,""))</f>
        <v>0</v>
      </c>
      <c r="K531" s="8">
        <f>IF(OR(B531="",C531=""),"",IFERROR(C531*IFERROR(INDEX(Ingredients!$H$5:$H$304,MATCH(B531,Ingredients!$A$5:$A$304,0)),""),""))</f>
        <v>0</v>
      </c>
      <c r="L531" s="8">
        <f>IF(OR(B531="",C531=""),"",IFERROR(C531*IFERROR(INDEX(Ingredients!$I$5:$I$304,MATCH(B531,Ingredients!$A$5:$A$304,0)),""),""))</f>
        <v>0</v>
      </c>
      <c r="M531" s="8">
        <f>IF(OR(B531="",C531=""),"",IFERROR(C531*IFERROR(INDEX(Ingredients!$J$5:$J$304,MATCH(B531,Ingredients!$A$5:$A$304,0)),""),""))</f>
        <v>0</v>
      </c>
      <c r="N531" s="8">
        <f>IF(OR(B531="",C531=""),"",IFERROR(C531*IFERROR(INDEX(Ingredients!$K$5:$K$304,MATCH(B531,Ingredients!$A$5:$A$304,0)),""),""))</f>
        <v>0</v>
      </c>
      <c r="O531" s="8">
        <f>IF(OR(B531="",C531=""),"",IFERROR(C531*IFERROR(INDEX(Ingredients!$L$5:$L$304,MATCH(B531,Ingredients!$A$5:$A$304,0)),""),""))</f>
        <v>0</v>
      </c>
      <c r="P531" s="8">
        <f>IF(OR(H531="",A531=""),"",IFERROR(H531/SUMIFS('Recipe Ingredients'!$H$5:$H$1204,'Recipe Ingredients'!$A$5:$A$1204,A531),""))</f>
        <v>0</v>
      </c>
      <c r="Q531" s="8">
        <f>IF(H531="","",COUNTIFS($H$5:$H$1204,"&gt;"&amp;H531)+1)</f>
        <v>0</v>
      </c>
      <c r="R531" s="8">
        <f>IF(B531="","",SUMIFS(Pantry!$C$5:$C$304,Pantry!$A$5:$A$304,B531))</f>
        <v>0</v>
      </c>
      <c r="S531" s="8">
        <f>IF(OR(B531="",C531=""),"",MAX(0,C531-R531))</f>
        <v>0</v>
      </c>
      <c r="T531" s="26"/>
      <c r="U531" s="8">
        <f>IF(OR(T531="",T531=0,G531=""),"",T531*G531)</f>
        <v>0</v>
      </c>
      <c r="V531" s="8">
        <f>IF(OR(S531="",T531="",T531=0),"",CEILING(S531/T531,1))</f>
        <v>0</v>
      </c>
      <c r="W531" s="27"/>
      <c r="X531" s="29"/>
      <c r="Y531" s="8">
        <f>IF(OR(C531="",X531=""),"",C531*(1+X531))</f>
        <v>0</v>
      </c>
      <c r="Z531" s="8">
        <f>IF(B531="","",IFERROR(INDEX(Ingredients!$O$5:$O$304,MATCH(B531,Ingredients!$A$5:$A$304,0)),""))</f>
        <v>0</v>
      </c>
      <c r="AA531" s="8">
        <f>IF(B531="","",IF(R531&gt;=C531,"In pantry","To buy"))</f>
        <v>0</v>
      </c>
      <c r="AB531" s="8">
        <f>IF(A531="","",COUNTIFS($A$5:A531,A531))</f>
        <v>0</v>
      </c>
      <c r="AC531" s="8">
        <f>IF(B531="","",IF(COUNTIFS('Dietary Filters'!$C$5:$C$104,B531)&gt;0,"Check","OK"))</f>
        <v>0</v>
      </c>
      <c r="AD531" s="25"/>
    </row>
    <row r="532" spans="1:30">
      <c r="A532" s="7"/>
      <c r="B532" s="7"/>
      <c r="C532" s="26"/>
      <c r="D532" s="27"/>
      <c r="E532" s="8">
        <f>IF(B532="","",IFERROR(INDEX(Ingredients!$B$5:$B$304,MATCH(B532,Ingredients!$A$5:$A$304,0)),""))</f>
        <v>0</v>
      </c>
      <c r="F532" s="8">
        <f>IF(B532="","",IFERROR(INDEX(Ingredients!$E$5:$E$304,MATCH(B532,Ingredients!$A$5:$A$304,0)),""))</f>
        <v>0</v>
      </c>
      <c r="G532" s="8">
        <f>IF(B532="","",IFERROR(INDEX(Ingredients!$D$5:$D$304,MATCH(B532,Ingredients!$A$5:$A$304,0)),""))</f>
        <v>0</v>
      </c>
      <c r="H532" s="8">
        <f>IF(OR(B532="",C532=""),"",IFERROR(C532*G532,""))</f>
        <v>0</v>
      </c>
      <c r="I532" s="8">
        <f>IF(A532="","",IFERROR(INDEX(Recipes!$D$5:$D$204,MATCH(A532,Recipes!$A$5:$A$204,0)),""))</f>
        <v>0</v>
      </c>
      <c r="J532" s="8">
        <f>IF(OR(H532="",I532="",I532=0),"",IFERROR(H532/I532,""))</f>
        <v>0</v>
      </c>
      <c r="K532" s="8">
        <f>IF(OR(B532="",C532=""),"",IFERROR(C532*IFERROR(INDEX(Ingredients!$H$5:$H$304,MATCH(B532,Ingredients!$A$5:$A$304,0)),""),""))</f>
        <v>0</v>
      </c>
      <c r="L532" s="8">
        <f>IF(OR(B532="",C532=""),"",IFERROR(C532*IFERROR(INDEX(Ingredients!$I$5:$I$304,MATCH(B532,Ingredients!$A$5:$A$304,0)),""),""))</f>
        <v>0</v>
      </c>
      <c r="M532" s="8">
        <f>IF(OR(B532="",C532=""),"",IFERROR(C532*IFERROR(INDEX(Ingredients!$J$5:$J$304,MATCH(B532,Ingredients!$A$5:$A$304,0)),""),""))</f>
        <v>0</v>
      </c>
      <c r="N532" s="8">
        <f>IF(OR(B532="",C532=""),"",IFERROR(C532*IFERROR(INDEX(Ingredients!$K$5:$K$304,MATCH(B532,Ingredients!$A$5:$A$304,0)),""),""))</f>
        <v>0</v>
      </c>
      <c r="O532" s="8">
        <f>IF(OR(B532="",C532=""),"",IFERROR(C532*IFERROR(INDEX(Ingredients!$L$5:$L$304,MATCH(B532,Ingredients!$A$5:$A$304,0)),""),""))</f>
        <v>0</v>
      </c>
      <c r="P532" s="8">
        <f>IF(OR(H532="",A532=""),"",IFERROR(H532/SUMIFS('Recipe Ingredients'!$H$5:$H$1204,'Recipe Ingredients'!$A$5:$A$1204,A532),""))</f>
        <v>0</v>
      </c>
      <c r="Q532" s="8">
        <f>IF(H532="","",COUNTIFS($H$5:$H$1204,"&gt;"&amp;H532)+1)</f>
        <v>0</v>
      </c>
      <c r="R532" s="8">
        <f>IF(B532="","",SUMIFS(Pantry!$C$5:$C$304,Pantry!$A$5:$A$304,B532))</f>
        <v>0</v>
      </c>
      <c r="S532" s="8">
        <f>IF(OR(B532="",C532=""),"",MAX(0,C532-R532))</f>
        <v>0</v>
      </c>
      <c r="T532" s="26"/>
      <c r="U532" s="8">
        <f>IF(OR(T532="",T532=0,G532=""),"",T532*G532)</f>
        <v>0</v>
      </c>
      <c r="V532" s="8">
        <f>IF(OR(S532="",T532="",T532=0),"",CEILING(S532/T532,1))</f>
        <v>0</v>
      </c>
      <c r="W532" s="27"/>
      <c r="X532" s="29"/>
      <c r="Y532" s="8">
        <f>IF(OR(C532="",X532=""),"",C532*(1+X532))</f>
        <v>0</v>
      </c>
      <c r="Z532" s="8">
        <f>IF(B532="","",IFERROR(INDEX(Ingredients!$O$5:$O$304,MATCH(B532,Ingredients!$A$5:$A$304,0)),""))</f>
        <v>0</v>
      </c>
      <c r="AA532" s="8">
        <f>IF(B532="","",IF(R532&gt;=C532,"In pantry","To buy"))</f>
        <v>0</v>
      </c>
      <c r="AB532" s="8">
        <f>IF(A532="","",COUNTIFS($A$5:A532,A532))</f>
        <v>0</v>
      </c>
      <c r="AC532" s="8">
        <f>IF(B532="","",IF(COUNTIFS('Dietary Filters'!$C$5:$C$104,B532)&gt;0,"Check","OK"))</f>
        <v>0</v>
      </c>
      <c r="AD532" s="25"/>
    </row>
    <row r="533" spans="1:30">
      <c r="A533" s="7"/>
      <c r="B533" s="7"/>
      <c r="C533" s="26"/>
      <c r="D533" s="27"/>
      <c r="E533" s="8">
        <f>IF(B533="","",IFERROR(INDEX(Ingredients!$B$5:$B$304,MATCH(B533,Ingredients!$A$5:$A$304,0)),""))</f>
        <v>0</v>
      </c>
      <c r="F533" s="8">
        <f>IF(B533="","",IFERROR(INDEX(Ingredients!$E$5:$E$304,MATCH(B533,Ingredients!$A$5:$A$304,0)),""))</f>
        <v>0</v>
      </c>
      <c r="G533" s="8">
        <f>IF(B533="","",IFERROR(INDEX(Ingredients!$D$5:$D$304,MATCH(B533,Ingredients!$A$5:$A$304,0)),""))</f>
        <v>0</v>
      </c>
      <c r="H533" s="8">
        <f>IF(OR(B533="",C533=""),"",IFERROR(C533*G533,""))</f>
        <v>0</v>
      </c>
      <c r="I533" s="8">
        <f>IF(A533="","",IFERROR(INDEX(Recipes!$D$5:$D$204,MATCH(A533,Recipes!$A$5:$A$204,0)),""))</f>
        <v>0</v>
      </c>
      <c r="J533" s="8">
        <f>IF(OR(H533="",I533="",I533=0),"",IFERROR(H533/I533,""))</f>
        <v>0</v>
      </c>
      <c r="K533" s="8">
        <f>IF(OR(B533="",C533=""),"",IFERROR(C533*IFERROR(INDEX(Ingredients!$H$5:$H$304,MATCH(B533,Ingredients!$A$5:$A$304,0)),""),""))</f>
        <v>0</v>
      </c>
      <c r="L533" s="8">
        <f>IF(OR(B533="",C533=""),"",IFERROR(C533*IFERROR(INDEX(Ingredients!$I$5:$I$304,MATCH(B533,Ingredients!$A$5:$A$304,0)),""),""))</f>
        <v>0</v>
      </c>
      <c r="M533" s="8">
        <f>IF(OR(B533="",C533=""),"",IFERROR(C533*IFERROR(INDEX(Ingredients!$J$5:$J$304,MATCH(B533,Ingredients!$A$5:$A$304,0)),""),""))</f>
        <v>0</v>
      </c>
      <c r="N533" s="8">
        <f>IF(OR(B533="",C533=""),"",IFERROR(C533*IFERROR(INDEX(Ingredients!$K$5:$K$304,MATCH(B533,Ingredients!$A$5:$A$304,0)),""),""))</f>
        <v>0</v>
      </c>
      <c r="O533" s="8">
        <f>IF(OR(B533="",C533=""),"",IFERROR(C533*IFERROR(INDEX(Ingredients!$L$5:$L$304,MATCH(B533,Ingredients!$A$5:$A$304,0)),""),""))</f>
        <v>0</v>
      </c>
      <c r="P533" s="8">
        <f>IF(OR(H533="",A533=""),"",IFERROR(H533/SUMIFS('Recipe Ingredients'!$H$5:$H$1204,'Recipe Ingredients'!$A$5:$A$1204,A533),""))</f>
        <v>0</v>
      </c>
      <c r="Q533" s="8">
        <f>IF(H533="","",COUNTIFS($H$5:$H$1204,"&gt;"&amp;H533)+1)</f>
        <v>0</v>
      </c>
      <c r="R533" s="8">
        <f>IF(B533="","",SUMIFS(Pantry!$C$5:$C$304,Pantry!$A$5:$A$304,B533))</f>
        <v>0</v>
      </c>
      <c r="S533" s="8">
        <f>IF(OR(B533="",C533=""),"",MAX(0,C533-R533))</f>
        <v>0</v>
      </c>
      <c r="T533" s="26"/>
      <c r="U533" s="8">
        <f>IF(OR(T533="",T533=0,G533=""),"",T533*G533)</f>
        <v>0</v>
      </c>
      <c r="V533" s="8">
        <f>IF(OR(S533="",T533="",T533=0),"",CEILING(S533/T533,1))</f>
        <v>0</v>
      </c>
      <c r="W533" s="27"/>
      <c r="X533" s="29"/>
      <c r="Y533" s="8">
        <f>IF(OR(C533="",X533=""),"",C533*(1+X533))</f>
        <v>0</v>
      </c>
      <c r="Z533" s="8">
        <f>IF(B533="","",IFERROR(INDEX(Ingredients!$O$5:$O$304,MATCH(B533,Ingredients!$A$5:$A$304,0)),""))</f>
        <v>0</v>
      </c>
      <c r="AA533" s="8">
        <f>IF(B533="","",IF(R533&gt;=C533,"In pantry","To buy"))</f>
        <v>0</v>
      </c>
      <c r="AB533" s="8">
        <f>IF(A533="","",COUNTIFS($A$5:A533,A533))</f>
        <v>0</v>
      </c>
      <c r="AC533" s="8">
        <f>IF(B533="","",IF(COUNTIFS('Dietary Filters'!$C$5:$C$104,B533)&gt;0,"Check","OK"))</f>
        <v>0</v>
      </c>
      <c r="AD533" s="25"/>
    </row>
    <row r="534" spans="1:30">
      <c r="A534" s="7"/>
      <c r="B534" s="7"/>
      <c r="C534" s="26"/>
      <c r="D534" s="27"/>
      <c r="E534" s="8">
        <f>IF(B534="","",IFERROR(INDEX(Ingredients!$B$5:$B$304,MATCH(B534,Ingredients!$A$5:$A$304,0)),""))</f>
        <v>0</v>
      </c>
      <c r="F534" s="8">
        <f>IF(B534="","",IFERROR(INDEX(Ingredients!$E$5:$E$304,MATCH(B534,Ingredients!$A$5:$A$304,0)),""))</f>
        <v>0</v>
      </c>
      <c r="G534" s="8">
        <f>IF(B534="","",IFERROR(INDEX(Ingredients!$D$5:$D$304,MATCH(B534,Ingredients!$A$5:$A$304,0)),""))</f>
        <v>0</v>
      </c>
      <c r="H534" s="8">
        <f>IF(OR(B534="",C534=""),"",IFERROR(C534*G534,""))</f>
        <v>0</v>
      </c>
      <c r="I534" s="8">
        <f>IF(A534="","",IFERROR(INDEX(Recipes!$D$5:$D$204,MATCH(A534,Recipes!$A$5:$A$204,0)),""))</f>
        <v>0</v>
      </c>
      <c r="J534" s="8">
        <f>IF(OR(H534="",I534="",I534=0),"",IFERROR(H534/I534,""))</f>
        <v>0</v>
      </c>
      <c r="K534" s="8">
        <f>IF(OR(B534="",C534=""),"",IFERROR(C534*IFERROR(INDEX(Ingredients!$H$5:$H$304,MATCH(B534,Ingredients!$A$5:$A$304,0)),""),""))</f>
        <v>0</v>
      </c>
      <c r="L534" s="8">
        <f>IF(OR(B534="",C534=""),"",IFERROR(C534*IFERROR(INDEX(Ingredients!$I$5:$I$304,MATCH(B534,Ingredients!$A$5:$A$304,0)),""),""))</f>
        <v>0</v>
      </c>
      <c r="M534" s="8">
        <f>IF(OR(B534="",C534=""),"",IFERROR(C534*IFERROR(INDEX(Ingredients!$J$5:$J$304,MATCH(B534,Ingredients!$A$5:$A$304,0)),""),""))</f>
        <v>0</v>
      </c>
      <c r="N534" s="8">
        <f>IF(OR(B534="",C534=""),"",IFERROR(C534*IFERROR(INDEX(Ingredients!$K$5:$K$304,MATCH(B534,Ingredients!$A$5:$A$304,0)),""),""))</f>
        <v>0</v>
      </c>
      <c r="O534" s="8">
        <f>IF(OR(B534="",C534=""),"",IFERROR(C534*IFERROR(INDEX(Ingredients!$L$5:$L$304,MATCH(B534,Ingredients!$A$5:$A$304,0)),""),""))</f>
        <v>0</v>
      </c>
      <c r="P534" s="8">
        <f>IF(OR(H534="",A534=""),"",IFERROR(H534/SUMIFS('Recipe Ingredients'!$H$5:$H$1204,'Recipe Ingredients'!$A$5:$A$1204,A534),""))</f>
        <v>0</v>
      </c>
      <c r="Q534" s="8">
        <f>IF(H534="","",COUNTIFS($H$5:$H$1204,"&gt;"&amp;H534)+1)</f>
        <v>0</v>
      </c>
      <c r="R534" s="8">
        <f>IF(B534="","",SUMIFS(Pantry!$C$5:$C$304,Pantry!$A$5:$A$304,B534))</f>
        <v>0</v>
      </c>
      <c r="S534" s="8">
        <f>IF(OR(B534="",C534=""),"",MAX(0,C534-R534))</f>
        <v>0</v>
      </c>
      <c r="T534" s="26"/>
      <c r="U534" s="8">
        <f>IF(OR(T534="",T534=0,G534=""),"",T534*G534)</f>
        <v>0</v>
      </c>
      <c r="V534" s="8">
        <f>IF(OR(S534="",T534="",T534=0),"",CEILING(S534/T534,1))</f>
        <v>0</v>
      </c>
      <c r="W534" s="27"/>
      <c r="X534" s="29"/>
      <c r="Y534" s="8">
        <f>IF(OR(C534="",X534=""),"",C534*(1+X534))</f>
        <v>0</v>
      </c>
      <c r="Z534" s="8">
        <f>IF(B534="","",IFERROR(INDEX(Ingredients!$O$5:$O$304,MATCH(B534,Ingredients!$A$5:$A$304,0)),""))</f>
        <v>0</v>
      </c>
      <c r="AA534" s="8">
        <f>IF(B534="","",IF(R534&gt;=C534,"In pantry","To buy"))</f>
        <v>0</v>
      </c>
      <c r="AB534" s="8">
        <f>IF(A534="","",COUNTIFS($A$5:A534,A534))</f>
        <v>0</v>
      </c>
      <c r="AC534" s="8">
        <f>IF(B534="","",IF(COUNTIFS('Dietary Filters'!$C$5:$C$104,B534)&gt;0,"Check","OK"))</f>
        <v>0</v>
      </c>
      <c r="AD534" s="25"/>
    </row>
    <row r="535" spans="1:30">
      <c r="A535" s="7"/>
      <c r="B535" s="7"/>
      <c r="C535" s="26"/>
      <c r="D535" s="27"/>
      <c r="E535" s="8">
        <f>IF(B535="","",IFERROR(INDEX(Ingredients!$B$5:$B$304,MATCH(B535,Ingredients!$A$5:$A$304,0)),""))</f>
        <v>0</v>
      </c>
      <c r="F535" s="8">
        <f>IF(B535="","",IFERROR(INDEX(Ingredients!$E$5:$E$304,MATCH(B535,Ingredients!$A$5:$A$304,0)),""))</f>
        <v>0</v>
      </c>
      <c r="G535" s="8">
        <f>IF(B535="","",IFERROR(INDEX(Ingredients!$D$5:$D$304,MATCH(B535,Ingredients!$A$5:$A$304,0)),""))</f>
        <v>0</v>
      </c>
      <c r="H535" s="8">
        <f>IF(OR(B535="",C535=""),"",IFERROR(C535*G535,""))</f>
        <v>0</v>
      </c>
      <c r="I535" s="8">
        <f>IF(A535="","",IFERROR(INDEX(Recipes!$D$5:$D$204,MATCH(A535,Recipes!$A$5:$A$204,0)),""))</f>
        <v>0</v>
      </c>
      <c r="J535" s="8">
        <f>IF(OR(H535="",I535="",I535=0),"",IFERROR(H535/I535,""))</f>
        <v>0</v>
      </c>
      <c r="K535" s="8">
        <f>IF(OR(B535="",C535=""),"",IFERROR(C535*IFERROR(INDEX(Ingredients!$H$5:$H$304,MATCH(B535,Ingredients!$A$5:$A$304,0)),""),""))</f>
        <v>0</v>
      </c>
      <c r="L535" s="8">
        <f>IF(OR(B535="",C535=""),"",IFERROR(C535*IFERROR(INDEX(Ingredients!$I$5:$I$304,MATCH(B535,Ingredients!$A$5:$A$304,0)),""),""))</f>
        <v>0</v>
      </c>
      <c r="M535" s="8">
        <f>IF(OR(B535="",C535=""),"",IFERROR(C535*IFERROR(INDEX(Ingredients!$J$5:$J$304,MATCH(B535,Ingredients!$A$5:$A$304,0)),""),""))</f>
        <v>0</v>
      </c>
      <c r="N535" s="8">
        <f>IF(OR(B535="",C535=""),"",IFERROR(C535*IFERROR(INDEX(Ingredients!$K$5:$K$304,MATCH(B535,Ingredients!$A$5:$A$304,0)),""),""))</f>
        <v>0</v>
      </c>
      <c r="O535" s="8">
        <f>IF(OR(B535="",C535=""),"",IFERROR(C535*IFERROR(INDEX(Ingredients!$L$5:$L$304,MATCH(B535,Ingredients!$A$5:$A$304,0)),""),""))</f>
        <v>0</v>
      </c>
      <c r="P535" s="8">
        <f>IF(OR(H535="",A535=""),"",IFERROR(H535/SUMIFS('Recipe Ingredients'!$H$5:$H$1204,'Recipe Ingredients'!$A$5:$A$1204,A535),""))</f>
        <v>0</v>
      </c>
      <c r="Q535" s="8">
        <f>IF(H535="","",COUNTIFS($H$5:$H$1204,"&gt;"&amp;H535)+1)</f>
        <v>0</v>
      </c>
      <c r="R535" s="8">
        <f>IF(B535="","",SUMIFS(Pantry!$C$5:$C$304,Pantry!$A$5:$A$304,B535))</f>
        <v>0</v>
      </c>
      <c r="S535" s="8">
        <f>IF(OR(B535="",C535=""),"",MAX(0,C535-R535))</f>
        <v>0</v>
      </c>
      <c r="T535" s="26"/>
      <c r="U535" s="8">
        <f>IF(OR(T535="",T535=0,G535=""),"",T535*G535)</f>
        <v>0</v>
      </c>
      <c r="V535" s="8">
        <f>IF(OR(S535="",T535="",T535=0),"",CEILING(S535/T535,1))</f>
        <v>0</v>
      </c>
      <c r="W535" s="27"/>
      <c r="X535" s="29"/>
      <c r="Y535" s="8">
        <f>IF(OR(C535="",X535=""),"",C535*(1+X535))</f>
        <v>0</v>
      </c>
      <c r="Z535" s="8">
        <f>IF(B535="","",IFERROR(INDEX(Ingredients!$O$5:$O$304,MATCH(B535,Ingredients!$A$5:$A$304,0)),""))</f>
        <v>0</v>
      </c>
      <c r="AA535" s="8">
        <f>IF(B535="","",IF(R535&gt;=C535,"In pantry","To buy"))</f>
        <v>0</v>
      </c>
      <c r="AB535" s="8">
        <f>IF(A535="","",COUNTIFS($A$5:A535,A535))</f>
        <v>0</v>
      </c>
      <c r="AC535" s="8">
        <f>IF(B535="","",IF(COUNTIFS('Dietary Filters'!$C$5:$C$104,B535)&gt;0,"Check","OK"))</f>
        <v>0</v>
      </c>
      <c r="AD535" s="25"/>
    </row>
    <row r="536" spans="1:30">
      <c r="A536" s="7"/>
      <c r="B536" s="7"/>
      <c r="C536" s="26"/>
      <c r="D536" s="27"/>
      <c r="E536" s="8">
        <f>IF(B536="","",IFERROR(INDEX(Ingredients!$B$5:$B$304,MATCH(B536,Ingredients!$A$5:$A$304,0)),""))</f>
        <v>0</v>
      </c>
      <c r="F536" s="8">
        <f>IF(B536="","",IFERROR(INDEX(Ingredients!$E$5:$E$304,MATCH(B536,Ingredients!$A$5:$A$304,0)),""))</f>
        <v>0</v>
      </c>
      <c r="G536" s="8">
        <f>IF(B536="","",IFERROR(INDEX(Ingredients!$D$5:$D$304,MATCH(B536,Ingredients!$A$5:$A$304,0)),""))</f>
        <v>0</v>
      </c>
      <c r="H536" s="8">
        <f>IF(OR(B536="",C536=""),"",IFERROR(C536*G536,""))</f>
        <v>0</v>
      </c>
      <c r="I536" s="8">
        <f>IF(A536="","",IFERROR(INDEX(Recipes!$D$5:$D$204,MATCH(A536,Recipes!$A$5:$A$204,0)),""))</f>
        <v>0</v>
      </c>
      <c r="J536" s="8">
        <f>IF(OR(H536="",I536="",I536=0),"",IFERROR(H536/I536,""))</f>
        <v>0</v>
      </c>
      <c r="K536" s="8">
        <f>IF(OR(B536="",C536=""),"",IFERROR(C536*IFERROR(INDEX(Ingredients!$H$5:$H$304,MATCH(B536,Ingredients!$A$5:$A$304,0)),""),""))</f>
        <v>0</v>
      </c>
      <c r="L536" s="8">
        <f>IF(OR(B536="",C536=""),"",IFERROR(C536*IFERROR(INDEX(Ingredients!$I$5:$I$304,MATCH(B536,Ingredients!$A$5:$A$304,0)),""),""))</f>
        <v>0</v>
      </c>
      <c r="M536" s="8">
        <f>IF(OR(B536="",C536=""),"",IFERROR(C536*IFERROR(INDEX(Ingredients!$J$5:$J$304,MATCH(B536,Ingredients!$A$5:$A$304,0)),""),""))</f>
        <v>0</v>
      </c>
      <c r="N536" s="8">
        <f>IF(OR(B536="",C536=""),"",IFERROR(C536*IFERROR(INDEX(Ingredients!$K$5:$K$304,MATCH(B536,Ingredients!$A$5:$A$304,0)),""),""))</f>
        <v>0</v>
      </c>
      <c r="O536" s="8">
        <f>IF(OR(B536="",C536=""),"",IFERROR(C536*IFERROR(INDEX(Ingredients!$L$5:$L$304,MATCH(B536,Ingredients!$A$5:$A$304,0)),""),""))</f>
        <v>0</v>
      </c>
      <c r="P536" s="8">
        <f>IF(OR(H536="",A536=""),"",IFERROR(H536/SUMIFS('Recipe Ingredients'!$H$5:$H$1204,'Recipe Ingredients'!$A$5:$A$1204,A536),""))</f>
        <v>0</v>
      </c>
      <c r="Q536" s="8">
        <f>IF(H536="","",COUNTIFS($H$5:$H$1204,"&gt;"&amp;H536)+1)</f>
        <v>0</v>
      </c>
      <c r="R536" s="8">
        <f>IF(B536="","",SUMIFS(Pantry!$C$5:$C$304,Pantry!$A$5:$A$304,B536))</f>
        <v>0</v>
      </c>
      <c r="S536" s="8">
        <f>IF(OR(B536="",C536=""),"",MAX(0,C536-R536))</f>
        <v>0</v>
      </c>
      <c r="T536" s="26"/>
      <c r="U536" s="8">
        <f>IF(OR(T536="",T536=0,G536=""),"",T536*G536)</f>
        <v>0</v>
      </c>
      <c r="V536" s="8">
        <f>IF(OR(S536="",T536="",T536=0),"",CEILING(S536/T536,1))</f>
        <v>0</v>
      </c>
      <c r="W536" s="27"/>
      <c r="X536" s="29"/>
      <c r="Y536" s="8">
        <f>IF(OR(C536="",X536=""),"",C536*(1+X536))</f>
        <v>0</v>
      </c>
      <c r="Z536" s="8">
        <f>IF(B536="","",IFERROR(INDEX(Ingredients!$O$5:$O$304,MATCH(B536,Ingredients!$A$5:$A$304,0)),""))</f>
        <v>0</v>
      </c>
      <c r="AA536" s="8">
        <f>IF(B536="","",IF(R536&gt;=C536,"In pantry","To buy"))</f>
        <v>0</v>
      </c>
      <c r="AB536" s="8">
        <f>IF(A536="","",COUNTIFS($A$5:A536,A536))</f>
        <v>0</v>
      </c>
      <c r="AC536" s="8">
        <f>IF(B536="","",IF(COUNTIFS('Dietary Filters'!$C$5:$C$104,B536)&gt;0,"Check","OK"))</f>
        <v>0</v>
      </c>
      <c r="AD536" s="25"/>
    </row>
    <row r="537" spans="1:30">
      <c r="A537" s="7"/>
      <c r="B537" s="7"/>
      <c r="C537" s="26"/>
      <c r="D537" s="27"/>
      <c r="E537" s="8">
        <f>IF(B537="","",IFERROR(INDEX(Ingredients!$B$5:$B$304,MATCH(B537,Ingredients!$A$5:$A$304,0)),""))</f>
        <v>0</v>
      </c>
      <c r="F537" s="8">
        <f>IF(B537="","",IFERROR(INDEX(Ingredients!$E$5:$E$304,MATCH(B537,Ingredients!$A$5:$A$304,0)),""))</f>
        <v>0</v>
      </c>
      <c r="G537" s="8">
        <f>IF(B537="","",IFERROR(INDEX(Ingredients!$D$5:$D$304,MATCH(B537,Ingredients!$A$5:$A$304,0)),""))</f>
        <v>0</v>
      </c>
      <c r="H537" s="8">
        <f>IF(OR(B537="",C537=""),"",IFERROR(C537*G537,""))</f>
        <v>0</v>
      </c>
      <c r="I537" s="8">
        <f>IF(A537="","",IFERROR(INDEX(Recipes!$D$5:$D$204,MATCH(A537,Recipes!$A$5:$A$204,0)),""))</f>
        <v>0</v>
      </c>
      <c r="J537" s="8">
        <f>IF(OR(H537="",I537="",I537=0),"",IFERROR(H537/I537,""))</f>
        <v>0</v>
      </c>
      <c r="K537" s="8">
        <f>IF(OR(B537="",C537=""),"",IFERROR(C537*IFERROR(INDEX(Ingredients!$H$5:$H$304,MATCH(B537,Ingredients!$A$5:$A$304,0)),""),""))</f>
        <v>0</v>
      </c>
      <c r="L537" s="8">
        <f>IF(OR(B537="",C537=""),"",IFERROR(C537*IFERROR(INDEX(Ingredients!$I$5:$I$304,MATCH(B537,Ingredients!$A$5:$A$304,0)),""),""))</f>
        <v>0</v>
      </c>
      <c r="M537" s="8">
        <f>IF(OR(B537="",C537=""),"",IFERROR(C537*IFERROR(INDEX(Ingredients!$J$5:$J$304,MATCH(B537,Ingredients!$A$5:$A$304,0)),""),""))</f>
        <v>0</v>
      </c>
      <c r="N537" s="8">
        <f>IF(OR(B537="",C537=""),"",IFERROR(C537*IFERROR(INDEX(Ingredients!$K$5:$K$304,MATCH(B537,Ingredients!$A$5:$A$304,0)),""),""))</f>
        <v>0</v>
      </c>
      <c r="O537" s="8">
        <f>IF(OR(B537="",C537=""),"",IFERROR(C537*IFERROR(INDEX(Ingredients!$L$5:$L$304,MATCH(B537,Ingredients!$A$5:$A$304,0)),""),""))</f>
        <v>0</v>
      </c>
      <c r="P537" s="8">
        <f>IF(OR(H537="",A537=""),"",IFERROR(H537/SUMIFS('Recipe Ingredients'!$H$5:$H$1204,'Recipe Ingredients'!$A$5:$A$1204,A537),""))</f>
        <v>0</v>
      </c>
      <c r="Q537" s="8">
        <f>IF(H537="","",COUNTIFS($H$5:$H$1204,"&gt;"&amp;H537)+1)</f>
        <v>0</v>
      </c>
      <c r="R537" s="8">
        <f>IF(B537="","",SUMIFS(Pantry!$C$5:$C$304,Pantry!$A$5:$A$304,B537))</f>
        <v>0</v>
      </c>
      <c r="S537" s="8">
        <f>IF(OR(B537="",C537=""),"",MAX(0,C537-R537))</f>
        <v>0</v>
      </c>
      <c r="T537" s="26"/>
      <c r="U537" s="8">
        <f>IF(OR(T537="",T537=0,G537=""),"",T537*G537)</f>
        <v>0</v>
      </c>
      <c r="V537" s="8">
        <f>IF(OR(S537="",T537="",T537=0),"",CEILING(S537/T537,1))</f>
        <v>0</v>
      </c>
      <c r="W537" s="27"/>
      <c r="X537" s="29"/>
      <c r="Y537" s="8">
        <f>IF(OR(C537="",X537=""),"",C537*(1+X537))</f>
        <v>0</v>
      </c>
      <c r="Z537" s="8">
        <f>IF(B537="","",IFERROR(INDEX(Ingredients!$O$5:$O$304,MATCH(B537,Ingredients!$A$5:$A$304,0)),""))</f>
        <v>0</v>
      </c>
      <c r="AA537" s="8">
        <f>IF(B537="","",IF(R537&gt;=C537,"In pantry","To buy"))</f>
        <v>0</v>
      </c>
      <c r="AB537" s="8">
        <f>IF(A537="","",COUNTIFS($A$5:A537,A537))</f>
        <v>0</v>
      </c>
      <c r="AC537" s="8">
        <f>IF(B537="","",IF(COUNTIFS('Dietary Filters'!$C$5:$C$104,B537)&gt;0,"Check","OK"))</f>
        <v>0</v>
      </c>
      <c r="AD537" s="25"/>
    </row>
    <row r="538" spans="1:30">
      <c r="A538" s="7"/>
      <c r="B538" s="7"/>
      <c r="C538" s="26"/>
      <c r="D538" s="27"/>
      <c r="E538" s="8">
        <f>IF(B538="","",IFERROR(INDEX(Ingredients!$B$5:$B$304,MATCH(B538,Ingredients!$A$5:$A$304,0)),""))</f>
        <v>0</v>
      </c>
      <c r="F538" s="8">
        <f>IF(B538="","",IFERROR(INDEX(Ingredients!$E$5:$E$304,MATCH(B538,Ingredients!$A$5:$A$304,0)),""))</f>
        <v>0</v>
      </c>
      <c r="G538" s="8">
        <f>IF(B538="","",IFERROR(INDEX(Ingredients!$D$5:$D$304,MATCH(B538,Ingredients!$A$5:$A$304,0)),""))</f>
        <v>0</v>
      </c>
      <c r="H538" s="8">
        <f>IF(OR(B538="",C538=""),"",IFERROR(C538*G538,""))</f>
        <v>0</v>
      </c>
      <c r="I538" s="8">
        <f>IF(A538="","",IFERROR(INDEX(Recipes!$D$5:$D$204,MATCH(A538,Recipes!$A$5:$A$204,0)),""))</f>
        <v>0</v>
      </c>
      <c r="J538" s="8">
        <f>IF(OR(H538="",I538="",I538=0),"",IFERROR(H538/I538,""))</f>
        <v>0</v>
      </c>
      <c r="K538" s="8">
        <f>IF(OR(B538="",C538=""),"",IFERROR(C538*IFERROR(INDEX(Ingredients!$H$5:$H$304,MATCH(B538,Ingredients!$A$5:$A$304,0)),""),""))</f>
        <v>0</v>
      </c>
      <c r="L538" s="8">
        <f>IF(OR(B538="",C538=""),"",IFERROR(C538*IFERROR(INDEX(Ingredients!$I$5:$I$304,MATCH(B538,Ingredients!$A$5:$A$304,0)),""),""))</f>
        <v>0</v>
      </c>
      <c r="M538" s="8">
        <f>IF(OR(B538="",C538=""),"",IFERROR(C538*IFERROR(INDEX(Ingredients!$J$5:$J$304,MATCH(B538,Ingredients!$A$5:$A$304,0)),""),""))</f>
        <v>0</v>
      </c>
      <c r="N538" s="8">
        <f>IF(OR(B538="",C538=""),"",IFERROR(C538*IFERROR(INDEX(Ingredients!$K$5:$K$304,MATCH(B538,Ingredients!$A$5:$A$304,0)),""),""))</f>
        <v>0</v>
      </c>
      <c r="O538" s="8">
        <f>IF(OR(B538="",C538=""),"",IFERROR(C538*IFERROR(INDEX(Ingredients!$L$5:$L$304,MATCH(B538,Ingredients!$A$5:$A$304,0)),""),""))</f>
        <v>0</v>
      </c>
      <c r="P538" s="8">
        <f>IF(OR(H538="",A538=""),"",IFERROR(H538/SUMIFS('Recipe Ingredients'!$H$5:$H$1204,'Recipe Ingredients'!$A$5:$A$1204,A538),""))</f>
        <v>0</v>
      </c>
      <c r="Q538" s="8">
        <f>IF(H538="","",COUNTIFS($H$5:$H$1204,"&gt;"&amp;H538)+1)</f>
        <v>0</v>
      </c>
      <c r="R538" s="8">
        <f>IF(B538="","",SUMIFS(Pantry!$C$5:$C$304,Pantry!$A$5:$A$304,B538))</f>
        <v>0</v>
      </c>
      <c r="S538" s="8">
        <f>IF(OR(B538="",C538=""),"",MAX(0,C538-R538))</f>
        <v>0</v>
      </c>
      <c r="T538" s="26"/>
      <c r="U538" s="8">
        <f>IF(OR(T538="",T538=0,G538=""),"",T538*G538)</f>
        <v>0</v>
      </c>
      <c r="V538" s="8">
        <f>IF(OR(S538="",T538="",T538=0),"",CEILING(S538/T538,1))</f>
        <v>0</v>
      </c>
      <c r="W538" s="27"/>
      <c r="X538" s="29"/>
      <c r="Y538" s="8">
        <f>IF(OR(C538="",X538=""),"",C538*(1+X538))</f>
        <v>0</v>
      </c>
      <c r="Z538" s="8">
        <f>IF(B538="","",IFERROR(INDEX(Ingredients!$O$5:$O$304,MATCH(B538,Ingredients!$A$5:$A$304,0)),""))</f>
        <v>0</v>
      </c>
      <c r="AA538" s="8">
        <f>IF(B538="","",IF(R538&gt;=C538,"In pantry","To buy"))</f>
        <v>0</v>
      </c>
      <c r="AB538" s="8">
        <f>IF(A538="","",COUNTIFS($A$5:A538,A538))</f>
        <v>0</v>
      </c>
      <c r="AC538" s="8">
        <f>IF(B538="","",IF(COUNTIFS('Dietary Filters'!$C$5:$C$104,B538)&gt;0,"Check","OK"))</f>
        <v>0</v>
      </c>
      <c r="AD538" s="25"/>
    </row>
    <row r="539" spans="1:30">
      <c r="A539" s="7"/>
      <c r="B539" s="7"/>
      <c r="C539" s="26"/>
      <c r="D539" s="27"/>
      <c r="E539" s="8">
        <f>IF(B539="","",IFERROR(INDEX(Ingredients!$B$5:$B$304,MATCH(B539,Ingredients!$A$5:$A$304,0)),""))</f>
        <v>0</v>
      </c>
      <c r="F539" s="8">
        <f>IF(B539="","",IFERROR(INDEX(Ingredients!$E$5:$E$304,MATCH(B539,Ingredients!$A$5:$A$304,0)),""))</f>
        <v>0</v>
      </c>
      <c r="G539" s="8">
        <f>IF(B539="","",IFERROR(INDEX(Ingredients!$D$5:$D$304,MATCH(B539,Ingredients!$A$5:$A$304,0)),""))</f>
        <v>0</v>
      </c>
      <c r="H539" s="8">
        <f>IF(OR(B539="",C539=""),"",IFERROR(C539*G539,""))</f>
        <v>0</v>
      </c>
      <c r="I539" s="8">
        <f>IF(A539="","",IFERROR(INDEX(Recipes!$D$5:$D$204,MATCH(A539,Recipes!$A$5:$A$204,0)),""))</f>
        <v>0</v>
      </c>
      <c r="J539" s="8">
        <f>IF(OR(H539="",I539="",I539=0),"",IFERROR(H539/I539,""))</f>
        <v>0</v>
      </c>
      <c r="K539" s="8">
        <f>IF(OR(B539="",C539=""),"",IFERROR(C539*IFERROR(INDEX(Ingredients!$H$5:$H$304,MATCH(B539,Ingredients!$A$5:$A$304,0)),""),""))</f>
        <v>0</v>
      </c>
      <c r="L539" s="8">
        <f>IF(OR(B539="",C539=""),"",IFERROR(C539*IFERROR(INDEX(Ingredients!$I$5:$I$304,MATCH(B539,Ingredients!$A$5:$A$304,0)),""),""))</f>
        <v>0</v>
      </c>
      <c r="M539" s="8">
        <f>IF(OR(B539="",C539=""),"",IFERROR(C539*IFERROR(INDEX(Ingredients!$J$5:$J$304,MATCH(B539,Ingredients!$A$5:$A$304,0)),""),""))</f>
        <v>0</v>
      </c>
      <c r="N539" s="8">
        <f>IF(OR(B539="",C539=""),"",IFERROR(C539*IFERROR(INDEX(Ingredients!$K$5:$K$304,MATCH(B539,Ingredients!$A$5:$A$304,0)),""),""))</f>
        <v>0</v>
      </c>
      <c r="O539" s="8">
        <f>IF(OR(B539="",C539=""),"",IFERROR(C539*IFERROR(INDEX(Ingredients!$L$5:$L$304,MATCH(B539,Ingredients!$A$5:$A$304,0)),""),""))</f>
        <v>0</v>
      </c>
      <c r="P539" s="8">
        <f>IF(OR(H539="",A539=""),"",IFERROR(H539/SUMIFS('Recipe Ingredients'!$H$5:$H$1204,'Recipe Ingredients'!$A$5:$A$1204,A539),""))</f>
        <v>0</v>
      </c>
      <c r="Q539" s="8">
        <f>IF(H539="","",COUNTIFS($H$5:$H$1204,"&gt;"&amp;H539)+1)</f>
        <v>0</v>
      </c>
      <c r="R539" s="8">
        <f>IF(B539="","",SUMIFS(Pantry!$C$5:$C$304,Pantry!$A$5:$A$304,B539))</f>
        <v>0</v>
      </c>
      <c r="S539" s="8">
        <f>IF(OR(B539="",C539=""),"",MAX(0,C539-R539))</f>
        <v>0</v>
      </c>
      <c r="T539" s="26"/>
      <c r="U539" s="8">
        <f>IF(OR(T539="",T539=0,G539=""),"",T539*G539)</f>
        <v>0</v>
      </c>
      <c r="V539" s="8">
        <f>IF(OR(S539="",T539="",T539=0),"",CEILING(S539/T539,1))</f>
        <v>0</v>
      </c>
      <c r="W539" s="27"/>
      <c r="X539" s="29"/>
      <c r="Y539" s="8">
        <f>IF(OR(C539="",X539=""),"",C539*(1+X539))</f>
        <v>0</v>
      </c>
      <c r="Z539" s="8">
        <f>IF(B539="","",IFERROR(INDEX(Ingredients!$O$5:$O$304,MATCH(B539,Ingredients!$A$5:$A$304,0)),""))</f>
        <v>0</v>
      </c>
      <c r="AA539" s="8">
        <f>IF(B539="","",IF(R539&gt;=C539,"In pantry","To buy"))</f>
        <v>0</v>
      </c>
      <c r="AB539" s="8">
        <f>IF(A539="","",COUNTIFS($A$5:A539,A539))</f>
        <v>0</v>
      </c>
      <c r="AC539" s="8">
        <f>IF(B539="","",IF(COUNTIFS('Dietary Filters'!$C$5:$C$104,B539)&gt;0,"Check","OK"))</f>
        <v>0</v>
      </c>
      <c r="AD539" s="25"/>
    </row>
    <row r="540" spans="1:30">
      <c r="A540" s="7"/>
      <c r="B540" s="7"/>
      <c r="C540" s="26"/>
      <c r="D540" s="27"/>
      <c r="E540" s="8">
        <f>IF(B540="","",IFERROR(INDEX(Ingredients!$B$5:$B$304,MATCH(B540,Ingredients!$A$5:$A$304,0)),""))</f>
        <v>0</v>
      </c>
      <c r="F540" s="8">
        <f>IF(B540="","",IFERROR(INDEX(Ingredients!$E$5:$E$304,MATCH(B540,Ingredients!$A$5:$A$304,0)),""))</f>
        <v>0</v>
      </c>
      <c r="G540" s="8">
        <f>IF(B540="","",IFERROR(INDEX(Ingredients!$D$5:$D$304,MATCH(B540,Ingredients!$A$5:$A$304,0)),""))</f>
        <v>0</v>
      </c>
      <c r="H540" s="8">
        <f>IF(OR(B540="",C540=""),"",IFERROR(C540*G540,""))</f>
        <v>0</v>
      </c>
      <c r="I540" s="8">
        <f>IF(A540="","",IFERROR(INDEX(Recipes!$D$5:$D$204,MATCH(A540,Recipes!$A$5:$A$204,0)),""))</f>
        <v>0</v>
      </c>
      <c r="J540" s="8">
        <f>IF(OR(H540="",I540="",I540=0),"",IFERROR(H540/I540,""))</f>
        <v>0</v>
      </c>
      <c r="K540" s="8">
        <f>IF(OR(B540="",C540=""),"",IFERROR(C540*IFERROR(INDEX(Ingredients!$H$5:$H$304,MATCH(B540,Ingredients!$A$5:$A$304,0)),""),""))</f>
        <v>0</v>
      </c>
      <c r="L540" s="8">
        <f>IF(OR(B540="",C540=""),"",IFERROR(C540*IFERROR(INDEX(Ingredients!$I$5:$I$304,MATCH(B540,Ingredients!$A$5:$A$304,0)),""),""))</f>
        <v>0</v>
      </c>
      <c r="M540" s="8">
        <f>IF(OR(B540="",C540=""),"",IFERROR(C540*IFERROR(INDEX(Ingredients!$J$5:$J$304,MATCH(B540,Ingredients!$A$5:$A$304,0)),""),""))</f>
        <v>0</v>
      </c>
      <c r="N540" s="8">
        <f>IF(OR(B540="",C540=""),"",IFERROR(C540*IFERROR(INDEX(Ingredients!$K$5:$K$304,MATCH(B540,Ingredients!$A$5:$A$304,0)),""),""))</f>
        <v>0</v>
      </c>
      <c r="O540" s="8">
        <f>IF(OR(B540="",C540=""),"",IFERROR(C540*IFERROR(INDEX(Ingredients!$L$5:$L$304,MATCH(B540,Ingredients!$A$5:$A$304,0)),""),""))</f>
        <v>0</v>
      </c>
      <c r="P540" s="8">
        <f>IF(OR(H540="",A540=""),"",IFERROR(H540/SUMIFS('Recipe Ingredients'!$H$5:$H$1204,'Recipe Ingredients'!$A$5:$A$1204,A540),""))</f>
        <v>0</v>
      </c>
      <c r="Q540" s="8">
        <f>IF(H540="","",COUNTIFS($H$5:$H$1204,"&gt;"&amp;H540)+1)</f>
        <v>0</v>
      </c>
      <c r="R540" s="8">
        <f>IF(B540="","",SUMIFS(Pantry!$C$5:$C$304,Pantry!$A$5:$A$304,B540))</f>
        <v>0</v>
      </c>
      <c r="S540" s="8">
        <f>IF(OR(B540="",C540=""),"",MAX(0,C540-R540))</f>
        <v>0</v>
      </c>
      <c r="T540" s="26"/>
      <c r="U540" s="8">
        <f>IF(OR(T540="",T540=0,G540=""),"",T540*G540)</f>
        <v>0</v>
      </c>
      <c r="V540" s="8">
        <f>IF(OR(S540="",T540="",T540=0),"",CEILING(S540/T540,1))</f>
        <v>0</v>
      </c>
      <c r="W540" s="27"/>
      <c r="X540" s="29"/>
      <c r="Y540" s="8">
        <f>IF(OR(C540="",X540=""),"",C540*(1+X540))</f>
        <v>0</v>
      </c>
      <c r="Z540" s="8">
        <f>IF(B540="","",IFERROR(INDEX(Ingredients!$O$5:$O$304,MATCH(B540,Ingredients!$A$5:$A$304,0)),""))</f>
        <v>0</v>
      </c>
      <c r="AA540" s="8">
        <f>IF(B540="","",IF(R540&gt;=C540,"In pantry","To buy"))</f>
        <v>0</v>
      </c>
      <c r="AB540" s="8">
        <f>IF(A540="","",COUNTIFS($A$5:A540,A540))</f>
        <v>0</v>
      </c>
      <c r="AC540" s="8">
        <f>IF(B540="","",IF(COUNTIFS('Dietary Filters'!$C$5:$C$104,B540)&gt;0,"Check","OK"))</f>
        <v>0</v>
      </c>
      <c r="AD540" s="25"/>
    </row>
    <row r="541" spans="1:30">
      <c r="A541" s="7"/>
      <c r="B541" s="7"/>
      <c r="C541" s="26"/>
      <c r="D541" s="27"/>
      <c r="E541" s="8">
        <f>IF(B541="","",IFERROR(INDEX(Ingredients!$B$5:$B$304,MATCH(B541,Ingredients!$A$5:$A$304,0)),""))</f>
        <v>0</v>
      </c>
      <c r="F541" s="8">
        <f>IF(B541="","",IFERROR(INDEX(Ingredients!$E$5:$E$304,MATCH(B541,Ingredients!$A$5:$A$304,0)),""))</f>
        <v>0</v>
      </c>
      <c r="G541" s="8">
        <f>IF(B541="","",IFERROR(INDEX(Ingredients!$D$5:$D$304,MATCH(B541,Ingredients!$A$5:$A$304,0)),""))</f>
        <v>0</v>
      </c>
      <c r="H541" s="8">
        <f>IF(OR(B541="",C541=""),"",IFERROR(C541*G541,""))</f>
        <v>0</v>
      </c>
      <c r="I541" s="8">
        <f>IF(A541="","",IFERROR(INDEX(Recipes!$D$5:$D$204,MATCH(A541,Recipes!$A$5:$A$204,0)),""))</f>
        <v>0</v>
      </c>
      <c r="J541" s="8">
        <f>IF(OR(H541="",I541="",I541=0),"",IFERROR(H541/I541,""))</f>
        <v>0</v>
      </c>
      <c r="K541" s="8">
        <f>IF(OR(B541="",C541=""),"",IFERROR(C541*IFERROR(INDEX(Ingredients!$H$5:$H$304,MATCH(B541,Ingredients!$A$5:$A$304,0)),""),""))</f>
        <v>0</v>
      </c>
      <c r="L541" s="8">
        <f>IF(OR(B541="",C541=""),"",IFERROR(C541*IFERROR(INDEX(Ingredients!$I$5:$I$304,MATCH(B541,Ingredients!$A$5:$A$304,0)),""),""))</f>
        <v>0</v>
      </c>
      <c r="M541" s="8">
        <f>IF(OR(B541="",C541=""),"",IFERROR(C541*IFERROR(INDEX(Ingredients!$J$5:$J$304,MATCH(B541,Ingredients!$A$5:$A$304,0)),""),""))</f>
        <v>0</v>
      </c>
      <c r="N541" s="8">
        <f>IF(OR(B541="",C541=""),"",IFERROR(C541*IFERROR(INDEX(Ingredients!$K$5:$K$304,MATCH(B541,Ingredients!$A$5:$A$304,0)),""),""))</f>
        <v>0</v>
      </c>
      <c r="O541" s="8">
        <f>IF(OR(B541="",C541=""),"",IFERROR(C541*IFERROR(INDEX(Ingredients!$L$5:$L$304,MATCH(B541,Ingredients!$A$5:$A$304,0)),""),""))</f>
        <v>0</v>
      </c>
      <c r="P541" s="8">
        <f>IF(OR(H541="",A541=""),"",IFERROR(H541/SUMIFS('Recipe Ingredients'!$H$5:$H$1204,'Recipe Ingredients'!$A$5:$A$1204,A541),""))</f>
        <v>0</v>
      </c>
      <c r="Q541" s="8">
        <f>IF(H541="","",COUNTIFS($H$5:$H$1204,"&gt;"&amp;H541)+1)</f>
        <v>0</v>
      </c>
      <c r="R541" s="8">
        <f>IF(B541="","",SUMIFS(Pantry!$C$5:$C$304,Pantry!$A$5:$A$304,B541))</f>
        <v>0</v>
      </c>
      <c r="S541" s="8">
        <f>IF(OR(B541="",C541=""),"",MAX(0,C541-R541))</f>
        <v>0</v>
      </c>
      <c r="T541" s="26"/>
      <c r="U541" s="8">
        <f>IF(OR(T541="",T541=0,G541=""),"",T541*G541)</f>
        <v>0</v>
      </c>
      <c r="V541" s="8">
        <f>IF(OR(S541="",T541="",T541=0),"",CEILING(S541/T541,1))</f>
        <v>0</v>
      </c>
      <c r="W541" s="27"/>
      <c r="X541" s="29"/>
      <c r="Y541" s="8">
        <f>IF(OR(C541="",X541=""),"",C541*(1+X541))</f>
        <v>0</v>
      </c>
      <c r="Z541" s="8">
        <f>IF(B541="","",IFERROR(INDEX(Ingredients!$O$5:$O$304,MATCH(B541,Ingredients!$A$5:$A$304,0)),""))</f>
        <v>0</v>
      </c>
      <c r="AA541" s="8">
        <f>IF(B541="","",IF(R541&gt;=C541,"In pantry","To buy"))</f>
        <v>0</v>
      </c>
      <c r="AB541" s="8">
        <f>IF(A541="","",COUNTIFS($A$5:A541,A541))</f>
        <v>0</v>
      </c>
      <c r="AC541" s="8">
        <f>IF(B541="","",IF(COUNTIFS('Dietary Filters'!$C$5:$C$104,B541)&gt;0,"Check","OK"))</f>
        <v>0</v>
      </c>
      <c r="AD541" s="25"/>
    </row>
    <row r="542" spans="1:30">
      <c r="A542" s="7"/>
      <c r="B542" s="7"/>
      <c r="C542" s="26"/>
      <c r="D542" s="27"/>
      <c r="E542" s="8">
        <f>IF(B542="","",IFERROR(INDEX(Ingredients!$B$5:$B$304,MATCH(B542,Ingredients!$A$5:$A$304,0)),""))</f>
        <v>0</v>
      </c>
      <c r="F542" s="8">
        <f>IF(B542="","",IFERROR(INDEX(Ingredients!$E$5:$E$304,MATCH(B542,Ingredients!$A$5:$A$304,0)),""))</f>
        <v>0</v>
      </c>
      <c r="G542" s="8">
        <f>IF(B542="","",IFERROR(INDEX(Ingredients!$D$5:$D$304,MATCH(B542,Ingredients!$A$5:$A$304,0)),""))</f>
        <v>0</v>
      </c>
      <c r="H542" s="8">
        <f>IF(OR(B542="",C542=""),"",IFERROR(C542*G542,""))</f>
        <v>0</v>
      </c>
      <c r="I542" s="8">
        <f>IF(A542="","",IFERROR(INDEX(Recipes!$D$5:$D$204,MATCH(A542,Recipes!$A$5:$A$204,0)),""))</f>
        <v>0</v>
      </c>
      <c r="J542" s="8">
        <f>IF(OR(H542="",I542="",I542=0),"",IFERROR(H542/I542,""))</f>
        <v>0</v>
      </c>
      <c r="K542" s="8">
        <f>IF(OR(B542="",C542=""),"",IFERROR(C542*IFERROR(INDEX(Ingredients!$H$5:$H$304,MATCH(B542,Ingredients!$A$5:$A$304,0)),""),""))</f>
        <v>0</v>
      </c>
      <c r="L542" s="8">
        <f>IF(OR(B542="",C542=""),"",IFERROR(C542*IFERROR(INDEX(Ingredients!$I$5:$I$304,MATCH(B542,Ingredients!$A$5:$A$304,0)),""),""))</f>
        <v>0</v>
      </c>
      <c r="M542" s="8">
        <f>IF(OR(B542="",C542=""),"",IFERROR(C542*IFERROR(INDEX(Ingredients!$J$5:$J$304,MATCH(B542,Ingredients!$A$5:$A$304,0)),""),""))</f>
        <v>0</v>
      </c>
      <c r="N542" s="8">
        <f>IF(OR(B542="",C542=""),"",IFERROR(C542*IFERROR(INDEX(Ingredients!$K$5:$K$304,MATCH(B542,Ingredients!$A$5:$A$304,0)),""),""))</f>
        <v>0</v>
      </c>
      <c r="O542" s="8">
        <f>IF(OR(B542="",C542=""),"",IFERROR(C542*IFERROR(INDEX(Ingredients!$L$5:$L$304,MATCH(B542,Ingredients!$A$5:$A$304,0)),""),""))</f>
        <v>0</v>
      </c>
      <c r="P542" s="8">
        <f>IF(OR(H542="",A542=""),"",IFERROR(H542/SUMIFS('Recipe Ingredients'!$H$5:$H$1204,'Recipe Ingredients'!$A$5:$A$1204,A542),""))</f>
        <v>0</v>
      </c>
      <c r="Q542" s="8">
        <f>IF(H542="","",COUNTIFS($H$5:$H$1204,"&gt;"&amp;H542)+1)</f>
        <v>0</v>
      </c>
      <c r="R542" s="8">
        <f>IF(B542="","",SUMIFS(Pantry!$C$5:$C$304,Pantry!$A$5:$A$304,B542))</f>
        <v>0</v>
      </c>
      <c r="S542" s="8">
        <f>IF(OR(B542="",C542=""),"",MAX(0,C542-R542))</f>
        <v>0</v>
      </c>
      <c r="T542" s="26"/>
      <c r="U542" s="8">
        <f>IF(OR(T542="",T542=0,G542=""),"",T542*G542)</f>
        <v>0</v>
      </c>
      <c r="V542" s="8">
        <f>IF(OR(S542="",T542="",T542=0),"",CEILING(S542/T542,1))</f>
        <v>0</v>
      </c>
      <c r="W542" s="27"/>
      <c r="X542" s="29"/>
      <c r="Y542" s="8">
        <f>IF(OR(C542="",X542=""),"",C542*(1+X542))</f>
        <v>0</v>
      </c>
      <c r="Z542" s="8">
        <f>IF(B542="","",IFERROR(INDEX(Ingredients!$O$5:$O$304,MATCH(B542,Ingredients!$A$5:$A$304,0)),""))</f>
        <v>0</v>
      </c>
      <c r="AA542" s="8">
        <f>IF(B542="","",IF(R542&gt;=C542,"In pantry","To buy"))</f>
        <v>0</v>
      </c>
      <c r="AB542" s="8">
        <f>IF(A542="","",COUNTIFS($A$5:A542,A542))</f>
        <v>0</v>
      </c>
      <c r="AC542" s="8">
        <f>IF(B542="","",IF(COUNTIFS('Dietary Filters'!$C$5:$C$104,B542)&gt;0,"Check","OK"))</f>
        <v>0</v>
      </c>
      <c r="AD542" s="25"/>
    </row>
    <row r="543" spans="1:30">
      <c r="A543" s="7"/>
      <c r="B543" s="7"/>
      <c r="C543" s="26"/>
      <c r="D543" s="27"/>
      <c r="E543" s="8">
        <f>IF(B543="","",IFERROR(INDEX(Ingredients!$B$5:$B$304,MATCH(B543,Ingredients!$A$5:$A$304,0)),""))</f>
        <v>0</v>
      </c>
      <c r="F543" s="8">
        <f>IF(B543="","",IFERROR(INDEX(Ingredients!$E$5:$E$304,MATCH(B543,Ingredients!$A$5:$A$304,0)),""))</f>
        <v>0</v>
      </c>
      <c r="G543" s="8">
        <f>IF(B543="","",IFERROR(INDEX(Ingredients!$D$5:$D$304,MATCH(B543,Ingredients!$A$5:$A$304,0)),""))</f>
        <v>0</v>
      </c>
      <c r="H543" s="8">
        <f>IF(OR(B543="",C543=""),"",IFERROR(C543*G543,""))</f>
        <v>0</v>
      </c>
      <c r="I543" s="8">
        <f>IF(A543="","",IFERROR(INDEX(Recipes!$D$5:$D$204,MATCH(A543,Recipes!$A$5:$A$204,0)),""))</f>
        <v>0</v>
      </c>
      <c r="J543" s="8">
        <f>IF(OR(H543="",I543="",I543=0),"",IFERROR(H543/I543,""))</f>
        <v>0</v>
      </c>
      <c r="K543" s="8">
        <f>IF(OR(B543="",C543=""),"",IFERROR(C543*IFERROR(INDEX(Ingredients!$H$5:$H$304,MATCH(B543,Ingredients!$A$5:$A$304,0)),""),""))</f>
        <v>0</v>
      </c>
      <c r="L543" s="8">
        <f>IF(OR(B543="",C543=""),"",IFERROR(C543*IFERROR(INDEX(Ingredients!$I$5:$I$304,MATCH(B543,Ingredients!$A$5:$A$304,0)),""),""))</f>
        <v>0</v>
      </c>
      <c r="M543" s="8">
        <f>IF(OR(B543="",C543=""),"",IFERROR(C543*IFERROR(INDEX(Ingredients!$J$5:$J$304,MATCH(B543,Ingredients!$A$5:$A$304,0)),""),""))</f>
        <v>0</v>
      </c>
      <c r="N543" s="8">
        <f>IF(OR(B543="",C543=""),"",IFERROR(C543*IFERROR(INDEX(Ingredients!$K$5:$K$304,MATCH(B543,Ingredients!$A$5:$A$304,0)),""),""))</f>
        <v>0</v>
      </c>
      <c r="O543" s="8">
        <f>IF(OR(B543="",C543=""),"",IFERROR(C543*IFERROR(INDEX(Ingredients!$L$5:$L$304,MATCH(B543,Ingredients!$A$5:$A$304,0)),""),""))</f>
        <v>0</v>
      </c>
      <c r="P543" s="8">
        <f>IF(OR(H543="",A543=""),"",IFERROR(H543/SUMIFS('Recipe Ingredients'!$H$5:$H$1204,'Recipe Ingredients'!$A$5:$A$1204,A543),""))</f>
        <v>0</v>
      </c>
      <c r="Q543" s="8">
        <f>IF(H543="","",COUNTIFS($H$5:$H$1204,"&gt;"&amp;H543)+1)</f>
        <v>0</v>
      </c>
      <c r="R543" s="8">
        <f>IF(B543="","",SUMIFS(Pantry!$C$5:$C$304,Pantry!$A$5:$A$304,B543))</f>
        <v>0</v>
      </c>
      <c r="S543" s="8">
        <f>IF(OR(B543="",C543=""),"",MAX(0,C543-R543))</f>
        <v>0</v>
      </c>
      <c r="T543" s="26"/>
      <c r="U543" s="8">
        <f>IF(OR(T543="",T543=0,G543=""),"",T543*G543)</f>
        <v>0</v>
      </c>
      <c r="V543" s="8">
        <f>IF(OR(S543="",T543="",T543=0),"",CEILING(S543/T543,1))</f>
        <v>0</v>
      </c>
      <c r="W543" s="27"/>
      <c r="X543" s="29"/>
      <c r="Y543" s="8">
        <f>IF(OR(C543="",X543=""),"",C543*(1+X543))</f>
        <v>0</v>
      </c>
      <c r="Z543" s="8">
        <f>IF(B543="","",IFERROR(INDEX(Ingredients!$O$5:$O$304,MATCH(B543,Ingredients!$A$5:$A$304,0)),""))</f>
        <v>0</v>
      </c>
      <c r="AA543" s="8">
        <f>IF(B543="","",IF(R543&gt;=C543,"In pantry","To buy"))</f>
        <v>0</v>
      </c>
      <c r="AB543" s="8">
        <f>IF(A543="","",COUNTIFS($A$5:A543,A543))</f>
        <v>0</v>
      </c>
      <c r="AC543" s="8">
        <f>IF(B543="","",IF(COUNTIFS('Dietary Filters'!$C$5:$C$104,B543)&gt;0,"Check","OK"))</f>
        <v>0</v>
      </c>
      <c r="AD543" s="25"/>
    </row>
    <row r="544" spans="1:30">
      <c r="A544" s="7"/>
      <c r="B544" s="7"/>
      <c r="C544" s="26"/>
      <c r="D544" s="27"/>
      <c r="E544" s="8">
        <f>IF(B544="","",IFERROR(INDEX(Ingredients!$B$5:$B$304,MATCH(B544,Ingredients!$A$5:$A$304,0)),""))</f>
        <v>0</v>
      </c>
      <c r="F544" s="8">
        <f>IF(B544="","",IFERROR(INDEX(Ingredients!$E$5:$E$304,MATCH(B544,Ingredients!$A$5:$A$304,0)),""))</f>
        <v>0</v>
      </c>
      <c r="G544" s="8">
        <f>IF(B544="","",IFERROR(INDEX(Ingredients!$D$5:$D$304,MATCH(B544,Ingredients!$A$5:$A$304,0)),""))</f>
        <v>0</v>
      </c>
      <c r="H544" s="8">
        <f>IF(OR(B544="",C544=""),"",IFERROR(C544*G544,""))</f>
        <v>0</v>
      </c>
      <c r="I544" s="8">
        <f>IF(A544="","",IFERROR(INDEX(Recipes!$D$5:$D$204,MATCH(A544,Recipes!$A$5:$A$204,0)),""))</f>
        <v>0</v>
      </c>
      <c r="J544" s="8">
        <f>IF(OR(H544="",I544="",I544=0),"",IFERROR(H544/I544,""))</f>
        <v>0</v>
      </c>
      <c r="K544" s="8">
        <f>IF(OR(B544="",C544=""),"",IFERROR(C544*IFERROR(INDEX(Ingredients!$H$5:$H$304,MATCH(B544,Ingredients!$A$5:$A$304,0)),""),""))</f>
        <v>0</v>
      </c>
      <c r="L544" s="8">
        <f>IF(OR(B544="",C544=""),"",IFERROR(C544*IFERROR(INDEX(Ingredients!$I$5:$I$304,MATCH(B544,Ingredients!$A$5:$A$304,0)),""),""))</f>
        <v>0</v>
      </c>
      <c r="M544" s="8">
        <f>IF(OR(B544="",C544=""),"",IFERROR(C544*IFERROR(INDEX(Ingredients!$J$5:$J$304,MATCH(B544,Ingredients!$A$5:$A$304,0)),""),""))</f>
        <v>0</v>
      </c>
      <c r="N544" s="8">
        <f>IF(OR(B544="",C544=""),"",IFERROR(C544*IFERROR(INDEX(Ingredients!$K$5:$K$304,MATCH(B544,Ingredients!$A$5:$A$304,0)),""),""))</f>
        <v>0</v>
      </c>
      <c r="O544" s="8">
        <f>IF(OR(B544="",C544=""),"",IFERROR(C544*IFERROR(INDEX(Ingredients!$L$5:$L$304,MATCH(B544,Ingredients!$A$5:$A$304,0)),""),""))</f>
        <v>0</v>
      </c>
      <c r="P544" s="8">
        <f>IF(OR(H544="",A544=""),"",IFERROR(H544/SUMIFS('Recipe Ingredients'!$H$5:$H$1204,'Recipe Ingredients'!$A$5:$A$1204,A544),""))</f>
        <v>0</v>
      </c>
      <c r="Q544" s="8">
        <f>IF(H544="","",COUNTIFS($H$5:$H$1204,"&gt;"&amp;H544)+1)</f>
        <v>0</v>
      </c>
      <c r="R544" s="8">
        <f>IF(B544="","",SUMIFS(Pantry!$C$5:$C$304,Pantry!$A$5:$A$304,B544))</f>
        <v>0</v>
      </c>
      <c r="S544" s="8">
        <f>IF(OR(B544="",C544=""),"",MAX(0,C544-R544))</f>
        <v>0</v>
      </c>
      <c r="T544" s="26"/>
      <c r="U544" s="8">
        <f>IF(OR(T544="",T544=0,G544=""),"",T544*G544)</f>
        <v>0</v>
      </c>
      <c r="V544" s="8">
        <f>IF(OR(S544="",T544="",T544=0),"",CEILING(S544/T544,1))</f>
        <v>0</v>
      </c>
      <c r="W544" s="27"/>
      <c r="X544" s="29"/>
      <c r="Y544" s="8">
        <f>IF(OR(C544="",X544=""),"",C544*(1+X544))</f>
        <v>0</v>
      </c>
      <c r="Z544" s="8">
        <f>IF(B544="","",IFERROR(INDEX(Ingredients!$O$5:$O$304,MATCH(B544,Ingredients!$A$5:$A$304,0)),""))</f>
        <v>0</v>
      </c>
      <c r="AA544" s="8">
        <f>IF(B544="","",IF(R544&gt;=C544,"In pantry","To buy"))</f>
        <v>0</v>
      </c>
      <c r="AB544" s="8">
        <f>IF(A544="","",COUNTIFS($A$5:A544,A544))</f>
        <v>0</v>
      </c>
      <c r="AC544" s="8">
        <f>IF(B544="","",IF(COUNTIFS('Dietary Filters'!$C$5:$C$104,B544)&gt;0,"Check","OK"))</f>
        <v>0</v>
      </c>
      <c r="AD544" s="25"/>
    </row>
    <row r="545" spans="1:30">
      <c r="A545" s="7"/>
      <c r="B545" s="7"/>
      <c r="C545" s="26"/>
      <c r="D545" s="27"/>
      <c r="E545" s="8">
        <f>IF(B545="","",IFERROR(INDEX(Ingredients!$B$5:$B$304,MATCH(B545,Ingredients!$A$5:$A$304,0)),""))</f>
        <v>0</v>
      </c>
      <c r="F545" s="8">
        <f>IF(B545="","",IFERROR(INDEX(Ingredients!$E$5:$E$304,MATCH(B545,Ingredients!$A$5:$A$304,0)),""))</f>
        <v>0</v>
      </c>
      <c r="G545" s="8">
        <f>IF(B545="","",IFERROR(INDEX(Ingredients!$D$5:$D$304,MATCH(B545,Ingredients!$A$5:$A$304,0)),""))</f>
        <v>0</v>
      </c>
      <c r="H545" s="8">
        <f>IF(OR(B545="",C545=""),"",IFERROR(C545*G545,""))</f>
        <v>0</v>
      </c>
      <c r="I545" s="8">
        <f>IF(A545="","",IFERROR(INDEX(Recipes!$D$5:$D$204,MATCH(A545,Recipes!$A$5:$A$204,0)),""))</f>
        <v>0</v>
      </c>
      <c r="J545" s="8">
        <f>IF(OR(H545="",I545="",I545=0),"",IFERROR(H545/I545,""))</f>
        <v>0</v>
      </c>
      <c r="K545" s="8">
        <f>IF(OR(B545="",C545=""),"",IFERROR(C545*IFERROR(INDEX(Ingredients!$H$5:$H$304,MATCH(B545,Ingredients!$A$5:$A$304,0)),""),""))</f>
        <v>0</v>
      </c>
      <c r="L545" s="8">
        <f>IF(OR(B545="",C545=""),"",IFERROR(C545*IFERROR(INDEX(Ingredients!$I$5:$I$304,MATCH(B545,Ingredients!$A$5:$A$304,0)),""),""))</f>
        <v>0</v>
      </c>
      <c r="M545" s="8">
        <f>IF(OR(B545="",C545=""),"",IFERROR(C545*IFERROR(INDEX(Ingredients!$J$5:$J$304,MATCH(B545,Ingredients!$A$5:$A$304,0)),""),""))</f>
        <v>0</v>
      </c>
      <c r="N545" s="8">
        <f>IF(OR(B545="",C545=""),"",IFERROR(C545*IFERROR(INDEX(Ingredients!$K$5:$K$304,MATCH(B545,Ingredients!$A$5:$A$304,0)),""),""))</f>
        <v>0</v>
      </c>
      <c r="O545" s="8">
        <f>IF(OR(B545="",C545=""),"",IFERROR(C545*IFERROR(INDEX(Ingredients!$L$5:$L$304,MATCH(B545,Ingredients!$A$5:$A$304,0)),""),""))</f>
        <v>0</v>
      </c>
      <c r="P545" s="8">
        <f>IF(OR(H545="",A545=""),"",IFERROR(H545/SUMIFS('Recipe Ingredients'!$H$5:$H$1204,'Recipe Ingredients'!$A$5:$A$1204,A545),""))</f>
        <v>0</v>
      </c>
      <c r="Q545" s="8">
        <f>IF(H545="","",COUNTIFS($H$5:$H$1204,"&gt;"&amp;H545)+1)</f>
        <v>0</v>
      </c>
      <c r="R545" s="8">
        <f>IF(B545="","",SUMIFS(Pantry!$C$5:$C$304,Pantry!$A$5:$A$304,B545))</f>
        <v>0</v>
      </c>
      <c r="S545" s="8">
        <f>IF(OR(B545="",C545=""),"",MAX(0,C545-R545))</f>
        <v>0</v>
      </c>
      <c r="T545" s="26"/>
      <c r="U545" s="8">
        <f>IF(OR(T545="",T545=0,G545=""),"",T545*G545)</f>
        <v>0</v>
      </c>
      <c r="V545" s="8">
        <f>IF(OR(S545="",T545="",T545=0),"",CEILING(S545/T545,1))</f>
        <v>0</v>
      </c>
      <c r="W545" s="27"/>
      <c r="X545" s="29"/>
      <c r="Y545" s="8">
        <f>IF(OR(C545="",X545=""),"",C545*(1+X545))</f>
        <v>0</v>
      </c>
      <c r="Z545" s="8">
        <f>IF(B545="","",IFERROR(INDEX(Ingredients!$O$5:$O$304,MATCH(B545,Ingredients!$A$5:$A$304,0)),""))</f>
        <v>0</v>
      </c>
      <c r="AA545" s="8">
        <f>IF(B545="","",IF(R545&gt;=C545,"In pantry","To buy"))</f>
        <v>0</v>
      </c>
      <c r="AB545" s="8">
        <f>IF(A545="","",COUNTIFS($A$5:A545,A545))</f>
        <v>0</v>
      </c>
      <c r="AC545" s="8">
        <f>IF(B545="","",IF(COUNTIFS('Dietary Filters'!$C$5:$C$104,B545)&gt;0,"Check","OK"))</f>
        <v>0</v>
      </c>
      <c r="AD545" s="25"/>
    </row>
    <row r="546" spans="1:30">
      <c r="A546" s="7"/>
      <c r="B546" s="7"/>
      <c r="C546" s="26"/>
      <c r="D546" s="27"/>
      <c r="E546" s="8">
        <f>IF(B546="","",IFERROR(INDEX(Ingredients!$B$5:$B$304,MATCH(B546,Ingredients!$A$5:$A$304,0)),""))</f>
        <v>0</v>
      </c>
      <c r="F546" s="8">
        <f>IF(B546="","",IFERROR(INDEX(Ingredients!$E$5:$E$304,MATCH(B546,Ingredients!$A$5:$A$304,0)),""))</f>
        <v>0</v>
      </c>
      <c r="G546" s="8">
        <f>IF(B546="","",IFERROR(INDEX(Ingredients!$D$5:$D$304,MATCH(B546,Ingredients!$A$5:$A$304,0)),""))</f>
        <v>0</v>
      </c>
      <c r="H546" s="8">
        <f>IF(OR(B546="",C546=""),"",IFERROR(C546*G546,""))</f>
        <v>0</v>
      </c>
      <c r="I546" s="8">
        <f>IF(A546="","",IFERROR(INDEX(Recipes!$D$5:$D$204,MATCH(A546,Recipes!$A$5:$A$204,0)),""))</f>
        <v>0</v>
      </c>
      <c r="J546" s="8">
        <f>IF(OR(H546="",I546="",I546=0),"",IFERROR(H546/I546,""))</f>
        <v>0</v>
      </c>
      <c r="K546" s="8">
        <f>IF(OR(B546="",C546=""),"",IFERROR(C546*IFERROR(INDEX(Ingredients!$H$5:$H$304,MATCH(B546,Ingredients!$A$5:$A$304,0)),""),""))</f>
        <v>0</v>
      </c>
      <c r="L546" s="8">
        <f>IF(OR(B546="",C546=""),"",IFERROR(C546*IFERROR(INDEX(Ingredients!$I$5:$I$304,MATCH(B546,Ingredients!$A$5:$A$304,0)),""),""))</f>
        <v>0</v>
      </c>
      <c r="M546" s="8">
        <f>IF(OR(B546="",C546=""),"",IFERROR(C546*IFERROR(INDEX(Ingredients!$J$5:$J$304,MATCH(B546,Ingredients!$A$5:$A$304,0)),""),""))</f>
        <v>0</v>
      </c>
      <c r="N546" s="8">
        <f>IF(OR(B546="",C546=""),"",IFERROR(C546*IFERROR(INDEX(Ingredients!$K$5:$K$304,MATCH(B546,Ingredients!$A$5:$A$304,0)),""),""))</f>
        <v>0</v>
      </c>
      <c r="O546" s="8">
        <f>IF(OR(B546="",C546=""),"",IFERROR(C546*IFERROR(INDEX(Ingredients!$L$5:$L$304,MATCH(B546,Ingredients!$A$5:$A$304,0)),""),""))</f>
        <v>0</v>
      </c>
      <c r="P546" s="8">
        <f>IF(OR(H546="",A546=""),"",IFERROR(H546/SUMIFS('Recipe Ingredients'!$H$5:$H$1204,'Recipe Ingredients'!$A$5:$A$1204,A546),""))</f>
        <v>0</v>
      </c>
      <c r="Q546" s="8">
        <f>IF(H546="","",COUNTIFS($H$5:$H$1204,"&gt;"&amp;H546)+1)</f>
        <v>0</v>
      </c>
      <c r="R546" s="8">
        <f>IF(B546="","",SUMIFS(Pantry!$C$5:$C$304,Pantry!$A$5:$A$304,B546))</f>
        <v>0</v>
      </c>
      <c r="S546" s="8">
        <f>IF(OR(B546="",C546=""),"",MAX(0,C546-R546))</f>
        <v>0</v>
      </c>
      <c r="T546" s="26"/>
      <c r="U546" s="8">
        <f>IF(OR(T546="",T546=0,G546=""),"",T546*G546)</f>
        <v>0</v>
      </c>
      <c r="V546" s="8">
        <f>IF(OR(S546="",T546="",T546=0),"",CEILING(S546/T546,1))</f>
        <v>0</v>
      </c>
      <c r="W546" s="27"/>
      <c r="X546" s="29"/>
      <c r="Y546" s="8">
        <f>IF(OR(C546="",X546=""),"",C546*(1+X546))</f>
        <v>0</v>
      </c>
      <c r="Z546" s="8">
        <f>IF(B546="","",IFERROR(INDEX(Ingredients!$O$5:$O$304,MATCH(B546,Ingredients!$A$5:$A$304,0)),""))</f>
        <v>0</v>
      </c>
      <c r="AA546" s="8">
        <f>IF(B546="","",IF(R546&gt;=C546,"In pantry","To buy"))</f>
        <v>0</v>
      </c>
      <c r="AB546" s="8">
        <f>IF(A546="","",COUNTIFS($A$5:A546,A546))</f>
        <v>0</v>
      </c>
      <c r="AC546" s="8">
        <f>IF(B546="","",IF(COUNTIFS('Dietary Filters'!$C$5:$C$104,B546)&gt;0,"Check","OK"))</f>
        <v>0</v>
      </c>
      <c r="AD546" s="25"/>
    </row>
    <row r="547" spans="1:30">
      <c r="A547" s="7"/>
      <c r="B547" s="7"/>
      <c r="C547" s="26"/>
      <c r="D547" s="27"/>
      <c r="E547" s="8">
        <f>IF(B547="","",IFERROR(INDEX(Ingredients!$B$5:$B$304,MATCH(B547,Ingredients!$A$5:$A$304,0)),""))</f>
        <v>0</v>
      </c>
      <c r="F547" s="8">
        <f>IF(B547="","",IFERROR(INDEX(Ingredients!$E$5:$E$304,MATCH(B547,Ingredients!$A$5:$A$304,0)),""))</f>
        <v>0</v>
      </c>
      <c r="G547" s="8">
        <f>IF(B547="","",IFERROR(INDEX(Ingredients!$D$5:$D$304,MATCH(B547,Ingredients!$A$5:$A$304,0)),""))</f>
        <v>0</v>
      </c>
      <c r="H547" s="8">
        <f>IF(OR(B547="",C547=""),"",IFERROR(C547*G547,""))</f>
        <v>0</v>
      </c>
      <c r="I547" s="8">
        <f>IF(A547="","",IFERROR(INDEX(Recipes!$D$5:$D$204,MATCH(A547,Recipes!$A$5:$A$204,0)),""))</f>
        <v>0</v>
      </c>
      <c r="J547" s="8">
        <f>IF(OR(H547="",I547="",I547=0),"",IFERROR(H547/I547,""))</f>
        <v>0</v>
      </c>
      <c r="K547" s="8">
        <f>IF(OR(B547="",C547=""),"",IFERROR(C547*IFERROR(INDEX(Ingredients!$H$5:$H$304,MATCH(B547,Ingredients!$A$5:$A$304,0)),""),""))</f>
        <v>0</v>
      </c>
      <c r="L547" s="8">
        <f>IF(OR(B547="",C547=""),"",IFERROR(C547*IFERROR(INDEX(Ingredients!$I$5:$I$304,MATCH(B547,Ingredients!$A$5:$A$304,0)),""),""))</f>
        <v>0</v>
      </c>
      <c r="M547" s="8">
        <f>IF(OR(B547="",C547=""),"",IFERROR(C547*IFERROR(INDEX(Ingredients!$J$5:$J$304,MATCH(B547,Ingredients!$A$5:$A$304,0)),""),""))</f>
        <v>0</v>
      </c>
      <c r="N547" s="8">
        <f>IF(OR(B547="",C547=""),"",IFERROR(C547*IFERROR(INDEX(Ingredients!$K$5:$K$304,MATCH(B547,Ingredients!$A$5:$A$304,0)),""),""))</f>
        <v>0</v>
      </c>
      <c r="O547" s="8">
        <f>IF(OR(B547="",C547=""),"",IFERROR(C547*IFERROR(INDEX(Ingredients!$L$5:$L$304,MATCH(B547,Ingredients!$A$5:$A$304,0)),""),""))</f>
        <v>0</v>
      </c>
      <c r="P547" s="8">
        <f>IF(OR(H547="",A547=""),"",IFERROR(H547/SUMIFS('Recipe Ingredients'!$H$5:$H$1204,'Recipe Ingredients'!$A$5:$A$1204,A547),""))</f>
        <v>0</v>
      </c>
      <c r="Q547" s="8">
        <f>IF(H547="","",COUNTIFS($H$5:$H$1204,"&gt;"&amp;H547)+1)</f>
        <v>0</v>
      </c>
      <c r="R547" s="8">
        <f>IF(B547="","",SUMIFS(Pantry!$C$5:$C$304,Pantry!$A$5:$A$304,B547))</f>
        <v>0</v>
      </c>
      <c r="S547" s="8">
        <f>IF(OR(B547="",C547=""),"",MAX(0,C547-R547))</f>
        <v>0</v>
      </c>
      <c r="T547" s="26"/>
      <c r="U547" s="8">
        <f>IF(OR(T547="",T547=0,G547=""),"",T547*G547)</f>
        <v>0</v>
      </c>
      <c r="V547" s="8">
        <f>IF(OR(S547="",T547="",T547=0),"",CEILING(S547/T547,1))</f>
        <v>0</v>
      </c>
      <c r="W547" s="27"/>
      <c r="X547" s="29"/>
      <c r="Y547" s="8">
        <f>IF(OR(C547="",X547=""),"",C547*(1+X547))</f>
        <v>0</v>
      </c>
      <c r="Z547" s="8">
        <f>IF(B547="","",IFERROR(INDEX(Ingredients!$O$5:$O$304,MATCH(B547,Ingredients!$A$5:$A$304,0)),""))</f>
        <v>0</v>
      </c>
      <c r="AA547" s="8">
        <f>IF(B547="","",IF(R547&gt;=C547,"In pantry","To buy"))</f>
        <v>0</v>
      </c>
      <c r="AB547" s="8">
        <f>IF(A547="","",COUNTIFS($A$5:A547,A547))</f>
        <v>0</v>
      </c>
      <c r="AC547" s="8">
        <f>IF(B547="","",IF(COUNTIFS('Dietary Filters'!$C$5:$C$104,B547)&gt;0,"Check","OK"))</f>
        <v>0</v>
      </c>
      <c r="AD547" s="25"/>
    </row>
    <row r="548" spans="1:30">
      <c r="A548" s="7"/>
      <c r="B548" s="7"/>
      <c r="C548" s="26"/>
      <c r="D548" s="27"/>
      <c r="E548" s="8">
        <f>IF(B548="","",IFERROR(INDEX(Ingredients!$B$5:$B$304,MATCH(B548,Ingredients!$A$5:$A$304,0)),""))</f>
        <v>0</v>
      </c>
      <c r="F548" s="8">
        <f>IF(B548="","",IFERROR(INDEX(Ingredients!$E$5:$E$304,MATCH(B548,Ingredients!$A$5:$A$304,0)),""))</f>
        <v>0</v>
      </c>
      <c r="G548" s="8">
        <f>IF(B548="","",IFERROR(INDEX(Ingredients!$D$5:$D$304,MATCH(B548,Ingredients!$A$5:$A$304,0)),""))</f>
        <v>0</v>
      </c>
      <c r="H548" s="8">
        <f>IF(OR(B548="",C548=""),"",IFERROR(C548*G548,""))</f>
        <v>0</v>
      </c>
      <c r="I548" s="8">
        <f>IF(A548="","",IFERROR(INDEX(Recipes!$D$5:$D$204,MATCH(A548,Recipes!$A$5:$A$204,0)),""))</f>
        <v>0</v>
      </c>
      <c r="J548" s="8">
        <f>IF(OR(H548="",I548="",I548=0),"",IFERROR(H548/I548,""))</f>
        <v>0</v>
      </c>
      <c r="K548" s="8">
        <f>IF(OR(B548="",C548=""),"",IFERROR(C548*IFERROR(INDEX(Ingredients!$H$5:$H$304,MATCH(B548,Ingredients!$A$5:$A$304,0)),""),""))</f>
        <v>0</v>
      </c>
      <c r="L548" s="8">
        <f>IF(OR(B548="",C548=""),"",IFERROR(C548*IFERROR(INDEX(Ingredients!$I$5:$I$304,MATCH(B548,Ingredients!$A$5:$A$304,0)),""),""))</f>
        <v>0</v>
      </c>
      <c r="M548" s="8">
        <f>IF(OR(B548="",C548=""),"",IFERROR(C548*IFERROR(INDEX(Ingredients!$J$5:$J$304,MATCH(B548,Ingredients!$A$5:$A$304,0)),""),""))</f>
        <v>0</v>
      </c>
      <c r="N548" s="8">
        <f>IF(OR(B548="",C548=""),"",IFERROR(C548*IFERROR(INDEX(Ingredients!$K$5:$K$304,MATCH(B548,Ingredients!$A$5:$A$304,0)),""),""))</f>
        <v>0</v>
      </c>
      <c r="O548" s="8">
        <f>IF(OR(B548="",C548=""),"",IFERROR(C548*IFERROR(INDEX(Ingredients!$L$5:$L$304,MATCH(B548,Ingredients!$A$5:$A$304,0)),""),""))</f>
        <v>0</v>
      </c>
      <c r="P548" s="8">
        <f>IF(OR(H548="",A548=""),"",IFERROR(H548/SUMIFS('Recipe Ingredients'!$H$5:$H$1204,'Recipe Ingredients'!$A$5:$A$1204,A548),""))</f>
        <v>0</v>
      </c>
      <c r="Q548" s="8">
        <f>IF(H548="","",COUNTIFS($H$5:$H$1204,"&gt;"&amp;H548)+1)</f>
        <v>0</v>
      </c>
      <c r="R548" s="8">
        <f>IF(B548="","",SUMIFS(Pantry!$C$5:$C$304,Pantry!$A$5:$A$304,B548))</f>
        <v>0</v>
      </c>
      <c r="S548" s="8">
        <f>IF(OR(B548="",C548=""),"",MAX(0,C548-R548))</f>
        <v>0</v>
      </c>
      <c r="T548" s="26"/>
      <c r="U548" s="8">
        <f>IF(OR(T548="",T548=0,G548=""),"",T548*G548)</f>
        <v>0</v>
      </c>
      <c r="V548" s="8">
        <f>IF(OR(S548="",T548="",T548=0),"",CEILING(S548/T548,1))</f>
        <v>0</v>
      </c>
      <c r="W548" s="27"/>
      <c r="X548" s="29"/>
      <c r="Y548" s="8">
        <f>IF(OR(C548="",X548=""),"",C548*(1+X548))</f>
        <v>0</v>
      </c>
      <c r="Z548" s="8">
        <f>IF(B548="","",IFERROR(INDEX(Ingredients!$O$5:$O$304,MATCH(B548,Ingredients!$A$5:$A$304,0)),""))</f>
        <v>0</v>
      </c>
      <c r="AA548" s="8">
        <f>IF(B548="","",IF(R548&gt;=C548,"In pantry","To buy"))</f>
        <v>0</v>
      </c>
      <c r="AB548" s="8">
        <f>IF(A548="","",COUNTIFS($A$5:A548,A548))</f>
        <v>0</v>
      </c>
      <c r="AC548" s="8">
        <f>IF(B548="","",IF(COUNTIFS('Dietary Filters'!$C$5:$C$104,B548)&gt;0,"Check","OK"))</f>
        <v>0</v>
      </c>
      <c r="AD548" s="25"/>
    </row>
    <row r="549" spans="1:30">
      <c r="A549" s="7"/>
      <c r="B549" s="7"/>
      <c r="C549" s="26"/>
      <c r="D549" s="27"/>
      <c r="E549" s="8">
        <f>IF(B549="","",IFERROR(INDEX(Ingredients!$B$5:$B$304,MATCH(B549,Ingredients!$A$5:$A$304,0)),""))</f>
        <v>0</v>
      </c>
      <c r="F549" s="8">
        <f>IF(B549="","",IFERROR(INDEX(Ingredients!$E$5:$E$304,MATCH(B549,Ingredients!$A$5:$A$304,0)),""))</f>
        <v>0</v>
      </c>
      <c r="G549" s="8">
        <f>IF(B549="","",IFERROR(INDEX(Ingredients!$D$5:$D$304,MATCH(B549,Ingredients!$A$5:$A$304,0)),""))</f>
        <v>0</v>
      </c>
      <c r="H549" s="8">
        <f>IF(OR(B549="",C549=""),"",IFERROR(C549*G549,""))</f>
        <v>0</v>
      </c>
      <c r="I549" s="8">
        <f>IF(A549="","",IFERROR(INDEX(Recipes!$D$5:$D$204,MATCH(A549,Recipes!$A$5:$A$204,0)),""))</f>
        <v>0</v>
      </c>
      <c r="J549" s="8">
        <f>IF(OR(H549="",I549="",I549=0),"",IFERROR(H549/I549,""))</f>
        <v>0</v>
      </c>
      <c r="K549" s="8">
        <f>IF(OR(B549="",C549=""),"",IFERROR(C549*IFERROR(INDEX(Ingredients!$H$5:$H$304,MATCH(B549,Ingredients!$A$5:$A$304,0)),""),""))</f>
        <v>0</v>
      </c>
      <c r="L549" s="8">
        <f>IF(OR(B549="",C549=""),"",IFERROR(C549*IFERROR(INDEX(Ingredients!$I$5:$I$304,MATCH(B549,Ingredients!$A$5:$A$304,0)),""),""))</f>
        <v>0</v>
      </c>
      <c r="M549" s="8">
        <f>IF(OR(B549="",C549=""),"",IFERROR(C549*IFERROR(INDEX(Ingredients!$J$5:$J$304,MATCH(B549,Ingredients!$A$5:$A$304,0)),""),""))</f>
        <v>0</v>
      </c>
      <c r="N549" s="8">
        <f>IF(OR(B549="",C549=""),"",IFERROR(C549*IFERROR(INDEX(Ingredients!$K$5:$K$304,MATCH(B549,Ingredients!$A$5:$A$304,0)),""),""))</f>
        <v>0</v>
      </c>
      <c r="O549" s="8">
        <f>IF(OR(B549="",C549=""),"",IFERROR(C549*IFERROR(INDEX(Ingredients!$L$5:$L$304,MATCH(B549,Ingredients!$A$5:$A$304,0)),""),""))</f>
        <v>0</v>
      </c>
      <c r="P549" s="8">
        <f>IF(OR(H549="",A549=""),"",IFERROR(H549/SUMIFS('Recipe Ingredients'!$H$5:$H$1204,'Recipe Ingredients'!$A$5:$A$1204,A549),""))</f>
        <v>0</v>
      </c>
      <c r="Q549" s="8">
        <f>IF(H549="","",COUNTIFS($H$5:$H$1204,"&gt;"&amp;H549)+1)</f>
        <v>0</v>
      </c>
      <c r="R549" s="8">
        <f>IF(B549="","",SUMIFS(Pantry!$C$5:$C$304,Pantry!$A$5:$A$304,B549))</f>
        <v>0</v>
      </c>
      <c r="S549" s="8">
        <f>IF(OR(B549="",C549=""),"",MAX(0,C549-R549))</f>
        <v>0</v>
      </c>
      <c r="T549" s="26"/>
      <c r="U549" s="8">
        <f>IF(OR(T549="",T549=0,G549=""),"",T549*G549)</f>
        <v>0</v>
      </c>
      <c r="V549" s="8">
        <f>IF(OR(S549="",T549="",T549=0),"",CEILING(S549/T549,1))</f>
        <v>0</v>
      </c>
      <c r="W549" s="27"/>
      <c r="X549" s="29"/>
      <c r="Y549" s="8">
        <f>IF(OR(C549="",X549=""),"",C549*(1+X549))</f>
        <v>0</v>
      </c>
      <c r="Z549" s="8">
        <f>IF(B549="","",IFERROR(INDEX(Ingredients!$O$5:$O$304,MATCH(B549,Ingredients!$A$5:$A$304,0)),""))</f>
        <v>0</v>
      </c>
      <c r="AA549" s="8">
        <f>IF(B549="","",IF(R549&gt;=C549,"In pantry","To buy"))</f>
        <v>0</v>
      </c>
      <c r="AB549" s="8">
        <f>IF(A549="","",COUNTIFS($A$5:A549,A549))</f>
        <v>0</v>
      </c>
      <c r="AC549" s="8">
        <f>IF(B549="","",IF(COUNTIFS('Dietary Filters'!$C$5:$C$104,B549)&gt;0,"Check","OK"))</f>
        <v>0</v>
      </c>
      <c r="AD549" s="25"/>
    </row>
    <row r="550" spans="1:30">
      <c r="A550" s="7"/>
      <c r="B550" s="7"/>
      <c r="C550" s="26"/>
      <c r="D550" s="27"/>
      <c r="E550" s="8">
        <f>IF(B550="","",IFERROR(INDEX(Ingredients!$B$5:$B$304,MATCH(B550,Ingredients!$A$5:$A$304,0)),""))</f>
        <v>0</v>
      </c>
      <c r="F550" s="8">
        <f>IF(B550="","",IFERROR(INDEX(Ingredients!$E$5:$E$304,MATCH(B550,Ingredients!$A$5:$A$304,0)),""))</f>
        <v>0</v>
      </c>
      <c r="G550" s="8">
        <f>IF(B550="","",IFERROR(INDEX(Ingredients!$D$5:$D$304,MATCH(B550,Ingredients!$A$5:$A$304,0)),""))</f>
        <v>0</v>
      </c>
      <c r="H550" s="8">
        <f>IF(OR(B550="",C550=""),"",IFERROR(C550*G550,""))</f>
        <v>0</v>
      </c>
      <c r="I550" s="8">
        <f>IF(A550="","",IFERROR(INDEX(Recipes!$D$5:$D$204,MATCH(A550,Recipes!$A$5:$A$204,0)),""))</f>
        <v>0</v>
      </c>
      <c r="J550" s="8">
        <f>IF(OR(H550="",I550="",I550=0),"",IFERROR(H550/I550,""))</f>
        <v>0</v>
      </c>
      <c r="K550" s="8">
        <f>IF(OR(B550="",C550=""),"",IFERROR(C550*IFERROR(INDEX(Ingredients!$H$5:$H$304,MATCH(B550,Ingredients!$A$5:$A$304,0)),""),""))</f>
        <v>0</v>
      </c>
      <c r="L550" s="8">
        <f>IF(OR(B550="",C550=""),"",IFERROR(C550*IFERROR(INDEX(Ingredients!$I$5:$I$304,MATCH(B550,Ingredients!$A$5:$A$304,0)),""),""))</f>
        <v>0</v>
      </c>
      <c r="M550" s="8">
        <f>IF(OR(B550="",C550=""),"",IFERROR(C550*IFERROR(INDEX(Ingredients!$J$5:$J$304,MATCH(B550,Ingredients!$A$5:$A$304,0)),""),""))</f>
        <v>0</v>
      </c>
      <c r="N550" s="8">
        <f>IF(OR(B550="",C550=""),"",IFERROR(C550*IFERROR(INDEX(Ingredients!$K$5:$K$304,MATCH(B550,Ingredients!$A$5:$A$304,0)),""),""))</f>
        <v>0</v>
      </c>
      <c r="O550" s="8">
        <f>IF(OR(B550="",C550=""),"",IFERROR(C550*IFERROR(INDEX(Ingredients!$L$5:$L$304,MATCH(B550,Ingredients!$A$5:$A$304,0)),""),""))</f>
        <v>0</v>
      </c>
      <c r="P550" s="8">
        <f>IF(OR(H550="",A550=""),"",IFERROR(H550/SUMIFS('Recipe Ingredients'!$H$5:$H$1204,'Recipe Ingredients'!$A$5:$A$1204,A550),""))</f>
        <v>0</v>
      </c>
      <c r="Q550" s="8">
        <f>IF(H550="","",COUNTIFS($H$5:$H$1204,"&gt;"&amp;H550)+1)</f>
        <v>0</v>
      </c>
      <c r="R550" s="8">
        <f>IF(B550="","",SUMIFS(Pantry!$C$5:$C$304,Pantry!$A$5:$A$304,B550))</f>
        <v>0</v>
      </c>
      <c r="S550" s="8">
        <f>IF(OR(B550="",C550=""),"",MAX(0,C550-R550))</f>
        <v>0</v>
      </c>
      <c r="T550" s="26"/>
      <c r="U550" s="8">
        <f>IF(OR(T550="",T550=0,G550=""),"",T550*G550)</f>
        <v>0</v>
      </c>
      <c r="V550" s="8">
        <f>IF(OR(S550="",T550="",T550=0),"",CEILING(S550/T550,1))</f>
        <v>0</v>
      </c>
      <c r="W550" s="27"/>
      <c r="X550" s="29"/>
      <c r="Y550" s="8">
        <f>IF(OR(C550="",X550=""),"",C550*(1+X550))</f>
        <v>0</v>
      </c>
      <c r="Z550" s="8">
        <f>IF(B550="","",IFERROR(INDEX(Ingredients!$O$5:$O$304,MATCH(B550,Ingredients!$A$5:$A$304,0)),""))</f>
        <v>0</v>
      </c>
      <c r="AA550" s="8">
        <f>IF(B550="","",IF(R550&gt;=C550,"In pantry","To buy"))</f>
        <v>0</v>
      </c>
      <c r="AB550" s="8">
        <f>IF(A550="","",COUNTIFS($A$5:A550,A550))</f>
        <v>0</v>
      </c>
      <c r="AC550" s="8">
        <f>IF(B550="","",IF(COUNTIFS('Dietary Filters'!$C$5:$C$104,B550)&gt;0,"Check","OK"))</f>
        <v>0</v>
      </c>
      <c r="AD550" s="25"/>
    </row>
    <row r="551" spans="1:30">
      <c r="A551" s="7"/>
      <c r="B551" s="7"/>
      <c r="C551" s="26"/>
      <c r="D551" s="27"/>
      <c r="E551" s="8">
        <f>IF(B551="","",IFERROR(INDEX(Ingredients!$B$5:$B$304,MATCH(B551,Ingredients!$A$5:$A$304,0)),""))</f>
        <v>0</v>
      </c>
      <c r="F551" s="8">
        <f>IF(B551="","",IFERROR(INDEX(Ingredients!$E$5:$E$304,MATCH(B551,Ingredients!$A$5:$A$304,0)),""))</f>
        <v>0</v>
      </c>
      <c r="G551" s="8">
        <f>IF(B551="","",IFERROR(INDEX(Ingredients!$D$5:$D$304,MATCH(B551,Ingredients!$A$5:$A$304,0)),""))</f>
        <v>0</v>
      </c>
      <c r="H551" s="8">
        <f>IF(OR(B551="",C551=""),"",IFERROR(C551*G551,""))</f>
        <v>0</v>
      </c>
      <c r="I551" s="8">
        <f>IF(A551="","",IFERROR(INDEX(Recipes!$D$5:$D$204,MATCH(A551,Recipes!$A$5:$A$204,0)),""))</f>
        <v>0</v>
      </c>
      <c r="J551" s="8">
        <f>IF(OR(H551="",I551="",I551=0),"",IFERROR(H551/I551,""))</f>
        <v>0</v>
      </c>
      <c r="K551" s="8">
        <f>IF(OR(B551="",C551=""),"",IFERROR(C551*IFERROR(INDEX(Ingredients!$H$5:$H$304,MATCH(B551,Ingredients!$A$5:$A$304,0)),""),""))</f>
        <v>0</v>
      </c>
      <c r="L551" s="8">
        <f>IF(OR(B551="",C551=""),"",IFERROR(C551*IFERROR(INDEX(Ingredients!$I$5:$I$304,MATCH(B551,Ingredients!$A$5:$A$304,0)),""),""))</f>
        <v>0</v>
      </c>
      <c r="M551" s="8">
        <f>IF(OR(B551="",C551=""),"",IFERROR(C551*IFERROR(INDEX(Ingredients!$J$5:$J$304,MATCH(B551,Ingredients!$A$5:$A$304,0)),""),""))</f>
        <v>0</v>
      </c>
      <c r="N551" s="8">
        <f>IF(OR(B551="",C551=""),"",IFERROR(C551*IFERROR(INDEX(Ingredients!$K$5:$K$304,MATCH(B551,Ingredients!$A$5:$A$304,0)),""),""))</f>
        <v>0</v>
      </c>
      <c r="O551" s="8">
        <f>IF(OR(B551="",C551=""),"",IFERROR(C551*IFERROR(INDEX(Ingredients!$L$5:$L$304,MATCH(B551,Ingredients!$A$5:$A$304,0)),""),""))</f>
        <v>0</v>
      </c>
      <c r="P551" s="8">
        <f>IF(OR(H551="",A551=""),"",IFERROR(H551/SUMIFS('Recipe Ingredients'!$H$5:$H$1204,'Recipe Ingredients'!$A$5:$A$1204,A551),""))</f>
        <v>0</v>
      </c>
      <c r="Q551" s="8">
        <f>IF(H551="","",COUNTIFS($H$5:$H$1204,"&gt;"&amp;H551)+1)</f>
        <v>0</v>
      </c>
      <c r="R551" s="8">
        <f>IF(B551="","",SUMIFS(Pantry!$C$5:$C$304,Pantry!$A$5:$A$304,B551))</f>
        <v>0</v>
      </c>
      <c r="S551" s="8">
        <f>IF(OR(B551="",C551=""),"",MAX(0,C551-R551))</f>
        <v>0</v>
      </c>
      <c r="T551" s="26"/>
      <c r="U551" s="8">
        <f>IF(OR(T551="",T551=0,G551=""),"",T551*G551)</f>
        <v>0</v>
      </c>
      <c r="V551" s="8">
        <f>IF(OR(S551="",T551="",T551=0),"",CEILING(S551/T551,1))</f>
        <v>0</v>
      </c>
      <c r="W551" s="27"/>
      <c r="X551" s="29"/>
      <c r="Y551" s="8">
        <f>IF(OR(C551="",X551=""),"",C551*(1+X551))</f>
        <v>0</v>
      </c>
      <c r="Z551" s="8">
        <f>IF(B551="","",IFERROR(INDEX(Ingredients!$O$5:$O$304,MATCH(B551,Ingredients!$A$5:$A$304,0)),""))</f>
        <v>0</v>
      </c>
      <c r="AA551" s="8">
        <f>IF(B551="","",IF(R551&gt;=C551,"In pantry","To buy"))</f>
        <v>0</v>
      </c>
      <c r="AB551" s="8">
        <f>IF(A551="","",COUNTIFS($A$5:A551,A551))</f>
        <v>0</v>
      </c>
      <c r="AC551" s="8">
        <f>IF(B551="","",IF(COUNTIFS('Dietary Filters'!$C$5:$C$104,B551)&gt;0,"Check","OK"))</f>
        <v>0</v>
      </c>
      <c r="AD551" s="25"/>
    </row>
    <row r="552" spans="1:30">
      <c r="A552" s="7"/>
      <c r="B552" s="7"/>
      <c r="C552" s="26"/>
      <c r="D552" s="27"/>
      <c r="E552" s="8">
        <f>IF(B552="","",IFERROR(INDEX(Ingredients!$B$5:$B$304,MATCH(B552,Ingredients!$A$5:$A$304,0)),""))</f>
        <v>0</v>
      </c>
      <c r="F552" s="8">
        <f>IF(B552="","",IFERROR(INDEX(Ingredients!$E$5:$E$304,MATCH(B552,Ingredients!$A$5:$A$304,0)),""))</f>
        <v>0</v>
      </c>
      <c r="G552" s="8">
        <f>IF(B552="","",IFERROR(INDEX(Ingredients!$D$5:$D$304,MATCH(B552,Ingredients!$A$5:$A$304,0)),""))</f>
        <v>0</v>
      </c>
      <c r="H552" s="8">
        <f>IF(OR(B552="",C552=""),"",IFERROR(C552*G552,""))</f>
        <v>0</v>
      </c>
      <c r="I552" s="8">
        <f>IF(A552="","",IFERROR(INDEX(Recipes!$D$5:$D$204,MATCH(A552,Recipes!$A$5:$A$204,0)),""))</f>
        <v>0</v>
      </c>
      <c r="J552" s="8">
        <f>IF(OR(H552="",I552="",I552=0),"",IFERROR(H552/I552,""))</f>
        <v>0</v>
      </c>
      <c r="K552" s="8">
        <f>IF(OR(B552="",C552=""),"",IFERROR(C552*IFERROR(INDEX(Ingredients!$H$5:$H$304,MATCH(B552,Ingredients!$A$5:$A$304,0)),""),""))</f>
        <v>0</v>
      </c>
      <c r="L552" s="8">
        <f>IF(OR(B552="",C552=""),"",IFERROR(C552*IFERROR(INDEX(Ingredients!$I$5:$I$304,MATCH(B552,Ingredients!$A$5:$A$304,0)),""),""))</f>
        <v>0</v>
      </c>
      <c r="M552" s="8">
        <f>IF(OR(B552="",C552=""),"",IFERROR(C552*IFERROR(INDEX(Ingredients!$J$5:$J$304,MATCH(B552,Ingredients!$A$5:$A$304,0)),""),""))</f>
        <v>0</v>
      </c>
      <c r="N552" s="8">
        <f>IF(OR(B552="",C552=""),"",IFERROR(C552*IFERROR(INDEX(Ingredients!$K$5:$K$304,MATCH(B552,Ingredients!$A$5:$A$304,0)),""),""))</f>
        <v>0</v>
      </c>
      <c r="O552" s="8">
        <f>IF(OR(B552="",C552=""),"",IFERROR(C552*IFERROR(INDEX(Ingredients!$L$5:$L$304,MATCH(B552,Ingredients!$A$5:$A$304,0)),""),""))</f>
        <v>0</v>
      </c>
      <c r="P552" s="8">
        <f>IF(OR(H552="",A552=""),"",IFERROR(H552/SUMIFS('Recipe Ingredients'!$H$5:$H$1204,'Recipe Ingredients'!$A$5:$A$1204,A552),""))</f>
        <v>0</v>
      </c>
      <c r="Q552" s="8">
        <f>IF(H552="","",COUNTIFS($H$5:$H$1204,"&gt;"&amp;H552)+1)</f>
        <v>0</v>
      </c>
      <c r="R552" s="8">
        <f>IF(B552="","",SUMIFS(Pantry!$C$5:$C$304,Pantry!$A$5:$A$304,B552))</f>
        <v>0</v>
      </c>
      <c r="S552" s="8">
        <f>IF(OR(B552="",C552=""),"",MAX(0,C552-R552))</f>
        <v>0</v>
      </c>
      <c r="T552" s="26"/>
      <c r="U552" s="8">
        <f>IF(OR(T552="",T552=0,G552=""),"",T552*G552)</f>
        <v>0</v>
      </c>
      <c r="V552" s="8">
        <f>IF(OR(S552="",T552="",T552=0),"",CEILING(S552/T552,1))</f>
        <v>0</v>
      </c>
      <c r="W552" s="27"/>
      <c r="X552" s="29"/>
      <c r="Y552" s="8">
        <f>IF(OR(C552="",X552=""),"",C552*(1+X552))</f>
        <v>0</v>
      </c>
      <c r="Z552" s="8">
        <f>IF(B552="","",IFERROR(INDEX(Ingredients!$O$5:$O$304,MATCH(B552,Ingredients!$A$5:$A$304,0)),""))</f>
        <v>0</v>
      </c>
      <c r="AA552" s="8">
        <f>IF(B552="","",IF(R552&gt;=C552,"In pantry","To buy"))</f>
        <v>0</v>
      </c>
      <c r="AB552" s="8">
        <f>IF(A552="","",COUNTIFS($A$5:A552,A552))</f>
        <v>0</v>
      </c>
      <c r="AC552" s="8">
        <f>IF(B552="","",IF(COUNTIFS('Dietary Filters'!$C$5:$C$104,B552)&gt;0,"Check","OK"))</f>
        <v>0</v>
      </c>
      <c r="AD552" s="25"/>
    </row>
    <row r="553" spans="1:30">
      <c r="A553" s="7"/>
      <c r="B553" s="7"/>
      <c r="C553" s="26"/>
      <c r="D553" s="27"/>
      <c r="E553" s="8">
        <f>IF(B553="","",IFERROR(INDEX(Ingredients!$B$5:$B$304,MATCH(B553,Ingredients!$A$5:$A$304,0)),""))</f>
        <v>0</v>
      </c>
      <c r="F553" s="8">
        <f>IF(B553="","",IFERROR(INDEX(Ingredients!$E$5:$E$304,MATCH(B553,Ingredients!$A$5:$A$304,0)),""))</f>
        <v>0</v>
      </c>
      <c r="G553" s="8">
        <f>IF(B553="","",IFERROR(INDEX(Ingredients!$D$5:$D$304,MATCH(B553,Ingredients!$A$5:$A$304,0)),""))</f>
        <v>0</v>
      </c>
      <c r="H553" s="8">
        <f>IF(OR(B553="",C553=""),"",IFERROR(C553*G553,""))</f>
        <v>0</v>
      </c>
      <c r="I553" s="8">
        <f>IF(A553="","",IFERROR(INDEX(Recipes!$D$5:$D$204,MATCH(A553,Recipes!$A$5:$A$204,0)),""))</f>
        <v>0</v>
      </c>
      <c r="J553" s="8">
        <f>IF(OR(H553="",I553="",I553=0),"",IFERROR(H553/I553,""))</f>
        <v>0</v>
      </c>
      <c r="K553" s="8">
        <f>IF(OR(B553="",C553=""),"",IFERROR(C553*IFERROR(INDEX(Ingredients!$H$5:$H$304,MATCH(B553,Ingredients!$A$5:$A$304,0)),""),""))</f>
        <v>0</v>
      </c>
      <c r="L553" s="8">
        <f>IF(OR(B553="",C553=""),"",IFERROR(C553*IFERROR(INDEX(Ingredients!$I$5:$I$304,MATCH(B553,Ingredients!$A$5:$A$304,0)),""),""))</f>
        <v>0</v>
      </c>
      <c r="M553" s="8">
        <f>IF(OR(B553="",C553=""),"",IFERROR(C553*IFERROR(INDEX(Ingredients!$J$5:$J$304,MATCH(B553,Ingredients!$A$5:$A$304,0)),""),""))</f>
        <v>0</v>
      </c>
      <c r="N553" s="8">
        <f>IF(OR(B553="",C553=""),"",IFERROR(C553*IFERROR(INDEX(Ingredients!$K$5:$K$304,MATCH(B553,Ingredients!$A$5:$A$304,0)),""),""))</f>
        <v>0</v>
      </c>
      <c r="O553" s="8">
        <f>IF(OR(B553="",C553=""),"",IFERROR(C553*IFERROR(INDEX(Ingredients!$L$5:$L$304,MATCH(B553,Ingredients!$A$5:$A$304,0)),""),""))</f>
        <v>0</v>
      </c>
      <c r="P553" s="8">
        <f>IF(OR(H553="",A553=""),"",IFERROR(H553/SUMIFS('Recipe Ingredients'!$H$5:$H$1204,'Recipe Ingredients'!$A$5:$A$1204,A553),""))</f>
        <v>0</v>
      </c>
      <c r="Q553" s="8">
        <f>IF(H553="","",COUNTIFS($H$5:$H$1204,"&gt;"&amp;H553)+1)</f>
        <v>0</v>
      </c>
      <c r="R553" s="8">
        <f>IF(B553="","",SUMIFS(Pantry!$C$5:$C$304,Pantry!$A$5:$A$304,B553))</f>
        <v>0</v>
      </c>
      <c r="S553" s="8">
        <f>IF(OR(B553="",C553=""),"",MAX(0,C553-R553))</f>
        <v>0</v>
      </c>
      <c r="T553" s="26"/>
      <c r="U553" s="8">
        <f>IF(OR(T553="",T553=0,G553=""),"",T553*G553)</f>
        <v>0</v>
      </c>
      <c r="V553" s="8">
        <f>IF(OR(S553="",T553="",T553=0),"",CEILING(S553/T553,1))</f>
        <v>0</v>
      </c>
      <c r="W553" s="27"/>
      <c r="X553" s="29"/>
      <c r="Y553" s="8">
        <f>IF(OR(C553="",X553=""),"",C553*(1+X553))</f>
        <v>0</v>
      </c>
      <c r="Z553" s="8">
        <f>IF(B553="","",IFERROR(INDEX(Ingredients!$O$5:$O$304,MATCH(B553,Ingredients!$A$5:$A$304,0)),""))</f>
        <v>0</v>
      </c>
      <c r="AA553" s="8">
        <f>IF(B553="","",IF(R553&gt;=C553,"In pantry","To buy"))</f>
        <v>0</v>
      </c>
      <c r="AB553" s="8">
        <f>IF(A553="","",COUNTIFS($A$5:A553,A553))</f>
        <v>0</v>
      </c>
      <c r="AC553" s="8">
        <f>IF(B553="","",IF(COUNTIFS('Dietary Filters'!$C$5:$C$104,B553)&gt;0,"Check","OK"))</f>
        <v>0</v>
      </c>
      <c r="AD553" s="25"/>
    </row>
    <row r="554" spans="1:30">
      <c r="A554" s="7"/>
      <c r="B554" s="7"/>
      <c r="C554" s="26"/>
      <c r="D554" s="27"/>
      <c r="E554" s="8">
        <f>IF(B554="","",IFERROR(INDEX(Ingredients!$B$5:$B$304,MATCH(B554,Ingredients!$A$5:$A$304,0)),""))</f>
        <v>0</v>
      </c>
      <c r="F554" s="8">
        <f>IF(B554="","",IFERROR(INDEX(Ingredients!$E$5:$E$304,MATCH(B554,Ingredients!$A$5:$A$304,0)),""))</f>
        <v>0</v>
      </c>
      <c r="G554" s="8">
        <f>IF(B554="","",IFERROR(INDEX(Ingredients!$D$5:$D$304,MATCH(B554,Ingredients!$A$5:$A$304,0)),""))</f>
        <v>0</v>
      </c>
      <c r="H554" s="8">
        <f>IF(OR(B554="",C554=""),"",IFERROR(C554*G554,""))</f>
        <v>0</v>
      </c>
      <c r="I554" s="8">
        <f>IF(A554="","",IFERROR(INDEX(Recipes!$D$5:$D$204,MATCH(A554,Recipes!$A$5:$A$204,0)),""))</f>
        <v>0</v>
      </c>
      <c r="J554" s="8">
        <f>IF(OR(H554="",I554="",I554=0),"",IFERROR(H554/I554,""))</f>
        <v>0</v>
      </c>
      <c r="K554" s="8">
        <f>IF(OR(B554="",C554=""),"",IFERROR(C554*IFERROR(INDEX(Ingredients!$H$5:$H$304,MATCH(B554,Ingredients!$A$5:$A$304,0)),""),""))</f>
        <v>0</v>
      </c>
      <c r="L554" s="8">
        <f>IF(OR(B554="",C554=""),"",IFERROR(C554*IFERROR(INDEX(Ingredients!$I$5:$I$304,MATCH(B554,Ingredients!$A$5:$A$304,0)),""),""))</f>
        <v>0</v>
      </c>
      <c r="M554" s="8">
        <f>IF(OR(B554="",C554=""),"",IFERROR(C554*IFERROR(INDEX(Ingredients!$J$5:$J$304,MATCH(B554,Ingredients!$A$5:$A$304,0)),""),""))</f>
        <v>0</v>
      </c>
      <c r="N554" s="8">
        <f>IF(OR(B554="",C554=""),"",IFERROR(C554*IFERROR(INDEX(Ingredients!$K$5:$K$304,MATCH(B554,Ingredients!$A$5:$A$304,0)),""),""))</f>
        <v>0</v>
      </c>
      <c r="O554" s="8">
        <f>IF(OR(B554="",C554=""),"",IFERROR(C554*IFERROR(INDEX(Ingredients!$L$5:$L$304,MATCH(B554,Ingredients!$A$5:$A$304,0)),""),""))</f>
        <v>0</v>
      </c>
      <c r="P554" s="8">
        <f>IF(OR(H554="",A554=""),"",IFERROR(H554/SUMIFS('Recipe Ingredients'!$H$5:$H$1204,'Recipe Ingredients'!$A$5:$A$1204,A554),""))</f>
        <v>0</v>
      </c>
      <c r="Q554" s="8">
        <f>IF(H554="","",COUNTIFS($H$5:$H$1204,"&gt;"&amp;H554)+1)</f>
        <v>0</v>
      </c>
      <c r="R554" s="8">
        <f>IF(B554="","",SUMIFS(Pantry!$C$5:$C$304,Pantry!$A$5:$A$304,B554))</f>
        <v>0</v>
      </c>
      <c r="S554" s="8">
        <f>IF(OR(B554="",C554=""),"",MAX(0,C554-R554))</f>
        <v>0</v>
      </c>
      <c r="T554" s="26"/>
      <c r="U554" s="8">
        <f>IF(OR(T554="",T554=0,G554=""),"",T554*G554)</f>
        <v>0</v>
      </c>
      <c r="V554" s="8">
        <f>IF(OR(S554="",T554="",T554=0),"",CEILING(S554/T554,1))</f>
        <v>0</v>
      </c>
      <c r="W554" s="27"/>
      <c r="X554" s="29"/>
      <c r="Y554" s="8">
        <f>IF(OR(C554="",X554=""),"",C554*(1+X554))</f>
        <v>0</v>
      </c>
      <c r="Z554" s="8">
        <f>IF(B554="","",IFERROR(INDEX(Ingredients!$O$5:$O$304,MATCH(B554,Ingredients!$A$5:$A$304,0)),""))</f>
        <v>0</v>
      </c>
      <c r="AA554" s="8">
        <f>IF(B554="","",IF(R554&gt;=C554,"In pantry","To buy"))</f>
        <v>0</v>
      </c>
      <c r="AB554" s="8">
        <f>IF(A554="","",COUNTIFS($A$5:A554,A554))</f>
        <v>0</v>
      </c>
      <c r="AC554" s="8">
        <f>IF(B554="","",IF(COUNTIFS('Dietary Filters'!$C$5:$C$104,B554)&gt;0,"Check","OK"))</f>
        <v>0</v>
      </c>
      <c r="AD554" s="25"/>
    </row>
    <row r="555" spans="1:30">
      <c r="A555" s="7"/>
      <c r="B555" s="7"/>
      <c r="C555" s="26"/>
      <c r="D555" s="27"/>
      <c r="E555" s="8">
        <f>IF(B555="","",IFERROR(INDEX(Ingredients!$B$5:$B$304,MATCH(B555,Ingredients!$A$5:$A$304,0)),""))</f>
        <v>0</v>
      </c>
      <c r="F555" s="8">
        <f>IF(B555="","",IFERROR(INDEX(Ingredients!$E$5:$E$304,MATCH(B555,Ingredients!$A$5:$A$304,0)),""))</f>
        <v>0</v>
      </c>
      <c r="G555" s="8">
        <f>IF(B555="","",IFERROR(INDEX(Ingredients!$D$5:$D$304,MATCH(B555,Ingredients!$A$5:$A$304,0)),""))</f>
        <v>0</v>
      </c>
      <c r="H555" s="8">
        <f>IF(OR(B555="",C555=""),"",IFERROR(C555*G555,""))</f>
        <v>0</v>
      </c>
      <c r="I555" s="8">
        <f>IF(A555="","",IFERROR(INDEX(Recipes!$D$5:$D$204,MATCH(A555,Recipes!$A$5:$A$204,0)),""))</f>
        <v>0</v>
      </c>
      <c r="J555" s="8">
        <f>IF(OR(H555="",I555="",I555=0),"",IFERROR(H555/I555,""))</f>
        <v>0</v>
      </c>
      <c r="K555" s="8">
        <f>IF(OR(B555="",C555=""),"",IFERROR(C555*IFERROR(INDEX(Ingredients!$H$5:$H$304,MATCH(B555,Ingredients!$A$5:$A$304,0)),""),""))</f>
        <v>0</v>
      </c>
      <c r="L555" s="8">
        <f>IF(OR(B555="",C555=""),"",IFERROR(C555*IFERROR(INDEX(Ingredients!$I$5:$I$304,MATCH(B555,Ingredients!$A$5:$A$304,0)),""),""))</f>
        <v>0</v>
      </c>
      <c r="M555" s="8">
        <f>IF(OR(B555="",C555=""),"",IFERROR(C555*IFERROR(INDEX(Ingredients!$J$5:$J$304,MATCH(B555,Ingredients!$A$5:$A$304,0)),""),""))</f>
        <v>0</v>
      </c>
      <c r="N555" s="8">
        <f>IF(OR(B555="",C555=""),"",IFERROR(C555*IFERROR(INDEX(Ingredients!$K$5:$K$304,MATCH(B555,Ingredients!$A$5:$A$304,0)),""),""))</f>
        <v>0</v>
      </c>
      <c r="O555" s="8">
        <f>IF(OR(B555="",C555=""),"",IFERROR(C555*IFERROR(INDEX(Ingredients!$L$5:$L$304,MATCH(B555,Ingredients!$A$5:$A$304,0)),""),""))</f>
        <v>0</v>
      </c>
      <c r="P555" s="8">
        <f>IF(OR(H555="",A555=""),"",IFERROR(H555/SUMIFS('Recipe Ingredients'!$H$5:$H$1204,'Recipe Ingredients'!$A$5:$A$1204,A555),""))</f>
        <v>0</v>
      </c>
      <c r="Q555" s="8">
        <f>IF(H555="","",COUNTIFS($H$5:$H$1204,"&gt;"&amp;H555)+1)</f>
        <v>0</v>
      </c>
      <c r="R555" s="8">
        <f>IF(B555="","",SUMIFS(Pantry!$C$5:$C$304,Pantry!$A$5:$A$304,B555))</f>
        <v>0</v>
      </c>
      <c r="S555" s="8">
        <f>IF(OR(B555="",C555=""),"",MAX(0,C555-R555))</f>
        <v>0</v>
      </c>
      <c r="T555" s="26"/>
      <c r="U555" s="8">
        <f>IF(OR(T555="",T555=0,G555=""),"",T555*G555)</f>
        <v>0</v>
      </c>
      <c r="V555" s="8">
        <f>IF(OR(S555="",T555="",T555=0),"",CEILING(S555/T555,1))</f>
        <v>0</v>
      </c>
      <c r="W555" s="27"/>
      <c r="X555" s="29"/>
      <c r="Y555" s="8">
        <f>IF(OR(C555="",X555=""),"",C555*(1+X555))</f>
        <v>0</v>
      </c>
      <c r="Z555" s="8">
        <f>IF(B555="","",IFERROR(INDEX(Ingredients!$O$5:$O$304,MATCH(B555,Ingredients!$A$5:$A$304,0)),""))</f>
        <v>0</v>
      </c>
      <c r="AA555" s="8">
        <f>IF(B555="","",IF(R555&gt;=C555,"In pantry","To buy"))</f>
        <v>0</v>
      </c>
      <c r="AB555" s="8">
        <f>IF(A555="","",COUNTIFS($A$5:A555,A555))</f>
        <v>0</v>
      </c>
      <c r="AC555" s="8">
        <f>IF(B555="","",IF(COUNTIFS('Dietary Filters'!$C$5:$C$104,B555)&gt;0,"Check","OK"))</f>
        <v>0</v>
      </c>
      <c r="AD555" s="25"/>
    </row>
    <row r="556" spans="1:30">
      <c r="A556" s="7"/>
      <c r="B556" s="7"/>
      <c r="C556" s="26"/>
      <c r="D556" s="27"/>
      <c r="E556" s="8">
        <f>IF(B556="","",IFERROR(INDEX(Ingredients!$B$5:$B$304,MATCH(B556,Ingredients!$A$5:$A$304,0)),""))</f>
        <v>0</v>
      </c>
      <c r="F556" s="8">
        <f>IF(B556="","",IFERROR(INDEX(Ingredients!$E$5:$E$304,MATCH(B556,Ingredients!$A$5:$A$304,0)),""))</f>
        <v>0</v>
      </c>
      <c r="G556" s="8">
        <f>IF(B556="","",IFERROR(INDEX(Ingredients!$D$5:$D$304,MATCH(B556,Ingredients!$A$5:$A$304,0)),""))</f>
        <v>0</v>
      </c>
      <c r="H556" s="8">
        <f>IF(OR(B556="",C556=""),"",IFERROR(C556*G556,""))</f>
        <v>0</v>
      </c>
      <c r="I556" s="8">
        <f>IF(A556="","",IFERROR(INDEX(Recipes!$D$5:$D$204,MATCH(A556,Recipes!$A$5:$A$204,0)),""))</f>
        <v>0</v>
      </c>
      <c r="J556" s="8">
        <f>IF(OR(H556="",I556="",I556=0),"",IFERROR(H556/I556,""))</f>
        <v>0</v>
      </c>
      <c r="K556" s="8">
        <f>IF(OR(B556="",C556=""),"",IFERROR(C556*IFERROR(INDEX(Ingredients!$H$5:$H$304,MATCH(B556,Ingredients!$A$5:$A$304,0)),""),""))</f>
        <v>0</v>
      </c>
      <c r="L556" s="8">
        <f>IF(OR(B556="",C556=""),"",IFERROR(C556*IFERROR(INDEX(Ingredients!$I$5:$I$304,MATCH(B556,Ingredients!$A$5:$A$304,0)),""),""))</f>
        <v>0</v>
      </c>
      <c r="M556" s="8">
        <f>IF(OR(B556="",C556=""),"",IFERROR(C556*IFERROR(INDEX(Ingredients!$J$5:$J$304,MATCH(B556,Ingredients!$A$5:$A$304,0)),""),""))</f>
        <v>0</v>
      </c>
      <c r="N556" s="8">
        <f>IF(OR(B556="",C556=""),"",IFERROR(C556*IFERROR(INDEX(Ingredients!$K$5:$K$304,MATCH(B556,Ingredients!$A$5:$A$304,0)),""),""))</f>
        <v>0</v>
      </c>
      <c r="O556" s="8">
        <f>IF(OR(B556="",C556=""),"",IFERROR(C556*IFERROR(INDEX(Ingredients!$L$5:$L$304,MATCH(B556,Ingredients!$A$5:$A$304,0)),""),""))</f>
        <v>0</v>
      </c>
      <c r="P556" s="8">
        <f>IF(OR(H556="",A556=""),"",IFERROR(H556/SUMIFS('Recipe Ingredients'!$H$5:$H$1204,'Recipe Ingredients'!$A$5:$A$1204,A556),""))</f>
        <v>0</v>
      </c>
      <c r="Q556" s="8">
        <f>IF(H556="","",COUNTIFS($H$5:$H$1204,"&gt;"&amp;H556)+1)</f>
        <v>0</v>
      </c>
      <c r="R556" s="8">
        <f>IF(B556="","",SUMIFS(Pantry!$C$5:$C$304,Pantry!$A$5:$A$304,B556))</f>
        <v>0</v>
      </c>
      <c r="S556" s="8">
        <f>IF(OR(B556="",C556=""),"",MAX(0,C556-R556))</f>
        <v>0</v>
      </c>
      <c r="T556" s="26"/>
      <c r="U556" s="8">
        <f>IF(OR(T556="",T556=0,G556=""),"",T556*G556)</f>
        <v>0</v>
      </c>
      <c r="V556" s="8">
        <f>IF(OR(S556="",T556="",T556=0),"",CEILING(S556/T556,1))</f>
        <v>0</v>
      </c>
      <c r="W556" s="27"/>
      <c r="X556" s="29"/>
      <c r="Y556" s="8">
        <f>IF(OR(C556="",X556=""),"",C556*(1+X556))</f>
        <v>0</v>
      </c>
      <c r="Z556" s="8">
        <f>IF(B556="","",IFERROR(INDEX(Ingredients!$O$5:$O$304,MATCH(B556,Ingredients!$A$5:$A$304,0)),""))</f>
        <v>0</v>
      </c>
      <c r="AA556" s="8">
        <f>IF(B556="","",IF(R556&gt;=C556,"In pantry","To buy"))</f>
        <v>0</v>
      </c>
      <c r="AB556" s="8">
        <f>IF(A556="","",COUNTIFS($A$5:A556,A556))</f>
        <v>0</v>
      </c>
      <c r="AC556" s="8">
        <f>IF(B556="","",IF(COUNTIFS('Dietary Filters'!$C$5:$C$104,B556)&gt;0,"Check","OK"))</f>
        <v>0</v>
      </c>
      <c r="AD556" s="25"/>
    </row>
    <row r="557" spans="1:30">
      <c r="A557" s="7"/>
      <c r="B557" s="7"/>
      <c r="C557" s="26"/>
      <c r="D557" s="27"/>
      <c r="E557" s="8">
        <f>IF(B557="","",IFERROR(INDEX(Ingredients!$B$5:$B$304,MATCH(B557,Ingredients!$A$5:$A$304,0)),""))</f>
        <v>0</v>
      </c>
      <c r="F557" s="8">
        <f>IF(B557="","",IFERROR(INDEX(Ingredients!$E$5:$E$304,MATCH(B557,Ingredients!$A$5:$A$304,0)),""))</f>
        <v>0</v>
      </c>
      <c r="G557" s="8">
        <f>IF(B557="","",IFERROR(INDEX(Ingredients!$D$5:$D$304,MATCH(B557,Ingredients!$A$5:$A$304,0)),""))</f>
        <v>0</v>
      </c>
      <c r="H557" s="8">
        <f>IF(OR(B557="",C557=""),"",IFERROR(C557*G557,""))</f>
        <v>0</v>
      </c>
      <c r="I557" s="8">
        <f>IF(A557="","",IFERROR(INDEX(Recipes!$D$5:$D$204,MATCH(A557,Recipes!$A$5:$A$204,0)),""))</f>
        <v>0</v>
      </c>
      <c r="J557" s="8">
        <f>IF(OR(H557="",I557="",I557=0),"",IFERROR(H557/I557,""))</f>
        <v>0</v>
      </c>
      <c r="K557" s="8">
        <f>IF(OR(B557="",C557=""),"",IFERROR(C557*IFERROR(INDEX(Ingredients!$H$5:$H$304,MATCH(B557,Ingredients!$A$5:$A$304,0)),""),""))</f>
        <v>0</v>
      </c>
      <c r="L557" s="8">
        <f>IF(OR(B557="",C557=""),"",IFERROR(C557*IFERROR(INDEX(Ingredients!$I$5:$I$304,MATCH(B557,Ingredients!$A$5:$A$304,0)),""),""))</f>
        <v>0</v>
      </c>
      <c r="M557" s="8">
        <f>IF(OR(B557="",C557=""),"",IFERROR(C557*IFERROR(INDEX(Ingredients!$J$5:$J$304,MATCH(B557,Ingredients!$A$5:$A$304,0)),""),""))</f>
        <v>0</v>
      </c>
      <c r="N557" s="8">
        <f>IF(OR(B557="",C557=""),"",IFERROR(C557*IFERROR(INDEX(Ingredients!$K$5:$K$304,MATCH(B557,Ingredients!$A$5:$A$304,0)),""),""))</f>
        <v>0</v>
      </c>
      <c r="O557" s="8">
        <f>IF(OR(B557="",C557=""),"",IFERROR(C557*IFERROR(INDEX(Ingredients!$L$5:$L$304,MATCH(B557,Ingredients!$A$5:$A$304,0)),""),""))</f>
        <v>0</v>
      </c>
      <c r="P557" s="8">
        <f>IF(OR(H557="",A557=""),"",IFERROR(H557/SUMIFS('Recipe Ingredients'!$H$5:$H$1204,'Recipe Ingredients'!$A$5:$A$1204,A557),""))</f>
        <v>0</v>
      </c>
      <c r="Q557" s="8">
        <f>IF(H557="","",COUNTIFS($H$5:$H$1204,"&gt;"&amp;H557)+1)</f>
        <v>0</v>
      </c>
      <c r="R557" s="8">
        <f>IF(B557="","",SUMIFS(Pantry!$C$5:$C$304,Pantry!$A$5:$A$304,B557))</f>
        <v>0</v>
      </c>
      <c r="S557" s="8">
        <f>IF(OR(B557="",C557=""),"",MAX(0,C557-R557))</f>
        <v>0</v>
      </c>
      <c r="T557" s="26"/>
      <c r="U557" s="8">
        <f>IF(OR(T557="",T557=0,G557=""),"",T557*G557)</f>
        <v>0</v>
      </c>
      <c r="V557" s="8">
        <f>IF(OR(S557="",T557="",T557=0),"",CEILING(S557/T557,1))</f>
        <v>0</v>
      </c>
      <c r="W557" s="27"/>
      <c r="X557" s="29"/>
      <c r="Y557" s="8">
        <f>IF(OR(C557="",X557=""),"",C557*(1+X557))</f>
        <v>0</v>
      </c>
      <c r="Z557" s="8">
        <f>IF(B557="","",IFERROR(INDEX(Ingredients!$O$5:$O$304,MATCH(B557,Ingredients!$A$5:$A$304,0)),""))</f>
        <v>0</v>
      </c>
      <c r="AA557" s="8">
        <f>IF(B557="","",IF(R557&gt;=C557,"In pantry","To buy"))</f>
        <v>0</v>
      </c>
      <c r="AB557" s="8">
        <f>IF(A557="","",COUNTIFS($A$5:A557,A557))</f>
        <v>0</v>
      </c>
      <c r="AC557" s="8">
        <f>IF(B557="","",IF(COUNTIFS('Dietary Filters'!$C$5:$C$104,B557)&gt;0,"Check","OK"))</f>
        <v>0</v>
      </c>
      <c r="AD557" s="25"/>
    </row>
    <row r="558" spans="1:30">
      <c r="A558" s="7"/>
      <c r="B558" s="7"/>
      <c r="C558" s="26"/>
      <c r="D558" s="27"/>
      <c r="E558" s="8">
        <f>IF(B558="","",IFERROR(INDEX(Ingredients!$B$5:$B$304,MATCH(B558,Ingredients!$A$5:$A$304,0)),""))</f>
        <v>0</v>
      </c>
      <c r="F558" s="8">
        <f>IF(B558="","",IFERROR(INDEX(Ingredients!$E$5:$E$304,MATCH(B558,Ingredients!$A$5:$A$304,0)),""))</f>
        <v>0</v>
      </c>
      <c r="G558" s="8">
        <f>IF(B558="","",IFERROR(INDEX(Ingredients!$D$5:$D$304,MATCH(B558,Ingredients!$A$5:$A$304,0)),""))</f>
        <v>0</v>
      </c>
      <c r="H558" s="8">
        <f>IF(OR(B558="",C558=""),"",IFERROR(C558*G558,""))</f>
        <v>0</v>
      </c>
      <c r="I558" s="8">
        <f>IF(A558="","",IFERROR(INDEX(Recipes!$D$5:$D$204,MATCH(A558,Recipes!$A$5:$A$204,0)),""))</f>
        <v>0</v>
      </c>
      <c r="J558" s="8">
        <f>IF(OR(H558="",I558="",I558=0),"",IFERROR(H558/I558,""))</f>
        <v>0</v>
      </c>
      <c r="K558" s="8">
        <f>IF(OR(B558="",C558=""),"",IFERROR(C558*IFERROR(INDEX(Ingredients!$H$5:$H$304,MATCH(B558,Ingredients!$A$5:$A$304,0)),""),""))</f>
        <v>0</v>
      </c>
      <c r="L558" s="8">
        <f>IF(OR(B558="",C558=""),"",IFERROR(C558*IFERROR(INDEX(Ingredients!$I$5:$I$304,MATCH(B558,Ingredients!$A$5:$A$304,0)),""),""))</f>
        <v>0</v>
      </c>
      <c r="M558" s="8">
        <f>IF(OR(B558="",C558=""),"",IFERROR(C558*IFERROR(INDEX(Ingredients!$J$5:$J$304,MATCH(B558,Ingredients!$A$5:$A$304,0)),""),""))</f>
        <v>0</v>
      </c>
      <c r="N558" s="8">
        <f>IF(OR(B558="",C558=""),"",IFERROR(C558*IFERROR(INDEX(Ingredients!$K$5:$K$304,MATCH(B558,Ingredients!$A$5:$A$304,0)),""),""))</f>
        <v>0</v>
      </c>
      <c r="O558" s="8">
        <f>IF(OR(B558="",C558=""),"",IFERROR(C558*IFERROR(INDEX(Ingredients!$L$5:$L$304,MATCH(B558,Ingredients!$A$5:$A$304,0)),""),""))</f>
        <v>0</v>
      </c>
      <c r="P558" s="8">
        <f>IF(OR(H558="",A558=""),"",IFERROR(H558/SUMIFS('Recipe Ingredients'!$H$5:$H$1204,'Recipe Ingredients'!$A$5:$A$1204,A558),""))</f>
        <v>0</v>
      </c>
      <c r="Q558" s="8">
        <f>IF(H558="","",COUNTIFS($H$5:$H$1204,"&gt;"&amp;H558)+1)</f>
        <v>0</v>
      </c>
      <c r="R558" s="8">
        <f>IF(B558="","",SUMIFS(Pantry!$C$5:$C$304,Pantry!$A$5:$A$304,B558))</f>
        <v>0</v>
      </c>
      <c r="S558" s="8">
        <f>IF(OR(B558="",C558=""),"",MAX(0,C558-R558))</f>
        <v>0</v>
      </c>
      <c r="T558" s="26"/>
      <c r="U558" s="8">
        <f>IF(OR(T558="",T558=0,G558=""),"",T558*G558)</f>
        <v>0</v>
      </c>
      <c r="V558" s="8">
        <f>IF(OR(S558="",T558="",T558=0),"",CEILING(S558/T558,1))</f>
        <v>0</v>
      </c>
      <c r="W558" s="27"/>
      <c r="X558" s="29"/>
      <c r="Y558" s="8">
        <f>IF(OR(C558="",X558=""),"",C558*(1+X558))</f>
        <v>0</v>
      </c>
      <c r="Z558" s="8">
        <f>IF(B558="","",IFERROR(INDEX(Ingredients!$O$5:$O$304,MATCH(B558,Ingredients!$A$5:$A$304,0)),""))</f>
        <v>0</v>
      </c>
      <c r="AA558" s="8">
        <f>IF(B558="","",IF(R558&gt;=C558,"In pantry","To buy"))</f>
        <v>0</v>
      </c>
      <c r="AB558" s="8">
        <f>IF(A558="","",COUNTIFS($A$5:A558,A558))</f>
        <v>0</v>
      </c>
      <c r="AC558" s="8">
        <f>IF(B558="","",IF(COUNTIFS('Dietary Filters'!$C$5:$C$104,B558)&gt;0,"Check","OK"))</f>
        <v>0</v>
      </c>
      <c r="AD558" s="25"/>
    </row>
    <row r="559" spans="1:30">
      <c r="A559" s="7"/>
      <c r="B559" s="7"/>
      <c r="C559" s="26"/>
      <c r="D559" s="27"/>
      <c r="E559" s="8">
        <f>IF(B559="","",IFERROR(INDEX(Ingredients!$B$5:$B$304,MATCH(B559,Ingredients!$A$5:$A$304,0)),""))</f>
        <v>0</v>
      </c>
      <c r="F559" s="8">
        <f>IF(B559="","",IFERROR(INDEX(Ingredients!$E$5:$E$304,MATCH(B559,Ingredients!$A$5:$A$304,0)),""))</f>
        <v>0</v>
      </c>
      <c r="G559" s="8">
        <f>IF(B559="","",IFERROR(INDEX(Ingredients!$D$5:$D$304,MATCH(B559,Ingredients!$A$5:$A$304,0)),""))</f>
        <v>0</v>
      </c>
      <c r="H559" s="8">
        <f>IF(OR(B559="",C559=""),"",IFERROR(C559*G559,""))</f>
        <v>0</v>
      </c>
      <c r="I559" s="8">
        <f>IF(A559="","",IFERROR(INDEX(Recipes!$D$5:$D$204,MATCH(A559,Recipes!$A$5:$A$204,0)),""))</f>
        <v>0</v>
      </c>
      <c r="J559" s="8">
        <f>IF(OR(H559="",I559="",I559=0),"",IFERROR(H559/I559,""))</f>
        <v>0</v>
      </c>
      <c r="K559" s="8">
        <f>IF(OR(B559="",C559=""),"",IFERROR(C559*IFERROR(INDEX(Ingredients!$H$5:$H$304,MATCH(B559,Ingredients!$A$5:$A$304,0)),""),""))</f>
        <v>0</v>
      </c>
      <c r="L559" s="8">
        <f>IF(OR(B559="",C559=""),"",IFERROR(C559*IFERROR(INDEX(Ingredients!$I$5:$I$304,MATCH(B559,Ingredients!$A$5:$A$304,0)),""),""))</f>
        <v>0</v>
      </c>
      <c r="M559" s="8">
        <f>IF(OR(B559="",C559=""),"",IFERROR(C559*IFERROR(INDEX(Ingredients!$J$5:$J$304,MATCH(B559,Ingredients!$A$5:$A$304,0)),""),""))</f>
        <v>0</v>
      </c>
      <c r="N559" s="8">
        <f>IF(OR(B559="",C559=""),"",IFERROR(C559*IFERROR(INDEX(Ingredients!$K$5:$K$304,MATCH(B559,Ingredients!$A$5:$A$304,0)),""),""))</f>
        <v>0</v>
      </c>
      <c r="O559" s="8">
        <f>IF(OR(B559="",C559=""),"",IFERROR(C559*IFERROR(INDEX(Ingredients!$L$5:$L$304,MATCH(B559,Ingredients!$A$5:$A$304,0)),""),""))</f>
        <v>0</v>
      </c>
      <c r="P559" s="8">
        <f>IF(OR(H559="",A559=""),"",IFERROR(H559/SUMIFS('Recipe Ingredients'!$H$5:$H$1204,'Recipe Ingredients'!$A$5:$A$1204,A559),""))</f>
        <v>0</v>
      </c>
      <c r="Q559" s="8">
        <f>IF(H559="","",COUNTIFS($H$5:$H$1204,"&gt;"&amp;H559)+1)</f>
        <v>0</v>
      </c>
      <c r="R559" s="8">
        <f>IF(B559="","",SUMIFS(Pantry!$C$5:$C$304,Pantry!$A$5:$A$304,B559))</f>
        <v>0</v>
      </c>
      <c r="S559" s="8">
        <f>IF(OR(B559="",C559=""),"",MAX(0,C559-R559))</f>
        <v>0</v>
      </c>
      <c r="T559" s="26"/>
      <c r="U559" s="8">
        <f>IF(OR(T559="",T559=0,G559=""),"",T559*G559)</f>
        <v>0</v>
      </c>
      <c r="V559" s="8">
        <f>IF(OR(S559="",T559="",T559=0),"",CEILING(S559/T559,1))</f>
        <v>0</v>
      </c>
      <c r="W559" s="27"/>
      <c r="X559" s="29"/>
      <c r="Y559" s="8">
        <f>IF(OR(C559="",X559=""),"",C559*(1+X559))</f>
        <v>0</v>
      </c>
      <c r="Z559" s="8">
        <f>IF(B559="","",IFERROR(INDEX(Ingredients!$O$5:$O$304,MATCH(B559,Ingredients!$A$5:$A$304,0)),""))</f>
        <v>0</v>
      </c>
      <c r="AA559" s="8">
        <f>IF(B559="","",IF(R559&gt;=C559,"In pantry","To buy"))</f>
        <v>0</v>
      </c>
      <c r="AB559" s="8">
        <f>IF(A559="","",COUNTIFS($A$5:A559,A559))</f>
        <v>0</v>
      </c>
      <c r="AC559" s="8">
        <f>IF(B559="","",IF(COUNTIFS('Dietary Filters'!$C$5:$C$104,B559)&gt;0,"Check","OK"))</f>
        <v>0</v>
      </c>
      <c r="AD559" s="25"/>
    </row>
    <row r="560" spans="1:30">
      <c r="A560" s="7"/>
      <c r="B560" s="7"/>
      <c r="C560" s="26"/>
      <c r="D560" s="27"/>
      <c r="E560" s="8">
        <f>IF(B560="","",IFERROR(INDEX(Ingredients!$B$5:$B$304,MATCH(B560,Ingredients!$A$5:$A$304,0)),""))</f>
        <v>0</v>
      </c>
      <c r="F560" s="8">
        <f>IF(B560="","",IFERROR(INDEX(Ingredients!$E$5:$E$304,MATCH(B560,Ingredients!$A$5:$A$304,0)),""))</f>
        <v>0</v>
      </c>
      <c r="G560" s="8">
        <f>IF(B560="","",IFERROR(INDEX(Ingredients!$D$5:$D$304,MATCH(B560,Ingredients!$A$5:$A$304,0)),""))</f>
        <v>0</v>
      </c>
      <c r="H560" s="8">
        <f>IF(OR(B560="",C560=""),"",IFERROR(C560*G560,""))</f>
        <v>0</v>
      </c>
      <c r="I560" s="8">
        <f>IF(A560="","",IFERROR(INDEX(Recipes!$D$5:$D$204,MATCH(A560,Recipes!$A$5:$A$204,0)),""))</f>
        <v>0</v>
      </c>
      <c r="J560" s="8">
        <f>IF(OR(H560="",I560="",I560=0),"",IFERROR(H560/I560,""))</f>
        <v>0</v>
      </c>
      <c r="K560" s="8">
        <f>IF(OR(B560="",C560=""),"",IFERROR(C560*IFERROR(INDEX(Ingredients!$H$5:$H$304,MATCH(B560,Ingredients!$A$5:$A$304,0)),""),""))</f>
        <v>0</v>
      </c>
      <c r="L560" s="8">
        <f>IF(OR(B560="",C560=""),"",IFERROR(C560*IFERROR(INDEX(Ingredients!$I$5:$I$304,MATCH(B560,Ingredients!$A$5:$A$304,0)),""),""))</f>
        <v>0</v>
      </c>
      <c r="M560" s="8">
        <f>IF(OR(B560="",C560=""),"",IFERROR(C560*IFERROR(INDEX(Ingredients!$J$5:$J$304,MATCH(B560,Ingredients!$A$5:$A$304,0)),""),""))</f>
        <v>0</v>
      </c>
      <c r="N560" s="8">
        <f>IF(OR(B560="",C560=""),"",IFERROR(C560*IFERROR(INDEX(Ingredients!$K$5:$K$304,MATCH(B560,Ingredients!$A$5:$A$304,0)),""),""))</f>
        <v>0</v>
      </c>
      <c r="O560" s="8">
        <f>IF(OR(B560="",C560=""),"",IFERROR(C560*IFERROR(INDEX(Ingredients!$L$5:$L$304,MATCH(B560,Ingredients!$A$5:$A$304,0)),""),""))</f>
        <v>0</v>
      </c>
      <c r="P560" s="8">
        <f>IF(OR(H560="",A560=""),"",IFERROR(H560/SUMIFS('Recipe Ingredients'!$H$5:$H$1204,'Recipe Ingredients'!$A$5:$A$1204,A560),""))</f>
        <v>0</v>
      </c>
      <c r="Q560" s="8">
        <f>IF(H560="","",COUNTIFS($H$5:$H$1204,"&gt;"&amp;H560)+1)</f>
        <v>0</v>
      </c>
      <c r="R560" s="8">
        <f>IF(B560="","",SUMIFS(Pantry!$C$5:$C$304,Pantry!$A$5:$A$304,B560))</f>
        <v>0</v>
      </c>
      <c r="S560" s="8">
        <f>IF(OR(B560="",C560=""),"",MAX(0,C560-R560))</f>
        <v>0</v>
      </c>
      <c r="T560" s="26"/>
      <c r="U560" s="8">
        <f>IF(OR(T560="",T560=0,G560=""),"",T560*G560)</f>
        <v>0</v>
      </c>
      <c r="V560" s="8">
        <f>IF(OR(S560="",T560="",T560=0),"",CEILING(S560/T560,1))</f>
        <v>0</v>
      </c>
      <c r="W560" s="27"/>
      <c r="X560" s="29"/>
      <c r="Y560" s="8">
        <f>IF(OR(C560="",X560=""),"",C560*(1+X560))</f>
        <v>0</v>
      </c>
      <c r="Z560" s="8">
        <f>IF(B560="","",IFERROR(INDEX(Ingredients!$O$5:$O$304,MATCH(B560,Ingredients!$A$5:$A$304,0)),""))</f>
        <v>0</v>
      </c>
      <c r="AA560" s="8">
        <f>IF(B560="","",IF(R560&gt;=C560,"In pantry","To buy"))</f>
        <v>0</v>
      </c>
      <c r="AB560" s="8">
        <f>IF(A560="","",COUNTIFS($A$5:A560,A560))</f>
        <v>0</v>
      </c>
      <c r="AC560" s="8">
        <f>IF(B560="","",IF(COUNTIFS('Dietary Filters'!$C$5:$C$104,B560)&gt;0,"Check","OK"))</f>
        <v>0</v>
      </c>
      <c r="AD560" s="25"/>
    </row>
    <row r="561" spans="1:30">
      <c r="A561" s="7"/>
      <c r="B561" s="7"/>
      <c r="C561" s="26"/>
      <c r="D561" s="27"/>
      <c r="E561" s="8">
        <f>IF(B561="","",IFERROR(INDEX(Ingredients!$B$5:$B$304,MATCH(B561,Ingredients!$A$5:$A$304,0)),""))</f>
        <v>0</v>
      </c>
      <c r="F561" s="8">
        <f>IF(B561="","",IFERROR(INDEX(Ingredients!$E$5:$E$304,MATCH(B561,Ingredients!$A$5:$A$304,0)),""))</f>
        <v>0</v>
      </c>
      <c r="G561" s="8">
        <f>IF(B561="","",IFERROR(INDEX(Ingredients!$D$5:$D$304,MATCH(B561,Ingredients!$A$5:$A$304,0)),""))</f>
        <v>0</v>
      </c>
      <c r="H561" s="8">
        <f>IF(OR(B561="",C561=""),"",IFERROR(C561*G561,""))</f>
        <v>0</v>
      </c>
      <c r="I561" s="8">
        <f>IF(A561="","",IFERROR(INDEX(Recipes!$D$5:$D$204,MATCH(A561,Recipes!$A$5:$A$204,0)),""))</f>
        <v>0</v>
      </c>
      <c r="J561" s="8">
        <f>IF(OR(H561="",I561="",I561=0),"",IFERROR(H561/I561,""))</f>
        <v>0</v>
      </c>
      <c r="K561" s="8">
        <f>IF(OR(B561="",C561=""),"",IFERROR(C561*IFERROR(INDEX(Ingredients!$H$5:$H$304,MATCH(B561,Ingredients!$A$5:$A$304,0)),""),""))</f>
        <v>0</v>
      </c>
      <c r="L561" s="8">
        <f>IF(OR(B561="",C561=""),"",IFERROR(C561*IFERROR(INDEX(Ingredients!$I$5:$I$304,MATCH(B561,Ingredients!$A$5:$A$304,0)),""),""))</f>
        <v>0</v>
      </c>
      <c r="M561" s="8">
        <f>IF(OR(B561="",C561=""),"",IFERROR(C561*IFERROR(INDEX(Ingredients!$J$5:$J$304,MATCH(B561,Ingredients!$A$5:$A$304,0)),""),""))</f>
        <v>0</v>
      </c>
      <c r="N561" s="8">
        <f>IF(OR(B561="",C561=""),"",IFERROR(C561*IFERROR(INDEX(Ingredients!$K$5:$K$304,MATCH(B561,Ingredients!$A$5:$A$304,0)),""),""))</f>
        <v>0</v>
      </c>
      <c r="O561" s="8">
        <f>IF(OR(B561="",C561=""),"",IFERROR(C561*IFERROR(INDEX(Ingredients!$L$5:$L$304,MATCH(B561,Ingredients!$A$5:$A$304,0)),""),""))</f>
        <v>0</v>
      </c>
      <c r="P561" s="8">
        <f>IF(OR(H561="",A561=""),"",IFERROR(H561/SUMIFS('Recipe Ingredients'!$H$5:$H$1204,'Recipe Ingredients'!$A$5:$A$1204,A561),""))</f>
        <v>0</v>
      </c>
      <c r="Q561" s="8">
        <f>IF(H561="","",COUNTIFS($H$5:$H$1204,"&gt;"&amp;H561)+1)</f>
        <v>0</v>
      </c>
      <c r="R561" s="8">
        <f>IF(B561="","",SUMIFS(Pantry!$C$5:$C$304,Pantry!$A$5:$A$304,B561))</f>
        <v>0</v>
      </c>
      <c r="S561" s="8">
        <f>IF(OR(B561="",C561=""),"",MAX(0,C561-R561))</f>
        <v>0</v>
      </c>
      <c r="T561" s="26"/>
      <c r="U561" s="8">
        <f>IF(OR(T561="",T561=0,G561=""),"",T561*G561)</f>
        <v>0</v>
      </c>
      <c r="V561" s="8">
        <f>IF(OR(S561="",T561="",T561=0),"",CEILING(S561/T561,1))</f>
        <v>0</v>
      </c>
      <c r="W561" s="27"/>
      <c r="X561" s="29"/>
      <c r="Y561" s="8">
        <f>IF(OR(C561="",X561=""),"",C561*(1+X561))</f>
        <v>0</v>
      </c>
      <c r="Z561" s="8">
        <f>IF(B561="","",IFERROR(INDEX(Ingredients!$O$5:$O$304,MATCH(B561,Ingredients!$A$5:$A$304,0)),""))</f>
        <v>0</v>
      </c>
      <c r="AA561" s="8">
        <f>IF(B561="","",IF(R561&gt;=C561,"In pantry","To buy"))</f>
        <v>0</v>
      </c>
      <c r="AB561" s="8">
        <f>IF(A561="","",COUNTIFS($A$5:A561,A561))</f>
        <v>0</v>
      </c>
      <c r="AC561" s="8">
        <f>IF(B561="","",IF(COUNTIFS('Dietary Filters'!$C$5:$C$104,B561)&gt;0,"Check","OK"))</f>
        <v>0</v>
      </c>
      <c r="AD561" s="25"/>
    </row>
    <row r="562" spans="1:30">
      <c r="A562" s="7"/>
      <c r="B562" s="7"/>
      <c r="C562" s="26"/>
      <c r="D562" s="27"/>
      <c r="E562" s="8">
        <f>IF(B562="","",IFERROR(INDEX(Ingredients!$B$5:$B$304,MATCH(B562,Ingredients!$A$5:$A$304,0)),""))</f>
        <v>0</v>
      </c>
      <c r="F562" s="8">
        <f>IF(B562="","",IFERROR(INDEX(Ingredients!$E$5:$E$304,MATCH(B562,Ingredients!$A$5:$A$304,0)),""))</f>
        <v>0</v>
      </c>
      <c r="G562" s="8">
        <f>IF(B562="","",IFERROR(INDEX(Ingredients!$D$5:$D$304,MATCH(B562,Ingredients!$A$5:$A$304,0)),""))</f>
        <v>0</v>
      </c>
      <c r="H562" s="8">
        <f>IF(OR(B562="",C562=""),"",IFERROR(C562*G562,""))</f>
        <v>0</v>
      </c>
      <c r="I562" s="8">
        <f>IF(A562="","",IFERROR(INDEX(Recipes!$D$5:$D$204,MATCH(A562,Recipes!$A$5:$A$204,0)),""))</f>
        <v>0</v>
      </c>
      <c r="J562" s="8">
        <f>IF(OR(H562="",I562="",I562=0),"",IFERROR(H562/I562,""))</f>
        <v>0</v>
      </c>
      <c r="K562" s="8">
        <f>IF(OR(B562="",C562=""),"",IFERROR(C562*IFERROR(INDEX(Ingredients!$H$5:$H$304,MATCH(B562,Ingredients!$A$5:$A$304,0)),""),""))</f>
        <v>0</v>
      </c>
      <c r="L562" s="8">
        <f>IF(OR(B562="",C562=""),"",IFERROR(C562*IFERROR(INDEX(Ingredients!$I$5:$I$304,MATCH(B562,Ingredients!$A$5:$A$304,0)),""),""))</f>
        <v>0</v>
      </c>
      <c r="M562" s="8">
        <f>IF(OR(B562="",C562=""),"",IFERROR(C562*IFERROR(INDEX(Ingredients!$J$5:$J$304,MATCH(B562,Ingredients!$A$5:$A$304,0)),""),""))</f>
        <v>0</v>
      </c>
      <c r="N562" s="8">
        <f>IF(OR(B562="",C562=""),"",IFERROR(C562*IFERROR(INDEX(Ingredients!$K$5:$K$304,MATCH(B562,Ingredients!$A$5:$A$304,0)),""),""))</f>
        <v>0</v>
      </c>
      <c r="O562" s="8">
        <f>IF(OR(B562="",C562=""),"",IFERROR(C562*IFERROR(INDEX(Ingredients!$L$5:$L$304,MATCH(B562,Ingredients!$A$5:$A$304,0)),""),""))</f>
        <v>0</v>
      </c>
      <c r="P562" s="8">
        <f>IF(OR(H562="",A562=""),"",IFERROR(H562/SUMIFS('Recipe Ingredients'!$H$5:$H$1204,'Recipe Ingredients'!$A$5:$A$1204,A562),""))</f>
        <v>0</v>
      </c>
      <c r="Q562" s="8">
        <f>IF(H562="","",COUNTIFS($H$5:$H$1204,"&gt;"&amp;H562)+1)</f>
        <v>0</v>
      </c>
      <c r="R562" s="8">
        <f>IF(B562="","",SUMIFS(Pantry!$C$5:$C$304,Pantry!$A$5:$A$304,B562))</f>
        <v>0</v>
      </c>
      <c r="S562" s="8">
        <f>IF(OR(B562="",C562=""),"",MAX(0,C562-R562))</f>
        <v>0</v>
      </c>
      <c r="T562" s="26"/>
      <c r="U562" s="8">
        <f>IF(OR(T562="",T562=0,G562=""),"",T562*G562)</f>
        <v>0</v>
      </c>
      <c r="V562" s="8">
        <f>IF(OR(S562="",T562="",T562=0),"",CEILING(S562/T562,1))</f>
        <v>0</v>
      </c>
      <c r="W562" s="27"/>
      <c r="X562" s="29"/>
      <c r="Y562" s="8">
        <f>IF(OR(C562="",X562=""),"",C562*(1+X562))</f>
        <v>0</v>
      </c>
      <c r="Z562" s="8">
        <f>IF(B562="","",IFERROR(INDEX(Ingredients!$O$5:$O$304,MATCH(B562,Ingredients!$A$5:$A$304,0)),""))</f>
        <v>0</v>
      </c>
      <c r="AA562" s="8">
        <f>IF(B562="","",IF(R562&gt;=C562,"In pantry","To buy"))</f>
        <v>0</v>
      </c>
      <c r="AB562" s="8">
        <f>IF(A562="","",COUNTIFS($A$5:A562,A562))</f>
        <v>0</v>
      </c>
      <c r="AC562" s="8">
        <f>IF(B562="","",IF(COUNTIFS('Dietary Filters'!$C$5:$C$104,B562)&gt;0,"Check","OK"))</f>
        <v>0</v>
      </c>
      <c r="AD562" s="25"/>
    </row>
    <row r="563" spans="1:30">
      <c r="A563" s="7"/>
      <c r="B563" s="7"/>
      <c r="C563" s="26"/>
      <c r="D563" s="27"/>
      <c r="E563" s="8">
        <f>IF(B563="","",IFERROR(INDEX(Ingredients!$B$5:$B$304,MATCH(B563,Ingredients!$A$5:$A$304,0)),""))</f>
        <v>0</v>
      </c>
      <c r="F563" s="8">
        <f>IF(B563="","",IFERROR(INDEX(Ingredients!$E$5:$E$304,MATCH(B563,Ingredients!$A$5:$A$304,0)),""))</f>
        <v>0</v>
      </c>
      <c r="G563" s="8">
        <f>IF(B563="","",IFERROR(INDEX(Ingredients!$D$5:$D$304,MATCH(B563,Ingredients!$A$5:$A$304,0)),""))</f>
        <v>0</v>
      </c>
      <c r="H563" s="8">
        <f>IF(OR(B563="",C563=""),"",IFERROR(C563*G563,""))</f>
        <v>0</v>
      </c>
      <c r="I563" s="8">
        <f>IF(A563="","",IFERROR(INDEX(Recipes!$D$5:$D$204,MATCH(A563,Recipes!$A$5:$A$204,0)),""))</f>
        <v>0</v>
      </c>
      <c r="J563" s="8">
        <f>IF(OR(H563="",I563="",I563=0),"",IFERROR(H563/I563,""))</f>
        <v>0</v>
      </c>
      <c r="K563" s="8">
        <f>IF(OR(B563="",C563=""),"",IFERROR(C563*IFERROR(INDEX(Ingredients!$H$5:$H$304,MATCH(B563,Ingredients!$A$5:$A$304,0)),""),""))</f>
        <v>0</v>
      </c>
      <c r="L563" s="8">
        <f>IF(OR(B563="",C563=""),"",IFERROR(C563*IFERROR(INDEX(Ingredients!$I$5:$I$304,MATCH(B563,Ingredients!$A$5:$A$304,0)),""),""))</f>
        <v>0</v>
      </c>
      <c r="M563" s="8">
        <f>IF(OR(B563="",C563=""),"",IFERROR(C563*IFERROR(INDEX(Ingredients!$J$5:$J$304,MATCH(B563,Ingredients!$A$5:$A$304,0)),""),""))</f>
        <v>0</v>
      </c>
      <c r="N563" s="8">
        <f>IF(OR(B563="",C563=""),"",IFERROR(C563*IFERROR(INDEX(Ingredients!$K$5:$K$304,MATCH(B563,Ingredients!$A$5:$A$304,0)),""),""))</f>
        <v>0</v>
      </c>
      <c r="O563" s="8">
        <f>IF(OR(B563="",C563=""),"",IFERROR(C563*IFERROR(INDEX(Ingredients!$L$5:$L$304,MATCH(B563,Ingredients!$A$5:$A$304,0)),""),""))</f>
        <v>0</v>
      </c>
      <c r="P563" s="8">
        <f>IF(OR(H563="",A563=""),"",IFERROR(H563/SUMIFS('Recipe Ingredients'!$H$5:$H$1204,'Recipe Ingredients'!$A$5:$A$1204,A563),""))</f>
        <v>0</v>
      </c>
      <c r="Q563" s="8">
        <f>IF(H563="","",COUNTIFS($H$5:$H$1204,"&gt;"&amp;H563)+1)</f>
        <v>0</v>
      </c>
      <c r="R563" s="8">
        <f>IF(B563="","",SUMIFS(Pantry!$C$5:$C$304,Pantry!$A$5:$A$304,B563))</f>
        <v>0</v>
      </c>
      <c r="S563" s="8">
        <f>IF(OR(B563="",C563=""),"",MAX(0,C563-R563))</f>
        <v>0</v>
      </c>
      <c r="T563" s="26"/>
      <c r="U563" s="8">
        <f>IF(OR(T563="",T563=0,G563=""),"",T563*G563)</f>
        <v>0</v>
      </c>
      <c r="V563" s="8">
        <f>IF(OR(S563="",T563="",T563=0),"",CEILING(S563/T563,1))</f>
        <v>0</v>
      </c>
      <c r="W563" s="27"/>
      <c r="X563" s="29"/>
      <c r="Y563" s="8">
        <f>IF(OR(C563="",X563=""),"",C563*(1+X563))</f>
        <v>0</v>
      </c>
      <c r="Z563" s="8">
        <f>IF(B563="","",IFERROR(INDEX(Ingredients!$O$5:$O$304,MATCH(B563,Ingredients!$A$5:$A$304,0)),""))</f>
        <v>0</v>
      </c>
      <c r="AA563" s="8">
        <f>IF(B563="","",IF(R563&gt;=C563,"In pantry","To buy"))</f>
        <v>0</v>
      </c>
      <c r="AB563" s="8">
        <f>IF(A563="","",COUNTIFS($A$5:A563,A563))</f>
        <v>0</v>
      </c>
      <c r="AC563" s="8">
        <f>IF(B563="","",IF(COUNTIFS('Dietary Filters'!$C$5:$C$104,B563)&gt;0,"Check","OK"))</f>
        <v>0</v>
      </c>
      <c r="AD563" s="25"/>
    </row>
    <row r="564" spans="1:30">
      <c r="A564" s="7"/>
      <c r="B564" s="7"/>
      <c r="C564" s="26"/>
      <c r="D564" s="27"/>
      <c r="E564" s="8">
        <f>IF(B564="","",IFERROR(INDEX(Ingredients!$B$5:$B$304,MATCH(B564,Ingredients!$A$5:$A$304,0)),""))</f>
        <v>0</v>
      </c>
      <c r="F564" s="8">
        <f>IF(B564="","",IFERROR(INDEX(Ingredients!$E$5:$E$304,MATCH(B564,Ingredients!$A$5:$A$304,0)),""))</f>
        <v>0</v>
      </c>
      <c r="G564" s="8">
        <f>IF(B564="","",IFERROR(INDEX(Ingredients!$D$5:$D$304,MATCH(B564,Ingredients!$A$5:$A$304,0)),""))</f>
        <v>0</v>
      </c>
      <c r="H564" s="8">
        <f>IF(OR(B564="",C564=""),"",IFERROR(C564*G564,""))</f>
        <v>0</v>
      </c>
      <c r="I564" s="8">
        <f>IF(A564="","",IFERROR(INDEX(Recipes!$D$5:$D$204,MATCH(A564,Recipes!$A$5:$A$204,0)),""))</f>
        <v>0</v>
      </c>
      <c r="J564" s="8">
        <f>IF(OR(H564="",I564="",I564=0),"",IFERROR(H564/I564,""))</f>
        <v>0</v>
      </c>
      <c r="K564" s="8">
        <f>IF(OR(B564="",C564=""),"",IFERROR(C564*IFERROR(INDEX(Ingredients!$H$5:$H$304,MATCH(B564,Ingredients!$A$5:$A$304,0)),""),""))</f>
        <v>0</v>
      </c>
      <c r="L564" s="8">
        <f>IF(OR(B564="",C564=""),"",IFERROR(C564*IFERROR(INDEX(Ingredients!$I$5:$I$304,MATCH(B564,Ingredients!$A$5:$A$304,0)),""),""))</f>
        <v>0</v>
      </c>
      <c r="M564" s="8">
        <f>IF(OR(B564="",C564=""),"",IFERROR(C564*IFERROR(INDEX(Ingredients!$J$5:$J$304,MATCH(B564,Ingredients!$A$5:$A$304,0)),""),""))</f>
        <v>0</v>
      </c>
      <c r="N564" s="8">
        <f>IF(OR(B564="",C564=""),"",IFERROR(C564*IFERROR(INDEX(Ingredients!$K$5:$K$304,MATCH(B564,Ingredients!$A$5:$A$304,0)),""),""))</f>
        <v>0</v>
      </c>
      <c r="O564" s="8">
        <f>IF(OR(B564="",C564=""),"",IFERROR(C564*IFERROR(INDEX(Ingredients!$L$5:$L$304,MATCH(B564,Ingredients!$A$5:$A$304,0)),""),""))</f>
        <v>0</v>
      </c>
      <c r="P564" s="8">
        <f>IF(OR(H564="",A564=""),"",IFERROR(H564/SUMIFS('Recipe Ingredients'!$H$5:$H$1204,'Recipe Ingredients'!$A$5:$A$1204,A564),""))</f>
        <v>0</v>
      </c>
      <c r="Q564" s="8">
        <f>IF(H564="","",COUNTIFS($H$5:$H$1204,"&gt;"&amp;H564)+1)</f>
        <v>0</v>
      </c>
      <c r="R564" s="8">
        <f>IF(B564="","",SUMIFS(Pantry!$C$5:$C$304,Pantry!$A$5:$A$304,B564))</f>
        <v>0</v>
      </c>
      <c r="S564" s="8">
        <f>IF(OR(B564="",C564=""),"",MAX(0,C564-R564))</f>
        <v>0</v>
      </c>
      <c r="T564" s="26"/>
      <c r="U564" s="8">
        <f>IF(OR(T564="",T564=0,G564=""),"",T564*G564)</f>
        <v>0</v>
      </c>
      <c r="V564" s="8">
        <f>IF(OR(S564="",T564="",T564=0),"",CEILING(S564/T564,1))</f>
        <v>0</v>
      </c>
      <c r="W564" s="27"/>
      <c r="X564" s="29"/>
      <c r="Y564" s="8">
        <f>IF(OR(C564="",X564=""),"",C564*(1+X564))</f>
        <v>0</v>
      </c>
      <c r="Z564" s="8">
        <f>IF(B564="","",IFERROR(INDEX(Ingredients!$O$5:$O$304,MATCH(B564,Ingredients!$A$5:$A$304,0)),""))</f>
        <v>0</v>
      </c>
      <c r="AA564" s="8">
        <f>IF(B564="","",IF(R564&gt;=C564,"In pantry","To buy"))</f>
        <v>0</v>
      </c>
      <c r="AB564" s="8">
        <f>IF(A564="","",COUNTIFS($A$5:A564,A564))</f>
        <v>0</v>
      </c>
      <c r="AC564" s="8">
        <f>IF(B564="","",IF(COUNTIFS('Dietary Filters'!$C$5:$C$104,B564)&gt;0,"Check","OK"))</f>
        <v>0</v>
      </c>
      <c r="AD564" s="25"/>
    </row>
    <row r="565" spans="1:30">
      <c r="A565" s="7"/>
      <c r="B565" s="7"/>
      <c r="C565" s="26"/>
      <c r="D565" s="27"/>
      <c r="E565" s="8">
        <f>IF(B565="","",IFERROR(INDEX(Ingredients!$B$5:$B$304,MATCH(B565,Ingredients!$A$5:$A$304,0)),""))</f>
        <v>0</v>
      </c>
      <c r="F565" s="8">
        <f>IF(B565="","",IFERROR(INDEX(Ingredients!$E$5:$E$304,MATCH(B565,Ingredients!$A$5:$A$304,0)),""))</f>
        <v>0</v>
      </c>
      <c r="G565" s="8">
        <f>IF(B565="","",IFERROR(INDEX(Ingredients!$D$5:$D$304,MATCH(B565,Ingredients!$A$5:$A$304,0)),""))</f>
        <v>0</v>
      </c>
      <c r="H565" s="8">
        <f>IF(OR(B565="",C565=""),"",IFERROR(C565*G565,""))</f>
        <v>0</v>
      </c>
      <c r="I565" s="8">
        <f>IF(A565="","",IFERROR(INDEX(Recipes!$D$5:$D$204,MATCH(A565,Recipes!$A$5:$A$204,0)),""))</f>
        <v>0</v>
      </c>
      <c r="J565" s="8">
        <f>IF(OR(H565="",I565="",I565=0),"",IFERROR(H565/I565,""))</f>
        <v>0</v>
      </c>
      <c r="K565" s="8">
        <f>IF(OR(B565="",C565=""),"",IFERROR(C565*IFERROR(INDEX(Ingredients!$H$5:$H$304,MATCH(B565,Ingredients!$A$5:$A$304,0)),""),""))</f>
        <v>0</v>
      </c>
      <c r="L565" s="8">
        <f>IF(OR(B565="",C565=""),"",IFERROR(C565*IFERROR(INDEX(Ingredients!$I$5:$I$304,MATCH(B565,Ingredients!$A$5:$A$304,0)),""),""))</f>
        <v>0</v>
      </c>
      <c r="M565" s="8">
        <f>IF(OR(B565="",C565=""),"",IFERROR(C565*IFERROR(INDEX(Ingredients!$J$5:$J$304,MATCH(B565,Ingredients!$A$5:$A$304,0)),""),""))</f>
        <v>0</v>
      </c>
      <c r="N565" s="8">
        <f>IF(OR(B565="",C565=""),"",IFERROR(C565*IFERROR(INDEX(Ingredients!$K$5:$K$304,MATCH(B565,Ingredients!$A$5:$A$304,0)),""),""))</f>
        <v>0</v>
      </c>
      <c r="O565" s="8">
        <f>IF(OR(B565="",C565=""),"",IFERROR(C565*IFERROR(INDEX(Ingredients!$L$5:$L$304,MATCH(B565,Ingredients!$A$5:$A$304,0)),""),""))</f>
        <v>0</v>
      </c>
      <c r="P565" s="8">
        <f>IF(OR(H565="",A565=""),"",IFERROR(H565/SUMIFS('Recipe Ingredients'!$H$5:$H$1204,'Recipe Ingredients'!$A$5:$A$1204,A565),""))</f>
        <v>0</v>
      </c>
      <c r="Q565" s="8">
        <f>IF(H565="","",COUNTIFS($H$5:$H$1204,"&gt;"&amp;H565)+1)</f>
        <v>0</v>
      </c>
      <c r="R565" s="8">
        <f>IF(B565="","",SUMIFS(Pantry!$C$5:$C$304,Pantry!$A$5:$A$304,B565))</f>
        <v>0</v>
      </c>
      <c r="S565" s="8">
        <f>IF(OR(B565="",C565=""),"",MAX(0,C565-R565))</f>
        <v>0</v>
      </c>
      <c r="T565" s="26"/>
      <c r="U565" s="8">
        <f>IF(OR(T565="",T565=0,G565=""),"",T565*G565)</f>
        <v>0</v>
      </c>
      <c r="V565" s="8">
        <f>IF(OR(S565="",T565="",T565=0),"",CEILING(S565/T565,1))</f>
        <v>0</v>
      </c>
      <c r="W565" s="27"/>
      <c r="X565" s="29"/>
      <c r="Y565" s="8">
        <f>IF(OR(C565="",X565=""),"",C565*(1+X565))</f>
        <v>0</v>
      </c>
      <c r="Z565" s="8">
        <f>IF(B565="","",IFERROR(INDEX(Ingredients!$O$5:$O$304,MATCH(B565,Ingredients!$A$5:$A$304,0)),""))</f>
        <v>0</v>
      </c>
      <c r="AA565" s="8">
        <f>IF(B565="","",IF(R565&gt;=C565,"In pantry","To buy"))</f>
        <v>0</v>
      </c>
      <c r="AB565" s="8">
        <f>IF(A565="","",COUNTIFS($A$5:A565,A565))</f>
        <v>0</v>
      </c>
      <c r="AC565" s="8">
        <f>IF(B565="","",IF(COUNTIFS('Dietary Filters'!$C$5:$C$104,B565)&gt;0,"Check","OK"))</f>
        <v>0</v>
      </c>
      <c r="AD565" s="25"/>
    </row>
    <row r="566" spans="1:30">
      <c r="A566" s="7"/>
      <c r="B566" s="7"/>
      <c r="C566" s="26"/>
      <c r="D566" s="27"/>
      <c r="E566" s="8">
        <f>IF(B566="","",IFERROR(INDEX(Ingredients!$B$5:$B$304,MATCH(B566,Ingredients!$A$5:$A$304,0)),""))</f>
        <v>0</v>
      </c>
      <c r="F566" s="8">
        <f>IF(B566="","",IFERROR(INDEX(Ingredients!$E$5:$E$304,MATCH(B566,Ingredients!$A$5:$A$304,0)),""))</f>
        <v>0</v>
      </c>
      <c r="G566" s="8">
        <f>IF(B566="","",IFERROR(INDEX(Ingredients!$D$5:$D$304,MATCH(B566,Ingredients!$A$5:$A$304,0)),""))</f>
        <v>0</v>
      </c>
      <c r="H566" s="8">
        <f>IF(OR(B566="",C566=""),"",IFERROR(C566*G566,""))</f>
        <v>0</v>
      </c>
      <c r="I566" s="8">
        <f>IF(A566="","",IFERROR(INDEX(Recipes!$D$5:$D$204,MATCH(A566,Recipes!$A$5:$A$204,0)),""))</f>
        <v>0</v>
      </c>
      <c r="J566" s="8">
        <f>IF(OR(H566="",I566="",I566=0),"",IFERROR(H566/I566,""))</f>
        <v>0</v>
      </c>
      <c r="K566" s="8">
        <f>IF(OR(B566="",C566=""),"",IFERROR(C566*IFERROR(INDEX(Ingredients!$H$5:$H$304,MATCH(B566,Ingredients!$A$5:$A$304,0)),""),""))</f>
        <v>0</v>
      </c>
      <c r="L566" s="8">
        <f>IF(OR(B566="",C566=""),"",IFERROR(C566*IFERROR(INDEX(Ingredients!$I$5:$I$304,MATCH(B566,Ingredients!$A$5:$A$304,0)),""),""))</f>
        <v>0</v>
      </c>
      <c r="M566" s="8">
        <f>IF(OR(B566="",C566=""),"",IFERROR(C566*IFERROR(INDEX(Ingredients!$J$5:$J$304,MATCH(B566,Ingredients!$A$5:$A$304,0)),""),""))</f>
        <v>0</v>
      </c>
      <c r="N566" s="8">
        <f>IF(OR(B566="",C566=""),"",IFERROR(C566*IFERROR(INDEX(Ingredients!$K$5:$K$304,MATCH(B566,Ingredients!$A$5:$A$304,0)),""),""))</f>
        <v>0</v>
      </c>
      <c r="O566" s="8">
        <f>IF(OR(B566="",C566=""),"",IFERROR(C566*IFERROR(INDEX(Ingredients!$L$5:$L$304,MATCH(B566,Ingredients!$A$5:$A$304,0)),""),""))</f>
        <v>0</v>
      </c>
      <c r="P566" s="8">
        <f>IF(OR(H566="",A566=""),"",IFERROR(H566/SUMIFS('Recipe Ingredients'!$H$5:$H$1204,'Recipe Ingredients'!$A$5:$A$1204,A566),""))</f>
        <v>0</v>
      </c>
      <c r="Q566" s="8">
        <f>IF(H566="","",COUNTIFS($H$5:$H$1204,"&gt;"&amp;H566)+1)</f>
        <v>0</v>
      </c>
      <c r="R566" s="8">
        <f>IF(B566="","",SUMIFS(Pantry!$C$5:$C$304,Pantry!$A$5:$A$304,B566))</f>
        <v>0</v>
      </c>
      <c r="S566" s="8">
        <f>IF(OR(B566="",C566=""),"",MAX(0,C566-R566))</f>
        <v>0</v>
      </c>
      <c r="T566" s="26"/>
      <c r="U566" s="8">
        <f>IF(OR(T566="",T566=0,G566=""),"",T566*G566)</f>
        <v>0</v>
      </c>
      <c r="V566" s="8">
        <f>IF(OR(S566="",T566="",T566=0),"",CEILING(S566/T566,1))</f>
        <v>0</v>
      </c>
      <c r="W566" s="27"/>
      <c r="X566" s="29"/>
      <c r="Y566" s="8">
        <f>IF(OR(C566="",X566=""),"",C566*(1+X566))</f>
        <v>0</v>
      </c>
      <c r="Z566" s="8">
        <f>IF(B566="","",IFERROR(INDEX(Ingredients!$O$5:$O$304,MATCH(B566,Ingredients!$A$5:$A$304,0)),""))</f>
        <v>0</v>
      </c>
      <c r="AA566" s="8">
        <f>IF(B566="","",IF(R566&gt;=C566,"In pantry","To buy"))</f>
        <v>0</v>
      </c>
      <c r="AB566" s="8">
        <f>IF(A566="","",COUNTIFS($A$5:A566,A566))</f>
        <v>0</v>
      </c>
      <c r="AC566" s="8">
        <f>IF(B566="","",IF(COUNTIFS('Dietary Filters'!$C$5:$C$104,B566)&gt;0,"Check","OK"))</f>
        <v>0</v>
      </c>
      <c r="AD566" s="25"/>
    </row>
    <row r="567" spans="1:30">
      <c r="A567" s="7"/>
      <c r="B567" s="7"/>
      <c r="C567" s="26"/>
      <c r="D567" s="27"/>
      <c r="E567" s="8">
        <f>IF(B567="","",IFERROR(INDEX(Ingredients!$B$5:$B$304,MATCH(B567,Ingredients!$A$5:$A$304,0)),""))</f>
        <v>0</v>
      </c>
      <c r="F567" s="8">
        <f>IF(B567="","",IFERROR(INDEX(Ingredients!$E$5:$E$304,MATCH(B567,Ingredients!$A$5:$A$304,0)),""))</f>
        <v>0</v>
      </c>
      <c r="G567" s="8">
        <f>IF(B567="","",IFERROR(INDEX(Ingredients!$D$5:$D$304,MATCH(B567,Ingredients!$A$5:$A$304,0)),""))</f>
        <v>0</v>
      </c>
      <c r="H567" s="8">
        <f>IF(OR(B567="",C567=""),"",IFERROR(C567*G567,""))</f>
        <v>0</v>
      </c>
      <c r="I567" s="8">
        <f>IF(A567="","",IFERROR(INDEX(Recipes!$D$5:$D$204,MATCH(A567,Recipes!$A$5:$A$204,0)),""))</f>
        <v>0</v>
      </c>
      <c r="J567" s="8">
        <f>IF(OR(H567="",I567="",I567=0),"",IFERROR(H567/I567,""))</f>
        <v>0</v>
      </c>
      <c r="K567" s="8">
        <f>IF(OR(B567="",C567=""),"",IFERROR(C567*IFERROR(INDEX(Ingredients!$H$5:$H$304,MATCH(B567,Ingredients!$A$5:$A$304,0)),""),""))</f>
        <v>0</v>
      </c>
      <c r="L567" s="8">
        <f>IF(OR(B567="",C567=""),"",IFERROR(C567*IFERROR(INDEX(Ingredients!$I$5:$I$304,MATCH(B567,Ingredients!$A$5:$A$304,0)),""),""))</f>
        <v>0</v>
      </c>
      <c r="M567" s="8">
        <f>IF(OR(B567="",C567=""),"",IFERROR(C567*IFERROR(INDEX(Ingredients!$J$5:$J$304,MATCH(B567,Ingredients!$A$5:$A$304,0)),""),""))</f>
        <v>0</v>
      </c>
      <c r="N567" s="8">
        <f>IF(OR(B567="",C567=""),"",IFERROR(C567*IFERROR(INDEX(Ingredients!$K$5:$K$304,MATCH(B567,Ingredients!$A$5:$A$304,0)),""),""))</f>
        <v>0</v>
      </c>
      <c r="O567" s="8">
        <f>IF(OR(B567="",C567=""),"",IFERROR(C567*IFERROR(INDEX(Ingredients!$L$5:$L$304,MATCH(B567,Ingredients!$A$5:$A$304,0)),""),""))</f>
        <v>0</v>
      </c>
      <c r="P567" s="8">
        <f>IF(OR(H567="",A567=""),"",IFERROR(H567/SUMIFS('Recipe Ingredients'!$H$5:$H$1204,'Recipe Ingredients'!$A$5:$A$1204,A567),""))</f>
        <v>0</v>
      </c>
      <c r="Q567" s="8">
        <f>IF(H567="","",COUNTIFS($H$5:$H$1204,"&gt;"&amp;H567)+1)</f>
        <v>0</v>
      </c>
      <c r="R567" s="8">
        <f>IF(B567="","",SUMIFS(Pantry!$C$5:$C$304,Pantry!$A$5:$A$304,B567))</f>
        <v>0</v>
      </c>
      <c r="S567" s="8">
        <f>IF(OR(B567="",C567=""),"",MAX(0,C567-R567))</f>
        <v>0</v>
      </c>
      <c r="T567" s="26"/>
      <c r="U567" s="8">
        <f>IF(OR(T567="",T567=0,G567=""),"",T567*G567)</f>
        <v>0</v>
      </c>
      <c r="V567" s="8">
        <f>IF(OR(S567="",T567="",T567=0),"",CEILING(S567/T567,1))</f>
        <v>0</v>
      </c>
      <c r="W567" s="27"/>
      <c r="X567" s="29"/>
      <c r="Y567" s="8">
        <f>IF(OR(C567="",X567=""),"",C567*(1+X567))</f>
        <v>0</v>
      </c>
      <c r="Z567" s="8">
        <f>IF(B567="","",IFERROR(INDEX(Ingredients!$O$5:$O$304,MATCH(B567,Ingredients!$A$5:$A$304,0)),""))</f>
        <v>0</v>
      </c>
      <c r="AA567" s="8">
        <f>IF(B567="","",IF(R567&gt;=C567,"In pantry","To buy"))</f>
        <v>0</v>
      </c>
      <c r="AB567" s="8">
        <f>IF(A567="","",COUNTIFS($A$5:A567,A567))</f>
        <v>0</v>
      </c>
      <c r="AC567" s="8">
        <f>IF(B567="","",IF(COUNTIFS('Dietary Filters'!$C$5:$C$104,B567)&gt;0,"Check","OK"))</f>
        <v>0</v>
      </c>
      <c r="AD567" s="25"/>
    </row>
    <row r="568" spans="1:30">
      <c r="A568" s="7"/>
      <c r="B568" s="7"/>
      <c r="C568" s="26"/>
      <c r="D568" s="27"/>
      <c r="E568" s="8">
        <f>IF(B568="","",IFERROR(INDEX(Ingredients!$B$5:$B$304,MATCH(B568,Ingredients!$A$5:$A$304,0)),""))</f>
        <v>0</v>
      </c>
      <c r="F568" s="8">
        <f>IF(B568="","",IFERROR(INDEX(Ingredients!$E$5:$E$304,MATCH(B568,Ingredients!$A$5:$A$304,0)),""))</f>
        <v>0</v>
      </c>
      <c r="G568" s="8">
        <f>IF(B568="","",IFERROR(INDEX(Ingredients!$D$5:$D$304,MATCH(B568,Ingredients!$A$5:$A$304,0)),""))</f>
        <v>0</v>
      </c>
      <c r="H568" s="8">
        <f>IF(OR(B568="",C568=""),"",IFERROR(C568*G568,""))</f>
        <v>0</v>
      </c>
      <c r="I568" s="8">
        <f>IF(A568="","",IFERROR(INDEX(Recipes!$D$5:$D$204,MATCH(A568,Recipes!$A$5:$A$204,0)),""))</f>
        <v>0</v>
      </c>
      <c r="J568" s="8">
        <f>IF(OR(H568="",I568="",I568=0),"",IFERROR(H568/I568,""))</f>
        <v>0</v>
      </c>
      <c r="K568" s="8">
        <f>IF(OR(B568="",C568=""),"",IFERROR(C568*IFERROR(INDEX(Ingredients!$H$5:$H$304,MATCH(B568,Ingredients!$A$5:$A$304,0)),""),""))</f>
        <v>0</v>
      </c>
      <c r="L568" s="8">
        <f>IF(OR(B568="",C568=""),"",IFERROR(C568*IFERROR(INDEX(Ingredients!$I$5:$I$304,MATCH(B568,Ingredients!$A$5:$A$304,0)),""),""))</f>
        <v>0</v>
      </c>
      <c r="M568" s="8">
        <f>IF(OR(B568="",C568=""),"",IFERROR(C568*IFERROR(INDEX(Ingredients!$J$5:$J$304,MATCH(B568,Ingredients!$A$5:$A$304,0)),""),""))</f>
        <v>0</v>
      </c>
      <c r="N568" s="8">
        <f>IF(OR(B568="",C568=""),"",IFERROR(C568*IFERROR(INDEX(Ingredients!$K$5:$K$304,MATCH(B568,Ingredients!$A$5:$A$304,0)),""),""))</f>
        <v>0</v>
      </c>
      <c r="O568" s="8">
        <f>IF(OR(B568="",C568=""),"",IFERROR(C568*IFERROR(INDEX(Ingredients!$L$5:$L$304,MATCH(B568,Ingredients!$A$5:$A$304,0)),""),""))</f>
        <v>0</v>
      </c>
      <c r="P568" s="8">
        <f>IF(OR(H568="",A568=""),"",IFERROR(H568/SUMIFS('Recipe Ingredients'!$H$5:$H$1204,'Recipe Ingredients'!$A$5:$A$1204,A568),""))</f>
        <v>0</v>
      </c>
      <c r="Q568" s="8">
        <f>IF(H568="","",COUNTIFS($H$5:$H$1204,"&gt;"&amp;H568)+1)</f>
        <v>0</v>
      </c>
      <c r="R568" s="8">
        <f>IF(B568="","",SUMIFS(Pantry!$C$5:$C$304,Pantry!$A$5:$A$304,B568))</f>
        <v>0</v>
      </c>
      <c r="S568" s="8">
        <f>IF(OR(B568="",C568=""),"",MAX(0,C568-R568))</f>
        <v>0</v>
      </c>
      <c r="T568" s="26"/>
      <c r="U568" s="8">
        <f>IF(OR(T568="",T568=0,G568=""),"",T568*G568)</f>
        <v>0</v>
      </c>
      <c r="V568" s="8">
        <f>IF(OR(S568="",T568="",T568=0),"",CEILING(S568/T568,1))</f>
        <v>0</v>
      </c>
      <c r="W568" s="27"/>
      <c r="X568" s="29"/>
      <c r="Y568" s="8">
        <f>IF(OR(C568="",X568=""),"",C568*(1+X568))</f>
        <v>0</v>
      </c>
      <c r="Z568" s="8">
        <f>IF(B568="","",IFERROR(INDEX(Ingredients!$O$5:$O$304,MATCH(B568,Ingredients!$A$5:$A$304,0)),""))</f>
        <v>0</v>
      </c>
      <c r="AA568" s="8">
        <f>IF(B568="","",IF(R568&gt;=C568,"In pantry","To buy"))</f>
        <v>0</v>
      </c>
      <c r="AB568" s="8">
        <f>IF(A568="","",COUNTIFS($A$5:A568,A568))</f>
        <v>0</v>
      </c>
      <c r="AC568" s="8">
        <f>IF(B568="","",IF(COUNTIFS('Dietary Filters'!$C$5:$C$104,B568)&gt;0,"Check","OK"))</f>
        <v>0</v>
      </c>
      <c r="AD568" s="25"/>
    </row>
    <row r="569" spans="1:30">
      <c r="A569" s="7"/>
      <c r="B569" s="7"/>
      <c r="C569" s="26"/>
      <c r="D569" s="27"/>
      <c r="E569" s="8">
        <f>IF(B569="","",IFERROR(INDEX(Ingredients!$B$5:$B$304,MATCH(B569,Ingredients!$A$5:$A$304,0)),""))</f>
        <v>0</v>
      </c>
      <c r="F569" s="8">
        <f>IF(B569="","",IFERROR(INDEX(Ingredients!$E$5:$E$304,MATCH(B569,Ingredients!$A$5:$A$304,0)),""))</f>
        <v>0</v>
      </c>
      <c r="G569" s="8">
        <f>IF(B569="","",IFERROR(INDEX(Ingredients!$D$5:$D$304,MATCH(B569,Ingredients!$A$5:$A$304,0)),""))</f>
        <v>0</v>
      </c>
      <c r="H569" s="8">
        <f>IF(OR(B569="",C569=""),"",IFERROR(C569*G569,""))</f>
        <v>0</v>
      </c>
      <c r="I569" s="8">
        <f>IF(A569="","",IFERROR(INDEX(Recipes!$D$5:$D$204,MATCH(A569,Recipes!$A$5:$A$204,0)),""))</f>
        <v>0</v>
      </c>
      <c r="J569" s="8">
        <f>IF(OR(H569="",I569="",I569=0),"",IFERROR(H569/I569,""))</f>
        <v>0</v>
      </c>
      <c r="K569" s="8">
        <f>IF(OR(B569="",C569=""),"",IFERROR(C569*IFERROR(INDEX(Ingredients!$H$5:$H$304,MATCH(B569,Ingredients!$A$5:$A$304,0)),""),""))</f>
        <v>0</v>
      </c>
      <c r="L569" s="8">
        <f>IF(OR(B569="",C569=""),"",IFERROR(C569*IFERROR(INDEX(Ingredients!$I$5:$I$304,MATCH(B569,Ingredients!$A$5:$A$304,0)),""),""))</f>
        <v>0</v>
      </c>
      <c r="M569" s="8">
        <f>IF(OR(B569="",C569=""),"",IFERROR(C569*IFERROR(INDEX(Ingredients!$J$5:$J$304,MATCH(B569,Ingredients!$A$5:$A$304,0)),""),""))</f>
        <v>0</v>
      </c>
      <c r="N569" s="8">
        <f>IF(OR(B569="",C569=""),"",IFERROR(C569*IFERROR(INDEX(Ingredients!$K$5:$K$304,MATCH(B569,Ingredients!$A$5:$A$304,0)),""),""))</f>
        <v>0</v>
      </c>
      <c r="O569" s="8">
        <f>IF(OR(B569="",C569=""),"",IFERROR(C569*IFERROR(INDEX(Ingredients!$L$5:$L$304,MATCH(B569,Ingredients!$A$5:$A$304,0)),""),""))</f>
        <v>0</v>
      </c>
      <c r="P569" s="8">
        <f>IF(OR(H569="",A569=""),"",IFERROR(H569/SUMIFS('Recipe Ingredients'!$H$5:$H$1204,'Recipe Ingredients'!$A$5:$A$1204,A569),""))</f>
        <v>0</v>
      </c>
      <c r="Q569" s="8">
        <f>IF(H569="","",COUNTIFS($H$5:$H$1204,"&gt;"&amp;H569)+1)</f>
        <v>0</v>
      </c>
      <c r="R569" s="8">
        <f>IF(B569="","",SUMIFS(Pantry!$C$5:$C$304,Pantry!$A$5:$A$304,B569))</f>
        <v>0</v>
      </c>
      <c r="S569" s="8">
        <f>IF(OR(B569="",C569=""),"",MAX(0,C569-R569))</f>
        <v>0</v>
      </c>
      <c r="T569" s="26"/>
      <c r="U569" s="8">
        <f>IF(OR(T569="",T569=0,G569=""),"",T569*G569)</f>
        <v>0</v>
      </c>
      <c r="V569" s="8">
        <f>IF(OR(S569="",T569="",T569=0),"",CEILING(S569/T569,1))</f>
        <v>0</v>
      </c>
      <c r="W569" s="27"/>
      <c r="X569" s="29"/>
      <c r="Y569" s="8">
        <f>IF(OR(C569="",X569=""),"",C569*(1+X569))</f>
        <v>0</v>
      </c>
      <c r="Z569" s="8">
        <f>IF(B569="","",IFERROR(INDEX(Ingredients!$O$5:$O$304,MATCH(B569,Ingredients!$A$5:$A$304,0)),""))</f>
        <v>0</v>
      </c>
      <c r="AA569" s="8">
        <f>IF(B569="","",IF(R569&gt;=C569,"In pantry","To buy"))</f>
        <v>0</v>
      </c>
      <c r="AB569" s="8">
        <f>IF(A569="","",COUNTIFS($A$5:A569,A569))</f>
        <v>0</v>
      </c>
      <c r="AC569" s="8">
        <f>IF(B569="","",IF(COUNTIFS('Dietary Filters'!$C$5:$C$104,B569)&gt;0,"Check","OK"))</f>
        <v>0</v>
      </c>
      <c r="AD569" s="25"/>
    </row>
    <row r="570" spans="1:30">
      <c r="A570" s="7"/>
      <c r="B570" s="7"/>
      <c r="C570" s="26"/>
      <c r="D570" s="27"/>
      <c r="E570" s="8">
        <f>IF(B570="","",IFERROR(INDEX(Ingredients!$B$5:$B$304,MATCH(B570,Ingredients!$A$5:$A$304,0)),""))</f>
        <v>0</v>
      </c>
      <c r="F570" s="8">
        <f>IF(B570="","",IFERROR(INDEX(Ingredients!$E$5:$E$304,MATCH(B570,Ingredients!$A$5:$A$304,0)),""))</f>
        <v>0</v>
      </c>
      <c r="G570" s="8">
        <f>IF(B570="","",IFERROR(INDEX(Ingredients!$D$5:$D$304,MATCH(B570,Ingredients!$A$5:$A$304,0)),""))</f>
        <v>0</v>
      </c>
      <c r="H570" s="8">
        <f>IF(OR(B570="",C570=""),"",IFERROR(C570*G570,""))</f>
        <v>0</v>
      </c>
      <c r="I570" s="8">
        <f>IF(A570="","",IFERROR(INDEX(Recipes!$D$5:$D$204,MATCH(A570,Recipes!$A$5:$A$204,0)),""))</f>
        <v>0</v>
      </c>
      <c r="J570" s="8">
        <f>IF(OR(H570="",I570="",I570=0),"",IFERROR(H570/I570,""))</f>
        <v>0</v>
      </c>
      <c r="K570" s="8">
        <f>IF(OR(B570="",C570=""),"",IFERROR(C570*IFERROR(INDEX(Ingredients!$H$5:$H$304,MATCH(B570,Ingredients!$A$5:$A$304,0)),""),""))</f>
        <v>0</v>
      </c>
      <c r="L570" s="8">
        <f>IF(OR(B570="",C570=""),"",IFERROR(C570*IFERROR(INDEX(Ingredients!$I$5:$I$304,MATCH(B570,Ingredients!$A$5:$A$304,0)),""),""))</f>
        <v>0</v>
      </c>
      <c r="M570" s="8">
        <f>IF(OR(B570="",C570=""),"",IFERROR(C570*IFERROR(INDEX(Ingredients!$J$5:$J$304,MATCH(B570,Ingredients!$A$5:$A$304,0)),""),""))</f>
        <v>0</v>
      </c>
      <c r="N570" s="8">
        <f>IF(OR(B570="",C570=""),"",IFERROR(C570*IFERROR(INDEX(Ingredients!$K$5:$K$304,MATCH(B570,Ingredients!$A$5:$A$304,0)),""),""))</f>
        <v>0</v>
      </c>
      <c r="O570" s="8">
        <f>IF(OR(B570="",C570=""),"",IFERROR(C570*IFERROR(INDEX(Ingredients!$L$5:$L$304,MATCH(B570,Ingredients!$A$5:$A$304,0)),""),""))</f>
        <v>0</v>
      </c>
      <c r="P570" s="8">
        <f>IF(OR(H570="",A570=""),"",IFERROR(H570/SUMIFS('Recipe Ingredients'!$H$5:$H$1204,'Recipe Ingredients'!$A$5:$A$1204,A570),""))</f>
        <v>0</v>
      </c>
      <c r="Q570" s="8">
        <f>IF(H570="","",COUNTIFS($H$5:$H$1204,"&gt;"&amp;H570)+1)</f>
        <v>0</v>
      </c>
      <c r="R570" s="8">
        <f>IF(B570="","",SUMIFS(Pantry!$C$5:$C$304,Pantry!$A$5:$A$304,B570))</f>
        <v>0</v>
      </c>
      <c r="S570" s="8">
        <f>IF(OR(B570="",C570=""),"",MAX(0,C570-R570))</f>
        <v>0</v>
      </c>
      <c r="T570" s="26"/>
      <c r="U570" s="8">
        <f>IF(OR(T570="",T570=0,G570=""),"",T570*G570)</f>
        <v>0</v>
      </c>
      <c r="V570" s="8">
        <f>IF(OR(S570="",T570="",T570=0),"",CEILING(S570/T570,1))</f>
        <v>0</v>
      </c>
      <c r="W570" s="27"/>
      <c r="X570" s="29"/>
      <c r="Y570" s="8">
        <f>IF(OR(C570="",X570=""),"",C570*(1+X570))</f>
        <v>0</v>
      </c>
      <c r="Z570" s="8">
        <f>IF(B570="","",IFERROR(INDEX(Ingredients!$O$5:$O$304,MATCH(B570,Ingredients!$A$5:$A$304,0)),""))</f>
        <v>0</v>
      </c>
      <c r="AA570" s="8">
        <f>IF(B570="","",IF(R570&gt;=C570,"In pantry","To buy"))</f>
        <v>0</v>
      </c>
      <c r="AB570" s="8">
        <f>IF(A570="","",COUNTIFS($A$5:A570,A570))</f>
        <v>0</v>
      </c>
      <c r="AC570" s="8">
        <f>IF(B570="","",IF(COUNTIFS('Dietary Filters'!$C$5:$C$104,B570)&gt;0,"Check","OK"))</f>
        <v>0</v>
      </c>
      <c r="AD570" s="25"/>
    </row>
    <row r="571" spans="1:30">
      <c r="A571" s="7"/>
      <c r="B571" s="7"/>
      <c r="C571" s="26"/>
      <c r="D571" s="27"/>
      <c r="E571" s="8">
        <f>IF(B571="","",IFERROR(INDEX(Ingredients!$B$5:$B$304,MATCH(B571,Ingredients!$A$5:$A$304,0)),""))</f>
        <v>0</v>
      </c>
      <c r="F571" s="8">
        <f>IF(B571="","",IFERROR(INDEX(Ingredients!$E$5:$E$304,MATCH(B571,Ingredients!$A$5:$A$304,0)),""))</f>
        <v>0</v>
      </c>
      <c r="G571" s="8">
        <f>IF(B571="","",IFERROR(INDEX(Ingredients!$D$5:$D$304,MATCH(B571,Ingredients!$A$5:$A$304,0)),""))</f>
        <v>0</v>
      </c>
      <c r="H571" s="8">
        <f>IF(OR(B571="",C571=""),"",IFERROR(C571*G571,""))</f>
        <v>0</v>
      </c>
      <c r="I571" s="8">
        <f>IF(A571="","",IFERROR(INDEX(Recipes!$D$5:$D$204,MATCH(A571,Recipes!$A$5:$A$204,0)),""))</f>
        <v>0</v>
      </c>
      <c r="J571" s="8">
        <f>IF(OR(H571="",I571="",I571=0),"",IFERROR(H571/I571,""))</f>
        <v>0</v>
      </c>
      <c r="K571" s="8">
        <f>IF(OR(B571="",C571=""),"",IFERROR(C571*IFERROR(INDEX(Ingredients!$H$5:$H$304,MATCH(B571,Ingredients!$A$5:$A$304,0)),""),""))</f>
        <v>0</v>
      </c>
      <c r="L571" s="8">
        <f>IF(OR(B571="",C571=""),"",IFERROR(C571*IFERROR(INDEX(Ingredients!$I$5:$I$304,MATCH(B571,Ingredients!$A$5:$A$304,0)),""),""))</f>
        <v>0</v>
      </c>
      <c r="M571" s="8">
        <f>IF(OR(B571="",C571=""),"",IFERROR(C571*IFERROR(INDEX(Ingredients!$J$5:$J$304,MATCH(B571,Ingredients!$A$5:$A$304,0)),""),""))</f>
        <v>0</v>
      </c>
      <c r="N571" s="8">
        <f>IF(OR(B571="",C571=""),"",IFERROR(C571*IFERROR(INDEX(Ingredients!$K$5:$K$304,MATCH(B571,Ingredients!$A$5:$A$304,0)),""),""))</f>
        <v>0</v>
      </c>
      <c r="O571" s="8">
        <f>IF(OR(B571="",C571=""),"",IFERROR(C571*IFERROR(INDEX(Ingredients!$L$5:$L$304,MATCH(B571,Ingredients!$A$5:$A$304,0)),""),""))</f>
        <v>0</v>
      </c>
      <c r="P571" s="8">
        <f>IF(OR(H571="",A571=""),"",IFERROR(H571/SUMIFS('Recipe Ingredients'!$H$5:$H$1204,'Recipe Ingredients'!$A$5:$A$1204,A571),""))</f>
        <v>0</v>
      </c>
      <c r="Q571" s="8">
        <f>IF(H571="","",COUNTIFS($H$5:$H$1204,"&gt;"&amp;H571)+1)</f>
        <v>0</v>
      </c>
      <c r="R571" s="8">
        <f>IF(B571="","",SUMIFS(Pantry!$C$5:$C$304,Pantry!$A$5:$A$304,B571))</f>
        <v>0</v>
      </c>
      <c r="S571" s="8">
        <f>IF(OR(B571="",C571=""),"",MAX(0,C571-R571))</f>
        <v>0</v>
      </c>
      <c r="T571" s="26"/>
      <c r="U571" s="8">
        <f>IF(OR(T571="",T571=0,G571=""),"",T571*G571)</f>
        <v>0</v>
      </c>
      <c r="V571" s="8">
        <f>IF(OR(S571="",T571="",T571=0),"",CEILING(S571/T571,1))</f>
        <v>0</v>
      </c>
      <c r="W571" s="27"/>
      <c r="X571" s="29"/>
      <c r="Y571" s="8">
        <f>IF(OR(C571="",X571=""),"",C571*(1+X571))</f>
        <v>0</v>
      </c>
      <c r="Z571" s="8">
        <f>IF(B571="","",IFERROR(INDEX(Ingredients!$O$5:$O$304,MATCH(B571,Ingredients!$A$5:$A$304,0)),""))</f>
        <v>0</v>
      </c>
      <c r="AA571" s="8">
        <f>IF(B571="","",IF(R571&gt;=C571,"In pantry","To buy"))</f>
        <v>0</v>
      </c>
      <c r="AB571" s="8">
        <f>IF(A571="","",COUNTIFS($A$5:A571,A571))</f>
        <v>0</v>
      </c>
      <c r="AC571" s="8">
        <f>IF(B571="","",IF(COUNTIFS('Dietary Filters'!$C$5:$C$104,B571)&gt;0,"Check","OK"))</f>
        <v>0</v>
      </c>
      <c r="AD571" s="25"/>
    </row>
    <row r="572" spans="1:30">
      <c r="A572" s="7"/>
      <c r="B572" s="7"/>
      <c r="C572" s="26"/>
      <c r="D572" s="27"/>
      <c r="E572" s="8">
        <f>IF(B572="","",IFERROR(INDEX(Ingredients!$B$5:$B$304,MATCH(B572,Ingredients!$A$5:$A$304,0)),""))</f>
        <v>0</v>
      </c>
      <c r="F572" s="8">
        <f>IF(B572="","",IFERROR(INDEX(Ingredients!$E$5:$E$304,MATCH(B572,Ingredients!$A$5:$A$304,0)),""))</f>
        <v>0</v>
      </c>
      <c r="G572" s="8">
        <f>IF(B572="","",IFERROR(INDEX(Ingredients!$D$5:$D$304,MATCH(B572,Ingredients!$A$5:$A$304,0)),""))</f>
        <v>0</v>
      </c>
      <c r="H572" s="8">
        <f>IF(OR(B572="",C572=""),"",IFERROR(C572*G572,""))</f>
        <v>0</v>
      </c>
      <c r="I572" s="8">
        <f>IF(A572="","",IFERROR(INDEX(Recipes!$D$5:$D$204,MATCH(A572,Recipes!$A$5:$A$204,0)),""))</f>
        <v>0</v>
      </c>
      <c r="J572" s="8">
        <f>IF(OR(H572="",I572="",I572=0),"",IFERROR(H572/I572,""))</f>
        <v>0</v>
      </c>
      <c r="K572" s="8">
        <f>IF(OR(B572="",C572=""),"",IFERROR(C572*IFERROR(INDEX(Ingredients!$H$5:$H$304,MATCH(B572,Ingredients!$A$5:$A$304,0)),""),""))</f>
        <v>0</v>
      </c>
      <c r="L572" s="8">
        <f>IF(OR(B572="",C572=""),"",IFERROR(C572*IFERROR(INDEX(Ingredients!$I$5:$I$304,MATCH(B572,Ingredients!$A$5:$A$304,0)),""),""))</f>
        <v>0</v>
      </c>
      <c r="M572" s="8">
        <f>IF(OR(B572="",C572=""),"",IFERROR(C572*IFERROR(INDEX(Ingredients!$J$5:$J$304,MATCH(B572,Ingredients!$A$5:$A$304,0)),""),""))</f>
        <v>0</v>
      </c>
      <c r="N572" s="8">
        <f>IF(OR(B572="",C572=""),"",IFERROR(C572*IFERROR(INDEX(Ingredients!$K$5:$K$304,MATCH(B572,Ingredients!$A$5:$A$304,0)),""),""))</f>
        <v>0</v>
      </c>
      <c r="O572" s="8">
        <f>IF(OR(B572="",C572=""),"",IFERROR(C572*IFERROR(INDEX(Ingredients!$L$5:$L$304,MATCH(B572,Ingredients!$A$5:$A$304,0)),""),""))</f>
        <v>0</v>
      </c>
      <c r="P572" s="8">
        <f>IF(OR(H572="",A572=""),"",IFERROR(H572/SUMIFS('Recipe Ingredients'!$H$5:$H$1204,'Recipe Ingredients'!$A$5:$A$1204,A572),""))</f>
        <v>0</v>
      </c>
      <c r="Q572" s="8">
        <f>IF(H572="","",COUNTIFS($H$5:$H$1204,"&gt;"&amp;H572)+1)</f>
        <v>0</v>
      </c>
      <c r="R572" s="8">
        <f>IF(B572="","",SUMIFS(Pantry!$C$5:$C$304,Pantry!$A$5:$A$304,B572))</f>
        <v>0</v>
      </c>
      <c r="S572" s="8">
        <f>IF(OR(B572="",C572=""),"",MAX(0,C572-R572))</f>
        <v>0</v>
      </c>
      <c r="T572" s="26"/>
      <c r="U572" s="8">
        <f>IF(OR(T572="",T572=0,G572=""),"",T572*G572)</f>
        <v>0</v>
      </c>
      <c r="V572" s="8">
        <f>IF(OR(S572="",T572="",T572=0),"",CEILING(S572/T572,1))</f>
        <v>0</v>
      </c>
      <c r="W572" s="27"/>
      <c r="X572" s="29"/>
      <c r="Y572" s="8">
        <f>IF(OR(C572="",X572=""),"",C572*(1+X572))</f>
        <v>0</v>
      </c>
      <c r="Z572" s="8">
        <f>IF(B572="","",IFERROR(INDEX(Ingredients!$O$5:$O$304,MATCH(B572,Ingredients!$A$5:$A$304,0)),""))</f>
        <v>0</v>
      </c>
      <c r="AA572" s="8">
        <f>IF(B572="","",IF(R572&gt;=C572,"In pantry","To buy"))</f>
        <v>0</v>
      </c>
      <c r="AB572" s="8">
        <f>IF(A572="","",COUNTIFS($A$5:A572,A572))</f>
        <v>0</v>
      </c>
      <c r="AC572" s="8">
        <f>IF(B572="","",IF(COUNTIFS('Dietary Filters'!$C$5:$C$104,B572)&gt;0,"Check","OK"))</f>
        <v>0</v>
      </c>
      <c r="AD572" s="25"/>
    </row>
    <row r="573" spans="1:30">
      <c r="A573" s="7"/>
      <c r="B573" s="7"/>
      <c r="C573" s="26"/>
      <c r="D573" s="27"/>
      <c r="E573" s="8">
        <f>IF(B573="","",IFERROR(INDEX(Ingredients!$B$5:$B$304,MATCH(B573,Ingredients!$A$5:$A$304,0)),""))</f>
        <v>0</v>
      </c>
      <c r="F573" s="8">
        <f>IF(B573="","",IFERROR(INDEX(Ingredients!$E$5:$E$304,MATCH(B573,Ingredients!$A$5:$A$304,0)),""))</f>
        <v>0</v>
      </c>
      <c r="G573" s="8">
        <f>IF(B573="","",IFERROR(INDEX(Ingredients!$D$5:$D$304,MATCH(B573,Ingredients!$A$5:$A$304,0)),""))</f>
        <v>0</v>
      </c>
      <c r="H573" s="8">
        <f>IF(OR(B573="",C573=""),"",IFERROR(C573*G573,""))</f>
        <v>0</v>
      </c>
      <c r="I573" s="8">
        <f>IF(A573="","",IFERROR(INDEX(Recipes!$D$5:$D$204,MATCH(A573,Recipes!$A$5:$A$204,0)),""))</f>
        <v>0</v>
      </c>
      <c r="J573" s="8">
        <f>IF(OR(H573="",I573="",I573=0),"",IFERROR(H573/I573,""))</f>
        <v>0</v>
      </c>
      <c r="K573" s="8">
        <f>IF(OR(B573="",C573=""),"",IFERROR(C573*IFERROR(INDEX(Ingredients!$H$5:$H$304,MATCH(B573,Ingredients!$A$5:$A$304,0)),""),""))</f>
        <v>0</v>
      </c>
      <c r="L573" s="8">
        <f>IF(OR(B573="",C573=""),"",IFERROR(C573*IFERROR(INDEX(Ingredients!$I$5:$I$304,MATCH(B573,Ingredients!$A$5:$A$304,0)),""),""))</f>
        <v>0</v>
      </c>
      <c r="M573" s="8">
        <f>IF(OR(B573="",C573=""),"",IFERROR(C573*IFERROR(INDEX(Ingredients!$J$5:$J$304,MATCH(B573,Ingredients!$A$5:$A$304,0)),""),""))</f>
        <v>0</v>
      </c>
      <c r="N573" s="8">
        <f>IF(OR(B573="",C573=""),"",IFERROR(C573*IFERROR(INDEX(Ingredients!$K$5:$K$304,MATCH(B573,Ingredients!$A$5:$A$304,0)),""),""))</f>
        <v>0</v>
      </c>
      <c r="O573" s="8">
        <f>IF(OR(B573="",C573=""),"",IFERROR(C573*IFERROR(INDEX(Ingredients!$L$5:$L$304,MATCH(B573,Ingredients!$A$5:$A$304,0)),""),""))</f>
        <v>0</v>
      </c>
      <c r="P573" s="8">
        <f>IF(OR(H573="",A573=""),"",IFERROR(H573/SUMIFS('Recipe Ingredients'!$H$5:$H$1204,'Recipe Ingredients'!$A$5:$A$1204,A573),""))</f>
        <v>0</v>
      </c>
      <c r="Q573" s="8">
        <f>IF(H573="","",COUNTIFS($H$5:$H$1204,"&gt;"&amp;H573)+1)</f>
        <v>0</v>
      </c>
      <c r="R573" s="8">
        <f>IF(B573="","",SUMIFS(Pantry!$C$5:$C$304,Pantry!$A$5:$A$304,B573))</f>
        <v>0</v>
      </c>
      <c r="S573" s="8">
        <f>IF(OR(B573="",C573=""),"",MAX(0,C573-R573))</f>
        <v>0</v>
      </c>
      <c r="T573" s="26"/>
      <c r="U573" s="8">
        <f>IF(OR(T573="",T573=0,G573=""),"",T573*G573)</f>
        <v>0</v>
      </c>
      <c r="V573" s="8">
        <f>IF(OR(S573="",T573="",T573=0),"",CEILING(S573/T573,1))</f>
        <v>0</v>
      </c>
      <c r="W573" s="27"/>
      <c r="X573" s="29"/>
      <c r="Y573" s="8">
        <f>IF(OR(C573="",X573=""),"",C573*(1+X573))</f>
        <v>0</v>
      </c>
      <c r="Z573" s="8">
        <f>IF(B573="","",IFERROR(INDEX(Ingredients!$O$5:$O$304,MATCH(B573,Ingredients!$A$5:$A$304,0)),""))</f>
        <v>0</v>
      </c>
      <c r="AA573" s="8">
        <f>IF(B573="","",IF(R573&gt;=C573,"In pantry","To buy"))</f>
        <v>0</v>
      </c>
      <c r="AB573" s="8">
        <f>IF(A573="","",COUNTIFS($A$5:A573,A573))</f>
        <v>0</v>
      </c>
      <c r="AC573" s="8">
        <f>IF(B573="","",IF(COUNTIFS('Dietary Filters'!$C$5:$C$104,B573)&gt;0,"Check","OK"))</f>
        <v>0</v>
      </c>
      <c r="AD573" s="25"/>
    </row>
    <row r="574" spans="1:30">
      <c r="A574" s="7"/>
      <c r="B574" s="7"/>
      <c r="C574" s="26"/>
      <c r="D574" s="27"/>
      <c r="E574" s="8">
        <f>IF(B574="","",IFERROR(INDEX(Ingredients!$B$5:$B$304,MATCH(B574,Ingredients!$A$5:$A$304,0)),""))</f>
        <v>0</v>
      </c>
      <c r="F574" s="8">
        <f>IF(B574="","",IFERROR(INDEX(Ingredients!$E$5:$E$304,MATCH(B574,Ingredients!$A$5:$A$304,0)),""))</f>
        <v>0</v>
      </c>
      <c r="G574" s="8">
        <f>IF(B574="","",IFERROR(INDEX(Ingredients!$D$5:$D$304,MATCH(B574,Ingredients!$A$5:$A$304,0)),""))</f>
        <v>0</v>
      </c>
      <c r="H574" s="8">
        <f>IF(OR(B574="",C574=""),"",IFERROR(C574*G574,""))</f>
        <v>0</v>
      </c>
      <c r="I574" s="8">
        <f>IF(A574="","",IFERROR(INDEX(Recipes!$D$5:$D$204,MATCH(A574,Recipes!$A$5:$A$204,0)),""))</f>
        <v>0</v>
      </c>
      <c r="J574" s="8">
        <f>IF(OR(H574="",I574="",I574=0),"",IFERROR(H574/I574,""))</f>
        <v>0</v>
      </c>
      <c r="K574" s="8">
        <f>IF(OR(B574="",C574=""),"",IFERROR(C574*IFERROR(INDEX(Ingredients!$H$5:$H$304,MATCH(B574,Ingredients!$A$5:$A$304,0)),""),""))</f>
        <v>0</v>
      </c>
      <c r="L574" s="8">
        <f>IF(OR(B574="",C574=""),"",IFERROR(C574*IFERROR(INDEX(Ingredients!$I$5:$I$304,MATCH(B574,Ingredients!$A$5:$A$304,0)),""),""))</f>
        <v>0</v>
      </c>
      <c r="M574" s="8">
        <f>IF(OR(B574="",C574=""),"",IFERROR(C574*IFERROR(INDEX(Ingredients!$J$5:$J$304,MATCH(B574,Ingredients!$A$5:$A$304,0)),""),""))</f>
        <v>0</v>
      </c>
      <c r="N574" s="8">
        <f>IF(OR(B574="",C574=""),"",IFERROR(C574*IFERROR(INDEX(Ingredients!$K$5:$K$304,MATCH(B574,Ingredients!$A$5:$A$304,0)),""),""))</f>
        <v>0</v>
      </c>
      <c r="O574" s="8">
        <f>IF(OR(B574="",C574=""),"",IFERROR(C574*IFERROR(INDEX(Ingredients!$L$5:$L$304,MATCH(B574,Ingredients!$A$5:$A$304,0)),""),""))</f>
        <v>0</v>
      </c>
      <c r="P574" s="8">
        <f>IF(OR(H574="",A574=""),"",IFERROR(H574/SUMIFS('Recipe Ingredients'!$H$5:$H$1204,'Recipe Ingredients'!$A$5:$A$1204,A574),""))</f>
        <v>0</v>
      </c>
      <c r="Q574" s="8">
        <f>IF(H574="","",COUNTIFS($H$5:$H$1204,"&gt;"&amp;H574)+1)</f>
        <v>0</v>
      </c>
      <c r="R574" s="8">
        <f>IF(B574="","",SUMIFS(Pantry!$C$5:$C$304,Pantry!$A$5:$A$304,B574))</f>
        <v>0</v>
      </c>
      <c r="S574" s="8">
        <f>IF(OR(B574="",C574=""),"",MAX(0,C574-R574))</f>
        <v>0</v>
      </c>
      <c r="T574" s="26"/>
      <c r="U574" s="8">
        <f>IF(OR(T574="",T574=0,G574=""),"",T574*G574)</f>
        <v>0</v>
      </c>
      <c r="V574" s="8">
        <f>IF(OR(S574="",T574="",T574=0),"",CEILING(S574/T574,1))</f>
        <v>0</v>
      </c>
      <c r="W574" s="27"/>
      <c r="X574" s="29"/>
      <c r="Y574" s="8">
        <f>IF(OR(C574="",X574=""),"",C574*(1+X574))</f>
        <v>0</v>
      </c>
      <c r="Z574" s="8">
        <f>IF(B574="","",IFERROR(INDEX(Ingredients!$O$5:$O$304,MATCH(B574,Ingredients!$A$5:$A$304,0)),""))</f>
        <v>0</v>
      </c>
      <c r="AA574" s="8">
        <f>IF(B574="","",IF(R574&gt;=C574,"In pantry","To buy"))</f>
        <v>0</v>
      </c>
      <c r="AB574" s="8">
        <f>IF(A574="","",COUNTIFS($A$5:A574,A574))</f>
        <v>0</v>
      </c>
      <c r="AC574" s="8">
        <f>IF(B574="","",IF(COUNTIFS('Dietary Filters'!$C$5:$C$104,B574)&gt;0,"Check","OK"))</f>
        <v>0</v>
      </c>
      <c r="AD574" s="25"/>
    </row>
    <row r="575" spans="1:30">
      <c r="A575" s="7"/>
      <c r="B575" s="7"/>
      <c r="C575" s="26"/>
      <c r="D575" s="27"/>
      <c r="E575" s="8">
        <f>IF(B575="","",IFERROR(INDEX(Ingredients!$B$5:$B$304,MATCH(B575,Ingredients!$A$5:$A$304,0)),""))</f>
        <v>0</v>
      </c>
      <c r="F575" s="8">
        <f>IF(B575="","",IFERROR(INDEX(Ingredients!$E$5:$E$304,MATCH(B575,Ingredients!$A$5:$A$304,0)),""))</f>
        <v>0</v>
      </c>
      <c r="G575" s="8">
        <f>IF(B575="","",IFERROR(INDEX(Ingredients!$D$5:$D$304,MATCH(B575,Ingredients!$A$5:$A$304,0)),""))</f>
        <v>0</v>
      </c>
      <c r="H575" s="8">
        <f>IF(OR(B575="",C575=""),"",IFERROR(C575*G575,""))</f>
        <v>0</v>
      </c>
      <c r="I575" s="8">
        <f>IF(A575="","",IFERROR(INDEX(Recipes!$D$5:$D$204,MATCH(A575,Recipes!$A$5:$A$204,0)),""))</f>
        <v>0</v>
      </c>
      <c r="J575" s="8">
        <f>IF(OR(H575="",I575="",I575=0),"",IFERROR(H575/I575,""))</f>
        <v>0</v>
      </c>
      <c r="K575" s="8">
        <f>IF(OR(B575="",C575=""),"",IFERROR(C575*IFERROR(INDEX(Ingredients!$H$5:$H$304,MATCH(B575,Ingredients!$A$5:$A$304,0)),""),""))</f>
        <v>0</v>
      </c>
      <c r="L575" s="8">
        <f>IF(OR(B575="",C575=""),"",IFERROR(C575*IFERROR(INDEX(Ingredients!$I$5:$I$304,MATCH(B575,Ingredients!$A$5:$A$304,0)),""),""))</f>
        <v>0</v>
      </c>
      <c r="M575" s="8">
        <f>IF(OR(B575="",C575=""),"",IFERROR(C575*IFERROR(INDEX(Ingredients!$J$5:$J$304,MATCH(B575,Ingredients!$A$5:$A$304,0)),""),""))</f>
        <v>0</v>
      </c>
      <c r="N575" s="8">
        <f>IF(OR(B575="",C575=""),"",IFERROR(C575*IFERROR(INDEX(Ingredients!$K$5:$K$304,MATCH(B575,Ingredients!$A$5:$A$304,0)),""),""))</f>
        <v>0</v>
      </c>
      <c r="O575" s="8">
        <f>IF(OR(B575="",C575=""),"",IFERROR(C575*IFERROR(INDEX(Ingredients!$L$5:$L$304,MATCH(B575,Ingredients!$A$5:$A$304,0)),""),""))</f>
        <v>0</v>
      </c>
      <c r="P575" s="8">
        <f>IF(OR(H575="",A575=""),"",IFERROR(H575/SUMIFS('Recipe Ingredients'!$H$5:$H$1204,'Recipe Ingredients'!$A$5:$A$1204,A575),""))</f>
        <v>0</v>
      </c>
      <c r="Q575" s="8">
        <f>IF(H575="","",COUNTIFS($H$5:$H$1204,"&gt;"&amp;H575)+1)</f>
        <v>0</v>
      </c>
      <c r="R575" s="8">
        <f>IF(B575="","",SUMIFS(Pantry!$C$5:$C$304,Pantry!$A$5:$A$304,B575))</f>
        <v>0</v>
      </c>
      <c r="S575" s="8">
        <f>IF(OR(B575="",C575=""),"",MAX(0,C575-R575))</f>
        <v>0</v>
      </c>
      <c r="T575" s="26"/>
      <c r="U575" s="8">
        <f>IF(OR(T575="",T575=0,G575=""),"",T575*G575)</f>
        <v>0</v>
      </c>
      <c r="V575" s="8">
        <f>IF(OR(S575="",T575="",T575=0),"",CEILING(S575/T575,1))</f>
        <v>0</v>
      </c>
      <c r="W575" s="27"/>
      <c r="X575" s="29"/>
      <c r="Y575" s="8">
        <f>IF(OR(C575="",X575=""),"",C575*(1+X575))</f>
        <v>0</v>
      </c>
      <c r="Z575" s="8">
        <f>IF(B575="","",IFERROR(INDEX(Ingredients!$O$5:$O$304,MATCH(B575,Ingredients!$A$5:$A$304,0)),""))</f>
        <v>0</v>
      </c>
      <c r="AA575" s="8">
        <f>IF(B575="","",IF(R575&gt;=C575,"In pantry","To buy"))</f>
        <v>0</v>
      </c>
      <c r="AB575" s="8">
        <f>IF(A575="","",COUNTIFS($A$5:A575,A575))</f>
        <v>0</v>
      </c>
      <c r="AC575" s="8">
        <f>IF(B575="","",IF(COUNTIFS('Dietary Filters'!$C$5:$C$104,B575)&gt;0,"Check","OK"))</f>
        <v>0</v>
      </c>
      <c r="AD575" s="25"/>
    </row>
    <row r="576" spans="1:30">
      <c r="A576" s="7"/>
      <c r="B576" s="7"/>
      <c r="C576" s="26"/>
      <c r="D576" s="27"/>
      <c r="E576" s="8">
        <f>IF(B576="","",IFERROR(INDEX(Ingredients!$B$5:$B$304,MATCH(B576,Ingredients!$A$5:$A$304,0)),""))</f>
        <v>0</v>
      </c>
      <c r="F576" s="8">
        <f>IF(B576="","",IFERROR(INDEX(Ingredients!$E$5:$E$304,MATCH(B576,Ingredients!$A$5:$A$304,0)),""))</f>
        <v>0</v>
      </c>
      <c r="G576" s="8">
        <f>IF(B576="","",IFERROR(INDEX(Ingredients!$D$5:$D$304,MATCH(B576,Ingredients!$A$5:$A$304,0)),""))</f>
        <v>0</v>
      </c>
      <c r="H576" s="8">
        <f>IF(OR(B576="",C576=""),"",IFERROR(C576*G576,""))</f>
        <v>0</v>
      </c>
      <c r="I576" s="8">
        <f>IF(A576="","",IFERROR(INDEX(Recipes!$D$5:$D$204,MATCH(A576,Recipes!$A$5:$A$204,0)),""))</f>
        <v>0</v>
      </c>
      <c r="J576" s="8">
        <f>IF(OR(H576="",I576="",I576=0),"",IFERROR(H576/I576,""))</f>
        <v>0</v>
      </c>
      <c r="K576" s="8">
        <f>IF(OR(B576="",C576=""),"",IFERROR(C576*IFERROR(INDEX(Ingredients!$H$5:$H$304,MATCH(B576,Ingredients!$A$5:$A$304,0)),""),""))</f>
        <v>0</v>
      </c>
      <c r="L576" s="8">
        <f>IF(OR(B576="",C576=""),"",IFERROR(C576*IFERROR(INDEX(Ingredients!$I$5:$I$304,MATCH(B576,Ingredients!$A$5:$A$304,0)),""),""))</f>
        <v>0</v>
      </c>
      <c r="M576" s="8">
        <f>IF(OR(B576="",C576=""),"",IFERROR(C576*IFERROR(INDEX(Ingredients!$J$5:$J$304,MATCH(B576,Ingredients!$A$5:$A$304,0)),""),""))</f>
        <v>0</v>
      </c>
      <c r="N576" s="8">
        <f>IF(OR(B576="",C576=""),"",IFERROR(C576*IFERROR(INDEX(Ingredients!$K$5:$K$304,MATCH(B576,Ingredients!$A$5:$A$304,0)),""),""))</f>
        <v>0</v>
      </c>
      <c r="O576" s="8">
        <f>IF(OR(B576="",C576=""),"",IFERROR(C576*IFERROR(INDEX(Ingredients!$L$5:$L$304,MATCH(B576,Ingredients!$A$5:$A$304,0)),""),""))</f>
        <v>0</v>
      </c>
      <c r="P576" s="8">
        <f>IF(OR(H576="",A576=""),"",IFERROR(H576/SUMIFS('Recipe Ingredients'!$H$5:$H$1204,'Recipe Ingredients'!$A$5:$A$1204,A576),""))</f>
        <v>0</v>
      </c>
      <c r="Q576" s="8">
        <f>IF(H576="","",COUNTIFS($H$5:$H$1204,"&gt;"&amp;H576)+1)</f>
        <v>0</v>
      </c>
      <c r="R576" s="8">
        <f>IF(B576="","",SUMIFS(Pantry!$C$5:$C$304,Pantry!$A$5:$A$304,B576))</f>
        <v>0</v>
      </c>
      <c r="S576" s="8">
        <f>IF(OR(B576="",C576=""),"",MAX(0,C576-R576))</f>
        <v>0</v>
      </c>
      <c r="T576" s="26"/>
      <c r="U576" s="8">
        <f>IF(OR(T576="",T576=0,G576=""),"",T576*G576)</f>
        <v>0</v>
      </c>
      <c r="V576" s="8">
        <f>IF(OR(S576="",T576="",T576=0),"",CEILING(S576/T576,1))</f>
        <v>0</v>
      </c>
      <c r="W576" s="27"/>
      <c r="X576" s="29"/>
      <c r="Y576" s="8">
        <f>IF(OR(C576="",X576=""),"",C576*(1+X576))</f>
        <v>0</v>
      </c>
      <c r="Z576" s="8">
        <f>IF(B576="","",IFERROR(INDEX(Ingredients!$O$5:$O$304,MATCH(B576,Ingredients!$A$5:$A$304,0)),""))</f>
        <v>0</v>
      </c>
      <c r="AA576" s="8">
        <f>IF(B576="","",IF(R576&gt;=C576,"In pantry","To buy"))</f>
        <v>0</v>
      </c>
      <c r="AB576" s="8">
        <f>IF(A576="","",COUNTIFS($A$5:A576,A576))</f>
        <v>0</v>
      </c>
      <c r="AC576" s="8">
        <f>IF(B576="","",IF(COUNTIFS('Dietary Filters'!$C$5:$C$104,B576)&gt;0,"Check","OK"))</f>
        <v>0</v>
      </c>
      <c r="AD576" s="25"/>
    </row>
    <row r="577" spans="1:30">
      <c r="A577" s="7"/>
      <c r="B577" s="7"/>
      <c r="C577" s="26"/>
      <c r="D577" s="27"/>
      <c r="E577" s="8">
        <f>IF(B577="","",IFERROR(INDEX(Ingredients!$B$5:$B$304,MATCH(B577,Ingredients!$A$5:$A$304,0)),""))</f>
        <v>0</v>
      </c>
      <c r="F577" s="8">
        <f>IF(B577="","",IFERROR(INDEX(Ingredients!$E$5:$E$304,MATCH(B577,Ingredients!$A$5:$A$304,0)),""))</f>
        <v>0</v>
      </c>
      <c r="G577" s="8">
        <f>IF(B577="","",IFERROR(INDEX(Ingredients!$D$5:$D$304,MATCH(B577,Ingredients!$A$5:$A$304,0)),""))</f>
        <v>0</v>
      </c>
      <c r="H577" s="8">
        <f>IF(OR(B577="",C577=""),"",IFERROR(C577*G577,""))</f>
        <v>0</v>
      </c>
      <c r="I577" s="8">
        <f>IF(A577="","",IFERROR(INDEX(Recipes!$D$5:$D$204,MATCH(A577,Recipes!$A$5:$A$204,0)),""))</f>
        <v>0</v>
      </c>
      <c r="J577" s="8">
        <f>IF(OR(H577="",I577="",I577=0),"",IFERROR(H577/I577,""))</f>
        <v>0</v>
      </c>
      <c r="K577" s="8">
        <f>IF(OR(B577="",C577=""),"",IFERROR(C577*IFERROR(INDEX(Ingredients!$H$5:$H$304,MATCH(B577,Ingredients!$A$5:$A$304,0)),""),""))</f>
        <v>0</v>
      </c>
      <c r="L577" s="8">
        <f>IF(OR(B577="",C577=""),"",IFERROR(C577*IFERROR(INDEX(Ingredients!$I$5:$I$304,MATCH(B577,Ingredients!$A$5:$A$304,0)),""),""))</f>
        <v>0</v>
      </c>
      <c r="M577" s="8">
        <f>IF(OR(B577="",C577=""),"",IFERROR(C577*IFERROR(INDEX(Ingredients!$J$5:$J$304,MATCH(B577,Ingredients!$A$5:$A$304,0)),""),""))</f>
        <v>0</v>
      </c>
      <c r="N577" s="8">
        <f>IF(OR(B577="",C577=""),"",IFERROR(C577*IFERROR(INDEX(Ingredients!$K$5:$K$304,MATCH(B577,Ingredients!$A$5:$A$304,0)),""),""))</f>
        <v>0</v>
      </c>
      <c r="O577" s="8">
        <f>IF(OR(B577="",C577=""),"",IFERROR(C577*IFERROR(INDEX(Ingredients!$L$5:$L$304,MATCH(B577,Ingredients!$A$5:$A$304,0)),""),""))</f>
        <v>0</v>
      </c>
      <c r="P577" s="8">
        <f>IF(OR(H577="",A577=""),"",IFERROR(H577/SUMIFS('Recipe Ingredients'!$H$5:$H$1204,'Recipe Ingredients'!$A$5:$A$1204,A577),""))</f>
        <v>0</v>
      </c>
      <c r="Q577" s="8">
        <f>IF(H577="","",COUNTIFS($H$5:$H$1204,"&gt;"&amp;H577)+1)</f>
        <v>0</v>
      </c>
      <c r="R577" s="8">
        <f>IF(B577="","",SUMIFS(Pantry!$C$5:$C$304,Pantry!$A$5:$A$304,B577))</f>
        <v>0</v>
      </c>
      <c r="S577" s="8">
        <f>IF(OR(B577="",C577=""),"",MAX(0,C577-R577))</f>
        <v>0</v>
      </c>
      <c r="T577" s="26"/>
      <c r="U577" s="8">
        <f>IF(OR(T577="",T577=0,G577=""),"",T577*G577)</f>
        <v>0</v>
      </c>
      <c r="V577" s="8">
        <f>IF(OR(S577="",T577="",T577=0),"",CEILING(S577/T577,1))</f>
        <v>0</v>
      </c>
      <c r="W577" s="27"/>
      <c r="X577" s="29"/>
      <c r="Y577" s="8">
        <f>IF(OR(C577="",X577=""),"",C577*(1+X577))</f>
        <v>0</v>
      </c>
      <c r="Z577" s="8">
        <f>IF(B577="","",IFERROR(INDEX(Ingredients!$O$5:$O$304,MATCH(B577,Ingredients!$A$5:$A$304,0)),""))</f>
        <v>0</v>
      </c>
      <c r="AA577" s="8">
        <f>IF(B577="","",IF(R577&gt;=C577,"In pantry","To buy"))</f>
        <v>0</v>
      </c>
      <c r="AB577" s="8">
        <f>IF(A577="","",COUNTIFS($A$5:A577,A577))</f>
        <v>0</v>
      </c>
      <c r="AC577" s="8">
        <f>IF(B577="","",IF(COUNTIFS('Dietary Filters'!$C$5:$C$104,B577)&gt;0,"Check","OK"))</f>
        <v>0</v>
      </c>
      <c r="AD577" s="25"/>
    </row>
    <row r="578" spans="1:30">
      <c r="A578" s="7"/>
      <c r="B578" s="7"/>
      <c r="C578" s="26"/>
      <c r="D578" s="27"/>
      <c r="E578" s="8">
        <f>IF(B578="","",IFERROR(INDEX(Ingredients!$B$5:$B$304,MATCH(B578,Ingredients!$A$5:$A$304,0)),""))</f>
        <v>0</v>
      </c>
      <c r="F578" s="8">
        <f>IF(B578="","",IFERROR(INDEX(Ingredients!$E$5:$E$304,MATCH(B578,Ingredients!$A$5:$A$304,0)),""))</f>
        <v>0</v>
      </c>
      <c r="G578" s="8">
        <f>IF(B578="","",IFERROR(INDEX(Ingredients!$D$5:$D$304,MATCH(B578,Ingredients!$A$5:$A$304,0)),""))</f>
        <v>0</v>
      </c>
      <c r="H578" s="8">
        <f>IF(OR(B578="",C578=""),"",IFERROR(C578*G578,""))</f>
        <v>0</v>
      </c>
      <c r="I578" s="8">
        <f>IF(A578="","",IFERROR(INDEX(Recipes!$D$5:$D$204,MATCH(A578,Recipes!$A$5:$A$204,0)),""))</f>
        <v>0</v>
      </c>
      <c r="J578" s="8">
        <f>IF(OR(H578="",I578="",I578=0),"",IFERROR(H578/I578,""))</f>
        <v>0</v>
      </c>
      <c r="K578" s="8">
        <f>IF(OR(B578="",C578=""),"",IFERROR(C578*IFERROR(INDEX(Ingredients!$H$5:$H$304,MATCH(B578,Ingredients!$A$5:$A$304,0)),""),""))</f>
        <v>0</v>
      </c>
      <c r="L578" s="8">
        <f>IF(OR(B578="",C578=""),"",IFERROR(C578*IFERROR(INDEX(Ingredients!$I$5:$I$304,MATCH(B578,Ingredients!$A$5:$A$304,0)),""),""))</f>
        <v>0</v>
      </c>
      <c r="M578" s="8">
        <f>IF(OR(B578="",C578=""),"",IFERROR(C578*IFERROR(INDEX(Ingredients!$J$5:$J$304,MATCH(B578,Ingredients!$A$5:$A$304,0)),""),""))</f>
        <v>0</v>
      </c>
      <c r="N578" s="8">
        <f>IF(OR(B578="",C578=""),"",IFERROR(C578*IFERROR(INDEX(Ingredients!$K$5:$K$304,MATCH(B578,Ingredients!$A$5:$A$304,0)),""),""))</f>
        <v>0</v>
      </c>
      <c r="O578" s="8">
        <f>IF(OR(B578="",C578=""),"",IFERROR(C578*IFERROR(INDEX(Ingredients!$L$5:$L$304,MATCH(B578,Ingredients!$A$5:$A$304,0)),""),""))</f>
        <v>0</v>
      </c>
      <c r="P578" s="8">
        <f>IF(OR(H578="",A578=""),"",IFERROR(H578/SUMIFS('Recipe Ingredients'!$H$5:$H$1204,'Recipe Ingredients'!$A$5:$A$1204,A578),""))</f>
        <v>0</v>
      </c>
      <c r="Q578" s="8">
        <f>IF(H578="","",COUNTIFS($H$5:$H$1204,"&gt;"&amp;H578)+1)</f>
        <v>0</v>
      </c>
      <c r="R578" s="8">
        <f>IF(B578="","",SUMIFS(Pantry!$C$5:$C$304,Pantry!$A$5:$A$304,B578))</f>
        <v>0</v>
      </c>
      <c r="S578" s="8">
        <f>IF(OR(B578="",C578=""),"",MAX(0,C578-R578))</f>
        <v>0</v>
      </c>
      <c r="T578" s="26"/>
      <c r="U578" s="8">
        <f>IF(OR(T578="",T578=0,G578=""),"",T578*G578)</f>
        <v>0</v>
      </c>
      <c r="V578" s="8">
        <f>IF(OR(S578="",T578="",T578=0),"",CEILING(S578/T578,1))</f>
        <v>0</v>
      </c>
      <c r="W578" s="27"/>
      <c r="X578" s="29"/>
      <c r="Y578" s="8">
        <f>IF(OR(C578="",X578=""),"",C578*(1+X578))</f>
        <v>0</v>
      </c>
      <c r="Z578" s="8">
        <f>IF(B578="","",IFERROR(INDEX(Ingredients!$O$5:$O$304,MATCH(B578,Ingredients!$A$5:$A$304,0)),""))</f>
        <v>0</v>
      </c>
      <c r="AA578" s="8">
        <f>IF(B578="","",IF(R578&gt;=C578,"In pantry","To buy"))</f>
        <v>0</v>
      </c>
      <c r="AB578" s="8">
        <f>IF(A578="","",COUNTIFS($A$5:A578,A578))</f>
        <v>0</v>
      </c>
      <c r="AC578" s="8">
        <f>IF(B578="","",IF(COUNTIFS('Dietary Filters'!$C$5:$C$104,B578)&gt;0,"Check","OK"))</f>
        <v>0</v>
      </c>
      <c r="AD578" s="25"/>
    </row>
    <row r="579" spans="1:30">
      <c r="A579" s="7"/>
      <c r="B579" s="7"/>
      <c r="C579" s="26"/>
      <c r="D579" s="27"/>
      <c r="E579" s="8">
        <f>IF(B579="","",IFERROR(INDEX(Ingredients!$B$5:$B$304,MATCH(B579,Ingredients!$A$5:$A$304,0)),""))</f>
        <v>0</v>
      </c>
      <c r="F579" s="8">
        <f>IF(B579="","",IFERROR(INDEX(Ingredients!$E$5:$E$304,MATCH(B579,Ingredients!$A$5:$A$304,0)),""))</f>
        <v>0</v>
      </c>
      <c r="G579" s="8">
        <f>IF(B579="","",IFERROR(INDEX(Ingredients!$D$5:$D$304,MATCH(B579,Ingredients!$A$5:$A$304,0)),""))</f>
        <v>0</v>
      </c>
      <c r="H579" s="8">
        <f>IF(OR(B579="",C579=""),"",IFERROR(C579*G579,""))</f>
        <v>0</v>
      </c>
      <c r="I579" s="8">
        <f>IF(A579="","",IFERROR(INDEX(Recipes!$D$5:$D$204,MATCH(A579,Recipes!$A$5:$A$204,0)),""))</f>
        <v>0</v>
      </c>
      <c r="J579" s="8">
        <f>IF(OR(H579="",I579="",I579=0),"",IFERROR(H579/I579,""))</f>
        <v>0</v>
      </c>
      <c r="K579" s="8">
        <f>IF(OR(B579="",C579=""),"",IFERROR(C579*IFERROR(INDEX(Ingredients!$H$5:$H$304,MATCH(B579,Ingredients!$A$5:$A$304,0)),""),""))</f>
        <v>0</v>
      </c>
      <c r="L579" s="8">
        <f>IF(OR(B579="",C579=""),"",IFERROR(C579*IFERROR(INDEX(Ingredients!$I$5:$I$304,MATCH(B579,Ingredients!$A$5:$A$304,0)),""),""))</f>
        <v>0</v>
      </c>
      <c r="M579" s="8">
        <f>IF(OR(B579="",C579=""),"",IFERROR(C579*IFERROR(INDEX(Ingredients!$J$5:$J$304,MATCH(B579,Ingredients!$A$5:$A$304,0)),""),""))</f>
        <v>0</v>
      </c>
      <c r="N579" s="8">
        <f>IF(OR(B579="",C579=""),"",IFERROR(C579*IFERROR(INDEX(Ingredients!$K$5:$K$304,MATCH(B579,Ingredients!$A$5:$A$304,0)),""),""))</f>
        <v>0</v>
      </c>
      <c r="O579" s="8">
        <f>IF(OR(B579="",C579=""),"",IFERROR(C579*IFERROR(INDEX(Ingredients!$L$5:$L$304,MATCH(B579,Ingredients!$A$5:$A$304,0)),""),""))</f>
        <v>0</v>
      </c>
      <c r="P579" s="8">
        <f>IF(OR(H579="",A579=""),"",IFERROR(H579/SUMIFS('Recipe Ingredients'!$H$5:$H$1204,'Recipe Ingredients'!$A$5:$A$1204,A579),""))</f>
        <v>0</v>
      </c>
      <c r="Q579" s="8">
        <f>IF(H579="","",COUNTIFS($H$5:$H$1204,"&gt;"&amp;H579)+1)</f>
        <v>0</v>
      </c>
      <c r="R579" s="8">
        <f>IF(B579="","",SUMIFS(Pantry!$C$5:$C$304,Pantry!$A$5:$A$304,B579))</f>
        <v>0</v>
      </c>
      <c r="S579" s="8">
        <f>IF(OR(B579="",C579=""),"",MAX(0,C579-R579))</f>
        <v>0</v>
      </c>
      <c r="T579" s="26"/>
      <c r="U579" s="8">
        <f>IF(OR(T579="",T579=0,G579=""),"",T579*G579)</f>
        <v>0</v>
      </c>
      <c r="V579" s="8">
        <f>IF(OR(S579="",T579="",T579=0),"",CEILING(S579/T579,1))</f>
        <v>0</v>
      </c>
      <c r="W579" s="27"/>
      <c r="X579" s="29"/>
      <c r="Y579" s="8">
        <f>IF(OR(C579="",X579=""),"",C579*(1+X579))</f>
        <v>0</v>
      </c>
      <c r="Z579" s="8">
        <f>IF(B579="","",IFERROR(INDEX(Ingredients!$O$5:$O$304,MATCH(B579,Ingredients!$A$5:$A$304,0)),""))</f>
        <v>0</v>
      </c>
      <c r="AA579" s="8">
        <f>IF(B579="","",IF(R579&gt;=C579,"In pantry","To buy"))</f>
        <v>0</v>
      </c>
      <c r="AB579" s="8">
        <f>IF(A579="","",COUNTIFS($A$5:A579,A579))</f>
        <v>0</v>
      </c>
      <c r="AC579" s="8">
        <f>IF(B579="","",IF(COUNTIFS('Dietary Filters'!$C$5:$C$104,B579)&gt;0,"Check","OK"))</f>
        <v>0</v>
      </c>
      <c r="AD579" s="25"/>
    </row>
    <row r="580" spans="1:30">
      <c r="A580" s="7"/>
      <c r="B580" s="7"/>
      <c r="C580" s="26"/>
      <c r="D580" s="27"/>
      <c r="E580" s="8">
        <f>IF(B580="","",IFERROR(INDEX(Ingredients!$B$5:$B$304,MATCH(B580,Ingredients!$A$5:$A$304,0)),""))</f>
        <v>0</v>
      </c>
      <c r="F580" s="8">
        <f>IF(B580="","",IFERROR(INDEX(Ingredients!$E$5:$E$304,MATCH(B580,Ingredients!$A$5:$A$304,0)),""))</f>
        <v>0</v>
      </c>
      <c r="G580" s="8">
        <f>IF(B580="","",IFERROR(INDEX(Ingredients!$D$5:$D$304,MATCH(B580,Ingredients!$A$5:$A$304,0)),""))</f>
        <v>0</v>
      </c>
      <c r="H580" s="8">
        <f>IF(OR(B580="",C580=""),"",IFERROR(C580*G580,""))</f>
        <v>0</v>
      </c>
      <c r="I580" s="8">
        <f>IF(A580="","",IFERROR(INDEX(Recipes!$D$5:$D$204,MATCH(A580,Recipes!$A$5:$A$204,0)),""))</f>
        <v>0</v>
      </c>
      <c r="J580" s="8">
        <f>IF(OR(H580="",I580="",I580=0),"",IFERROR(H580/I580,""))</f>
        <v>0</v>
      </c>
      <c r="K580" s="8">
        <f>IF(OR(B580="",C580=""),"",IFERROR(C580*IFERROR(INDEX(Ingredients!$H$5:$H$304,MATCH(B580,Ingredients!$A$5:$A$304,0)),""),""))</f>
        <v>0</v>
      </c>
      <c r="L580" s="8">
        <f>IF(OR(B580="",C580=""),"",IFERROR(C580*IFERROR(INDEX(Ingredients!$I$5:$I$304,MATCH(B580,Ingredients!$A$5:$A$304,0)),""),""))</f>
        <v>0</v>
      </c>
      <c r="M580" s="8">
        <f>IF(OR(B580="",C580=""),"",IFERROR(C580*IFERROR(INDEX(Ingredients!$J$5:$J$304,MATCH(B580,Ingredients!$A$5:$A$304,0)),""),""))</f>
        <v>0</v>
      </c>
      <c r="N580" s="8">
        <f>IF(OR(B580="",C580=""),"",IFERROR(C580*IFERROR(INDEX(Ingredients!$K$5:$K$304,MATCH(B580,Ingredients!$A$5:$A$304,0)),""),""))</f>
        <v>0</v>
      </c>
      <c r="O580" s="8">
        <f>IF(OR(B580="",C580=""),"",IFERROR(C580*IFERROR(INDEX(Ingredients!$L$5:$L$304,MATCH(B580,Ingredients!$A$5:$A$304,0)),""),""))</f>
        <v>0</v>
      </c>
      <c r="P580" s="8">
        <f>IF(OR(H580="",A580=""),"",IFERROR(H580/SUMIFS('Recipe Ingredients'!$H$5:$H$1204,'Recipe Ingredients'!$A$5:$A$1204,A580),""))</f>
        <v>0</v>
      </c>
      <c r="Q580" s="8">
        <f>IF(H580="","",COUNTIFS($H$5:$H$1204,"&gt;"&amp;H580)+1)</f>
        <v>0</v>
      </c>
      <c r="R580" s="8">
        <f>IF(B580="","",SUMIFS(Pantry!$C$5:$C$304,Pantry!$A$5:$A$304,B580))</f>
        <v>0</v>
      </c>
      <c r="S580" s="8">
        <f>IF(OR(B580="",C580=""),"",MAX(0,C580-R580))</f>
        <v>0</v>
      </c>
      <c r="T580" s="26"/>
      <c r="U580" s="8">
        <f>IF(OR(T580="",T580=0,G580=""),"",T580*G580)</f>
        <v>0</v>
      </c>
      <c r="V580" s="8">
        <f>IF(OR(S580="",T580="",T580=0),"",CEILING(S580/T580,1))</f>
        <v>0</v>
      </c>
      <c r="W580" s="27"/>
      <c r="X580" s="29"/>
      <c r="Y580" s="8">
        <f>IF(OR(C580="",X580=""),"",C580*(1+X580))</f>
        <v>0</v>
      </c>
      <c r="Z580" s="8">
        <f>IF(B580="","",IFERROR(INDEX(Ingredients!$O$5:$O$304,MATCH(B580,Ingredients!$A$5:$A$304,0)),""))</f>
        <v>0</v>
      </c>
      <c r="AA580" s="8">
        <f>IF(B580="","",IF(R580&gt;=C580,"In pantry","To buy"))</f>
        <v>0</v>
      </c>
      <c r="AB580" s="8">
        <f>IF(A580="","",COUNTIFS($A$5:A580,A580))</f>
        <v>0</v>
      </c>
      <c r="AC580" s="8">
        <f>IF(B580="","",IF(COUNTIFS('Dietary Filters'!$C$5:$C$104,B580)&gt;0,"Check","OK"))</f>
        <v>0</v>
      </c>
      <c r="AD580" s="25"/>
    </row>
    <row r="581" spans="1:30">
      <c r="A581" s="7"/>
      <c r="B581" s="7"/>
      <c r="C581" s="26"/>
      <c r="D581" s="27"/>
      <c r="E581" s="8">
        <f>IF(B581="","",IFERROR(INDEX(Ingredients!$B$5:$B$304,MATCH(B581,Ingredients!$A$5:$A$304,0)),""))</f>
        <v>0</v>
      </c>
      <c r="F581" s="8">
        <f>IF(B581="","",IFERROR(INDEX(Ingredients!$E$5:$E$304,MATCH(B581,Ingredients!$A$5:$A$304,0)),""))</f>
        <v>0</v>
      </c>
      <c r="G581" s="8">
        <f>IF(B581="","",IFERROR(INDEX(Ingredients!$D$5:$D$304,MATCH(B581,Ingredients!$A$5:$A$304,0)),""))</f>
        <v>0</v>
      </c>
      <c r="H581" s="8">
        <f>IF(OR(B581="",C581=""),"",IFERROR(C581*G581,""))</f>
        <v>0</v>
      </c>
      <c r="I581" s="8">
        <f>IF(A581="","",IFERROR(INDEX(Recipes!$D$5:$D$204,MATCH(A581,Recipes!$A$5:$A$204,0)),""))</f>
        <v>0</v>
      </c>
      <c r="J581" s="8">
        <f>IF(OR(H581="",I581="",I581=0),"",IFERROR(H581/I581,""))</f>
        <v>0</v>
      </c>
      <c r="K581" s="8">
        <f>IF(OR(B581="",C581=""),"",IFERROR(C581*IFERROR(INDEX(Ingredients!$H$5:$H$304,MATCH(B581,Ingredients!$A$5:$A$304,0)),""),""))</f>
        <v>0</v>
      </c>
      <c r="L581" s="8">
        <f>IF(OR(B581="",C581=""),"",IFERROR(C581*IFERROR(INDEX(Ingredients!$I$5:$I$304,MATCH(B581,Ingredients!$A$5:$A$304,0)),""),""))</f>
        <v>0</v>
      </c>
      <c r="M581" s="8">
        <f>IF(OR(B581="",C581=""),"",IFERROR(C581*IFERROR(INDEX(Ingredients!$J$5:$J$304,MATCH(B581,Ingredients!$A$5:$A$304,0)),""),""))</f>
        <v>0</v>
      </c>
      <c r="N581" s="8">
        <f>IF(OR(B581="",C581=""),"",IFERROR(C581*IFERROR(INDEX(Ingredients!$K$5:$K$304,MATCH(B581,Ingredients!$A$5:$A$304,0)),""),""))</f>
        <v>0</v>
      </c>
      <c r="O581" s="8">
        <f>IF(OR(B581="",C581=""),"",IFERROR(C581*IFERROR(INDEX(Ingredients!$L$5:$L$304,MATCH(B581,Ingredients!$A$5:$A$304,0)),""),""))</f>
        <v>0</v>
      </c>
      <c r="P581" s="8">
        <f>IF(OR(H581="",A581=""),"",IFERROR(H581/SUMIFS('Recipe Ingredients'!$H$5:$H$1204,'Recipe Ingredients'!$A$5:$A$1204,A581),""))</f>
        <v>0</v>
      </c>
      <c r="Q581" s="8">
        <f>IF(H581="","",COUNTIFS($H$5:$H$1204,"&gt;"&amp;H581)+1)</f>
        <v>0</v>
      </c>
      <c r="R581" s="8">
        <f>IF(B581="","",SUMIFS(Pantry!$C$5:$C$304,Pantry!$A$5:$A$304,B581))</f>
        <v>0</v>
      </c>
      <c r="S581" s="8">
        <f>IF(OR(B581="",C581=""),"",MAX(0,C581-R581))</f>
        <v>0</v>
      </c>
      <c r="T581" s="26"/>
      <c r="U581" s="8">
        <f>IF(OR(T581="",T581=0,G581=""),"",T581*G581)</f>
        <v>0</v>
      </c>
      <c r="V581" s="8">
        <f>IF(OR(S581="",T581="",T581=0),"",CEILING(S581/T581,1))</f>
        <v>0</v>
      </c>
      <c r="W581" s="27"/>
      <c r="X581" s="29"/>
      <c r="Y581" s="8">
        <f>IF(OR(C581="",X581=""),"",C581*(1+X581))</f>
        <v>0</v>
      </c>
      <c r="Z581" s="8">
        <f>IF(B581="","",IFERROR(INDEX(Ingredients!$O$5:$O$304,MATCH(B581,Ingredients!$A$5:$A$304,0)),""))</f>
        <v>0</v>
      </c>
      <c r="AA581" s="8">
        <f>IF(B581="","",IF(R581&gt;=C581,"In pantry","To buy"))</f>
        <v>0</v>
      </c>
      <c r="AB581" s="8">
        <f>IF(A581="","",COUNTIFS($A$5:A581,A581))</f>
        <v>0</v>
      </c>
      <c r="AC581" s="8">
        <f>IF(B581="","",IF(COUNTIFS('Dietary Filters'!$C$5:$C$104,B581)&gt;0,"Check","OK"))</f>
        <v>0</v>
      </c>
      <c r="AD581" s="25"/>
    </row>
    <row r="582" spans="1:30">
      <c r="A582" s="7"/>
      <c r="B582" s="7"/>
      <c r="C582" s="26"/>
      <c r="D582" s="27"/>
      <c r="E582" s="8">
        <f>IF(B582="","",IFERROR(INDEX(Ingredients!$B$5:$B$304,MATCH(B582,Ingredients!$A$5:$A$304,0)),""))</f>
        <v>0</v>
      </c>
      <c r="F582" s="8">
        <f>IF(B582="","",IFERROR(INDEX(Ingredients!$E$5:$E$304,MATCH(B582,Ingredients!$A$5:$A$304,0)),""))</f>
        <v>0</v>
      </c>
      <c r="G582" s="8">
        <f>IF(B582="","",IFERROR(INDEX(Ingredients!$D$5:$D$304,MATCH(B582,Ingredients!$A$5:$A$304,0)),""))</f>
        <v>0</v>
      </c>
      <c r="H582" s="8">
        <f>IF(OR(B582="",C582=""),"",IFERROR(C582*G582,""))</f>
        <v>0</v>
      </c>
      <c r="I582" s="8">
        <f>IF(A582="","",IFERROR(INDEX(Recipes!$D$5:$D$204,MATCH(A582,Recipes!$A$5:$A$204,0)),""))</f>
        <v>0</v>
      </c>
      <c r="J582" s="8">
        <f>IF(OR(H582="",I582="",I582=0),"",IFERROR(H582/I582,""))</f>
        <v>0</v>
      </c>
      <c r="K582" s="8">
        <f>IF(OR(B582="",C582=""),"",IFERROR(C582*IFERROR(INDEX(Ingredients!$H$5:$H$304,MATCH(B582,Ingredients!$A$5:$A$304,0)),""),""))</f>
        <v>0</v>
      </c>
      <c r="L582" s="8">
        <f>IF(OR(B582="",C582=""),"",IFERROR(C582*IFERROR(INDEX(Ingredients!$I$5:$I$304,MATCH(B582,Ingredients!$A$5:$A$304,0)),""),""))</f>
        <v>0</v>
      </c>
      <c r="M582" s="8">
        <f>IF(OR(B582="",C582=""),"",IFERROR(C582*IFERROR(INDEX(Ingredients!$J$5:$J$304,MATCH(B582,Ingredients!$A$5:$A$304,0)),""),""))</f>
        <v>0</v>
      </c>
      <c r="N582" s="8">
        <f>IF(OR(B582="",C582=""),"",IFERROR(C582*IFERROR(INDEX(Ingredients!$K$5:$K$304,MATCH(B582,Ingredients!$A$5:$A$304,0)),""),""))</f>
        <v>0</v>
      </c>
      <c r="O582" s="8">
        <f>IF(OR(B582="",C582=""),"",IFERROR(C582*IFERROR(INDEX(Ingredients!$L$5:$L$304,MATCH(B582,Ingredients!$A$5:$A$304,0)),""),""))</f>
        <v>0</v>
      </c>
      <c r="P582" s="8">
        <f>IF(OR(H582="",A582=""),"",IFERROR(H582/SUMIFS('Recipe Ingredients'!$H$5:$H$1204,'Recipe Ingredients'!$A$5:$A$1204,A582),""))</f>
        <v>0</v>
      </c>
      <c r="Q582" s="8">
        <f>IF(H582="","",COUNTIFS($H$5:$H$1204,"&gt;"&amp;H582)+1)</f>
        <v>0</v>
      </c>
      <c r="R582" s="8">
        <f>IF(B582="","",SUMIFS(Pantry!$C$5:$C$304,Pantry!$A$5:$A$304,B582))</f>
        <v>0</v>
      </c>
      <c r="S582" s="8">
        <f>IF(OR(B582="",C582=""),"",MAX(0,C582-R582))</f>
        <v>0</v>
      </c>
      <c r="T582" s="26"/>
      <c r="U582" s="8">
        <f>IF(OR(T582="",T582=0,G582=""),"",T582*G582)</f>
        <v>0</v>
      </c>
      <c r="V582" s="8">
        <f>IF(OR(S582="",T582="",T582=0),"",CEILING(S582/T582,1))</f>
        <v>0</v>
      </c>
      <c r="W582" s="27"/>
      <c r="X582" s="29"/>
      <c r="Y582" s="8">
        <f>IF(OR(C582="",X582=""),"",C582*(1+X582))</f>
        <v>0</v>
      </c>
      <c r="Z582" s="8">
        <f>IF(B582="","",IFERROR(INDEX(Ingredients!$O$5:$O$304,MATCH(B582,Ingredients!$A$5:$A$304,0)),""))</f>
        <v>0</v>
      </c>
      <c r="AA582" s="8">
        <f>IF(B582="","",IF(R582&gt;=C582,"In pantry","To buy"))</f>
        <v>0</v>
      </c>
      <c r="AB582" s="8">
        <f>IF(A582="","",COUNTIFS($A$5:A582,A582))</f>
        <v>0</v>
      </c>
      <c r="AC582" s="8">
        <f>IF(B582="","",IF(COUNTIFS('Dietary Filters'!$C$5:$C$104,B582)&gt;0,"Check","OK"))</f>
        <v>0</v>
      </c>
      <c r="AD582" s="25"/>
    </row>
    <row r="583" spans="1:30">
      <c r="A583" s="7"/>
      <c r="B583" s="7"/>
      <c r="C583" s="26"/>
      <c r="D583" s="27"/>
      <c r="E583" s="8">
        <f>IF(B583="","",IFERROR(INDEX(Ingredients!$B$5:$B$304,MATCH(B583,Ingredients!$A$5:$A$304,0)),""))</f>
        <v>0</v>
      </c>
      <c r="F583" s="8">
        <f>IF(B583="","",IFERROR(INDEX(Ingredients!$E$5:$E$304,MATCH(B583,Ingredients!$A$5:$A$304,0)),""))</f>
        <v>0</v>
      </c>
      <c r="G583" s="8">
        <f>IF(B583="","",IFERROR(INDEX(Ingredients!$D$5:$D$304,MATCH(B583,Ingredients!$A$5:$A$304,0)),""))</f>
        <v>0</v>
      </c>
      <c r="H583" s="8">
        <f>IF(OR(B583="",C583=""),"",IFERROR(C583*G583,""))</f>
        <v>0</v>
      </c>
      <c r="I583" s="8">
        <f>IF(A583="","",IFERROR(INDEX(Recipes!$D$5:$D$204,MATCH(A583,Recipes!$A$5:$A$204,0)),""))</f>
        <v>0</v>
      </c>
      <c r="J583" s="8">
        <f>IF(OR(H583="",I583="",I583=0),"",IFERROR(H583/I583,""))</f>
        <v>0</v>
      </c>
      <c r="K583" s="8">
        <f>IF(OR(B583="",C583=""),"",IFERROR(C583*IFERROR(INDEX(Ingredients!$H$5:$H$304,MATCH(B583,Ingredients!$A$5:$A$304,0)),""),""))</f>
        <v>0</v>
      </c>
      <c r="L583" s="8">
        <f>IF(OR(B583="",C583=""),"",IFERROR(C583*IFERROR(INDEX(Ingredients!$I$5:$I$304,MATCH(B583,Ingredients!$A$5:$A$304,0)),""),""))</f>
        <v>0</v>
      </c>
      <c r="M583" s="8">
        <f>IF(OR(B583="",C583=""),"",IFERROR(C583*IFERROR(INDEX(Ingredients!$J$5:$J$304,MATCH(B583,Ingredients!$A$5:$A$304,0)),""),""))</f>
        <v>0</v>
      </c>
      <c r="N583" s="8">
        <f>IF(OR(B583="",C583=""),"",IFERROR(C583*IFERROR(INDEX(Ingredients!$K$5:$K$304,MATCH(B583,Ingredients!$A$5:$A$304,0)),""),""))</f>
        <v>0</v>
      </c>
      <c r="O583" s="8">
        <f>IF(OR(B583="",C583=""),"",IFERROR(C583*IFERROR(INDEX(Ingredients!$L$5:$L$304,MATCH(B583,Ingredients!$A$5:$A$304,0)),""),""))</f>
        <v>0</v>
      </c>
      <c r="P583" s="8">
        <f>IF(OR(H583="",A583=""),"",IFERROR(H583/SUMIFS('Recipe Ingredients'!$H$5:$H$1204,'Recipe Ingredients'!$A$5:$A$1204,A583),""))</f>
        <v>0</v>
      </c>
      <c r="Q583" s="8">
        <f>IF(H583="","",COUNTIFS($H$5:$H$1204,"&gt;"&amp;H583)+1)</f>
        <v>0</v>
      </c>
      <c r="R583" s="8">
        <f>IF(B583="","",SUMIFS(Pantry!$C$5:$C$304,Pantry!$A$5:$A$304,B583))</f>
        <v>0</v>
      </c>
      <c r="S583" s="8">
        <f>IF(OR(B583="",C583=""),"",MAX(0,C583-R583))</f>
        <v>0</v>
      </c>
      <c r="T583" s="26"/>
      <c r="U583" s="8">
        <f>IF(OR(T583="",T583=0,G583=""),"",T583*G583)</f>
        <v>0</v>
      </c>
      <c r="V583" s="8">
        <f>IF(OR(S583="",T583="",T583=0),"",CEILING(S583/T583,1))</f>
        <v>0</v>
      </c>
      <c r="W583" s="27"/>
      <c r="X583" s="29"/>
      <c r="Y583" s="8">
        <f>IF(OR(C583="",X583=""),"",C583*(1+X583))</f>
        <v>0</v>
      </c>
      <c r="Z583" s="8">
        <f>IF(B583="","",IFERROR(INDEX(Ingredients!$O$5:$O$304,MATCH(B583,Ingredients!$A$5:$A$304,0)),""))</f>
        <v>0</v>
      </c>
      <c r="AA583" s="8">
        <f>IF(B583="","",IF(R583&gt;=C583,"In pantry","To buy"))</f>
        <v>0</v>
      </c>
      <c r="AB583" s="8">
        <f>IF(A583="","",COUNTIFS($A$5:A583,A583))</f>
        <v>0</v>
      </c>
      <c r="AC583" s="8">
        <f>IF(B583="","",IF(COUNTIFS('Dietary Filters'!$C$5:$C$104,B583)&gt;0,"Check","OK"))</f>
        <v>0</v>
      </c>
      <c r="AD583" s="25"/>
    </row>
    <row r="584" spans="1:30">
      <c r="A584" s="7"/>
      <c r="B584" s="7"/>
      <c r="C584" s="26"/>
      <c r="D584" s="27"/>
      <c r="E584" s="8">
        <f>IF(B584="","",IFERROR(INDEX(Ingredients!$B$5:$B$304,MATCH(B584,Ingredients!$A$5:$A$304,0)),""))</f>
        <v>0</v>
      </c>
      <c r="F584" s="8">
        <f>IF(B584="","",IFERROR(INDEX(Ingredients!$E$5:$E$304,MATCH(B584,Ingredients!$A$5:$A$304,0)),""))</f>
        <v>0</v>
      </c>
      <c r="G584" s="8">
        <f>IF(B584="","",IFERROR(INDEX(Ingredients!$D$5:$D$304,MATCH(B584,Ingredients!$A$5:$A$304,0)),""))</f>
        <v>0</v>
      </c>
      <c r="H584" s="8">
        <f>IF(OR(B584="",C584=""),"",IFERROR(C584*G584,""))</f>
        <v>0</v>
      </c>
      <c r="I584" s="8">
        <f>IF(A584="","",IFERROR(INDEX(Recipes!$D$5:$D$204,MATCH(A584,Recipes!$A$5:$A$204,0)),""))</f>
        <v>0</v>
      </c>
      <c r="J584" s="8">
        <f>IF(OR(H584="",I584="",I584=0),"",IFERROR(H584/I584,""))</f>
        <v>0</v>
      </c>
      <c r="K584" s="8">
        <f>IF(OR(B584="",C584=""),"",IFERROR(C584*IFERROR(INDEX(Ingredients!$H$5:$H$304,MATCH(B584,Ingredients!$A$5:$A$304,0)),""),""))</f>
        <v>0</v>
      </c>
      <c r="L584" s="8">
        <f>IF(OR(B584="",C584=""),"",IFERROR(C584*IFERROR(INDEX(Ingredients!$I$5:$I$304,MATCH(B584,Ingredients!$A$5:$A$304,0)),""),""))</f>
        <v>0</v>
      </c>
      <c r="M584" s="8">
        <f>IF(OR(B584="",C584=""),"",IFERROR(C584*IFERROR(INDEX(Ingredients!$J$5:$J$304,MATCH(B584,Ingredients!$A$5:$A$304,0)),""),""))</f>
        <v>0</v>
      </c>
      <c r="N584" s="8">
        <f>IF(OR(B584="",C584=""),"",IFERROR(C584*IFERROR(INDEX(Ingredients!$K$5:$K$304,MATCH(B584,Ingredients!$A$5:$A$304,0)),""),""))</f>
        <v>0</v>
      </c>
      <c r="O584" s="8">
        <f>IF(OR(B584="",C584=""),"",IFERROR(C584*IFERROR(INDEX(Ingredients!$L$5:$L$304,MATCH(B584,Ingredients!$A$5:$A$304,0)),""),""))</f>
        <v>0</v>
      </c>
      <c r="P584" s="8">
        <f>IF(OR(H584="",A584=""),"",IFERROR(H584/SUMIFS('Recipe Ingredients'!$H$5:$H$1204,'Recipe Ingredients'!$A$5:$A$1204,A584),""))</f>
        <v>0</v>
      </c>
      <c r="Q584" s="8">
        <f>IF(H584="","",COUNTIFS($H$5:$H$1204,"&gt;"&amp;H584)+1)</f>
        <v>0</v>
      </c>
      <c r="R584" s="8">
        <f>IF(B584="","",SUMIFS(Pantry!$C$5:$C$304,Pantry!$A$5:$A$304,B584))</f>
        <v>0</v>
      </c>
      <c r="S584" s="8">
        <f>IF(OR(B584="",C584=""),"",MAX(0,C584-R584))</f>
        <v>0</v>
      </c>
      <c r="T584" s="26"/>
      <c r="U584" s="8">
        <f>IF(OR(T584="",T584=0,G584=""),"",T584*G584)</f>
        <v>0</v>
      </c>
      <c r="V584" s="8">
        <f>IF(OR(S584="",T584="",T584=0),"",CEILING(S584/T584,1))</f>
        <v>0</v>
      </c>
      <c r="W584" s="27"/>
      <c r="X584" s="29"/>
      <c r="Y584" s="8">
        <f>IF(OR(C584="",X584=""),"",C584*(1+X584))</f>
        <v>0</v>
      </c>
      <c r="Z584" s="8">
        <f>IF(B584="","",IFERROR(INDEX(Ingredients!$O$5:$O$304,MATCH(B584,Ingredients!$A$5:$A$304,0)),""))</f>
        <v>0</v>
      </c>
      <c r="AA584" s="8">
        <f>IF(B584="","",IF(R584&gt;=C584,"In pantry","To buy"))</f>
        <v>0</v>
      </c>
      <c r="AB584" s="8">
        <f>IF(A584="","",COUNTIFS($A$5:A584,A584))</f>
        <v>0</v>
      </c>
      <c r="AC584" s="8">
        <f>IF(B584="","",IF(COUNTIFS('Dietary Filters'!$C$5:$C$104,B584)&gt;0,"Check","OK"))</f>
        <v>0</v>
      </c>
      <c r="AD584" s="25"/>
    </row>
    <row r="585" spans="1:30">
      <c r="A585" s="7"/>
      <c r="B585" s="7"/>
      <c r="C585" s="26"/>
      <c r="D585" s="27"/>
      <c r="E585" s="8">
        <f>IF(B585="","",IFERROR(INDEX(Ingredients!$B$5:$B$304,MATCH(B585,Ingredients!$A$5:$A$304,0)),""))</f>
        <v>0</v>
      </c>
      <c r="F585" s="8">
        <f>IF(B585="","",IFERROR(INDEX(Ingredients!$E$5:$E$304,MATCH(B585,Ingredients!$A$5:$A$304,0)),""))</f>
        <v>0</v>
      </c>
      <c r="G585" s="8">
        <f>IF(B585="","",IFERROR(INDEX(Ingredients!$D$5:$D$304,MATCH(B585,Ingredients!$A$5:$A$304,0)),""))</f>
        <v>0</v>
      </c>
      <c r="H585" s="8">
        <f>IF(OR(B585="",C585=""),"",IFERROR(C585*G585,""))</f>
        <v>0</v>
      </c>
      <c r="I585" s="8">
        <f>IF(A585="","",IFERROR(INDEX(Recipes!$D$5:$D$204,MATCH(A585,Recipes!$A$5:$A$204,0)),""))</f>
        <v>0</v>
      </c>
      <c r="J585" s="8">
        <f>IF(OR(H585="",I585="",I585=0),"",IFERROR(H585/I585,""))</f>
        <v>0</v>
      </c>
      <c r="K585" s="8">
        <f>IF(OR(B585="",C585=""),"",IFERROR(C585*IFERROR(INDEX(Ingredients!$H$5:$H$304,MATCH(B585,Ingredients!$A$5:$A$304,0)),""),""))</f>
        <v>0</v>
      </c>
      <c r="L585" s="8">
        <f>IF(OR(B585="",C585=""),"",IFERROR(C585*IFERROR(INDEX(Ingredients!$I$5:$I$304,MATCH(B585,Ingredients!$A$5:$A$304,0)),""),""))</f>
        <v>0</v>
      </c>
      <c r="M585" s="8">
        <f>IF(OR(B585="",C585=""),"",IFERROR(C585*IFERROR(INDEX(Ingredients!$J$5:$J$304,MATCH(B585,Ingredients!$A$5:$A$304,0)),""),""))</f>
        <v>0</v>
      </c>
      <c r="N585" s="8">
        <f>IF(OR(B585="",C585=""),"",IFERROR(C585*IFERROR(INDEX(Ingredients!$K$5:$K$304,MATCH(B585,Ingredients!$A$5:$A$304,0)),""),""))</f>
        <v>0</v>
      </c>
      <c r="O585" s="8">
        <f>IF(OR(B585="",C585=""),"",IFERROR(C585*IFERROR(INDEX(Ingredients!$L$5:$L$304,MATCH(B585,Ingredients!$A$5:$A$304,0)),""),""))</f>
        <v>0</v>
      </c>
      <c r="P585" s="8">
        <f>IF(OR(H585="",A585=""),"",IFERROR(H585/SUMIFS('Recipe Ingredients'!$H$5:$H$1204,'Recipe Ingredients'!$A$5:$A$1204,A585),""))</f>
        <v>0</v>
      </c>
      <c r="Q585" s="8">
        <f>IF(H585="","",COUNTIFS($H$5:$H$1204,"&gt;"&amp;H585)+1)</f>
        <v>0</v>
      </c>
      <c r="R585" s="8">
        <f>IF(B585="","",SUMIFS(Pantry!$C$5:$C$304,Pantry!$A$5:$A$304,B585))</f>
        <v>0</v>
      </c>
      <c r="S585" s="8">
        <f>IF(OR(B585="",C585=""),"",MAX(0,C585-R585))</f>
        <v>0</v>
      </c>
      <c r="T585" s="26"/>
      <c r="U585" s="8">
        <f>IF(OR(T585="",T585=0,G585=""),"",T585*G585)</f>
        <v>0</v>
      </c>
      <c r="V585" s="8">
        <f>IF(OR(S585="",T585="",T585=0),"",CEILING(S585/T585,1))</f>
        <v>0</v>
      </c>
      <c r="W585" s="27"/>
      <c r="X585" s="29"/>
      <c r="Y585" s="8">
        <f>IF(OR(C585="",X585=""),"",C585*(1+X585))</f>
        <v>0</v>
      </c>
      <c r="Z585" s="8">
        <f>IF(B585="","",IFERROR(INDEX(Ingredients!$O$5:$O$304,MATCH(B585,Ingredients!$A$5:$A$304,0)),""))</f>
        <v>0</v>
      </c>
      <c r="AA585" s="8">
        <f>IF(B585="","",IF(R585&gt;=C585,"In pantry","To buy"))</f>
        <v>0</v>
      </c>
      <c r="AB585" s="8">
        <f>IF(A585="","",COUNTIFS($A$5:A585,A585))</f>
        <v>0</v>
      </c>
      <c r="AC585" s="8">
        <f>IF(B585="","",IF(COUNTIFS('Dietary Filters'!$C$5:$C$104,B585)&gt;0,"Check","OK"))</f>
        <v>0</v>
      </c>
      <c r="AD585" s="25"/>
    </row>
    <row r="586" spans="1:30">
      <c r="A586" s="7"/>
      <c r="B586" s="7"/>
      <c r="C586" s="26"/>
      <c r="D586" s="27"/>
      <c r="E586" s="8">
        <f>IF(B586="","",IFERROR(INDEX(Ingredients!$B$5:$B$304,MATCH(B586,Ingredients!$A$5:$A$304,0)),""))</f>
        <v>0</v>
      </c>
      <c r="F586" s="8">
        <f>IF(B586="","",IFERROR(INDEX(Ingredients!$E$5:$E$304,MATCH(B586,Ingredients!$A$5:$A$304,0)),""))</f>
        <v>0</v>
      </c>
      <c r="G586" s="8">
        <f>IF(B586="","",IFERROR(INDEX(Ingredients!$D$5:$D$304,MATCH(B586,Ingredients!$A$5:$A$304,0)),""))</f>
        <v>0</v>
      </c>
      <c r="H586" s="8">
        <f>IF(OR(B586="",C586=""),"",IFERROR(C586*G586,""))</f>
        <v>0</v>
      </c>
      <c r="I586" s="8">
        <f>IF(A586="","",IFERROR(INDEX(Recipes!$D$5:$D$204,MATCH(A586,Recipes!$A$5:$A$204,0)),""))</f>
        <v>0</v>
      </c>
      <c r="J586" s="8">
        <f>IF(OR(H586="",I586="",I586=0),"",IFERROR(H586/I586,""))</f>
        <v>0</v>
      </c>
      <c r="K586" s="8">
        <f>IF(OR(B586="",C586=""),"",IFERROR(C586*IFERROR(INDEX(Ingredients!$H$5:$H$304,MATCH(B586,Ingredients!$A$5:$A$304,0)),""),""))</f>
        <v>0</v>
      </c>
      <c r="L586" s="8">
        <f>IF(OR(B586="",C586=""),"",IFERROR(C586*IFERROR(INDEX(Ingredients!$I$5:$I$304,MATCH(B586,Ingredients!$A$5:$A$304,0)),""),""))</f>
        <v>0</v>
      </c>
      <c r="M586" s="8">
        <f>IF(OR(B586="",C586=""),"",IFERROR(C586*IFERROR(INDEX(Ingredients!$J$5:$J$304,MATCH(B586,Ingredients!$A$5:$A$304,0)),""),""))</f>
        <v>0</v>
      </c>
      <c r="N586" s="8">
        <f>IF(OR(B586="",C586=""),"",IFERROR(C586*IFERROR(INDEX(Ingredients!$K$5:$K$304,MATCH(B586,Ingredients!$A$5:$A$304,0)),""),""))</f>
        <v>0</v>
      </c>
      <c r="O586" s="8">
        <f>IF(OR(B586="",C586=""),"",IFERROR(C586*IFERROR(INDEX(Ingredients!$L$5:$L$304,MATCH(B586,Ingredients!$A$5:$A$304,0)),""),""))</f>
        <v>0</v>
      </c>
      <c r="P586" s="8">
        <f>IF(OR(H586="",A586=""),"",IFERROR(H586/SUMIFS('Recipe Ingredients'!$H$5:$H$1204,'Recipe Ingredients'!$A$5:$A$1204,A586),""))</f>
        <v>0</v>
      </c>
      <c r="Q586" s="8">
        <f>IF(H586="","",COUNTIFS($H$5:$H$1204,"&gt;"&amp;H586)+1)</f>
        <v>0</v>
      </c>
      <c r="R586" s="8">
        <f>IF(B586="","",SUMIFS(Pantry!$C$5:$C$304,Pantry!$A$5:$A$304,B586))</f>
        <v>0</v>
      </c>
      <c r="S586" s="8">
        <f>IF(OR(B586="",C586=""),"",MAX(0,C586-R586))</f>
        <v>0</v>
      </c>
      <c r="T586" s="26"/>
      <c r="U586" s="8">
        <f>IF(OR(T586="",T586=0,G586=""),"",T586*G586)</f>
        <v>0</v>
      </c>
      <c r="V586" s="8">
        <f>IF(OR(S586="",T586="",T586=0),"",CEILING(S586/T586,1))</f>
        <v>0</v>
      </c>
      <c r="W586" s="27"/>
      <c r="X586" s="29"/>
      <c r="Y586" s="8">
        <f>IF(OR(C586="",X586=""),"",C586*(1+X586))</f>
        <v>0</v>
      </c>
      <c r="Z586" s="8">
        <f>IF(B586="","",IFERROR(INDEX(Ingredients!$O$5:$O$304,MATCH(B586,Ingredients!$A$5:$A$304,0)),""))</f>
        <v>0</v>
      </c>
      <c r="AA586" s="8">
        <f>IF(B586="","",IF(R586&gt;=C586,"In pantry","To buy"))</f>
        <v>0</v>
      </c>
      <c r="AB586" s="8">
        <f>IF(A586="","",COUNTIFS($A$5:A586,A586))</f>
        <v>0</v>
      </c>
      <c r="AC586" s="8">
        <f>IF(B586="","",IF(COUNTIFS('Dietary Filters'!$C$5:$C$104,B586)&gt;0,"Check","OK"))</f>
        <v>0</v>
      </c>
      <c r="AD586" s="25"/>
    </row>
    <row r="587" spans="1:30">
      <c r="A587" s="7"/>
      <c r="B587" s="7"/>
      <c r="C587" s="26"/>
      <c r="D587" s="27"/>
      <c r="E587" s="8">
        <f>IF(B587="","",IFERROR(INDEX(Ingredients!$B$5:$B$304,MATCH(B587,Ingredients!$A$5:$A$304,0)),""))</f>
        <v>0</v>
      </c>
      <c r="F587" s="8">
        <f>IF(B587="","",IFERROR(INDEX(Ingredients!$E$5:$E$304,MATCH(B587,Ingredients!$A$5:$A$304,0)),""))</f>
        <v>0</v>
      </c>
      <c r="G587" s="8">
        <f>IF(B587="","",IFERROR(INDEX(Ingredients!$D$5:$D$304,MATCH(B587,Ingredients!$A$5:$A$304,0)),""))</f>
        <v>0</v>
      </c>
      <c r="H587" s="8">
        <f>IF(OR(B587="",C587=""),"",IFERROR(C587*G587,""))</f>
        <v>0</v>
      </c>
      <c r="I587" s="8">
        <f>IF(A587="","",IFERROR(INDEX(Recipes!$D$5:$D$204,MATCH(A587,Recipes!$A$5:$A$204,0)),""))</f>
        <v>0</v>
      </c>
      <c r="J587" s="8">
        <f>IF(OR(H587="",I587="",I587=0),"",IFERROR(H587/I587,""))</f>
        <v>0</v>
      </c>
      <c r="K587" s="8">
        <f>IF(OR(B587="",C587=""),"",IFERROR(C587*IFERROR(INDEX(Ingredients!$H$5:$H$304,MATCH(B587,Ingredients!$A$5:$A$304,0)),""),""))</f>
        <v>0</v>
      </c>
      <c r="L587" s="8">
        <f>IF(OR(B587="",C587=""),"",IFERROR(C587*IFERROR(INDEX(Ingredients!$I$5:$I$304,MATCH(B587,Ingredients!$A$5:$A$304,0)),""),""))</f>
        <v>0</v>
      </c>
      <c r="M587" s="8">
        <f>IF(OR(B587="",C587=""),"",IFERROR(C587*IFERROR(INDEX(Ingredients!$J$5:$J$304,MATCH(B587,Ingredients!$A$5:$A$304,0)),""),""))</f>
        <v>0</v>
      </c>
      <c r="N587" s="8">
        <f>IF(OR(B587="",C587=""),"",IFERROR(C587*IFERROR(INDEX(Ingredients!$K$5:$K$304,MATCH(B587,Ingredients!$A$5:$A$304,0)),""),""))</f>
        <v>0</v>
      </c>
      <c r="O587" s="8">
        <f>IF(OR(B587="",C587=""),"",IFERROR(C587*IFERROR(INDEX(Ingredients!$L$5:$L$304,MATCH(B587,Ingredients!$A$5:$A$304,0)),""),""))</f>
        <v>0</v>
      </c>
      <c r="P587" s="8">
        <f>IF(OR(H587="",A587=""),"",IFERROR(H587/SUMIFS('Recipe Ingredients'!$H$5:$H$1204,'Recipe Ingredients'!$A$5:$A$1204,A587),""))</f>
        <v>0</v>
      </c>
      <c r="Q587" s="8">
        <f>IF(H587="","",COUNTIFS($H$5:$H$1204,"&gt;"&amp;H587)+1)</f>
        <v>0</v>
      </c>
      <c r="R587" s="8">
        <f>IF(B587="","",SUMIFS(Pantry!$C$5:$C$304,Pantry!$A$5:$A$304,B587))</f>
        <v>0</v>
      </c>
      <c r="S587" s="8">
        <f>IF(OR(B587="",C587=""),"",MAX(0,C587-R587))</f>
        <v>0</v>
      </c>
      <c r="T587" s="26"/>
      <c r="U587" s="8">
        <f>IF(OR(T587="",T587=0,G587=""),"",T587*G587)</f>
        <v>0</v>
      </c>
      <c r="V587" s="8">
        <f>IF(OR(S587="",T587="",T587=0),"",CEILING(S587/T587,1))</f>
        <v>0</v>
      </c>
      <c r="W587" s="27"/>
      <c r="X587" s="29"/>
      <c r="Y587" s="8">
        <f>IF(OR(C587="",X587=""),"",C587*(1+X587))</f>
        <v>0</v>
      </c>
      <c r="Z587" s="8">
        <f>IF(B587="","",IFERROR(INDEX(Ingredients!$O$5:$O$304,MATCH(B587,Ingredients!$A$5:$A$304,0)),""))</f>
        <v>0</v>
      </c>
      <c r="AA587" s="8">
        <f>IF(B587="","",IF(R587&gt;=C587,"In pantry","To buy"))</f>
        <v>0</v>
      </c>
      <c r="AB587" s="8">
        <f>IF(A587="","",COUNTIFS($A$5:A587,A587))</f>
        <v>0</v>
      </c>
      <c r="AC587" s="8">
        <f>IF(B587="","",IF(COUNTIFS('Dietary Filters'!$C$5:$C$104,B587)&gt;0,"Check","OK"))</f>
        <v>0</v>
      </c>
      <c r="AD587" s="25"/>
    </row>
    <row r="588" spans="1:30">
      <c r="A588" s="7"/>
      <c r="B588" s="7"/>
      <c r="C588" s="26"/>
      <c r="D588" s="27"/>
      <c r="E588" s="8">
        <f>IF(B588="","",IFERROR(INDEX(Ingredients!$B$5:$B$304,MATCH(B588,Ingredients!$A$5:$A$304,0)),""))</f>
        <v>0</v>
      </c>
      <c r="F588" s="8">
        <f>IF(B588="","",IFERROR(INDEX(Ingredients!$E$5:$E$304,MATCH(B588,Ingredients!$A$5:$A$304,0)),""))</f>
        <v>0</v>
      </c>
      <c r="G588" s="8">
        <f>IF(B588="","",IFERROR(INDEX(Ingredients!$D$5:$D$304,MATCH(B588,Ingredients!$A$5:$A$304,0)),""))</f>
        <v>0</v>
      </c>
      <c r="H588" s="8">
        <f>IF(OR(B588="",C588=""),"",IFERROR(C588*G588,""))</f>
        <v>0</v>
      </c>
      <c r="I588" s="8">
        <f>IF(A588="","",IFERROR(INDEX(Recipes!$D$5:$D$204,MATCH(A588,Recipes!$A$5:$A$204,0)),""))</f>
        <v>0</v>
      </c>
      <c r="J588" s="8">
        <f>IF(OR(H588="",I588="",I588=0),"",IFERROR(H588/I588,""))</f>
        <v>0</v>
      </c>
      <c r="K588" s="8">
        <f>IF(OR(B588="",C588=""),"",IFERROR(C588*IFERROR(INDEX(Ingredients!$H$5:$H$304,MATCH(B588,Ingredients!$A$5:$A$304,0)),""),""))</f>
        <v>0</v>
      </c>
      <c r="L588" s="8">
        <f>IF(OR(B588="",C588=""),"",IFERROR(C588*IFERROR(INDEX(Ingredients!$I$5:$I$304,MATCH(B588,Ingredients!$A$5:$A$304,0)),""),""))</f>
        <v>0</v>
      </c>
      <c r="M588" s="8">
        <f>IF(OR(B588="",C588=""),"",IFERROR(C588*IFERROR(INDEX(Ingredients!$J$5:$J$304,MATCH(B588,Ingredients!$A$5:$A$304,0)),""),""))</f>
        <v>0</v>
      </c>
      <c r="N588" s="8">
        <f>IF(OR(B588="",C588=""),"",IFERROR(C588*IFERROR(INDEX(Ingredients!$K$5:$K$304,MATCH(B588,Ingredients!$A$5:$A$304,0)),""),""))</f>
        <v>0</v>
      </c>
      <c r="O588" s="8">
        <f>IF(OR(B588="",C588=""),"",IFERROR(C588*IFERROR(INDEX(Ingredients!$L$5:$L$304,MATCH(B588,Ingredients!$A$5:$A$304,0)),""),""))</f>
        <v>0</v>
      </c>
      <c r="P588" s="8">
        <f>IF(OR(H588="",A588=""),"",IFERROR(H588/SUMIFS('Recipe Ingredients'!$H$5:$H$1204,'Recipe Ingredients'!$A$5:$A$1204,A588),""))</f>
        <v>0</v>
      </c>
      <c r="Q588" s="8">
        <f>IF(H588="","",COUNTIFS($H$5:$H$1204,"&gt;"&amp;H588)+1)</f>
        <v>0</v>
      </c>
      <c r="R588" s="8">
        <f>IF(B588="","",SUMIFS(Pantry!$C$5:$C$304,Pantry!$A$5:$A$304,B588))</f>
        <v>0</v>
      </c>
      <c r="S588" s="8">
        <f>IF(OR(B588="",C588=""),"",MAX(0,C588-R588))</f>
        <v>0</v>
      </c>
      <c r="T588" s="26"/>
      <c r="U588" s="8">
        <f>IF(OR(T588="",T588=0,G588=""),"",T588*G588)</f>
        <v>0</v>
      </c>
      <c r="V588" s="8">
        <f>IF(OR(S588="",T588="",T588=0),"",CEILING(S588/T588,1))</f>
        <v>0</v>
      </c>
      <c r="W588" s="27"/>
      <c r="X588" s="29"/>
      <c r="Y588" s="8">
        <f>IF(OR(C588="",X588=""),"",C588*(1+X588))</f>
        <v>0</v>
      </c>
      <c r="Z588" s="8">
        <f>IF(B588="","",IFERROR(INDEX(Ingredients!$O$5:$O$304,MATCH(B588,Ingredients!$A$5:$A$304,0)),""))</f>
        <v>0</v>
      </c>
      <c r="AA588" s="8">
        <f>IF(B588="","",IF(R588&gt;=C588,"In pantry","To buy"))</f>
        <v>0</v>
      </c>
      <c r="AB588" s="8">
        <f>IF(A588="","",COUNTIFS($A$5:A588,A588))</f>
        <v>0</v>
      </c>
      <c r="AC588" s="8">
        <f>IF(B588="","",IF(COUNTIFS('Dietary Filters'!$C$5:$C$104,B588)&gt;0,"Check","OK"))</f>
        <v>0</v>
      </c>
      <c r="AD588" s="25"/>
    </row>
    <row r="589" spans="1:30">
      <c r="A589" s="7"/>
      <c r="B589" s="7"/>
      <c r="C589" s="26"/>
      <c r="D589" s="27"/>
      <c r="E589" s="8">
        <f>IF(B589="","",IFERROR(INDEX(Ingredients!$B$5:$B$304,MATCH(B589,Ingredients!$A$5:$A$304,0)),""))</f>
        <v>0</v>
      </c>
      <c r="F589" s="8">
        <f>IF(B589="","",IFERROR(INDEX(Ingredients!$E$5:$E$304,MATCH(B589,Ingredients!$A$5:$A$304,0)),""))</f>
        <v>0</v>
      </c>
      <c r="G589" s="8">
        <f>IF(B589="","",IFERROR(INDEX(Ingredients!$D$5:$D$304,MATCH(B589,Ingredients!$A$5:$A$304,0)),""))</f>
        <v>0</v>
      </c>
      <c r="H589" s="8">
        <f>IF(OR(B589="",C589=""),"",IFERROR(C589*G589,""))</f>
        <v>0</v>
      </c>
      <c r="I589" s="8">
        <f>IF(A589="","",IFERROR(INDEX(Recipes!$D$5:$D$204,MATCH(A589,Recipes!$A$5:$A$204,0)),""))</f>
        <v>0</v>
      </c>
      <c r="J589" s="8">
        <f>IF(OR(H589="",I589="",I589=0),"",IFERROR(H589/I589,""))</f>
        <v>0</v>
      </c>
      <c r="K589" s="8">
        <f>IF(OR(B589="",C589=""),"",IFERROR(C589*IFERROR(INDEX(Ingredients!$H$5:$H$304,MATCH(B589,Ingredients!$A$5:$A$304,0)),""),""))</f>
        <v>0</v>
      </c>
      <c r="L589" s="8">
        <f>IF(OR(B589="",C589=""),"",IFERROR(C589*IFERROR(INDEX(Ingredients!$I$5:$I$304,MATCH(B589,Ingredients!$A$5:$A$304,0)),""),""))</f>
        <v>0</v>
      </c>
      <c r="M589" s="8">
        <f>IF(OR(B589="",C589=""),"",IFERROR(C589*IFERROR(INDEX(Ingredients!$J$5:$J$304,MATCH(B589,Ingredients!$A$5:$A$304,0)),""),""))</f>
        <v>0</v>
      </c>
      <c r="N589" s="8">
        <f>IF(OR(B589="",C589=""),"",IFERROR(C589*IFERROR(INDEX(Ingredients!$K$5:$K$304,MATCH(B589,Ingredients!$A$5:$A$304,0)),""),""))</f>
        <v>0</v>
      </c>
      <c r="O589" s="8">
        <f>IF(OR(B589="",C589=""),"",IFERROR(C589*IFERROR(INDEX(Ingredients!$L$5:$L$304,MATCH(B589,Ingredients!$A$5:$A$304,0)),""),""))</f>
        <v>0</v>
      </c>
      <c r="P589" s="8">
        <f>IF(OR(H589="",A589=""),"",IFERROR(H589/SUMIFS('Recipe Ingredients'!$H$5:$H$1204,'Recipe Ingredients'!$A$5:$A$1204,A589),""))</f>
        <v>0</v>
      </c>
      <c r="Q589" s="8">
        <f>IF(H589="","",COUNTIFS($H$5:$H$1204,"&gt;"&amp;H589)+1)</f>
        <v>0</v>
      </c>
      <c r="R589" s="8">
        <f>IF(B589="","",SUMIFS(Pantry!$C$5:$C$304,Pantry!$A$5:$A$304,B589))</f>
        <v>0</v>
      </c>
      <c r="S589" s="8">
        <f>IF(OR(B589="",C589=""),"",MAX(0,C589-R589))</f>
        <v>0</v>
      </c>
      <c r="T589" s="26"/>
      <c r="U589" s="8">
        <f>IF(OR(T589="",T589=0,G589=""),"",T589*G589)</f>
        <v>0</v>
      </c>
      <c r="V589" s="8">
        <f>IF(OR(S589="",T589="",T589=0),"",CEILING(S589/T589,1))</f>
        <v>0</v>
      </c>
      <c r="W589" s="27"/>
      <c r="X589" s="29"/>
      <c r="Y589" s="8">
        <f>IF(OR(C589="",X589=""),"",C589*(1+X589))</f>
        <v>0</v>
      </c>
      <c r="Z589" s="8">
        <f>IF(B589="","",IFERROR(INDEX(Ingredients!$O$5:$O$304,MATCH(B589,Ingredients!$A$5:$A$304,0)),""))</f>
        <v>0</v>
      </c>
      <c r="AA589" s="8">
        <f>IF(B589="","",IF(R589&gt;=C589,"In pantry","To buy"))</f>
        <v>0</v>
      </c>
      <c r="AB589" s="8">
        <f>IF(A589="","",COUNTIFS($A$5:A589,A589))</f>
        <v>0</v>
      </c>
      <c r="AC589" s="8">
        <f>IF(B589="","",IF(COUNTIFS('Dietary Filters'!$C$5:$C$104,B589)&gt;0,"Check","OK"))</f>
        <v>0</v>
      </c>
      <c r="AD589" s="25"/>
    </row>
    <row r="590" spans="1:30">
      <c r="A590" s="7"/>
      <c r="B590" s="7"/>
      <c r="C590" s="26"/>
      <c r="D590" s="27"/>
      <c r="E590" s="8">
        <f>IF(B590="","",IFERROR(INDEX(Ingredients!$B$5:$B$304,MATCH(B590,Ingredients!$A$5:$A$304,0)),""))</f>
        <v>0</v>
      </c>
      <c r="F590" s="8">
        <f>IF(B590="","",IFERROR(INDEX(Ingredients!$E$5:$E$304,MATCH(B590,Ingredients!$A$5:$A$304,0)),""))</f>
        <v>0</v>
      </c>
      <c r="G590" s="8">
        <f>IF(B590="","",IFERROR(INDEX(Ingredients!$D$5:$D$304,MATCH(B590,Ingredients!$A$5:$A$304,0)),""))</f>
        <v>0</v>
      </c>
      <c r="H590" s="8">
        <f>IF(OR(B590="",C590=""),"",IFERROR(C590*G590,""))</f>
        <v>0</v>
      </c>
      <c r="I590" s="8">
        <f>IF(A590="","",IFERROR(INDEX(Recipes!$D$5:$D$204,MATCH(A590,Recipes!$A$5:$A$204,0)),""))</f>
        <v>0</v>
      </c>
      <c r="J590" s="8">
        <f>IF(OR(H590="",I590="",I590=0),"",IFERROR(H590/I590,""))</f>
        <v>0</v>
      </c>
      <c r="K590" s="8">
        <f>IF(OR(B590="",C590=""),"",IFERROR(C590*IFERROR(INDEX(Ingredients!$H$5:$H$304,MATCH(B590,Ingredients!$A$5:$A$304,0)),""),""))</f>
        <v>0</v>
      </c>
      <c r="L590" s="8">
        <f>IF(OR(B590="",C590=""),"",IFERROR(C590*IFERROR(INDEX(Ingredients!$I$5:$I$304,MATCH(B590,Ingredients!$A$5:$A$304,0)),""),""))</f>
        <v>0</v>
      </c>
      <c r="M590" s="8">
        <f>IF(OR(B590="",C590=""),"",IFERROR(C590*IFERROR(INDEX(Ingredients!$J$5:$J$304,MATCH(B590,Ingredients!$A$5:$A$304,0)),""),""))</f>
        <v>0</v>
      </c>
      <c r="N590" s="8">
        <f>IF(OR(B590="",C590=""),"",IFERROR(C590*IFERROR(INDEX(Ingredients!$K$5:$K$304,MATCH(B590,Ingredients!$A$5:$A$304,0)),""),""))</f>
        <v>0</v>
      </c>
      <c r="O590" s="8">
        <f>IF(OR(B590="",C590=""),"",IFERROR(C590*IFERROR(INDEX(Ingredients!$L$5:$L$304,MATCH(B590,Ingredients!$A$5:$A$304,0)),""),""))</f>
        <v>0</v>
      </c>
      <c r="P590" s="8">
        <f>IF(OR(H590="",A590=""),"",IFERROR(H590/SUMIFS('Recipe Ingredients'!$H$5:$H$1204,'Recipe Ingredients'!$A$5:$A$1204,A590),""))</f>
        <v>0</v>
      </c>
      <c r="Q590" s="8">
        <f>IF(H590="","",COUNTIFS($H$5:$H$1204,"&gt;"&amp;H590)+1)</f>
        <v>0</v>
      </c>
      <c r="R590" s="8">
        <f>IF(B590="","",SUMIFS(Pantry!$C$5:$C$304,Pantry!$A$5:$A$304,B590))</f>
        <v>0</v>
      </c>
      <c r="S590" s="8">
        <f>IF(OR(B590="",C590=""),"",MAX(0,C590-R590))</f>
        <v>0</v>
      </c>
      <c r="T590" s="26"/>
      <c r="U590" s="8">
        <f>IF(OR(T590="",T590=0,G590=""),"",T590*G590)</f>
        <v>0</v>
      </c>
      <c r="V590" s="8">
        <f>IF(OR(S590="",T590="",T590=0),"",CEILING(S590/T590,1))</f>
        <v>0</v>
      </c>
      <c r="W590" s="27"/>
      <c r="X590" s="29"/>
      <c r="Y590" s="8">
        <f>IF(OR(C590="",X590=""),"",C590*(1+X590))</f>
        <v>0</v>
      </c>
      <c r="Z590" s="8">
        <f>IF(B590="","",IFERROR(INDEX(Ingredients!$O$5:$O$304,MATCH(B590,Ingredients!$A$5:$A$304,0)),""))</f>
        <v>0</v>
      </c>
      <c r="AA590" s="8">
        <f>IF(B590="","",IF(R590&gt;=C590,"In pantry","To buy"))</f>
        <v>0</v>
      </c>
      <c r="AB590" s="8">
        <f>IF(A590="","",COUNTIFS($A$5:A590,A590))</f>
        <v>0</v>
      </c>
      <c r="AC590" s="8">
        <f>IF(B590="","",IF(COUNTIFS('Dietary Filters'!$C$5:$C$104,B590)&gt;0,"Check","OK"))</f>
        <v>0</v>
      </c>
      <c r="AD590" s="25"/>
    </row>
    <row r="591" spans="1:30">
      <c r="A591" s="7"/>
      <c r="B591" s="7"/>
      <c r="C591" s="26"/>
      <c r="D591" s="27"/>
      <c r="E591" s="8">
        <f>IF(B591="","",IFERROR(INDEX(Ingredients!$B$5:$B$304,MATCH(B591,Ingredients!$A$5:$A$304,0)),""))</f>
        <v>0</v>
      </c>
      <c r="F591" s="8">
        <f>IF(B591="","",IFERROR(INDEX(Ingredients!$E$5:$E$304,MATCH(B591,Ingredients!$A$5:$A$304,0)),""))</f>
        <v>0</v>
      </c>
      <c r="G591" s="8">
        <f>IF(B591="","",IFERROR(INDEX(Ingredients!$D$5:$D$304,MATCH(B591,Ingredients!$A$5:$A$304,0)),""))</f>
        <v>0</v>
      </c>
      <c r="H591" s="8">
        <f>IF(OR(B591="",C591=""),"",IFERROR(C591*G591,""))</f>
        <v>0</v>
      </c>
      <c r="I591" s="8">
        <f>IF(A591="","",IFERROR(INDEX(Recipes!$D$5:$D$204,MATCH(A591,Recipes!$A$5:$A$204,0)),""))</f>
        <v>0</v>
      </c>
      <c r="J591" s="8">
        <f>IF(OR(H591="",I591="",I591=0),"",IFERROR(H591/I591,""))</f>
        <v>0</v>
      </c>
      <c r="K591" s="8">
        <f>IF(OR(B591="",C591=""),"",IFERROR(C591*IFERROR(INDEX(Ingredients!$H$5:$H$304,MATCH(B591,Ingredients!$A$5:$A$304,0)),""),""))</f>
        <v>0</v>
      </c>
      <c r="L591" s="8">
        <f>IF(OR(B591="",C591=""),"",IFERROR(C591*IFERROR(INDEX(Ingredients!$I$5:$I$304,MATCH(B591,Ingredients!$A$5:$A$304,0)),""),""))</f>
        <v>0</v>
      </c>
      <c r="M591" s="8">
        <f>IF(OR(B591="",C591=""),"",IFERROR(C591*IFERROR(INDEX(Ingredients!$J$5:$J$304,MATCH(B591,Ingredients!$A$5:$A$304,0)),""),""))</f>
        <v>0</v>
      </c>
      <c r="N591" s="8">
        <f>IF(OR(B591="",C591=""),"",IFERROR(C591*IFERROR(INDEX(Ingredients!$K$5:$K$304,MATCH(B591,Ingredients!$A$5:$A$304,0)),""),""))</f>
        <v>0</v>
      </c>
      <c r="O591" s="8">
        <f>IF(OR(B591="",C591=""),"",IFERROR(C591*IFERROR(INDEX(Ingredients!$L$5:$L$304,MATCH(B591,Ingredients!$A$5:$A$304,0)),""),""))</f>
        <v>0</v>
      </c>
      <c r="P591" s="8">
        <f>IF(OR(H591="",A591=""),"",IFERROR(H591/SUMIFS('Recipe Ingredients'!$H$5:$H$1204,'Recipe Ingredients'!$A$5:$A$1204,A591),""))</f>
        <v>0</v>
      </c>
      <c r="Q591" s="8">
        <f>IF(H591="","",COUNTIFS($H$5:$H$1204,"&gt;"&amp;H591)+1)</f>
        <v>0</v>
      </c>
      <c r="R591" s="8">
        <f>IF(B591="","",SUMIFS(Pantry!$C$5:$C$304,Pantry!$A$5:$A$304,B591))</f>
        <v>0</v>
      </c>
      <c r="S591" s="8">
        <f>IF(OR(B591="",C591=""),"",MAX(0,C591-R591))</f>
        <v>0</v>
      </c>
      <c r="T591" s="26"/>
      <c r="U591" s="8">
        <f>IF(OR(T591="",T591=0,G591=""),"",T591*G591)</f>
        <v>0</v>
      </c>
      <c r="V591" s="8">
        <f>IF(OR(S591="",T591="",T591=0),"",CEILING(S591/T591,1))</f>
        <v>0</v>
      </c>
      <c r="W591" s="27"/>
      <c r="X591" s="29"/>
      <c r="Y591" s="8">
        <f>IF(OR(C591="",X591=""),"",C591*(1+X591))</f>
        <v>0</v>
      </c>
      <c r="Z591" s="8">
        <f>IF(B591="","",IFERROR(INDEX(Ingredients!$O$5:$O$304,MATCH(B591,Ingredients!$A$5:$A$304,0)),""))</f>
        <v>0</v>
      </c>
      <c r="AA591" s="8">
        <f>IF(B591="","",IF(R591&gt;=C591,"In pantry","To buy"))</f>
        <v>0</v>
      </c>
      <c r="AB591" s="8">
        <f>IF(A591="","",COUNTIFS($A$5:A591,A591))</f>
        <v>0</v>
      </c>
      <c r="AC591" s="8">
        <f>IF(B591="","",IF(COUNTIFS('Dietary Filters'!$C$5:$C$104,B591)&gt;0,"Check","OK"))</f>
        <v>0</v>
      </c>
      <c r="AD591" s="25"/>
    </row>
    <row r="592" spans="1:30">
      <c r="A592" s="7"/>
      <c r="B592" s="7"/>
      <c r="C592" s="26"/>
      <c r="D592" s="27"/>
      <c r="E592" s="8">
        <f>IF(B592="","",IFERROR(INDEX(Ingredients!$B$5:$B$304,MATCH(B592,Ingredients!$A$5:$A$304,0)),""))</f>
        <v>0</v>
      </c>
      <c r="F592" s="8">
        <f>IF(B592="","",IFERROR(INDEX(Ingredients!$E$5:$E$304,MATCH(B592,Ingredients!$A$5:$A$304,0)),""))</f>
        <v>0</v>
      </c>
      <c r="G592" s="8">
        <f>IF(B592="","",IFERROR(INDEX(Ingredients!$D$5:$D$304,MATCH(B592,Ingredients!$A$5:$A$304,0)),""))</f>
        <v>0</v>
      </c>
      <c r="H592" s="8">
        <f>IF(OR(B592="",C592=""),"",IFERROR(C592*G592,""))</f>
        <v>0</v>
      </c>
      <c r="I592" s="8">
        <f>IF(A592="","",IFERROR(INDEX(Recipes!$D$5:$D$204,MATCH(A592,Recipes!$A$5:$A$204,0)),""))</f>
        <v>0</v>
      </c>
      <c r="J592" s="8">
        <f>IF(OR(H592="",I592="",I592=0),"",IFERROR(H592/I592,""))</f>
        <v>0</v>
      </c>
      <c r="K592" s="8">
        <f>IF(OR(B592="",C592=""),"",IFERROR(C592*IFERROR(INDEX(Ingredients!$H$5:$H$304,MATCH(B592,Ingredients!$A$5:$A$304,0)),""),""))</f>
        <v>0</v>
      </c>
      <c r="L592" s="8">
        <f>IF(OR(B592="",C592=""),"",IFERROR(C592*IFERROR(INDEX(Ingredients!$I$5:$I$304,MATCH(B592,Ingredients!$A$5:$A$304,0)),""),""))</f>
        <v>0</v>
      </c>
      <c r="M592" s="8">
        <f>IF(OR(B592="",C592=""),"",IFERROR(C592*IFERROR(INDEX(Ingredients!$J$5:$J$304,MATCH(B592,Ingredients!$A$5:$A$304,0)),""),""))</f>
        <v>0</v>
      </c>
      <c r="N592" s="8">
        <f>IF(OR(B592="",C592=""),"",IFERROR(C592*IFERROR(INDEX(Ingredients!$K$5:$K$304,MATCH(B592,Ingredients!$A$5:$A$304,0)),""),""))</f>
        <v>0</v>
      </c>
      <c r="O592" s="8">
        <f>IF(OR(B592="",C592=""),"",IFERROR(C592*IFERROR(INDEX(Ingredients!$L$5:$L$304,MATCH(B592,Ingredients!$A$5:$A$304,0)),""),""))</f>
        <v>0</v>
      </c>
      <c r="P592" s="8">
        <f>IF(OR(H592="",A592=""),"",IFERROR(H592/SUMIFS('Recipe Ingredients'!$H$5:$H$1204,'Recipe Ingredients'!$A$5:$A$1204,A592),""))</f>
        <v>0</v>
      </c>
      <c r="Q592" s="8">
        <f>IF(H592="","",COUNTIFS($H$5:$H$1204,"&gt;"&amp;H592)+1)</f>
        <v>0</v>
      </c>
      <c r="R592" s="8">
        <f>IF(B592="","",SUMIFS(Pantry!$C$5:$C$304,Pantry!$A$5:$A$304,B592))</f>
        <v>0</v>
      </c>
      <c r="S592" s="8">
        <f>IF(OR(B592="",C592=""),"",MAX(0,C592-R592))</f>
        <v>0</v>
      </c>
      <c r="T592" s="26"/>
      <c r="U592" s="8">
        <f>IF(OR(T592="",T592=0,G592=""),"",T592*G592)</f>
        <v>0</v>
      </c>
      <c r="V592" s="8">
        <f>IF(OR(S592="",T592="",T592=0),"",CEILING(S592/T592,1))</f>
        <v>0</v>
      </c>
      <c r="W592" s="27"/>
      <c r="X592" s="29"/>
      <c r="Y592" s="8">
        <f>IF(OR(C592="",X592=""),"",C592*(1+X592))</f>
        <v>0</v>
      </c>
      <c r="Z592" s="8">
        <f>IF(B592="","",IFERROR(INDEX(Ingredients!$O$5:$O$304,MATCH(B592,Ingredients!$A$5:$A$304,0)),""))</f>
        <v>0</v>
      </c>
      <c r="AA592" s="8">
        <f>IF(B592="","",IF(R592&gt;=C592,"In pantry","To buy"))</f>
        <v>0</v>
      </c>
      <c r="AB592" s="8">
        <f>IF(A592="","",COUNTIFS($A$5:A592,A592))</f>
        <v>0</v>
      </c>
      <c r="AC592" s="8">
        <f>IF(B592="","",IF(COUNTIFS('Dietary Filters'!$C$5:$C$104,B592)&gt;0,"Check","OK"))</f>
        <v>0</v>
      </c>
      <c r="AD592" s="25"/>
    </row>
    <row r="593" spans="1:30">
      <c r="A593" s="7"/>
      <c r="B593" s="7"/>
      <c r="C593" s="26"/>
      <c r="D593" s="27"/>
      <c r="E593" s="8">
        <f>IF(B593="","",IFERROR(INDEX(Ingredients!$B$5:$B$304,MATCH(B593,Ingredients!$A$5:$A$304,0)),""))</f>
        <v>0</v>
      </c>
      <c r="F593" s="8">
        <f>IF(B593="","",IFERROR(INDEX(Ingredients!$E$5:$E$304,MATCH(B593,Ingredients!$A$5:$A$304,0)),""))</f>
        <v>0</v>
      </c>
      <c r="G593" s="8">
        <f>IF(B593="","",IFERROR(INDEX(Ingredients!$D$5:$D$304,MATCH(B593,Ingredients!$A$5:$A$304,0)),""))</f>
        <v>0</v>
      </c>
      <c r="H593" s="8">
        <f>IF(OR(B593="",C593=""),"",IFERROR(C593*G593,""))</f>
        <v>0</v>
      </c>
      <c r="I593" s="8">
        <f>IF(A593="","",IFERROR(INDEX(Recipes!$D$5:$D$204,MATCH(A593,Recipes!$A$5:$A$204,0)),""))</f>
        <v>0</v>
      </c>
      <c r="J593" s="8">
        <f>IF(OR(H593="",I593="",I593=0),"",IFERROR(H593/I593,""))</f>
        <v>0</v>
      </c>
      <c r="K593" s="8">
        <f>IF(OR(B593="",C593=""),"",IFERROR(C593*IFERROR(INDEX(Ingredients!$H$5:$H$304,MATCH(B593,Ingredients!$A$5:$A$304,0)),""),""))</f>
        <v>0</v>
      </c>
      <c r="L593" s="8">
        <f>IF(OR(B593="",C593=""),"",IFERROR(C593*IFERROR(INDEX(Ingredients!$I$5:$I$304,MATCH(B593,Ingredients!$A$5:$A$304,0)),""),""))</f>
        <v>0</v>
      </c>
      <c r="M593" s="8">
        <f>IF(OR(B593="",C593=""),"",IFERROR(C593*IFERROR(INDEX(Ingredients!$J$5:$J$304,MATCH(B593,Ingredients!$A$5:$A$304,0)),""),""))</f>
        <v>0</v>
      </c>
      <c r="N593" s="8">
        <f>IF(OR(B593="",C593=""),"",IFERROR(C593*IFERROR(INDEX(Ingredients!$K$5:$K$304,MATCH(B593,Ingredients!$A$5:$A$304,0)),""),""))</f>
        <v>0</v>
      </c>
      <c r="O593" s="8">
        <f>IF(OR(B593="",C593=""),"",IFERROR(C593*IFERROR(INDEX(Ingredients!$L$5:$L$304,MATCH(B593,Ingredients!$A$5:$A$304,0)),""),""))</f>
        <v>0</v>
      </c>
      <c r="P593" s="8">
        <f>IF(OR(H593="",A593=""),"",IFERROR(H593/SUMIFS('Recipe Ingredients'!$H$5:$H$1204,'Recipe Ingredients'!$A$5:$A$1204,A593),""))</f>
        <v>0</v>
      </c>
      <c r="Q593" s="8">
        <f>IF(H593="","",COUNTIFS($H$5:$H$1204,"&gt;"&amp;H593)+1)</f>
        <v>0</v>
      </c>
      <c r="R593" s="8">
        <f>IF(B593="","",SUMIFS(Pantry!$C$5:$C$304,Pantry!$A$5:$A$304,B593))</f>
        <v>0</v>
      </c>
      <c r="S593" s="8">
        <f>IF(OR(B593="",C593=""),"",MAX(0,C593-R593))</f>
        <v>0</v>
      </c>
      <c r="T593" s="26"/>
      <c r="U593" s="8">
        <f>IF(OR(T593="",T593=0,G593=""),"",T593*G593)</f>
        <v>0</v>
      </c>
      <c r="V593" s="8">
        <f>IF(OR(S593="",T593="",T593=0),"",CEILING(S593/T593,1))</f>
        <v>0</v>
      </c>
      <c r="W593" s="27"/>
      <c r="X593" s="29"/>
      <c r="Y593" s="8">
        <f>IF(OR(C593="",X593=""),"",C593*(1+X593))</f>
        <v>0</v>
      </c>
      <c r="Z593" s="8">
        <f>IF(B593="","",IFERROR(INDEX(Ingredients!$O$5:$O$304,MATCH(B593,Ingredients!$A$5:$A$304,0)),""))</f>
        <v>0</v>
      </c>
      <c r="AA593" s="8">
        <f>IF(B593="","",IF(R593&gt;=C593,"In pantry","To buy"))</f>
        <v>0</v>
      </c>
      <c r="AB593" s="8">
        <f>IF(A593="","",COUNTIFS($A$5:A593,A593))</f>
        <v>0</v>
      </c>
      <c r="AC593" s="8">
        <f>IF(B593="","",IF(COUNTIFS('Dietary Filters'!$C$5:$C$104,B593)&gt;0,"Check","OK"))</f>
        <v>0</v>
      </c>
      <c r="AD593" s="25"/>
    </row>
    <row r="594" spans="1:30">
      <c r="A594" s="7"/>
      <c r="B594" s="7"/>
      <c r="C594" s="26"/>
      <c r="D594" s="27"/>
      <c r="E594" s="8">
        <f>IF(B594="","",IFERROR(INDEX(Ingredients!$B$5:$B$304,MATCH(B594,Ingredients!$A$5:$A$304,0)),""))</f>
        <v>0</v>
      </c>
      <c r="F594" s="8">
        <f>IF(B594="","",IFERROR(INDEX(Ingredients!$E$5:$E$304,MATCH(B594,Ingredients!$A$5:$A$304,0)),""))</f>
        <v>0</v>
      </c>
      <c r="G594" s="8">
        <f>IF(B594="","",IFERROR(INDEX(Ingredients!$D$5:$D$304,MATCH(B594,Ingredients!$A$5:$A$304,0)),""))</f>
        <v>0</v>
      </c>
      <c r="H594" s="8">
        <f>IF(OR(B594="",C594=""),"",IFERROR(C594*G594,""))</f>
        <v>0</v>
      </c>
      <c r="I594" s="8">
        <f>IF(A594="","",IFERROR(INDEX(Recipes!$D$5:$D$204,MATCH(A594,Recipes!$A$5:$A$204,0)),""))</f>
        <v>0</v>
      </c>
      <c r="J594" s="8">
        <f>IF(OR(H594="",I594="",I594=0),"",IFERROR(H594/I594,""))</f>
        <v>0</v>
      </c>
      <c r="K594" s="8">
        <f>IF(OR(B594="",C594=""),"",IFERROR(C594*IFERROR(INDEX(Ingredients!$H$5:$H$304,MATCH(B594,Ingredients!$A$5:$A$304,0)),""),""))</f>
        <v>0</v>
      </c>
      <c r="L594" s="8">
        <f>IF(OR(B594="",C594=""),"",IFERROR(C594*IFERROR(INDEX(Ingredients!$I$5:$I$304,MATCH(B594,Ingredients!$A$5:$A$304,0)),""),""))</f>
        <v>0</v>
      </c>
      <c r="M594" s="8">
        <f>IF(OR(B594="",C594=""),"",IFERROR(C594*IFERROR(INDEX(Ingredients!$J$5:$J$304,MATCH(B594,Ingredients!$A$5:$A$304,0)),""),""))</f>
        <v>0</v>
      </c>
      <c r="N594" s="8">
        <f>IF(OR(B594="",C594=""),"",IFERROR(C594*IFERROR(INDEX(Ingredients!$K$5:$K$304,MATCH(B594,Ingredients!$A$5:$A$304,0)),""),""))</f>
        <v>0</v>
      </c>
      <c r="O594" s="8">
        <f>IF(OR(B594="",C594=""),"",IFERROR(C594*IFERROR(INDEX(Ingredients!$L$5:$L$304,MATCH(B594,Ingredients!$A$5:$A$304,0)),""),""))</f>
        <v>0</v>
      </c>
      <c r="P594" s="8">
        <f>IF(OR(H594="",A594=""),"",IFERROR(H594/SUMIFS('Recipe Ingredients'!$H$5:$H$1204,'Recipe Ingredients'!$A$5:$A$1204,A594),""))</f>
        <v>0</v>
      </c>
      <c r="Q594" s="8">
        <f>IF(H594="","",COUNTIFS($H$5:$H$1204,"&gt;"&amp;H594)+1)</f>
        <v>0</v>
      </c>
      <c r="R594" s="8">
        <f>IF(B594="","",SUMIFS(Pantry!$C$5:$C$304,Pantry!$A$5:$A$304,B594))</f>
        <v>0</v>
      </c>
      <c r="S594" s="8">
        <f>IF(OR(B594="",C594=""),"",MAX(0,C594-R594))</f>
        <v>0</v>
      </c>
      <c r="T594" s="26"/>
      <c r="U594" s="8">
        <f>IF(OR(T594="",T594=0,G594=""),"",T594*G594)</f>
        <v>0</v>
      </c>
      <c r="V594" s="8">
        <f>IF(OR(S594="",T594="",T594=0),"",CEILING(S594/T594,1))</f>
        <v>0</v>
      </c>
      <c r="W594" s="27"/>
      <c r="X594" s="29"/>
      <c r="Y594" s="8">
        <f>IF(OR(C594="",X594=""),"",C594*(1+X594))</f>
        <v>0</v>
      </c>
      <c r="Z594" s="8">
        <f>IF(B594="","",IFERROR(INDEX(Ingredients!$O$5:$O$304,MATCH(B594,Ingredients!$A$5:$A$304,0)),""))</f>
        <v>0</v>
      </c>
      <c r="AA594" s="8">
        <f>IF(B594="","",IF(R594&gt;=C594,"In pantry","To buy"))</f>
        <v>0</v>
      </c>
      <c r="AB594" s="8">
        <f>IF(A594="","",COUNTIFS($A$5:A594,A594))</f>
        <v>0</v>
      </c>
      <c r="AC594" s="8">
        <f>IF(B594="","",IF(COUNTIFS('Dietary Filters'!$C$5:$C$104,B594)&gt;0,"Check","OK"))</f>
        <v>0</v>
      </c>
      <c r="AD594" s="25"/>
    </row>
    <row r="595" spans="1:30">
      <c r="A595" s="7"/>
      <c r="B595" s="7"/>
      <c r="C595" s="26"/>
      <c r="D595" s="27"/>
      <c r="E595" s="8">
        <f>IF(B595="","",IFERROR(INDEX(Ingredients!$B$5:$B$304,MATCH(B595,Ingredients!$A$5:$A$304,0)),""))</f>
        <v>0</v>
      </c>
      <c r="F595" s="8">
        <f>IF(B595="","",IFERROR(INDEX(Ingredients!$E$5:$E$304,MATCH(B595,Ingredients!$A$5:$A$304,0)),""))</f>
        <v>0</v>
      </c>
      <c r="G595" s="8">
        <f>IF(B595="","",IFERROR(INDEX(Ingredients!$D$5:$D$304,MATCH(B595,Ingredients!$A$5:$A$304,0)),""))</f>
        <v>0</v>
      </c>
      <c r="H595" s="8">
        <f>IF(OR(B595="",C595=""),"",IFERROR(C595*G595,""))</f>
        <v>0</v>
      </c>
      <c r="I595" s="8">
        <f>IF(A595="","",IFERROR(INDEX(Recipes!$D$5:$D$204,MATCH(A595,Recipes!$A$5:$A$204,0)),""))</f>
        <v>0</v>
      </c>
      <c r="J595" s="8">
        <f>IF(OR(H595="",I595="",I595=0),"",IFERROR(H595/I595,""))</f>
        <v>0</v>
      </c>
      <c r="K595" s="8">
        <f>IF(OR(B595="",C595=""),"",IFERROR(C595*IFERROR(INDEX(Ingredients!$H$5:$H$304,MATCH(B595,Ingredients!$A$5:$A$304,0)),""),""))</f>
        <v>0</v>
      </c>
      <c r="L595" s="8">
        <f>IF(OR(B595="",C595=""),"",IFERROR(C595*IFERROR(INDEX(Ingredients!$I$5:$I$304,MATCH(B595,Ingredients!$A$5:$A$304,0)),""),""))</f>
        <v>0</v>
      </c>
      <c r="M595" s="8">
        <f>IF(OR(B595="",C595=""),"",IFERROR(C595*IFERROR(INDEX(Ingredients!$J$5:$J$304,MATCH(B595,Ingredients!$A$5:$A$304,0)),""),""))</f>
        <v>0</v>
      </c>
      <c r="N595" s="8">
        <f>IF(OR(B595="",C595=""),"",IFERROR(C595*IFERROR(INDEX(Ingredients!$K$5:$K$304,MATCH(B595,Ingredients!$A$5:$A$304,0)),""),""))</f>
        <v>0</v>
      </c>
      <c r="O595" s="8">
        <f>IF(OR(B595="",C595=""),"",IFERROR(C595*IFERROR(INDEX(Ingredients!$L$5:$L$304,MATCH(B595,Ingredients!$A$5:$A$304,0)),""),""))</f>
        <v>0</v>
      </c>
      <c r="P595" s="8">
        <f>IF(OR(H595="",A595=""),"",IFERROR(H595/SUMIFS('Recipe Ingredients'!$H$5:$H$1204,'Recipe Ingredients'!$A$5:$A$1204,A595),""))</f>
        <v>0</v>
      </c>
      <c r="Q595" s="8">
        <f>IF(H595="","",COUNTIFS($H$5:$H$1204,"&gt;"&amp;H595)+1)</f>
        <v>0</v>
      </c>
      <c r="R595" s="8">
        <f>IF(B595="","",SUMIFS(Pantry!$C$5:$C$304,Pantry!$A$5:$A$304,B595))</f>
        <v>0</v>
      </c>
      <c r="S595" s="8">
        <f>IF(OR(B595="",C595=""),"",MAX(0,C595-R595))</f>
        <v>0</v>
      </c>
      <c r="T595" s="26"/>
      <c r="U595" s="8">
        <f>IF(OR(T595="",T595=0,G595=""),"",T595*G595)</f>
        <v>0</v>
      </c>
      <c r="V595" s="8">
        <f>IF(OR(S595="",T595="",T595=0),"",CEILING(S595/T595,1))</f>
        <v>0</v>
      </c>
      <c r="W595" s="27"/>
      <c r="X595" s="29"/>
      <c r="Y595" s="8">
        <f>IF(OR(C595="",X595=""),"",C595*(1+X595))</f>
        <v>0</v>
      </c>
      <c r="Z595" s="8">
        <f>IF(B595="","",IFERROR(INDEX(Ingredients!$O$5:$O$304,MATCH(B595,Ingredients!$A$5:$A$304,0)),""))</f>
        <v>0</v>
      </c>
      <c r="AA595" s="8">
        <f>IF(B595="","",IF(R595&gt;=C595,"In pantry","To buy"))</f>
        <v>0</v>
      </c>
      <c r="AB595" s="8">
        <f>IF(A595="","",COUNTIFS($A$5:A595,A595))</f>
        <v>0</v>
      </c>
      <c r="AC595" s="8">
        <f>IF(B595="","",IF(COUNTIFS('Dietary Filters'!$C$5:$C$104,B595)&gt;0,"Check","OK"))</f>
        <v>0</v>
      </c>
      <c r="AD595" s="25"/>
    </row>
    <row r="596" spans="1:30">
      <c r="A596" s="7"/>
      <c r="B596" s="7"/>
      <c r="C596" s="26"/>
      <c r="D596" s="27"/>
      <c r="E596" s="8">
        <f>IF(B596="","",IFERROR(INDEX(Ingredients!$B$5:$B$304,MATCH(B596,Ingredients!$A$5:$A$304,0)),""))</f>
        <v>0</v>
      </c>
      <c r="F596" s="8">
        <f>IF(B596="","",IFERROR(INDEX(Ingredients!$E$5:$E$304,MATCH(B596,Ingredients!$A$5:$A$304,0)),""))</f>
        <v>0</v>
      </c>
      <c r="G596" s="8">
        <f>IF(B596="","",IFERROR(INDEX(Ingredients!$D$5:$D$304,MATCH(B596,Ingredients!$A$5:$A$304,0)),""))</f>
        <v>0</v>
      </c>
      <c r="H596" s="8">
        <f>IF(OR(B596="",C596=""),"",IFERROR(C596*G596,""))</f>
        <v>0</v>
      </c>
      <c r="I596" s="8">
        <f>IF(A596="","",IFERROR(INDEX(Recipes!$D$5:$D$204,MATCH(A596,Recipes!$A$5:$A$204,0)),""))</f>
        <v>0</v>
      </c>
      <c r="J596" s="8">
        <f>IF(OR(H596="",I596="",I596=0),"",IFERROR(H596/I596,""))</f>
        <v>0</v>
      </c>
      <c r="K596" s="8">
        <f>IF(OR(B596="",C596=""),"",IFERROR(C596*IFERROR(INDEX(Ingredients!$H$5:$H$304,MATCH(B596,Ingredients!$A$5:$A$304,0)),""),""))</f>
        <v>0</v>
      </c>
      <c r="L596" s="8">
        <f>IF(OR(B596="",C596=""),"",IFERROR(C596*IFERROR(INDEX(Ingredients!$I$5:$I$304,MATCH(B596,Ingredients!$A$5:$A$304,0)),""),""))</f>
        <v>0</v>
      </c>
      <c r="M596" s="8">
        <f>IF(OR(B596="",C596=""),"",IFERROR(C596*IFERROR(INDEX(Ingredients!$J$5:$J$304,MATCH(B596,Ingredients!$A$5:$A$304,0)),""),""))</f>
        <v>0</v>
      </c>
      <c r="N596" s="8">
        <f>IF(OR(B596="",C596=""),"",IFERROR(C596*IFERROR(INDEX(Ingredients!$K$5:$K$304,MATCH(B596,Ingredients!$A$5:$A$304,0)),""),""))</f>
        <v>0</v>
      </c>
      <c r="O596" s="8">
        <f>IF(OR(B596="",C596=""),"",IFERROR(C596*IFERROR(INDEX(Ingredients!$L$5:$L$304,MATCH(B596,Ingredients!$A$5:$A$304,0)),""),""))</f>
        <v>0</v>
      </c>
      <c r="P596" s="8">
        <f>IF(OR(H596="",A596=""),"",IFERROR(H596/SUMIFS('Recipe Ingredients'!$H$5:$H$1204,'Recipe Ingredients'!$A$5:$A$1204,A596),""))</f>
        <v>0</v>
      </c>
      <c r="Q596" s="8">
        <f>IF(H596="","",COUNTIFS($H$5:$H$1204,"&gt;"&amp;H596)+1)</f>
        <v>0</v>
      </c>
      <c r="R596" s="8">
        <f>IF(B596="","",SUMIFS(Pantry!$C$5:$C$304,Pantry!$A$5:$A$304,B596))</f>
        <v>0</v>
      </c>
      <c r="S596" s="8">
        <f>IF(OR(B596="",C596=""),"",MAX(0,C596-R596))</f>
        <v>0</v>
      </c>
      <c r="T596" s="26"/>
      <c r="U596" s="8">
        <f>IF(OR(T596="",T596=0,G596=""),"",T596*G596)</f>
        <v>0</v>
      </c>
      <c r="V596" s="8">
        <f>IF(OR(S596="",T596="",T596=0),"",CEILING(S596/T596,1))</f>
        <v>0</v>
      </c>
      <c r="W596" s="27"/>
      <c r="X596" s="29"/>
      <c r="Y596" s="8">
        <f>IF(OR(C596="",X596=""),"",C596*(1+X596))</f>
        <v>0</v>
      </c>
      <c r="Z596" s="8">
        <f>IF(B596="","",IFERROR(INDEX(Ingredients!$O$5:$O$304,MATCH(B596,Ingredients!$A$5:$A$304,0)),""))</f>
        <v>0</v>
      </c>
      <c r="AA596" s="8">
        <f>IF(B596="","",IF(R596&gt;=C596,"In pantry","To buy"))</f>
        <v>0</v>
      </c>
      <c r="AB596" s="8">
        <f>IF(A596="","",COUNTIFS($A$5:A596,A596))</f>
        <v>0</v>
      </c>
      <c r="AC596" s="8">
        <f>IF(B596="","",IF(COUNTIFS('Dietary Filters'!$C$5:$C$104,B596)&gt;0,"Check","OK"))</f>
        <v>0</v>
      </c>
      <c r="AD596" s="25"/>
    </row>
    <row r="597" spans="1:30">
      <c r="A597" s="7"/>
      <c r="B597" s="7"/>
      <c r="C597" s="26"/>
      <c r="D597" s="27"/>
      <c r="E597" s="8">
        <f>IF(B597="","",IFERROR(INDEX(Ingredients!$B$5:$B$304,MATCH(B597,Ingredients!$A$5:$A$304,0)),""))</f>
        <v>0</v>
      </c>
      <c r="F597" s="8">
        <f>IF(B597="","",IFERROR(INDEX(Ingredients!$E$5:$E$304,MATCH(B597,Ingredients!$A$5:$A$304,0)),""))</f>
        <v>0</v>
      </c>
      <c r="G597" s="8">
        <f>IF(B597="","",IFERROR(INDEX(Ingredients!$D$5:$D$304,MATCH(B597,Ingredients!$A$5:$A$304,0)),""))</f>
        <v>0</v>
      </c>
      <c r="H597" s="8">
        <f>IF(OR(B597="",C597=""),"",IFERROR(C597*G597,""))</f>
        <v>0</v>
      </c>
      <c r="I597" s="8">
        <f>IF(A597="","",IFERROR(INDEX(Recipes!$D$5:$D$204,MATCH(A597,Recipes!$A$5:$A$204,0)),""))</f>
        <v>0</v>
      </c>
      <c r="J597" s="8">
        <f>IF(OR(H597="",I597="",I597=0),"",IFERROR(H597/I597,""))</f>
        <v>0</v>
      </c>
      <c r="K597" s="8">
        <f>IF(OR(B597="",C597=""),"",IFERROR(C597*IFERROR(INDEX(Ingredients!$H$5:$H$304,MATCH(B597,Ingredients!$A$5:$A$304,0)),""),""))</f>
        <v>0</v>
      </c>
      <c r="L597" s="8">
        <f>IF(OR(B597="",C597=""),"",IFERROR(C597*IFERROR(INDEX(Ingredients!$I$5:$I$304,MATCH(B597,Ingredients!$A$5:$A$304,0)),""),""))</f>
        <v>0</v>
      </c>
      <c r="M597" s="8">
        <f>IF(OR(B597="",C597=""),"",IFERROR(C597*IFERROR(INDEX(Ingredients!$J$5:$J$304,MATCH(B597,Ingredients!$A$5:$A$304,0)),""),""))</f>
        <v>0</v>
      </c>
      <c r="N597" s="8">
        <f>IF(OR(B597="",C597=""),"",IFERROR(C597*IFERROR(INDEX(Ingredients!$K$5:$K$304,MATCH(B597,Ingredients!$A$5:$A$304,0)),""),""))</f>
        <v>0</v>
      </c>
      <c r="O597" s="8">
        <f>IF(OR(B597="",C597=""),"",IFERROR(C597*IFERROR(INDEX(Ingredients!$L$5:$L$304,MATCH(B597,Ingredients!$A$5:$A$304,0)),""),""))</f>
        <v>0</v>
      </c>
      <c r="P597" s="8">
        <f>IF(OR(H597="",A597=""),"",IFERROR(H597/SUMIFS('Recipe Ingredients'!$H$5:$H$1204,'Recipe Ingredients'!$A$5:$A$1204,A597),""))</f>
        <v>0</v>
      </c>
      <c r="Q597" s="8">
        <f>IF(H597="","",COUNTIFS($H$5:$H$1204,"&gt;"&amp;H597)+1)</f>
        <v>0</v>
      </c>
      <c r="R597" s="8">
        <f>IF(B597="","",SUMIFS(Pantry!$C$5:$C$304,Pantry!$A$5:$A$304,B597))</f>
        <v>0</v>
      </c>
      <c r="S597" s="8">
        <f>IF(OR(B597="",C597=""),"",MAX(0,C597-R597))</f>
        <v>0</v>
      </c>
      <c r="T597" s="26"/>
      <c r="U597" s="8">
        <f>IF(OR(T597="",T597=0,G597=""),"",T597*G597)</f>
        <v>0</v>
      </c>
      <c r="V597" s="8">
        <f>IF(OR(S597="",T597="",T597=0),"",CEILING(S597/T597,1))</f>
        <v>0</v>
      </c>
      <c r="W597" s="27"/>
      <c r="X597" s="29"/>
      <c r="Y597" s="8">
        <f>IF(OR(C597="",X597=""),"",C597*(1+X597))</f>
        <v>0</v>
      </c>
      <c r="Z597" s="8">
        <f>IF(B597="","",IFERROR(INDEX(Ingredients!$O$5:$O$304,MATCH(B597,Ingredients!$A$5:$A$304,0)),""))</f>
        <v>0</v>
      </c>
      <c r="AA597" s="8">
        <f>IF(B597="","",IF(R597&gt;=C597,"In pantry","To buy"))</f>
        <v>0</v>
      </c>
      <c r="AB597" s="8">
        <f>IF(A597="","",COUNTIFS($A$5:A597,A597))</f>
        <v>0</v>
      </c>
      <c r="AC597" s="8">
        <f>IF(B597="","",IF(COUNTIFS('Dietary Filters'!$C$5:$C$104,B597)&gt;0,"Check","OK"))</f>
        <v>0</v>
      </c>
      <c r="AD597" s="25"/>
    </row>
    <row r="598" spans="1:30">
      <c r="A598" s="7"/>
      <c r="B598" s="7"/>
      <c r="C598" s="26"/>
      <c r="D598" s="27"/>
      <c r="E598" s="8">
        <f>IF(B598="","",IFERROR(INDEX(Ingredients!$B$5:$B$304,MATCH(B598,Ingredients!$A$5:$A$304,0)),""))</f>
        <v>0</v>
      </c>
      <c r="F598" s="8">
        <f>IF(B598="","",IFERROR(INDEX(Ingredients!$E$5:$E$304,MATCH(B598,Ingredients!$A$5:$A$304,0)),""))</f>
        <v>0</v>
      </c>
      <c r="G598" s="8">
        <f>IF(B598="","",IFERROR(INDEX(Ingredients!$D$5:$D$304,MATCH(B598,Ingredients!$A$5:$A$304,0)),""))</f>
        <v>0</v>
      </c>
      <c r="H598" s="8">
        <f>IF(OR(B598="",C598=""),"",IFERROR(C598*G598,""))</f>
        <v>0</v>
      </c>
      <c r="I598" s="8">
        <f>IF(A598="","",IFERROR(INDEX(Recipes!$D$5:$D$204,MATCH(A598,Recipes!$A$5:$A$204,0)),""))</f>
        <v>0</v>
      </c>
      <c r="J598" s="8">
        <f>IF(OR(H598="",I598="",I598=0),"",IFERROR(H598/I598,""))</f>
        <v>0</v>
      </c>
      <c r="K598" s="8">
        <f>IF(OR(B598="",C598=""),"",IFERROR(C598*IFERROR(INDEX(Ingredients!$H$5:$H$304,MATCH(B598,Ingredients!$A$5:$A$304,0)),""),""))</f>
        <v>0</v>
      </c>
      <c r="L598" s="8">
        <f>IF(OR(B598="",C598=""),"",IFERROR(C598*IFERROR(INDEX(Ingredients!$I$5:$I$304,MATCH(B598,Ingredients!$A$5:$A$304,0)),""),""))</f>
        <v>0</v>
      </c>
      <c r="M598" s="8">
        <f>IF(OR(B598="",C598=""),"",IFERROR(C598*IFERROR(INDEX(Ingredients!$J$5:$J$304,MATCH(B598,Ingredients!$A$5:$A$304,0)),""),""))</f>
        <v>0</v>
      </c>
      <c r="N598" s="8">
        <f>IF(OR(B598="",C598=""),"",IFERROR(C598*IFERROR(INDEX(Ingredients!$K$5:$K$304,MATCH(B598,Ingredients!$A$5:$A$304,0)),""),""))</f>
        <v>0</v>
      </c>
      <c r="O598" s="8">
        <f>IF(OR(B598="",C598=""),"",IFERROR(C598*IFERROR(INDEX(Ingredients!$L$5:$L$304,MATCH(B598,Ingredients!$A$5:$A$304,0)),""),""))</f>
        <v>0</v>
      </c>
      <c r="P598" s="8">
        <f>IF(OR(H598="",A598=""),"",IFERROR(H598/SUMIFS('Recipe Ingredients'!$H$5:$H$1204,'Recipe Ingredients'!$A$5:$A$1204,A598),""))</f>
        <v>0</v>
      </c>
      <c r="Q598" s="8">
        <f>IF(H598="","",COUNTIFS($H$5:$H$1204,"&gt;"&amp;H598)+1)</f>
        <v>0</v>
      </c>
      <c r="R598" s="8">
        <f>IF(B598="","",SUMIFS(Pantry!$C$5:$C$304,Pantry!$A$5:$A$304,B598))</f>
        <v>0</v>
      </c>
      <c r="S598" s="8">
        <f>IF(OR(B598="",C598=""),"",MAX(0,C598-R598))</f>
        <v>0</v>
      </c>
      <c r="T598" s="26"/>
      <c r="U598" s="8">
        <f>IF(OR(T598="",T598=0,G598=""),"",T598*G598)</f>
        <v>0</v>
      </c>
      <c r="V598" s="8">
        <f>IF(OR(S598="",T598="",T598=0),"",CEILING(S598/T598,1))</f>
        <v>0</v>
      </c>
      <c r="W598" s="27"/>
      <c r="X598" s="29"/>
      <c r="Y598" s="8">
        <f>IF(OR(C598="",X598=""),"",C598*(1+X598))</f>
        <v>0</v>
      </c>
      <c r="Z598" s="8">
        <f>IF(B598="","",IFERROR(INDEX(Ingredients!$O$5:$O$304,MATCH(B598,Ingredients!$A$5:$A$304,0)),""))</f>
        <v>0</v>
      </c>
      <c r="AA598" s="8">
        <f>IF(B598="","",IF(R598&gt;=C598,"In pantry","To buy"))</f>
        <v>0</v>
      </c>
      <c r="AB598" s="8">
        <f>IF(A598="","",COUNTIFS($A$5:A598,A598))</f>
        <v>0</v>
      </c>
      <c r="AC598" s="8">
        <f>IF(B598="","",IF(COUNTIFS('Dietary Filters'!$C$5:$C$104,B598)&gt;0,"Check","OK"))</f>
        <v>0</v>
      </c>
      <c r="AD598" s="25"/>
    </row>
    <row r="599" spans="1:30">
      <c r="A599" s="7"/>
      <c r="B599" s="7"/>
      <c r="C599" s="26"/>
      <c r="D599" s="27"/>
      <c r="E599" s="8">
        <f>IF(B599="","",IFERROR(INDEX(Ingredients!$B$5:$B$304,MATCH(B599,Ingredients!$A$5:$A$304,0)),""))</f>
        <v>0</v>
      </c>
      <c r="F599" s="8">
        <f>IF(B599="","",IFERROR(INDEX(Ingredients!$E$5:$E$304,MATCH(B599,Ingredients!$A$5:$A$304,0)),""))</f>
        <v>0</v>
      </c>
      <c r="G599" s="8">
        <f>IF(B599="","",IFERROR(INDEX(Ingredients!$D$5:$D$304,MATCH(B599,Ingredients!$A$5:$A$304,0)),""))</f>
        <v>0</v>
      </c>
      <c r="H599" s="8">
        <f>IF(OR(B599="",C599=""),"",IFERROR(C599*G599,""))</f>
        <v>0</v>
      </c>
      <c r="I599" s="8">
        <f>IF(A599="","",IFERROR(INDEX(Recipes!$D$5:$D$204,MATCH(A599,Recipes!$A$5:$A$204,0)),""))</f>
        <v>0</v>
      </c>
      <c r="J599" s="8">
        <f>IF(OR(H599="",I599="",I599=0),"",IFERROR(H599/I599,""))</f>
        <v>0</v>
      </c>
      <c r="K599" s="8">
        <f>IF(OR(B599="",C599=""),"",IFERROR(C599*IFERROR(INDEX(Ingredients!$H$5:$H$304,MATCH(B599,Ingredients!$A$5:$A$304,0)),""),""))</f>
        <v>0</v>
      </c>
      <c r="L599" s="8">
        <f>IF(OR(B599="",C599=""),"",IFERROR(C599*IFERROR(INDEX(Ingredients!$I$5:$I$304,MATCH(B599,Ingredients!$A$5:$A$304,0)),""),""))</f>
        <v>0</v>
      </c>
      <c r="M599" s="8">
        <f>IF(OR(B599="",C599=""),"",IFERROR(C599*IFERROR(INDEX(Ingredients!$J$5:$J$304,MATCH(B599,Ingredients!$A$5:$A$304,0)),""),""))</f>
        <v>0</v>
      </c>
      <c r="N599" s="8">
        <f>IF(OR(B599="",C599=""),"",IFERROR(C599*IFERROR(INDEX(Ingredients!$K$5:$K$304,MATCH(B599,Ingredients!$A$5:$A$304,0)),""),""))</f>
        <v>0</v>
      </c>
      <c r="O599" s="8">
        <f>IF(OR(B599="",C599=""),"",IFERROR(C599*IFERROR(INDEX(Ingredients!$L$5:$L$304,MATCH(B599,Ingredients!$A$5:$A$304,0)),""),""))</f>
        <v>0</v>
      </c>
      <c r="P599" s="8">
        <f>IF(OR(H599="",A599=""),"",IFERROR(H599/SUMIFS('Recipe Ingredients'!$H$5:$H$1204,'Recipe Ingredients'!$A$5:$A$1204,A599),""))</f>
        <v>0</v>
      </c>
      <c r="Q599" s="8">
        <f>IF(H599="","",COUNTIFS($H$5:$H$1204,"&gt;"&amp;H599)+1)</f>
        <v>0</v>
      </c>
      <c r="R599" s="8">
        <f>IF(B599="","",SUMIFS(Pantry!$C$5:$C$304,Pantry!$A$5:$A$304,B599))</f>
        <v>0</v>
      </c>
      <c r="S599" s="8">
        <f>IF(OR(B599="",C599=""),"",MAX(0,C599-R599))</f>
        <v>0</v>
      </c>
      <c r="T599" s="26"/>
      <c r="U599" s="8">
        <f>IF(OR(T599="",T599=0,G599=""),"",T599*G599)</f>
        <v>0</v>
      </c>
      <c r="V599" s="8">
        <f>IF(OR(S599="",T599="",T599=0),"",CEILING(S599/T599,1))</f>
        <v>0</v>
      </c>
      <c r="W599" s="27"/>
      <c r="X599" s="29"/>
      <c r="Y599" s="8">
        <f>IF(OR(C599="",X599=""),"",C599*(1+X599))</f>
        <v>0</v>
      </c>
      <c r="Z599" s="8">
        <f>IF(B599="","",IFERROR(INDEX(Ingredients!$O$5:$O$304,MATCH(B599,Ingredients!$A$5:$A$304,0)),""))</f>
        <v>0</v>
      </c>
      <c r="AA599" s="8">
        <f>IF(B599="","",IF(R599&gt;=C599,"In pantry","To buy"))</f>
        <v>0</v>
      </c>
      <c r="AB599" s="8">
        <f>IF(A599="","",COUNTIFS($A$5:A599,A599))</f>
        <v>0</v>
      </c>
      <c r="AC599" s="8">
        <f>IF(B599="","",IF(COUNTIFS('Dietary Filters'!$C$5:$C$104,B599)&gt;0,"Check","OK"))</f>
        <v>0</v>
      </c>
      <c r="AD599" s="25"/>
    </row>
    <row r="600" spans="1:30">
      <c r="A600" s="7"/>
      <c r="B600" s="7"/>
      <c r="C600" s="26"/>
      <c r="D600" s="27"/>
      <c r="E600" s="8">
        <f>IF(B600="","",IFERROR(INDEX(Ingredients!$B$5:$B$304,MATCH(B600,Ingredients!$A$5:$A$304,0)),""))</f>
        <v>0</v>
      </c>
      <c r="F600" s="8">
        <f>IF(B600="","",IFERROR(INDEX(Ingredients!$E$5:$E$304,MATCH(B600,Ingredients!$A$5:$A$304,0)),""))</f>
        <v>0</v>
      </c>
      <c r="G600" s="8">
        <f>IF(B600="","",IFERROR(INDEX(Ingredients!$D$5:$D$304,MATCH(B600,Ingredients!$A$5:$A$304,0)),""))</f>
        <v>0</v>
      </c>
      <c r="H600" s="8">
        <f>IF(OR(B600="",C600=""),"",IFERROR(C600*G600,""))</f>
        <v>0</v>
      </c>
      <c r="I600" s="8">
        <f>IF(A600="","",IFERROR(INDEX(Recipes!$D$5:$D$204,MATCH(A600,Recipes!$A$5:$A$204,0)),""))</f>
        <v>0</v>
      </c>
      <c r="J600" s="8">
        <f>IF(OR(H600="",I600="",I600=0),"",IFERROR(H600/I600,""))</f>
        <v>0</v>
      </c>
      <c r="K600" s="8">
        <f>IF(OR(B600="",C600=""),"",IFERROR(C600*IFERROR(INDEX(Ingredients!$H$5:$H$304,MATCH(B600,Ingredients!$A$5:$A$304,0)),""),""))</f>
        <v>0</v>
      </c>
      <c r="L600" s="8">
        <f>IF(OR(B600="",C600=""),"",IFERROR(C600*IFERROR(INDEX(Ingredients!$I$5:$I$304,MATCH(B600,Ingredients!$A$5:$A$304,0)),""),""))</f>
        <v>0</v>
      </c>
      <c r="M600" s="8">
        <f>IF(OR(B600="",C600=""),"",IFERROR(C600*IFERROR(INDEX(Ingredients!$J$5:$J$304,MATCH(B600,Ingredients!$A$5:$A$304,0)),""),""))</f>
        <v>0</v>
      </c>
      <c r="N600" s="8">
        <f>IF(OR(B600="",C600=""),"",IFERROR(C600*IFERROR(INDEX(Ingredients!$K$5:$K$304,MATCH(B600,Ingredients!$A$5:$A$304,0)),""),""))</f>
        <v>0</v>
      </c>
      <c r="O600" s="8">
        <f>IF(OR(B600="",C600=""),"",IFERROR(C600*IFERROR(INDEX(Ingredients!$L$5:$L$304,MATCH(B600,Ingredients!$A$5:$A$304,0)),""),""))</f>
        <v>0</v>
      </c>
      <c r="P600" s="8">
        <f>IF(OR(H600="",A600=""),"",IFERROR(H600/SUMIFS('Recipe Ingredients'!$H$5:$H$1204,'Recipe Ingredients'!$A$5:$A$1204,A600),""))</f>
        <v>0</v>
      </c>
      <c r="Q600" s="8">
        <f>IF(H600="","",COUNTIFS($H$5:$H$1204,"&gt;"&amp;H600)+1)</f>
        <v>0</v>
      </c>
      <c r="R600" s="8">
        <f>IF(B600="","",SUMIFS(Pantry!$C$5:$C$304,Pantry!$A$5:$A$304,B600))</f>
        <v>0</v>
      </c>
      <c r="S600" s="8">
        <f>IF(OR(B600="",C600=""),"",MAX(0,C600-R600))</f>
        <v>0</v>
      </c>
      <c r="T600" s="26"/>
      <c r="U600" s="8">
        <f>IF(OR(T600="",T600=0,G600=""),"",T600*G600)</f>
        <v>0</v>
      </c>
      <c r="V600" s="8">
        <f>IF(OR(S600="",T600="",T600=0),"",CEILING(S600/T600,1))</f>
        <v>0</v>
      </c>
      <c r="W600" s="27"/>
      <c r="X600" s="29"/>
      <c r="Y600" s="8">
        <f>IF(OR(C600="",X600=""),"",C600*(1+X600))</f>
        <v>0</v>
      </c>
      <c r="Z600" s="8">
        <f>IF(B600="","",IFERROR(INDEX(Ingredients!$O$5:$O$304,MATCH(B600,Ingredients!$A$5:$A$304,0)),""))</f>
        <v>0</v>
      </c>
      <c r="AA600" s="8">
        <f>IF(B600="","",IF(R600&gt;=C600,"In pantry","To buy"))</f>
        <v>0</v>
      </c>
      <c r="AB600" s="8">
        <f>IF(A600="","",COUNTIFS($A$5:A600,A600))</f>
        <v>0</v>
      </c>
      <c r="AC600" s="8">
        <f>IF(B600="","",IF(COUNTIFS('Dietary Filters'!$C$5:$C$104,B600)&gt;0,"Check","OK"))</f>
        <v>0</v>
      </c>
      <c r="AD600" s="25"/>
    </row>
    <row r="601" spans="1:30">
      <c r="A601" s="7"/>
      <c r="B601" s="7"/>
      <c r="C601" s="26"/>
      <c r="D601" s="27"/>
      <c r="E601" s="8">
        <f>IF(B601="","",IFERROR(INDEX(Ingredients!$B$5:$B$304,MATCH(B601,Ingredients!$A$5:$A$304,0)),""))</f>
        <v>0</v>
      </c>
      <c r="F601" s="8">
        <f>IF(B601="","",IFERROR(INDEX(Ingredients!$E$5:$E$304,MATCH(B601,Ingredients!$A$5:$A$304,0)),""))</f>
        <v>0</v>
      </c>
      <c r="G601" s="8">
        <f>IF(B601="","",IFERROR(INDEX(Ingredients!$D$5:$D$304,MATCH(B601,Ingredients!$A$5:$A$304,0)),""))</f>
        <v>0</v>
      </c>
      <c r="H601" s="8">
        <f>IF(OR(B601="",C601=""),"",IFERROR(C601*G601,""))</f>
        <v>0</v>
      </c>
      <c r="I601" s="8">
        <f>IF(A601="","",IFERROR(INDEX(Recipes!$D$5:$D$204,MATCH(A601,Recipes!$A$5:$A$204,0)),""))</f>
        <v>0</v>
      </c>
      <c r="J601" s="8">
        <f>IF(OR(H601="",I601="",I601=0),"",IFERROR(H601/I601,""))</f>
        <v>0</v>
      </c>
      <c r="K601" s="8">
        <f>IF(OR(B601="",C601=""),"",IFERROR(C601*IFERROR(INDEX(Ingredients!$H$5:$H$304,MATCH(B601,Ingredients!$A$5:$A$304,0)),""),""))</f>
        <v>0</v>
      </c>
      <c r="L601" s="8">
        <f>IF(OR(B601="",C601=""),"",IFERROR(C601*IFERROR(INDEX(Ingredients!$I$5:$I$304,MATCH(B601,Ingredients!$A$5:$A$304,0)),""),""))</f>
        <v>0</v>
      </c>
      <c r="M601" s="8">
        <f>IF(OR(B601="",C601=""),"",IFERROR(C601*IFERROR(INDEX(Ingredients!$J$5:$J$304,MATCH(B601,Ingredients!$A$5:$A$304,0)),""),""))</f>
        <v>0</v>
      </c>
      <c r="N601" s="8">
        <f>IF(OR(B601="",C601=""),"",IFERROR(C601*IFERROR(INDEX(Ingredients!$K$5:$K$304,MATCH(B601,Ingredients!$A$5:$A$304,0)),""),""))</f>
        <v>0</v>
      </c>
      <c r="O601" s="8">
        <f>IF(OR(B601="",C601=""),"",IFERROR(C601*IFERROR(INDEX(Ingredients!$L$5:$L$304,MATCH(B601,Ingredients!$A$5:$A$304,0)),""),""))</f>
        <v>0</v>
      </c>
      <c r="P601" s="8">
        <f>IF(OR(H601="",A601=""),"",IFERROR(H601/SUMIFS('Recipe Ingredients'!$H$5:$H$1204,'Recipe Ingredients'!$A$5:$A$1204,A601),""))</f>
        <v>0</v>
      </c>
      <c r="Q601" s="8">
        <f>IF(H601="","",COUNTIFS($H$5:$H$1204,"&gt;"&amp;H601)+1)</f>
        <v>0</v>
      </c>
      <c r="R601" s="8">
        <f>IF(B601="","",SUMIFS(Pantry!$C$5:$C$304,Pantry!$A$5:$A$304,B601))</f>
        <v>0</v>
      </c>
      <c r="S601" s="8">
        <f>IF(OR(B601="",C601=""),"",MAX(0,C601-R601))</f>
        <v>0</v>
      </c>
      <c r="T601" s="26"/>
      <c r="U601" s="8">
        <f>IF(OR(T601="",T601=0,G601=""),"",T601*G601)</f>
        <v>0</v>
      </c>
      <c r="V601" s="8">
        <f>IF(OR(S601="",T601="",T601=0),"",CEILING(S601/T601,1))</f>
        <v>0</v>
      </c>
      <c r="W601" s="27"/>
      <c r="X601" s="29"/>
      <c r="Y601" s="8">
        <f>IF(OR(C601="",X601=""),"",C601*(1+X601))</f>
        <v>0</v>
      </c>
      <c r="Z601" s="8">
        <f>IF(B601="","",IFERROR(INDEX(Ingredients!$O$5:$O$304,MATCH(B601,Ingredients!$A$5:$A$304,0)),""))</f>
        <v>0</v>
      </c>
      <c r="AA601" s="8">
        <f>IF(B601="","",IF(R601&gt;=C601,"In pantry","To buy"))</f>
        <v>0</v>
      </c>
      <c r="AB601" s="8">
        <f>IF(A601="","",COUNTIFS($A$5:A601,A601))</f>
        <v>0</v>
      </c>
      <c r="AC601" s="8">
        <f>IF(B601="","",IF(COUNTIFS('Dietary Filters'!$C$5:$C$104,B601)&gt;0,"Check","OK"))</f>
        <v>0</v>
      </c>
      <c r="AD601" s="25"/>
    </row>
    <row r="602" spans="1:30">
      <c r="A602" s="7"/>
      <c r="B602" s="7"/>
      <c r="C602" s="26"/>
      <c r="D602" s="27"/>
      <c r="E602" s="8">
        <f>IF(B602="","",IFERROR(INDEX(Ingredients!$B$5:$B$304,MATCH(B602,Ingredients!$A$5:$A$304,0)),""))</f>
        <v>0</v>
      </c>
      <c r="F602" s="8">
        <f>IF(B602="","",IFERROR(INDEX(Ingredients!$E$5:$E$304,MATCH(B602,Ingredients!$A$5:$A$304,0)),""))</f>
        <v>0</v>
      </c>
      <c r="G602" s="8">
        <f>IF(B602="","",IFERROR(INDEX(Ingredients!$D$5:$D$304,MATCH(B602,Ingredients!$A$5:$A$304,0)),""))</f>
        <v>0</v>
      </c>
      <c r="H602" s="8">
        <f>IF(OR(B602="",C602=""),"",IFERROR(C602*G602,""))</f>
        <v>0</v>
      </c>
      <c r="I602" s="8">
        <f>IF(A602="","",IFERROR(INDEX(Recipes!$D$5:$D$204,MATCH(A602,Recipes!$A$5:$A$204,0)),""))</f>
        <v>0</v>
      </c>
      <c r="J602" s="8">
        <f>IF(OR(H602="",I602="",I602=0),"",IFERROR(H602/I602,""))</f>
        <v>0</v>
      </c>
      <c r="K602" s="8">
        <f>IF(OR(B602="",C602=""),"",IFERROR(C602*IFERROR(INDEX(Ingredients!$H$5:$H$304,MATCH(B602,Ingredients!$A$5:$A$304,0)),""),""))</f>
        <v>0</v>
      </c>
      <c r="L602" s="8">
        <f>IF(OR(B602="",C602=""),"",IFERROR(C602*IFERROR(INDEX(Ingredients!$I$5:$I$304,MATCH(B602,Ingredients!$A$5:$A$304,0)),""),""))</f>
        <v>0</v>
      </c>
      <c r="M602" s="8">
        <f>IF(OR(B602="",C602=""),"",IFERROR(C602*IFERROR(INDEX(Ingredients!$J$5:$J$304,MATCH(B602,Ingredients!$A$5:$A$304,0)),""),""))</f>
        <v>0</v>
      </c>
      <c r="N602" s="8">
        <f>IF(OR(B602="",C602=""),"",IFERROR(C602*IFERROR(INDEX(Ingredients!$K$5:$K$304,MATCH(B602,Ingredients!$A$5:$A$304,0)),""),""))</f>
        <v>0</v>
      </c>
      <c r="O602" s="8">
        <f>IF(OR(B602="",C602=""),"",IFERROR(C602*IFERROR(INDEX(Ingredients!$L$5:$L$304,MATCH(B602,Ingredients!$A$5:$A$304,0)),""),""))</f>
        <v>0</v>
      </c>
      <c r="P602" s="8">
        <f>IF(OR(H602="",A602=""),"",IFERROR(H602/SUMIFS('Recipe Ingredients'!$H$5:$H$1204,'Recipe Ingredients'!$A$5:$A$1204,A602),""))</f>
        <v>0</v>
      </c>
      <c r="Q602" s="8">
        <f>IF(H602="","",COUNTIFS($H$5:$H$1204,"&gt;"&amp;H602)+1)</f>
        <v>0</v>
      </c>
      <c r="R602" s="8">
        <f>IF(B602="","",SUMIFS(Pantry!$C$5:$C$304,Pantry!$A$5:$A$304,B602))</f>
        <v>0</v>
      </c>
      <c r="S602" s="8">
        <f>IF(OR(B602="",C602=""),"",MAX(0,C602-R602))</f>
        <v>0</v>
      </c>
      <c r="T602" s="26"/>
      <c r="U602" s="8">
        <f>IF(OR(T602="",T602=0,G602=""),"",T602*G602)</f>
        <v>0</v>
      </c>
      <c r="V602" s="8">
        <f>IF(OR(S602="",T602="",T602=0),"",CEILING(S602/T602,1))</f>
        <v>0</v>
      </c>
      <c r="W602" s="27"/>
      <c r="X602" s="29"/>
      <c r="Y602" s="8">
        <f>IF(OR(C602="",X602=""),"",C602*(1+X602))</f>
        <v>0</v>
      </c>
      <c r="Z602" s="8">
        <f>IF(B602="","",IFERROR(INDEX(Ingredients!$O$5:$O$304,MATCH(B602,Ingredients!$A$5:$A$304,0)),""))</f>
        <v>0</v>
      </c>
      <c r="AA602" s="8">
        <f>IF(B602="","",IF(R602&gt;=C602,"In pantry","To buy"))</f>
        <v>0</v>
      </c>
      <c r="AB602" s="8">
        <f>IF(A602="","",COUNTIFS($A$5:A602,A602))</f>
        <v>0</v>
      </c>
      <c r="AC602" s="8">
        <f>IF(B602="","",IF(COUNTIFS('Dietary Filters'!$C$5:$C$104,B602)&gt;0,"Check","OK"))</f>
        <v>0</v>
      </c>
      <c r="AD602" s="25"/>
    </row>
    <row r="603" spans="1:30">
      <c r="A603" s="7"/>
      <c r="B603" s="7"/>
      <c r="C603" s="26"/>
      <c r="D603" s="27"/>
      <c r="E603" s="8">
        <f>IF(B603="","",IFERROR(INDEX(Ingredients!$B$5:$B$304,MATCH(B603,Ingredients!$A$5:$A$304,0)),""))</f>
        <v>0</v>
      </c>
      <c r="F603" s="8">
        <f>IF(B603="","",IFERROR(INDEX(Ingredients!$E$5:$E$304,MATCH(B603,Ingredients!$A$5:$A$304,0)),""))</f>
        <v>0</v>
      </c>
      <c r="G603" s="8">
        <f>IF(B603="","",IFERROR(INDEX(Ingredients!$D$5:$D$304,MATCH(B603,Ingredients!$A$5:$A$304,0)),""))</f>
        <v>0</v>
      </c>
      <c r="H603" s="8">
        <f>IF(OR(B603="",C603=""),"",IFERROR(C603*G603,""))</f>
        <v>0</v>
      </c>
      <c r="I603" s="8">
        <f>IF(A603="","",IFERROR(INDEX(Recipes!$D$5:$D$204,MATCH(A603,Recipes!$A$5:$A$204,0)),""))</f>
        <v>0</v>
      </c>
      <c r="J603" s="8">
        <f>IF(OR(H603="",I603="",I603=0),"",IFERROR(H603/I603,""))</f>
        <v>0</v>
      </c>
      <c r="K603" s="8">
        <f>IF(OR(B603="",C603=""),"",IFERROR(C603*IFERROR(INDEX(Ingredients!$H$5:$H$304,MATCH(B603,Ingredients!$A$5:$A$304,0)),""),""))</f>
        <v>0</v>
      </c>
      <c r="L603" s="8">
        <f>IF(OR(B603="",C603=""),"",IFERROR(C603*IFERROR(INDEX(Ingredients!$I$5:$I$304,MATCH(B603,Ingredients!$A$5:$A$304,0)),""),""))</f>
        <v>0</v>
      </c>
      <c r="M603" s="8">
        <f>IF(OR(B603="",C603=""),"",IFERROR(C603*IFERROR(INDEX(Ingredients!$J$5:$J$304,MATCH(B603,Ingredients!$A$5:$A$304,0)),""),""))</f>
        <v>0</v>
      </c>
      <c r="N603" s="8">
        <f>IF(OR(B603="",C603=""),"",IFERROR(C603*IFERROR(INDEX(Ingredients!$K$5:$K$304,MATCH(B603,Ingredients!$A$5:$A$304,0)),""),""))</f>
        <v>0</v>
      </c>
      <c r="O603" s="8">
        <f>IF(OR(B603="",C603=""),"",IFERROR(C603*IFERROR(INDEX(Ingredients!$L$5:$L$304,MATCH(B603,Ingredients!$A$5:$A$304,0)),""),""))</f>
        <v>0</v>
      </c>
      <c r="P603" s="8">
        <f>IF(OR(H603="",A603=""),"",IFERROR(H603/SUMIFS('Recipe Ingredients'!$H$5:$H$1204,'Recipe Ingredients'!$A$5:$A$1204,A603),""))</f>
        <v>0</v>
      </c>
      <c r="Q603" s="8">
        <f>IF(H603="","",COUNTIFS($H$5:$H$1204,"&gt;"&amp;H603)+1)</f>
        <v>0</v>
      </c>
      <c r="R603" s="8">
        <f>IF(B603="","",SUMIFS(Pantry!$C$5:$C$304,Pantry!$A$5:$A$304,B603))</f>
        <v>0</v>
      </c>
      <c r="S603" s="8">
        <f>IF(OR(B603="",C603=""),"",MAX(0,C603-R603))</f>
        <v>0</v>
      </c>
      <c r="T603" s="26"/>
      <c r="U603" s="8">
        <f>IF(OR(T603="",T603=0,G603=""),"",T603*G603)</f>
        <v>0</v>
      </c>
      <c r="V603" s="8">
        <f>IF(OR(S603="",T603="",T603=0),"",CEILING(S603/T603,1))</f>
        <v>0</v>
      </c>
      <c r="W603" s="27"/>
      <c r="X603" s="29"/>
      <c r="Y603" s="8">
        <f>IF(OR(C603="",X603=""),"",C603*(1+X603))</f>
        <v>0</v>
      </c>
      <c r="Z603" s="8">
        <f>IF(B603="","",IFERROR(INDEX(Ingredients!$O$5:$O$304,MATCH(B603,Ingredients!$A$5:$A$304,0)),""))</f>
        <v>0</v>
      </c>
      <c r="AA603" s="8">
        <f>IF(B603="","",IF(R603&gt;=C603,"In pantry","To buy"))</f>
        <v>0</v>
      </c>
      <c r="AB603" s="8">
        <f>IF(A603="","",COUNTIFS($A$5:A603,A603))</f>
        <v>0</v>
      </c>
      <c r="AC603" s="8">
        <f>IF(B603="","",IF(COUNTIFS('Dietary Filters'!$C$5:$C$104,B603)&gt;0,"Check","OK"))</f>
        <v>0</v>
      </c>
      <c r="AD603" s="25"/>
    </row>
    <row r="604" spans="1:30">
      <c r="A604" s="7"/>
      <c r="B604" s="7"/>
      <c r="C604" s="26"/>
      <c r="D604" s="27"/>
      <c r="E604" s="8">
        <f>IF(B604="","",IFERROR(INDEX(Ingredients!$B$5:$B$304,MATCH(B604,Ingredients!$A$5:$A$304,0)),""))</f>
        <v>0</v>
      </c>
      <c r="F604" s="8">
        <f>IF(B604="","",IFERROR(INDEX(Ingredients!$E$5:$E$304,MATCH(B604,Ingredients!$A$5:$A$304,0)),""))</f>
        <v>0</v>
      </c>
      <c r="G604" s="8">
        <f>IF(B604="","",IFERROR(INDEX(Ingredients!$D$5:$D$304,MATCH(B604,Ingredients!$A$5:$A$304,0)),""))</f>
        <v>0</v>
      </c>
      <c r="H604" s="8">
        <f>IF(OR(B604="",C604=""),"",IFERROR(C604*G604,""))</f>
        <v>0</v>
      </c>
      <c r="I604" s="8">
        <f>IF(A604="","",IFERROR(INDEX(Recipes!$D$5:$D$204,MATCH(A604,Recipes!$A$5:$A$204,0)),""))</f>
        <v>0</v>
      </c>
      <c r="J604" s="8">
        <f>IF(OR(H604="",I604="",I604=0),"",IFERROR(H604/I604,""))</f>
        <v>0</v>
      </c>
      <c r="K604" s="8">
        <f>IF(OR(B604="",C604=""),"",IFERROR(C604*IFERROR(INDEX(Ingredients!$H$5:$H$304,MATCH(B604,Ingredients!$A$5:$A$304,0)),""),""))</f>
        <v>0</v>
      </c>
      <c r="L604" s="8">
        <f>IF(OR(B604="",C604=""),"",IFERROR(C604*IFERROR(INDEX(Ingredients!$I$5:$I$304,MATCH(B604,Ingredients!$A$5:$A$304,0)),""),""))</f>
        <v>0</v>
      </c>
      <c r="M604" s="8">
        <f>IF(OR(B604="",C604=""),"",IFERROR(C604*IFERROR(INDEX(Ingredients!$J$5:$J$304,MATCH(B604,Ingredients!$A$5:$A$304,0)),""),""))</f>
        <v>0</v>
      </c>
      <c r="N604" s="8">
        <f>IF(OR(B604="",C604=""),"",IFERROR(C604*IFERROR(INDEX(Ingredients!$K$5:$K$304,MATCH(B604,Ingredients!$A$5:$A$304,0)),""),""))</f>
        <v>0</v>
      </c>
      <c r="O604" s="8">
        <f>IF(OR(B604="",C604=""),"",IFERROR(C604*IFERROR(INDEX(Ingredients!$L$5:$L$304,MATCH(B604,Ingredients!$A$5:$A$304,0)),""),""))</f>
        <v>0</v>
      </c>
      <c r="P604" s="8">
        <f>IF(OR(H604="",A604=""),"",IFERROR(H604/SUMIFS('Recipe Ingredients'!$H$5:$H$1204,'Recipe Ingredients'!$A$5:$A$1204,A604),""))</f>
        <v>0</v>
      </c>
      <c r="Q604" s="8">
        <f>IF(H604="","",COUNTIFS($H$5:$H$1204,"&gt;"&amp;H604)+1)</f>
        <v>0</v>
      </c>
      <c r="R604" s="8">
        <f>IF(B604="","",SUMIFS(Pantry!$C$5:$C$304,Pantry!$A$5:$A$304,B604))</f>
        <v>0</v>
      </c>
      <c r="S604" s="8">
        <f>IF(OR(B604="",C604=""),"",MAX(0,C604-R604))</f>
        <v>0</v>
      </c>
      <c r="T604" s="26"/>
      <c r="U604" s="8">
        <f>IF(OR(T604="",T604=0,G604=""),"",T604*G604)</f>
        <v>0</v>
      </c>
      <c r="V604" s="8">
        <f>IF(OR(S604="",T604="",T604=0),"",CEILING(S604/T604,1))</f>
        <v>0</v>
      </c>
      <c r="W604" s="27"/>
      <c r="X604" s="29"/>
      <c r="Y604" s="8">
        <f>IF(OR(C604="",X604=""),"",C604*(1+X604))</f>
        <v>0</v>
      </c>
      <c r="Z604" s="8">
        <f>IF(B604="","",IFERROR(INDEX(Ingredients!$O$5:$O$304,MATCH(B604,Ingredients!$A$5:$A$304,0)),""))</f>
        <v>0</v>
      </c>
      <c r="AA604" s="8">
        <f>IF(B604="","",IF(R604&gt;=C604,"In pantry","To buy"))</f>
        <v>0</v>
      </c>
      <c r="AB604" s="8">
        <f>IF(A604="","",COUNTIFS($A$5:A604,A604))</f>
        <v>0</v>
      </c>
      <c r="AC604" s="8">
        <f>IF(B604="","",IF(COUNTIFS('Dietary Filters'!$C$5:$C$104,B604)&gt;0,"Check","OK"))</f>
        <v>0</v>
      </c>
      <c r="AD604" s="25"/>
    </row>
    <row r="605" spans="1:30">
      <c r="A605" s="7"/>
      <c r="B605" s="7"/>
      <c r="C605" s="26"/>
      <c r="D605" s="27"/>
      <c r="E605" s="8">
        <f>IF(B605="","",IFERROR(INDEX(Ingredients!$B$5:$B$304,MATCH(B605,Ingredients!$A$5:$A$304,0)),""))</f>
        <v>0</v>
      </c>
      <c r="F605" s="8">
        <f>IF(B605="","",IFERROR(INDEX(Ingredients!$E$5:$E$304,MATCH(B605,Ingredients!$A$5:$A$304,0)),""))</f>
        <v>0</v>
      </c>
      <c r="G605" s="8">
        <f>IF(B605="","",IFERROR(INDEX(Ingredients!$D$5:$D$304,MATCH(B605,Ingredients!$A$5:$A$304,0)),""))</f>
        <v>0</v>
      </c>
      <c r="H605" s="8">
        <f>IF(OR(B605="",C605=""),"",IFERROR(C605*G605,""))</f>
        <v>0</v>
      </c>
      <c r="I605" s="8">
        <f>IF(A605="","",IFERROR(INDEX(Recipes!$D$5:$D$204,MATCH(A605,Recipes!$A$5:$A$204,0)),""))</f>
        <v>0</v>
      </c>
      <c r="J605" s="8">
        <f>IF(OR(H605="",I605="",I605=0),"",IFERROR(H605/I605,""))</f>
        <v>0</v>
      </c>
      <c r="K605" s="8">
        <f>IF(OR(B605="",C605=""),"",IFERROR(C605*IFERROR(INDEX(Ingredients!$H$5:$H$304,MATCH(B605,Ingredients!$A$5:$A$304,0)),""),""))</f>
        <v>0</v>
      </c>
      <c r="L605" s="8">
        <f>IF(OR(B605="",C605=""),"",IFERROR(C605*IFERROR(INDEX(Ingredients!$I$5:$I$304,MATCH(B605,Ingredients!$A$5:$A$304,0)),""),""))</f>
        <v>0</v>
      </c>
      <c r="M605" s="8">
        <f>IF(OR(B605="",C605=""),"",IFERROR(C605*IFERROR(INDEX(Ingredients!$J$5:$J$304,MATCH(B605,Ingredients!$A$5:$A$304,0)),""),""))</f>
        <v>0</v>
      </c>
      <c r="N605" s="8">
        <f>IF(OR(B605="",C605=""),"",IFERROR(C605*IFERROR(INDEX(Ingredients!$K$5:$K$304,MATCH(B605,Ingredients!$A$5:$A$304,0)),""),""))</f>
        <v>0</v>
      </c>
      <c r="O605" s="8">
        <f>IF(OR(B605="",C605=""),"",IFERROR(C605*IFERROR(INDEX(Ingredients!$L$5:$L$304,MATCH(B605,Ingredients!$A$5:$A$304,0)),""),""))</f>
        <v>0</v>
      </c>
      <c r="P605" s="8">
        <f>IF(OR(H605="",A605=""),"",IFERROR(H605/SUMIFS('Recipe Ingredients'!$H$5:$H$1204,'Recipe Ingredients'!$A$5:$A$1204,A605),""))</f>
        <v>0</v>
      </c>
      <c r="Q605" s="8">
        <f>IF(H605="","",COUNTIFS($H$5:$H$1204,"&gt;"&amp;H605)+1)</f>
        <v>0</v>
      </c>
      <c r="R605" s="8">
        <f>IF(B605="","",SUMIFS(Pantry!$C$5:$C$304,Pantry!$A$5:$A$304,B605))</f>
        <v>0</v>
      </c>
      <c r="S605" s="8">
        <f>IF(OR(B605="",C605=""),"",MAX(0,C605-R605))</f>
        <v>0</v>
      </c>
      <c r="T605" s="26"/>
      <c r="U605" s="8">
        <f>IF(OR(T605="",T605=0,G605=""),"",T605*G605)</f>
        <v>0</v>
      </c>
      <c r="V605" s="8">
        <f>IF(OR(S605="",T605="",T605=0),"",CEILING(S605/T605,1))</f>
        <v>0</v>
      </c>
      <c r="W605" s="27"/>
      <c r="X605" s="29"/>
      <c r="Y605" s="8">
        <f>IF(OR(C605="",X605=""),"",C605*(1+X605))</f>
        <v>0</v>
      </c>
      <c r="Z605" s="8">
        <f>IF(B605="","",IFERROR(INDEX(Ingredients!$O$5:$O$304,MATCH(B605,Ingredients!$A$5:$A$304,0)),""))</f>
        <v>0</v>
      </c>
      <c r="AA605" s="8">
        <f>IF(B605="","",IF(R605&gt;=C605,"In pantry","To buy"))</f>
        <v>0</v>
      </c>
      <c r="AB605" s="8">
        <f>IF(A605="","",COUNTIFS($A$5:A605,A605))</f>
        <v>0</v>
      </c>
      <c r="AC605" s="8">
        <f>IF(B605="","",IF(COUNTIFS('Dietary Filters'!$C$5:$C$104,B605)&gt;0,"Check","OK"))</f>
        <v>0</v>
      </c>
      <c r="AD605" s="25"/>
    </row>
    <row r="606" spans="1:30">
      <c r="A606" s="7"/>
      <c r="B606" s="7"/>
      <c r="C606" s="26"/>
      <c r="D606" s="27"/>
      <c r="E606" s="8">
        <f>IF(B606="","",IFERROR(INDEX(Ingredients!$B$5:$B$304,MATCH(B606,Ingredients!$A$5:$A$304,0)),""))</f>
        <v>0</v>
      </c>
      <c r="F606" s="8">
        <f>IF(B606="","",IFERROR(INDEX(Ingredients!$E$5:$E$304,MATCH(B606,Ingredients!$A$5:$A$304,0)),""))</f>
        <v>0</v>
      </c>
      <c r="G606" s="8">
        <f>IF(B606="","",IFERROR(INDEX(Ingredients!$D$5:$D$304,MATCH(B606,Ingredients!$A$5:$A$304,0)),""))</f>
        <v>0</v>
      </c>
      <c r="H606" s="8">
        <f>IF(OR(B606="",C606=""),"",IFERROR(C606*G606,""))</f>
        <v>0</v>
      </c>
      <c r="I606" s="8">
        <f>IF(A606="","",IFERROR(INDEX(Recipes!$D$5:$D$204,MATCH(A606,Recipes!$A$5:$A$204,0)),""))</f>
        <v>0</v>
      </c>
      <c r="J606" s="8">
        <f>IF(OR(H606="",I606="",I606=0),"",IFERROR(H606/I606,""))</f>
        <v>0</v>
      </c>
      <c r="K606" s="8">
        <f>IF(OR(B606="",C606=""),"",IFERROR(C606*IFERROR(INDEX(Ingredients!$H$5:$H$304,MATCH(B606,Ingredients!$A$5:$A$304,0)),""),""))</f>
        <v>0</v>
      </c>
      <c r="L606" s="8">
        <f>IF(OR(B606="",C606=""),"",IFERROR(C606*IFERROR(INDEX(Ingredients!$I$5:$I$304,MATCH(B606,Ingredients!$A$5:$A$304,0)),""),""))</f>
        <v>0</v>
      </c>
      <c r="M606" s="8">
        <f>IF(OR(B606="",C606=""),"",IFERROR(C606*IFERROR(INDEX(Ingredients!$J$5:$J$304,MATCH(B606,Ingredients!$A$5:$A$304,0)),""),""))</f>
        <v>0</v>
      </c>
      <c r="N606" s="8">
        <f>IF(OR(B606="",C606=""),"",IFERROR(C606*IFERROR(INDEX(Ingredients!$K$5:$K$304,MATCH(B606,Ingredients!$A$5:$A$304,0)),""),""))</f>
        <v>0</v>
      </c>
      <c r="O606" s="8">
        <f>IF(OR(B606="",C606=""),"",IFERROR(C606*IFERROR(INDEX(Ingredients!$L$5:$L$304,MATCH(B606,Ingredients!$A$5:$A$304,0)),""),""))</f>
        <v>0</v>
      </c>
      <c r="P606" s="8">
        <f>IF(OR(H606="",A606=""),"",IFERROR(H606/SUMIFS('Recipe Ingredients'!$H$5:$H$1204,'Recipe Ingredients'!$A$5:$A$1204,A606),""))</f>
        <v>0</v>
      </c>
      <c r="Q606" s="8">
        <f>IF(H606="","",COUNTIFS($H$5:$H$1204,"&gt;"&amp;H606)+1)</f>
        <v>0</v>
      </c>
      <c r="R606" s="8">
        <f>IF(B606="","",SUMIFS(Pantry!$C$5:$C$304,Pantry!$A$5:$A$304,B606))</f>
        <v>0</v>
      </c>
      <c r="S606" s="8">
        <f>IF(OR(B606="",C606=""),"",MAX(0,C606-R606))</f>
        <v>0</v>
      </c>
      <c r="T606" s="26"/>
      <c r="U606" s="8">
        <f>IF(OR(T606="",T606=0,G606=""),"",T606*G606)</f>
        <v>0</v>
      </c>
      <c r="V606" s="8">
        <f>IF(OR(S606="",T606="",T606=0),"",CEILING(S606/T606,1))</f>
        <v>0</v>
      </c>
      <c r="W606" s="27"/>
      <c r="X606" s="29"/>
      <c r="Y606" s="8">
        <f>IF(OR(C606="",X606=""),"",C606*(1+X606))</f>
        <v>0</v>
      </c>
      <c r="Z606" s="8">
        <f>IF(B606="","",IFERROR(INDEX(Ingredients!$O$5:$O$304,MATCH(B606,Ingredients!$A$5:$A$304,0)),""))</f>
        <v>0</v>
      </c>
      <c r="AA606" s="8">
        <f>IF(B606="","",IF(R606&gt;=C606,"In pantry","To buy"))</f>
        <v>0</v>
      </c>
      <c r="AB606" s="8">
        <f>IF(A606="","",COUNTIFS($A$5:A606,A606))</f>
        <v>0</v>
      </c>
      <c r="AC606" s="8">
        <f>IF(B606="","",IF(COUNTIFS('Dietary Filters'!$C$5:$C$104,B606)&gt;0,"Check","OK"))</f>
        <v>0</v>
      </c>
      <c r="AD606" s="25"/>
    </row>
    <row r="607" spans="1:30">
      <c r="A607" s="7"/>
      <c r="B607" s="7"/>
      <c r="C607" s="26"/>
      <c r="D607" s="27"/>
      <c r="E607" s="8">
        <f>IF(B607="","",IFERROR(INDEX(Ingredients!$B$5:$B$304,MATCH(B607,Ingredients!$A$5:$A$304,0)),""))</f>
        <v>0</v>
      </c>
      <c r="F607" s="8">
        <f>IF(B607="","",IFERROR(INDEX(Ingredients!$E$5:$E$304,MATCH(B607,Ingredients!$A$5:$A$304,0)),""))</f>
        <v>0</v>
      </c>
      <c r="G607" s="8">
        <f>IF(B607="","",IFERROR(INDEX(Ingredients!$D$5:$D$304,MATCH(B607,Ingredients!$A$5:$A$304,0)),""))</f>
        <v>0</v>
      </c>
      <c r="H607" s="8">
        <f>IF(OR(B607="",C607=""),"",IFERROR(C607*G607,""))</f>
        <v>0</v>
      </c>
      <c r="I607" s="8">
        <f>IF(A607="","",IFERROR(INDEX(Recipes!$D$5:$D$204,MATCH(A607,Recipes!$A$5:$A$204,0)),""))</f>
        <v>0</v>
      </c>
      <c r="J607" s="8">
        <f>IF(OR(H607="",I607="",I607=0),"",IFERROR(H607/I607,""))</f>
        <v>0</v>
      </c>
      <c r="K607" s="8">
        <f>IF(OR(B607="",C607=""),"",IFERROR(C607*IFERROR(INDEX(Ingredients!$H$5:$H$304,MATCH(B607,Ingredients!$A$5:$A$304,0)),""),""))</f>
        <v>0</v>
      </c>
      <c r="L607" s="8">
        <f>IF(OR(B607="",C607=""),"",IFERROR(C607*IFERROR(INDEX(Ingredients!$I$5:$I$304,MATCH(B607,Ingredients!$A$5:$A$304,0)),""),""))</f>
        <v>0</v>
      </c>
      <c r="M607" s="8">
        <f>IF(OR(B607="",C607=""),"",IFERROR(C607*IFERROR(INDEX(Ingredients!$J$5:$J$304,MATCH(B607,Ingredients!$A$5:$A$304,0)),""),""))</f>
        <v>0</v>
      </c>
      <c r="N607" s="8">
        <f>IF(OR(B607="",C607=""),"",IFERROR(C607*IFERROR(INDEX(Ingredients!$K$5:$K$304,MATCH(B607,Ingredients!$A$5:$A$304,0)),""),""))</f>
        <v>0</v>
      </c>
      <c r="O607" s="8">
        <f>IF(OR(B607="",C607=""),"",IFERROR(C607*IFERROR(INDEX(Ingredients!$L$5:$L$304,MATCH(B607,Ingredients!$A$5:$A$304,0)),""),""))</f>
        <v>0</v>
      </c>
      <c r="P607" s="8">
        <f>IF(OR(H607="",A607=""),"",IFERROR(H607/SUMIFS('Recipe Ingredients'!$H$5:$H$1204,'Recipe Ingredients'!$A$5:$A$1204,A607),""))</f>
        <v>0</v>
      </c>
      <c r="Q607" s="8">
        <f>IF(H607="","",COUNTIFS($H$5:$H$1204,"&gt;"&amp;H607)+1)</f>
        <v>0</v>
      </c>
      <c r="R607" s="8">
        <f>IF(B607="","",SUMIFS(Pantry!$C$5:$C$304,Pantry!$A$5:$A$304,B607))</f>
        <v>0</v>
      </c>
      <c r="S607" s="8">
        <f>IF(OR(B607="",C607=""),"",MAX(0,C607-R607))</f>
        <v>0</v>
      </c>
      <c r="T607" s="26"/>
      <c r="U607" s="8">
        <f>IF(OR(T607="",T607=0,G607=""),"",T607*G607)</f>
        <v>0</v>
      </c>
      <c r="V607" s="8">
        <f>IF(OR(S607="",T607="",T607=0),"",CEILING(S607/T607,1))</f>
        <v>0</v>
      </c>
      <c r="W607" s="27"/>
      <c r="X607" s="29"/>
      <c r="Y607" s="8">
        <f>IF(OR(C607="",X607=""),"",C607*(1+X607))</f>
        <v>0</v>
      </c>
      <c r="Z607" s="8">
        <f>IF(B607="","",IFERROR(INDEX(Ingredients!$O$5:$O$304,MATCH(B607,Ingredients!$A$5:$A$304,0)),""))</f>
        <v>0</v>
      </c>
      <c r="AA607" s="8">
        <f>IF(B607="","",IF(R607&gt;=C607,"In pantry","To buy"))</f>
        <v>0</v>
      </c>
      <c r="AB607" s="8">
        <f>IF(A607="","",COUNTIFS($A$5:A607,A607))</f>
        <v>0</v>
      </c>
      <c r="AC607" s="8">
        <f>IF(B607="","",IF(COUNTIFS('Dietary Filters'!$C$5:$C$104,B607)&gt;0,"Check","OK"))</f>
        <v>0</v>
      </c>
      <c r="AD607" s="25"/>
    </row>
    <row r="608" spans="1:30">
      <c r="A608" s="7"/>
      <c r="B608" s="7"/>
      <c r="C608" s="26"/>
      <c r="D608" s="27"/>
      <c r="E608" s="8">
        <f>IF(B608="","",IFERROR(INDEX(Ingredients!$B$5:$B$304,MATCH(B608,Ingredients!$A$5:$A$304,0)),""))</f>
        <v>0</v>
      </c>
      <c r="F608" s="8">
        <f>IF(B608="","",IFERROR(INDEX(Ingredients!$E$5:$E$304,MATCH(B608,Ingredients!$A$5:$A$304,0)),""))</f>
        <v>0</v>
      </c>
      <c r="G608" s="8">
        <f>IF(B608="","",IFERROR(INDEX(Ingredients!$D$5:$D$304,MATCH(B608,Ingredients!$A$5:$A$304,0)),""))</f>
        <v>0</v>
      </c>
      <c r="H608" s="8">
        <f>IF(OR(B608="",C608=""),"",IFERROR(C608*G608,""))</f>
        <v>0</v>
      </c>
      <c r="I608" s="8">
        <f>IF(A608="","",IFERROR(INDEX(Recipes!$D$5:$D$204,MATCH(A608,Recipes!$A$5:$A$204,0)),""))</f>
        <v>0</v>
      </c>
      <c r="J608" s="8">
        <f>IF(OR(H608="",I608="",I608=0),"",IFERROR(H608/I608,""))</f>
        <v>0</v>
      </c>
      <c r="K608" s="8">
        <f>IF(OR(B608="",C608=""),"",IFERROR(C608*IFERROR(INDEX(Ingredients!$H$5:$H$304,MATCH(B608,Ingredients!$A$5:$A$304,0)),""),""))</f>
        <v>0</v>
      </c>
      <c r="L608" s="8">
        <f>IF(OR(B608="",C608=""),"",IFERROR(C608*IFERROR(INDEX(Ingredients!$I$5:$I$304,MATCH(B608,Ingredients!$A$5:$A$304,0)),""),""))</f>
        <v>0</v>
      </c>
      <c r="M608" s="8">
        <f>IF(OR(B608="",C608=""),"",IFERROR(C608*IFERROR(INDEX(Ingredients!$J$5:$J$304,MATCH(B608,Ingredients!$A$5:$A$304,0)),""),""))</f>
        <v>0</v>
      </c>
      <c r="N608" s="8">
        <f>IF(OR(B608="",C608=""),"",IFERROR(C608*IFERROR(INDEX(Ingredients!$K$5:$K$304,MATCH(B608,Ingredients!$A$5:$A$304,0)),""),""))</f>
        <v>0</v>
      </c>
      <c r="O608" s="8">
        <f>IF(OR(B608="",C608=""),"",IFERROR(C608*IFERROR(INDEX(Ingredients!$L$5:$L$304,MATCH(B608,Ingredients!$A$5:$A$304,0)),""),""))</f>
        <v>0</v>
      </c>
      <c r="P608" s="8">
        <f>IF(OR(H608="",A608=""),"",IFERROR(H608/SUMIFS('Recipe Ingredients'!$H$5:$H$1204,'Recipe Ingredients'!$A$5:$A$1204,A608),""))</f>
        <v>0</v>
      </c>
      <c r="Q608" s="8">
        <f>IF(H608="","",COUNTIFS($H$5:$H$1204,"&gt;"&amp;H608)+1)</f>
        <v>0</v>
      </c>
      <c r="R608" s="8">
        <f>IF(B608="","",SUMIFS(Pantry!$C$5:$C$304,Pantry!$A$5:$A$304,B608))</f>
        <v>0</v>
      </c>
      <c r="S608" s="8">
        <f>IF(OR(B608="",C608=""),"",MAX(0,C608-R608))</f>
        <v>0</v>
      </c>
      <c r="T608" s="26"/>
      <c r="U608" s="8">
        <f>IF(OR(T608="",T608=0,G608=""),"",T608*G608)</f>
        <v>0</v>
      </c>
      <c r="V608" s="8">
        <f>IF(OR(S608="",T608="",T608=0),"",CEILING(S608/T608,1))</f>
        <v>0</v>
      </c>
      <c r="W608" s="27"/>
      <c r="X608" s="29"/>
      <c r="Y608" s="8">
        <f>IF(OR(C608="",X608=""),"",C608*(1+X608))</f>
        <v>0</v>
      </c>
      <c r="Z608" s="8">
        <f>IF(B608="","",IFERROR(INDEX(Ingredients!$O$5:$O$304,MATCH(B608,Ingredients!$A$5:$A$304,0)),""))</f>
        <v>0</v>
      </c>
      <c r="AA608" s="8">
        <f>IF(B608="","",IF(R608&gt;=C608,"In pantry","To buy"))</f>
        <v>0</v>
      </c>
      <c r="AB608" s="8">
        <f>IF(A608="","",COUNTIFS($A$5:A608,A608))</f>
        <v>0</v>
      </c>
      <c r="AC608" s="8">
        <f>IF(B608="","",IF(COUNTIFS('Dietary Filters'!$C$5:$C$104,B608)&gt;0,"Check","OK"))</f>
        <v>0</v>
      </c>
      <c r="AD608" s="25"/>
    </row>
    <row r="609" spans="1:30">
      <c r="A609" s="7"/>
      <c r="B609" s="7"/>
      <c r="C609" s="26"/>
      <c r="D609" s="27"/>
      <c r="E609" s="8">
        <f>IF(B609="","",IFERROR(INDEX(Ingredients!$B$5:$B$304,MATCH(B609,Ingredients!$A$5:$A$304,0)),""))</f>
        <v>0</v>
      </c>
      <c r="F609" s="8">
        <f>IF(B609="","",IFERROR(INDEX(Ingredients!$E$5:$E$304,MATCH(B609,Ingredients!$A$5:$A$304,0)),""))</f>
        <v>0</v>
      </c>
      <c r="G609" s="8">
        <f>IF(B609="","",IFERROR(INDEX(Ingredients!$D$5:$D$304,MATCH(B609,Ingredients!$A$5:$A$304,0)),""))</f>
        <v>0</v>
      </c>
      <c r="H609" s="8">
        <f>IF(OR(B609="",C609=""),"",IFERROR(C609*G609,""))</f>
        <v>0</v>
      </c>
      <c r="I609" s="8">
        <f>IF(A609="","",IFERROR(INDEX(Recipes!$D$5:$D$204,MATCH(A609,Recipes!$A$5:$A$204,0)),""))</f>
        <v>0</v>
      </c>
      <c r="J609" s="8">
        <f>IF(OR(H609="",I609="",I609=0),"",IFERROR(H609/I609,""))</f>
        <v>0</v>
      </c>
      <c r="K609" s="8">
        <f>IF(OR(B609="",C609=""),"",IFERROR(C609*IFERROR(INDEX(Ingredients!$H$5:$H$304,MATCH(B609,Ingredients!$A$5:$A$304,0)),""),""))</f>
        <v>0</v>
      </c>
      <c r="L609" s="8">
        <f>IF(OR(B609="",C609=""),"",IFERROR(C609*IFERROR(INDEX(Ingredients!$I$5:$I$304,MATCH(B609,Ingredients!$A$5:$A$304,0)),""),""))</f>
        <v>0</v>
      </c>
      <c r="M609" s="8">
        <f>IF(OR(B609="",C609=""),"",IFERROR(C609*IFERROR(INDEX(Ingredients!$J$5:$J$304,MATCH(B609,Ingredients!$A$5:$A$304,0)),""),""))</f>
        <v>0</v>
      </c>
      <c r="N609" s="8">
        <f>IF(OR(B609="",C609=""),"",IFERROR(C609*IFERROR(INDEX(Ingredients!$K$5:$K$304,MATCH(B609,Ingredients!$A$5:$A$304,0)),""),""))</f>
        <v>0</v>
      </c>
      <c r="O609" s="8">
        <f>IF(OR(B609="",C609=""),"",IFERROR(C609*IFERROR(INDEX(Ingredients!$L$5:$L$304,MATCH(B609,Ingredients!$A$5:$A$304,0)),""),""))</f>
        <v>0</v>
      </c>
      <c r="P609" s="8">
        <f>IF(OR(H609="",A609=""),"",IFERROR(H609/SUMIFS('Recipe Ingredients'!$H$5:$H$1204,'Recipe Ingredients'!$A$5:$A$1204,A609),""))</f>
        <v>0</v>
      </c>
      <c r="Q609" s="8">
        <f>IF(H609="","",COUNTIFS($H$5:$H$1204,"&gt;"&amp;H609)+1)</f>
        <v>0</v>
      </c>
      <c r="R609" s="8">
        <f>IF(B609="","",SUMIFS(Pantry!$C$5:$C$304,Pantry!$A$5:$A$304,B609))</f>
        <v>0</v>
      </c>
      <c r="S609" s="8">
        <f>IF(OR(B609="",C609=""),"",MAX(0,C609-R609))</f>
        <v>0</v>
      </c>
      <c r="T609" s="26"/>
      <c r="U609" s="8">
        <f>IF(OR(T609="",T609=0,G609=""),"",T609*G609)</f>
        <v>0</v>
      </c>
      <c r="V609" s="8">
        <f>IF(OR(S609="",T609="",T609=0),"",CEILING(S609/T609,1))</f>
        <v>0</v>
      </c>
      <c r="W609" s="27"/>
      <c r="X609" s="29"/>
      <c r="Y609" s="8">
        <f>IF(OR(C609="",X609=""),"",C609*(1+X609))</f>
        <v>0</v>
      </c>
      <c r="Z609" s="8">
        <f>IF(B609="","",IFERROR(INDEX(Ingredients!$O$5:$O$304,MATCH(B609,Ingredients!$A$5:$A$304,0)),""))</f>
        <v>0</v>
      </c>
      <c r="AA609" s="8">
        <f>IF(B609="","",IF(R609&gt;=C609,"In pantry","To buy"))</f>
        <v>0</v>
      </c>
      <c r="AB609" s="8">
        <f>IF(A609="","",COUNTIFS($A$5:A609,A609))</f>
        <v>0</v>
      </c>
      <c r="AC609" s="8">
        <f>IF(B609="","",IF(COUNTIFS('Dietary Filters'!$C$5:$C$104,B609)&gt;0,"Check","OK"))</f>
        <v>0</v>
      </c>
      <c r="AD609" s="25"/>
    </row>
    <row r="610" spans="1:30">
      <c r="A610" s="7"/>
      <c r="B610" s="7"/>
      <c r="C610" s="26"/>
      <c r="D610" s="27"/>
      <c r="E610" s="8">
        <f>IF(B610="","",IFERROR(INDEX(Ingredients!$B$5:$B$304,MATCH(B610,Ingredients!$A$5:$A$304,0)),""))</f>
        <v>0</v>
      </c>
      <c r="F610" s="8">
        <f>IF(B610="","",IFERROR(INDEX(Ingredients!$E$5:$E$304,MATCH(B610,Ingredients!$A$5:$A$304,0)),""))</f>
        <v>0</v>
      </c>
      <c r="G610" s="8">
        <f>IF(B610="","",IFERROR(INDEX(Ingredients!$D$5:$D$304,MATCH(B610,Ingredients!$A$5:$A$304,0)),""))</f>
        <v>0</v>
      </c>
      <c r="H610" s="8">
        <f>IF(OR(B610="",C610=""),"",IFERROR(C610*G610,""))</f>
        <v>0</v>
      </c>
      <c r="I610" s="8">
        <f>IF(A610="","",IFERROR(INDEX(Recipes!$D$5:$D$204,MATCH(A610,Recipes!$A$5:$A$204,0)),""))</f>
        <v>0</v>
      </c>
      <c r="J610" s="8">
        <f>IF(OR(H610="",I610="",I610=0),"",IFERROR(H610/I610,""))</f>
        <v>0</v>
      </c>
      <c r="K610" s="8">
        <f>IF(OR(B610="",C610=""),"",IFERROR(C610*IFERROR(INDEX(Ingredients!$H$5:$H$304,MATCH(B610,Ingredients!$A$5:$A$304,0)),""),""))</f>
        <v>0</v>
      </c>
      <c r="L610" s="8">
        <f>IF(OR(B610="",C610=""),"",IFERROR(C610*IFERROR(INDEX(Ingredients!$I$5:$I$304,MATCH(B610,Ingredients!$A$5:$A$304,0)),""),""))</f>
        <v>0</v>
      </c>
      <c r="M610" s="8">
        <f>IF(OR(B610="",C610=""),"",IFERROR(C610*IFERROR(INDEX(Ingredients!$J$5:$J$304,MATCH(B610,Ingredients!$A$5:$A$304,0)),""),""))</f>
        <v>0</v>
      </c>
      <c r="N610" s="8">
        <f>IF(OR(B610="",C610=""),"",IFERROR(C610*IFERROR(INDEX(Ingredients!$K$5:$K$304,MATCH(B610,Ingredients!$A$5:$A$304,0)),""),""))</f>
        <v>0</v>
      </c>
      <c r="O610" s="8">
        <f>IF(OR(B610="",C610=""),"",IFERROR(C610*IFERROR(INDEX(Ingredients!$L$5:$L$304,MATCH(B610,Ingredients!$A$5:$A$304,0)),""),""))</f>
        <v>0</v>
      </c>
      <c r="P610" s="8">
        <f>IF(OR(H610="",A610=""),"",IFERROR(H610/SUMIFS('Recipe Ingredients'!$H$5:$H$1204,'Recipe Ingredients'!$A$5:$A$1204,A610),""))</f>
        <v>0</v>
      </c>
      <c r="Q610" s="8">
        <f>IF(H610="","",COUNTIFS($H$5:$H$1204,"&gt;"&amp;H610)+1)</f>
        <v>0</v>
      </c>
      <c r="R610" s="8">
        <f>IF(B610="","",SUMIFS(Pantry!$C$5:$C$304,Pantry!$A$5:$A$304,B610))</f>
        <v>0</v>
      </c>
      <c r="S610" s="8">
        <f>IF(OR(B610="",C610=""),"",MAX(0,C610-R610))</f>
        <v>0</v>
      </c>
      <c r="T610" s="26"/>
      <c r="U610" s="8">
        <f>IF(OR(T610="",T610=0,G610=""),"",T610*G610)</f>
        <v>0</v>
      </c>
      <c r="V610" s="8">
        <f>IF(OR(S610="",T610="",T610=0),"",CEILING(S610/T610,1))</f>
        <v>0</v>
      </c>
      <c r="W610" s="27"/>
      <c r="X610" s="29"/>
      <c r="Y610" s="8">
        <f>IF(OR(C610="",X610=""),"",C610*(1+X610))</f>
        <v>0</v>
      </c>
      <c r="Z610" s="8">
        <f>IF(B610="","",IFERROR(INDEX(Ingredients!$O$5:$O$304,MATCH(B610,Ingredients!$A$5:$A$304,0)),""))</f>
        <v>0</v>
      </c>
      <c r="AA610" s="8">
        <f>IF(B610="","",IF(R610&gt;=C610,"In pantry","To buy"))</f>
        <v>0</v>
      </c>
      <c r="AB610" s="8">
        <f>IF(A610="","",COUNTIFS($A$5:A610,A610))</f>
        <v>0</v>
      </c>
      <c r="AC610" s="8">
        <f>IF(B610="","",IF(COUNTIFS('Dietary Filters'!$C$5:$C$104,B610)&gt;0,"Check","OK"))</f>
        <v>0</v>
      </c>
      <c r="AD610" s="25"/>
    </row>
    <row r="611" spans="1:30">
      <c r="A611" s="7"/>
      <c r="B611" s="7"/>
      <c r="C611" s="26"/>
      <c r="D611" s="27"/>
      <c r="E611" s="8">
        <f>IF(B611="","",IFERROR(INDEX(Ingredients!$B$5:$B$304,MATCH(B611,Ingredients!$A$5:$A$304,0)),""))</f>
        <v>0</v>
      </c>
      <c r="F611" s="8">
        <f>IF(B611="","",IFERROR(INDEX(Ingredients!$E$5:$E$304,MATCH(B611,Ingredients!$A$5:$A$304,0)),""))</f>
        <v>0</v>
      </c>
      <c r="G611" s="8">
        <f>IF(B611="","",IFERROR(INDEX(Ingredients!$D$5:$D$304,MATCH(B611,Ingredients!$A$5:$A$304,0)),""))</f>
        <v>0</v>
      </c>
      <c r="H611" s="8">
        <f>IF(OR(B611="",C611=""),"",IFERROR(C611*G611,""))</f>
        <v>0</v>
      </c>
      <c r="I611" s="8">
        <f>IF(A611="","",IFERROR(INDEX(Recipes!$D$5:$D$204,MATCH(A611,Recipes!$A$5:$A$204,0)),""))</f>
        <v>0</v>
      </c>
      <c r="J611" s="8">
        <f>IF(OR(H611="",I611="",I611=0),"",IFERROR(H611/I611,""))</f>
        <v>0</v>
      </c>
      <c r="K611" s="8">
        <f>IF(OR(B611="",C611=""),"",IFERROR(C611*IFERROR(INDEX(Ingredients!$H$5:$H$304,MATCH(B611,Ingredients!$A$5:$A$304,0)),""),""))</f>
        <v>0</v>
      </c>
      <c r="L611" s="8">
        <f>IF(OR(B611="",C611=""),"",IFERROR(C611*IFERROR(INDEX(Ingredients!$I$5:$I$304,MATCH(B611,Ingredients!$A$5:$A$304,0)),""),""))</f>
        <v>0</v>
      </c>
      <c r="M611" s="8">
        <f>IF(OR(B611="",C611=""),"",IFERROR(C611*IFERROR(INDEX(Ingredients!$J$5:$J$304,MATCH(B611,Ingredients!$A$5:$A$304,0)),""),""))</f>
        <v>0</v>
      </c>
      <c r="N611" s="8">
        <f>IF(OR(B611="",C611=""),"",IFERROR(C611*IFERROR(INDEX(Ingredients!$K$5:$K$304,MATCH(B611,Ingredients!$A$5:$A$304,0)),""),""))</f>
        <v>0</v>
      </c>
      <c r="O611" s="8">
        <f>IF(OR(B611="",C611=""),"",IFERROR(C611*IFERROR(INDEX(Ingredients!$L$5:$L$304,MATCH(B611,Ingredients!$A$5:$A$304,0)),""),""))</f>
        <v>0</v>
      </c>
      <c r="P611" s="8">
        <f>IF(OR(H611="",A611=""),"",IFERROR(H611/SUMIFS('Recipe Ingredients'!$H$5:$H$1204,'Recipe Ingredients'!$A$5:$A$1204,A611),""))</f>
        <v>0</v>
      </c>
      <c r="Q611" s="8">
        <f>IF(H611="","",COUNTIFS($H$5:$H$1204,"&gt;"&amp;H611)+1)</f>
        <v>0</v>
      </c>
      <c r="R611" s="8">
        <f>IF(B611="","",SUMIFS(Pantry!$C$5:$C$304,Pantry!$A$5:$A$304,B611))</f>
        <v>0</v>
      </c>
      <c r="S611" s="8">
        <f>IF(OR(B611="",C611=""),"",MAX(0,C611-R611))</f>
        <v>0</v>
      </c>
      <c r="T611" s="26"/>
      <c r="U611" s="8">
        <f>IF(OR(T611="",T611=0,G611=""),"",T611*G611)</f>
        <v>0</v>
      </c>
      <c r="V611" s="8">
        <f>IF(OR(S611="",T611="",T611=0),"",CEILING(S611/T611,1))</f>
        <v>0</v>
      </c>
      <c r="W611" s="27"/>
      <c r="X611" s="29"/>
      <c r="Y611" s="8">
        <f>IF(OR(C611="",X611=""),"",C611*(1+X611))</f>
        <v>0</v>
      </c>
      <c r="Z611" s="8">
        <f>IF(B611="","",IFERROR(INDEX(Ingredients!$O$5:$O$304,MATCH(B611,Ingredients!$A$5:$A$304,0)),""))</f>
        <v>0</v>
      </c>
      <c r="AA611" s="8">
        <f>IF(B611="","",IF(R611&gt;=C611,"In pantry","To buy"))</f>
        <v>0</v>
      </c>
      <c r="AB611" s="8">
        <f>IF(A611="","",COUNTIFS($A$5:A611,A611))</f>
        <v>0</v>
      </c>
      <c r="AC611" s="8">
        <f>IF(B611="","",IF(COUNTIFS('Dietary Filters'!$C$5:$C$104,B611)&gt;0,"Check","OK"))</f>
        <v>0</v>
      </c>
      <c r="AD611" s="25"/>
    </row>
    <row r="612" spans="1:30">
      <c r="A612" s="7"/>
      <c r="B612" s="7"/>
      <c r="C612" s="26"/>
      <c r="D612" s="27"/>
      <c r="E612" s="8">
        <f>IF(B612="","",IFERROR(INDEX(Ingredients!$B$5:$B$304,MATCH(B612,Ingredients!$A$5:$A$304,0)),""))</f>
        <v>0</v>
      </c>
      <c r="F612" s="8">
        <f>IF(B612="","",IFERROR(INDEX(Ingredients!$E$5:$E$304,MATCH(B612,Ingredients!$A$5:$A$304,0)),""))</f>
        <v>0</v>
      </c>
      <c r="G612" s="8">
        <f>IF(B612="","",IFERROR(INDEX(Ingredients!$D$5:$D$304,MATCH(B612,Ingredients!$A$5:$A$304,0)),""))</f>
        <v>0</v>
      </c>
      <c r="H612" s="8">
        <f>IF(OR(B612="",C612=""),"",IFERROR(C612*G612,""))</f>
        <v>0</v>
      </c>
      <c r="I612" s="8">
        <f>IF(A612="","",IFERROR(INDEX(Recipes!$D$5:$D$204,MATCH(A612,Recipes!$A$5:$A$204,0)),""))</f>
        <v>0</v>
      </c>
      <c r="J612" s="8">
        <f>IF(OR(H612="",I612="",I612=0),"",IFERROR(H612/I612,""))</f>
        <v>0</v>
      </c>
      <c r="K612" s="8">
        <f>IF(OR(B612="",C612=""),"",IFERROR(C612*IFERROR(INDEX(Ingredients!$H$5:$H$304,MATCH(B612,Ingredients!$A$5:$A$304,0)),""),""))</f>
        <v>0</v>
      </c>
      <c r="L612" s="8">
        <f>IF(OR(B612="",C612=""),"",IFERROR(C612*IFERROR(INDEX(Ingredients!$I$5:$I$304,MATCH(B612,Ingredients!$A$5:$A$304,0)),""),""))</f>
        <v>0</v>
      </c>
      <c r="M612" s="8">
        <f>IF(OR(B612="",C612=""),"",IFERROR(C612*IFERROR(INDEX(Ingredients!$J$5:$J$304,MATCH(B612,Ingredients!$A$5:$A$304,0)),""),""))</f>
        <v>0</v>
      </c>
      <c r="N612" s="8">
        <f>IF(OR(B612="",C612=""),"",IFERROR(C612*IFERROR(INDEX(Ingredients!$K$5:$K$304,MATCH(B612,Ingredients!$A$5:$A$304,0)),""),""))</f>
        <v>0</v>
      </c>
      <c r="O612" s="8">
        <f>IF(OR(B612="",C612=""),"",IFERROR(C612*IFERROR(INDEX(Ingredients!$L$5:$L$304,MATCH(B612,Ingredients!$A$5:$A$304,0)),""),""))</f>
        <v>0</v>
      </c>
      <c r="P612" s="8">
        <f>IF(OR(H612="",A612=""),"",IFERROR(H612/SUMIFS('Recipe Ingredients'!$H$5:$H$1204,'Recipe Ingredients'!$A$5:$A$1204,A612),""))</f>
        <v>0</v>
      </c>
      <c r="Q612" s="8">
        <f>IF(H612="","",COUNTIFS($H$5:$H$1204,"&gt;"&amp;H612)+1)</f>
        <v>0</v>
      </c>
      <c r="R612" s="8">
        <f>IF(B612="","",SUMIFS(Pantry!$C$5:$C$304,Pantry!$A$5:$A$304,B612))</f>
        <v>0</v>
      </c>
      <c r="S612" s="8">
        <f>IF(OR(B612="",C612=""),"",MAX(0,C612-R612))</f>
        <v>0</v>
      </c>
      <c r="T612" s="26"/>
      <c r="U612" s="8">
        <f>IF(OR(T612="",T612=0,G612=""),"",T612*G612)</f>
        <v>0</v>
      </c>
      <c r="V612" s="8">
        <f>IF(OR(S612="",T612="",T612=0),"",CEILING(S612/T612,1))</f>
        <v>0</v>
      </c>
      <c r="W612" s="27"/>
      <c r="X612" s="29"/>
      <c r="Y612" s="8">
        <f>IF(OR(C612="",X612=""),"",C612*(1+X612))</f>
        <v>0</v>
      </c>
      <c r="Z612" s="8">
        <f>IF(B612="","",IFERROR(INDEX(Ingredients!$O$5:$O$304,MATCH(B612,Ingredients!$A$5:$A$304,0)),""))</f>
        <v>0</v>
      </c>
      <c r="AA612" s="8">
        <f>IF(B612="","",IF(R612&gt;=C612,"In pantry","To buy"))</f>
        <v>0</v>
      </c>
      <c r="AB612" s="8">
        <f>IF(A612="","",COUNTIFS($A$5:A612,A612))</f>
        <v>0</v>
      </c>
      <c r="AC612" s="8">
        <f>IF(B612="","",IF(COUNTIFS('Dietary Filters'!$C$5:$C$104,B612)&gt;0,"Check","OK"))</f>
        <v>0</v>
      </c>
      <c r="AD612" s="25"/>
    </row>
    <row r="613" spans="1:30">
      <c r="A613" s="7"/>
      <c r="B613" s="7"/>
      <c r="C613" s="26"/>
      <c r="D613" s="27"/>
      <c r="E613" s="8">
        <f>IF(B613="","",IFERROR(INDEX(Ingredients!$B$5:$B$304,MATCH(B613,Ingredients!$A$5:$A$304,0)),""))</f>
        <v>0</v>
      </c>
      <c r="F613" s="8">
        <f>IF(B613="","",IFERROR(INDEX(Ingredients!$E$5:$E$304,MATCH(B613,Ingredients!$A$5:$A$304,0)),""))</f>
        <v>0</v>
      </c>
      <c r="G613" s="8">
        <f>IF(B613="","",IFERROR(INDEX(Ingredients!$D$5:$D$304,MATCH(B613,Ingredients!$A$5:$A$304,0)),""))</f>
        <v>0</v>
      </c>
      <c r="H613" s="8">
        <f>IF(OR(B613="",C613=""),"",IFERROR(C613*G613,""))</f>
        <v>0</v>
      </c>
      <c r="I613" s="8">
        <f>IF(A613="","",IFERROR(INDEX(Recipes!$D$5:$D$204,MATCH(A613,Recipes!$A$5:$A$204,0)),""))</f>
        <v>0</v>
      </c>
      <c r="J613" s="8">
        <f>IF(OR(H613="",I613="",I613=0),"",IFERROR(H613/I613,""))</f>
        <v>0</v>
      </c>
      <c r="K613" s="8">
        <f>IF(OR(B613="",C613=""),"",IFERROR(C613*IFERROR(INDEX(Ingredients!$H$5:$H$304,MATCH(B613,Ingredients!$A$5:$A$304,0)),""),""))</f>
        <v>0</v>
      </c>
      <c r="L613" s="8">
        <f>IF(OR(B613="",C613=""),"",IFERROR(C613*IFERROR(INDEX(Ingredients!$I$5:$I$304,MATCH(B613,Ingredients!$A$5:$A$304,0)),""),""))</f>
        <v>0</v>
      </c>
      <c r="M613" s="8">
        <f>IF(OR(B613="",C613=""),"",IFERROR(C613*IFERROR(INDEX(Ingredients!$J$5:$J$304,MATCH(B613,Ingredients!$A$5:$A$304,0)),""),""))</f>
        <v>0</v>
      </c>
      <c r="N613" s="8">
        <f>IF(OR(B613="",C613=""),"",IFERROR(C613*IFERROR(INDEX(Ingredients!$K$5:$K$304,MATCH(B613,Ingredients!$A$5:$A$304,0)),""),""))</f>
        <v>0</v>
      </c>
      <c r="O613" s="8">
        <f>IF(OR(B613="",C613=""),"",IFERROR(C613*IFERROR(INDEX(Ingredients!$L$5:$L$304,MATCH(B613,Ingredients!$A$5:$A$304,0)),""),""))</f>
        <v>0</v>
      </c>
      <c r="P613" s="8">
        <f>IF(OR(H613="",A613=""),"",IFERROR(H613/SUMIFS('Recipe Ingredients'!$H$5:$H$1204,'Recipe Ingredients'!$A$5:$A$1204,A613),""))</f>
        <v>0</v>
      </c>
      <c r="Q613" s="8">
        <f>IF(H613="","",COUNTIFS($H$5:$H$1204,"&gt;"&amp;H613)+1)</f>
        <v>0</v>
      </c>
      <c r="R613" s="8">
        <f>IF(B613="","",SUMIFS(Pantry!$C$5:$C$304,Pantry!$A$5:$A$304,B613))</f>
        <v>0</v>
      </c>
      <c r="S613" s="8">
        <f>IF(OR(B613="",C613=""),"",MAX(0,C613-R613))</f>
        <v>0</v>
      </c>
      <c r="T613" s="26"/>
      <c r="U613" s="8">
        <f>IF(OR(T613="",T613=0,G613=""),"",T613*G613)</f>
        <v>0</v>
      </c>
      <c r="V613" s="8">
        <f>IF(OR(S613="",T613="",T613=0),"",CEILING(S613/T613,1))</f>
        <v>0</v>
      </c>
      <c r="W613" s="27"/>
      <c r="X613" s="29"/>
      <c r="Y613" s="8">
        <f>IF(OR(C613="",X613=""),"",C613*(1+X613))</f>
        <v>0</v>
      </c>
      <c r="Z613" s="8">
        <f>IF(B613="","",IFERROR(INDEX(Ingredients!$O$5:$O$304,MATCH(B613,Ingredients!$A$5:$A$304,0)),""))</f>
        <v>0</v>
      </c>
      <c r="AA613" s="8">
        <f>IF(B613="","",IF(R613&gt;=C613,"In pantry","To buy"))</f>
        <v>0</v>
      </c>
      <c r="AB613" s="8">
        <f>IF(A613="","",COUNTIFS($A$5:A613,A613))</f>
        <v>0</v>
      </c>
      <c r="AC613" s="8">
        <f>IF(B613="","",IF(COUNTIFS('Dietary Filters'!$C$5:$C$104,B613)&gt;0,"Check","OK"))</f>
        <v>0</v>
      </c>
      <c r="AD613" s="25"/>
    </row>
    <row r="614" spans="1:30">
      <c r="A614" s="7"/>
      <c r="B614" s="7"/>
      <c r="C614" s="26"/>
      <c r="D614" s="27"/>
      <c r="E614" s="8">
        <f>IF(B614="","",IFERROR(INDEX(Ingredients!$B$5:$B$304,MATCH(B614,Ingredients!$A$5:$A$304,0)),""))</f>
        <v>0</v>
      </c>
      <c r="F614" s="8">
        <f>IF(B614="","",IFERROR(INDEX(Ingredients!$E$5:$E$304,MATCH(B614,Ingredients!$A$5:$A$304,0)),""))</f>
        <v>0</v>
      </c>
      <c r="G614" s="8">
        <f>IF(B614="","",IFERROR(INDEX(Ingredients!$D$5:$D$304,MATCH(B614,Ingredients!$A$5:$A$304,0)),""))</f>
        <v>0</v>
      </c>
      <c r="H614" s="8">
        <f>IF(OR(B614="",C614=""),"",IFERROR(C614*G614,""))</f>
        <v>0</v>
      </c>
      <c r="I614" s="8">
        <f>IF(A614="","",IFERROR(INDEX(Recipes!$D$5:$D$204,MATCH(A614,Recipes!$A$5:$A$204,0)),""))</f>
        <v>0</v>
      </c>
      <c r="J614" s="8">
        <f>IF(OR(H614="",I614="",I614=0),"",IFERROR(H614/I614,""))</f>
        <v>0</v>
      </c>
      <c r="K614" s="8">
        <f>IF(OR(B614="",C614=""),"",IFERROR(C614*IFERROR(INDEX(Ingredients!$H$5:$H$304,MATCH(B614,Ingredients!$A$5:$A$304,0)),""),""))</f>
        <v>0</v>
      </c>
      <c r="L614" s="8">
        <f>IF(OR(B614="",C614=""),"",IFERROR(C614*IFERROR(INDEX(Ingredients!$I$5:$I$304,MATCH(B614,Ingredients!$A$5:$A$304,0)),""),""))</f>
        <v>0</v>
      </c>
      <c r="M614" s="8">
        <f>IF(OR(B614="",C614=""),"",IFERROR(C614*IFERROR(INDEX(Ingredients!$J$5:$J$304,MATCH(B614,Ingredients!$A$5:$A$304,0)),""),""))</f>
        <v>0</v>
      </c>
      <c r="N614" s="8">
        <f>IF(OR(B614="",C614=""),"",IFERROR(C614*IFERROR(INDEX(Ingredients!$K$5:$K$304,MATCH(B614,Ingredients!$A$5:$A$304,0)),""),""))</f>
        <v>0</v>
      </c>
      <c r="O614" s="8">
        <f>IF(OR(B614="",C614=""),"",IFERROR(C614*IFERROR(INDEX(Ingredients!$L$5:$L$304,MATCH(B614,Ingredients!$A$5:$A$304,0)),""),""))</f>
        <v>0</v>
      </c>
      <c r="P614" s="8">
        <f>IF(OR(H614="",A614=""),"",IFERROR(H614/SUMIFS('Recipe Ingredients'!$H$5:$H$1204,'Recipe Ingredients'!$A$5:$A$1204,A614),""))</f>
        <v>0</v>
      </c>
      <c r="Q614" s="8">
        <f>IF(H614="","",COUNTIFS($H$5:$H$1204,"&gt;"&amp;H614)+1)</f>
        <v>0</v>
      </c>
      <c r="R614" s="8">
        <f>IF(B614="","",SUMIFS(Pantry!$C$5:$C$304,Pantry!$A$5:$A$304,B614))</f>
        <v>0</v>
      </c>
      <c r="S614" s="8">
        <f>IF(OR(B614="",C614=""),"",MAX(0,C614-R614))</f>
        <v>0</v>
      </c>
      <c r="T614" s="26"/>
      <c r="U614" s="8">
        <f>IF(OR(T614="",T614=0,G614=""),"",T614*G614)</f>
        <v>0</v>
      </c>
      <c r="V614" s="8">
        <f>IF(OR(S614="",T614="",T614=0),"",CEILING(S614/T614,1))</f>
        <v>0</v>
      </c>
      <c r="W614" s="27"/>
      <c r="X614" s="29"/>
      <c r="Y614" s="8">
        <f>IF(OR(C614="",X614=""),"",C614*(1+X614))</f>
        <v>0</v>
      </c>
      <c r="Z614" s="8">
        <f>IF(B614="","",IFERROR(INDEX(Ingredients!$O$5:$O$304,MATCH(B614,Ingredients!$A$5:$A$304,0)),""))</f>
        <v>0</v>
      </c>
      <c r="AA614" s="8">
        <f>IF(B614="","",IF(R614&gt;=C614,"In pantry","To buy"))</f>
        <v>0</v>
      </c>
      <c r="AB614" s="8">
        <f>IF(A614="","",COUNTIFS($A$5:A614,A614))</f>
        <v>0</v>
      </c>
      <c r="AC614" s="8">
        <f>IF(B614="","",IF(COUNTIFS('Dietary Filters'!$C$5:$C$104,B614)&gt;0,"Check","OK"))</f>
        <v>0</v>
      </c>
      <c r="AD614" s="25"/>
    </row>
    <row r="615" spans="1:30">
      <c r="A615" s="7"/>
      <c r="B615" s="7"/>
      <c r="C615" s="26"/>
      <c r="D615" s="27"/>
      <c r="E615" s="8">
        <f>IF(B615="","",IFERROR(INDEX(Ingredients!$B$5:$B$304,MATCH(B615,Ingredients!$A$5:$A$304,0)),""))</f>
        <v>0</v>
      </c>
      <c r="F615" s="8">
        <f>IF(B615="","",IFERROR(INDEX(Ingredients!$E$5:$E$304,MATCH(B615,Ingredients!$A$5:$A$304,0)),""))</f>
        <v>0</v>
      </c>
      <c r="G615" s="8">
        <f>IF(B615="","",IFERROR(INDEX(Ingredients!$D$5:$D$304,MATCH(B615,Ingredients!$A$5:$A$304,0)),""))</f>
        <v>0</v>
      </c>
      <c r="H615" s="8">
        <f>IF(OR(B615="",C615=""),"",IFERROR(C615*G615,""))</f>
        <v>0</v>
      </c>
      <c r="I615" s="8">
        <f>IF(A615="","",IFERROR(INDEX(Recipes!$D$5:$D$204,MATCH(A615,Recipes!$A$5:$A$204,0)),""))</f>
        <v>0</v>
      </c>
      <c r="J615" s="8">
        <f>IF(OR(H615="",I615="",I615=0),"",IFERROR(H615/I615,""))</f>
        <v>0</v>
      </c>
      <c r="K615" s="8">
        <f>IF(OR(B615="",C615=""),"",IFERROR(C615*IFERROR(INDEX(Ingredients!$H$5:$H$304,MATCH(B615,Ingredients!$A$5:$A$304,0)),""),""))</f>
        <v>0</v>
      </c>
      <c r="L615" s="8">
        <f>IF(OR(B615="",C615=""),"",IFERROR(C615*IFERROR(INDEX(Ingredients!$I$5:$I$304,MATCH(B615,Ingredients!$A$5:$A$304,0)),""),""))</f>
        <v>0</v>
      </c>
      <c r="M615" s="8">
        <f>IF(OR(B615="",C615=""),"",IFERROR(C615*IFERROR(INDEX(Ingredients!$J$5:$J$304,MATCH(B615,Ingredients!$A$5:$A$304,0)),""),""))</f>
        <v>0</v>
      </c>
      <c r="N615" s="8">
        <f>IF(OR(B615="",C615=""),"",IFERROR(C615*IFERROR(INDEX(Ingredients!$K$5:$K$304,MATCH(B615,Ingredients!$A$5:$A$304,0)),""),""))</f>
        <v>0</v>
      </c>
      <c r="O615" s="8">
        <f>IF(OR(B615="",C615=""),"",IFERROR(C615*IFERROR(INDEX(Ingredients!$L$5:$L$304,MATCH(B615,Ingredients!$A$5:$A$304,0)),""),""))</f>
        <v>0</v>
      </c>
      <c r="P615" s="8">
        <f>IF(OR(H615="",A615=""),"",IFERROR(H615/SUMIFS('Recipe Ingredients'!$H$5:$H$1204,'Recipe Ingredients'!$A$5:$A$1204,A615),""))</f>
        <v>0</v>
      </c>
      <c r="Q615" s="8">
        <f>IF(H615="","",COUNTIFS($H$5:$H$1204,"&gt;"&amp;H615)+1)</f>
        <v>0</v>
      </c>
      <c r="R615" s="8">
        <f>IF(B615="","",SUMIFS(Pantry!$C$5:$C$304,Pantry!$A$5:$A$304,B615))</f>
        <v>0</v>
      </c>
      <c r="S615" s="8">
        <f>IF(OR(B615="",C615=""),"",MAX(0,C615-R615))</f>
        <v>0</v>
      </c>
      <c r="T615" s="26"/>
      <c r="U615" s="8">
        <f>IF(OR(T615="",T615=0,G615=""),"",T615*G615)</f>
        <v>0</v>
      </c>
      <c r="V615" s="8">
        <f>IF(OR(S615="",T615="",T615=0),"",CEILING(S615/T615,1))</f>
        <v>0</v>
      </c>
      <c r="W615" s="27"/>
      <c r="X615" s="29"/>
      <c r="Y615" s="8">
        <f>IF(OR(C615="",X615=""),"",C615*(1+X615))</f>
        <v>0</v>
      </c>
      <c r="Z615" s="8">
        <f>IF(B615="","",IFERROR(INDEX(Ingredients!$O$5:$O$304,MATCH(B615,Ingredients!$A$5:$A$304,0)),""))</f>
        <v>0</v>
      </c>
      <c r="AA615" s="8">
        <f>IF(B615="","",IF(R615&gt;=C615,"In pantry","To buy"))</f>
        <v>0</v>
      </c>
      <c r="AB615" s="8">
        <f>IF(A615="","",COUNTIFS($A$5:A615,A615))</f>
        <v>0</v>
      </c>
      <c r="AC615" s="8">
        <f>IF(B615="","",IF(COUNTIFS('Dietary Filters'!$C$5:$C$104,B615)&gt;0,"Check","OK"))</f>
        <v>0</v>
      </c>
      <c r="AD615" s="25"/>
    </row>
    <row r="616" spans="1:30">
      <c r="A616" s="7"/>
      <c r="B616" s="7"/>
      <c r="C616" s="26"/>
      <c r="D616" s="27"/>
      <c r="E616" s="8">
        <f>IF(B616="","",IFERROR(INDEX(Ingredients!$B$5:$B$304,MATCH(B616,Ingredients!$A$5:$A$304,0)),""))</f>
        <v>0</v>
      </c>
      <c r="F616" s="8">
        <f>IF(B616="","",IFERROR(INDEX(Ingredients!$E$5:$E$304,MATCH(B616,Ingredients!$A$5:$A$304,0)),""))</f>
        <v>0</v>
      </c>
      <c r="G616" s="8">
        <f>IF(B616="","",IFERROR(INDEX(Ingredients!$D$5:$D$304,MATCH(B616,Ingredients!$A$5:$A$304,0)),""))</f>
        <v>0</v>
      </c>
      <c r="H616" s="8">
        <f>IF(OR(B616="",C616=""),"",IFERROR(C616*G616,""))</f>
        <v>0</v>
      </c>
      <c r="I616" s="8">
        <f>IF(A616="","",IFERROR(INDEX(Recipes!$D$5:$D$204,MATCH(A616,Recipes!$A$5:$A$204,0)),""))</f>
        <v>0</v>
      </c>
      <c r="J616" s="8">
        <f>IF(OR(H616="",I616="",I616=0),"",IFERROR(H616/I616,""))</f>
        <v>0</v>
      </c>
      <c r="K616" s="8">
        <f>IF(OR(B616="",C616=""),"",IFERROR(C616*IFERROR(INDEX(Ingredients!$H$5:$H$304,MATCH(B616,Ingredients!$A$5:$A$304,0)),""),""))</f>
        <v>0</v>
      </c>
      <c r="L616" s="8">
        <f>IF(OR(B616="",C616=""),"",IFERROR(C616*IFERROR(INDEX(Ingredients!$I$5:$I$304,MATCH(B616,Ingredients!$A$5:$A$304,0)),""),""))</f>
        <v>0</v>
      </c>
      <c r="M616" s="8">
        <f>IF(OR(B616="",C616=""),"",IFERROR(C616*IFERROR(INDEX(Ingredients!$J$5:$J$304,MATCH(B616,Ingredients!$A$5:$A$304,0)),""),""))</f>
        <v>0</v>
      </c>
      <c r="N616" s="8">
        <f>IF(OR(B616="",C616=""),"",IFERROR(C616*IFERROR(INDEX(Ingredients!$K$5:$K$304,MATCH(B616,Ingredients!$A$5:$A$304,0)),""),""))</f>
        <v>0</v>
      </c>
      <c r="O616" s="8">
        <f>IF(OR(B616="",C616=""),"",IFERROR(C616*IFERROR(INDEX(Ingredients!$L$5:$L$304,MATCH(B616,Ingredients!$A$5:$A$304,0)),""),""))</f>
        <v>0</v>
      </c>
      <c r="P616" s="8">
        <f>IF(OR(H616="",A616=""),"",IFERROR(H616/SUMIFS('Recipe Ingredients'!$H$5:$H$1204,'Recipe Ingredients'!$A$5:$A$1204,A616),""))</f>
        <v>0</v>
      </c>
      <c r="Q616" s="8">
        <f>IF(H616="","",COUNTIFS($H$5:$H$1204,"&gt;"&amp;H616)+1)</f>
        <v>0</v>
      </c>
      <c r="R616" s="8">
        <f>IF(B616="","",SUMIFS(Pantry!$C$5:$C$304,Pantry!$A$5:$A$304,B616))</f>
        <v>0</v>
      </c>
      <c r="S616" s="8">
        <f>IF(OR(B616="",C616=""),"",MAX(0,C616-R616))</f>
        <v>0</v>
      </c>
      <c r="T616" s="26"/>
      <c r="U616" s="8">
        <f>IF(OR(T616="",T616=0,G616=""),"",T616*G616)</f>
        <v>0</v>
      </c>
      <c r="V616" s="8">
        <f>IF(OR(S616="",T616="",T616=0),"",CEILING(S616/T616,1))</f>
        <v>0</v>
      </c>
      <c r="W616" s="27"/>
      <c r="X616" s="29"/>
      <c r="Y616" s="8">
        <f>IF(OR(C616="",X616=""),"",C616*(1+X616))</f>
        <v>0</v>
      </c>
      <c r="Z616" s="8">
        <f>IF(B616="","",IFERROR(INDEX(Ingredients!$O$5:$O$304,MATCH(B616,Ingredients!$A$5:$A$304,0)),""))</f>
        <v>0</v>
      </c>
      <c r="AA616" s="8">
        <f>IF(B616="","",IF(R616&gt;=C616,"In pantry","To buy"))</f>
        <v>0</v>
      </c>
      <c r="AB616" s="8">
        <f>IF(A616="","",COUNTIFS($A$5:A616,A616))</f>
        <v>0</v>
      </c>
      <c r="AC616" s="8">
        <f>IF(B616="","",IF(COUNTIFS('Dietary Filters'!$C$5:$C$104,B616)&gt;0,"Check","OK"))</f>
        <v>0</v>
      </c>
      <c r="AD616" s="25"/>
    </row>
    <row r="617" spans="1:30">
      <c r="A617" s="7"/>
      <c r="B617" s="7"/>
      <c r="C617" s="26"/>
      <c r="D617" s="27"/>
      <c r="E617" s="8">
        <f>IF(B617="","",IFERROR(INDEX(Ingredients!$B$5:$B$304,MATCH(B617,Ingredients!$A$5:$A$304,0)),""))</f>
        <v>0</v>
      </c>
      <c r="F617" s="8">
        <f>IF(B617="","",IFERROR(INDEX(Ingredients!$E$5:$E$304,MATCH(B617,Ingredients!$A$5:$A$304,0)),""))</f>
        <v>0</v>
      </c>
      <c r="G617" s="8">
        <f>IF(B617="","",IFERROR(INDEX(Ingredients!$D$5:$D$304,MATCH(B617,Ingredients!$A$5:$A$304,0)),""))</f>
        <v>0</v>
      </c>
      <c r="H617" s="8">
        <f>IF(OR(B617="",C617=""),"",IFERROR(C617*G617,""))</f>
        <v>0</v>
      </c>
      <c r="I617" s="8">
        <f>IF(A617="","",IFERROR(INDEX(Recipes!$D$5:$D$204,MATCH(A617,Recipes!$A$5:$A$204,0)),""))</f>
        <v>0</v>
      </c>
      <c r="J617" s="8">
        <f>IF(OR(H617="",I617="",I617=0),"",IFERROR(H617/I617,""))</f>
        <v>0</v>
      </c>
      <c r="K617" s="8">
        <f>IF(OR(B617="",C617=""),"",IFERROR(C617*IFERROR(INDEX(Ingredients!$H$5:$H$304,MATCH(B617,Ingredients!$A$5:$A$304,0)),""),""))</f>
        <v>0</v>
      </c>
      <c r="L617" s="8">
        <f>IF(OR(B617="",C617=""),"",IFERROR(C617*IFERROR(INDEX(Ingredients!$I$5:$I$304,MATCH(B617,Ingredients!$A$5:$A$304,0)),""),""))</f>
        <v>0</v>
      </c>
      <c r="M617" s="8">
        <f>IF(OR(B617="",C617=""),"",IFERROR(C617*IFERROR(INDEX(Ingredients!$J$5:$J$304,MATCH(B617,Ingredients!$A$5:$A$304,0)),""),""))</f>
        <v>0</v>
      </c>
      <c r="N617" s="8">
        <f>IF(OR(B617="",C617=""),"",IFERROR(C617*IFERROR(INDEX(Ingredients!$K$5:$K$304,MATCH(B617,Ingredients!$A$5:$A$304,0)),""),""))</f>
        <v>0</v>
      </c>
      <c r="O617" s="8">
        <f>IF(OR(B617="",C617=""),"",IFERROR(C617*IFERROR(INDEX(Ingredients!$L$5:$L$304,MATCH(B617,Ingredients!$A$5:$A$304,0)),""),""))</f>
        <v>0</v>
      </c>
      <c r="P617" s="8">
        <f>IF(OR(H617="",A617=""),"",IFERROR(H617/SUMIFS('Recipe Ingredients'!$H$5:$H$1204,'Recipe Ingredients'!$A$5:$A$1204,A617),""))</f>
        <v>0</v>
      </c>
      <c r="Q617" s="8">
        <f>IF(H617="","",COUNTIFS($H$5:$H$1204,"&gt;"&amp;H617)+1)</f>
        <v>0</v>
      </c>
      <c r="R617" s="8">
        <f>IF(B617="","",SUMIFS(Pantry!$C$5:$C$304,Pantry!$A$5:$A$304,B617))</f>
        <v>0</v>
      </c>
      <c r="S617" s="8">
        <f>IF(OR(B617="",C617=""),"",MAX(0,C617-R617))</f>
        <v>0</v>
      </c>
      <c r="T617" s="26"/>
      <c r="U617" s="8">
        <f>IF(OR(T617="",T617=0,G617=""),"",T617*G617)</f>
        <v>0</v>
      </c>
      <c r="V617" s="8">
        <f>IF(OR(S617="",T617="",T617=0),"",CEILING(S617/T617,1))</f>
        <v>0</v>
      </c>
      <c r="W617" s="27"/>
      <c r="X617" s="29"/>
      <c r="Y617" s="8">
        <f>IF(OR(C617="",X617=""),"",C617*(1+X617))</f>
        <v>0</v>
      </c>
      <c r="Z617" s="8">
        <f>IF(B617="","",IFERROR(INDEX(Ingredients!$O$5:$O$304,MATCH(B617,Ingredients!$A$5:$A$304,0)),""))</f>
        <v>0</v>
      </c>
      <c r="AA617" s="8">
        <f>IF(B617="","",IF(R617&gt;=C617,"In pantry","To buy"))</f>
        <v>0</v>
      </c>
      <c r="AB617" s="8">
        <f>IF(A617="","",COUNTIFS($A$5:A617,A617))</f>
        <v>0</v>
      </c>
      <c r="AC617" s="8">
        <f>IF(B617="","",IF(COUNTIFS('Dietary Filters'!$C$5:$C$104,B617)&gt;0,"Check","OK"))</f>
        <v>0</v>
      </c>
      <c r="AD617" s="25"/>
    </row>
    <row r="618" spans="1:30">
      <c r="A618" s="7"/>
      <c r="B618" s="7"/>
      <c r="C618" s="26"/>
      <c r="D618" s="27"/>
      <c r="E618" s="8">
        <f>IF(B618="","",IFERROR(INDEX(Ingredients!$B$5:$B$304,MATCH(B618,Ingredients!$A$5:$A$304,0)),""))</f>
        <v>0</v>
      </c>
      <c r="F618" s="8">
        <f>IF(B618="","",IFERROR(INDEX(Ingredients!$E$5:$E$304,MATCH(B618,Ingredients!$A$5:$A$304,0)),""))</f>
        <v>0</v>
      </c>
      <c r="G618" s="8">
        <f>IF(B618="","",IFERROR(INDEX(Ingredients!$D$5:$D$304,MATCH(B618,Ingredients!$A$5:$A$304,0)),""))</f>
        <v>0</v>
      </c>
      <c r="H618" s="8">
        <f>IF(OR(B618="",C618=""),"",IFERROR(C618*G618,""))</f>
        <v>0</v>
      </c>
      <c r="I618" s="8">
        <f>IF(A618="","",IFERROR(INDEX(Recipes!$D$5:$D$204,MATCH(A618,Recipes!$A$5:$A$204,0)),""))</f>
        <v>0</v>
      </c>
      <c r="J618" s="8">
        <f>IF(OR(H618="",I618="",I618=0),"",IFERROR(H618/I618,""))</f>
        <v>0</v>
      </c>
      <c r="K618" s="8">
        <f>IF(OR(B618="",C618=""),"",IFERROR(C618*IFERROR(INDEX(Ingredients!$H$5:$H$304,MATCH(B618,Ingredients!$A$5:$A$304,0)),""),""))</f>
        <v>0</v>
      </c>
      <c r="L618" s="8">
        <f>IF(OR(B618="",C618=""),"",IFERROR(C618*IFERROR(INDEX(Ingredients!$I$5:$I$304,MATCH(B618,Ingredients!$A$5:$A$304,0)),""),""))</f>
        <v>0</v>
      </c>
      <c r="M618" s="8">
        <f>IF(OR(B618="",C618=""),"",IFERROR(C618*IFERROR(INDEX(Ingredients!$J$5:$J$304,MATCH(B618,Ingredients!$A$5:$A$304,0)),""),""))</f>
        <v>0</v>
      </c>
      <c r="N618" s="8">
        <f>IF(OR(B618="",C618=""),"",IFERROR(C618*IFERROR(INDEX(Ingredients!$K$5:$K$304,MATCH(B618,Ingredients!$A$5:$A$304,0)),""),""))</f>
        <v>0</v>
      </c>
      <c r="O618" s="8">
        <f>IF(OR(B618="",C618=""),"",IFERROR(C618*IFERROR(INDEX(Ingredients!$L$5:$L$304,MATCH(B618,Ingredients!$A$5:$A$304,0)),""),""))</f>
        <v>0</v>
      </c>
      <c r="P618" s="8">
        <f>IF(OR(H618="",A618=""),"",IFERROR(H618/SUMIFS('Recipe Ingredients'!$H$5:$H$1204,'Recipe Ingredients'!$A$5:$A$1204,A618),""))</f>
        <v>0</v>
      </c>
      <c r="Q618" s="8">
        <f>IF(H618="","",COUNTIFS($H$5:$H$1204,"&gt;"&amp;H618)+1)</f>
        <v>0</v>
      </c>
      <c r="R618" s="8">
        <f>IF(B618="","",SUMIFS(Pantry!$C$5:$C$304,Pantry!$A$5:$A$304,B618))</f>
        <v>0</v>
      </c>
      <c r="S618" s="8">
        <f>IF(OR(B618="",C618=""),"",MAX(0,C618-R618))</f>
        <v>0</v>
      </c>
      <c r="T618" s="26"/>
      <c r="U618" s="8">
        <f>IF(OR(T618="",T618=0,G618=""),"",T618*G618)</f>
        <v>0</v>
      </c>
      <c r="V618" s="8">
        <f>IF(OR(S618="",T618="",T618=0),"",CEILING(S618/T618,1))</f>
        <v>0</v>
      </c>
      <c r="W618" s="27"/>
      <c r="X618" s="29"/>
      <c r="Y618" s="8">
        <f>IF(OR(C618="",X618=""),"",C618*(1+X618))</f>
        <v>0</v>
      </c>
      <c r="Z618" s="8">
        <f>IF(B618="","",IFERROR(INDEX(Ingredients!$O$5:$O$304,MATCH(B618,Ingredients!$A$5:$A$304,0)),""))</f>
        <v>0</v>
      </c>
      <c r="AA618" s="8">
        <f>IF(B618="","",IF(R618&gt;=C618,"In pantry","To buy"))</f>
        <v>0</v>
      </c>
      <c r="AB618" s="8">
        <f>IF(A618="","",COUNTIFS($A$5:A618,A618))</f>
        <v>0</v>
      </c>
      <c r="AC618" s="8">
        <f>IF(B618="","",IF(COUNTIFS('Dietary Filters'!$C$5:$C$104,B618)&gt;0,"Check","OK"))</f>
        <v>0</v>
      </c>
      <c r="AD618" s="25"/>
    </row>
    <row r="619" spans="1:30">
      <c r="A619" s="7"/>
      <c r="B619" s="7"/>
      <c r="C619" s="26"/>
      <c r="D619" s="27"/>
      <c r="E619" s="8">
        <f>IF(B619="","",IFERROR(INDEX(Ingredients!$B$5:$B$304,MATCH(B619,Ingredients!$A$5:$A$304,0)),""))</f>
        <v>0</v>
      </c>
      <c r="F619" s="8">
        <f>IF(B619="","",IFERROR(INDEX(Ingredients!$E$5:$E$304,MATCH(B619,Ingredients!$A$5:$A$304,0)),""))</f>
        <v>0</v>
      </c>
      <c r="G619" s="8">
        <f>IF(B619="","",IFERROR(INDEX(Ingredients!$D$5:$D$304,MATCH(B619,Ingredients!$A$5:$A$304,0)),""))</f>
        <v>0</v>
      </c>
      <c r="H619" s="8">
        <f>IF(OR(B619="",C619=""),"",IFERROR(C619*G619,""))</f>
        <v>0</v>
      </c>
      <c r="I619" s="8">
        <f>IF(A619="","",IFERROR(INDEX(Recipes!$D$5:$D$204,MATCH(A619,Recipes!$A$5:$A$204,0)),""))</f>
        <v>0</v>
      </c>
      <c r="J619" s="8">
        <f>IF(OR(H619="",I619="",I619=0),"",IFERROR(H619/I619,""))</f>
        <v>0</v>
      </c>
      <c r="K619" s="8">
        <f>IF(OR(B619="",C619=""),"",IFERROR(C619*IFERROR(INDEX(Ingredients!$H$5:$H$304,MATCH(B619,Ingredients!$A$5:$A$304,0)),""),""))</f>
        <v>0</v>
      </c>
      <c r="L619" s="8">
        <f>IF(OR(B619="",C619=""),"",IFERROR(C619*IFERROR(INDEX(Ingredients!$I$5:$I$304,MATCH(B619,Ingredients!$A$5:$A$304,0)),""),""))</f>
        <v>0</v>
      </c>
      <c r="M619" s="8">
        <f>IF(OR(B619="",C619=""),"",IFERROR(C619*IFERROR(INDEX(Ingredients!$J$5:$J$304,MATCH(B619,Ingredients!$A$5:$A$304,0)),""),""))</f>
        <v>0</v>
      </c>
      <c r="N619" s="8">
        <f>IF(OR(B619="",C619=""),"",IFERROR(C619*IFERROR(INDEX(Ingredients!$K$5:$K$304,MATCH(B619,Ingredients!$A$5:$A$304,0)),""),""))</f>
        <v>0</v>
      </c>
      <c r="O619" s="8">
        <f>IF(OR(B619="",C619=""),"",IFERROR(C619*IFERROR(INDEX(Ingredients!$L$5:$L$304,MATCH(B619,Ingredients!$A$5:$A$304,0)),""),""))</f>
        <v>0</v>
      </c>
      <c r="P619" s="8">
        <f>IF(OR(H619="",A619=""),"",IFERROR(H619/SUMIFS('Recipe Ingredients'!$H$5:$H$1204,'Recipe Ingredients'!$A$5:$A$1204,A619),""))</f>
        <v>0</v>
      </c>
      <c r="Q619" s="8">
        <f>IF(H619="","",COUNTIFS($H$5:$H$1204,"&gt;"&amp;H619)+1)</f>
        <v>0</v>
      </c>
      <c r="R619" s="8">
        <f>IF(B619="","",SUMIFS(Pantry!$C$5:$C$304,Pantry!$A$5:$A$304,B619))</f>
        <v>0</v>
      </c>
      <c r="S619" s="8">
        <f>IF(OR(B619="",C619=""),"",MAX(0,C619-R619))</f>
        <v>0</v>
      </c>
      <c r="T619" s="26"/>
      <c r="U619" s="8">
        <f>IF(OR(T619="",T619=0,G619=""),"",T619*G619)</f>
        <v>0</v>
      </c>
      <c r="V619" s="8">
        <f>IF(OR(S619="",T619="",T619=0),"",CEILING(S619/T619,1))</f>
        <v>0</v>
      </c>
      <c r="W619" s="27"/>
      <c r="X619" s="29"/>
      <c r="Y619" s="8">
        <f>IF(OR(C619="",X619=""),"",C619*(1+X619))</f>
        <v>0</v>
      </c>
      <c r="Z619" s="8">
        <f>IF(B619="","",IFERROR(INDEX(Ingredients!$O$5:$O$304,MATCH(B619,Ingredients!$A$5:$A$304,0)),""))</f>
        <v>0</v>
      </c>
      <c r="AA619" s="8">
        <f>IF(B619="","",IF(R619&gt;=C619,"In pantry","To buy"))</f>
        <v>0</v>
      </c>
      <c r="AB619" s="8">
        <f>IF(A619="","",COUNTIFS($A$5:A619,A619))</f>
        <v>0</v>
      </c>
      <c r="AC619" s="8">
        <f>IF(B619="","",IF(COUNTIFS('Dietary Filters'!$C$5:$C$104,B619)&gt;0,"Check","OK"))</f>
        <v>0</v>
      </c>
      <c r="AD619" s="25"/>
    </row>
    <row r="620" spans="1:30">
      <c r="A620" s="7"/>
      <c r="B620" s="7"/>
      <c r="C620" s="26"/>
      <c r="D620" s="27"/>
      <c r="E620" s="8">
        <f>IF(B620="","",IFERROR(INDEX(Ingredients!$B$5:$B$304,MATCH(B620,Ingredients!$A$5:$A$304,0)),""))</f>
        <v>0</v>
      </c>
      <c r="F620" s="8">
        <f>IF(B620="","",IFERROR(INDEX(Ingredients!$E$5:$E$304,MATCH(B620,Ingredients!$A$5:$A$304,0)),""))</f>
        <v>0</v>
      </c>
      <c r="G620" s="8">
        <f>IF(B620="","",IFERROR(INDEX(Ingredients!$D$5:$D$304,MATCH(B620,Ingredients!$A$5:$A$304,0)),""))</f>
        <v>0</v>
      </c>
      <c r="H620" s="8">
        <f>IF(OR(B620="",C620=""),"",IFERROR(C620*G620,""))</f>
        <v>0</v>
      </c>
      <c r="I620" s="8">
        <f>IF(A620="","",IFERROR(INDEX(Recipes!$D$5:$D$204,MATCH(A620,Recipes!$A$5:$A$204,0)),""))</f>
        <v>0</v>
      </c>
      <c r="J620" s="8">
        <f>IF(OR(H620="",I620="",I620=0),"",IFERROR(H620/I620,""))</f>
        <v>0</v>
      </c>
      <c r="K620" s="8">
        <f>IF(OR(B620="",C620=""),"",IFERROR(C620*IFERROR(INDEX(Ingredients!$H$5:$H$304,MATCH(B620,Ingredients!$A$5:$A$304,0)),""),""))</f>
        <v>0</v>
      </c>
      <c r="L620" s="8">
        <f>IF(OR(B620="",C620=""),"",IFERROR(C620*IFERROR(INDEX(Ingredients!$I$5:$I$304,MATCH(B620,Ingredients!$A$5:$A$304,0)),""),""))</f>
        <v>0</v>
      </c>
      <c r="M620" s="8">
        <f>IF(OR(B620="",C620=""),"",IFERROR(C620*IFERROR(INDEX(Ingredients!$J$5:$J$304,MATCH(B620,Ingredients!$A$5:$A$304,0)),""),""))</f>
        <v>0</v>
      </c>
      <c r="N620" s="8">
        <f>IF(OR(B620="",C620=""),"",IFERROR(C620*IFERROR(INDEX(Ingredients!$K$5:$K$304,MATCH(B620,Ingredients!$A$5:$A$304,0)),""),""))</f>
        <v>0</v>
      </c>
      <c r="O620" s="8">
        <f>IF(OR(B620="",C620=""),"",IFERROR(C620*IFERROR(INDEX(Ingredients!$L$5:$L$304,MATCH(B620,Ingredients!$A$5:$A$304,0)),""),""))</f>
        <v>0</v>
      </c>
      <c r="P620" s="8">
        <f>IF(OR(H620="",A620=""),"",IFERROR(H620/SUMIFS('Recipe Ingredients'!$H$5:$H$1204,'Recipe Ingredients'!$A$5:$A$1204,A620),""))</f>
        <v>0</v>
      </c>
      <c r="Q620" s="8">
        <f>IF(H620="","",COUNTIFS($H$5:$H$1204,"&gt;"&amp;H620)+1)</f>
        <v>0</v>
      </c>
      <c r="R620" s="8">
        <f>IF(B620="","",SUMIFS(Pantry!$C$5:$C$304,Pantry!$A$5:$A$304,B620))</f>
        <v>0</v>
      </c>
      <c r="S620" s="8">
        <f>IF(OR(B620="",C620=""),"",MAX(0,C620-R620))</f>
        <v>0</v>
      </c>
      <c r="T620" s="26"/>
      <c r="U620" s="8">
        <f>IF(OR(T620="",T620=0,G620=""),"",T620*G620)</f>
        <v>0</v>
      </c>
      <c r="V620" s="8">
        <f>IF(OR(S620="",T620="",T620=0),"",CEILING(S620/T620,1))</f>
        <v>0</v>
      </c>
      <c r="W620" s="27"/>
      <c r="X620" s="29"/>
      <c r="Y620" s="8">
        <f>IF(OR(C620="",X620=""),"",C620*(1+X620))</f>
        <v>0</v>
      </c>
      <c r="Z620" s="8">
        <f>IF(B620="","",IFERROR(INDEX(Ingredients!$O$5:$O$304,MATCH(B620,Ingredients!$A$5:$A$304,0)),""))</f>
        <v>0</v>
      </c>
      <c r="AA620" s="8">
        <f>IF(B620="","",IF(R620&gt;=C620,"In pantry","To buy"))</f>
        <v>0</v>
      </c>
      <c r="AB620" s="8">
        <f>IF(A620="","",COUNTIFS($A$5:A620,A620))</f>
        <v>0</v>
      </c>
      <c r="AC620" s="8">
        <f>IF(B620="","",IF(COUNTIFS('Dietary Filters'!$C$5:$C$104,B620)&gt;0,"Check","OK"))</f>
        <v>0</v>
      </c>
      <c r="AD620" s="25"/>
    </row>
    <row r="621" spans="1:30">
      <c r="A621" s="7"/>
      <c r="B621" s="7"/>
      <c r="C621" s="26"/>
      <c r="D621" s="27"/>
      <c r="E621" s="8">
        <f>IF(B621="","",IFERROR(INDEX(Ingredients!$B$5:$B$304,MATCH(B621,Ingredients!$A$5:$A$304,0)),""))</f>
        <v>0</v>
      </c>
      <c r="F621" s="8">
        <f>IF(B621="","",IFERROR(INDEX(Ingredients!$E$5:$E$304,MATCH(B621,Ingredients!$A$5:$A$304,0)),""))</f>
        <v>0</v>
      </c>
      <c r="G621" s="8">
        <f>IF(B621="","",IFERROR(INDEX(Ingredients!$D$5:$D$304,MATCH(B621,Ingredients!$A$5:$A$304,0)),""))</f>
        <v>0</v>
      </c>
      <c r="H621" s="8">
        <f>IF(OR(B621="",C621=""),"",IFERROR(C621*G621,""))</f>
        <v>0</v>
      </c>
      <c r="I621" s="8">
        <f>IF(A621="","",IFERROR(INDEX(Recipes!$D$5:$D$204,MATCH(A621,Recipes!$A$5:$A$204,0)),""))</f>
        <v>0</v>
      </c>
      <c r="J621" s="8">
        <f>IF(OR(H621="",I621="",I621=0),"",IFERROR(H621/I621,""))</f>
        <v>0</v>
      </c>
      <c r="K621" s="8">
        <f>IF(OR(B621="",C621=""),"",IFERROR(C621*IFERROR(INDEX(Ingredients!$H$5:$H$304,MATCH(B621,Ingredients!$A$5:$A$304,0)),""),""))</f>
        <v>0</v>
      </c>
      <c r="L621" s="8">
        <f>IF(OR(B621="",C621=""),"",IFERROR(C621*IFERROR(INDEX(Ingredients!$I$5:$I$304,MATCH(B621,Ingredients!$A$5:$A$304,0)),""),""))</f>
        <v>0</v>
      </c>
      <c r="M621" s="8">
        <f>IF(OR(B621="",C621=""),"",IFERROR(C621*IFERROR(INDEX(Ingredients!$J$5:$J$304,MATCH(B621,Ingredients!$A$5:$A$304,0)),""),""))</f>
        <v>0</v>
      </c>
      <c r="N621" s="8">
        <f>IF(OR(B621="",C621=""),"",IFERROR(C621*IFERROR(INDEX(Ingredients!$K$5:$K$304,MATCH(B621,Ingredients!$A$5:$A$304,0)),""),""))</f>
        <v>0</v>
      </c>
      <c r="O621" s="8">
        <f>IF(OR(B621="",C621=""),"",IFERROR(C621*IFERROR(INDEX(Ingredients!$L$5:$L$304,MATCH(B621,Ingredients!$A$5:$A$304,0)),""),""))</f>
        <v>0</v>
      </c>
      <c r="P621" s="8">
        <f>IF(OR(H621="",A621=""),"",IFERROR(H621/SUMIFS('Recipe Ingredients'!$H$5:$H$1204,'Recipe Ingredients'!$A$5:$A$1204,A621),""))</f>
        <v>0</v>
      </c>
      <c r="Q621" s="8">
        <f>IF(H621="","",COUNTIFS($H$5:$H$1204,"&gt;"&amp;H621)+1)</f>
        <v>0</v>
      </c>
      <c r="R621" s="8">
        <f>IF(B621="","",SUMIFS(Pantry!$C$5:$C$304,Pantry!$A$5:$A$304,B621))</f>
        <v>0</v>
      </c>
      <c r="S621" s="8">
        <f>IF(OR(B621="",C621=""),"",MAX(0,C621-R621))</f>
        <v>0</v>
      </c>
      <c r="T621" s="26"/>
      <c r="U621" s="8">
        <f>IF(OR(T621="",T621=0,G621=""),"",T621*G621)</f>
        <v>0</v>
      </c>
      <c r="V621" s="8">
        <f>IF(OR(S621="",T621="",T621=0),"",CEILING(S621/T621,1))</f>
        <v>0</v>
      </c>
      <c r="W621" s="27"/>
      <c r="X621" s="29"/>
      <c r="Y621" s="8">
        <f>IF(OR(C621="",X621=""),"",C621*(1+X621))</f>
        <v>0</v>
      </c>
      <c r="Z621" s="8">
        <f>IF(B621="","",IFERROR(INDEX(Ingredients!$O$5:$O$304,MATCH(B621,Ingredients!$A$5:$A$304,0)),""))</f>
        <v>0</v>
      </c>
      <c r="AA621" s="8">
        <f>IF(B621="","",IF(R621&gt;=C621,"In pantry","To buy"))</f>
        <v>0</v>
      </c>
      <c r="AB621" s="8">
        <f>IF(A621="","",COUNTIFS($A$5:A621,A621))</f>
        <v>0</v>
      </c>
      <c r="AC621" s="8">
        <f>IF(B621="","",IF(COUNTIFS('Dietary Filters'!$C$5:$C$104,B621)&gt;0,"Check","OK"))</f>
        <v>0</v>
      </c>
      <c r="AD621" s="25"/>
    </row>
    <row r="622" spans="1:30">
      <c r="A622" s="7"/>
      <c r="B622" s="7"/>
      <c r="C622" s="26"/>
      <c r="D622" s="27"/>
      <c r="E622" s="8">
        <f>IF(B622="","",IFERROR(INDEX(Ingredients!$B$5:$B$304,MATCH(B622,Ingredients!$A$5:$A$304,0)),""))</f>
        <v>0</v>
      </c>
      <c r="F622" s="8">
        <f>IF(B622="","",IFERROR(INDEX(Ingredients!$E$5:$E$304,MATCH(B622,Ingredients!$A$5:$A$304,0)),""))</f>
        <v>0</v>
      </c>
      <c r="G622" s="8">
        <f>IF(B622="","",IFERROR(INDEX(Ingredients!$D$5:$D$304,MATCH(B622,Ingredients!$A$5:$A$304,0)),""))</f>
        <v>0</v>
      </c>
      <c r="H622" s="8">
        <f>IF(OR(B622="",C622=""),"",IFERROR(C622*G622,""))</f>
        <v>0</v>
      </c>
      <c r="I622" s="8">
        <f>IF(A622="","",IFERROR(INDEX(Recipes!$D$5:$D$204,MATCH(A622,Recipes!$A$5:$A$204,0)),""))</f>
        <v>0</v>
      </c>
      <c r="J622" s="8">
        <f>IF(OR(H622="",I622="",I622=0),"",IFERROR(H622/I622,""))</f>
        <v>0</v>
      </c>
      <c r="K622" s="8">
        <f>IF(OR(B622="",C622=""),"",IFERROR(C622*IFERROR(INDEX(Ingredients!$H$5:$H$304,MATCH(B622,Ingredients!$A$5:$A$304,0)),""),""))</f>
        <v>0</v>
      </c>
      <c r="L622" s="8">
        <f>IF(OR(B622="",C622=""),"",IFERROR(C622*IFERROR(INDEX(Ingredients!$I$5:$I$304,MATCH(B622,Ingredients!$A$5:$A$304,0)),""),""))</f>
        <v>0</v>
      </c>
      <c r="M622" s="8">
        <f>IF(OR(B622="",C622=""),"",IFERROR(C622*IFERROR(INDEX(Ingredients!$J$5:$J$304,MATCH(B622,Ingredients!$A$5:$A$304,0)),""),""))</f>
        <v>0</v>
      </c>
      <c r="N622" s="8">
        <f>IF(OR(B622="",C622=""),"",IFERROR(C622*IFERROR(INDEX(Ingredients!$K$5:$K$304,MATCH(B622,Ingredients!$A$5:$A$304,0)),""),""))</f>
        <v>0</v>
      </c>
      <c r="O622" s="8">
        <f>IF(OR(B622="",C622=""),"",IFERROR(C622*IFERROR(INDEX(Ingredients!$L$5:$L$304,MATCH(B622,Ingredients!$A$5:$A$304,0)),""),""))</f>
        <v>0</v>
      </c>
      <c r="P622" s="8">
        <f>IF(OR(H622="",A622=""),"",IFERROR(H622/SUMIFS('Recipe Ingredients'!$H$5:$H$1204,'Recipe Ingredients'!$A$5:$A$1204,A622),""))</f>
        <v>0</v>
      </c>
      <c r="Q622" s="8">
        <f>IF(H622="","",COUNTIFS($H$5:$H$1204,"&gt;"&amp;H622)+1)</f>
        <v>0</v>
      </c>
      <c r="R622" s="8">
        <f>IF(B622="","",SUMIFS(Pantry!$C$5:$C$304,Pantry!$A$5:$A$304,B622))</f>
        <v>0</v>
      </c>
      <c r="S622" s="8">
        <f>IF(OR(B622="",C622=""),"",MAX(0,C622-R622))</f>
        <v>0</v>
      </c>
      <c r="T622" s="26"/>
      <c r="U622" s="8">
        <f>IF(OR(T622="",T622=0,G622=""),"",T622*G622)</f>
        <v>0</v>
      </c>
      <c r="V622" s="8">
        <f>IF(OR(S622="",T622="",T622=0),"",CEILING(S622/T622,1))</f>
        <v>0</v>
      </c>
      <c r="W622" s="27"/>
      <c r="X622" s="29"/>
      <c r="Y622" s="8">
        <f>IF(OR(C622="",X622=""),"",C622*(1+X622))</f>
        <v>0</v>
      </c>
      <c r="Z622" s="8">
        <f>IF(B622="","",IFERROR(INDEX(Ingredients!$O$5:$O$304,MATCH(B622,Ingredients!$A$5:$A$304,0)),""))</f>
        <v>0</v>
      </c>
      <c r="AA622" s="8">
        <f>IF(B622="","",IF(R622&gt;=C622,"In pantry","To buy"))</f>
        <v>0</v>
      </c>
      <c r="AB622" s="8">
        <f>IF(A622="","",COUNTIFS($A$5:A622,A622))</f>
        <v>0</v>
      </c>
      <c r="AC622" s="8">
        <f>IF(B622="","",IF(COUNTIFS('Dietary Filters'!$C$5:$C$104,B622)&gt;0,"Check","OK"))</f>
        <v>0</v>
      </c>
      <c r="AD622" s="25"/>
    </row>
    <row r="623" spans="1:30">
      <c r="A623" s="7"/>
      <c r="B623" s="7"/>
      <c r="C623" s="26"/>
      <c r="D623" s="27"/>
      <c r="E623" s="8">
        <f>IF(B623="","",IFERROR(INDEX(Ingredients!$B$5:$B$304,MATCH(B623,Ingredients!$A$5:$A$304,0)),""))</f>
        <v>0</v>
      </c>
      <c r="F623" s="8">
        <f>IF(B623="","",IFERROR(INDEX(Ingredients!$E$5:$E$304,MATCH(B623,Ingredients!$A$5:$A$304,0)),""))</f>
        <v>0</v>
      </c>
      <c r="G623" s="8">
        <f>IF(B623="","",IFERROR(INDEX(Ingredients!$D$5:$D$304,MATCH(B623,Ingredients!$A$5:$A$304,0)),""))</f>
        <v>0</v>
      </c>
      <c r="H623" s="8">
        <f>IF(OR(B623="",C623=""),"",IFERROR(C623*G623,""))</f>
        <v>0</v>
      </c>
      <c r="I623" s="8">
        <f>IF(A623="","",IFERROR(INDEX(Recipes!$D$5:$D$204,MATCH(A623,Recipes!$A$5:$A$204,0)),""))</f>
        <v>0</v>
      </c>
      <c r="J623" s="8">
        <f>IF(OR(H623="",I623="",I623=0),"",IFERROR(H623/I623,""))</f>
        <v>0</v>
      </c>
      <c r="K623" s="8">
        <f>IF(OR(B623="",C623=""),"",IFERROR(C623*IFERROR(INDEX(Ingredients!$H$5:$H$304,MATCH(B623,Ingredients!$A$5:$A$304,0)),""),""))</f>
        <v>0</v>
      </c>
      <c r="L623" s="8">
        <f>IF(OR(B623="",C623=""),"",IFERROR(C623*IFERROR(INDEX(Ingredients!$I$5:$I$304,MATCH(B623,Ingredients!$A$5:$A$304,0)),""),""))</f>
        <v>0</v>
      </c>
      <c r="M623" s="8">
        <f>IF(OR(B623="",C623=""),"",IFERROR(C623*IFERROR(INDEX(Ingredients!$J$5:$J$304,MATCH(B623,Ingredients!$A$5:$A$304,0)),""),""))</f>
        <v>0</v>
      </c>
      <c r="N623" s="8">
        <f>IF(OR(B623="",C623=""),"",IFERROR(C623*IFERROR(INDEX(Ingredients!$K$5:$K$304,MATCH(B623,Ingredients!$A$5:$A$304,0)),""),""))</f>
        <v>0</v>
      </c>
      <c r="O623" s="8">
        <f>IF(OR(B623="",C623=""),"",IFERROR(C623*IFERROR(INDEX(Ingredients!$L$5:$L$304,MATCH(B623,Ingredients!$A$5:$A$304,0)),""),""))</f>
        <v>0</v>
      </c>
      <c r="P623" s="8">
        <f>IF(OR(H623="",A623=""),"",IFERROR(H623/SUMIFS('Recipe Ingredients'!$H$5:$H$1204,'Recipe Ingredients'!$A$5:$A$1204,A623),""))</f>
        <v>0</v>
      </c>
      <c r="Q623" s="8">
        <f>IF(H623="","",COUNTIFS($H$5:$H$1204,"&gt;"&amp;H623)+1)</f>
        <v>0</v>
      </c>
      <c r="R623" s="8">
        <f>IF(B623="","",SUMIFS(Pantry!$C$5:$C$304,Pantry!$A$5:$A$304,B623))</f>
        <v>0</v>
      </c>
      <c r="S623" s="8">
        <f>IF(OR(B623="",C623=""),"",MAX(0,C623-R623))</f>
        <v>0</v>
      </c>
      <c r="T623" s="26"/>
      <c r="U623" s="8">
        <f>IF(OR(T623="",T623=0,G623=""),"",T623*G623)</f>
        <v>0</v>
      </c>
      <c r="V623" s="8">
        <f>IF(OR(S623="",T623="",T623=0),"",CEILING(S623/T623,1))</f>
        <v>0</v>
      </c>
      <c r="W623" s="27"/>
      <c r="X623" s="29"/>
      <c r="Y623" s="8">
        <f>IF(OR(C623="",X623=""),"",C623*(1+X623))</f>
        <v>0</v>
      </c>
      <c r="Z623" s="8">
        <f>IF(B623="","",IFERROR(INDEX(Ingredients!$O$5:$O$304,MATCH(B623,Ingredients!$A$5:$A$304,0)),""))</f>
        <v>0</v>
      </c>
      <c r="AA623" s="8">
        <f>IF(B623="","",IF(R623&gt;=C623,"In pantry","To buy"))</f>
        <v>0</v>
      </c>
      <c r="AB623" s="8">
        <f>IF(A623="","",COUNTIFS($A$5:A623,A623))</f>
        <v>0</v>
      </c>
      <c r="AC623" s="8">
        <f>IF(B623="","",IF(COUNTIFS('Dietary Filters'!$C$5:$C$104,B623)&gt;0,"Check","OK"))</f>
        <v>0</v>
      </c>
      <c r="AD623" s="25"/>
    </row>
    <row r="624" spans="1:30">
      <c r="A624" s="7"/>
      <c r="B624" s="7"/>
      <c r="C624" s="26"/>
      <c r="D624" s="27"/>
      <c r="E624" s="8">
        <f>IF(B624="","",IFERROR(INDEX(Ingredients!$B$5:$B$304,MATCH(B624,Ingredients!$A$5:$A$304,0)),""))</f>
        <v>0</v>
      </c>
      <c r="F624" s="8">
        <f>IF(B624="","",IFERROR(INDEX(Ingredients!$E$5:$E$304,MATCH(B624,Ingredients!$A$5:$A$304,0)),""))</f>
        <v>0</v>
      </c>
      <c r="G624" s="8">
        <f>IF(B624="","",IFERROR(INDEX(Ingredients!$D$5:$D$304,MATCH(B624,Ingredients!$A$5:$A$304,0)),""))</f>
        <v>0</v>
      </c>
      <c r="H624" s="8">
        <f>IF(OR(B624="",C624=""),"",IFERROR(C624*G624,""))</f>
        <v>0</v>
      </c>
      <c r="I624" s="8">
        <f>IF(A624="","",IFERROR(INDEX(Recipes!$D$5:$D$204,MATCH(A624,Recipes!$A$5:$A$204,0)),""))</f>
        <v>0</v>
      </c>
      <c r="J624" s="8">
        <f>IF(OR(H624="",I624="",I624=0),"",IFERROR(H624/I624,""))</f>
        <v>0</v>
      </c>
      <c r="K624" s="8">
        <f>IF(OR(B624="",C624=""),"",IFERROR(C624*IFERROR(INDEX(Ingredients!$H$5:$H$304,MATCH(B624,Ingredients!$A$5:$A$304,0)),""),""))</f>
        <v>0</v>
      </c>
      <c r="L624" s="8">
        <f>IF(OR(B624="",C624=""),"",IFERROR(C624*IFERROR(INDEX(Ingredients!$I$5:$I$304,MATCH(B624,Ingredients!$A$5:$A$304,0)),""),""))</f>
        <v>0</v>
      </c>
      <c r="M624" s="8">
        <f>IF(OR(B624="",C624=""),"",IFERROR(C624*IFERROR(INDEX(Ingredients!$J$5:$J$304,MATCH(B624,Ingredients!$A$5:$A$304,0)),""),""))</f>
        <v>0</v>
      </c>
      <c r="N624" s="8">
        <f>IF(OR(B624="",C624=""),"",IFERROR(C624*IFERROR(INDEX(Ingredients!$K$5:$K$304,MATCH(B624,Ingredients!$A$5:$A$304,0)),""),""))</f>
        <v>0</v>
      </c>
      <c r="O624" s="8">
        <f>IF(OR(B624="",C624=""),"",IFERROR(C624*IFERROR(INDEX(Ingredients!$L$5:$L$304,MATCH(B624,Ingredients!$A$5:$A$304,0)),""),""))</f>
        <v>0</v>
      </c>
      <c r="P624" s="8">
        <f>IF(OR(H624="",A624=""),"",IFERROR(H624/SUMIFS('Recipe Ingredients'!$H$5:$H$1204,'Recipe Ingredients'!$A$5:$A$1204,A624),""))</f>
        <v>0</v>
      </c>
      <c r="Q624" s="8">
        <f>IF(H624="","",COUNTIFS($H$5:$H$1204,"&gt;"&amp;H624)+1)</f>
        <v>0</v>
      </c>
      <c r="R624" s="8">
        <f>IF(B624="","",SUMIFS(Pantry!$C$5:$C$304,Pantry!$A$5:$A$304,B624))</f>
        <v>0</v>
      </c>
      <c r="S624" s="8">
        <f>IF(OR(B624="",C624=""),"",MAX(0,C624-R624))</f>
        <v>0</v>
      </c>
      <c r="T624" s="26"/>
      <c r="U624" s="8">
        <f>IF(OR(T624="",T624=0,G624=""),"",T624*G624)</f>
        <v>0</v>
      </c>
      <c r="V624" s="8">
        <f>IF(OR(S624="",T624="",T624=0),"",CEILING(S624/T624,1))</f>
        <v>0</v>
      </c>
      <c r="W624" s="27"/>
      <c r="X624" s="29"/>
      <c r="Y624" s="8">
        <f>IF(OR(C624="",X624=""),"",C624*(1+X624))</f>
        <v>0</v>
      </c>
      <c r="Z624" s="8">
        <f>IF(B624="","",IFERROR(INDEX(Ingredients!$O$5:$O$304,MATCH(B624,Ingredients!$A$5:$A$304,0)),""))</f>
        <v>0</v>
      </c>
      <c r="AA624" s="8">
        <f>IF(B624="","",IF(R624&gt;=C624,"In pantry","To buy"))</f>
        <v>0</v>
      </c>
      <c r="AB624" s="8">
        <f>IF(A624="","",COUNTIFS($A$5:A624,A624))</f>
        <v>0</v>
      </c>
      <c r="AC624" s="8">
        <f>IF(B624="","",IF(COUNTIFS('Dietary Filters'!$C$5:$C$104,B624)&gt;0,"Check","OK"))</f>
        <v>0</v>
      </c>
      <c r="AD624" s="25"/>
    </row>
    <row r="625" spans="1:30">
      <c r="A625" s="7"/>
      <c r="B625" s="7"/>
      <c r="C625" s="26"/>
      <c r="D625" s="27"/>
      <c r="E625" s="8">
        <f>IF(B625="","",IFERROR(INDEX(Ingredients!$B$5:$B$304,MATCH(B625,Ingredients!$A$5:$A$304,0)),""))</f>
        <v>0</v>
      </c>
      <c r="F625" s="8">
        <f>IF(B625="","",IFERROR(INDEX(Ingredients!$E$5:$E$304,MATCH(B625,Ingredients!$A$5:$A$304,0)),""))</f>
        <v>0</v>
      </c>
      <c r="G625" s="8">
        <f>IF(B625="","",IFERROR(INDEX(Ingredients!$D$5:$D$304,MATCH(B625,Ingredients!$A$5:$A$304,0)),""))</f>
        <v>0</v>
      </c>
      <c r="H625" s="8">
        <f>IF(OR(B625="",C625=""),"",IFERROR(C625*G625,""))</f>
        <v>0</v>
      </c>
      <c r="I625" s="8">
        <f>IF(A625="","",IFERROR(INDEX(Recipes!$D$5:$D$204,MATCH(A625,Recipes!$A$5:$A$204,0)),""))</f>
        <v>0</v>
      </c>
      <c r="J625" s="8">
        <f>IF(OR(H625="",I625="",I625=0),"",IFERROR(H625/I625,""))</f>
        <v>0</v>
      </c>
      <c r="K625" s="8">
        <f>IF(OR(B625="",C625=""),"",IFERROR(C625*IFERROR(INDEX(Ingredients!$H$5:$H$304,MATCH(B625,Ingredients!$A$5:$A$304,0)),""),""))</f>
        <v>0</v>
      </c>
      <c r="L625" s="8">
        <f>IF(OR(B625="",C625=""),"",IFERROR(C625*IFERROR(INDEX(Ingredients!$I$5:$I$304,MATCH(B625,Ingredients!$A$5:$A$304,0)),""),""))</f>
        <v>0</v>
      </c>
      <c r="M625" s="8">
        <f>IF(OR(B625="",C625=""),"",IFERROR(C625*IFERROR(INDEX(Ingredients!$J$5:$J$304,MATCH(B625,Ingredients!$A$5:$A$304,0)),""),""))</f>
        <v>0</v>
      </c>
      <c r="N625" s="8">
        <f>IF(OR(B625="",C625=""),"",IFERROR(C625*IFERROR(INDEX(Ingredients!$K$5:$K$304,MATCH(B625,Ingredients!$A$5:$A$304,0)),""),""))</f>
        <v>0</v>
      </c>
      <c r="O625" s="8">
        <f>IF(OR(B625="",C625=""),"",IFERROR(C625*IFERROR(INDEX(Ingredients!$L$5:$L$304,MATCH(B625,Ingredients!$A$5:$A$304,0)),""),""))</f>
        <v>0</v>
      </c>
      <c r="P625" s="8">
        <f>IF(OR(H625="",A625=""),"",IFERROR(H625/SUMIFS('Recipe Ingredients'!$H$5:$H$1204,'Recipe Ingredients'!$A$5:$A$1204,A625),""))</f>
        <v>0</v>
      </c>
      <c r="Q625" s="8">
        <f>IF(H625="","",COUNTIFS($H$5:$H$1204,"&gt;"&amp;H625)+1)</f>
        <v>0</v>
      </c>
      <c r="R625" s="8">
        <f>IF(B625="","",SUMIFS(Pantry!$C$5:$C$304,Pantry!$A$5:$A$304,B625))</f>
        <v>0</v>
      </c>
      <c r="S625" s="8">
        <f>IF(OR(B625="",C625=""),"",MAX(0,C625-R625))</f>
        <v>0</v>
      </c>
      <c r="T625" s="26"/>
      <c r="U625" s="8">
        <f>IF(OR(T625="",T625=0,G625=""),"",T625*G625)</f>
        <v>0</v>
      </c>
      <c r="V625" s="8">
        <f>IF(OR(S625="",T625="",T625=0),"",CEILING(S625/T625,1))</f>
        <v>0</v>
      </c>
      <c r="W625" s="27"/>
      <c r="X625" s="29"/>
      <c r="Y625" s="8">
        <f>IF(OR(C625="",X625=""),"",C625*(1+X625))</f>
        <v>0</v>
      </c>
      <c r="Z625" s="8">
        <f>IF(B625="","",IFERROR(INDEX(Ingredients!$O$5:$O$304,MATCH(B625,Ingredients!$A$5:$A$304,0)),""))</f>
        <v>0</v>
      </c>
      <c r="AA625" s="8">
        <f>IF(B625="","",IF(R625&gt;=C625,"In pantry","To buy"))</f>
        <v>0</v>
      </c>
      <c r="AB625" s="8">
        <f>IF(A625="","",COUNTIFS($A$5:A625,A625))</f>
        <v>0</v>
      </c>
      <c r="AC625" s="8">
        <f>IF(B625="","",IF(COUNTIFS('Dietary Filters'!$C$5:$C$104,B625)&gt;0,"Check","OK"))</f>
        <v>0</v>
      </c>
      <c r="AD625" s="25"/>
    </row>
    <row r="626" spans="1:30">
      <c r="A626" s="7"/>
      <c r="B626" s="7"/>
      <c r="C626" s="26"/>
      <c r="D626" s="27"/>
      <c r="E626" s="8">
        <f>IF(B626="","",IFERROR(INDEX(Ingredients!$B$5:$B$304,MATCH(B626,Ingredients!$A$5:$A$304,0)),""))</f>
        <v>0</v>
      </c>
      <c r="F626" s="8">
        <f>IF(B626="","",IFERROR(INDEX(Ingredients!$E$5:$E$304,MATCH(B626,Ingredients!$A$5:$A$304,0)),""))</f>
        <v>0</v>
      </c>
      <c r="G626" s="8">
        <f>IF(B626="","",IFERROR(INDEX(Ingredients!$D$5:$D$304,MATCH(B626,Ingredients!$A$5:$A$304,0)),""))</f>
        <v>0</v>
      </c>
      <c r="H626" s="8">
        <f>IF(OR(B626="",C626=""),"",IFERROR(C626*G626,""))</f>
        <v>0</v>
      </c>
      <c r="I626" s="8">
        <f>IF(A626="","",IFERROR(INDEX(Recipes!$D$5:$D$204,MATCH(A626,Recipes!$A$5:$A$204,0)),""))</f>
        <v>0</v>
      </c>
      <c r="J626" s="8">
        <f>IF(OR(H626="",I626="",I626=0),"",IFERROR(H626/I626,""))</f>
        <v>0</v>
      </c>
      <c r="K626" s="8">
        <f>IF(OR(B626="",C626=""),"",IFERROR(C626*IFERROR(INDEX(Ingredients!$H$5:$H$304,MATCH(B626,Ingredients!$A$5:$A$304,0)),""),""))</f>
        <v>0</v>
      </c>
      <c r="L626" s="8">
        <f>IF(OR(B626="",C626=""),"",IFERROR(C626*IFERROR(INDEX(Ingredients!$I$5:$I$304,MATCH(B626,Ingredients!$A$5:$A$304,0)),""),""))</f>
        <v>0</v>
      </c>
      <c r="M626" s="8">
        <f>IF(OR(B626="",C626=""),"",IFERROR(C626*IFERROR(INDEX(Ingredients!$J$5:$J$304,MATCH(B626,Ingredients!$A$5:$A$304,0)),""),""))</f>
        <v>0</v>
      </c>
      <c r="N626" s="8">
        <f>IF(OR(B626="",C626=""),"",IFERROR(C626*IFERROR(INDEX(Ingredients!$K$5:$K$304,MATCH(B626,Ingredients!$A$5:$A$304,0)),""),""))</f>
        <v>0</v>
      </c>
      <c r="O626" s="8">
        <f>IF(OR(B626="",C626=""),"",IFERROR(C626*IFERROR(INDEX(Ingredients!$L$5:$L$304,MATCH(B626,Ingredients!$A$5:$A$304,0)),""),""))</f>
        <v>0</v>
      </c>
      <c r="P626" s="8">
        <f>IF(OR(H626="",A626=""),"",IFERROR(H626/SUMIFS('Recipe Ingredients'!$H$5:$H$1204,'Recipe Ingredients'!$A$5:$A$1204,A626),""))</f>
        <v>0</v>
      </c>
      <c r="Q626" s="8">
        <f>IF(H626="","",COUNTIFS($H$5:$H$1204,"&gt;"&amp;H626)+1)</f>
        <v>0</v>
      </c>
      <c r="R626" s="8">
        <f>IF(B626="","",SUMIFS(Pantry!$C$5:$C$304,Pantry!$A$5:$A$304,B626))</f>
        <v>0</v>
      </c>
      <c r="S626" s="8">
        <f>IF(OR(B626="",C626=""),"",MAX(0,C626-R626))</f>
        <v>0</v>
      </c>
      <c r="T626" s="26"/>
      <c r="U626" s="8">
        <f>IF(OR(T626="",T626=0,G626=""),"",T626*G626)</f>
        <v>0</v>
      </c>
      <c r="V626" s="8">
        <f>IF(OR(S626="",T626="",T626=0),"",CEILING(S626/T626,1))</f>
        <v>0</v>
      </c>
      <c r="W626" s="27"/>
      <c r="X626" s="29"/>
      <c r="Y626" s="8">
        <f>IF(OR(C626="",X626=""),"",C626*(1+X626))</f>
        <v>0</v>
      </c>
      <c r="Z626" s="8">
        <f>IF(B626="","",IFERROR(INDEX(Ingredients!$O$5:$O$304,MATCH(B626,Ingredients!$A$5:$A$304,0)),""))</f>
        <v>0</v>
      </c>
      <c r="AA626" s="8">
        <f>IF(B626="","",IF(R626&gt;=C626,"In pantry","To buy"))</f>
        <v>0</v>
      </c>
      <c r="AB626" s="8">
        <f>IF(A626="","",COUNTIFS($A$5:A626,A626))</f>
        <v>0</v>
      </c>
      <c r="AC626" s="8">
        <f>IF(B626="","",IF(COUNTIFS('Dietary Filters'!$C$5:$C$104,B626)&gt;0,"Check","OK"))</f>
        <v>0</v>
      </c>
      <c r="AD626" s="25"/>
    </row>
    <row r="627" spans="1:30">
      <c r="A627" s="7"/>
      <c r="B627" s="7"/>
      <c r="C627" s="26"/>
      <c r="D627" s="27"/>
      <c r="E627" s="8">
        <f>IF(B627="","",IFERROR(INDEX(Ingredients!$B$5:$B$304,MATCH(B627,Ingredients!$A$5:$A$304,0)),""))</f>
        <v>0</v>
      </c>
      <c r="F627" s="8">
        <f>IF(B627="","",IFERROR(INDEX(Ingredients!$E$5:$E$304,MATCH(B627,Ingredients!$A$5:$A$304,0)),""))</f>
        <v>0</v>
      </c>
      <c r="G627" s="8">
        <f>IF(B627="","",IFERROR(INDEX(Ingredients!$D$5:$D$304,MATCH(B627,Ingredients!$A$5:$A$304,0)),""))</f>
        <v>0</v>
      </c>
      <c r="H627" s="8">
        <f>IF(OR(B627="",C627=""),"",IFERROR(C627*G627,""))</f>
        <v>0</v>
      </c>
      <c r="I627" s="8">
        <f>IF(A627="","",IFERROR(INDEX(Recipes!$D$5:$D$204,MATCH(A627,Recipes!$A$5:$A$204,0)),""))</f>
        <v>0</v>
      </c>
      <c r="J627" s="8">
        <f>IF(OR(H627="",I627="",I627=0),"",IFERROR(H627/I627,""))</f>
        <v>0</v>
      </c>
      <c r="K627" s="8">
        <f>IF(OR(B627="",C627=""),"",IFERROR(C627*IFERROR(INDEX(Ingredients!$H$5:$H$304,MATCH(B627,Ingredients!$A$5:$A$304,0)),""),""))</f>
        <v>0</v>
      </c>
      <c r="L627" s="8">
        <f>IF(OR(B627="",C627=""),"",IFERROR(C627*IFERROR(INDEX(Ingredients!$I$5:$I$304,MATCH(B627,Ingredients!$A$5:$A$304,0)),""),""))</f>
        <v>0</v>
      </c>
      <c r="M627" s="8">
        <f>IF(OR(B627="",C627=""),"",IFERROR(C627*IFERROR(INDEX(Ingredients!$J$5:$J$304,MATCH(B627,Ingredients!$A$5:$A$304,0)),""),""))</f>
        <v>0</v>
      </c>
      <c r="N627" s="8">
        <f>IF(OR(B627="",C627=""),"",IFERROR(C627*IFERROR(INDEX(Ingredients!$K$5:$K$304,MATCH(B627,Ingredients!$A$5:$A$304,0)),""),""))</f>
        <v>0</v>
      </c>
      <c r="O627" s="8">
        <f>IF(OR(B627="",C627=""),"",IFERROR(C627*IFERROR(INDEX(Ingredients!$L$5:$L$304,MATCH(B627,Ingredients!$A$5:$A$304,0)),""),""))</f>
        <v>0</v>
      </c>
      <c r="P627" s="8">
        <f>IF(OR(H627="",A627=""),"",IFERROR(H627/SUMIFS('Recipe Ingredients'!$H$5:$H$1204,'Recipe Ingredients'!$A$5:$A$1204,A627),""))</f>
        <v>0</v>
      </c>
      <c r="Q627" s="8">
        <f>IF(H627="","",COUNTIFS($H$5:$H$1204,"&gt;"&amp;H627)+1)</f>
        <v>0</v>
      </c>
      <c r="R627" s="8">
        <f>IF(B627="","",SUMIFS(Pantry!$C$5:$C$304,Pantry!$A$5:$A$304,B627))</f>
        <v>0</v>
      </c>
      <c r="S627" s="8">
        <f>IF(OR(B627="",C627=""),"",MAX(0,C627-R627))</f>
        <v>0</v>
      </c>
      <c r="T627" s="26"/>
      <c r="U627" s="8">
        <f>IF(OR(T627="",T627=0,G627=""),"",T627*G627)</f>
        <v>0</v>
      </c>
      <c r="V627" s="8">
        <f>IF(OR(S627="",T627="",T627=0),"",CEILING(S627/T627,1))</f>
        <v>0</v>
      </c>
      <c r="W627" s="27"/>
      <c r="X627" s="29"/>
      <c r="Y627" s="8">
        <f>IF(OR(C627="",X627=""),"",C627*(1+X627))</f>
        <v>0</v>
      </c>
      <c r="Z627" s="8">
        <f>IF(B627="","",IFERROR(INDEX(Ingredients!$O$5:$O$304,MATCH(B627,Ingredients!$A$5:$A$304,0)),""))</f>
        <v>0</v>
      </c>
      <c r="AA627" s="8">
        <f>IF(B627="","",IF(R627&gt;=C627,"In pantry","To buy"))</f>
        <v>0</v>
      </c>
      <c r="AB627" s="8">
        <f>IF(A627="","",COUNTIFS($A$5:A627,A627))</f>
        <v>0</v>
      </c>
      <c r="AC627" s="8">
        <f>IF(B627="","",IF(COUNTIFS('Dietary Filters'!$C$5:$C$104,B627)&gt;0,"Check","OK"))</f>
        <v>0</v>
      </c>
      <c r="AD627" s="25"/>
    </row>
    <row r="628" spans="1:30">
      <c r="A628" s="7"/>
      <c r="B628" s="7"/>
      <c r="C628" s="26"/>
      <c r="D628" s="27"/>
      <c r="E628" s="8">
        <f>IF(B628="","",IFERROR(INDEX(Ingredients!$B$5:$B$304,MATCH(B628,Ingredients!$A$5:$A$304,0)),""))</f>
        <v>0</v>
      </c>
      <c r="F628" s="8">
        <f>IF(B628="","",IFERROR(INDEX(Ingredients!$E$5:$E$304,MATCH(B628,Ingredients!$A$5:$A$304,0)),""))</f>
        <v>0</v>
      </c>
      <c r="G628" s="8">
        <f>IF(B628="","",IFERROR(INDEX(Ingredients!$D$5:$D$304,MATCH(B628,Ingredients!$A$5:$A$304,0)),""))</f>
        <v>0</v>
      </c>
      <c r="H628" s="8">
        <f>IF(OR(B628="",C628=""),"",IFERROR(C628*G628,""))</f>
        <v>0</v>
      </c>
      <c r="I628" s="8">
        <f>IF(A628="","",IFERROR(INDEX(Recipes!$D$5:$D$204,MATCH(A628,Recipes!$A$5:$A$204,0)),""))</f>
        <v>0</v>
      </c>
      <c r="J628" s="8">
        <f>IF(OR(H628="",I628="",I628=0),"",IFERROR(H628/I628,""))</f>
        <v>0</v>
      </c>
      <c r="K628" s="8">
        <f>IF(OR(B628="",C628=""),"",IFERROR(C628*IFERROR(INDEX(Ingredients!$H$5:$H$304,MATCH(B628,Ingredients!$A$5:$A$304,0)),""),""))</f>
        <v>0</v>
      </c>
      <c r="L628" s="8">
        <f>IF(OR(B628="",C628=""),"",IFERROR(C628*IFERROR(INDEX(Ingredients!$I$5:$I$304,MATCH(B628,Ingredients!$A$5:$A$304,0)),""),""))</f>
        <v>0</v>
      </c>
      <c r="M628" s="8">
        <f>IF(OR(B628="",C628=""),"",IFERROR(C628*IFERROR(INDEX(Ingredients!$J$5:$J$304,MATCH(B628,Ingredients!$A$5:$A$304,0)),""),""))</f>
        <v>0</v>
      </c>
      <c r="N628" s="8">
        <f>IF(OR(B628="",C628=""),"",IFERROR(C628*IFERROR(INDEX(Ingredients!$K$5:$K$304,MATCH(B628,Ingredients!$A$5:$A$304,0)),""),""))</f>
        <v>0</v>
      </c>
      <c r="O628" s="8">
        <f>IF(OR(B628="",C628=""),"",IFERROR(C628*IFERROR(INDEX(Ingredients!$L$5:$L$304,MATCH(B628,Ingredients!$A$5:$A$304,0)),""),""))</f>
        <v>0</v>
      </c>
      <c r="P628" s="8">
        <f>IF(OR(H628="",A628=""),"",IFERROR(H628/SUMIFS('Recipe Ingredients'!$H$5:$H$1204,'Recipe Ingredients'!$A$5:$A$1204,A628),""))</f>
        <v>0</v>
      </c>
      <c r="Q628" s="8">
        <f>IF(H628="","",COUNTIFS($H$5:$H$1204,"&gt;"&amp;H628)+1)</f>
        <v>0</v>
      </c>
      <c r="R628" s="8">
        <f>IF(B628="","",SUMIFS(Pantry!$C$5:$C$304,Pantry!$A$5:$A$304,B628))</f>
        <v>0</v>
      </c>
      <c r="S628" s="8">
        <f>IF(OR(B628="",C628=""),"",MAX(0,C628-R628))</f>
        <v>0</v>
      </c>
      <c r="T628" s="26"/>
      <c r="U628" s="8">
        <f>IF(OR(T628="",T628=0,G628=""),"",T628*G628)</f>
        <v>0</v>
      </c>
      <c r="V628" s="8">
        <f>IF(OR(S628="",T628="",T628=0),"",CEILING(S628/T628,1))</f>
        <v>0</v>
      </c>
      <c r="W628" s="27"/>
      <c r="X628" s="29"/>
      <c r="Y628" s="8">
        <f>IF(OR(C628="",X628=""),"",C628*(1+X628))</f>
        <v>0</v>
      </c>
      <c r="Z628" s="8">
        <f>IF(B628="","",IFERROR(INDEX(Ingredients!$O$5:$O$304,MATCH(B628,Ingredients!$A$5:$A$304,0)),""))</f>
        <v>0</v>
      </c>
      <c r="AA628" s="8">
        <f>IF(B628="","",IF(R628&gt;=C628,"In pantry","To buy"))</f>
        <v>0</v>
      </c>
      <c r="AB628" s="8">
        <f>IF(A628="","",COUNTIFS($A$5:A628,A628))</f>
        <v>0</v>
      </c>
      <c r="AC628" s="8">
        <f>IF(B628="","",IF(COUNTIFS('Dietary Filters'!$C$5:$C$104,B628)&gt;0,"Check","OK"))</f>
        <v>0</v>
      </c>
      <c r="AD628" s="25"/>
    </row>
    <row r="629" spans="1:30">
      <c r="A629" s="7"/>
      <c r="B629" s="7"/>
      <c r="C629" s="26"/>
      <c r="D629" s="27"/>
      <c r="E629" s="8">
        <f>IF(B629="","",IFERROR(INDEX(Ingredients!$B$5:$B$304,MATCH(B629,Ingredients!$A$5:$A$304,0)),""))</f>
        <v>0</v>
      </c>
      <c r="F629" s="8">
        <f>IF(B629="","",IFERROR(INDEX(Ingredients!$E$5:$E$304,MATCH(B629,Ingredients!$A$5:$A$304,0)),""))</f>
        <v>0</v>
      </c>
      <c r="G629" s="8">
        <f>IF(B629="","",IFERROR(INDEX(Ingredients!$D$5:$D$304,MATCH(B629,Ingredients!$A$5:$A$304,0)),""))</f>
        <v>0</v>
      </c>
      <c r="H629" s="8">
        <f>IF(OR(B629="",C629=""),"",IFERROR(C629*G629,""))</f>
        <v>0</v>
      </c>
      <c r="I629" s="8">
        <f>IF(A629="","",IFERROR(INDEX(Recipes!$D$5:$D$204,MATCH(A629,Recipes!$A$5:$A$204,0)),""))</f>
        <v>0</v>
      </c>
      <c r="J629" s="8">
        <f>IF(OR(H629="",I629="",I629=0),"",IFERROR(H629/I629,""))</f>
        <v>0</v>
      </c>
      <c r="K629" s="8">
        <f>IF(OR(B629="",C629=""),"",IFERROR(C629*IFERROR(INDEX(Ingredients!$H$5:$H$304,MATCH(B629,Ingredients!$A$5:$A$304,0)),""),""))</f>
        <v>0</v>
      </c>
      <c r="L629" s="8">
        <f>IF(OR(B629="",C629=""),"",IFERROR(C629*IFERROR(INDEX(Ingredients!$I$5:$I$304,MATCH(B629,Ingredients!$A$5:$A$304,0)),""),""))</f>
        <v>0</v>
      </c>
      <c r="M629" s="8">
        <f>IF(OR(B629="",C629=""),"",IFERROR(C629*IFERROR(INDEX(Ingredients!$J$5:$J$304,MATCH(B629,Ingredients!$A$5:$A$304,0)),""),""))</f>
        <v>0</v>
      </c>
      <c r="N629" s="8">
        <f>IF(OR(B629="",C629=""),"",IFERROR(C629*IFERROR(INDEX(Ingredients!$K$5:$K$304,MATCH(B629,Ingredients!$A$5:$A$304,0)),""),""))</f>
        <v>0</v>
      </c>
      <c r="O629" s="8">
        <f>IF(OR(B629="",C629=""),"",IFERROR(C629*IFERROR(INDEX(Ingredients!$L$5:$L$304,MATCH(B629,Ingredients!$A$5:$A$304,0)),""),""))</f>
        <v>0</v>
      </c>
      <c r="P629" s="8">
        <f>IF(OR(H629="",A629=""),"",IFERROR(H629/SUMIFS('Recipe Ingredients'!$H$5:$H$1204,'Recipe Ingredients'!$A$5:$A$1204,A629),""))</f>
        <v>0</v>
      </c>
      <c r="Q629" s="8">
        <f>IF(H629="","",COUNTIFS($H$5:$H$1204,"&gt;"&amp;H629)+1)</f>
        <v>0</v>
      </c>
      <c r="R629" s="8">
        <f>IF(B629="","",SUMIFS(Pantry!$C$5:$C$304,Pantry!$A$5:$A$304,B629))</f>
        <v>0</v>
      </c>
      <c r="S629" s="8">
        <f>IF(OR(B629="",C629=""),"",MAX(0,C629-R629))</f>
        <v>0</v>
      </c>
      <c r="T629" s="26"/>
      <c r="U629" s="8">
        <f>IF(OR(T629="",T629=0,G629=""),"",T629*G629)</f>
        <v>0</v>
      </c>
      <c r="V629" s="8">
        <f>IF(OR(S629="",T629="",T629=0),"",CEILING(S629/T629,1))</f>
        <v>0</v>
      </c>
      <c r="W629" s="27"/>
      <c r="X629" s="29"/>
      <c r="Y629" s="8">
        <f>IF(OR(C629="",X629=""),"",C629*(1+X629))</f>
        <v>0</v>
      </c>
      <c r="Z629" s="8">
        <f>IF(B629="","",IFERROR(INDEX(Ingredients!$O$5:$O$304,MATCH(B629,Ingredients!$A$5:$A$304,0)),""))</f>
        <v>0</v>
      </c>
      <c r="AA629" s="8">
        <f>IF(B629="","",IF(R629&gt;=C629,"In pantry","To buy"))</f>
        <v>0</v>
      </c>
      <c r="AB629" s="8">
        <f>IF(A629="","",COUNTIFS($A$5:A629,A629))</f>
        <v>0</v>
      </c>
      <c r="AC629" s="8">
        <f>IF(B629="","",IF(COUNTIFS('Dietary Filters'!$C$5:$C$104,B629)&gt;0,"Check","OK"))</f>
        <v>0</v>
      </c>
      <c r="AD629" s="25"/>
    </row>
    <row r="630" spans="1:30">
      <c r="A630" s="7"/>
      <c r="B630" s="7"/>
      <c r="C630" s="26"/>
      <c r="D630" s="27"/>
      <c r="E630" s="8">
        <f>IF(B630="","",IFERROR(INDEX(Ingredients!$B$5:$B$304,MATCH(B630,Ingredients!$A$5:$A$304,0)),""))</f>
        <v>0</v>
      </c>
      <c r="F630" s="8">
        <f>IF(B630="","",IFERROR(INDEX(Ingredients!$E$5:$E$304,MATCH(B630,Ingredients!$A$5:$A$304,0)),""))</f>
        <v>0</v>
      </c>
      <c r="G630" s="8">
        <f>IF(B630="","",IFERROR(INDEX(Ingredients!$D$5:$D$304,MATCH(B630,Ingredients!$A$5:$A$304,0)),""))</f>
        <v>0</v>
      </c>
      <c r="H630" s="8">
        <f>IF(OR(B630="",C630=""),"",IFERROR(C630*G630,""))</f>
        <v>0</v>
      </c>
      <c r="I630" s="8">
        <f>IF(A630="","",IFERROR(INDEX(Recipes!$D$5:$D$204,MATCH(A630,Recipes!$A$5:$A$204,0)),""))</f>
        <v>0</v>
      </c>
      <c r="J630" s="8">
        <f>IF(OR(H630="",I630="",I630=0),"",IFERROR(H630/I630,""))</f>
        <v>0</v>
      </c>
      <c r="K630" s="8">
        <f>IF(OR(B630="",C630=""),"",IFERROR(C630*IFERROR(INDEX(Ingredients!$H$5:$H$304,MATCH(B630,Ingredients!$A$5:$A$304,0)),""),""))</f>
        <v>0</v>
      </c>
      <c r="L630" s="8">
        <f>IF(OR(B630="",C630=""),"",IFERROR(C630*IFERROR(INDEX(Ingredients!$I$5:$I$304,MATCH(B630,Ingredients!$A$5:$A$304,0)),""),""))</f>
        <v>0</v>
      </c>
      <c r="M630" s="8">
        <f>IF(OR(B630="",C630=""),"",IFERROR(C630*IFERROR(INDEX(Ingredients!$J$5:$J$304,MATCH(B630,Ingredients!$A$5:$A$304,0)),""),""))</f>
        <v>0</v>
      </c>
      <c r="N630" s="8">
        <f>IF(OR(B630="",C630=""),"",IFERROR(C630*IFERROR(INDEX(Ingredients!$K$5:$K$304,MATCH(B630,Ingredients!$A$5:$A$304,0)),""),""))</f>
        <v>0</v>
      </c>
      <c r="O630" s="8">
        <f>IF(OR(B630="",C630=""),"",IFERROR(C630*IFERROR(INDEX(Ingredients!$L$5:$L$304,MATCH(B630,Ingredients!$A$5:$A$304,0)),""),""))</f>
        <v>0</v>
      </c>
      <c r="P630" s="8">
        <f>IF(OR(H630="",A630=""),"",IFERROR(H630/SUMIFS('Recipe Ingredients'!$H$5:$H$1204,'Recipe Ingredients'!$A$5:$A$1204,A630),""))</f>
        <v>0</v>
      </c>
      <c r="Q630" s="8">
        <f>IF(H630="","",COUNTIFS($H$5:$H$1204,"&gt;"&amp;H630)+1)</f>
        <v>0</v>
      </c>
      <c r="R630" s="8">
        <f>IF(B630="","",SUMIFS(Pantry!$C$5:$C$304,Pantry!$A$5:$A$304,B630))</f>
        <v>0</v>
      </c>
      <c r="S630" s="8">
        <f>IF(OR(B630="",C630=""),"",MAX(0,C630-R630))</f>
        <v>0</v>
      </c>
      <c r="T630" s="26"/>
      <c r="U630" s="8">
        <f>IF(OR(T630="",T630=0,G630=""),"",T630*G630)</f>
        <v>0</v>
      </c>
      <c r="V630" s="8">
        <f>IF(OR(S630="",T630="",T630=0),"",CEILING(S630/T630,1))</f>
        <v>0</v>
      </c>
      <c r="W630" s="27"/>
      <c r="X630" s="29"/>
      <c r="Y630" s="8">
        <f>IF(OR(C630="",X630=""),"",C630*(1+X630))</f>
        <v>0</v>
      </c>
      <c r="Z630" s="8">
        <f>IF(B630="","",IFERROR(INDEX(Ingredients!$O$5:$O$304,MATCH(B630,Ingredients!$A$5:$A$304,0)),""))</f>
        <v>0</v>
      </c>
      <c r="AA630" s="8">
        <f>IF(B630="","",IF(R630&gt;=C630,"In pantry","To buy"))</f>
        <v>0</v>
      </c>
      <c r="AB630" s="8">
        <f>IF(A630="","",COUNTIFS($A$5:A630,A630))</f>
        <v>0</v>
      </c>
      <c r="AC630" s="8">
        <f>IF(B630="","",IF(COUNTIFS('Dietary Filters'!$C$5:$C$104,B630)&gt;0,"Check","OK"))</f>
        <v>0</v>
      </c>
      <c r="AD630" s="25"/>
    </row>
    <row r="631" spans="1:30">
      <c r="A631" s="7"/>
      <c r="B631" s="7"/>
      <c r="C631" s="26"/>
      <c r="D631" s="27"/>
      <c r="E631" s="8">
        <f>IF(B631="","",IFERROR(INDEX(Ingredients!$B$5:$B$304,MATCH(B631,Ingredients!$A$5:$A$304,0)),""))</f>
        <v>0</v>
      </c>
      <c r="F631" s="8">
        <f>IF(B631="","",IFERROR(INDEX(Ingredients!$E$5:$E$304,MATCH(B631,Ingredients!$A$5:$A$304,0)),""))</f>
        <v>0</v>
      </c>
      <c r="G631" s="8">
        <f>IF(B631="","",IFERROR(INDEX(Ingredients!$D$5:$D$304,MATCH(B631,Ingredients!$A$5:$A$304,0)),""))</f>
        <v>0</v>
      </c>
      <c r="H631" s="8">
        <f>IF(OR(B631="",C631=""),"",IFERROR(C631*G631,""))</f>
        <v>0</v>
      </c>
      <c r="I631" s="8">
        <f>IF(A631="","",IFERROR(INDEX(Recipes!$D$5:$D$204,MATCH(A631,Recipes!$A$5:$A$204,0)),""))</f>
        <v>0</v>
      </c>
      <c r="J631" s="8">
        <f>IF(OR(H631="",I631="",I631=0),"",IFERROR(H631/I631,""))</f>
        <v>0</v>
      </c>
      <c r="K631" s="8">
        <f>IF(OR(B631="",C631=""),"",IFERROR(C631*IFERROR(INDEX(Ingredients!$H$5:$H$304,MATCH(B631,Ingredients!$A$5:$A$304,0)),""),""))</f>
        <v>0</v>
      </c>
      <c r="L631" s="8">
        <f>IF(OR(B631="",C631=""),"",IFERROR(C631*IFERROR(INDEX(Ingredients!$I$5:$I$304,MATCH(B631,Ingredients!$A$5:$A$304,0)),""),""))</f>
        <v>0</v>
      </c>
      <c r="M631" s="8">
        <f>IF(OR(B631="",C631=""),"",IFERROR(C631*IFERROR(INDEX(Ingredients!$J$5:$J$304,MATCH(B631,Ingredients!$A$5:$A$304,0)),""),""))</f>
        <v>0</v>
      </c>
      <c r="N631" s="8">
        <f>IF(OR(B631="",C631=""),"",IFERROR(C631*IFERROR(INDEX(Ingredients!$K$5:$K$304,MATCH(B631,Ingredients!$A$5:$A$304,0)),""),""))</f>
        <v>0</v>
      </c>
      <c r="O631" s="8">
        <f>IF(OR(B631="",C631=""),"",IFERROR(C631*IFERROR(INDEX(Ingredients!$L$5:$L$304,MATCH(B631,Ingredients!$A$5:$A$304,0)),""),""))</f>
        <v>0</v>
      </c>
      <c r="P631" s="8">
        <f>IF(OR(H631="",A631=""),"",IFERROR(H631/SUMIFS('Recipe Ingredients'!$H$5:$H$1204,'Recipe Ingredients'!$A$5:$A$1204,A631),""))</f>
        <v>0</v>
      </c>
      <c r="Q631" s="8">
        <f>IF(H631="","",COUNTIFS($H$5:$H$1204,"&gt;"&amp;H631)+1)</f>
        <v>0</v>
      </c>
      <c r="R631" s="8">
        <f>IF(B631="","",SUMIFS(Pantry!$C$5:$C$304,Pantry!$A$5:$A$304,B631))</f>
        <v>0</v>
      </c>
      <c r="S631" s="8">
        <f>IF(OR(B631="",C631=""),"",MAX(0,C631-R631))</f>
        <v>0</v>
      </c>
      <c r="T631" s="26"/>
      <c r="U631" s="8">
        <f>IF(OR(T631="",T631=0,G631=""),"",T631*G631)</f>
        <v>0</v>
      </c>
      <c r="V631" s="8">
        <f>IF(OR(S631="",T631="",T631=0),"",CEILING(S631/T631,1))</f>
        <v>0</v>
      </c>
      <c r="W631" s="27"/>
      <c r="X631" s="29"/>
      <c r="Y631" s="8">
        <f>IF(OR(C631="",X631=""),"",C631*(1+X631))</f>
        <v>0</v>
      </c>
      <c r="Z631" s="8">
        <f>IF(B631="","",IFERROR(INDEX(Ingredients!$O$5:$O$304,MATCH(B631,Ingredients!$A$5:$A$304,0)),""))</f>
        <v>0</v>
      </c>
      <c r="AA631" s="8">
        <f>IF(B631="","",IF(R631&gt;=C631,"In pantry","To buy"))</f>
        <v>0</v>
      </c>
      <c r="AB631" s="8">
        <f>IF(A631="","",COUNTIFS($A$5:A631,A631))</f>
        <v>0</v>
      </c>
      <c r="AC631" s="8">
        <f>IF(B631="","",IF(COUNTIFS('Dietary Filters'!$C$5:$C$104,B631)&gt;0,"Check","OK"))</f>
        <v>0</v>
      </c>
      <c r="AD631" s="25"/>
    </row>
    <row r="632" spans="1:30">
      <c r="A632" s="7"/>
      <c r="B632" s="7"/>
      <c r="C632" s="26"/>
      <c r="D632" s="27"/>
      <c r="E632" s="8">
        <f>IF(B632="","",IFERROR(INDEX(Ingredients!$B$5:$B$304,MATCH(B632,Ingredients!$A$5:$A$304,0)),""))</f>
        <v>0</v>
      </c>
      <c r="F632" s="8">
        <f>IF(B632="","",IFERROR(INDEX(Ingredients!$E$5:$E$304,MATCH(B632,Ingredients!$A$5:$A$304,0)),""))</f>
        <v>0</v>
      </c>
      <c r="G632" s="8">
        <f>IF(B632="","",IFERROR(INDEX(Ingredients!$D$5:$D$304,MATCH(B632,Ingredients!$A$5:$A$304,0)),""))</f>
        <v>0</v>
      </c>
      <c r="H632" s="8">
        <f>IF(OR(B632="",C632=""),"",IFERROR(C632*G632,""))</f>
        <v>0</v>
      </c>
      <c r="I632" s="8">
        <f>IF(A632="","",IFERROR(INDEX(Recipes!$D$5:$D$204,MATCH(A632,Recipes!$A$5:$A$204,0)),""))</f>
        <v>0</v>
      </c>
      <c r="J632" s="8">
        <f>IF(OR(H632="",I632="",I632=0),"",IFERROR(H632/I632,""))</f>
        <v>0</v>
      </c>
      <c r="K632" s="8">
        <f>IF(OR(B632="",C632=""),"",IFERROR(C632*IFERROR(INDEX(Ingredients!$H$5:$H$304,MATCH(B632,Ingredients!$A$5:$A$304,0)),""),""))</f>
        <v>0</v>
      </c>
      <c r="L632" s="8">
        <f>IF(OR(B632="",C632=""),"",IFERROR(C632*IFERROR(INDEX(Ingredients!$I$5:$I$304,MATCH(B632,Ingredients!$A$5:$A$304,0)),""),""))</f>
        <v>0</v>
      </c>
      <c r="M632" s="8">
        <f>IF(OR(B632="",C632=""),"",IFERROR(C632*IFERROR(INDEX(Ingredients!$J$5:$J$304,MATCH(B632,Ingredients!$A$5:$A$304,0)),""),""))</f>
        <v>0</v>
      </c>
      <c r="N632" s="8">
        <f>IF(OR(B632="",C632=""),"",IFERROR(C632*IFERROR(INDEX(Ingredients!$K$5:$K$304,MATCH(B632,Ingredients!$A$5:$A$304,0)),""),""))</f>
        <v>0</v>
      </c>
      <c r="O632" s="8">
        <f>IF(OR(B632="",C632=""),"",IFERROR(C632*IFERROR(INDEX(Ingredients!$L$5:$L$304,MATCH(B632,Ingredients!$A$5:$A$304,0)),""),""))</f>
        <v>0</v>
      </c>
      <c r="P632" s="8">
        <f>IF(OR(H632="",A632=""),"",IFERROR(H632/SUMIFS('Recipe Ingredients'!$H$5:$H$1204,'Recipe Ingredients'!$A$5:$A$1204,A632),""))</f>
        <v>0</v>
      </c>
      <c r="Q632" s="8">
        <f>IF(H632="","",COUNTIFS($H$5:$H$1204,"&gt;"&amp;H632)+1)</f>
        <v>0</v>
      </c>
      <c r="R632" s="8">
        <f>IF(B632="","",SUMIFS(Pantry!$C$5:$C$304,Pantry!$A$5:$A$304,B632))</f>
        <v>0</v>
      </c>
      <c r="S632" s="8">
        <f>IF(OR(B632="",C632=""),"",MAX(0,C632-R632))</f>
        <v>0</v>
      </c>
      <c r="T632" s="26"/>
      <c r="U632" s="8">
        <f>IF(OR(T632="",T632=0,G632=""),"",T632*G632)</f>
        <v>0</v>
      </c>
      <c r="V632" s="8">
        <f>IF(OR(S632="",T632="",T632=0),"",CEILING(S632/T632,1))</f>
        <v>0</v>
      </c>
      <c r="W632" s="27"/>
      <c r="X632" s="29"/>
      <c r="Y632" s="8">
        <f>IF(OR(C632="",X632=""),"",C632*(1+X632))</f>
        <v>0</v>
      </c>
      <c r="Z632" s="8">
        <f>IF(B632="","",IFERROR(INDEX(Ingredients!$O$5:$O$304,MATCH(B632,Ingredients!$A$5:$A$304,0)),""))</f>
        <v>0</v>
      </c>
      <c r="AA632" s="8">
        <f>IF(B632="","",IF(R632&gt;=C632,"In pantry","To buy"))</f>
        <v>0</v>
      </c>
      <c r="AB632" s="8">
        <f>IF(A632="","",COUNTIFS($A$5:A632,A632))</f>
        <v>0</v>
      </c>
      <c r="AC632" s="8">
        <f>IF(B632="","",IF(COUNTIFS('Dietary Filters'!$C$5:$C$104,B632)&gt;0,"Check","OK"))</f>
        <v>0</v>
      </c>
      <c r="AD632" s="25"/>
    </row>
    <row r="633" spans="1:30">
      <c r="A633" s="7"/>
      <c r="B633" s="7"/>
      <c r="C633" s="26"/>
      <c r="D633" s="27"/>
      <c r="E633" s="8">
        <f>IF(B633="","",IFERROR(INDEX(Ingredients!$B$5:$B$304,MATCH(B633,Ingredients!$A$5:$A$304,0)),""))</f>
        <v>0</v>
      </c>
      <c r="F633" s="8">
        <f>IF(B633="","",IFERROR(INDEX(Ingredients!$E$5:$E$304,MATCH(B633,Ingredients!$A$5:$A$304,0)),""))</f>
        <v>0</v>
      </c>
      <c r="G633" s="8">
        <f>IF(B633="","",IFERROR(INDEX(Ingredients!$D$5:$D$304,MATCH(B633,Ingredients!$A$5:$A$304,0)),""))</f>
        <v>0</v>
      </c>
      <c r="H633" s="8">
        <f>IF(OR(B633="",C633=""),"",IFERROR(C633*G633,""))</f>
        <v>0</v>
      </c>
      <c r="I633" s="8">
        <f>IF(A633="","",IFERROR(INDEX(Recipes!$D$5:$D$204,MATCH(A633,Recipes!$A$5:$A$204,0)),""))</f>
        <v>0</v>
      </c>
      <c r="J633" s="8">
        <f>IF(OR(H633="",I633="",I633=0),"",IFERROR(H633/I633,""))</f>
        <v>0</v>
      </c>
      <c r="K633" s="8">
        <f>IF(OR(B633="",C633=""),"",IFERROR(C633*IFERROR(INDEX(Ingredients!$H$5:$H$304,MATCH(B633,Ingredients!$A$5:$A$304,0)),""),""))</f>
        <v>0</v>
      </c>
      <c r="L633" s="8">
        <f>IF(OR(B633="",C633=""),"",IFERROR(C633*IFERROR(INDEX(Ingredients!$I$5:$I$304,MATCH(B633,Ingredients!$A$5:$A$304,0)),""),""))</f>
        <v>0</v>
      </c>
      <c r="M633" s="8">
        <f>IF(OR(B633="",C633=""),"",IFERROR(C633*IFERROR(INDEX(Ingredients!$J$5:$J$304,MATCH(B633,Ingredients!$A$5:$A$304,0)),""),""))</f>
        <v>0</v>
      </c>
      <c r="N633" s="8">
        <f>IF(OR(B633="",C633=""),"",IFERROR(C633*IFERROR(INDEX(Ingredients!$K$5:$K$304,MATCH(B633,Ingredients!$A$5:$A$304,0)),""),""))</f>
        <v>0</v>
      </c>
      <c r="O633" s="8">
        <f>IF(OR(B633="",C633=""),"",IFERROR(C633*IFERROR(INDEX(Ingredients!$L$5:$L$304,MATCH(B633,Ingredients!$A$5:$A$304,0)),""),""))</f>
        <v>0</v>
      </c>
      <c r="P633" s="8">
        <f>IF(OR(H633="",A633=""),"",IFERROR(H633/SUMIFS('Recipe Ingredients'!$H$5:$H$1204,'Recipe Ingredients'!$A$5:$A$1204,A633),""))</f>
        <v>0</v>
      </c>
      <c r="Q633" s="8">
        <f>IF(H633="","",COUNTIFS($H$5:$H$1204,"&gt;"&amp;H633)+1)</f>
        <v>0</v>
      </c>
      <c r="R633" s="8">
        <f>IF(B633="","",SUMIFS(Pantry!$C$5:$C$304,Pantry!$A$5:$A$304,B633))</f>
        <v>0</v>
      </c>
      <c r="S633" s="8">
        <f>IF(OR(B633="",C633=""),"",MAX(0,C633-R633))</f>
        <v>0</v>
      </c>
      <c r="T633" s="26"/>
      <c r="U633" s="8">
        <f>IF(OR(T633="",T633=0,G633=""),"",T633*G633)</f>
        <v>0</v>
      </c>
      <c r="V633" s="8">
        <f>IF(OR(S633="",T633="",T633=0),"",CEILING(S633/T633,1))</f>
        <v>0</v>
      </c>
      <c r="W633" s="27"/>
      <c r="X633" s="29"/>
      <c r="Y633" s="8">
        <f>IF(OR(C633="",X633=""),"",C633*(1+X633))</f>
        <v>0</v>
      </c>
      <c r="Z633" s="8">
        <f>IF(B633="","",IFERROR(INDEX(Ingredients!$O$5:$O$304,MATCH(B633,Ingredients!$A$5:$A$304,0)),""))</f>
        <v>0</v>
      </c>
      <c r="AA633" s="8">
        <f>IF(B633="","",IF(R633&gt;=C633,"In pantry","To buy"))</f>
        <v>0</v>
      </c>
      <c r="AB633" s="8">
        <f>IF(A633="","",COUNTIFS($A$5:A633,A633))</f>
        <v>0</v>
      </c>
      <c r="AC633" s="8">
        <f>IF(B633="","",IF(COUNTIFS('Dietary Filters'!$C$5:$C$104,B633)&gt;0,"Check","OK"))</f>
        <v>0</v>
      </c>
      <c r="AD633" s="25"/>
    </row>
    <row r="634" spans="1:30">
      <c r="A634" s="7"/>
      <c r="B634" s="7"/>
      <c r="C634" s="26"/>
      <c r="D634" s="27"/>
      <c r="E634" s="8">
        <f>IF(B634="","",IFERROR(INDEX(Ingredients!$B$5:$B$304,MATCH(B634,Ingredients!$A$5:$A$304,0)),""))</f>
        <v>0</v>
      </c>
      <c r="F634" s="8">
        <f>IF(B634="","",IFERROR(INDEX(Ingredients!$E$5:$E$304,MATCH(B634,Ingredients!$A$5:$A$304,0)),""))</f>
        <v>0</v>
      </c>
      <c r="G634" s="8">
        <f>IF(B634="","",IFERROR(INDEX(Ingredients!$D$5:$D$304,MATCH(B634,Ingredients!$A$5:$A$304,0)),""))</f>
        <v>0</v>
      </c>
      <c r="H634" s="8">
        <f>IF(OR(B634="",C634=""),"",IFERROR(C634*G634,""))</f>
        <v>0</v>
      </c>
      <c r="I634" s="8">
        <f>IF(A634="","",IFERROR(INDEX(Recipes!$D$5:$D$204,MATCH(A634,Recipes!$A$5:$A$204,0)),""))</f>
        <v>0</v>
      </c>
      <c r="J634" s="8">
        <f>IF(OR(H634="",I634="",I634=0),"",IFERROR(H634/I634,""))</f>
        <v>0</v>
      </c>
      <c r="K634" s="8">
        <f>IF(OR(B634="",C634=""),"",IFERROR(C634*IFERROR(INDEX(Ingredients!$H$5:$H$304,MATCH(B634,Ingredients!$A$5:$A$304,0)),""),""))</f>
        <v>0</v>
      </c>
      <c r="L634" s="8">
        <f>IF(OR(B634="",C634=""),"",IFERROR(C634*IFERROR(INDEX(Ingredients!$I$5:$I$304,MATCH(B634,Ingredients!$A$5:$A$304,0)),""),""))</f>
        <v>0</v>
      </c>
      <c r="M634" s="8">
        <f>IF(OR(B634="",C634=""),"",IFERROR(C634*IFERROR(INDEX(Ingredients!$J$5:$J$304,MATCH(B634,Ingredients!$A$5:$A$304,0)),""),""))</f>
        <v>0</v>
      </c>
      <c r="N634" s="8">
        <f>IF(OR(B634="",C634=""),"",IFERROR(C634*IFERROR(INDEX(Ingredients!$K$5:$K$304,MATCH(B634,Ingredients!$A$5:$A$304,0)),""),""))</f>
        <v>0</v>
      </c>
      <c r="O634" s="8">
        <f>IF(OR(B634="",C634=""),"",IFERROR(C634*IFERROR(INDEX(Ingredients!$L$5:$L$304,MATCH(B634,Ingredients!$A$5:$A$304,0)),""),""))</f>
        <v>0</v>
      </c>
      <c r="P634" s="8">
        <f>IF(OR(H634="",A634=""),"",IFERROR(H634/SUMIFS('Recipe Ingredients'!$H$5:$H$1204,'Recipe Ingredients'!$A$5:$A$1204,A634),""))</f>
        <v>0</v>
      </c>
      <c r="Q634" s="8">
        <f>IF(H634="","",COUNTIFS($H$5:$H$1204,"&gt;"&amp;H634)+1)</f>
        <v>0</v>
      </c>
      <c r="R634" s="8">
        <f>IF(B634="","",SUMIFS(Pantry!$C$5:$C$304,Pantry!$A$5:$A$304,B634))</f>
        <v>0</v>
      </c>
      <c r="S634" s="8">
        <f>IF(OR(B634="",C634=""),"",MAX(0,C634-R634))</f>
        <v>0</v>
      </c>
      <c r="T634" s="26"/>
      <c r="U634" s="8">
        <f>IF(OR(T634="",T634=0,G634=""),"",T634*G634)</f>
        <v>0</v>
      </c>
      <c r="V634" s="8">
        <f>IF(OR(S634="",T634="",T634=0),"",CEILING(S634/T634,1))</f>
        <v>0</v>
      </c>
      <c r="W634" s="27"/>
      <c r="X634" s="29"/>
      <c r="Y634" s="8">
        <f>IF(OR(C634="",X634=""),"",C634*(1+X634))</f>
        <v>0</v>
      </c>
      <c r="Z634" s="8">
        <f>IF(B634="","",IFERROR(INDEX(Ingredients!$O$5:$O$304,MATCH(B634,Ingredients!$A$5:$A$304,0)),""))</f>
        <v>0</v>
      </c>
      <c r="AA634" s="8">
        <f>IF(B634="","",IF(R634&gt;=C634,"In pantry","To buy"))</f>
        <v>0</v>
      </c>
      <c r="AB634" s="8">
        <f>IF(A634="","",COUNTIFS($A$5:A634,A634))</f>
        <v>0</v>
      </c>
      <c r="AC634" s="8">
        <f>IF(B634="","",IF(COUNTIFS('Dietary Filters'!$C$5:$C$104,B634)&gt;0,"Check","OK"))</f>
        <v>0</v>
      </c>
      <c r="AD634" s="25"/>
    </row>
    <row r="635" spans="1:30">
      <c r="A635" s="7"/>
      <c r="B635" s="7"/>
      <c r="C635" s="26"/>
      <c r="D635" s="27"/>
      <c r="E635" s="8">
        <f>IF(B635="","",IFERROR(INDEX(Ingredients!$B$5:$B$304,MATCH(B635,Ingredients!$A$5:$A$304,0)),""))</f>
        <v>0</v>
      </c>
      <c r="F635" s="8">
        <f>IF(B635="","",IFERROR(INDEX(Ingredients!$E$5:$E$304,MATCH(B635,Ingredients!$A$5:$A$304,0)),""))</f>
        <v>0</v>
      </c>
      <c r="G635" s="8">
        <f>IF(B635="","",IFERROR(INDEX(Ingredients!$D$5:$D$304,MATCH(B635,Ingredients!$A$5:$A$304,0)),""))</f>
        <v>0</v>
      </c>
      <c r="H635" s="8">
        <f>IF(OR(B635="",C635=""),"",IFERROR(C635*G635,""))</f>
        <v>0</v>
      </c>
      <c r="I635" s="8">
        <f>IF(A635="","",IFERROR(INDEX(Recipes!$D$5:$D$204,MATCH(A635,Recipes!$A$5:$A$204,0)),""))</f>
        <v>0</v>
      </c>
      <c r="J635" s="8">
        <f>IF(OR(H635="",I635="",I635=0),"",IFERROR(H635/I635,""))</f>
        <v>0</v>
      </c>
      <c r="K635" s="8">
        <f>IF(OR(B635="",C635=""),"",IFERROR(C635*IFERROR(INDEX(Ingredients!$H$5:$H$304,MATCH(B635,Ingredients!$A$5:$A$304,0)),""),""))</f>
        <v>0</v>
      </c>
      <c r="L635" s="8">
        <f>IF(OR(B635="",C635=""),"",IFERROR(C635*IFERROR(INDEX(Ingredients!$I$5:$I$304,MATCH(B635,Ingredients!$A$5:$A$304,0)),""),""))</f>
        <v>0</v>
      </c>
      <c r="M635" s="8">
        <f>IF(OR(B635="",C635=""),"",IFERROR(C635*IFERROR(INDEX(Ingredients!$J$5:$J$304,MATCH(B635,Ingredients!$A$5:$A$304,0)),""),""))</f>
        <v>0</v>
      </c>
      <c r="N635" s="8">
        <f>IF(OR(B635="",C635=""),"",IFERROR(C635*IFERROR(INDEX(Ingredients!$K$5:$K$304,MATCH(B635,Ingredients!$A$5:$A$304,0)),""),""))</f>
        <v>0</v>
      </c>
      <c r="O635" s="8">
        <f>IF(OR(B635="",C635=""),"",IFERROR(C635*IFERROR(INDEX(Ingredients!$L$5:$L$304,MATCH(B635,Ingredients!$A$5:$A$304,0)),""),""))</f>
        <v>0</v>
      </c>
      <c r="P635" s="8">
        <f>IF(OR(H635="",A635=""),"",IFERROR(H635/SUMIFS('Recipe Ingredients'!$H$5:$H$1204,'Recipe Ingredients'!$A$5:$A$1204,A635),""))</f>
        <v>0</v>
      </c>
      <c r="Q635" s="8">
        <f>IF(H635="","",COUNTIFS($H$5:$H$1204,"&gt;"&amp;H635)+1)</f>
        <v>0</v>
      </c>
      <c r="R635" s="8">
        <f>IF(B635="","",SUMIFS(Pantry!$C$5:$C$304,Pantry!$A$5:$A$304,B635))</f>
        <v>0</v>
      </c>
      <c r="S635" s="8">
        <f>IF(OR(B635="",C635=""),"",MAX(0,C635-R635))</f>
        <v>0</v>
      </c>
      <c r="T635" s="26"/>
      <c r="U635" s="8">
        <f>IF(OR(T635="",T635=0,G635=""),"",T635*G635)</f>
        <v>0</v>
      </c>
      <c r="V635" s="8">
        <f>IF(OR(S635="",T635="",T635=0),"",CEILING(S635/T635,1))</f>
        <v>0</v>
      </c>
      <c r="W635" s="27"/>
      <c r="X635" s="29"/>
      <c r="Y635" s="8">
        <f>IF(OR(C635="",X635=""),"",C635*(1+X635))</f>
        <v>0</v>
      </c>
      <c r="Z635" s="8">
        <f>IF(B635="","",IFERROR(INDEX(Ingredients!$O$5:$O$304,MATCH(B635,Ingredients!$A$5:$A$304,0)),""))</f>
        <v>0</v>
      </c>
      <c r="AA635" s="8">
        <f>IF(B635="","",IF(R635&gt;=C635,"In pantry","To buy"))</f>
        <v>0</v>
      </c>
      <c r="AB635" s="8">
        <f>IF(A635="","",COUNTIFS($A$5:A635,A635))</f>
        <v>0</v>
      </c>
      <c r="AC635" s="8">
        <f>IF(B635="","",IF(COUNTIFS('Dietary Filters'!$C$5:$C$104,B635)&gt;0,"Check","OK"))</f>
        <v>0</v>
      </c>
      <c r="AD635" s="25"/>
    </row>
    <row r="636" spans="1:30">
      <c r="A636" s="7"/>
      <c r="B636" s="7"/>
      <c r="C636" s="26"/>
      <c r="D636" s="27"/>
      <c r="E636" s="8">
        <f>IF(B636="","",IFERROR(INDEX(Ingredients!$B$5:$B$304,MATCH(B636,Ingredients!$A$5:$A$304,0)),""))</f>
        <v>0</v>
      </c>
      <c r="F636" s="8">
        <f>IF(B636="","",IFERROR(INDEX(Ingredients!$E$5:$E$304,MATCH(B636,Ingredients!$A$5:$A$304,0)),""))</f>
        <v>0</v>
      </c>
      <c r="G636" s="8">
        <f>IF(B636="","",IFERROR(INDEX(Ingredients!$D$5:$D$304,MATCH(B636,Ingredients!$A$5:$A$304,0)),""))</f>
        <v>0</v>
      </c>
      <c r="H636" s="8">
        <f>IF(OR(B636="",C636=""),"",IFERROR(C636*G636,""))</f>
        <v>0</v>
      </c>
      <c r="I636" s="8">
        <f>IF(A636="","",IFERROR(INDEX(Recipes!$D$5:$D$204,MATCH(A636,Recipes!$A$5:$A$204,0)),""))</f>
        <v>0</v>
      </c>
      <c r="J636" s="8">
        <f>IF(OR(H636="",I636="",I636=0),"",IFERROR(H636/I636,""))</f>
        <v>0</v>
      </c>
      <c r="K636" s="8">
        <f>IF(OR(B636="",C636=""),"",IFERROR(C636*IFERROR(INDEX(Ingredients!$H$5:$H$304,MATCH(B636,Ingredients!$A$5:$A$304,0)),""),""))</f>
        <v>0</v>
      </c>
      <c r="L636" s="8">
        <f>IF(OR(B636="",C636=""),"",IFERROR(C636*IFERROR(INDEX(Ingredients!$I$5:$I$304,MATCH(B636,Ingredients!$A$5:$A$304,0)),""),""))</f>
        <v>0</v>
      </c>
      <c r="M636" s="8">
        <f>IF(OR(B636="",C636=""),"",IFERROR(C636*IFERROR(INDEX(Ingredients!$J$5:$J$304,MATCH(B636,Ingredients!$A$5:$A$304,0)),""),""))</f>
        <v>0</v>
      </c>
      <c r="N636" s="8">
        <f>IF(OR(B636="",C636=""),"",IFERROR(C636*IFERROR(INDEX(Ingredients!$K$5:$K$304,MATCH(B636,Ingredients!$A$5:$A$304,0)),""),""))</f>
        <v>0</v>
      </c>
      <c r="O636" s="8">
        <f>IF(OR(B636="",C636=""),"",IFERROR(C636*IFERROR(INDEX(Ingredients!$L$5:$L$304,MATCH(B636,Ingredients!$A$5:$A$304,0)),""),""))</f>
        <v>0</v>
      </c>
      <c r="P636" s="8">
        <f>IF(OR(H636="",A636=""),"",IFERROR(H636/SUMIFS('Recipe Ingredients'!$H$5:$H$1204,'Recipe Ingredients'!$A$5:$A$1204,A636),""))</f>
        <v>0</v>
      </c>
      <c r="Q636" s="8">
        <f>IF(H636="","",COUNTIFS($H$5:$H$1204,"&gt;"&amp;H636)+1)</f>
        <v>0</v>
      </c>
      <c r="R636" s="8">
        <f>IF(B636="","",SUMIFS(Pantry!$C$5:$C$304,Pantry!$A$5:$A$304,B636))</f>
        <v>0</v>
      </c>
      <c r="S636" s="8">
        <f>IF(OR(B636="",C636=""),"",MAX(0,C636-R636))</f>
        <v>0</v>
      </c>
      <c r="T636" s="26"/>
      <c r="U636" s="8">
        <f>IF(OR(T636="",T636=0,G636=""),"",T636*G636)</f>
        <v>0</v>
      </c>
      <c r="V636" s="8">
        <f>IF(OR(S636="",T636="",T636=0),"",CEILING(S636/T636,1))</f>
        <v>0</v>
      </c>
      <c r="W636" s="27"/>
      <c r="X636" s="29"/>
      <c r="Y636" s="8">
        <f>IF(OR(C636="",X636=""),"",C636*(1+X636))</f>
        <v>0</v>
      </c>
      <c r="Z636" s="8">
        <f>IF(B636="","",IFERROR(INDEX(Ingredients!$O$5:$O$304,MATCH(B636,Ingredients!$A$5:$A$304,0)),""))</f>
        <v>0</v>
      </c>
      <c r="AA636" s="8">
        <f>IF(B636="","",IF(R636&gt;=C636,"In pantry","To buy"))</f>
        <v>0</v>
      </c>
      <c r="AB636" s="8">
        <f>IF(A636="","",COUNTIFS($A$5:A636,A636))</f>
        <v>0</v>
      </c>
      <c r="AC636" s="8">
        <f>IF(B636="","",IF(COUNTIFS('Dietary Filters'!$C$5:$C$104,B636)&gt;0,"Check","OK"))</f>
        <v>0</v>
      </c>
      <c r="AD636" s="25"/>
    </row>
    <row r="637" spans="1:30">
      <c r="A637" s="7"/>
      <c r="B637" s="7"/>
      <c r="C637" s="26"/>
      <c r="D637" s="27"/>
      <c r="E637" s="8">
        <f>IF(B637="","",IFERROR(INDEX(Ingredients!$B$5:$B$304,MATCH(B637,Ingredients!$A$5:$A$304,0)),""))</f>
        <v>0</v>
      </c>
      <c r="F637" s="8">
        <f>IF(B637="","",IFERROR(INDEX(Ingredients!$E$5:$E$304,MATCH(B637,Ingredients!$A$5:$A$304,0)),""))</f>
        <v>0</v>
      </c>
      <c r="G637" s="8">
        <f>IF(B637="","",IFERROR(INDEX(Ingredients!$D$5:$D$304,MATCH(B637,Ingredients!$A$5:$A$304,0)),""))</f>
        <v>0</v>
      </c>
      <c r="H637" s="8">
        <f>IF(OR(B637="",C637=""),"",IFERROR(C637*G637,""))</f>
        <v>0</v>
      </c>
      <c r="I637" s="8">
        <f>IF(A637="","",IFERROR(INDEX(Recipes!$D$5:$D$204,MATCH(A637,Recipes!$A$5:$A$204,0)),""))</f>
        <v>0</v>
      </c>
      <c r="J637" s="8">
        <f>IF(OR(H637="",I637="",I637=0),"",IFERROR(H637/I637,""))</f>
        <v>0</v>
      </c>
      <c r="K637" s="8">
        <f>IF(OR(B637="",C637=""),"",IFERROR(C637*IFERROR(INDEX(Ingredients!$H$5:$H$304,MATCH(B637,Ingredients!$A$5:$A$304,0)),""),""))</f>
        <v>0</v>
      </c>
      <c r="L637" s="8">
        <f>IF(OR(B637="",C637=""),"",IFERROR(C637*IFERROR(INDEX(Ingredients!$I$5:$I$304,MATCH(B637,Ingredients!$A$5:$A$304,0)),""),""))</f>
        <v>0</v>
      </c>
      <c r="M637" s="8">
        <f>IF(OR(B637="",C637=""),"",IFERROR(C637*IFERROR(INDEX(Ingredients!$J$5:$J$304,MATCH(B637,Ingredients!$A$5:$A$304,0)),""),""))</f>
        <v>0</v>
      </c>
      <c r="N637" s="8">
        <f>IF(OR(B637="",C637=""),"",IFERROR(C637*IFERROR(INDEX(Ingredients!$K$5:$K$304,MATCH(B637,Ingredients!$A$5:$A$304,0)),""),""))</f>
        <v>0</v>
      </c>
      <c r="O637" s="8">
        <f>IF(OR(B637="",C637=""),"",IFERROR(C637*IFERROR(INDEX(Ingredients!$L$5:$L$304,MATCH(B637,Ingredients!$A$5:$A$304,0)),""),""))</f>
        <v>0</v>
      </c>
      <c r="P637" s="8">
        <f>IF(OR(H637="",A637=""),"",IFERROR(H637/SUMIFS('Recipe Ingredients'!$H$5:$H$1204,'Recipe Ingredients'!$A$5:$A$1204,A637),""))</f>
        <v>0</v>
      </c>
      <c r="Q637" s="8">
        <f>IF(H637="","",COUNTIFS($H$5:$H$1204,"&gt;"&amp;H637)+1)</f>
        <v>0</v>
      </c>
      <c r="R637" s="8">
        <f>IF(B637="","",SUMIFS(Pantry!$C$5:$C$304,Pantry!$A$5:$A$304,B637))</f>
        <v>0</v>
      </c>
      <c r="S637" s="8">
        <f>IF(OR(B637="",C637=""),"",MAX(0,C637-R637))</f>
        <v>0</v>
      </c>
      <c r="T637" s="26"/>
      <c r="U637" s="8">
        <f>IF(OR(T637="",T637=0,G637=""),"",T637*G637)</f>
        <v>0</v>
      </c>
      <c r="V637" s="8">
        <f>IF(OR(S637="",T637="",T637=0),"",CEILING(S637/T637,1))</f>
        <v>0</v>
      </c>
      <c r="W637" s="27"/>
      <c r="X637" s="29"/>
      <c r="Y637" s="8">
        <f>IF(OR(C637="",X637=""),"",C637*(1+X637))</f>
        <v>0</v>
      </c>
      <c r="Z637" s="8">
        <f>IF(B637="","",IFERROR(INDEX(Ingredients!$O$5:$O$304,MATCH(B637,Ingredients!$A$5:$A$304,0)),""))</f>
        <v>0</v>
      </c>
      <c r="AA637" s="8">
        <f>IF(B637="","",IF(R637&gt;=C637,"In pantry","To buy"))</f>
        <v>0</v>
      </c>
      <c r="AB637" s="8">
        <f>IF(A637="","",COUNTIFS($A$5:A637,A637))</f>
        <v>0</v>
      </c>
      <c r="AC637" s="8">
        <f>IF(B637="","",IF(COUNTIFS('Dietary Filters'!$C$5:$C$104,B637)&gt;0,"Check","OK"))</f>
        <v>0</v>
      </c>
      <c r="AD637" s="25"/>
    </row>
    <row r="638" spans="1:30">
      <c r="A638" s="7"/>
      <c r="B638" s="7"/>
      <c r="C638" s="26"/>
      <c r="D638" s="27"/>
      <c r="E638" s="8">
        <f>IF(B638="","",IFERROR(INDEX(Ingredients!$B$5:$B$304,MATCH(B638,Ingredients!$A$5:$A$304,0)),""))</f>
        <v>0</v>
      </c>
      <c r="F638" s="8">
        <f>IF(B638="","",IFERROR(INDEX(Ingredients!$E$5:$E$304,MATCH(B638,Ingredients!$A$5:$A$304,0)),""))</f>
        <v>0</v>
      </c>
      <c r="G638" s="8">
        <f>IF(B638="","",IFERROR(INDEX(Ingredients!$D$5:$D$304,MATCH(B638,Ingredients!$A$5:$A$304,0)),""))</f>
        <v>0</v>
      </c>
      <c r="H638" s="8">
        <f>IF(OR(B638="",C638=""),"",IFERROR(C638*G638,""))</f>
        <v>0</v>
      </c>
      <c r="I638" s="8">
        <f>IF(A638="","",IFERROR(INDEX(Recipes!$D$5:$D$204,MATCH(A638,Recipes!$A$5:$A$204,0)),""))</f>
        <v>0</v>
      </c>
      <c r="J638" s="8">
        <f>IF(OR(H638="",I638="",I638=0),"",IFERROR(H638/I638,""))</f>
        <v>0</v>
      </c>
      <c r="K638" s="8">
        <f>IF(OR(B638="",C638=""),"",IFERROR(C638*IFERROR(INDEX(Ingredients!$H$5:$H$304,MATCH(B638,Ingredients!$A$5:$A$304,0)),""),""))</f>
        <v>0</v>
      </c>
      <c r="L638" s="8">
        <f>IF(OR(B638="",C638=""),"",IFERROR(C638*IFERROR(INDEX(Ingredients!$I$5:$I$304,MATCH(B638,Ingredients!$A$5:$A$304,0)),""),""))</f>
        <v>0</v>
      </c>
      <c r="M638" s="8">
        <f>IF(OR(B638="",C638=""),"",IFERROR(C638*IFERROR(INDEX(Ingredients!$J$5:$J$304,MATCH(B638,Ingredients!$A$5:$A$304,0)),""),""))</f>
        <v>0</v>
      </c>
      <c r="N638" s="8">
        <f>IF(OR(B638="",C638=""),"",IFERROR(C638*IFERROR(INDEX(Ingredients!$K$5:$K$304,MATCH(B638,Ingredients!$A$5:$A$304,0)),""),""))</f>
        <v>0</v>
      </c>
      <c r="O638" s="8">
        <f>IF(OR(B638="",C638=""),"",IFERROR(C638*IFERROR(INDEX(Ingredients!$L$5:$L$304,MATCH(B638,Ingredients!$A$5:$A$304,0)),""),""))</f>
        <v>0</v>
      </c>
      <c r="P638" s="8">
        <f>IF(OR(H638="",A638=""),"",IFERROR(H638/SUMIFS('Recipe Ingredients'!$H$5:$H$1204,'Recipe Ingredients'!$A$5:$A$1204,A638),""))</f>
        <v>0</v>
      </c>
      <c r="Q638" s="8">
        <f>IF(H638="","",COUNTIFS($H$5:$H$1204,"&gt;"&amp;H638)+1)</f>
        <v>0</v>
      </c>
      <c r="R638" s="8">
        <f>IF(B638="","",SUMIFS(Pantry!$C$5:$C$304,Pantry!$A$5:$A$304,B638))</f>
        <v>0</v>
      </c>
      <c r="S638" s="8">
        <f>IF(OR(B638="",C638=""),"",MAX(0,C638-R638))</f>
        <v>0</v>
      </c>
      <c r="T638" s="26"/>
      <c r="U638" s="8">
        <f>IF(OR(T638="",T638=0,G638=""),"",T638*G638)</f>
        <v>0</v>
      </c>
      <c r="V638" s="8">
        <f>IF(OR(S638="",T638="",T638=0),"",CEILING(S638/T638,1))</f>
        <v>0</v>
      </c>
      <c r="W638" s="27"/>
      <c r="X638" s="29"/>
      <c r="Y638" s="8">
        <f>IF(OR(C638="",X638=""),"",C638*(1+X638))</f>
        <v>0</v>
      </c>
      <c r="Z638" s="8">
        <f>IF(B638="","",IFERROR(INDEX(Ingredients!$O$5:$O$304,MATCH(B638,Ingredients!$A$5:$A$304,0)),""))</f>
        <v>0</v>
      </c>
      <c r="AA638" s="8">
        <f>IF(B638="","",IF(R638&gt;=C638,"In pantry","To buy"))</f>
        <v>0</v>
      </c>
      <c r="AB638" s="8">
        <f>IF(A638="","",COUNTIFS($A$5:A638,A638))</f>
        <v>0</v>
      </c>
      <c r="AC638" s="8">
        <f>IF(B638="","",IF(COUNTIFS('Dietary Filters'!$C$5:$C$104,B638)&gt;0,"Check","OK"))</f>
        <v>0</v>
      </c>
      <c r="AD638" s="25"/>
    </row>
    <row r="639" spans="1:30">
      <c r="A639" s="7"/>
      <c r="B639" s="7"/>
      <c r="C639" s="26"/>
      <c r="D639" s="27"/>
      <c r="E639" s="8">
        <f>IF(B639="","",IFERROR(INDEX(Ingredients!$B$5:$B$304,MATCH(B639,Ingredients!$A$5:$A$304,0)),""))</f>
        <v>0</v>
      </c>
      <c r="F639" s="8">
        <f>IF(B639="","",IFERROR(INDEX(Ingredients!$E$5:$E$304,MATCH(B639,Ingredients!$A$5:$A$304,0)),""))</f>
        <v>0</v>
      </c>
      <c r="G639" s="8">
        <f>IF(B639="","",IFERROR(INDEX(Ingredients!$D$5:$D$304,MATCH(B639,Ingredients!$A$5:$A$304,0)),""))</f>
        <v>0</v>
      </c>
      <c r="H639" s="8">
        <f>IF(OR(B639="",C639=""),"",IFERROR(C639*G639,""))</f>
        <v>0</v>
      </c>
      <c r="I639" s="8">
        <f>IF(A639="","",IFERROR(INDEX(Recipes!$D$5:$D$204,MATCH(A639,Recipes!$A$5:$A$204,0)),""))</f>
        <v>0</v>
      </c>
      <c r="J639" s="8">
        <f>IF(OR(H639="",I639="",I639=0),"",IFERROR(H639/I639,""))</f>
        <v>0</v>
      </c>
      <c r="K639" s="8">
        <f>IF(OR(B639="",C639=""),"",IFERROR(C639*IFERROR(INDEX(Ingredients!$H$5:$H$304,MATCH(B639,Ingredients!$A$5:$A$304,0)),""),""))</f>
        <v>0</v>
      </c>
      <c r="L639" s="8">
        <f>IF(OR(B639="",C639=""),"",IFERROR(C639*IFERROR(INDEX(Ingredients!$I$5:$I$304,MATCH(B639,Ingredients!$A$5:$A$304,0)),""),""))</f>
        <v>0</v>
      </c>
      <c r="M639" s="8">
        <f>IF(OR(B639="",C639=""),"",IFERROR(C639*IFERROR(INDEX(Ingredients!$J$5:$J$304,MATCH(B639,Ingredients!$A$5:$A$304,0)),""),""))</f>
        <v>0</v>
      </c>
      <c r="N639" s="8">
        <f>IF(OR(B639="",C639=""),"",IFERROR(C639*IFERROR(INDEX(Ingredients!$K$5:$K$304,MATCH(B639,Ingredients!$A$5:$A$304,0)),""),""))</f>
        <v>0</v>
      </c>
      <c r="O639" s="8">
        <f>IF(OR(B639="",C639=""),"",IFERROR(C639*IFERROR(INDEX(Ingredients!$L$5:$L$304,MATCH(B639,Ingredients!$A$5:$A$304,0)),""),""))</f>
        <v>0</v>
      </c>
      <c r="P639" s="8">
        <f>IF(OR(H639="",A639=""),"",IFERROR(H639/SUMIFS('Recipe Ingredients'!$H$5:$H$1204,'Recipe Ingredients'!$A$5:$A$1204,A639),""))</f>
        <v>0</v>
      </c>
      <c r="Q639" s="8">
        <f>IF(H639="","",COUNTIFS($H$5:$H$1204,"&gt;"&amp;H639)+1)</f>
        <v>0</v>
      </c>
      <c r="R639" s="8">
        <f>IF(B639="","",SUMIFS(Pantry!$C$5:$C$304,Pantry!$A$5:$A$304,B639))</f>
        <v>0</v>
      </c>
      <c r="S639" s="8">
        <f>IF(OR(B639="",C639=""),"",MAX(0,C639-R639))</f>
        <v>0</v>
      </c>
      <c r="T639" s="26"/>
      <c r="U639" s="8">
        <f>IF(OR(T639="",T639=0,G639=""),"",T639*G639)</f>
        <v>0</v>
      </c>
      <c r="V639" s="8">
        <f>IF(OR(S639="",T639="",T639=0),"",CEILING(S639/T639,1))</f>
        <v>0</v>
      </c>
      <c r="W639" s="27"/>
      <c r="X639" s="29"/>
      <c r="Y639" s="8">
        <f>IF(OR(C639="",X639=""),"",C639*(1+X639))</f>
        <v>0</v>
      </c>
      <c r="Z639" s="8">
        <f>IF(B639="","",IFERROR(INDEX(Ingredients!$O$5:$O$304,MATCH(B639,Ingredients!$A$5:$A$304,0)),""))</f>
        <v>0</v>
      </c>
      <c r="AA639" s="8">
        <f>IF(B639="","",IF(R639&gt;=C639,"In pantry","To buy"))</f>
        <v>0</v>
      </c>
      <c r="AB639" s="8">
        <f>IF(A639="","",COUNTIFS($A$5:A639,A639))</f>
        <v>0</v>
      </c>
      <c r="AC639" s="8">
        <f>IF(B639="","",IF(COUNTIFS('Dietary Filters'!$C$5:$C$104,B639)&gt;0,"Check","OK"))</f>
        <v>0</v>
      </c>
      <c r="AD639" s="25"/>
    </row>
    <row r="640" spans="1:30">
      <c r="A640" s="7"/>
      <c r="B640" s="7"/>
      <c r="C640" s="26"/>
      <c r="D640" s="27"/>
      <c r="E640" s="8">
        <f>IF(B640="","",IFERROR(INDEX(Ingredients!$B$5:$B$304,MATCH(B640,Ingredients!$A$5:$A$304,0)),""))</f>
        <v>0</v>
      </c>
      <c r="F640" s="8">
        <f>IF(B640="","",IFERROR(INDEX(Ingredients!$E$5:$E$304,MATCH(B640,Ingredients!$A$5:$A$304,0)),""))</f>
        <v>0</v>
      </c>
      <c r="G640" s="8">
        <f>IF(B640="","",IFERROR(INDEX(Ingredients!$D$5:$D$304,MATCH(B640,Ingredients!$A$5:$A$304,0)),""))</f>
        <v>0</v>
      </c>
      <c r="H640" s="8">
        <f>IF(OR(B640="",C640=""),"",IFERROR(C640*G640,""))</f>
        <v>0</v>
      </c>
      <c r="I640" s="8">
        <f>IF(A640="","",IFERROR(INDEX(Recipes!$D$5:$D$204,MATCH(A640,Recipes!$A$5:$A$204,0)),""))</f>
        <v>0</v>
      </c>
      <c r="J640" s="8">
        <f>IF(OR(H640="",I640="",I640=0),"",IFERROR(H640/I640,""))</f>
        <v>0</v>
      </c>
      <c r="K640" s="8">
        <f>IF(OR(B640="",C640=""),"",IFERROR(C640*IFERROR(INDEX(Ingredients!$H$5:$H$304,MATCH(B640,Ingredients!$A$5:$A$304,0)),""),""))</f>
        <v>0</v>
      </c>
      <c r="L640" s="8">
        <f>IF(OR(B640="",C640=""),"",IFERROR(C640*IFERROR(INDEX(Ingredients!$I$5:$I$304,MATCH(B640,Ingredients!$A$5:$A$304,0)),""),""))</f>
        <v>0</v>
      </c>
      <c r="M640" s="8">
        <f>IF(OR(B640="",C640=""),"",IFERROR(C640*IFERROR(INDEX(Ingredients!$J$5:$J$304,MATCH(B640,Ingredients!$A$5:$A$304,0)),""),""))</f>
        <v>0</v>
      </c>
      <c r="N640" s="8">
        <f>IF(OR(B640="",C640=""),"",IFERROR(C640*IFERROR(INDEX(Ingredients!$K$5:$K$304,MATCH(B640,Ingredients!$A$5:$A$304,0)),""),""))</f>
        <v>0</v>
      </c>
      <c r="O640" s="8">
        <f>IF(OR(B640="",C640=""),"",IFERROR(C640*IFERROR(INDEX(Ingredients!$L$5:$L$304,MATCH(B640,Ingredients!$A$5:$A$304,0)),""),""))</f>
        <v>0</v>
      </c>
      <c r="P640" s="8">
        <f>IF(OR(H640="",A640=""),"",IFERROR(H640/SUMIFS('Recipe Ingredients'!$H$5:$H$1204,'Recipe Ingredients'!$A$5:$A$1204,A640),""))</f>
        <v>0</v>
      </c>
      <c r="Q640" s="8">
        <f>IF(H640="","",COUNTIFS($H$5:$H$1204,"&gt;"&amp;H640)+1)</f>
        <v>0</v>
      </c>
      <c r="R640" s="8">
        <f>IF(B640="","",SUMIFS(Pantry!$C$5:$C$304,Pantry!$A$5:$A$304,B640))</f>
        <v>0</v>
      </c>
      <c r="S640" s="8">
        <f>IF(OR(B640="",C640=""),"",MAX(0,C640-R640))</f>
        <v>0</v>
      </c>
      <c r="T640" s="26"/>
      <c r="U640" s="8">
        <f>IF(OR(T640="",T640=0,G640=""),"",T640*G640)</f>
        <v>0</v>
      </c>
      <c r="V640" s="8">
        <f>IF(OR(S640="",T640="",T640=0),"",CEILING(S640/T640,1))</f>
        <v>0</v>
      </c>
      <c r="W640" s="27"/>
      <c r="X640" s="29"/>
      <c r="Y640" s="8">
        <f>IF(OR(C640="",X640=""),"",C640*(1+X640))</f>
        <v>0</v>
      </c>
      <c r="Z640" s="8">
        <f>IF(B640="","",IFERROR(INDEX(Ingredients!$O$5:$O$304,MATCH(B640,Ingredients!$A$5:$A$304,0)),""))</f>
        <v>0</v>
      </c>
      <c r="AA640" s="8">
        <f>IF(B640="","",IF(R640&gt;=C640,"In pantry","To buy"))</f>
        <v>0</v>
      </c>
      <c r="AB640" s="8">
        <f>IF(A640="","",COUNTIFS($A$5:A640,A640))</f>
        <v>0</v>
      </c>
      <c r="AC640" s="8">
        <f>IF(B640="","",IF(COUNTIFS('Dietary Filters'!$C$5:$C$104,B640)&gt;0,"Check","OK"))</f>
        <v>0</v>
      </c>
      <c r="AD640" s="25"/>
    </row>
    <row r="641" spans="1:30">
      <c r="A641" s="7"/>
      <c r="B641" s="7"/>
      <c r="C641" s="26"/>
      <c r="D641" s="27"/>
      <c r="E641" s="8">
        <f>IF(B641="","",IFERROR(INDEX(Ingredients!$B$5:$B$304,MATCH(B641,Ingredients!$A$5:$A$304,0)),""))</f>
        <v>0</v>
      </c>
      <c r="F641" s="8">
        <f>IF(B641="","",IFERROR(INDEX(Ingredients!$E$5:$E$304,MATCH(B641,Ingredients!$A$5:$A$304,0)),""))</f>
        <v>0</v>
      </c>
      <c r="G641" s="8">
        <f>IF(B641="","",IFERROR(INDEX(Ingredients!$D$5:$D$304,MATCH(B641,Ingredients!$A$5:$A$304,0)),""))</f>
        <v>0</v>
      </c>
      <c r="H641" s="8">
        <f>IF(OR(B641="",C641=""),"",IFERROR(C641*G641,""))</f>
        <v>0</v>
      </c>
      <c r="I641" s="8">
        <f>IF(A641="","",IFERROR(INDEX(Recipes!$D$5:$D$204,MATCH(A641,Recipes!$A$5:$A$204,0)),""))</f>
        <v>0</v>
      </c>
      <c r="J641" s="8">
        <f>IF(OR(H641="",I641="",I641=0),"",IFERROR(H641/I641,""))</f>
        <v>0</v>
      </c>
      <c r="K641" s="8">
        <f>IF(OR(B641="",C641=""),"",IFERROR(C641*IFERROR(INDEX(Ingredients!$H$5:$H$304,MATCH(B641,Ingredients!$A$5:$A$304,0)),""),""))</f>
        <v>0</v>
      </c>
      <c r="L641" s="8">
        <f>IF(OR(B641="",C641=""),"",IFERROR(C641*IFERROR(INDEX(Ingredients!$I$5:$I$304,MATCH(B641,Ingredients!$A$5:$A$304,0)),""),""))</f>
        <v>0</v>
      </c>
      <c r="M641" s="8">
        <f>IF(OR(B641="",C641=""),"",IFERROR(C641*IFERROR(INDEX(Ingredients!$J$5:$J$304,MATCH(B641,Ingredients!$A$5:$A$304,0)),""),""))</f>
        <v>0</v>
      </c>
      <c r="N641" s="8">
        <f>IF(OR(B641="",C641=""),"",IFERROR(C641*IFERROR(INDEX(Ingredients!$K$5:$K$304,MATCH(B641,Ingredients!$A$5:$A$304,0)),""),""))</f>
        <v>0</v>
      </c>
      <c r="O641" s="8">
        <f>IF(OR(B641="",C641=""),"",IFERROR(C641*IFERROR(INDEX(Ingredients!$L$5:$L$304,MATCH(B641,Ingredients!$A$5:$A$304,0)),""),""))</f>
        <v>0</v>
      </c>
      <c r="P641" s="8">
        <f>IF(OR(H641="",A641=""),"",IFERROR(H641/SUMIFS('Recipe Ingredients'!$H$5:$H$1204,'Recipe Ingredients'!$A$5:$A$1204,A641),""))</f>
        <v>0</v>
      </c>
      <c r="Q641" s="8">
        <f>IF(H641="","",COUNTIFS($H$5:$H$1204,"&gt;"&amp;H641)+1)</f>
        <v>0</v>
      </c>
      <c r="R641" s="8">
        <f>IF(B641="","",SUMIFS(Pantry!$C$5:$C$304,Pantry!$A$5:$A$304,B641))</f>
        <v>0</v>
      </c>
      <c r="S641" s="8">
        <f>IF(OR(B641="",C641=""),"",MAX(0,C641-R641))</f>
        <v>0</v>
      </c>
      <c r="T641" s="26"/>
      <c r="U641" s="8">
        <f>IF(OR(T641="",T641=0,G641=""),"",T641*G641)</f>
        <v>0</v>
      </c>
      <c r="V641" s="8">
        <f>IF(OR(S641="",T641="",T641=0),"",CEILING(S641/T641,1))</f>
        <v>0</v>
      </c>
      <c r="W641" s="27"/>
      <c r="X641" s="29"/>
      <c r="Y641" s="8">
        <f>IF(OR(C641="",X641=""),"",C641*(1+X641))</f>
        <v>0</v>
      </c>
      <c r="Z641" s="8">
        <f>IF(B641="","",IFERROR(INDEX(Ingredients!$O$5:$O$304,MATCH(B641,Ingredients!$A$5:$A$304,0)),""))</f>
        <v>0</v>
      </c>
      <c r="AA641" s="8">
        <f>IF(B641="","",IF(R641&gt;=C641,"In pantry","To buy"))</f>
        <v>0</v>
      </c>
      <c r="AB641" s="8">
        <f>IF(A641="","",COUNTIFS($A$5:A641,A641))</f>
        <v>0</v>
      </c>
      <c r="AC641" s="8">
        <f>IF(B641="","",IF(COUNTIFS('Dietary Filters'!$C$5:$C$104,B641)&gt;0,"Check","OK"))</f>
        <v>0</v>
      </c>
      <c r="AD641" s="25"/>
    </row>
    <row r="642" spans="1:30">
      <c r="A642" s="7"/>
      <c r="B642" s="7"/>
      <c r="C642" s="26"/>
      <c r="D642" s="27"/>
      <c r="E642" s="8">
        <f>IF(B642="","",IFERROR(INDEX(Ingredients!$B$5:$B$304,MATCH(B642,Ingredients!$A$5:$A$304,0)),""))</f>
        <v>0</v>
      </c>
      <c r="F642" s="8">
        <f>IF(B642="","",IFERROR(INDEX(Ingredients!$E$5:$E$304,MATCH(B642,Ingredients!$A$5:$A$304,0)),""))</f>
        <v>0</v>
      </c>
      <c r="G642" s="8">
        <f>IF(B642="","",IFERROR(INDEX(Ingredients!$D$5:$D$304,MATCH(B642,Ingredients!$A$5:$A$304,0)),""))</f>
        <v>0</v>
      </c>
      <c r="H642" s="8">
        <f>IF(OR(B642="",C642=""),"",IFERROR(C642*G642,""))</f>
        <v>0</v>
      </c>
      <c r="I642" s="8">
        <f>IF(A642="","",IFERROR(INDEX(Recipes!$D$5:$D$204,MATCH(A642,Recipes!$A$5:$A$204,0)),""))</f>
        <v>0</v>
      </c>
      <c r="J642" s="8">
        <f>IF(OR(H642="",I642="",I642=0),"",IFERROR(H642/I642,""))</f>
        <v>0</v>
      </c>
      <c r="K642" s="8">
        <f>IF(OR(B642="",C642=""),"",IFERROR(C642*IFERROR(INDEX(Ingredients!$H$5:$H$304,MATCH(B642,Ingredients!$A$5:$A$304,0)),""),""))</f>
        <v>0</v>
      </c>
      <c r="L642" s="8">
        <f>IF(OR(B642="",C642=""),"",IFERROR(C642*IFERROR(INDEX(Ingredients!$I$5:$I$304,MATCH(B642,Ingredients!$A$5:$A$304,0)),""),""))</f>
        <v>0</v>
      </c>
      <c r="M642" s="8">
        <f>IF(OR(B642="",C642=""),"",IFERROR(C642*IFERROR(INDEX(Ingredients!$J$5:$J$304,MATCH(B642,Ingredients!$A$5:$A$304,0)),""),""))</f>
        <v>0</v>
      </c>
      <c r="N642" s="8">
        <f>IF(OR(B642="",C642=""),"",IFERROR(C642*IFERROR(INDEX(Ingredients!$K$5:$K$304,MATCH(B642,Ingredients!$A$5:$A$304,0)),""),""))</f>
        <v>0</v>
      </c>
      <c r="O642" s="8">
        <f>IF(OR(B642="",C642=""),"",IFERROR(C642*IFERROR(INDEX(Ingredients!$L$5:$L$304,MATCH(B642,Ingredients!$A$5:$A$304,0)),""),""))</f>
        <v>0</v>
      </c>
      <c r="P642" s="8">
        <f>IF(OR(H642="",A642=""),"",IFERROR(H642/SUMIFS('Recipe Ingredients'!$H$5:$H$1204,'Recipe Ingredients'!$A$5:$A$1204,A642),""))</f>
        <v>0</v>
      </c>
      <c r="Q642" s="8">
        <f>IF(H642="","",COUNTIFS($H$5:$H$1204,"&gt;"&amp;H642)+1)</f>
        <v>0</v>
      </c>
      <c r="R642" s="8">
        <f>IF(B642="","",SUMIFS(Pantry!$C$5:$C$304,Pantry!$A$5:$A$304,B642))</f>
        <v>0</v>
      </c>
      <c r="S642" s="8">
        <f>IF(OR(B642="",C642=""),"",MAX(0,C642-R642))</f>
        <v>0</v>
      </c>
      <c r="T642" s="26"/>
      <c r="U642" s="8">
        <f>IF(OR(T642="",T642=0,G642=""),"",T642*G642)</f>
        <v>0</v>
      </c>
      <c r="V642" s="8">
        <f>IF(OR(S642="",T642="",T642=0),"",CEILING(S642/T642,1))</f>
        <v>0</v>
      </c>
      <c r="W642" s="27"/>
      <c r="X642" s="29"/>
      <c r="Y642" s="8">
        <f>IF(OR(C642="",X642=""),"",C642*(1+X642))</f>
        <v>0</v>
      </c>
      <c r="Z642" s="8">
        <f>IF(B642="","",IFERROR(INDEX(Ingredients!$O$5:$O$304,MATCH(B642,Ingredients!$A$5:$A$304,0)),""))</f>
        <v>0</v>
      </c>
      <c r="AA642" s="8">
        <f>IF(B642="","",IF(R642&gt;=C642,"In pantry","To buy"))</f>
        <v>0</v>
      </c>
      <c r="AB642" s="8">
        <f>IF(A642="","",COUNTIFS($A$5:A642,A642))</f>
        <v>0</v>
      </c>
      <c r="AC642" s="8">
        <f>IF(B642="","",IF(COUNTIFS('Dietary Filters'!$C$5:$C$104,B642)&gt;0,"Check","OK"))</f>
        <v>0</v>
      </c>
      <c r="AD642" s="25"/>
    </row>
    <row r="643" spans="1:30">
      <c r="A643" s="7"/>
      <c r="B643" s="7"/>
      <c r="C643" s="26"/>
      <c r="D643" s="27"/>
      <c r="E643" s="8">
        <f>IF(B643="","",IFERROR(INDEX(Ingredients!$B$5:$B$304,MATCH(B643,Ingredients!$A$5:$A$304,0)),""))</f>
        <v>0</v>
      </c>
      <c r="F643" s="8">
        <f>IF(B643="","",IFERROR(INDEX(Ingredients!$E$5:$E$304,MATCH(B643,Ingredients!$A$5:$A$304,0)),""))</f>
        <v>0</v>
      </c>
      <c r="G643" s="8">
        <f>IF(B643="","",IFERROR(INDEX(Ingredients!$D$5:$D$304,MATCH(B643,Ingredients!$A$5:$A$304,0)),""))</f>
        <v>0</v>
      </c>
      <c r="H643" s="8">
        <f>IF(OR(B643="",C643=""),"",IFERROR(C643*G643,""))</f>
        <v>0</v>
      </c>
      <c r="I643" s="8">
        <f>IF(A643="","",IFERROR(INDEX(Recipes!$D$5:$D$204,MATCH(A643,Recipes!$A$5:$A$204,0)),""))</f>
        <v>0</v>
      </c>
      <c r="J643" s="8">
        <f>IF(OR(H643="",I643="",I643=0),"",IFERROR(H643/I643,""))</f>
        <v>0</v>
      </c>
      <c r="K643" s="8">
        <f>IF(OR(B643="",C643=""),"",IFERROR(C643*IFERROR(INDEX(Ingredients!$H$5:$H$304,MATCH(B643,Ingredients!$A$5:$A$304,0)),""),""))</f>
        <v>0</v>
      </c>
      <c r="L643" s="8">
        <f>IF(OR(B643="",C643=""),"",IFERROR(C643*IFERROR(INDEX(Ingredients!$I$5:$I$304,MATCH(B643,Ingredients!$A$5:$A$304,0)),""),""))</f>
        <v>0</v>
      </c>
      <c r="M643" s="8">
        <f>IF(OR(B643="",C643=""),"",IFERROR(C643*IFERROR(INDEX(Ingredients!$J$5:$J$304,MATCH(B643,Ingredients!$A$5:$A$304,0)),""),""))</f>
        <v>0</v>
      </c>
      <c r="N643" s="8">
        <f>IF(OR(B643="",C643=""),"",IFERROR(C643*IFERROR(INDEX(Ingredients!$K$5:$K$304,MATCH(B643,Ingredients!$A$5:$A$304,0)),""),""))</f>
        <v>0</v>
      </c>
      <c r="O643" s="8">
        <f>IF(OR(B643="",C643=""),"",IFERROR(C643*IFERROR(INDEX(Ingredients!$L$5:$L$304,MATCH(B643,Ingredients!$A$5:$A$304,0)),""),""))</f>
        <v>0</v>
      </c>
      <c r="P643" s="8">
        <f>IF(OR(H643="",A643=""),"",IFERROR(H643/SUMIFS('Recipe Ingredients'!$H$5:$H$1204,'Recipe Ingredients'!$A$5:$A$1204,A643),""))</f>
        <v>0</v>
      </c>
      <c r="Q643" s="8">
        <f>IF(H643="","",COUNTIFS($H$5:$H$1204,"&gt;"&amp;H643)+1)</f>
        <v>0</v>
      </c>
      <c r="R643" s="8">
        <f>IF(B643="","",SUMIFS(Pantry!$C$5:$C$304,Pantry!$A$5:$A$304,B643))</f>
        <v>0</v>
      </c>
      <c r="S643" s="8">
        <f>IF(OR(B643="",C643=""),"",MAX(0,C643-R643))</f>
        <v>0</v>
      </c>
      <c r="T643" s="26"/>
      <c r="U643" s="8">
        <f>IF(OR(T643="",T643=0,G643=""),"",T643*G643)</f>
        <v>0</v>
      </c>
      <c r="V643" s="8">
        <f>IF(OR(S643="",T643="",T643=0),"",CEILING(S643/T643,1))</f>
        <v>0</v>
      </c>
      <c r="W643" s="27"/>
      <c r="X643" s="29"/>
      <c r="Y643" s="8">
        <f>IF(OR(C643="",X643=""),"",C643*(1+X643))</f>
        <v>0</v>
      </c>
      <c r="Z643" s="8">
        <f>IF(B643="","",IFERROR(INDEX(Ingredients!$O$5:$O$304,MATCH(B643,Ingredients!$A$5:$A$304,0)),""))</f>
        <v>0</v>
      </c>
      <c r="AA643" s="8">
        <f>IF(B643="","",IF(R643&gt;=C643,"In pantry","To buy"))</f>
        <v>0</v>
      </c>
      <c r="AB643" s="8">
        <f>IF(A643="","",COUNTIFS($A$5:A643,A643))</f>
        <v>0</v>
      </c>
      <c r="AC643" s="8">
        <f>IF(B643="","",IF(COUNTIFS('Dietary Filters'!$C$5:$C$104,B643)&gt;0,"Check","OK"))</f>
        <v>0</v>
      </c>
      <c r="AD643" s="25"/>
    </row>
    <row r="644" spans="1:30">
      <c r="A644" s="7"/>
      <c r="B644" s="7"/>
      <c r="C644" s="26"/>
      <c r="D644" s="27"/>
      <c r="E644" s="8">
        <f>IF(B644="","",IFERROR(INDEX(Ingredients!$B$5:$B$304,MATCH(B644,Ingredients!$A$5:$A$304,0)),""))</f>
        <v>0</v>
      </c>
      <c r="F644" s="8">
        <f>IF(B644="","",IFERROR(INDEX(Ingredients!$E$5:$E$304,MATCH(B644,Ingredients!$A$5:$A$304,0)),""))</f>
        <v>0</v>
      </c>
      <c r="G644" s="8">
        <f>IF(B644="","",IFERROR(INDEX(Ingredients!$D$5:$D$304,MATCH(B644,Ingredients!$A$5:$A$304,0)),""))</f>
        <v>0</v>
      </c>
      <c r="H644" s="8">
        <f>IF(OR(B644="",C644=""),"",IFERROR(C644*G644,""))</f>
        <v>0</v>
      </c>
      <c r="I644" s="8">
        <f>IF(A644="","",IFERROR(INDEX(Recipes!$D$5:$D$204,MATCH(A644,Recipes!$A$5:$A$204,0)),""))</f>
        <v>0</v>
      </c>
      <c r="J644" s="8">
        <f>IF(OR(H644="",I644="",I644=0),"",IFERROR(H644/I644,""))</f>
        <v>0</v>
      </c>
      <c r="K644" s="8">
        <f>IF(OR(B644="",C644=""),"",IFERROR(C644*IFERROR(INDEX(Ingredients!$H$5:$H$304,MATCH(B644,Ingredients!$A$5:$A$304,0)),""),""))</f>
        <v>0</v>
      </c>
      <c r="L644" s="8">
        <f>IF(OR(B644="",C644=""),"",IFERROR(C644*IFERROR(INDEX(Ingredients!$I$5:$I$304,MATCH(B644,Ingredients!$A$5:$A$304,0)),""),""))</f>
        <v>0</v>
      </c>
      <c r="M644" s="8">
        <f>IF(OR(B644="",C644=""),"",IFERROR(C644*IFERROR(INDEX(Ingredients!$J$5:$J$304,MATCH(B644,Ingredients!$A$5:$A$304,0)),""),""))</f>
        <v>0</v>
      </c>
      <c r="N644" s="8">
        <f>IF(OR(B644="",C644=""),"",IFERROR(C644*IFERROR(INDEX(Ingredients!$K$5:$K$304,MATCH(B644,Ingredients!$A$5:$A$304,0)),""),""))</f>
        <v>0</v>
      </c>
      <c r="O644" s="8">
        <f>IF(OR(B644="",C644=""),"",IFERROR(C644*IFERROR(INDEX(Ingredients!$L$5:$L$304,MATCH(B644,Ingredients!$A$5:$A$304,0)),""),""))</f>
        <v>0</v>
      </c>
      <c r="P644" s="8">
        <f>IF(OR(H644="",A644=""),"",IFERROR(H644/SUMIFS('Recipe Ingredients'!$H$5:$H$1204,'Recipe Ingredients'!$A$5:$A$1204,A644),""))</f>
        <v>0</v>
      </c>
      <c r="Q644" s="8">
        <f>IF(H644="","",COUNTIFS($H$5:$H$1204,"&gt;"&amp;H644)+1)</f>
        <v>0</v>
      </c>
      <c r="R644" s="8">
        <f>IF(B644="","",SUMIFS(Pantry!$C$5:$C$304,Pantry!$A$5:$A$304,B644))</f>
        <v>0</v>
      </c>
      <c r="S644" s="8">
        <f>IF(OR(B644="",C644=""),"",MAX(0,C644-R644))</f>
        <v>0</v>
      </c>
      <c r="T644" s="26"/>
      <c r="U644" s="8">
        <f>IF(OR(T644="",T644=0,G644=""),"",T644*G644)</f>
        <v>0</v>
      </c>
      <c r="V644" s="8">
        <f>IF(OR(S644="",T644="",T644=0),"",CEILING(S644/T644,1))</f>
        <v>0</v>
      </c>
      <c r="W644" s="27"/>
      <c r="X644" s="29"/>
      <c r="Y644" s="8">
        <f>IF(OR(C644="",X644=""),"",C644*(1+X644))</f>
        <v>0</v>
      </c>
      <c r="Z644" s="8">
        <f>IF(B644="","",IFERROR(INDEX(Ingredients!$O$5:$O$304,MATCH(B644,Ingredients!$A$5:$A$304,0)),""))</f>
        <v>0</v>
      </c>
      <c r="AA644" s="8">
        <f>IF(B644="","",IF(R644&gt;=C644,"In pantry","To buy"))</f>
        <v>0</v>
      </c>
      <c r="AB644" s="8">
        <f>IF(A644="","",COUNTIFS($A$5:A644,A644))</f>
        <v>0</v>
      </c>
      <c r="AC644" s="8">
        <f>IF(B644="","",IF(COUNTIFS('Dietary Filters'!$C$5:$C$104,B644)&gt;0,"Check","OK"))</f>
        <v>0</v>
      </c>
      <c r="AD644" s="25"/>
    </row>
    <row r="645" spans="1:30">
      <c r="A645" s="7"/>
      <c r="B645" s="7"/>
      <c r="C645" s="26"/>
      <c r="D645" s="27"/>
      <c r="E645" s="8">
        <f>IF(B645="","",IFERROR(INDEX(Ingredients!$B$5:$B$304,MATCH(B645,Ingredients!$A$5:$A$304,0)),""))</f>
        <v>0</v>
      </c>
      <c r="F645" s="8">
        <f>IF(B645="","",IFERROR(INDEX(Ingredients!$E$5:$E$304,MATCH(B645,Ingredients!$A$5:$A$304,0)),""))</f>
        <v>0</v>
      </c>
      <c r="G645" s="8">
        <f>IF(B645="","",IFERROR(INDEX(Ingredients!$D$5:$D$304,MATCH(B645,Ingredients!$A$5:$A$304,0)),""))</f>
        <v>0</v>
      </c>
      <c r="H645" s="8">
        <f>IF(OR(B645="",C645=""),"",IFERROR(C645*G645,""))</f>
        <v>0</v>
      </c>
      <c r="I645" s="8">
        <f>IF(A645="","",IFERROR(INDEX(Recipes!$D$5:$D$204,MATCH(A645,Recipes!$A$5:$A$204,0)),""))</f>
        <v>0</v>
      </c>
      <c r="J645" s="8">
        <f>IF(OR(H645="",I645="",I645=0),"",IFERROR(H645/I645,""))</f>
        <v>0</v>
      </c>
      <c r="K645" s="8">
        <f>IF(OR(B645="",C645=""),"",IFERROR(C645*IFERROR(INDEX(Ingredients!$H$5:$H$304,MATCH(B645,Ingredients!$A$5:$A$304,0)),""),""))</f>
        <v>0</v>
      </c>
      <c r="L645" s="8">
        <f>IF(OR(B645="",C645=""),"",IFERROR(C645*IFERROR(INDEX(Ingredients!$I$5:$I$304,MATCH(B645,Ingredients!$A$5:$A$304,0)),""),""))</f>
        <v>0</v>
      </c>
      <c r="M645" s="8">
        <f>IF(OR(B645="",C645=""),"",IFERROR(C645*IFERROR(INDEX(Ingredients!$J$5:$J$304,MATCH(B645,Ingredients!$A$5:$A$304,0)),""),""))</f>
        <v>0</v>
      </c>
      <c r="N645" s="8">
        <f>IF(OR(B645="",C645=""),"",IFERROR(C645*IFERROR(INDEX(Ingredients!$K$5:$K$304,MATCH(B645,Ingredients!$A$5:$A$304,0)),""),""))</f>
        <v>0</v>
      </c>
      <c r="O645" s="8">
        <f>IF(OR(B645="",C645=""),"",IFERROR(C645*IFERROR(INDEX(Ingredients!$L$5:$L$304,MATCH(B645,Ingredients!$A$5:$A$304,0)),""),""))</f>
        <v>0</v>
      </c>
      <c r="P645" s="8">
        <f>IF(OR(H645="",A645=""),"",IFERROR(H645/SUMIFS('Recipe Ingredients'!$H$5:$H$1204,'Recipe Ingredients'!$A$5:$A$1204,A645),""))</f>
        <v>0</v>
      </c>
      <c r="Q645" s="8">
        <f>IF(H645="","",COUNTIFS($H$5:$H$1204,"&gt;"&amp;H645)+1)</f>
        <v>0</v>
      </c>
      <c r="R645" s="8">
        <f>IF(B645="","",SUMIFS(Pantry!$C$5:$C$304,Pantry!$A$5:$A$304,B645))</f>
        <v>0</v>
      </c>
      <c r="S645" s="8">
        <f>IF(OR(B645="",C645=""),"",MAX(0,C645-R645))</f>
        <v>0</v>
      </c>
      <c r="T645" s="26"/>
      <c r="U645" s="8">
        <f>IF(OR(T645="",T645=0,G645=""),"",T645*G645)</f>
        <v>0</v>
      </c>
      <c r="V645" s="8">
        <f>IF(OR(S645="",T645="",T645=0),"",CEILING(S645/T645,1))</f>
        <v>0</v>
      </c>
      <c r="W645" s="27"/>
      <c r="X645" s="29"/>
      <c r="Y645" s="8">
        <f>IF(OR(C645="",X645=""),"",C645*(1+X645))</f>
        <v>0</v>
      </c>
      <c r="Z645" s="8">
        <f>IF(B645="","",IFERROR(INDEX(Ingredients!$O$5:$O$304,MATCH(B645,Ingredients!$A$5:$A$304,0)),""))</f>
        <v>0</v>
      </c>
      <c r="AA645" s="8">
        <f>IF(B645="","",IF(R645&gt;=C645,"In pantry","To buy"))</f>
        <v>0</v>
      </c>
      <c r="AB645" s="8">
        <f>IF(A645="","",COUNTIFS($A$5:A645,A645))</f>
        <v>0</v>
      </c>
      <c r="AC645" s="8">
        <f>IF(B645="","",IF(COUNTIFS('Dietary Filters'!$C$5:$C$104,B645)&gt;0,"Check","OK"))</f>
        <v>0</v>
      </c>
      <c r="AD645" s="25"/>
    </row>
    <row r="646" spans="1:30">
      <c r="A646" s="7"/>
      <c r="B646" s="7"/>
      <c r="C646" s="26"/>
      <c r="D646" s="27"/>
      <c r="E646" s="8">
        <f>IF(B646="","",IFERROR(INDEX(Ingredients!$B$5:$B$304,MATCH(B646,Ingredients!$A$5:$A$304,0)),""))</f>
        <v>0</v>
      </c>
      <c r="F646" s="8">
        <f>IF(B646="","",IFERROR(INDEX(Ingredients!$E$5:$E$304,MATCH(B646,Ingredients!$A$5:$A$304,0)),""))</f>
        <v>0</v>
      </c>
      <c r="G646" s="8">
        <f>IF(B646="","",IFERROR(INDEX(Ingredients!$D$5:$D$304,MATCH(B646,Ingredients!$A$5:$A$304,0)),""))</f>
        <v>0</v>
      </c>
      <c r="H646" s="8">
        <f>IF(OR(B646="",C646=""),"",IFERROR(C646*G646,""))</f>
        <v>0</v>
      </c>
      <c r="I646" s="8">
        <f>IF(A646="","",IFERROR(INDEX(Recipes!$D$5:$D$204,MATCH(A646,Recipes!$A$5:$A$204,0)),""))</f>
        <v>0</v>
      </c>
      <c r="J646" s="8">
        <f>IF(OR(H646="",I646="",I646=0),"",IFERROR(H646/I646,""))</f>
        <v>0</v>
      </c>
      <c r="K646" s="8">
        <f>IF(OR(B646="",C646=""),"",IFERROR(C646*IFERROR(INDEX(Ingredients!$H$5:$H$304,MATCH(B646,Ingredients!$A$5:$A$304,0)),""),""))</f>
        <v>0</v>
      </c>
      <c r="L646" s="8">
        <f>IF(OR(B646="",C646=""),"",IFERROR(C646*IFERROR(INDEX(Ingredients!$I$5:$I$304,MATCH(B646,Ingredients!$A$5:$A$304,0)),""),""))</f>
        <v>0</v>
      </c>
      <c r="M646" s="8">
        <f>IF(OR(B646="",C646=""),"",IFERROR(C646*IFERROR(INDEX(Ingredients!$J$5:$J$304,MATCH(B646,Ingredients!$A$5:$A$304,0)),""),""))</f>
        <v>0</v>
      </c>
      <c r="N646" s="8">
        <f>IF(OR(B646="",C646=""),"",IFERROR(C646*IFERROR(INDEX(Ingredients!$K$5:$K$304,MATCH(B646,Ingredients!$A$5:$A$304,0)),""),""))</f>
        <v>0</v>
      </c>
      <c r="O646" s="8">
        <f>IF(OR(B646="",C646=""),"",IFERROR(C646*IFERROR(INDEX(Ingredients!$L$5:$L$304,MATCH(B646,Ingredients!$A$5:$A$304,0)),""),""))</f>
        <v>0</v>
      </c>
      <c r="P646" s="8">
        <f>IF(OR(H646="",A646=""),"",IFERROR(H646/SUMIFS('Recipe Ingredients'!$H$5:$H$1204,'Recipe Ingredients'!$A$5:$A$1204,A646),""))</f>
        <v>0</v>
      </c>
      <c r="Q646" s="8">
        <f>IF(H646="","",COUNTIFS($H$5:$H$1204,"&gt;"&amp;H646)+1)</f>
        <v>0</v>
      </c>
      <c r="R646" s="8">
        <f>IF(B646="","",SUMIFS(Pantry!$C$5:$C$304,Pantry!$A$5:$A$304,B646))</f>
        <v>0</v>
      </c>
      <c r="S646" s="8">
        <f>IF(OR(B646="",C646=""),"",MAX(0,C646-R646))</f>
        <v>0</v>
      </c>
      <c r="T646" s="26"/>
      <c r="U646" s="8">
        <f>IF(OR(T646="",T646=0,G646=""),"",T646*G646)</f>
        <v>0</v>
      </c>
      <c r="V646" s="8">
        <f>IF(OR(S646="",T646="",T646=0),"",CEILING(S646/T646,1))</f>
        <v>0</v>
      </c>
      <c r="W646" s="27"/>
      <c r="X646" s="29"/>
      <c r="Y646" s="8">
        <f>IF(OR(C646="",X646=""),"",C646*(1+X646))</f>
        <v>0</v>
      </c>
      <c r="Z646" s="8">
        <f>IF(B646="","",IFERROR(INDEX(Ingredients!$O$5:$O$304,MATCH(B646,Ingredients!$A$5:$A$304,0)),""))</f>
        <v>0</v>
      </c>
      <c r="AA646" s="8">
        <f>IF(B646="","",IF(R646&gt;=C646,"In pantry","To buy"))</f>
        <v>0</v>
      </c>
      <c r="AB646" s="8">
        <f>IF(A646="","",COUNTIFS($A$5:A646,A646))</f>
        <v>0</v>
      </c>
      <c r="AC646" s="8">
        <f>IF(B646="","",IF(COUNTIFS('Dietary Filters'!$C$5:$C$104,B646)&gt;0,"Check","OK"))</f>
        <v>0</v>
      </c>
      <c r="AD646" s="25"/>
    </row>
    <row r="647" spans="1:30">
      <c r="A647" s="7"/>
      <c r="B647" s="7"/>
      <c r="C647" s="26"/>
      <c r="D647" s="27"/>
      <c r="E647" s="8">
        <f>IF(B647="","",IFERROR(INDEX(Ingredients!$B$5:$B$304,MATCH(B647,Ingredients!$A$5:$A$304,0)),""))</f>
        <v>0</v>
      </c>
      <c r="F647" s="8">
        <f>IF(B647="","",IFERROR(INDEX(Ingredients!$E$5:$E$304,MATCH(B647,Ingredients!$A$5:$A$304,0)),""))</f>
        <v>0</v>
      </c>
      <c r="G647" s="8">
        <f>IF(B647="","",IFERROR(INDEX(Ingredients!$D$5:$D$304,MATCH(B647,Ingredients!$A$5:$A$304,0)),""))</f>
        <v>0</v>
      </c>
      <c r="H647" s="8">
        <f>IF(OR(B647="",C647=""),"",IFERROR(C647*G647,""))</f>
        <v>0</v>
      </c>
      <c r="I647" s="8">
        <f>IF(A647="","",IFERROR(INDEX(Recipes!$D$5:$D$204,MATCH(A647,Recipes!$A$5:$A$204,0)),""))</f>
        <v>0</v>
      </c>
      <c r="J647" s="8">
        <f>IF(OR(H647="",I647="",I647=0),"",IFERROR(H647/I647,""))</f>
        <v>0</v>
      </c>
      <c r="K647" s="8">
        <f>IF(OR(B647="",C647=""),"",IFERROR(C647*IFERROR(INDEX(Ingredients!$H$5:$H$304,MATCH(B647,Ingredients!$A$5:$A$304,0)),""),""))</f>
        <v>0</v>
      </c>
      <c r="L647" s="8">
        <f>IF(OR(B647="",C647=""),"",IFERROR(C647*IFERROR(INDEX(Ingredients!$I$5:$I$304,MATCH(B647,Ingredients!$A$5:$A$304,0)),""),""))</f>
        <v>0</v>
      </c>
      <c r="M647" s="8">
        <f>IF(OR(B647="",C647=""),"",IFERROR(C647*IFERROR(INDEX(Ingredients!$J$5:$J$304,MATCH(B647,Ingredients!$A$5:$A$304,0)),""),""))</f>
        <v>0</v>
      </c>
      <c r="N647" s="8">
        <f>IF(OR(B647="",C647=""),"",IFERROR(C647*IFERROR(INDEX(Ingredients!$K$5:$K$304,MATCH(B647,Ingredients!$A$5:$A$304,0)),""),""))</f>
        <v>0</v>
      </c>
      <c r="O647" s="8">
        <f>IF(OR(B647="",C647=""),"",IFERROR(C647*IFERROR(INDEX(Ingredients!$L$5:$L$304,MATCH(B647,Ingredients!$A$5:$A$304,0)),""),""))</f>
        <v>0</v>
      </c>
      <c r="P647" s="8">
        <f>IF(OR(H647="",A647=""),"",IFERROR(H647/SUMIFS('Recipe Ingredients'!$H$5:$H$1204,'Recipe Ingredients'!$A$5:$A$1204,A647),""))</f>
        <v>0</v>
      </c>
      <c r="Q647" s="8">
        <f>IF(H647="","",COUNTIFS($H$5:$H$1204,"&gt;"&amp;H647)+1)</f>
        <v>0</v>
      </c>
      <c r="R647" s="8">
        <f>IF(B647="","",SUMIFS(Pantry!$C$5:$C$304,Pantry!$A$5:$A$304,B647))</f>
        <v>0</v>
      </c>
      <c r="S647" s="8">
        <f>IF(OR(B647="",C647=""),"",MAX(0,C647-R647))</f>
        <v>0</v>
      </c>
      <c r="T647" s="26"/>
      <c r="U647" s="8">
        <f>IF(OR(T647="",T647=0,G647=""),"",T647*G647)</f>
        <v>0</v>
      </c>
      <c r="V647" s="8">
        <f>IF(OR(S647="",T647="",T647=0),"",CEILING(S647/T647,1))</f>
        <v>0</v>
      </c>
      <c r="W647" s="27"/>
      <c r="X647" s="29"/>
      <c r="Y647" s="8">
        <f>IF(OR(C647="",X647=""),"",C647*(1+X647))</f>
        <v>0</v>
      </c>
      <c r="Z647" s="8">
        <f>IF(B647="","",IFERROR(INDEX(Ingredients!$O$5:$O$304,MATCH(B647,Ingredients!$A$5:$A$304,0)),""))</f>
        <v>0</v>
      </c>
      <c r="AA647" s="8">
        <f>IF(B647="","",IF(R647&gt;=C647,"In pantry","To buy"))</f>
        <v>0</v>
      </c>
      <c r="AB647" s="8">
        <f>IF(A647="","",COUNTIFS($A$5:A647,A647))</f>
        <v>0</v>
      </c>
      <c r="AC647" s="8">
        <f>IF(B647="","",IF(COUNTIFS('Dietary Filters'!$C$5:$C$104,B647)&gt;0,"Check","OK"))</f>
        <v>0</v>
      </c>
      <c r="AD647" s="25"/>
    </row>
    <row r="648" spans="1:30">
      <c r="A648" s="7"/>
      <c r="B648" s="7"/>
      <c r="C648" s="26"/>
      <c r="D648" s="27"/>
      <c r="E648" s="8">
        <f>IF(B648="","",IFERROR(INDEX(Ingredients!$B$5:$B$304,MATCH(B648,Ingredients!$A$5:$A$304,0)),""))</f>
        <v>0</v>
      </c>
      <c r="F648" s="8">
        <f>IF(B648="","",IFERROR(INDEX(Ingredients!$E$5:$E$304,MATCH(B648,Ingredients!$A$5:$A$304,0)),""))</f>
        <v>0</v>
      </c>
      <c r="G648" s="8">
        <f>IF(B648="","",IFERROR(INDEX(Ingredients!$D$5:$D$304,MATCH(B648,Ingredients!$A$5:$A$304,0)),""))</f>
        <v>0</v>
      </c>
      <c r="H648" s="8">
        <f>IF(OR(B648="",C648=""),"",IFERROR(C648*G648,""))</f>
        <v>0</v>
      </c>
      <c r="I648" s="8">
        <f>IF(A648="","",IFERROR(INDEX(Recipes!$D$5:$D$204,MATCH(A648,Recipes!$A$5:$A$204,0)),""))</f>
        <v>0</v>
      </c>
      <c r="J648" s="8">
        <f>IF(OR(H648="",I648="",I648=0),"",IFERROR(H648/I648,""))</f>
        <v>0</v>
      </c>
      <c r="K648" s="8">
        <f>IF(OR(B648="",C648=""),"",IFERROR(C648*IFERROR(INDEX(Ingredients!$H$5:$H$304,MATCH(B648,Ingredients!$A$5:$A$304,0)),""),""))</f>
        <v>0</v>
      </c>
      <c r="L648" s="8">
        <f>IF(OR(B648="",C648=""),"",IFERROR(C648*IFERROR(INDEX(Ingredients!$I$5:$I$304,MATCH(B648,Ingredients!$A$5:$A$304,0)),""),""))</f>
        <v>0</v>
      </c>
      <c r="M648" s="8">
        <f>IF(OR(B648="",C648=""),"",IFERROR(C648*IFERROR(INDEX(Ingredients!$J$5:$J$304,MATCH(B648,Ingredients!$A$5:$A$304,0)),""),""))</f>
        <v>0</v>
      </c>
      <c r="N648" s="8">
        <f>IF(OR(B648="",C648=""),"",IFERROR(C648*IFERROR(INDEX(Ingredients!$K$5:$K$304,MATCH(B648,Ingredients!$A$5:$A$304,0)),""),""))</f>
        <v>0</v>
      </c>
      <c r="O648" s="8">
        <f>IF(OR(B648="",C648=""),"",IFERROR(C648*IFERROR(INDEX(Ingredients!$L$5:$L$304,MATCH(B648,Ingredients!$A$5:$A$304,0)),""),""))</f>
        <v>0</v>
      </c>
      <c r="P648" s="8">
        <f>IF(OR(H648="",A648=""),"",IFERROR(H648/SUMIFS('Recipe Ingredients'!$H$5:$H$1204,'Recipe Ingredients'!$A$5:$A$1204,A648),""))</f>
        <v>0</v>
      </c>
      <c r="Q648" s="8">
        <f>IF(H648="","",COUNTIFS($H$5:$H$1204,"&gt;"&amp;H648)+1)</f>
        <v>0</v>
      </c>
      <c r="R648" s="8">
        <f>IF(B648="","",SUMIFS(Pantry!$C$5:$C$304,Pantry!$A$5:$A$304,B648))</f>
        <v>0</v>
      </c>
      <c r="S648" s="8">
        <f>IF(OR(B648="",C648=""),"",MAX(0,C648-R648))</f>
        <v>0</v>
      </c>
      <c r="T648" s="26"/>
      <c r="U648" s="8">
        <f>IF(OR(T648="",T648=0,G648=""),"",T648*G648)</f>
        <v>0</v>
      </c>
      <c r="V648" s="8">
        <f>IF(OR(S648="",T648="",T648=0),"",CEILING(S648/T648,1))</f>
        <v>0</v>
      </c>
      <c r="W648" s="27"/>
      <c r="X648" s="29"/>
      <c r="Y648" s="8">
        <f>IF(OR(C648="",X648=""),"",C648*(1+X648))</f>
        <v>0</v>
      </c>
      <c r="Z648" s="8">
        <f>IF(B648="","",IFERROR(INDEX(Ingredients!$O$5:$O$304,MATCH(B648,Ingredients!$A$5:$A$304,0)),""))</f>
        <v>0</v>
      </c>
      <c r="AA648" s="8">
        <f>IF(B648="","",IF(R648&gt;=C648,"In pantry","To buy"))</f>
        <v>0</v>
      </c>
      <c r="AB648" s="8">
        <f>IF(A648="","",COUNTIFS($A$5:A648,A648))</f>
        <v>0</v>
      </c>
      <c r="AC648" s="8">
        <f>IF(B648="","",IF(COUNTIFS('Dietary Filters'!$C$5:$C$104,B648)&gt;0,"Check","OK"))</f>
        <v>0</v>
      </c>
      <c r="AD648" s="25"/>
    </row>
    <row r="649" spans="1:30">
      <c r="A649" s="7"/>
      <c r="B649" s="7"/>
      <c r="C649" s="26"/>
      <c r="D649" s="27"/>
      <c r="E649" s="8">
        <f>IF(B649="","",IFERROR(INDEX(Ingredients!$B$5:$B$304,MATCH(B649,Ingredients!$A$5:$A$304,0)),""))</f>
        <v>0</v>
      </c>
      <c r="F649" s="8">
        <f>IF(B649="","",IFERROR(INDEX(Ingredients!$E$5:$E$304,MATCH(B649,Ingredients!$A$5:$A$304,0)),""))</f>
        <v>0</v>
      </c>
      <c r="G649" s="8">
        <f>IF(B649="","",IFERROR(INDEX(Ingredients!$D$5:$D$304,MATCH(B649,Ingredients!$A$5:$A$304,0)),""))</f>
        <v>0</v>
      </c>
      <c r="H649" s="8">
        <f>IF(OR(B649="",C649=""),"",IFERROR(C649*G649,""))</f>
        <v>0</v>
      </c>
      <c r="I649" s="8">
        <f>IF(A649="","",IFERROR(INDEX(Recipes!$D$5:$D$204,MATCH(A649,Recipes!$A$5:$A$204,0)),""))</f>
        <v>0</v>
      </c>
      <c r="J649" s="8">
        <f>IF(OR(H649="",I649="",I649=0),"",IFERROR(H649/I649,""))</f>
        <v>0</v>
      </c>
      <c r="K649" s="8">
        <f>IF(OR(B649="",C649=""),"",IFERROR(C649*IFERROR(INDEX(Ingredients!$H$5:$H$304,MATCH(B649,Ingredients!$A$5:$A$304,0)),""),""))</f>
        <v>0</v>
      </c>
      <c r="L649" s="8">
        <f>IF(OR(B649="",C649=""),"",IFERROR(C649*IFERROR(INDEX(Ingredients!$I$5:$I$304,MATCH(B649,Ingredients!$A$5:$A$304,0)),""),""))</f>
        <v>0</v>
      </c>
      <c r="M649" s="8">
        <f>IF(OR(B649="",C649=""),"",IFERROR(C649*IFERROR(INDEX(Ingredients!$J$5:$J$304,MATCH(B649,Ingredients!$A$5:$A$304,0)),""),""))</f>
        <v>0</v>
      </c>
      <c r="N649" s="8">
        <f>IF(OR(B649="",C649=""),"",IFERROR(C649*IFERROR(INDEX(Ingredients!$K$5:$K$304,MATCH(B649,Ingredients!$A$5:$A$304,0)),""),""))</f>
        <v>0</v>
      </c>
      <c r="O649" s="8">
        <f>IF(OR(B649="",C649=""),"",IFERROR(C649*IFERROR(INDEX(Ingredients!$L$5:$L$304,MATCH(B649,Ingredients!$A$5:$A$304,0)),""),""))</f>
        <v>0</v>
      </c>
      <c r="P649" s="8">
        <f>IF(OR(H649="",A649=""),"",IFERROR(H649/SUMIFS('Recipe Ingredients'!$H$5:$H$1204,'Recipe Ingredients'!$A$5:$A$1204,A649),""))</f>
        <v>0</v>
      </c>
      <c r="Q649" s="8">
        <f>IF(H649="","",COUNTIFS($H$5:$H$1204,"&gt;"&amp;H649)+1)</f>
        <v>0</v>
      </c>
      <c r="R649" s="8">
        <f>IF(B649="","",SUMIFS(Pantry!$C$5:$C$304,Pantry!$A$5:$A$304,B649))</f>
        <v>0</v>
      </c>
      <c r="S649" s="8">
        <f>IF(OR(B649="",C649=""),"",MAX(0,C649-R649))</f>
        <v>0</v>
      </c>
      <c r="T649" s="26"/>
      <c r="U649" s="8">
        <f>IF(OR(T649="",T649=0,G649=""),"",T649*G649)</f>
        <v>0</v>
      </c>
      <c r="V649" s="8">
        <f>IF(OR(S649="",T649="",T649=0),"",CEILING(S649/T649,1))</f>
        <v>0</v>
      </c>
      <c r="W649" s="27"/>
      <c r="X649" s="29"/>
      <c r="Y649" s="8">
        <f>IF(OR(C649="",X649=""),"",C649*(1+X649))</f>
        <v>0</v>
      </c>
      <c r="Z649" s="8">
        <f>IF(B649="","",IFERROR(INDEX(Ingredients!$O$5:$O$304,MATCH(B649,Ingredients!$A$5:$A$304,0)),""))</f>
        <v>0</v>
      </c>
      <c r="AA649" s="8">
        <f>IF(B649="","",IF(R649&gt;=C649,"In pantry","To buy"))</f>
        <v>0</v>
      </c>
      <c r="AB649" s="8">
        <f>IF(A649="","",COUNTIFS($A$5:A649,A649))</f>
        <v>0</v>
      </c>
      <c r="AC649" s="8">
        <f>IF(B649="","",IF(COUNTIFS('Dietary Filters'!$C$5:$C$104,B649)&gt;0,"Check","OK"))</f>
        <v>0</v>
      </c>
      <c r="AD649" s="25"/>
    </row>
    <row r="650" spans="1:30">
      <c r="A650" s="7"/>
      <c r="B650" s="7"/>
      <c r="C650" s="26"/>
      <c r="D650" s="27"/>
      <c r="E650" s="8">
        <f>IF(B650="","",IFERROR(INDEX(Ingredients!$B$5:$B$304,MATCH(B650,Ingredients!$A$5:$A$304,0)),""))</f>
        <v>0</v>
      </c>
      <c r="F650" s="8">
        <f>IF(B650="","",IFERROR(INDEX(Ingredients!$E$5:$E$304,MATCH(B650,Ingredients!$A$5:$A$304,0)),""))</f>
        <v>0</v>
      </c>
      <c r="G650" s="8">
        <f>IF(B650="","",IFERROR(INDEX(Ingredients!$D$5:$D$304,MATCH(B650,Ingredients!$A$5:$A$304,0)),""))</f>
        <v>0</v>
      </c>
      <c r="H650" s="8">
        <f>IF(OR(B650="",C650=""),"",IFERROR(C650*G650,""))</f>
        <v>0</v>
      </c>
      <c r="I650" s="8">
        <f>IF(A650="","",IFERROR(INDEX(Recipes!$D$5:$D$204,MATCH(A650,Recipes!$A$5:$A$204,0)),""))</f>
        <v>0</v>
      </c>
      <c r="J650" s="8">
        <f>IF(OR(H650="",I650="",I650=0),"",IFERROR(H650/I650,""))</f>
        <v>0</v>
      </c>
      <c r="K650" s="8">
        <f>IF(OR(B650="",C650=""),"",IFERROR(C650*IFERROR(INDEX(Ingredients!$H$5:$H$304,MATCH(B650,Ingredients!$A$5:$A$304,0)),""),""))</f>
        <v>0</v>
      </c>
      <c r="L650" s="8">
        <f>IF(OR(B650="",C650=""),"",IFERROR(C650*IFERROR(INDEX(Ingredients!$I$5:$I$304,MATCH(B650,Ingredients!$A$5:$A$304,0)),""),""))</f>
        <v>0</v>
      </c>
      <c r="M650" s="8">
        <f>IF(OR(B650="",C650=""),"",IFERROR(C650*IFERROR(INDEX(Ingredients!$J$5:$J$304,MATCH(B650,Ingredients!$A$5:$A$304,0)),""),""))</f>
        <v>0</v>
      </c>
      <c r="N650" s="8">
        <f>IF(OR(B650="",C650=""),"",IFERROR(C650*IFERROR(INDEX(Ingredients!$K$5:$K$304,MATCH(B650,Ingredients!$A$5:$A$304,0)),""),""))</f>
        <v>0</v>
      </c>
      <c r="O650" s="8">
        <f>IF(OR(B650="",C650=""),"",IFERROR(C650*IFERROR(INDEX(Ingredients!$L$5:$L$304,MATCH(B650,Ingredients!$A$5:$A$304,0)),""),""))</f>
        <v>0</v>
      </c>
      <c r="P650" s="8">
        <f>IF(OR(H650="",A650=""),"",IFERROR(H650/SUMIFS('Recipe Ingredients'!$H$5:$H$1204,'Recipe Ingredients'!$A$5:$A$1204,A650),""))</f>
        <v>0</v>
      </c>
      <c r="Q650" s="8">
        <f>IF(H650="","",COUNTIFS($H$5:$H$1204,"&gt;"&amp;H650)+1)</f>
        <v>0</v>
      </c>
      <c r="R650" s="8">
        <f>IF(B650="","",SUMIFS(Pantry!$C$5:$C$304,Pantry!$A$5:$A$304,B650))</f>
        <v>0</v>
      </c>
      <c r="S650" s="8">
        <f>IF(OR(B650="",C650=""),"",MAX(0,C650-R650))</f>
        <v>0</v>
      </c>
      <c r="T650" s="26"/>
      <c r="U650" s="8">
        <f>IF(OR(T650="",T650=0,G650=""),"",T650*G650)</f>
        <v>0</v>
      </c>
      <c r="V650" s="8">
        <f>IF(OR(S650="",T650="",T650=0),"",CEILING(S650/T650,1))</f>
        <v>0</v>
      </c>
      <c r="W650" s="27"/>
      <c r="X650" s="29"/>
      <c r="Y650" s="8">
        <f>IF(OR(C650="",X650=""),"",C650*(1+X650))</f>
        <v>0</v>
      </c>
      <c r="Z650" s="8">
        <f>IF(B650="","",IFERROR(INDEX(Ingredients!$O$5:$O$304,MATCH(B650,Ingredients!$A$5:$A$304,0)),""))</f>
        <v>0</v>
      </c>
      <c r="AA650" s="8">
        <f>IF(B650="","",IF(R650&gt;=C650,"In pantry","To buy"))</f>
        <v>0</v>
      </c>
      <c r="AB650" s="8">
        <f>IF(A650="","",COUNTIFS($A$5:A650,A650))</f>
        <v>0</v>
      </c>
      <c r="AC650" s="8">
        <f>IF(B650="","",IF(COUNTIFS('Dietary Filters'!$C$5:$C$104,B650)&gt;0,"Check","OK"))</f>
        <v>0</v>
      </c>
      <c r="AD650" s="25"/>
    </row>
    <row r="651" spans="1:30">
      <c r="A651" s="7"/>
      <c r="B651" s="7"/>
      <c r="C651" s="26"/>
      <c r="D651" s="27"/>
      <c r="E651" s="8">
        <f>IF(B651="","",IFERROR(INDEX(Ingredients!$B$5:$B$304,MATCH(B651,Ingredients!$A$5:$A$304,0)),""))</f>
        <v>0</v>
      </c>
      <c r="F651" s="8">
        <f>IF(B651="","",IFERROR(INDEX(Ingredients!$E$5:$E$304,MATCH(B651,Ingredients!$A$5:$A$304,0)),""))</f>
        <v>0</v>
      </c>
      <c r="G651" s="8">
        <f>IF(B651="","",IFERROR(INDEX(Ingredients!$D$5:$D$304,MATCH(B651,Ingredients!$A$5:$A$304,0)),""))</f>
        <v>0</v>
      </c>
      <c r="H651" s="8">
        <f>IF(OR(B651="",C651=""),"",IFERROR(C651*G651,""))</f>
        <v>0</v>
      </c>
      <c r="I651" s="8">
        <f>IF(A651="","",IFERROR(INDEX(Recipes!$D$5:$D$204,MATCH(A651,Recipes!$A$5:$A$204,0)),""))</f>
        <v>0</v>
      </c>
      <c r="J651" s="8">
        <f>IF(OR(H651="",I651="",I651=0),"",IFERROR(H651/I651,""))</f>
        <v>0</v>
      </c>
      <c r="K651" s="8">
        <f>IF(OR(B651="",C651=""),"",IFERROR(C651*IFERROR(INDEX(Ingredients!$H$5:$H$304,MATCH(B651,Ingredients!$A$5:$A$304,0)),""),""))</f>
        <v>0</v>
      </c>
      <c r="L651" s="8">
        <f>IF(OR(B651="",C651=""),"",IFERROR(C651*IFERROR(INDEX(Ingredients!$I$5:$I$304,MATCH(B651,Ingredients!$A$5:$A$304,0)),""),""))</f>
        <v>0</v>
      </c>
      <c r="M651" s="8">
        <f>IF(OR(B651="",C651=""),"",IFERROR(C651*IFERROR(INDEX(Ingredients!$J$5:$J$304,MATCH(B651,Ingredients!$A$5:$A$304,0)),""),""))</f>
        <v>0</v>
      </c>
      <c r="N651" s="8">
        <f>IF(OR(B651="",C651=""),"",IFERROR(C651*IFERROR(INDEX(Ingredients!$K$5:$K$304,MATCH(B651,Ingredients!$A$5:$A$304,0)),""),""))</f>
        <v>0</v>
      </c>
      <c r="O651" s="8">
        <f>IF(OR(B651="",C651=""),"",IFERROR(C651*IFERROR(INDEX(Ingredients!$L$5:$L$304,MATCH(B651,Ingredients!$A$5:$A$304,0)),""),""))</f>
        <v>0</v>
      </c>
      <c r="P651" s="8">
        <f>IF(OR(H651="",A651=""),"",IFERROR(H651/SUMIFS('Recipe Ingredients'!$H$5:$H$1204,'Recipe Ingredients'!$A$5:$A$1204,A651),""))</f>
        <v>0</v>
      </c>
      <c r="Q651" s="8">
        <f>IF(H651="","",COUNTIFS($H$5:$H$1204,"&gt;"&amp;H651)+1)</f>
        <v>0</v>
      </c>
      <c r="R651" s="8">
        <f>IF(B651="","",SUMIFS(Pantry!$C$5:$C$304,Pantry!$A$5:$A$304,B651))</f>
        <v>0</v>
      </c>
      <c r="S651" s="8">
        <f>IF(OR(B651="",C651=""),"",MAX(0,C651-R651))</f>
        <v>0</v>
      </c>
      <c r="T651" s="26"/>
      <c r="U651" s="8">
        <f>IF(OR(T651="",T651=0,G651=""),"",T651*G651)</f>
        <v>0</v>
      </c>
      <c r="V651" s="8">
        <f>IF(OR(S651="",T651="",T651=0),"",CEILING(S651/T651,1))</f>
        <v>0</v>
      </c>
      <c r="W651" s="27"/>
      <c r="X651" s="29"/>
      <c r="Y651" s="8">
        <f>IF(OR(C651="",X651=""),"",C651*(1+X651))</f>
        <v>0</v>
      </c>
      <c r="Z651" s="8">
        <f>IF(B651="","",IFERROR(INDEX(Ingredients!$O$5:$O$304,MATCH(B651,Ingredients!$A$5:$A$304,0)),""))</f>
        <v>0</v>
      </c>
      <c r="AA651" s="8">
        <f>IF(B651="","",IF(R651&gt;=C651,"In pantry","To buy"))</f>
        <v>0</v>
      </c>
      <c r="AB651" s="8">
        <f>IF(A651="","",COUNTIFS($A$5:A651,A651))</f>
        <v>0</v>
      </c>
      <c r="AC651" s="8">
        <f>IF(B651="","",IF(COUNTIFS('Dietary Filters'!$C$5:$C$104,B651)&gt;0,"Check","OK"))</f>
        <v>0</v>
      </c>
      <c r="AD651" s="25"/>
    </row>
    <row r="652" spans="1:30">
      <c r="A652" s="7"/>
      <c r="B652" s="7"/>
      <c r="C652" s="26"/>
      <c r="D652" s="27"/>
      <c r="E652" s="8">
        <f>IF(B652="","",IFERROR(INDEX(Ingredients!$B$5:$B$304,MATCH(B652,Ingredients!$A$5:$A$304,0)),""))</f>
        <v>0</v>
      </c>
      <c r="F652" s="8">
        <f>IF(B652="","",IFERROR(INDEX(Ingredients!$E$5:$E$304,MATCH(B652,Ingredients!$A$5:$A$304,0)),""))</f>
        <v>0</v>
      </c>
      <c r="G652" s="8">
        <f>IF(B652="","",IFERROR(INDEX(Ingredients!$D$5:$D$304,MATCH(B652,Ingredients!$A$5:$A$304,0)),""))</f>
        <v>0</v>
      </c>
      <c r="H652" s="8">
        <f>IF(OR(B652="",C652=""),"",IFERROR(C652*G652,""))</f>
        <v>0</v>
      </c>
      <c r="I652" s="8">
        <f>IF(A652="","",IFERROR(INDEX(Recipes!$D$5:$D$204,MATCH(A652,Recipes!$A$5:$A$204,0)),""))</f>
        <v>0</v>
      </c>
      <c r="J652" s="8">
        <f>IF(OR(H652="",I652="",I652=0),"",IFERROR(H652/I652,""))</f>
        <v>0</v>
      </c>
      <c r="K652" s="8">
        <f>IF(OR(B652="",C652=""),"",IFERROR(C652*IFERROR(INDEX(Ingredients!$H$5:$H$304,MATCH(B652,Ingredients!$A$5:$A$304,0)),""),""))</f>
        <v>0</v>
      </c>
      <c r="L652" s="8">
        <f>IF(OR(B652="",C652=""),"",IFERROR(C652*IFERROR(INDEX(Ingredients!$I$5:$I$304,MATCH(B652,Ingredients!$A$5:$A$304,0)),""),""))</f>
        <v>0</v>
      </c>
      <c r="M652" s="8">
        <f>IF(OR(B652="",C652=""),"",IFERROR(C652*IFERROR(INDEX(Ingredients!$J$5:$J$304,MATCH(B652,Ingredients!$A$5:$A$304,0)),""),""))</f>
        <v>0</v>
      </c>
      <c r="N652" s="8">
        <f>IF(OR(B652="",C652=""),"",IFERROR(C652*IFERROR(INDEX(Ingredients!$K$5:$K$304,MATCH(B652,Ingredients!$A$5:$A$304,0)),""),""))</f>
        <v>0</v>
      </c>
      <c r="O652" s="8">
        <f>IF(OR(B652="",C652=""),"",IFERROR(C652*IFERROR(INDEX(Ingredients!$L$5:$L$304,MATCH(B652,Ingredients!$A$5:$A$304,0)),""),""))</f>
        <v>0</v>
      </c>
      <c r="P652" s="8">
        <f>IF(OR(H652="",A652=""),"",IFERROR(H652/SUMIFS('Recipe Ingredients'!$H$5:$H$1204,'Recipe Ingredients'!$A$5:$A$1204,A652),""))</f>
        <v>0</v>
      </c>
      <c r="Q652" s="8">
        <f>IF(H652="","",COUNTIFS($H$5:$H$1204,"&gt;"&amp;H652)+1)</f>
        <v>0</v>
      </c>
      <c r="R652" s="8">
        <f>IF(B652="","",SUMIFS(Pantry!$C$5:$C$304,Pantry!$A$5:$A$304,B652))</f>
        <v>0</v>
      </c>
      <c r="S652" s="8">
        <f>IF(OR(B652="",C652=""),"",MAX(0,C652-R652))</f>
        <v>0</v>
      </c>
      <c r="T652" s="26"/>
      <c r="U652" s="8">
        <f>IF(OR(T652="",T652=0,G652=""),"",T652*G652)</f>
        <v>0</v>
      </c>
      <c r="V652" s="8">
        <f>IF(OR(S652="",T652="",T652=0),"",CEILING(S652/T652,1))</f>
        <v>0</v>
      </c>
      <c r="W652" s="27"/>
      <c r="X652" s="29"/>
      <c r="Y652" s="8">
        <f>IF(OR(C652="",X652=""),"",C652*(1+X652))</f>
        <v>0</v>
      </c>
      <c r="Z652" s="8">
        <f>IF(B652="","",IFERROR(INDEX(Ingredients!$O$5:$O$304,MATCH(B652,Ingredients!$A$5:$A$304,0)),""))</f>
        <v>0</v>
      </c>
      <c r="AA652" s="8">
        <f>IF(B652="","",IF(R652&gt;=C652,"In pantry","To buy"))</f>
        <v>0</v>
      </c>
      <c r="AB652" s="8">
        <f>IF(A652="","",COUNTIFS($A$5:A652,A652))</f>
        <v>0</v>
      </c>
      <c r="AC652" s="8">
        <f>IF(B652="","",IF(COUNTIFS('Dietary Filters'!$C$5:$C$104,B652)&gt;0,"Check","OK"))</f>
        <v>0</v>
      </c>
      <c r="AD652" s="25"/>
    </row>
    <row r="653" spans="1:30">
      <c r="A653" s="7"/>
      <c r="B653" s="7"/>
      <c r="C653" s="26"/>
      <c r="D653" s="27"/>
      <c r="E653" s="8">
        <f>IF(B653="","",IFERROR(INDEX(Ingredients!$B$5:$B$304,MATCH(B653,Ingredients!$A$5:$A$304,0)),""))</f>
        <v>0</v>
      </c>
      <c r="F653" s="8">
        <f>IF(B653="","",IFERROR(INDEX(Ingredients!$E$5:$E$304,MATCH(B653,Ingredients!$A$5:$A$304,0)),""))</f>
        <v>0</v>
      </c>
      <c r="G653" s="8">
        <f>IF(B653="","",IFERROR(INDEX(Ingredients!$D$5:$D$304,MATCH(B653,Ingredients!$A$5:$A$304,0)),""))</f>
        <v>0</v>
      </c>
      <c r="H653" s="8">
        <f>IF(OR(B653="",C653=""),"",IFERROR(C653*G653,""))</f>
        <v>0</v>
      </c>
      <c r="I653" s="8">
        <f>IF(A653="","",IFERROR(INDEX(Recipes!$D$5:$D$204,MATCH(A653,Recipes!$A$5:$A$204,0)),""))</f>
        <v>0</v>
      </c>
      <c r="J653" s="8">
        <f>IF(OR(H653="",I653="",I653=0),"",IFERROR(H653/I653,""))</f>
        <v>0</v>
      </c>
      <c r="K653" s="8">
        <f>IF(OR(B653="",C653=""),"",IFERROR(C653*IFERROR(INDEX(Ingredients!$H$5:$H$304,MATCH(B653,Ingredients!$A$5:$A$304,0)),""),""))</f>
        <v>0</v>
      </c>
      <c r="L653" s="8">
        <f>IF(OR(B653="",C653=""),"",IFERROR(C653*IFERROR(INDEX(Ingredients!$I$5:$I$304,MATCH(B653,Ingredients!$A$5:$A$304,0)),""),""))</f>
        <v>0</v>
      </c>
      <c r="M653" s="8">
        <f>IF(OR(B653="",C653=""),"",IFERROR(C653*IFERROR(INDEX(Ingredients!$J$5:$J$304,MATCH(B653,Ingredients!$A$5:$A$304,0)),""),""))</f>
        <v>0</v>
      </c>
      <c r="N653" s="8">
        <f>IF(OR(B653="",C653=""),"",IFERROR(C653*IFERROR(INDEX(Ingredients!$K$5:$K$304,MATCH(B653,Ingredients!$A$5:$A$304,0)),""),""))</f>
        <v>0</v>
      </c>
      <c r="O653" s="8">
        <f>IF(OR(B653="",C653=""),"",IFERROR(C653*IFERROR(INDEX(Ingredients!$L$5:$L$304,MATCH(B653,Ingredients!$A$5:$A$304,0)),""),""))</f>
        <v>0</v>
      </c>
      <c r="P653" s="8">
        <f>IF(OR(H653="",A653=""),"",IFERROR(H653/SUMIFS('Recipe Ingredients'!$H$5:$H$1204,'Recipe Ingredients'!$A$5:$A$1204,A653),""))</f>
        <v>0</v>
      </c>
      <c r="Q653" s="8">
        <f>IF(H653="","",COUNTIFS($H$5:$H$1204,"&gt;"&amp;H653)+1)</f>
        <v>0</v>
      </c>
      <c r="R653" s="8">
        <f>IF(B653="","",SUMIFS(Pantry!$C$5:$C$304,Pantry!$A$5:$A$304,B653))</f>
        <v>0</v>
      </c>
      <c r="S653" s="8">
        <f>IF(OR(B653="",C653=""),"",MAX(0,C653-R653))</f>
        <v>0</v>
      </c>
      <c r="T653" s="26"/>
      <c r="U653" s="8">
        <f>IF(OR(T653="",T653=0,G653=""),"",T653*G653)</f>
        <v>0</v>
      </c>
      <c r="V653" s="8">
        <f>IF(OR(S653="",T653="",T653=0),"",CEILING(S653/T653,1))</f>
        <v>0</v>
      </c>
      <c r="W653" s="27"/>
      <c r="X653" s="29"/>
      <c r="Y653" s="8">
        <f>IF(OR(C653="",X653=""),"",C653*(1+X653))</f>
        <v>0</v>
      </c>
      <c r="Z653" s="8">
        <f>IF(B653="","",IFERROR(INDEX(Ingredients!$O$5:$O$304,MATCH(B653,Ingredients!$A$5:$A$304,0)),""))</f>
        <v>0</v>
      </c>
      <c r="AA653" s="8">
        <f>IF(B653="","",IF(R653&gt;=C653,"In pantry","To buy"))</f>
        <v>0</v>
      </c>
      <c r="AB653" s="8">
        <f>IF(A653="","",COUNTIFS($A$5:A653,A653))</f>
        <v>0</v>
      </c>
      <c r="AC653" s="8">
        <f>IF(B653="","",IF(COUNTIFS('Dietary Filters'!$C$5:$C$104,B653)&gt;0,"Check","OK"))</f>
        <v>0</v>
      </c>
      <c r="AD653" s="25"/>
    </row>
    <row r="654" spans="1:30">
      <c r="A654" s="7"/>
      <c r="B654" s="7"/>
      <c r="C654" s="26"/>
      <c r="D654" s="27"/>
      <c r="E654" s="8">
        <f>IF(B654="","",IFERROR(INDEX(Ingredients!$B$5:$B$304,MATCH(B654,Ingredients!$A$5:$A$304,0)),""))</f>
        <v>0</v>
      </c>
      <c r="F654" s="8">
        <f>IF(B654="","",IFERROR(INDEX(Ingredients!$E$5:$E$304,MATCH(B654,Ingredients!$A$5:$A$304,0)),""))</f>
        <v>0</v>
      </c>
      <c r="G654" s="8">
        <f>IF(B654="","",IFERROR(INDEX(Ingredients!$D$5:$D$304,MATCH(B654,Ingredients!$A$5:$A$304,0)),""))</f>
        <v>0</v>
      </c>
      <c r="H654" s="8">
        <f>IF(OR(B654="",C654=""),"",IFERROR(C654*G654,""))</f>
        <v>0</v>
      </c>
      <c r="I654" s="8">
        <f>IF(A654="","",IFERROR(INDEX(Recipes!$D$5:$D$204,MATCH(A654,Recipes!$A$5:$A$204,0)),""))</f>
        <v>0</v>
      </c>
      <c r="J654" s="8">
        <f>IF(OR(H654="",I654="",I654=0),"",IFERROR(H654/I654,""))</f>
        <v>0</v>
      </c>
      <c r="K654" s="8">
        <f>IF(OR(B654="",C654=""),"",IFERROR(C654*IFERROR(INDEX(Ingredients!$H$5:$H$304,MATCH(B654,Ingredients!$A$5:$A$304,0)),""),""))</f>
        <v>0</v>
      </c>
      <c r="L654" s="8">
        <f>IF(OR(B654="",C654=""),"",IFERROR(C654*IFERROR(INDEX(Ingredients!$I$5:$I$304,MATCH(B654,Ingredients!$A$5:$A$304,0)),""),""))</f>
        <v>0</v>
      </c>
      <c r="M654" s="8">
        <f>IF(OR(B654="",C654=""),"",IFERROR(C654*IFERROR(INDEX(Ingredients!$J$5:$J$304,MATCH(B654,Ingredients!$A$5:$A$304,0)),""),""))</f>
        <v>0</v>
      </c>
      <c r="N654" s="8">
        <f>IF(OR(B654="",C654=""),"",IFERROR(C654*IFERROR(INDEX(Ingredients!$K$5:$K$304,MATCH(B654,Ingredients!$A$5:$A$304,0)),""),""))</f>
        <v>0</v>
      </c>
      <c r="O654" s="8">
        <f>IF(OR(B654="",C654=""),"",IFERROR(C654*IFERROR(INDEX(Ingredients!$L$5:$L$304,MATCH(B654,Ingredients!$A$5:$A$304,0)),""),""))</f>
        <v>0</v>
      </c>
      <c r="P654" s="8">
        <f>IF(OR(H654="",A654=""),"",IFERROR(H654/SUMIFS('Recipe Ingredients'!$H$5:$H$1204,'Recipe Ingredients'!$A$5:$A$1204,A654),""))</f>
        <v>0</v>
      </c>
      <c r="Q654" s="8">
        <f>IF(H654="","",COUNTIFS($H$5:$H$1204,"&gt;"&amp;H654)+1)</f>
        <v>0</v>
      </c>
      <c r="R654" s="8">
        <f>IF(B654="","",SUMIFS(Pantry!$C$5:$C$304,Pantry!$A$5:$A$304,B654))</f>
        <v>0</v>
      </c>
      <c r="S654" s="8">
        <f>IF(OR(B654="",C654=""),"",MAX(0,C654-R654))</f>
        <v>0</v>
      </c>
      <c r="T654" s="26"/>
      <c r="U654" s="8">
        <f>IF(OR(T654="",T654=0,G654=""),"",T654*G654)</f>
        <v>0</v>
      </c>
      <c r="V654" s="8">
        <f>IF(OR(S654="",T654="",T654=0),"",CEILING(S654/T654,1))</f>
        <v>0</v>
      </c>
      <c r="W654" s="27"/>
      <c r="X654" s="29"/>
      <c r="Y654" s="8">
        <f>IF(OR(C654="",X654=""),"",C654*(1+X654))</f>
        <v>0</v>
      </c>
      <c r="Z654" s="8">
        <f>IF(B654="","",IFERROR(INDEX(Ingredients!$O$5:$O$304,MATCH(B654,Ingredients!$A$5:$A$304,0)),""))</f>
        <v>0</v>
      </c>
      <c r="AA654" s="8">
        <f>IF(B654="","",IF(R654&gt;=C654,"In pantry","To buy"))</f>
        <v>0</v>
      </c>
      <c r="AB654" s="8">
        <f>IF(A654="","",COUNTIFS($A$5:A654,A654))</f>
        <v>0</v>
      </c>
      <c r="AC654" s="8">
        <f>IF(B654="","",IF(COUNTIFS('Dietary Filters'!$C$5:$C$104,B654)&gt;0,"Check","OK"))</f>
        <v>0</v>
      </c>
      <c r="AD654" s="25"/>
    </row>
    <row r="655" spans="1:30">
      <c r="A655" s="7"/>
      <c r="B655" s="7"/>
      <c r="C655" s="26"/>
      <c r="D655" s="27"/>
      <c r="E655" s="8">
        <f>IF(B655="","",IFERROR(INDEX(Ingredients!$B$5:$B$304,MATCH(B655,Ingredients!$A$5:$A$304,0)),""))</f>
        <v>0</v>
      </c>
      <c r="F655" s="8">
        <f>IF(B655="","",IFERROR(INDEX(Ingredients!$E$5:$E$304,MATCH(B655,Ingredients!$A$5:$A$304,0)),""))</f>
        <v>0</v>
      </c>
      <c r="G655" s="8">
        <f>IF(B655="","",IFERROR(INDEX(Ingredients!$D$5:$D$304,MATCH(B655,Ingredients!$A$5:$A$304,0)),""))</f>
        <v>0</v>
      </c>
      <c r="H655" s="8">
        <f>IF(OR(B655="",C655=""),"",IFERROR(C655*G655,""))</f>
        <v>0</v>
      </c>
      <c r="I655" s="8">
        <f>IF(A655="","",IFERROR(INDEX(Recipes!$D$5:$D$204,MATCH(A655,Recipes!$A$5:$A$204,0)),""))</f>
        <v>0</v>
      </c>
      <c r="J655" s="8">
        <f>IF(OR(H655="",I655="",I655=0),"",IFERROR(H655/I655,""))</f>
        <v>0</v>
      </c>
      <c r="K655" s="8">
        <f>IF(OR(B655="",C655=""),"",IFERROR(C655*IFERROR(INDEX(Ingredients!$H$5:$H$304,MATCH(B655,Ingredients!$A$5:$A$304,0)),""),""))</f>
        <v>0</v>
      </c>
      <c r="L655" s="8">
        <f>IF(OR(B655="",C655=""),"",IFERROR(C655*IFERROR(INDEX(Ingredients!$I$5:$I$304,MATCH(B655,Ingredients!$A$5:$A$304,0)),""),""))</f>
        <v>0</v>
      </c>
      <c r="M655" s="8">
        <f>IF(OR(B655="",C655=""),"",IFERROR(C655*IFERROR(INDEX(Ingredients!$J$5:$J$304,MATCH(B655,Ingredients!$A$5:$A$304,0)),""),""))</f>
        <v>0</v>
      </c>
      <c r="N655" s="8">
        <f>IF(OR(B655="",C655=""),"",IFERROR(C655*IFERROR(INDEX(Ingredients!$K$5:$K$304,MATCH(B655,Ingredients!$A$5:$A$304,0)),""),""))</f>
        <v>0</v>
      </c>
      <c r="O655" s="8">
        <f>IF(OR(B655="",C655=""),"",IFERROR(C655*IFERROR(INDEX(Ingredients!$L$5:$L$304,MATCH(B655,Ingredients!$A$5:$A$304,0)),""),""))</f>
        <v>0</v>
      </c>
      <c r="P655" s="8">
        <f>IF(OR(H655="",A655=""),"",IFERROR(H655/SUMIFS('Recipe Ingredients'!$H$5:$H$1204,'Recipe Ingredients'!$A$5:$A$1204,A655),""))</f>
        <v>0</v>
      </c>
      <c r="Q655" s="8">
        <f>IF(H655="","",COUNTIFS($H$5:$H$1204,"&gt;"&amp;H655)+1)</f>
        <v>0</v>
      </c>
      <c r="R655" s="8">
        <f>IF(B655="","",SUMIFS(Pantry!$C$5:$C$304,Pantry!$A$5:$A$304,B655))</f>
        <v>0</v>
      </c>
      <c r="S655" s="8">
        <f>IF(OR(B655="",C655=""),"",MAX(0,C655-R655))</f>
        <v>0</v>
      </c>
      <c r="T655" s="26"/>
      <c r="U655" s="8">
        <f>IF(OR(T655="",T655=0,G655=""),"",T655*G655)</f>
        <v>0</v>
      </c>
      <c r="V655" s="8">
        <f>IF(OR(S655="",T655="",T655=0),"",CEILING(S655/T655,1))</f>
        <v>0</v>
      </c>
      <c r="W655" s="27"/>
      <c r="X655" s="29"/>
      <c r="Y655" s="8">
        <f>IF(OR(C655="",X655=""),"",C655*(1+X655))</f>
        <v>0</v>
      </c>
      <c r="Z655" s="8">
        <f>IF(B655="","",IFERROR(INDEX(Ingredients!$O$5:$O$304,MATCH(B655,Ingredients!$A$5:$A$304,0)),""))</f>
        <v>0</v>
      </c>
      <c r="AA655" s="8">
        <f>IF(B655="","",IF(R655&gt;=C655,"In pantry","To buy"))</f>
        <v>0</v>
      </c>
      <c r="AB655" s="8">
        <f>IF(A655="","",COUNTIFS($A$5:A655,A655))</f>
        <v>0</v>
      </c>
      <c r="AC655" s="8">
        <f>IF(B655="","",IF(COUNTIFS('Dietary Filters'!$C$5:$C$104,B655)&gt;0,"Check","OK"))</f>
        <v>0</v>
      </c>
      <c r="AD655" s="25"/>
    </row>
    <row r="656" spans="1:30">
      <c r="A656" s="7"/>
      <c r="B656" s="7"/>
      <c r="C656" s="26"/>
      <c r="D656" s="27"/>
      <c r="E656" s="8">
        <f>IF(B656="","",IFERROR(INDEX(Ingredients!$B$5:$B$304,MATCH(B656,Ingredients!$A$5:$A$304,0)),""))</f>
        <v>0</v>
      </c>
      <c r="F656" s="8">
        <f>IF(B656="","",IFERROR(INDEX(Ingredients!$E$5:$E$304,MATCH(B656,Ingredients!$A$5:$A$304,0)),""))</f>
        <v>0</v>
      </c>
      <c r="G656" s="8">
        <f>IF(B656="","",IFERROR(INDEX(Ingredients!$D$5:$D$304,MATCH(B656,Ingredients!$A$5:$A$304,0)),""))</f>
        <v>0</v>
      </c>
      <c r="H656" s="8">
        <f>IF(OR(B656="",C656=""),"",IFERROR(C656*G656,""))</f>
        <v>0</v>
      </c>
      <c r="I656" s="8">
        <f>IF(A656="","",IFERROR(INDEX(Recipes!$D$5:$D$204,MATCH(A656,Recipes!$A$5:$A$204,0)),""))</f>
        <v>0</v>
      </c>
      <c r="J656" s="8">
        <f>IF(OR(H656="",I656="",I656=0),"",IFERROR(H656/I656,""))</f>
        <v>0</v>
      </c>
      <c r="K656" s="8">
        <f>IF(OR(B656="",C656=""),"",IFERROR(C656*IFERROR(INDEX(Ingredients!$H$5:$H$304,MATCH(B656,Ingredients!$A$5:$A$304,0)),""),""))</f>
        <v>0</v>
      </c>
      <c r="L656" s="8">
        <f>IF(OR(B656="",C656=""),"",IFERROR(C656*IFERROR(INDEX(Ingredients!$I$5:$I$304,MATCH(B656,Ingredients!$A$5:$A$304,0)),""),""))</f>
        <v>0</v>
      </c>
      <c r="M656" s="8">
        <f>IF(OR(B656="",C656=""),"",IFERROR(C656*IFERROR(INDEX(Ingredients!$J$5:$J$304,MATCH(B656,Ingredients!$A$5:$A$304,0)),""),""))</f>
        <v>0</v>
      </c>
      <c r="N656" s="8">
        <f>IF(OR(B656="",C656=""),"",IFERROR(C656*IFERROR(INDEX(Ingredients!$K$5:$K$304,MATCH(B656,Ingredients!$A$5:$A$304,0)),""),""))</f>
        <v>0</v>
      </c>
      <c r="O656" s="8">
        <f>IF(OR(B656="",C656=""),"",IFERROR(C656*IFERROR(INDEX(Ingredients!$L$5:$L$304,MATCH(B656,Ingredients!$A$5:$A$304,0)),""),""))</f>
        <v>0</v>
      </c>
      <c r="P656" s="8">
        <f>IF(OR(H656="",A656=""),"",IFERROR(H656/SUMIFS('Recipe Ingredients'!$H$5:$H$1204,'Recipe Ingredients'!$A$5:$A$1204,A656),""))</f>
        <v>0</v>
      </c>
      <c r="Q656" s="8">
        <f>IF(H656="","",COUNTIFS($H$5:$H$1204,"&gt;"&amp;H656)+1)</f>
        <v>0</v>
      </c>
      <c r="R656" s="8">
        <f>IF(B656="","",SUMIFS(Pantry!$C$5:$C$304,Pantry!$A$5:$A$304,B656))</f>
        <v>0</v>
      </c>
      <c r="S656" s="8">
        <f>IF(OR(B656="",C656=""),"",MAX(0,C656-R656))</f>
        <v>0</v>
      </c>
      <c r="T656" s="26"/>
      <c r="U656" s="8">
        <f>IF(OR(T656="",T656=0,G656=""),"",T656*G656)</f>
        <v>0</v>
      </c>
      <c r="V656" s="8">
        <f>IF(OR(S656="",T656="",T656=0),"",CEILING(S656/T656,1))</f>
        <v>0</v>
      </c>
      <c r="W656" s="27"/>
      <c r="X656" s="29"/>
      <c r="Y656" s="8">
        <f>IF(OR(C656="",X656=""),"",C656*(1+X656))</f>
        <v>0</v>
      </c>
      <c r="Z656" s="8">
        <f>IF(B656="","",IFERROR(INDEX(Ingredients!$O$5:$O$304,MATCH(B656,Ingredients!$A$5:$A$304,0)),""))</f>
        <v>0</v>
      </c>
      <c r="AA656" s="8">
        <f>IF(B656="","",IF(R656&gt;=C656,"In pantry","To buy"))</f>
        <v>0</v>
      </c>
      <c r="AB656" s="8">
        <f>IF(A656="","",COUNTIFS($A$5:A656,A656))</f>
        <v>0</v>
      </c>
      <c r="AC656" s="8">
        <f>IF(B656="","",IF(COUNTIFS('Dietary Filters'!$C$5:$C$104,B656)&gt;0,"Check","OK"))</f>
        <v>0</v>
      </c>
      <c r="AD656" s="25"/>
    </row>
    <row r="657" spans="1:30">
      <c r="A657" s="7"/>
      <c r="B657" s="7"/>
      <c r="C657" s="26"/>
      <c r="D657" s="27"/>
      <c r="E657" s="8">
        <f>IF(B657="","",IFERROR(INDEX(Ingredients!$B$5:$B$304,MATCH(B657,Ingredients!$A$5:$A$304,0)),""))</f>
        <v>0</v>
      </c>
      <c r="F657" s="8">
        <f>IF(B657="","",IFERROR(INDEX(Ingredients!$E$5:$E$304,MATCH(B657,Ingredients!$A$5:$A$304,0)),""))</f>
        <v>0</v>
      </c>
      <c r="G657" s="8">
        <f>IF(B657="","",IFERROR(INDEX(Ingredients!$D$5:$D$304,MATCH(B657,Ingredients!$A$5:$A$304,0)),""))</f>
        <v>0</v>
      </c>
      <c r="H657" s="8">
        <f>IF(OR(B657="",C657=""),"",IFERROR(C657*G657,""))</f>
        <v>0</v>
      </c>
      <c r="I657" s="8">
        <f>IF(A657="","",IFERROR(INDEX(Recipes!$D$5:$D$204,MATCH(A657,Recipes!$A$5:$A$204,0)),""))</f>
        <v>0</v>
      </c>
      <c r="J657" s="8">
        <f>IF(OR(H657="",I657="",I657=0),"",IFERROR(H657/I657,""))</f>
        <v>0</v>
      </c>
      <c r="K657" s="8">
        <f>IF(OR(B657="",C657=""),"",IFERROR(C657*IFERROR(INDEX(Ingredients!$H$5:$H$304,MATCH(B657,Ingredients!$A$5:$A$304,0)),""),""))</f>
        <v>0</v>
      </c>
      <c r="L657" s="8">
        <f>IF(OR(B657="",C657=""),"",IFERROR(C657*IFERROR(INDEX(Ingredients!$I$5:$I$304,MATCH(B657,Ingredients!$A$5:$A$304,0)),""),""))</f>
        <v>0</v>
      </c>
      <c r="M657" s="8">
        <f>IF(OR(B657="",C657=""),"",IFERROR(C657*IFERROR(INDEX(Ingredients!$J$5:$J$304,MATCH(B657,Ingredients!$A$5:$A$304,0)),""),""))</f>
        <v>0</v>
      </c>
      <c r="N657" s="8">
        <f>IF(OR(B657="",C657=""),"",IFERROR(C657*IFERROR(INDEX(Ingredients!$K$5:$K$304,MATCH(B657,Ingredients!$A$5:$A$304,0)),""),""))</f>
        <v>0</v>
      </c>
      <c r="O657" s="8">
        <f>IF(OR(B657="",C657=""),"",IFERROR(C657*IFERROR(INDEX(Ingredients!$L$5:$L$304,MATCH(B657,Ingredients!$A$5:$A$304,0)),""),""))</f>
        <v>0</v>
      </c>
      <c r="P657" s="8">
        <f>IF(OR(H657="",A657=""),"",IFERROR(H657/SUMIFS('Recipe Ingredients'!$H$5:$H$1204,'Recipe Ingredients'!$A$5:$A$1204,A657),""))</f>
        <v>0</v>
      </c>
      <c r="Q657" s="8">
        <f>IF(H657="","",COUNTIFS($H$5:$H$1204,"&gt;"&amp;H657)+1)</f>
        <v>0</v>
      </c>
      <c r="R657" s="8">
        <f>IF(B657="","",SUMIFS(Pantry!$C$5:$C$304,Pantry!$A$5:$A$304,B657))</f>
        <v>0</v>
      </c>
      <c r="S657" s="8">
        <f>IF(OR(B657="",C657=""),"",MAX(0,C657-R657))</f>
        <v>0</v>
      </c>
      <c r="T657" s="26"/>
      <c r="U657" s="8">
        <f>IF(OR(T657="",T657=0,G657=""),"",T657*G657)</f>
        <v>0</v>
      </c>
      <c r="V657" s="8">
        <f>IF(OR(S657="",T657="",T657=0),"",CEILING(S657/T657,1))</f>
        <v>0</v>
      </c>
      <c r="W657" s="27"/>
      <c r="X657" s="29"/>
      <c r="Y657" s="8">
        <f>IF(OR(C657="",X657=""),"",C657*(1+X657))</f>
        <v>0</v>
      </c>
      <c r="Z657" s="8">
        <f>IF(B657="","",IFERROR(INDEX(Ingredients!$O$5:$O$304,MATCH(B657,Ingredients!$A$5:$A$304,0)),""))</f>
        <v>0</v>
      </c>
      <c r="AA657" s="8">
        <f>IF(B657="","",IF(R657&gt;=C657,"In pantry","To buy"))</f>
        <v>0</v>
      </c>
      <c r="AB657" s="8">
        <f>IF(A657="","",COUNTIFS($A$5:A657,A657))</f>
        <v>0</v>
      </c>
      <c r="AC657" s="8">
        <f>IF(B657="","",IF(COUNTIFS('Dietary Filters'!$C$5:$C$104,B657)&gt;0,"Check","OK"))</f>
        <v>0</v>
      </c>
      <c r="AD657" s="25"/>
    </row>
    <row r="658" spans="1:30">
      <c r="A658" s="7"/>
      <c r="B658" s="7"/>
      <c r="C658" s="26"/>
      <c r="D658" s="27"/>
      <c r="E658" s="8">
        <f>IF(B658="","",IFERROR(INDEX(Ingredients!$B$5:$B$304,MATCH(B658,Ingredients!$A$5:$A$304,0)),""))</f>
        <v>0</v>
      </c>
      <c r="F658" s="8">
        <f>IF(B658="","",IFERROR(INDEX(Ingredients!$E$5:$E$304,MATCH(B658,Ingredients!$A$5:$A$304,0)),""))</f>
        <v>0</v>
      </c>
      <c r="G658" s="8">
        <f>IF(B658="","",IFERROR(INDEX(Ingredients!$D$5:$D$304,MATCH(B658,Ingredients!$A$5:$A$304,0)),""))</f>
        <v>0</v>
      </c>
      <c r="H658" s="8">
        <f>IF(OR(B658="",C658=""),"",IFERROR(C658*G658,""))</f>
        <v>0</v>
      </c>
      <c r="I658" s="8">
        <f>IF(A658="","",IFERROR(INDEX(Recipes!$D$5:$D$204,MATCH(A658,Recipes!$A$5:$A$204,0)),""))</f>
        <v>0</v>
      </c>
      <c r="J658" s="8">
        <f>IF(OR(H658="",I658="",I658=0),"",IFERROR(H658/I658,""))</f>
        <v>0</v>
      </c>
      <c r="K658" s="8">
        <f>IF(OR(B658="",C658=""),"",IFERROR(C658*IFERROR(INDEX(Ingredients!$H$5:$H$304,MATCH(B658,Ingredients!$A$5:$A$304,0)),""),""))</f>
        <v>0</v>
      </c>
      <c r="L658" s="8">
        <f>IF(OR(B658="",C658=""),"",IFERROR(C658*IFERROR(INDEX(Ingredients!$I$5:$I$304,MATCH(B658,Ingredients!$A$5:$A$304,0)),""),""))</f>
        <v>0</v>
      </c>
      <c r="M658" s="8">
        <f>IF(OR(B658="",C658=""),"",IFERROR(C658*IFERROR(INDEX(Ingredients!$J$5:$J$304,MATCH(B658,Ingredients!$A$5:$A$304,0)),""),""))</f>
        <v>0</v>
      </c>
      <c r="N658" s="8">
        <f>IF(OR(B658="",C658=""),"",IFERROR(C658*IFERROR(INDEX(Ingredients!$K$5:$K$304,MATCH(B658,Ingredients!$A$5:$A$304,0)),""),""))</f>
        <v>0</v>
      </c>
      <c r="O658" s="8">
        <f>IF(OR(B658="",C658=""),"",IFERROR(C658*IFERROR(INDEX(Ingredients!$L$5:$L$304,MATCH(B658,Ingredients!$A$5:$A$304,0)),""),""))</f>
        <v>0</v>
      </c>
      <c r="P658" s="8">
        <f>IF(OR(H658="",A658=""),"",IFERROR(H658/SUMIFS('Recipe Ingredients'!$H$5:$H$1204,'Recipe Ingredients'!$A$5:$A$1204,A658),""))</f>
        <v>0</v>
      </c>
      <c r="Q658" s="8">
        <f>IF(H658="","",COUNTIFS($H$5:$H$1204,"&gt;"&amp;H658)+1)</f>
        <v>0</v>
      </c>
      <c r="R658" s="8">
        <f>IF(B658="","",SUMIFS(Pantry!$C$5:$C$304,Pantry!$A$5:$A$304,B658))</f>
        <v>0</v>
      </c>
      <c r="S658" s="8">
        <f>IF(OR(B658="",C658=""),"",MAX(0,C658-R658))</f>
        <v>0</v>
      </c>
      <c r="T658" s="26"/>
      <c r="U658" s="8">
        <f>IF(OR(T658="",T658=0,G658=""),"",T658*G658)</f>
        <v>0</v>
      </c>
      <c r="V658" s="8">
        <f>IF(OR(S658="",T658="",T658=0),"",CEILING(S658/T658,1))</f>
        <v>0</v>
      </c>
      <c r="W658" s="27"/>
      <c r="X658" s="29"/>
      <c r="Y658" s="8">
        <f>IF(OR(C658="",X658=""),"",C658*(1+X658))</f>
        <v>0</v>
      </c>
      <c r="Z658" s="8">
        <f>IF(B658="","",IFERROR(INDEX(Ingredients!$O$5:$O$304,MATCH(B658,Ingredients!$A$5:$A$304,0)),""))</f>
        <v>0</v>
      </c>
      <c r="AA658" s="8">
        <f>IF(B658="","",IF(R658&gt;=C658,"In pantry","To buy"))</f>
        <v>0</v>
      </c>
      <c r="AB658" s="8">
        <f>IF(A658="","",COUNTIFS($A$5:A658,A658))</f>
        <v>0</v>
      </c>
      <c r="AC658" s="8">
        <f>IF(B658="","",IF(COUNTIFS('Dietary Filters'!$C$5:$C$104,B658)&gt;0,"Check","OK"))</f>
        <v>0</v>
      </c>
      <c r="AD658" s="25"/>
    </row>
    <row r="659" spans="1:30">
      <c r="A659" s="7"/>
      <c r="B659" s="7"/>
      <c r="C659" s="26"/>
      <c r="D659" s="27"/>
      <c r="E659" s="8">
        <f>IF(B659="","",IFERROR(INDEX(Ingredients!$B$5:$B$304,MATCH(B659,Ingredients!$A$5:$A$304,0)),""))</f>
        <v>0</v>
      </c>
      <c r="F659" s="8">
        <f>IF(B659="","",IFERROR(INDEX(Ingredients!$E$5:$E$304,MATCH(B659,Ingredients!$A$5:$A$304,0)),""))</f>
        <v>0</v>
      </c>
      <c r="G659" s="8">
        <f>IF(B659="","",IFERROR(INDEX(Ingredients!$D$5:$D$304,MATCH(B659,Ingredients!$A$5:$A$304,0)),""))</f>
        <v>0</v>
      </c>
      <c r="H659" s="8">
        <f>IF(OR(B659="",C659=""),"",IFERROR(C659*G659,""))</f>
        <v>0</v>
      </c>
      <c r="I659" s="8">
        <f>IF(A659="","",IFERROR(INDEX(Recipes!$D$5:$D$204,MATCH(A659,Recipes!$A$5:$A$204,0)),""))</f>
        <v>0</v>
      </c>
      <c r="J659" s="8">
        <f>IF(OR(H659="",I659="",I659=0),"",IFERROR(H659/I659,""))</f>
        <v>0</v>
      </c>
      <c r="K659" s="8">
        <f>IF(OR(B659="",C659=""),"",IFERROR(C659*IFERROR(INDEX(Ingredients!$H$5:$H$304,MATCH(B659,Ingredients!$A$5:$A$304,0)),""),""))</f>
        <v>0</v>
      </c>
      <c r="L659" s="8">
        <f>IF(OR(B659="",C659=""),"",IFERROR(C659*IFERROR(INDEX(Ingredients!$I$5:$I$304,MATCH(B659,Ingredients!$A$5:$A$304,0)),""),""))</f>
        <v>0</v>
      </c>
      <c r="M659" s="8">
        <f>IF(OR(B659="",C659=""),"",IFERROR(C659*IFERROR(INDEX(Ingredients!$J$5:$J$304,MATCH(B659,Ingredients!$A$5:$A$304,0)),""),""))</f>
        <v>0</v>
      </c>
      <c r="N659" s="8">
        <f>IF(OR(B659="",C659=""),"",IFERROR(C659*IFERROR(INDEX(Ingredients!$K$5:$K$304,MATCH(B659,Ingredients!$A$5:$A$304,0)),""),""))</f>
        <v>0</v>
      </c>
      <c r="O659" s="8">
        <f>IF(OR(B659="",C659=""),"",IFERROR(C659*IFERROR(INDEX(Ingredients!$L$5:$L$304,MATCH(B659,Ingredients!$A$5:$A$304,0)),""),""))</f>
        <v>0</v>
      </c>
      <c r="P659" s="8">
        <f>IF(OR(H659="",A659=""),"",IFERROR(H659/SUMIFS('Recipe Ingredients'!$H$5:$H$1204,'Recipe Ingredients'!$A$5:$A$1204,A659),""))</f>
        <v>0</v>
      </c>
      <c r="Q659" s="8">
        <f>IF(H659="","",COUNTIFS($H$5:$H$1204,"&gt;"&amp;H659)+1)</f>
        <v>0</v>
      </c>
      <c r="R659" s="8">
        <f>IF(B659="","",SUMIFS(Pantry!$C$5:$C$304,Pantry!$A$5:$A$304,B659))</f>
        <v>0</v>
      </c>
      <c r="S659" s="8">
        <f>IF(OR(B659="",C659=""),"",MAX(0,C659-R659))</f>
        <v>0</v>
      </c>
      <c r="T659" s="26"/>
      <c r="U659" s="8">
        <f>IF(OR(T659="",T659=0,G659=""),"",T659*G659)</f>
        <v>0</v>
      </c>
      <c r="V659" s="8">
        <f>IF(OR(S659="",T659="",T659=0),"",CEILING(S659/T659,1))</f>
        <v>0</v>
      </c>
      <c r="W659" s="27"/>
      <c r="X659" s="29"/>
      <c r="Y659" s="8">
        <f>IF(OR(C659="",X659=""),"",C659*(1+X659))</f>
        <v>0</v>
      </c>
      <c r="Z659" s="8">
        <f>IF(B659="","",IFERROR(INDEX(Ingredients!$O$5:$O$304,MATCH(B659,Ingredients!$A$5:$A$304,0)),""))</f>
        <v>0</v>
      </c>
      <c r="AA659" s="8">
        <f>IF(B659="","",IF(R659&gt;=C659,"In pantry","To buy"))</f>
        <v>0</v>
      </c>
      <c r="AB659" s="8">
        <f>IF(A659="","",COUNTIFS($A$5:A659,A659))</f>
        <v>0</v>
      </c>
      <c r="AC659" s="8">
        <f>IF(B659="","",IF(COUNTIFS('Dietary Filters'!$C$5:$C$104,B659)&gt;0,"Check","OK"))</f>
        <v>0</v>
      </c>
      <c r="AD659" s="25"/>
    </row>
    <row r="660" spans="1:30">
      <c r="A660" s="7"/>
      <c r="B660" s="7"/>
      <c r="C660" s="26"/>
      <c r="D660" s="27"/>
      <c r="E660" s="8">
        <f>IF(B660="","",IFERROR(INDEX(Ingredients!$B$5:$B$304,MATCH(B660,Ingredients!$A$5:$A$304,0)),""))</f>
        <v>0</v>
      </c>
      <c r="F660" s="8">
        <f>IF(B660="","",IFERROR(INDEX(Ingredients!$E$5:$E$304,MATCH(B660,Ingredients!$A$5:$A$304,0)),""))</f>
        <v>0</v>
      </c>
      <c r="G660" s="8">
        <f>IF(B660="","",IFERROR(INDEX(Ingredients!$D$5:$D$304,MATCH(B660,Ingredients!$A$5:$A$304,0)),""))</f>
        <v>0</v>
      </c>
      <c r="H660" s="8">
        <f>IF(OR(B660="",C660=""),"",IFERROR(C660*G660,""))</f>
        <v>0</v>
      </c>
      <c r="I660" s="8">
        <f>IF(A660="","",IFERROR(INDEX(Recipes!$D$5:$D$204,MATCH(A660,Recipes!$A$5:$A$204,0)),""))</f>
        <v>0</v>
      </c>
      <c r="J660" s="8">
        <f>IF(OR(H660="",I660="",I660=0),"",IFERROR(H660/I660,""))</f>
        <v>0</v>
      </c>
      <c r="K660" s="8">
        <f>IF(OR(B660="",C660=""),"",IFERROR(C660*IFERROR(INDEX(Ingredients!$H$5:$H$304,MATCH(B660,Ingredients!$A$5:$A$304,0)),""),""))</f>
        <v>0</v>
      </c>
      <c r="L660" s="8">
        <f>IF(OR(B660="",C660=""),"",IFERROR(C660*IFERROR(INDEX(Ingredients!$I$5:$I$304,MATCH(B660,Ingredients!$A$5:$A$304,0)),""),""))</f>
        <v>0</v>
      </c>
      <c r="M660" s="8">
        <f>IF(OR(B660="",C660=""),"",IFERROR(C660*IFERROR(INDEX(Ingredients!$J$5:$J$304,MATCH(B660,Ingredients!$A$5:$A$304,0)),""),""))</f>
        <v>0</v>
      </c>
      <c r="N660" s="8">
        <f>IF(OR(B660="",C660=""),"",IFERROR(C660*IFERROR(INDEX(Ingredients!$K$5:$K$304,MATCH(B660,Ingredients!$A$5:$A$304,0)),""),""))</f>
        <v>0</v>
      </c>
      <c r="O660" s="8">
        <f>IF(OR(B660="",C660=""),"",IFERROR(C660*IFERROR(INDEX(Ingredients!$L$5:$L$304,MATCH(B660,Ingredients!$A$5:$A$304,0)),""),""))</f>
        <v>0</v>
      </c>
      <c r="P660" s="8">
        <f>IF(OR(H660="",A660=""),"",IFERROR(H660/SUMIFS('Recipe Ingredients'!$H$5:$H$1204,'Recipe Ingredients'!$A$5:$A$1204,A660),""))</f>
        <v>0</v>
      </c>
      <c r="Q660" s="8">
        <f>IF(H660="","",COUNTIFS($H$5:$H$1204,"&gt;"&amp;H660)+1)</f>
        <v>0</v>
      </c>
      <c r="R660" s="8">
        <f>IF(B660="","",SUMIFS(Pantry!$C$5:$C$304,Pantry!$A$5:$A$304,B660))</f>
        <v>0</v>
      </c>
      <c r="S660" s="8">
        <f>IF(OR(B660="",C660=""),"",MAX(0,C660-R660))</f>
        <v>0</v>
      </c>
      <c r="T660" s="26"/>
      <c r="U660" s="8">
        <f>IF(OR(T660="",T660=0,G660=""),"",T660*G660)</f>
        <v>0</v>
      </c>
      <c r="V660" s="8">
        <f>IF(OR(S660="",T660="",T660=0),"",CEILING(S660/T660,1))</f>
        <v>0</v>
      </c>
      <c r="W660" s="27"/>
      <c r="X660" s="29"/>
      <c r="Y660" s="8">
        <f>IF(OR(C660="",X660=""),"",C660*(1+X660))</f>
        <v>0</v>
      </c>
      <c r="Z660" s="8">
        <f>IF(B660="","",IFERROR(INDEX(Ingredients!$O$5:$O$304,MATCH(B660,Ingredients!$A$5:$A$304,0)),""))</f>
        <v>0</v>
      </c>
      <c r="AA660" s="8">
        <f>IF(B660="","",IF(R660&gt;=C660,"In pantry","To buy"))</f>
        <v>0</v>
      </c>
      <c r="AB660" s="8">
        <f>IF(A660="","",COUNTIFS($A$5:A660,A660))</f>
        <v>0</v>
      </c>
      <c r="AC660" s="8">
        <f>IF(B660="","",IF(COUNTIFS('Dietary Filters'!$C$5:$C$104,B660)&gt;0,"Check","OK"))</f>
        <v>0</v>
      </c>
      <c r="AD660" s="25"/>
    </row>
    <row r="661" spans="1:30">
      <c r="A661" s="7"/>
      <c r="B661" s="7"/>
      <c r="C661" s="26"/>
      <c r="D661" s="27"/>
      <c r="E661" s="8">
        <f>IF(B661="","",IFERROR(INDEX(Ingredients!$B$5:$B$304,MATCH(B661,Ingredients!$A$5:$A$304,0)),""))</f>
        <v>0</v>
      </c>
      <c r="F661" s="8">
        <f>IF(B661="","",IFERROR(INDEX(Ingredients!$E$5:$E$304,MATCH(B661,Ingredients!$A$5:$A$304,0)),""))</f>
        <v>0</v>
      </c>
      <c r="G661" s="8">
        <f>IF(B661="","",IFERROR(INDEX(Ingredients!$D$5:$D$304,MATCH(B661,Ingredients!$A$5:$A$304,0)),""))</f>
        <v>0</v>
      </c>
      <c r="H661" s="8">
        <f>IF(OR(B661="",C661=""),"",IFERROR(C661*G661,""))</f>
        <v>0</v>
      </c>
      <c r="I661" s="8">
        <f>IF(A661="","",IFERROR(INDEX(Recipes!$D$5:$D$204,MATCH(A661,Recipes!$A$5:$A$204,0)),""))</f>
        <v>0</v>
      </c>
      <c r="J661" s="8">
        <f>IF(OR(H661="",I661="",I661=0),"",IFERROR(H661/I661,""))</f>
        <v>0</v>
      </c>
      <c r="K661" s="8">
        <f>IF(OR(B661="",C661=""),"",IFERROR(C661*IFERROR(INDEX(Ingredients!$H$5:$H$304,MATCH(B661,Ingredients!$A$5:$A$304,0)),""),""))</f>
        <v>0</v>
      </c>
      <c r="L661" s="8">
        <f>IF(OR(B661="",C661=""),"",IFERROR(C661*IFERROR(INDEX(Ingredients!$I$5:$I$304,MATCH(B661,Ingredients!$A$5:$A$304,0)),""),""))</f>
        <v>0</v>
      </c>
      <c r="M661" s="8">
        <f>IF(OR(B661="",C661=""),"",IFERROR(C661*IFERROR(INDEX(Ingredients!$J$5:$J$304,MATCH(B661,Ingredients!$A$5:$A$304,0)),""),""))</f>
        <v>0</v>
      </c>
      <c r="N661" s="8">
        <f>IF(OR(B661="",C661=""),"",IFERROR(C661*IFERROR(INDEX(Ingredients!$K$5:$K$304,MATCH(B661,Ingredients!$A$5:$A$304,0)),""),""))</f>
        <v>0</v>
      </c>
      <c r="O661" s="8">
        <f>IF(OR(B661="",C661=""),"",IFERROR(C661*IFERROR(INDEX(Ingredients!$L$5:$L$304,MATCH(B661,Ingredients!$A$5:$A$304,0)),""),""))</f>
        <v>0</v>
      </c>
      <c r="P661" s="8">
        <f>IF(OR(H661="",A661=""),"",IFERROR(H661/SUMIFS('Recipe Ingredients'!$H$5:$H$1204,'Recipe Ingredients'!$A$5:$A$1204,A661),""))</f>
        <v>0</v>
      </c>
      <c r="Q661" s="8">
        <f>IF(H661="","",COUNTIFS($H$5:$H$1204,"&gt;"&amp;H661)+1)</f>
        <v>0</v>
      </c>
      <c r="R661" s="8">
        <f>IF(B661="","",SUMIFS(Pantry!$C$5:$C$304,Pantry!$A$5:$A$304,B661))</f>
        <v>0</v>
      </c>
      <c r="S661" s="8">
        <f>IF(OR(B661="",C661=""),"",MAX(0,C661-R661))</f>
        <v>0</v>
      </c>
      <c r="T661" s="26"/>
      <c r="U661" s="8">
        <f>IF(OR(T661="",T661=0,G661=""),"",T661*G661)</f>
        <v>0</v>
      </c>
      <c r="V661" s="8">
        <f>IF(OR(S661="",T661="",T661=0),"",CEILING(S661/T661,1))</f>
        <v>0</v>
      </c>
      <c r="W661" s="27"/>
      <c r="X661" s="29"/>
      <c r="Y661" s="8">
        <f>IF(OR(C661="",X661=""),"",C661*(1+X661))</f>
        <v>0</v>
      </c>
      <c r="Z661" s="8">
        <f>IF(B661="","",IFERROR(INDEX(Ingredients!$O$5:$O$304,MATCH(B661,Ingredients!$A$5:$A$304,0)),""))</f>
        <v>0</v>
      </c>
      <c r="AA661" s="8">
        <f>IF(B661="","",IF(R661&gt;=C661,"In pantry","To buy"))</f>
        <v>0</v>
      </c>
      <c r="AB661" s="8">
        <f>IF(A661="","",COUNTIFS($A$5:A661,A661))</f>
        <v>0</v>
      </c>
      <c r="AC661" s="8">
        <f>IF(B661="","",IF(COUNTIFS('Dietary Filters'!$C$5:$C$104,B661)&gt;0,"Check","OK"))</f>
        <v>0</v>
      </c>
      <c r="AD661" s="25"/>
    </row>
    <row r="662" spans="1:30">
      <c r="A662" s="7"/>
      <c r="B662" s="7"/>
      <c r="C662" s="26"/>
      <c r="D662" s="27"/>
      <c r="E662" s="8">
        <f>IF(B662="","",IFERROR(INDEX(Ingredients!$B$5:$B$304,MATCH(B662,Ingredients!$A$5:$A$304,0)),""))</f>
        <v>0</v>
      </c>
      <c r="F662" s="8">
        <f>IF(B662="","",IFERROR(INDEX(Ingredients!$E$5:$E$304,MATCH(B662,Ingredients!$A$5:$A$304,0)),""))</f>
        <v>0</v>
      </c>
      <c r="G662" s="8">
        <f>IF(B662="","",IFERROR(INDEX(Ingredients!$D$5:$D$304,MATCH(B662,Ingredients!$A$5:$A$304,0)),""))</f>
        <v>0</v>
      </c>
      <c r="H662" s="8">
        <f>IF(OR(B662="",C662=""),"",IFERROR(C662*G662,""))</f>
        <v>0</v>
      </c>
      <c r="I662" s="8">
        <f>IF(A662="","",IFERROR(INDEX(Recipes!$D$5:$D$204,MATCH(A662,Recipes!$A$5:$A$204,0)),""))</f>
        <v>0</v>
      </c>
      <c r="J662" s="8">
        <f>IF(OR(H662="",I662="",I662=0),"",IFERROR(H662/I662,""))</f>
        <v>0</v>
      </c>
      <c r="K662" s="8">
        <f>IF(OR(B662="",C662=""),"",IFERROR(C662*IFERROR(INDEX(Ingredients!$H$5:$H$304,MATCH(B662,Ingredients!$A$5:$A$304,0)),""),""))</f>
        <v>0</v>
      </c>
      <c r="L662" s="8">
        <f>IF(OR(B662="",C662=""),"",IFERROR(C662*IFERROR(INDEX(Ingredients!$I$5:$I$304,MATCH(B662,Ingredients!$A$5:$A$304,0)),""),""))</f>
        <v>0</v>
      </c>
      <c r="M662" s="8">
        <f>IF(OR(B662="",C662=""),"",IFERROR(C662*IFERROR(INDEX(Ingredients!$J$5:$J$304,MATCH(B662,Ingredients!$A$5:$A$304,0)),""),""))</f>
        <v>0</v>
      </c>
      <c r="N662" s="8">
        <f>IF(OR(B662="",C662=""),"",IFERROR(C662*IFERROR(INDEX(Ingredients!$K$5:$K$304,MATCH(B662,Ingredients!$A$5:$A$304,0)),""),""))</f>
        <v>0</v>
      </c>
      <c r="O662" s="8">
        <f>IF(OR(B662="",C662=""),"",IFERROR(C662*IFERROR(INDEX(Ingredients!$L$5:$L$304,MATCH(B662,Ingredients!$A$5:$A$304,0)),""),""))</f>
        <v>0</v>
      </c>
      <c r="P662" s="8">
        <f>IF(OR(H662="",A662=""),"",IFERROR(H662/SUMIFS('Recipe Ingredients'!$H$5:$H$1204,'Recipe Ingredients'!$A$5:$A$1204,A662),""))</f>
        <v>0</v>
      </c>
      <c r="Q662" s="8">
        <f>IF(H662="","",COUNTIFS($H$5:$H$1204,"&gt;"&amp;H662)+1)</f>
        <v>0</v>
      </c>
      <c r="R662" s="8">
        <f>IF(B662="","",SUMIFS(Pantry!$C$5:$C$304,Pantry!$A$5:$A$304,B662))</f>
        <v>0</v>
      </c>
      <c r="S662" s="8">
        <f>IF(OR(B662="",C662=""),"",MAX(0,C662-R662))</f>
        <v>0</v>
      </c>
      <c r="T662" s="26"/>
      <c r="U662" s="8">
        <f>IF(OR(T662="",T662=0,G662=""),"",T662*G662)</f>
        <v>0</v>
      </c>
      <c r="V662" s="8">
        <f>IF(OR(S662="",T662="",T662=0),"",CEILING(S662/T662,1))</f>
        <v>0</v>
      </c>
      <c r="W662" s="27"/>
      <c r="X662" s="29"/>
      <c r="Y662" s="8">
        <f>IF(OR(C662="",X662=""),"",C662*(1+X662))</f>
        <v>0</v>
      </c>
      <c r="Z662" s="8">
        <f>IF(B662="","",IFERROR(INDEX(Ingredients!$O$5:$O$304,MATCH(B662,Ingredients!$A$5:$A$304,0)),""))</f>
        <v>0</v>
      </c>
      <c r="AA662" s="8">
        <f>IF(B662="","",IF(R662&gt;=C662,"In pantry","To buy"))</f>
        <v>0</v>
      </c>
      <c r="AB662" s="8">
        <f>IF(A662="","",COUNTIFS($A$5:A662,A662))</f>
        <v>0</v>
      </c>
      <c r="AC662" s="8">
        <f>IF(B662="","",IF(COUNTIFS('Dietary Filters'!$C$5:$C$104,B662)&gt;0,"Check","OK"))</f>
        <v>0</v>
      </c>
      <c r="AD662" s="25"/>
    </row>
    <row r="663" spans="1:30">
      <c r="A663" s="7"/>
      <c r="B663" s="7"/>
      <c r="C663" s="26"/>
      <c r="D663" s="27"/>
      <c r="E663" s="8">
        <f>IF(B663="","",IFERROR(INDEX(Ingredients!$B$5:$B$304,MATCH(B663,Ingredients!$A$5:$A$304,0)),""))</f>
        <v>0</v>
      </c>
      <c r="F663" s="8">
        <f>IF(B663="","",IFERROR(INDEX(Ingredients!$E$5:$E$304,MATCH(B663,Ingredients!$A$5:$A$304,0)),""))</f>
        <v>0</v>
      </c>
      <c r="G663" s="8">
        <f>IF(B663="","",IFERROR(INDEX(Ingredients!$D$5:$D$304,MATCH(B663,Ingredients!$A$5:$A$304,0)),""))</f>
        <v>0</v>
      </c>
      <c r="H663" s="8">
        <f>IF(OR(B663="",C663=""),"",IFERROR(C663*G663,""))</f>
        <v>0</v>
      </c>
      <c r="I663" s="8">
        <f>IF(A663="","",IFERROR(INDEX(Recipes!$D$5:$D$204,MATCH(A663,Recipes!$A$5:$A$204,0)),""))</f>
        <v>0</v>
      </c>
      <c r="J663" s="8">
        <f>IF(OR(H663="",I663="",I663=0),"",IFERROR(H663/I663,""))</f>
        <v>0</v>
      </c>
      <c r="K663" s="8">
        <f>IF(OR(B663="",C663=""),"",IFERROR(C663*IFERROR(INDEX(Ingredients!$H$5:$H$304,MATCH(B663,Ingredients!$A$5:$A$304,0)),""),""))</f>
        <v>0</v>
      </c>
      <c r="L663" s="8">
        <f>IF(OR(B663="",C663=""),"",IFERROR(C663*IFERROR(INDEX(Ingredients!$I$5:$I$304,MATCH(B663,Ingredients!$A$5:$A$304,0)),""),""))</f>
        <v>0</v>
      </c>
      <c r="M663" s="8">
        <f>IF(OR(B663="",C663=""),"",IFERROR(C663*IFERROR(INDEX(Ingredients!$J$5:$J$304,MATCH(B663,Ingredients!$A$5:$A$304,0)),""),""))</f>
        <v>0</v>
      </c>
      <c r="N663" s="8">
        <f>IF(OR(B663="",C663=""),"",IFERROR(C663*IFERROR(INDEX(Ingredients!$K$5:$K$304,MATCH(B663,Ingredients!$A$5:$A$304,0)),""),""))</f>
        <v>0</v>
      </c>
      <c r="O663" s="8">
        <f>IF(OR(B663="",C663=""),"",IFERROR(C663*IFERROR(INDEX(Ingredients!$L$5:$L$304,MATCH(B663,Ingredients!$A$5:$A$304,0)),""),""))</f>
        <v>0</v>
      </c>
      <c r="P663" s="8">
        <f>IF(OR(H663="",A663=""),"",IFERROR(H663/SUMIFS('Recipe Ingredients'!$H$5:$H$1204,'Recipe Ingredients'!$A$5:$A$1204,A663),""))</f>
        <v>0</v>
      </c>
      <c r="Q663" s="8">
        <f>IF(H663="","",COUNTIFS($H$5:$H$1204,"&gt;"&amp;H663)+1)</f>
        <v>0</v>
      </c>
      <c r="R663" s="8">
        <f>IF(B663="","",SUMIFS(Pantry!$C$5:$C$304,Pantry!$A$5:$A$304,B663))</f>
        <v>0</v>
      </c>
      <c r="S663" s="8">
        <f>IF(OR(B663="",C663=""),"",MAX(0,C663-R663))</f>
        <v>0</v>
      </c>
      <c r="T663" s="26"/>
      <c r="U663" s="8">
        <f>IF(OR(T663="",T663=0,G663=""),"",T663*G663)</f>
        <v>0</v>
      </c>
      <c r="V663" s="8">
        <f>IF(OR(S663="",T663="",T663=0),"",CEILING(S663/T663,1))</f>
        <v>0</v>
      </c>
      <c r="W663" s="27"/>
      <c r="X663" s="29"/>
      <c r="Y663" s="8">
        <f>IF(OR(C663="",X663=""),"",C663*(1+X663))</f>
        <v>0</v>
      </c>
      <c r="Z663" s="8">
        <f>IF(B663="","",IFERROR(INDEX(Ingredients!$O$5:$O$304,MATCH(B663,Ingredients!$A$5:$A$304,0)),""))</f>
        <v>0</v>
      </c>
      <c r="AA663" s="8">
        <f>IF(B663="","",IF(R663&gt;=C663,"In pantry","To buy"))</f>
        <v>0</v>
      </c>
      <c r="AB663" s="8">
        <f>IF(A663="","",COUNTIFS($A$5:A663,A663))</f>
        <v>0</v>
      </c>
      <c r="AC663" s="8">
        <f>IF(B663="","",IF(COUNTIFS('Dietary Filters'!$C$5:$C$104,B663)&gt;0,"Check","OK"))</f>
        <v>0</v>
      </c>
      <c r="AD663" s="25"/>
    </row>
    <row r="664" spans="1:30">
      <c r="A664" s="7"/>
      <c r="B664" s="7"/>
      <c r="C664" s="26"/>
      <c r="D664" s="27"/>
      <c r="E664" s="8">
        <f>IF(B664="","",IFERROR(INDEX(Ingredients!$B$5:$B$304,MATCH(B664,Ingredients!$A$5:$A$304,0)),""))</f>
        <v>0</v>
      </c>
      <c r="F664" s="8">
        <f>IF(B664="","",IFERROR(INDEX(Ingredients!$E$5:$E$304,MATCH(B664,Ingredients!$A$5:$A$304,0)),""))</f>
        <v>0</v>
      </c>
      <c r="G664" s="8">
        <f>IF(B664="","",IFERROR(INDEX(Ingredients!$D$5:$D$304,MATCH(B664,Ingredients!$A$5:$A$304,0)),""))</f>
        <v>0</v>
      </c>
      <c r="H664" s="8">
        <f>IF(OR(B664="",C664=""),"",IFERROR(C664*G664,""))</f>
        <v>0</v>
      </c>
      <c r="I664" s="8">
        <f>IF(A664="","",IFERROR(INDEX(Recipes!$D$5:$D$204,MATCH(A664,Recipes!$A$5:$A$204,0)),""))</f>
        <v>0</v>
      </c>
      <c r="J664" s="8">
        <f>IF(OR(H664="",I664="",I664=0),"",IFERROR(H664/I664,""))</f>
        <v>0</v>
      </c>
      <c r="K664" s="8">
        <f>IF(OR(B664="",C664=""),"",IFERROR(C664*IFERROR(INDEX(Ingredients!$H$5:$H$304,MATCH(B664,Ingredients!$A$5:$A$304,0)),""),""))</f>
        <v>0</v>
      </c>
      <c r="L664" s="8">
        <f>IF(OR(B664="",C664=""),"",IFERROR(C664*IFERROR(INDEX(Ingredients!$I$5:$I$304,MATCH(B664,Ingredients!$A$5:$A$304,0)),""),""))</f>
        <v>0</v>
      </c>
      <c r="M664" s="8">
        <f>IF(OR(B664="",C664=""),"",IFERROR(C664*IFERROR(INDEX(Ingredients!$J$5:$J$304,MATCH(B664,Ingredients!$A$5:$A$304,0)),""),""))</f>
        <v>0</v>
      </c>
      <c r="N664" s="8">
        <f>IF(OR(B664="",C664=""),"",IFERROR(C664*IFERROR(INDEX(Ingredients!$K$5:$K$304,MATCH(B664,Ingredients!$A$5:$A$304,0)),""),""))</f>
        <v>0</v>
      </c>
      <c r="O664" s="8">
        <f>IF(OR(B664="",C664=""),"",IFERROR(C664*IFERROR(INDEX(Ingredients!$L$5:$L$304,MATCH(B664,Ingredients!$A$5:$A$304,0)),""),""))</f>
        <v>0</v>
      </c>
      <c r="P664" s="8">
        <f>IF(OR(H664="",A664=""),"",IFERROR(H664/SUMIFS('Recipe Ingredients'!$H$5:$H$1204,'Recipe Ingredients'!$A$5:$A$1204,A664),""))</f>
        <v>0</v>
      </c>
      <c r="Q664" s="8">
        <f>IF(H664="","",COUNTIFS($H$5:$H$1204,"&gt;"&amp;H664)+1)</f>
        <v>0</v>
      </c>
      <c r="R664" s="8">
        <f>IF(B664="","",SUMIFS(Pantry!$C$5:$C$304,Pantry!$A$5:$A$304,B664))</f>
        <v>0</v>
      </c>
      <c r="S664" s="8">
        <f>IF(OR(B664="",C664=""),"",MAX(0,C664-R664))</f>
        <v>0</v>
      </c>
      <c r="T664" s="26"/>
      <c r="U664" s="8">
        <f>IF(OR(T664="",T664=0,G664=""),"",T664*G664)</f>
        <v>0</v>
      </c>
      <c r="V664" s="8">
        <f>IF(OR(S664="",T664="",T664=0),"",CEILING(S664/T664,1))</f>
        <v>0</v>
      </c>
      <c r="W664" s="27"/>
      <c r="X664" s="29"/>
      <c r="Y664" s="8">
        <f>IF(OR(C664="",X664=""),"",C664*(1+X664))</f>
        <v>0</v>
      </c>
      <c r="Z664" s="8">
        <f>IF(B664="","",IFERROR(INDEX(Ingredients!$O$5:$O$304,MATCH(B664,Ingredients!$A$5:$A$304,0)),""))</f>
        <v>0</v>
      </c>
      <c r="AA664" s="8">
        <f>IF(B664="","",IF(R664&gt;=C664,"In pantry","To buy"))</f>
        <v>0</v>
      </c>
      <c r="AB664" s="8">
        <f>IF(A664="","",COUNTIFS($A$5:A664,A664))</f>
        <v>0</v>
      </c>
      <c r="AC664" s="8">
        <f>IF(B664="","",IF(COUNTIFS('Dietary Filters'!$C$5:$C$104,B664)&gt;0,"Check","OK"))</f>
        <v>0</v>
      </c>
      <c r="AD664" s="25"/>
    </row>
    <row r="665" spans="1:30">
      <c r="A665" s="7"/>
      <c r="B665" s="7"/>
      <c r="C665" s="26"/>
      <c r="D665" s="27"/>
      <c r="E665" s="8">
        <f>IF(B665="","",IFERROR(INDEX(Ingredients!$B$5:$B$304,MATCH(B665,Ingredients!$A$5:$A$304,0)),""))</f>
        <v>0</v>
      </c>
      <c r="F665" s="8">
        <f>IF(B665="","",IFERROR(INDEX(Ingredients!$E$5:$E$304,MATCH(B665,Ingredients!$A$5:$A$304,0)),""))</f>
        <v>0</v>
      </c>
      <c r="G665" s="8">
        <f>IF(B665="","",IFERROR(INDEX(Ingredients!$D$5:$D$304,MATCH(B665,Ingredients!$A$5:$A$304,0)),""))</f>
        <v>0</v>
      </c>
      <c r="H665" s="8">
        <f>IF(OR(B665="",C665=""),"",IFERROR(C665*G665,""))</f>
        <v>0</v>
      </c>
      <c r="I665" s="8">
        <f>IF(A665="","",IFERROR(INDEX(Recipes!$D$5:$D$204,MATCH(A665,Recipes!$A$5:$A$204,0)),""))</f>
        <v>0</v>
      </c>
      <c r="J665" s="8">
        <f>IF(OR(H665="",I665="",I665=0),"",IFERROR(H665/I665,""))</f>
        <v>0</v>
      </c>
      <c r="K665" s="8">
        <f>IF(OR(B665="",C665=""),"",IFERROR(C665*IFERROR(INDEX(Ingredients!$H$5:$H$304,MATCH(B665,Ingredients!$A$5:$A$304,0)),""),""))</f>
        <v>0</v>
      </c>
      <c r="L665" s="8">
        <f>IF(OR(B665="",C665=""),"",IFERROR(C665*IFERROR(INDEX(Ingredients!$I$5:$I$304,MATCH(B665,Ingredients!$A$5:$A$304,0)),""),""))</f>
        <v>0</v>
      </c>
      <c r="M665" s="8">
        <f>IF(OR(B665="",C665=""),"",IFERROR(C665*IFERROR(INDEX(Ingredients!$J$5:$J$304,MATCH(B665,Ingredients!$A$5:$A$304,0)),""),""))</f>
        <v>0</v>
      </c>
      <c r="N665" s="8">
        <f>IF(OR(B665="",C665=""),"",IFERROR(C665*IFERROR(INDEX(Ingredients!$K$5:$K$304,MATCH(B665,Ingredients!$A$5:$A$304,0)),""),""))</f>
        <v>0</v>
      </c>
      <c r="O665" s="8">
        <f>IF(OR(B665="",C665=""),"",IFERROR(C665*IFERROR(INDEX(Ingredients!$L$5:$L$304,MATCH(B665,Ingredients!$A$5:$A$304,0)),""),""))</f>
        <v>0</v>
      </c>
      <c r="P665" s="8">
        <f>IF(OR(H665="",A665=""),"",IFERROR(H665/SUMIFS('Recipe Ingredients'!$H$5:$H$1204,'Recipe Ingredients'!$A$5:$A$1204,A665),""))</f>
        <v>0</v>
      </c>
      <c r="Q665" s="8">
        <f>IF(H665="","",COUNTIFS($H$5:$H$1204,"&gt;"&amp;H665)+1)</f>
        <v>0</v>
      </c>
      <c r="R665" s="8">
        <f>IF(B665="","",SUMIFS(Pantry!$C$5:$C$304,Pantry!$A$5:$A$304,B665))</f>
        <v>0</v>
      </c>
      <c r="S665" s="8">
        <f>IF(OR(B665="",C665=""),"",MAX(0,C665-R665))</f>
        <v>0</v>
      </c>
      <c r="T665" s="26"/>
      <c r="U665" s="8">
        <f>IF(OR(T665="",T665=0,G665=""),"",T665*G665)</f>
        <v>0</v>
      </c>
      <c r="V665" s="8">
        <f>IF(OR(S665="",T665="",T665=0),"",CEILING(S665/T665,1))</f>
        <v>0</v>
      </c>
      <c r="W665" s="27"/>
      <c r="X665" s="29"/>
      <c r="Y665" s="8">
        <f>IF(OR(C665="",X665=""),"",C665*(1+X665))</f>
        <v>0</v>
      </c>
      <c r="Z665" s="8">
        <f>IF(B665="","",IFERROR(INDEX(Ingredients!$O$5:$O$304,MATCH(B665,Ingredients!$A$5:$A$304,0)),""))</f>
        <v>0</v>
      </c>
      <c r="AA665" s="8">
        <f>IF(B665="","",IF(R665&gt;=C665,"In pantry","To buy"))</f>
        <v>0</v>
      </c>
      <c r="AB665" s="8">
        <f>IF(A665="","",COUNTIFS($A$5:A665,A665))</f>
        <v>0</v>
      </c>
      <c r="AC665" s="8">
        <f>IF(B665="","",IF(COUNTIFS('Dietary Filters'!$C$5:$C$104,B665)&gt;0,"Check","OK"))</f>
        <v>0</v>
      </c>
      <c r="AD665" s="25"/>
    </row>
    <row r="666" spans="1:30">
      <c r="A666" s="7"/>
      <c r="B666" s="7"/>
      <c r="C666" s="26"/>
      <c r="D666" s="27"/>
      <c r="E666" s="8">
        <f>IF(B666="","",IFERROR(INDEX(Ingredients!$B$5:$B$304,MATCH(B666,Ingredients!$A$5:$A$304,0)),""))</f>
        <v>0</v>
      </c>
      <c r="F666" s="8">
        <f>IF(B666="","",IFERROR(INDEX(Ingredients!$E$5:$E$304,MATCH(B666,Ingredients!$A$5:$A$304,0)),""))</f>
        <v>0</v>
      </c>
      <c r="G666" s="8">
        <f>IF(B666="","",IFERROR(INDEX(Ingredients!$D$5:$D$304,MATCH(B666,Ingredients!$A$5:$A$304,0)),""))</f>
        <v>0</v>
      </c>
      <c r="H666" s="8">
        <f>IF(OR(B666="",C666=""),"",IFERROR(C666*G666,""))</f>
        <v>0</v>
      </c>
      <c r="I666" s="8">
        <f>IF(A666="","",IFERROR(INDEX(Recipes!$D$5:$D$204,MATCH(A666,Recipes!$A$5:$A$204,0)),""))</f>
        <v>0</v>
      </c>
      <c r="J666" s="8">
        <f>IF(OR(H666="",I666="",I666=0),"",IFERROR(H666/I666,""))</f>
        <v>0</v>
      </c>
      <c r="K666" s="8">
        <f>IF(OR(B666="",C666=""),"",IFERROR(C666*IFERROR(INDEX(Ingredients!$H$5:$H$304,MATCH(B666,Ingredients!$A$5:$A$304,0)),""),""))</f>
        <v>0</v>
      </c>
      <c r="L666" s="8">
        <f>IF(OR(B666="",C666=""),"",IFERROR(C666*IFERROR(INDEX(Ingredients!$I$5:$I$304,MATCH(B666,Ingredients!$A$5:$A$304,0)),""),""))</f>
        <v>0</v>
      </c>
      <c r="M666" s="8">
        <f>IF(OR(B666="",C666=""),"",IFERROR(C666*IFERROR(INDEX(Ingredients!$J$5:$J$304,MATCH(B666,Ingredients!$A$5:$A$304,0)),""),""))</f>
        <v>0</v>
      </c>
      <c r="N666" s="8">
        <f>IF(OR(B666="",C666=""),"",IFERROR(C666*IFERROR(INDEX(Ingredients!$K$5:$K$304,MATCH(B666,Ingredients!$A$5:$A$304,0)),""),""))</f>
        <v>0</v>
      </c>
      <c r="O666" s="8">
        <f>IF(OR(B666="",C666=""),"",IFERROR(C666*IFERROR(INDEX(Ingredients!$L$5:$L$304,MATCH(B666,Ingredients!$A$5:$A$304,0)),""),""))</f>
        <v>0</v>
      </c>
      <c r="P666" s="8">
        <f>IF(OR(H666="",A666=""),"",IFERROR(H666/SUMIFS('Recipe Ingredients'!$H$5:$H$1204,'Recipe Ingredients'!$A$5:$A$1204,A666),""))</f>
        <v>0</v>
      </c>
      <c r="Q666" s="8">
        <f>IF(H666="","",COUNTIFS($H$5:$H$1204,"&gt;"&amp;H666)+1)</f>
        <v>0</v>
      </c>
      <c r="R666" s="8">
        <f>IF(B666="","",SUMIFS(Pantry!$C$5:$C$304,Pantry!$A$5:$A$304,B666))</f>
        <v>0</v>
      </c>
      <c r="S666" s="8">
        <f>IF(OR(B666="",C666=""),"",MAX(0,C666-R666))</f>
        <v>0</v>
      </c>
      <c r="T666" s="26"/>
      <c r="U666" s="8">
        <f>IF(OR(T666="",T666=0,G666=""),"",T666*G666)</f>
        <v>0</v>
      </c>
      <c r="V666" s="8">
        <f>IF(OR(S666="",T666="",T666=0),"",CEILING(S666/T666,1))</f>
        <v>0</v>
      </c>
      <c r="W666" s="27"/>
      <c r="X666" s="29"/>
      <c r="Y666" s="8">
        <f>IF(OR(C666="",X666=""),"",C666*(1+X666))</f>
        <v>0</v>
      </c>
      <c r="Z666" s="8">
        <f>IF(B666="","",IFERROR(INDEX(Ingredients!$O$5:$O$304,MATCH(B666,Ingredients!$A$5:$A$304,0)),""))</f>
        <v>0</v>
      </c>
      <c r="AA666" s="8">
        <f>IF(B666="","",IF(R666&gt;=C666,"In pantry","To buy"))</f>
        <v>0</v>
      </c>
      <c r="AB666" s="8">
        <f>IF(A666="","",COUNTIFS($A$5:A666,A666))</f>
        <v>0</v>
      </c>
      <c r="AC666" s="8">
        <f>IF(B666="","",IF(COUNTIFS('Dietary Filters'!$C$5:$C$104,B666)&gt;0,"Check","OK"))</f>
        <v>0</v>
      </c>
      <c r="AD666" s="25"/>
    </row>
    <row r="667" spans="1:30">
      <c r="A667" s="7"/>
      <c r="B667" s="7"/>
      <c r="C667" s="26"/>
      <c r="D667" s="27"/>
      <c r="E667" s="8">
        <f>IF(B667="","",IFERROR(INDEX(Ingredients!$B$5:$B$304,MATCH(B667,Ingredients!$A$5:$A$304,0)),""))</f>
        <v>0</v>
      </c>
      <c r="F667" s="8">
        <f>IF(B667="","",IFERROR(INDEX(Ingredients!$E$5:$E$304,MATCH(B667,Ingredients!$A$5:$A$304,0)),""))</f>
        <v>0</v>
      </c>
      <c r="G667" s="8">
        <f>IF(B667="","",IFERROR(INDEX(Ingredients!$D$5:$D$304,MATCH(B667,Ingredients!$A$5:$A$304,0)),""))</f>
        <v>0</v>
      </c>
      <c r="H667" s="8">
        <f>IF(OR(B667="",C667=""),"",IFERROR(C667*G667,""))</f>
        <v>0</v>
      </c>
      <c r="I667" s="8">
        <f>IF(A667="","",IFERROR(INDEX(Recipes!$D$5:$D$204,MATCH(A667,Recipes!$A$5:$A$204,0)),""))</f>
        <v>0</v>
      </c>
      <c r="J667" s="8">
        <f>IF(OR(H667="",I667="",I667=0),"",IFERROR(H667/I667,""))</f>
        <v>0</v>
      </c>
      <c r="K667" s="8">
        <f>IF(OR(B667="",C667=""),"",IFERROR(C667*IFERROR(INDEX(Ingredients!$H$5:$H$304,MATCH(B667,Ingredients!$A$5:$A$304,0)),""),""))</f>
        <v>0</v>
      </c>
      <c r="L667" s="8">
        <f>IF(OR(B667="",C667=""),"",IFERROR(C667*IFERROR(INDEX(Ingredients!$I$5:$I$304,MATCH(B667,Ingredients!$A$5:$A$304,0)),""),""))</f>
        <v>0</v>
      </c>
      <c r="M667" s="8">
        <f>IF(OR(B667="",C667=""),"",IFERROR(C667*IFERROR(INDEX(Ingredients!$J$5:$J$304,MATCH(B667,Ingredients!$A$5:$A$304,0)),""),""))</f>
        <v>0</v>
      </c>
      <c r="N667" s="8">
        <f>IF(OR(B667="",C667=""),"",IFERROR(C667*IFERROR(INDEX(Ingredients!$K$5:$K$304,MATCH(B667,Ingredients!$A$5:$A$304,0)),""),""))</f>
        <v>0</v>
      </c>
      <c r="O667" s="8">
        <f>IF(OR(B667="",C667=""),"",IFERROR(C667*IFERROR(INDEX(Ingredients!$L$5:$L$304,MATCH(B667,Ingredients!$A$5:$A$304,0)),""),""))</f>
        <v>0</v>
      </c>
      <c r="P667" s="8">
        <f>IF(OR(H667="",A667=""),"",IFERROR(H667/SUMIFS('Recipe Ingredients'!$H$5:$H$1204,'Recipe Ingredients'!$A$5:$A$1204,A667),""))</f>
        <v>0</v>
      </c>
      <c r="Q667" s="8">
        <f>IF(H667="","",COUNTIFS($H$5:$H$1204,"&gt;"&amp;H667)+1)</f>
        <v>0</v>
      </c>
      <c r="R667" s="8">
        <f>IF(B667="","",SUMIFS(Pantry!$C$5:$C$304,Pantry!$A$5:$A$304,B667))</f>
        <v>0</v>
      </c>
      <c r="S667" s="8">
        <f>IF(OR(B667="",C667=""),"",MAX(0,C667-R667))</f>
        <v>0</v>
      </c>
      <c r="T667" s="26"/>
      <c r="U667" s="8">
        <f>IF(OR(T667="",T667=0,G667=""),"",T667*G667)</f>
        <v>0</v>
      </c>
      <c r="V667" s="8">
        <f>IF(OR(S667="",T667="",T667=0),"",CEILING(S667/T667,1))</f>
        <v>0</v>
      </c>
      <c r="W667" s="27"/>
      <c r="X667" s="29"/>
      <c r="Y667" s="8">
        <f>IF(OR(C667="",X667=""),"",C667*(1+X667))</f>
        <v>0</v>
      </c>
      <c r="Z667" s="8">
        <f>IF(B667="","",IFERROR(INDEX(Ingredients!$O$5:$O$304,MATCH(B667,Ingredients!$A$5:$A$304,0)),""))</f>
        <v>0</v>
      </c>
      <c r="AA667" s="8">
        <f>IF(B667="","",IF(R667&gt;=C667,"In pantry","To buy"))</f>
        <v>0</v>
      </c>
      <c r="AB667" s="8">
        <f>IF(A667="","",COUNTIFS($A$5:A667,A667))</f>
        <v>0</v>
      </c>
      <c r="AC667" s="8">
        <f>IF(B667="","",IF(COUNTIFS('Dietary Filters'!$C$5:$C$104,B667)&gt;0,"Check","OK"))</f>
        <v>0</v>
      </c>
      <c r="AD667" s="25"/>
    </row>
    <row r="668" spans="1:30">
      <c r="A668" s="7"/>
      <c r="B668" s="7"/>
      <c r="C668" s="26"/>
      <c r="D668" s="27"/>
      <c r="E668" s="8">
        <f>IF(B668="","",IFERROR(INDEX(Ingredients!$B$5:$B$304,MATCH(B668,Ingredients!$A$5:$A$304,0)),""))</f>
        <v>0</v>
      </c>
      <c r="F668" s="8">
        <f>IF(B668="","",IFERROR(INDEX(Ingredients!$E$5:$E$304,MATCH(B668,Ingredients!$A$5:$A$304,0)),""))</f>
        <v>0</v>
      </c>
      <c r="G668" s="8">
        <f>IF(B668="","",IFERROR(INDEX(Ingredients!$D$5:$D$304,MATCH(B668,Ingredients!$A$5:$A$304,0)),""))</f>
        <v>0</v>
      </c>
      <c r="H668" s="8">
        <f>IF(OR(B668="",C668=""),"",IFERROR(C668*G668,""))</f>
        <v>0</v>
      </c>
      <c r="I668" s="8">
        <f>IF(A668="","",IFERROR(INDEX(Recipes!$D$5:$D$204,MATCH(A668,Recipes!$A$5:$A$204,0)),""))</f>
        <v>0</v>
      </c>
      <c r="J668" s="8">
        <f>IF(OR(H668="",I668="",I668=0),"",IFERROR(H668/I668,""))</f>
        <v>0</v>
      </c>
      <c r="K668" s="8">
        <f>IF(OR(B668="",C668=""),"",IFERROR(C668*IFERROR(INDEX(Ingredients!$H$5:$H$304,MATCH(B668,Ingredients!$A$5:$A$304,0)),""),""))</f>
        <v>0</v>
      </c>
      <c r="L668" s="8">
        <f>IF(OR(B668="",C668=""),"",IFERROR(C668*IFERROR(INDEX(Ingredients!$I$5:$I$304,MATCH(B668,Ingredients!$A$5:$A$304,0)),""),""))</f>
        <v>0</v>
      </c>
      <c r="M668" s="8">
        <f>IF(OR(B668="",C668=""),"",IFERROR(C668*IFERROR(INDEX(Ingredients!$J$5:$J$304,MATCH(B668,Ingredients!$A$5:$A$304,0)),""),""))</f>
        <v>0</v>
      </c>
      <c r="N668" s="8">
        <f>IF(OR(B668="",C668=""),"",IFERROR(C668*IFERROR(INDEX(Ingredients!$K$5:$K$304,MATCH(B668,Ingredients!$A$5:$A$304,0)),""),""))</f>
        <v>0</v>
      </c>
      <c r="O668" s="8">
        <f>IF(OR(B668="",C668=""),"",IFERROR(C668*IFERROR(INDEX(Ingredients!$L$5:$L$304,MATCH(B668,Ingredients!$A$5:$A$304,0)),""),""))</f>
        <v>0</v>
      </c>
      <c r="P668" s="8">
        <f>IF(OR(H668="",A668=""),"",IFERROR(H668/SUMIFS('Recipe Ingredients'!$H$5:$H$1204,'Recipe Ingredients'!$A$5:$A$1204,A668),""))</f>
        <v>0</v>
      </c>
      <c r="Q668" s="8">
        <f>IF(H668="","",COUNTIFS($H$5:$H$1204,"&gt;"&amp;H668)+1)</f>
        <v>0</v>
      </c>
      <c r="R668" s="8">
        <f>IF(B668="","",SUMIFS(Pantry!$C$5:$C$304,Pantry!$A$5:$A$304,B668))</f>
        <v>0</v>
      </c>
      <c r="S668" s="8">
        <f>IF(OR(B668="",C668=""),"",MAX(0,C668-R668))</f>
        <v>0</v>
      </c>
      <c r="T668" s="26"/>
      <c r="U668" s="8">
        <f>IF(OR(T668="",T668=0,G668=""),"",T668*G668)</f>
        <v>0</v>
      </c>
      <c r="V668" s="8">
        <f>IF(OR(S668="",T668="",T668=0),"",CEILING(S668/T668,1))</f>
        <v>0</v>
      </c>
      <c r="W668" s="27"/>
      <c r="X668" s="29"/>
      <c r="Y668" s="8">
        <f>IF(OR(C668="",X668=""),"",C668*(1+X668))</f>
        <v>0</v>
      </c>
      <c r="Z668" s="8">
        <f>IF(B668="","",IFERROR(INDEX(Ingredients!$O$5:$O$304,MATCH(B668,Ingredients!$A$5:$A$304,0)),""))</f>
        <v>0</v>
      </c>
      <c r="AA668" s="8">
        <f>IF(B668="","",IF(R668&gt;=C668,"In pantry","To buy"))</f>
        <v>0</v>
      </c>
      <c r="AB668" s="8">
        <f>IF(A668="","",COUNTIFS($A$5:A668,A668))</f>
        <v>0</v>
      </c>
      <c r="AC668" s="8">
        <f>IF(B668="","",IF(COUNTIFS('Dietary Filters'!$C$5:$C$104,B668)&gt;0,"Check","OK"))</f>
        <v>0</v>
      </c>
      <c r="AD668" s="25"/>
    </row>
    <row r="669" spans="1:30">
      <c r="A669" s="7"/>
      <c r="B669" s="7"/>
      <c r="C669" s="26"/>
      <c r="D669" s="27"/>
      <c r="E669" s="8">
        <f>IF(B669="","",IFERROR(INDEX(Ingredients!$B$5:$B$304,MATCH(B669,Ingredients!$A$5:$A$304,0)),""))</f>
        <v>0</v>
      </c>
      <c r="F669" s="8">
        <f>IF(B669="","",IFERROR(INDEX(Ingredients!$E$5:$E$304,MATCH(B669,Ingredients!$A$5:$A$304,0)),""))</f>
        <v>0</v>
      </c>
      <c r="G669" s="8">
        <f>IF(B669="","",IFERROR(INDEX(Ingredients!$D$5:$D$304,MATCH(B669,Ingredients!$A$5:$A$304,0)),""))</f>
        <v>0</v>
      </c>
      <c r="H669" s="8">
        <f>IF(OR(B669="",C669=""),"",IFERROR(C669*G669,""))</f>
        <v>0</v>
      </c>
      <c r="I669" s="8">
        <f>IF(A669="","",IFERROR(INDEX(Recipes!$D$5:$D$204,MATCH(A669,Recipes!$A$5:$A$204,0)),""))</f>
        <v>0</v>
      </c>
      <c r="J669" s="8">
        <f>IF(OR(H669="",I669="",I669=0),"",IFERROR(H669/I669,""))</f>
        <v>0</v>
      </c>
      <c r="K669" s="8">
        <f>IF(OR(B669="",C669=""),"",IFERROR(C669*IFERROR(INDEX(Ingredients!$H$5:$H$304,MATCH(B669,Ingredients!$A$5:$A$304,0)),""),""))</f>
        <v>0</v>
      </c>
      <c r="L669" s="8">
        <f>IF(OR(B669="",C669=""),"",IFERROR(C669*IFERROR(INDEX(Ingredients!$I$5:$I$304,MATCH(B669,Ingredients!$A$5:$A$304,0)),""),""))</f>
        <v>0</v>
      </c>
      <c r="M669" s="8">
        <f>IF(OR(B669="",C669=""),"",IFERROR(C669*IFERROR(INDEX(Ingredients!$J$5:$J$304,MATCH(B669,Ingredients!$A$5:$A$304,0)),""),""))</f>
        <v>0</v>
      </c>
      <c r="N669" s="8">
        <f>IF(OR(B669="",C669=""),"",IFERROR(C669*IFERROR(INDEX(Ingredients!$K$5:$K$304,MATCH(B669,Ingredients!$A$5:$A$304,0)),""),""))</f>
        <v>0</v>
      </c>
      <c r="O669" s="8">
        <f>IF(OR(B669="",C669=""),"",IFERROR(C669*IFERROR(INDEX(Ingredients!$L$5:$L$304,MATCH(B669,Ingredients!$A$5:$A$304,0)),""),""))</f>
        <v>0</v>
      </c>
      <c r="P669" s="8">
        <f>IF(OR(H669="",A669=""),"",IFERROR(H669/SUMIFS('Recipe Ingredients'!$H$5:$H$1204,'Recipe Ingredients'!$A$5:$A$1204,A669),""))</f>
        <v>0</v>
      </c>
      <c r="Q669" s="8">
        <f>IF(H669="","",COUNTIFS($H$5:$H$1204,"&gt;"&amp;H669)+1)</f>
        <v>0</v>
      </c>
      <c r="R669" s="8">
        <f>IF(B669="","",SUMIFS(Pantry!$C$5:$C$304,Pantry!$A$5:$A$304,B669))</f>
        <v>0</v>
      </c>
      <c r="S669" s="8">
        <f>IF(OR(B669="",C669=""),"",MAX(0,C669-R669))</f>
        <v>0</v>
      </c>
      <c r="T669" s="26"/>
      <c r="U669" s="8">
        <f>IF(OR(T669="",T669=0,G669=""),"",T669*G669)</f>
        <v>0</v>
      </c>
      <c r="V669" s="8">
        <f>IF(OR(S669="",T669="",T669=0),"",CEILING(S669/T669,1))</f>
        <v>0</v>
      </c>
      <c r="W669" s="27"/>
      <c r="X669" s="29"/>
      <c r="Y669" s="8">
        <f>IF(OR(C669="",X669=""),"",C669*(1+X669))</f>
        <v>0</v>
      </c>
      <c r="Z669" s="8">
        <f>IF(B669="","",IFERROR(INDEX(Ingredients!$O$5:$O$304,MATCH(B669,Ingredients!$A$5:$A$304,0)),""))</f>
        <v>0</v>
      </c>
      <c r="AA669" s="8">
        <f>IF(B669="","",IF(R669&gt;=C669,"In pantry","To buy"))</f>
        <v>0</v>
      </c>
      <c r="AB669" s="8">
        <f>IF(A669="","",COUNTIFS($A$5:A669,A669))</f>
        <v>0</v>
      </c>
      <c r="AC669" s="8">
        <f>IF(B669="","",IF(COUNTIFS('Dietary Filters'!$C$5:$C$104,B669)&gt;0,"Check","OK"))</f>
        <v>0</v>
      </c>
      <c r="AD669" s="25"/>
    </row>
    <row r="670" spans="1:30">
      <c r="A670" s="7"/>
      <c r="B670" s="7"/>
      <c r="C670" s="26"/>
      <c r="D670" s="27"/>
      <c r="E670" s="8">
        <f>IF(B670="","",IFERROR(INDEX(Ingredients!$B$5:$B$304,MATCH(B670,Ingredients!$A$5:$A$304,0)),""))</f>
        <v>0</v>
      </c>
      <c r="F670" s="8">
        <f>IF(B670="","",IFERROR(INDEX(Ingredients!$E$5:$E$304,MATCH(B670,Ingredients!$A$5:$A$304,0)),""))</f>
        <v>0</v>
      </c>
      <c r="G670" s="8">
        <f>IF(B670="","",IFERROR(INDEX(Ingredients!$D$5:$D$304,MATCH(B670,Ingredients!$A$5:$A$304,0)),""))</f>
        <v>0</v>
      </c>
      <c r="H670" s="8">
        <f>IF(OR(B670="",C670=""),"",IFERROR(C670*G670,""))</f>
        <v>0</v>
      </c>
      <c r="I670" s="8">
        <f>IF(A670="","",IFERROR(INDEX(Recipes!$D$5:$D$204,MATCH(A670,Recipes!$A$5:$A$204,0)),""))</f>
        <v>0</v>
      </c>
      <c r="J670" s="8">
        <f>IF(OR(H670="",I670="",I670=0),"",IFERROR(H670/I670,""))</f>
        <v>0</v>
      </c>
      <c r="K670" s="8">
        <f>IF(OR(B670="",C670=""),"",IFERROR(C670*IFERROR(INDEX(Ingredients!$H$5:$H$304,MATCH(B670,Ingredients!$A$5:$A$304,0)),""),""))</f>
        <v>0</v>
      </c>
      <c r="L670" s="8">
        <f>IF(OR(B670="",C670=""),"",IFERROR(C670*IFERROR(INDEX(Ingredients!$I$5:$I$304,MATCH(B670,Ingredients!$A$5:$A$304,0)),""),""))</f>
        <v>0</v>
      </c>
      <c r="M670" s="8">
        <f>IF(OR(B670="",C670=""),"",IFERROR(C670*IFERROR(INDEX(Ingredients!$J$5:$J$304,MATCH(B670,Ingredients!$A$5:$A$304,0)),""),""))</f>
        <v>0</v>
      </c>
      <c r="N670" s="8">
        <f>IF(OR(B670="",C670=""),"",IFERROR(C670*IFERROR(INDEX(Ingredients!$K$5:$K$304,MATCH(B670,Ingredients!$A$5:$A$304,0)),""),""))</f>
        <v>0</v>
      </c>
      <c r="O670" s="8">
        <f>IF(OR(B670="",C670=""),"",IFERROR(C670*IFERROR(INDEX(Ingredients!$L$5:$L$304,MATCH(B670,Ingredients!$A$5:$A$304,0)),""),""))</f>
        <v>0</v>
      </c>
      <c r="P670" s="8">
        <f>IF(OR(H670="",A670=""),"",IFERROR(H670/SUMIFS('Recipe Ingredients'!$H$5:$H$1204,'Recipe Ingredients'!$A$5:$A$1204,A670),""))</f>
        <v>0</v>
      </c>
      <c r="Q670" s="8">
        <f>IF(H670="","",COUNTIFS($H$5:$H$1204,"&gt;"&amp;H670)+1)</f>
        <v>0</v>
      </c>
      <c r="R670" s="8">
        <f>IF(B670="","",SUMIFS(Pantry!$C$5:$C$304,Pantry!$A$5:$A$304,B670))</f>
        <v>0</v>
      </c>
      <c r="S670" s="8">
        <f>IF(OR(B670="",C670=""),"",MAX(0,C670-R670))</f>
        <v>0</v>
      </c>
      <c r="T670" s="26"/>
      <c r="U670" s="8">
        <f>IF(OR(T670="",T670=0,G670=""),"",T670*G670)</f>
        <v>0</v>
      </c>
      <c r="V670" s="8">
        <f>IF(OR(S670="",T670="",T670=0),"",CEILING(S670/T670,1))</f>
        <v>0</v>
      </c>
      <c r="W670" s="27"/>
      <c r="X670" s="29"/>
      <c r="Y670" s="8">
        <f>IF(OR(C670="",X670=""),"",C670*(1+X670))</f>
        <v>0</v>
      </c>
      <c r="Z670" s="8">
        <f>IF(B670="","",IFERROR(INDEX(Ingredients!$O$5:$O$304,MATCH(B670,Ingredients!$A$5:$A$304,0)),""))</f>
        <v>0</v>
      </c>
      <c r="AA670" s="8">
        <f>IF(B670="","",IF(R670&gt;=C670,"In pantry","To buy"))</f>
        <v>0</v>
      </c>
      <c r="AB670" s="8">
        <f>IF(A670="","",COUNTIFS($A$5:A670,A670))</f>
        <v>0</v>
      </c>
      <c r="AC670" s="8">
        <f>IF(B670="","",IF(COUNTIFS('Dietary Filters'!$C$5:$C$104,B670)&gt;0,"Check","OK"))</f>
        <v>0</v>
      </c>
      <c r="AD670" s="25"/>
    </row>
    <row r="671" spans="1:30">
      <c r="A671" s="7"/>
      <c r="B671" s="7"/>
      <c r="C671" s="26"/>
      <c r="D671" s="27"/>
      <c r="E671" s="8">
        <f>IF(B671="","",IFERROR(INDEX(Ingredients!$B$5:$B$304,MATCH(B671,Ingredients!$A$5:$A$304,0)),""))</f>
        <v>0</v>
      </c>
      <c r="F671" s="8">
        <f>IF(B671="","",IFERROR(INDEX(Ingredients!$E$5:$E$304,MATCH(B671,Ingredients!$A$5:$A$304,0)),""))</f>
        <v>0</v>
      </c>
      <c r="G671" s="8">
        <f>IF(B671="","",IFERROR(INDEX(Ingredients!$D$5:$D$304,MATCH(B671,Ingredients!$A$5:$A$304,0)),""))</f>
        <v>0</v>
      </c>
      <c r="H671" s="8">
        <f>IF(OR(B671="",C671=""),"",IFERROR(C671*G671,""))</f>
        <v>0</v>
      </c>
      <c r="I671" s="8">
        <f>IF(A671="","",IFERROR(INDEX(Recipes!$D$5:$D$204,MATCH(A671,Recipes!$A$5:$A$204,0)),""))</f>
        <v>0</v>
      </c>
      <c r="J671" s="8">
        <f>IF(OR(H671="",I671="",I671=0),"",IFERROR(H671/I671,""))</f>
        <v>0</v>
      </c>
      <c r="K671" s="8">
        <f>IF(OR(B671="",C671=""),"",IFERROR(C671*IFERROR(INDEX(Ingredients!$H$5:$H$304,MATCH(B671,Ingredients!$A$5:$A$304,0)),""),""))</f>
        <v>0</v>
      </c>
      <c r="L671" s="8">
        <f>IF(OR(B671="",C671=""),"",IFERROR(C671*IFERROR(INDEX(Ingredients!$I$5:$I$304,MATCH(B671,Ingredients!$A$5:$A$304,0)),""),""))</f>
        <v>0</v>
      </c>
      <c r="M671" s="8">
        <f>IF(OR(B671="",C671=""),"",IFERROR(C671*IFERROR(INDEX(Ingredients!$J$5:$J$304,MATCH(B671,Ingredients!$A$5:$A$304,0)),""),""))</f>
        <v>0</v>
      </c>
      <c r="N671" s="8">
        <f>IF(OR(B671="",C671=""),"",IFERROR(C671*IFERROR(INDEX(Ingredients!$K$5:$K$304,MATCH(B671,Ingredients!$A$5:$A$304,0)),""),""))</f>
        <v>0</v>
      </c>
      <c r="O671" s="8">
        <f>IF(OR(B671="",C671=""),"",IFERROR(C671*IFERROR(INDEX(Ingredients!$L$5:$L$304,MATCH(B671,Ingredients!$A$5:$A$304,0)),""),""))</f>
        <v>0</v>
      </c>
      <c r="P671" s="8">
        <f>IF(OR(H671="",A671=""),"",IFERROR(H671/SUMIFS('Recipe Ingredients'!$H$5:$H$1204,'Recipe Ingredients'!$A$5:$A$1204,A671),""))</f>
        <v>0</v>
      </c>
      <c r="Q671" s="8">
        <f>IF(H671="","",COUNTIFS($H$5:$H$1204,"&gt;"&amp;H671)+1)</f>
        <v>0</v>
      </c>
      <c r="R671" s="8">
        <f>IF(B671="","",SUMIFS(Pantry!$C$5:$C$304,Pantry!$A$5:$A$304,B671))</f>
        <v>0</v>
      </c>
      <c r="S671" s="8">
        <f>IF(OR(B671="",C671=""),"",MAX(0,C671-R671))</f>
        <v>0</v>
      </c>
      <c r="T671" s="26"/>
      <c r="U671" s="8">
        <f>IF(OR(T671="",T671=0,G671=""),"",T671*G671)</f>
        <v>0</v>
      </c>
      <c r="V671" s="8">
        <f>IF(OR(S671="",T671="",T671=0),"",CEILING(S671/T671,1))</f>
        <v>0</v>
      </c>
      <c r="W671" s="27"/>
      <c r="X671" s="29"/>
      <c r="Y671" s="8">
        <f>IF(OR(C671="",X671=""),"",C671*(1+X671))</f>
        <v>0</v>
      </c>
      <c r="Z671" s="8">
        <f>IF(B671="","",IFERROR(INDEX(Ingredients!$O$5:$O$304,MATCH(B671,Ingredients!$A$5:$A$304,0)),""))</f>
        <v>0</v>
      </c>
      <c r="AA671" s="8">
        <f>IF(B671="","",IF(R671&gt;=C671,"In pantry","To buy"))</f>
        <v>0</v>
      </c>
      <c r="AB671" s="8">
        <f>IF(A671="","",COUNTIFS($A$5:A671,A671))</f>
        <v>0</v>
      </c>
      <c r="AC671" s="8">
        <f>IF(B671="","",IF(COUNTIFS('Dietary Filters'!$C$5:$C$104,B671)&gt;0,"Check","OK"))</f>
        <v>0</v>
      </c>
      <c r="AD671" s="25"/>
    </row>
    <row r="672" spans="1:30">
      <c r="A672" s="7"/>
      <c r="B672" s="7"/>
      <c r="C672" s="26"/>
      <c r="D672" s="27"/>
      <c r="E672" s="8">
        <f>IF(B672="","",IFERROR(INDEX(Ingredients!$B$5:$B$304,MATCH(B672,Ingredients!$A$5:$A$304,0)),""))</f>
        <v>0</v>
      </c>
      <c r="F672" s="8">
        <f>IF(B672="","",IFERROR(INDEX(Ingredients!$E$5:$E$304,MATCH(B672,Ingredients!$A$5:$A$304,0)),""))</f>
        <v>0</v>
      </c>
      <c r="G672" s="8">
        <f>IF(B672="","",IFERROR(INDEX(Ingredients!$D$5:$D$304,MATCH(B672,Ingredients!$A$5:$A$304,0)),""))</f>
        <v>0</v>
      </c>
      <c r="H672" s="8">
        <f>IF(OR(B672="",C672=""),"",IFERROR(C672*G672,""))</f>
        <v>0</v>
      </c>
      <c r="I672" s="8">
        <f>IF(A672="","",IFERROR(INDEX(Recipes!$D$5:$D$204,MATCH(A672,Recipes!$A$5:$A$204,0)),""))</f>
        <v>0</v>
      </c>
      <c r="J672" s="8">
        <f>IF(OR(H672="",I672="",I672=0),"",IFERROR(H672/I672,""))</f>
        <v>0</v>
      </c>
      <c r="K672" s="8">
        <f>IF(OR(B672="",C672=""),"",IFERROR(C672*IFERROR(INDEX(Ingredients!$H$5:$H$304,MATCH(B672,Ingredients!$A$5:$A$304,0)),""),""))</f>
        <v>0</v>
      </c>
      <c r="L672" s="8">
        <f>IF(OR(B672="",C672=""),"",IFERROR(C672*IFERROR(INDEX(Ingredients!$I$5:$I$304,MATCH(B672,Ingredients!$A$5:$A$304,0)),""),""))</f>
        <v>0</v>
      </c>
      <c r="M672" s="8">
        <f>IF(OR(B672="",C672=""),"",IFERROR(C672*IFERROR(INDEX(Ingredients!$J$5:$J$304,MATCH(B672,Ingredients!$A$5:$A$304,0)),""),""))</f>
        <v>0</v>
      </c>
      <c r="N672" s="8">
        <f>IF(OR(B672="",C672=""),"",IFERROR(C672*IFERROR(INDEX(Ingredients!$K$5:$K$304,MATCH(B672,Ingredients!$A$5:$A$304,0)),""),""))</f>
        <v>0</v>
      </c>
      <c r="O672" s="8">
        <f>IF(OR(B672="",C672=""),"",IFERROR(C672*IFERROR(INDEX(Ingredients!$L$5:$L$304,MATCH(B672,Ingredients!$A$5:$A$304,0)),""),""))</f>
        <v>0</v>
      </c>
      <c r="P672" s="8">
        <f>IF(OR(H672="",A672=""),"",IFERROR(H672/SUMIFS('Recipe Ingredients'!$H$5:$H$1204,'Recipe Ingredients'!$A$5:$A$1204,A672),""))</f>
        <v>0</v>
      </c>
      <c r="Q672" s="8">
        <f>IF(H672="","",COUNTIFS($H$5:$H$1204,"&gt;"&amp;H672)+1)</f>
        <v>0</v>
      </c>
      <c r="R672" s="8">
        <f>IF(B672="","",SUMIFS(Pantry!$C$5:$C$304,Pantry!$A$5:$A$304,B672))</f>
        <v>0</v>
      </c>
      <c r="S672" s="8">
        <f>IF(OR(B672="",C672=""),"",MAX(0,C672-R672))</f>
        <v>0</v>
      </c>
      <c r="T672" s="26"/>
      <c r="U672" s="8">
        <f>IF(OR(T672="",T672=0,G672=""),"",T672*G672)</f>
        <v>0</v>
      </c>
      <c r="V672" s="8">
        <f>IF(OR(S672="",T672="",T672=0),"",CEILING(S672/T672,1))</f>
        <v>0</v>
      </c>
      <c r="W672" s="27"/>
      <c r="X672" s="29"/>
      <c r="Y672" s="8">
        <f>IF(OR(C672="",X672=""),"",C672*(1+X672))</f>
        <v>0</v>
      </c>
      <c r="Z672" s="8">
        <f>IF(B672="","",IFERROR(INDEX(Ingredients!$O$5:$O$304,MATCH(B672,Ingredients!$A$5:$A$304,0)),""))</f>
        <v>0</v>
      </c>
      <c r="AA672" s="8">
        <f>IF(B672="","",IF(R672&gt;=C672,"In pantry","To buy"))</f>
        <v>0</v>
      </c>
      <c r="AB672" s="8">
        <f>IF(A672="","",COUNTIFS($A$5:A672,A672))</f>
        <v>0</v>
      </c>
      <c r="AC672" s="8">
        <f>IF(B672="","",IF(COUNTIFS('Dietary Filters'!$C$5:$C$104,B672)&gt;0,"Check","OK"))</f>
        <v>0</v>
      </c>
      <c r="AD672" s="25"/>
    </row>
    <row r="673" spans="1:30">
      <c r="A673" s="7"/>
      <c r="B673" s="7"/>
      <c r="C673" s="26"/>
      <c r="D673" s="27"/>
      <c r="E673" s="8">
        <f>IF(B673="","",IFERROR(INDEX(Ingredients!$B$5:$B$304,MATCH(B673,Ingredients!$A$5:$A$304,0)),""))</f>
        <v>0</v>
      </c>
      <c r="F673" s="8">
        <f>IF(B673="","",IFERROR(INDEX(Ingredients!$E$5:$E$304,MATCH(B673,Ingredients!$A$5:$A$304,0)),""))</f>
        <v>0</v>
      </c>
      <c r="G673" s="8">
        <f>IF(B673="","",IFERROR(INDEX(Ingredients!$D$5:$D$304,MATCH(B673,Ingredients!$A$5:$A$304,0)),""))</f>
        <v>0</v>
      </c>
      <c r="H673" s="8">
        <f>IF(OR(B673="",C673=""),"",IFERROR(C673*G673,""))</f>
        <v>0</v>
      </c>
      <c r="I673" s="8">
        <f>IF(A673="","",IFERROR(INDEX(Recipes!$D$5:$D$204,MATCH(A673,Recipes!$A$5:$A$204,0)),""))</f>
        <v>0</v>
      </c>
      <c r="J673" s="8">
        <f>IF(OR(H673="",I673="",I673=0),"",IFERROR(H673/I673,""))</f>
        <v>0</v>
      </c>
      <c r="K673" s="8">
        <f>IF(OR(B673="",C673=""),"",IFERROR(C673*IFERROR(INDEX(Ingredients!$H$5:$H$304,MATCH(B673,Ingredients!$A$5:$A$304,0)),""),""))</f>
        <v>0</v>
      </c>
      <c r="L673" s="8">
        <f>IF(OR(B673="",C673=""),"",IFERROR(C673*IFERROR(INDEX(Ingredients!$I$5:$I$304,MATCH(B673,Ingredients!$A$5:$A$304,0)),""),""))</f>
        <v>0</v>
      </c>
      <c r="M673" s="8">
        <f>IF(OR(B673="",C673=""),"",IFERROR(C673*IFERROR(INDEX(Ingredients!$J$5:$J$304,MATCH(B673,Ingredients!$A$5:$A$304,0)),""),""))</f>
        <v>0</v>
      </c>
      <c r="N673" s="8">
        <f>IF(OR(B673="",C673=""),"",IFERROR(C673*IFERROR(INDEX(Ingredients!$K$5:$K$304,MATCH(B673,Ingredients!$A$5:$A$304,0)),""),""))</f>
        <v>0</v>
      </c>
      <c r="O673" s="8">
        <f>IF(OR(B673="",C673=""),"",IFERROR(C673*IFERROR(INDEX(Ingredients!$L$5:$L$304,MATCH(B673,Ingredients!$A$5:$A$304,0)),""),""))</f>
        <v>0</v>
      </c>
      <c r="P673" s="8">
        <f>IF(OR(H673="",A673=""),"",IFERROR(H673/SUMIFS('Recipe Ingredients'!$H$5:$H$1204,'Recipe Ingredients'!$A$5:$A$1204,A673),""))</f>
        <v>0</v>
      </c>
      <c r="Q673" s="8">
        <f>IF(H673="","",COUNTIFS($H$5:$H$1204,"&gt;"&amp;H673)+1)</f>
        <v>0</v>
      </c>
      <c r="R673" s="8">
        <f>IF(B673="","",SUMIFS(Pantry!$C$5:$C$304,Pantry!$A$5:$A$304,B673))</f>
        <v>0</v>
      </c>
      <c r="S673" s="8">
        <f>IF(OR(B673="",C673=""),"",MAX(0,C673-R673))</f>
        <v>0</v>
      </c>
      <c r="T673" s="26"/>
      <c r="U673" s="8">
        <f>IF(OR(T673="",T673=0,G673=""),"",T673*G673)</f>
        <v>0</v>
      </c>
      <c r="V673" s="8">
        <f>IF(OR(S673="",T673="",T673=0),"",CEILING(S673/T673,1))</f>
        <v>0</v>
      </c>
      <c r="W673" s="27"/>
      <c r="X673" s="29"/>
      <c r="Y673" s="8">
        <f>IF(OR(C673="",X673=""),"",C673*(1+X673))</f>
        <v>0</v>
      </c>
      <c r="Z673" s="8">
        <f>IF(B673="","",IFERROR(INDEX(Ingredients!$O$5:$O$304,MATCH(B673,Ingredients!$A$5:$A$304,0)),""))</f>
        <v>0</v>
      </c>
      <c r="AA673" s="8">
        <f>IF(B673="","",IF(R673&gt;=C673,"In pantry","To buy"))</f>
        <v>0</v>
      </c>
      <c r="AB673" s="8">
        <f>IF(A673="","",COUNTIFS($A$5:A673,A673))</f>
        <v>0</v>
      </c>
      <c r="AC673" s="8">
        <f>IF(B673="","",IF(COUNTIFS('Dietary Filters'!$C$5:$C$104,B673)&gt;0,"Check","OK"))</f>
        <v>0</v>
      </c>
      <c r="AD673" s="25"/>
    </row>
    <row r="674" spans="1:30">
      <c r="A674" s="7"/>
      <c r="B674" s="7"/>
      <c r="C674" s="26"/>
      <c r="D674" s="27"/>
      <c r="E674" s="8">
        <f>IF(B674="","",IFERROR(INDEX(Ingredients!$B$5:$B$304,MATCH(B674,Ingredients!$A$5:$A$304,0)),""))</f>
        <v>0</v>
      </c>
      <c r="F674" s="8">
        <f>IF(B674="","",IFERROR(INDEX(Ingredients!$E$5:$E$304,MATCH(B674,Ingredients!$A$5:$A$304,0)),""))</f>
        <v>0</v>
      </c>
      <c r="G674" s="8">
        <f>IF(B674="","",IFERROR(INDEX(Ingredients!$D$5:$D$304,MATCH(B674,Ingredients!$A$5:$A$304,0)),""))</f>
        <v>0</v>
      </c>
      <c r="H674" s="8">
        <f>IF(OR(B674="",C674=""),"",IFERROR(C674*G674,""))</f>
        <v>0</v>
      </c>
      <c r="I674" s="8">
        <f>IF(A674="","",IFERROR(INDEX(Recipes!$D$5:$D$204,MATCH(A674,Recipes!$A$5:$A$204,0)),""))</f>
        <v>0</v>
      </c>
      <c r="J674" s="8">
        <f>IF(OR(H674="",I674="",I674=0),"",IFERROR(H674/I674,""))</f>
        <v>0</v>
      </c>
      <c r="K674" s="8">
        <f>IF(OR(B674="",C674=""),"",IFERROR(C674*IFERROR(INDEX(Ingredients!$H$5:$H$304,MATCH(B674,Ingredients!$A$5:$A$304,0)),""),""))</f>
        <v>0</v>
      </c>
      <c r="L674" s="8">
        <f>IF(OR(B674="",C674=""),"",IFERROR(C674*IFERROR(INDEX(Ingredients!$I$5:$I$304,MATCH(B674,Ingredients!$A$5:$A$304,0)),""),""))</f>
        <v>0</v>
      </c>
      <c r="M674" s="8">
        <f>IF(OR(B674="",C674=""),"",IFERROR(C674*IFERROR(INDEX(Ingredients!$J$5:$J$304,MATCH(B674,Ingredients!$A$5:$A$304,0)),""),""))</f>
        <v>0</v>
      </c>
      <c r="N674" s="8">
        <f>IF(OR(B674="",C674=""),"",IFERROR(C674*IFERROR(INDEX(Ingredients!$K$5:$K$304,MATCH(B674,Ingredients!$A$5:$A$304,0)),""),""))</f>
        <v>0</v>
      </c>
      <c r="O674" s="8">
        <f>IF(OR(B674="",C674=""),"",IFERROR(C674*IFERROR(INDEX(Ingredients!$L$5:$L$304,MATCH(B674,Ingredients!$A$5:$A$304,0)),""),""))</f>
        <v>0</v>
      </c>
      <c r="P674" s="8">
        <f>IF(OR(H674="",A674=""),"",IFERROR(H674/SUMIFS('Recipe Ingredients'!$H$5:$H$1204,'Recipe Ingredients'!$A$5:$A$1204,A674),""))</f>
        <v>0</v>
      </c>
      <c r="Q674" s="8">
        <f>IF(H674="","",COUNTIFS($H$5:$H$1204,"&gt;"&amp;H674)+1)</f>
        <v>0</v>
      </c>
      <c r="R674" s="8">
        <f>IF(B674="","",SUMIFS(Pantry!$C$5:$C$304,Pantry!$A$5:$A$304,B674))</f>
        <v>0</v>
      </c>
      <c r="S674" s="8">
        <f>IF(OR(B674="",C674=""),"",MAX(0,C674-R674))</f>
        <v>0</v>
      </c>
      <c r="T674" s="26"/>
      <c r="U674" s="8">
        <f>IF(OR(T674="",T674=0,G674=""),"",T674*G674)</f>
        <v>0</v>
      </c>
      <c r="V674" s="8">
        <f>IF(OR(S674="",T674="",T674=0),"",CEILING(S674/T674,1))</f>
        <v>0</v>
      </c>
      <c r="W674" s="27"/>
      <c r="X674" s="29"/>
      <c r="Y674" s="8">
        <f>IF(OR(C674="",X674=""),"",C674*(1+X674))</f>
        <v>0</v>
      </c>
      <c r="Z674" s="8">
        <f>IF(B674="","",IFERROR(INDEX(Ingredients!$O$5:$O$304,MATCH(B674,Ingredients!$A$5:$A$304,0)),""))</f>
        <v>0</v>
      </c>
      <c r="AA674" s="8">
        <f>IF(B674="","",IF(R674&gt;=C674,"In pantry","To buy"))</f>
        <v>0</v>
      </c>
      <c r="AB674" s="8">
        <f>IF(A674="","",COUNTIFS($A$5:A674,A674))</f>
        <v>0</v>
      </c>
      <c r="AC674" s="8">
        <f>IF(B674="","",IF(COUNTIFS('Dietary Filters'!$C$5:$C$104,B674)&gt;0,"Check","OK"))</f>
        <v>0</v>
      </c>
      <c r="AD674" s="25"/>
    </row>
    <row r="675" spans="1:30">
      <c r="A675" s="7"/>
      <c r="B675" s="7"/>
      <c r="C675" s="26"/>
      <c r="D675" s="27"/>
      <c r="E675" s="8">
        <f>IF(B675="","",IFERROR(INDEX(Ingredients!$B$5:$B$304,MATCH(B675,Ingredients!$A$5:$A$304,0)),""))</f>
        <v>0</v>
      </c>
      <c r="F675" s="8">
        <f>IF(B675="","",IFERROR(INDEX(Ingredients!$E$5:$E$304,MATCH(B675,Ingredients!$A$5:$A$304,0)),""))</f>
        <v>0</v>
      </c>
      <c r="G675" s="8">
        <f>IF(B675="","",IFERROR(INDEX(Ingredients!$D$5:$D$304,MATCH(B675,Ingredients!$A$5:$A$304,0)),""))</f>
        <v>0</v>
      </c>
      <c r="H675" s="8">
        <f>IF(OR(B675="",C675=""),"",IFERROR(C675*G675,""))</f>
        <v>0</v>
      </c>
      <c r="I675" s="8">
        <f>IF(A675="","",IFERROR(INDEX(Recipes!$D$5:$D$204,MATCH(A675,Recipes!$A$5:$A$204,0)),""))</f>
        <v>0</v>
      </c>
      <c r="J675" s="8">
        <f>IF(OR(H675="",I675="",I675=0),"",IFERROR(H675/I675,""))</f>
        <v>0</v>
      </c>
      <c r="K675" s="8">
        <f>IF(OR(B675="",C675=""),"",IFERROR(C675*IFERROR(INDEX(Ingredients!$H$5:$H$304,MATCH(B675,Ingredients!$A$5:$A$304,0)),""),""))</f>
        <v>0</v>
      </c>
      <c r="L675" s="8">
        <f>IF(OR(B675="",C675=""),"",IFERROR(C675*IFERROR(INDEX(Ingredients!$I$5:$I$304,MATCH(B675,Ingredients!$A$5:$A$304,0)),""),""))</f>
        <v>0</v>
      </c>
      <c r="M675" s="8">
        <f>IF(OR(B675="",C675=""),"",IFERROR(C675*IFERROR(INDEX(Ingredients!$J$5:$J$304,MATCH(B675,Ingredients!$A$5:$A$304,0)),""),""))</f>
        <v>0</v>
      </c>
      <c r="N675" s="8">
        <f>IF(OR(B675="",C675=""),"",IFERROR(C675*IFERROR(INDEX(Ingredients!$K$5:$K$304,MATCH(B675,Ingredients!$A$5:$A$304,0)),""),""))</f>
        <v>0</v>
      </c>
      <c r="O675" s="8">
        <f>IF(OR(B675="",C675=""),"",IFERROR(C675*IFERROR(INDEX(Ingredients!$L$5:$L$304,MATCH(B675,Ingredients!$A$5:$A$304,0)),""),""))</f>
        <v>0</v>
      </c>
      <c r="P675" s="8">
        <f>IF(OR(H675="",A675=""),"",IFERROR(H675/SUMIFS('Recipe Ingredients'!$H$5:$H$1204,'Recipe Ingredients'!$A$5:$A$1204,A675),""))</f>
        <v>0</v>
      </c>
      <c r="Q675" s="8">
        <f>IF(H675="","",COUNTIFS($H$5:$H$1204,"&gt;"&amp;H675)+1)</f>
        <v>0</v>
      </c>
      <c r="R675" s="8">
        <f>IF(B675="","",SUMIFS(Pantry!$C$5:$C$304,Pantry!$A$5:$A$304,B675))</f>
        <v>0</v>
      </c>
      <c r="S675" s="8">
        <f>IF(OR(B675="",C675=""),"",MAX(0,C675-R675))</f>
        <v>0</v>
      </c>
      <c r="T675" s="26"/>
      <c r="U675" s="8">
        <f>IF(OR(T675="",T675=0,G675=""),"",T675*G675)</f>
        <v>0</v>
      </c>
      <c r="V675" s="8">
        <f>IF(OR(S675="",T675="",T675=0),"",CEILING(S675/T675,1))</f>
        <v>0</v>
      </c>
      <c r="W675" s="27"/>
      <c r="X675" s="29"/>
      <c r="Y675" s="8">
        <f>IF(OR(C675="",X675=""),"",C675*(1+X675))</f>
        <v>0</v>
      </c>
      <c r="Z675" s="8">
        <f>IF(B675="","",IFERROR(INDEX(Ingredients!$O$5:$O$304,MATCH(B675,Ingredients!$A$5:$A$304,0)),""))</f>
        <v>0</v>
      </c>
      <c r="AA675" s="8">
        <f>IF(B675="","",IF(R675&gt;=C675,"In pantry","To buy"))</f>
        <v>0</v>
      </c>
      <c r="AB675" s="8">
        <f>IF(A675="","",COUNTIFS($A$5:A675,A675))</f>
        <v>0</v>
      </c>
      <c r="AC675" s="8">
        <f>IF(B675="","",IF(COUNTIFS('Dietary Filters'!$C$5:$C$104,B675)&gt;0,"Check","OK"))</f>
        <v>0</v>
      </c>
      <c r="AD675" s="25"/>
    </row>
    <row r="676" spans="1:30">
      <c r="A676" s="7"/>
      <c r="B676" s="7"/>
      <c r="C676" s="26"/>
      <c r="D676" s="27"/>
      <c r="E676" s="8">
        <f>IF(B676="","",IFERROR(INDEX(Ingredients!$B$5:$B$304,MATCH(B676,Ingredients!$A$5:$A$304,0)),""))</f>
        <v>0</v>
      </c>
      <c r="F676" s="8">
        <f>IF(B676="","",IFERROR(INDEX(Ingredients!$E$5:$E$304,MATCH(B676,Ingredients!$A$5:$A$304,0)),""))</f>
        <v>0</v>
      </c>
      <c r="G676" s="8">
        <f>IF(B676="","",IFERROR(INDEX(Ingredients!$D$5:$D$304,MATCH(B676,Ingredients!$A$5:$A$304,0)),""))</f>
        <v>0</v>
      </c>
      <c r="H676" s="8">
        <f>IF(OR(B676="",C676=""),"",IFERROR(C676*G676,""))</f>
        <v>0</v>
      </c>
      <c r="I676" s="8">
        <f>IF(A676="","",IFERROR(INDEX(Recipes!$D$5:$D$204,MATCH(A676,Recipes!$A$5:$A$204,0)),""))</f>
        <v>0</v>
      </c>
      <c r="J676" s="8">
        <f>IF(OR(H676="",I676="",I676=0),"",IFERROR(H676/I676,""))</f>
        <v>0</v>
      </c>
      <c r="K676" s="8">
        <f>IF(OR(B676="",C676=""),"",IFERROR(C676*IFERROR(INDEX(Ingredients!$H$5:$H$304,MATCH(B676,Ingredients!$A$5:$A$304,0)),""),""))</f>
        <v>0</v>
      </c>
      <c r="L676" s="8">
        <f>IF(OR(B676="",C676=""),"",IFERROR(C676*IFERROR(INDEX(Ingredients!$I$5:$I$304,MATCH(B676,Ingredients!$A$5:$A$304,0)),""),""))</f>
        <v>0</v>
      </c>
      <c r="M676" s="8">
        <f>IF(OR(B676="",C676=""),"",IFERROR(C676*IFERROR(INDEX(Ingredients!$J$5:$J$304,MATCH(B676,Ingredients!$A$5:$A$304,0)),""),""))</f>
        <v>0</v>
      </c>
      <c r="N676" s="8">
        <f>IF(OR(B676="",C676=""),"",IFERROR(C676*IFERROR(INDEX(Ingredients!$K$5:$K$304,MATCH(B676,Ingredients!$A$5:$A$304,0)),""),""))</f>
        <v>0</v>
      </c>
      <c r="O676" s="8">
        <f>IF(OR(B676="",C676=""),"",IFERROR(C676*IFERROR(INDEX(Ingredients!$L$5:$L$304,MATCH(B676,Ingredients!$A$5:$A$304,0)),""),""))</f>
        <v>0</v>
      </c>
      <c r="P676" s="8">
        <f>IF(OR(H676="",A676=""),"",IFERROR(H676/SUMIFS('Recipe Ingredients'!$H$5:$H$1204,'Recipe Ingredients'!$A$5:$A$1204,A676),""))</f>
        <v>0</v>
      </c>
      <c r="Q676" s="8">
        <f>IF(H676="","",COUNTIFS($H$5:$H$1204,"&gt;"&amp;H676)+1)</f>
        <v>0</v>
      </c>
      <c r="R676" s="8">
        <f>IF(B676="","",SUMIFS(Pantry!$C$5:$C$304,Pantry!$A$5:$A$304,B676))</f>
        <v>0</v>
      </c>
      <c r="S676" s="8">
        <f>IF(OR(B676="",C676=""),"",MAX(0,C676-R676))</f>
        <v>0</v>
      </c>
      <c r="T676" s="26"/>
      <c r="U676" s="8">
        <f>IF(OR(T676="",T676=0,G676=""),"",T676*G676)</f>
        <v>0</v>
      </c>
      <c r="V676" s="8">
        <f>IF(OR(S676="",T676="",T676=0),"",CEILING(S676/T676,1))</f>
        <v>0</v>
      </c>
      <c r="W676" s="27"/>
      <c r="X676" s="29"/>
      <c r="Y676" s="8">
        <f>IF(OR(C676="",X676=""),"",C676*(1+X676))</f>
        <v>0</v>
      </c>
      <c r="Z676" s="8">
        <f>IF(B676="","",IFERROR(INDEX(Ingredients!$O$5:$O$304,MATCH(B676,Ingredients!$A$5:$A$304,0)),""))</f>
        <v>0</v>
      </c>
      <c r="AA676" s="8">
        <f>IF(B676="","",IF(R676&gt;=C676,"In pantry","To buy"))</f>
        <v>0</v>
      </c>
      <c r="AB676" s="8">
        <f>IF(A676="","",COUNTIFS($A$5:A676,A676))</f>
        <v>0</v>
      </c>
      <c r="AC676" s="8">
        <f>IF(B676="","",IF(COUNTIFS('Dietary Filters'!$C$5:$C$104,B676)&gt;0,"Check","OK"))</f>
        <v>0</v>
      </c>
      <c r="AD676" s="25"/>
    </row>
    <row r="677" spans="1:30">
      <c r="A677" s="7"/>
      <c r="B677" s="7"/>
      <c r="C677" s="26"/>
      <c r="D677" s="27"/>
      <c r="E677" s="8">
        <f>IF(B677="","",IFERROR(INDEX(Ingredients!$B$5:$B$304,MATCH(B677,Ingredients!$A$5:$A$304,0)),""))</f>
        <v>0</v>
      </c>
      <c r="F677" s="8">
        <f>IF(B677="","",IFERROR(INDEX(Ingredients!$E$5:$E$304,MATCH(B677,Ingredients!$A$5:$A$304,0)),""))</f>
        <v>0</v>
      </c>
      <c r="G677" s="8">
        <f>IF(B677="","",IFERROR(INDEX(Ingredients!$D$5:$D$304,MATCH(B677,Ingredients!$A$5:$A$304,0)),""))</f>
        <v>0</v>
      </c>
      <c r="H677" s="8">
        <f>IF(OR(B677="",C677=""),"",IFERROR(C677*G677,""))</f>
        <v>0</v>
      </c>
      <c r="I677" s="8">
        <f>IF(A677="","",IFERROR(INDEX(Recipes!$D$5:$D$204,MATCH(A677,Recipes!$A$5:$A$204,0)),""))</f>
        <v>0</v>
      </c>
      <c r="J677" s="8">
        <f>IF(OR(H677="",I677="",I677=0),"",IFERROR(H677/I677,""))</f>
        <v>0</v>
      </c>
      <c r="K677" s="8">
        <f>IF(OR(B677="",C677=""),"",IFERROR(C677*IFERROR(INDEX(Ingredients!$H$5:$H$304,MATCH(B677,Ingredients!$A$5:$A$304,0)),""),""))</f>
        <v>0</v>
      </c>
      <c r="L677" s="8">
        <f>IF(OR(B677="",C677=""),"",IFERROR(C677*IFERROR(INDEX(Ingredients!$I$5:$I$304,MATCH(B677,Ingredients!$A$5:$A$304,0)),""),""))</f>
        <v>0</v>
      </c>
      <c r="M677" s="8">
        <f>IF(OR(B677="",C677=""),"",IFERROR(C677*IFERROR(INDEX(Ingredients!$J$5:$J$304,MATCH(B677,Ingredients!$A$5:$A$304,0)),""),""))</f>
        <v>0</v>
      </c>
      <c r="N677" s="8">
        <f>IF(OR(B677="",C677=""),"",IFERROR(C677*IFERROR(INDEX(Ingredients!$K$5:$K$304,MATCH(B677,Ingredients!$A$5:$A$304,0)),""),""))</f>
        <v>0</v>
      </c>
      <c r="O677" s="8">
        <f>IF(OR(B677="",C677=""),"",IFERROR(C677*IFERROR(INDEX(Ingredients!$L$5:$L$304,MATCH(B677,Ingredients!$A$5:$A$304,0)),""),""))</f>
        <v>0</v>
      </c>
      <c r="P677" s="8">
        <f>IF(OR(H677="",A677=""),"",IFERROR(H677/SUMIFS('Recipe Ingredients'!$H$5:$H$1204,'Recipe Ingredients'!$A$5:$A$1204,A677),""))</f>
        <v>0</v>
      </c>
      <c r="Q677" s="8">
        <f>IF(H677="","",COUNTIFS($H$5:$H$1204,"&gt;"&amp;H677)+1)</f>
        <v>0</v>
      </c>
      <c r="R677" s="8">
        <f>IF(B677="","",SUMIFS(Pantry!$C$5:$C$304,Pantry!$A$5:$A$304,B677))</f>
        <v>0</v>
      </c>
      <c r="S677" s="8">
        <f>IF(OR(B677="",C677=""),"",MAX(0,C677-R677))</f>
        <v>0</v>
      </c>
      <c r="T677" s="26"/>
      <c r="U677" s="8">
        <f>IF(OR(T677="",T677=0,G677=""),"",T677*G677)</f>
        <v>0</v>
      </c>
      <c r="V677" s="8">
        <f>IF(OR(S677="",T677="",T677=0),"",CEILING(S677/T677,1))</f>
        <v>0</v>
      </c>
      <c r="W677" s="27"/>
      <c r="X677" s="29"/>
      <c r="Y677" s="8">
        <f>IF(OR(C677="",X677=""),"",C677*(1+X677))</f>
        <v>0</v>
      </c>
      <c r="Z677" s="8">
        <f>IF(B677="","",IFERROR(INDEX(Ingredients!$O$5:$O$304,MATCH(B677,Ingredients!$A$5:$A$304,0)),""))</f>
        <v>0</v>
      </c>
      <c r="AA677" s="8">
        <f>IF(B677="","",IF(R677&gt;=C677,"In pantry","To buy"))</f>
        <v>0</v>
      </c>
      <c r="AB677" s="8">
        <f>IF(A677="","",COUNTIFS($A$5:A677,A677))</f>
        <v>0</v>
      </c>
      <c r="AC677" s="8">
        <f>IF(B677="","",IF(COUNTIFS('Dietary Filters'!$C$5:$C$104,B677)&gt;0,"Check","OK"))</f>
        <v>0</v>
      </c>
      <c r="AD677" s="25"/>
    </row>
    <row r="678" spans="1:30">
      <c r="A678" s="7"/>
      <c r="B678" s="7"/>
      <c r="C678" s="26"/>
      <c r="D678" s="27"/>
      <c r="E678" s="8">
        <f>IF(B678="","",IFERROR(INDEX(Ingredients!$B$5:$B$304,MATCH(B678,Ingredients!$A$5:$A$304,0)),""))</f>
        <v>0</v>
      </c>
      <c r="F678" s="8">
        <f>IF(B678="","",IFERROR(INDEX(Ingredients!$E$5:$E$304,MATCH(B678,Ingredients!$A$5:$A$304,0)),""))</f>
        <v>0</v>
      </c>
      <c r="G678" s="8">
        <f>IF(B678="","",IFERROR(INDEX(Ingredients!$D$5:$D$304,MATCH(B678,Ingredients!$A$5:$A$304,0)),""))</f>
        <v>0</v>
      </c>
      <c r="H678" s="8">
        <f>IF(OR(B678="",C678=""),"",IFERROR(C678*G678,""))</f>
        <v>0</v>
      </c>
      <c r="I678" s="8">
        <f>IF(A678="","",IFERROR(INDEX(Recipes!$D$5:$D$204,MATCH(A678,Recipes!$A$5:$A$204,0)),""))</f>
        <v>0</v>
      </c>
      <c r="J678" s="8">
        <f>IF(OR(H678="",I678="",I678=0),"",IFERROR(H678/I678,""))</f>
        <v>0</v>
      </c>
      <c r="K678" s="8">
        <f>IF(OR(B678="",C678=""),"",IFERROR(C678*IFERROR(INDEX(Ingredients!$H$5:$H$304,MATCH(B678,Ingredients!$A$5:$A$304,0)),""),""))</f>
        <v>0</v>
      </c>
      <c r="L678" s="8">
        <f>IF(OR(B678="",C678=""),"",IFERROR(C678*IFERROR(INDEX(Ingredients!$I$5:$I$304,MATCH(B678,Ingredients!$A$5:$A$304,0)),""),""))</f>
        <v>0</v>
      </c>
      <c r="M678" s="8">
        <f>IF(OR(B678="",C678=""),"",IFERROR(C678*IFERROR(INDEX(Ingredients!$J$5:$J$304,MATCH(B678,Ingredients!$A$5:$A$304,0)),""),""))</f>
        <v>0</v>
      </c>
      <c r="N678" s="8">
        <f>IF(OR(B678="",C678=""),"",IFERROR(C678*IFERROR(INDEX(Ingredients!$K$5:$K$304,MATCH(B678,Ingredients!$A$5:$A$304,0)),""),""))</f>
        <v>0</v>
      </c>
      <c r="O678" s="8">
        <f>IF(OR(B678="",C678=""),"",IFERROR(C678*IFERROR(INDEX(Ingredients!$L$5:$L$304,MATCH(B678,Ingredients!$A$5:$A$304,0)),""),""))</f>
        <v>0</v>
      </c>
      <c r="P678" s="8">
        <f>IF(OR(H678="",A678=""),"",IFERROR(H678/SUMIFS('Recipe Ingredients'!$H$5:$H$1204,'Recipe Ingredients'!$A$5:$A$1204,A678),""))</f>
        <v>0</v>
      </c>
      <c r="Q678" s="8">
        <f>IF(H678="","",COUNTIFS($H$5:$H$1204,"&gt;"&amp;H678)+1)</f>
        <v>0</v>
      </c>
      <c r="R678" s="8">
        <f>IF(B678="","",SUMIFS(Pantry!$C$5:$C$304,Pantry!$A$5:$A$304,B678))</f>
        <v>0</v>
      </c>
      <c r="S678" s="8">
        <f>IF(OR(B678="",C678=""),"",MAX(0,C678-R678))</f>
        <v>0</v>
      </c>
      <c r="T678" s="26"/>
      <c r="U678" s="8">
        <f>IF(OR(T678="",T678=0,G678=""),"",T678*G678)</f>
        <v>0</v>
      </c>
      <c r="V678" s="8">
        <f>IF(OR(S678="",T678="",T678=0),"",CEILING(S678/T678,1))</f>
        <v>0</v>
      </c>
      <c r="W678" s="27"/>
      <c r="X678" s="29"/>
      <c r="Y678" s="8">
        <f>IF(OR(C678="",X678=""),"",C678*(1+X678))</f>
        <v>0</v>
      </c>
      <c r="Z678" s="8">
        <f>IF(B678="","",IFERROR(INDEX(Ingredients!$O$5:$O$304,MATCH(B678,Ingredients!$A$5:$A$304,0)),""))</f>
        <v>0</v>
      </c>
      <c r="AA678" s="8">
        <f>IF(B678="","",IF(R678&gt;=C678,"In pantry","To buy"))</f>
        <v>0</v>
      </c>
      <c r="AB678" s="8">
        <f>IF(A678="","",COUNTIFS($A$5:A678,A678))</f>
        <v>0</v>
      </c>
      <c r="AC678" s="8">
        <f>IF(B678="","",IF(COUNTIFS('Dietary Filters'!$C$5:$C$104,B678)&gt;0,"Check","OK"))</f>
        <v>0</v>
      </c>
      <c r="AD678" s="25"/>
    </row>
    <row r="679" spans="1:30">
      <c r="A679" s="7"/>
      <c r="B679" s="7"/>
      <c r="C679" s="26"/>
      <c r="D679" s="27"/>
      <c r="E679" s="8">
        <f>IF(B679="","",IFERROR(INDEX(Ingredients!$B$5:$B$304,MATCH(B679,Ingredients!$A$5:$A$304,0)),""))</f>
        <v>0</v>
      </c>
      <c r="F679" s="8">
        <f>IF(B679="","",IFERROR(INDEX(Ingredients!$E$5:$E$304,MATCH(B679,Ingredients!$A$5:$A$304,0)),""))</f>
        <v>0</v>
      </c>
      <c r="G679" s="8">
        <f>IF(B679="","",IFERROR(INDEX(Ingredients!$D$5:$D$304,MATCH(B679,Ingredients!$A$5:$A$304,0)),""))</f>
        <v>0</v>
      </c>
      <c r="H679" s="8">
        <f>IF(OR(B679="",C679=""),"",IFERROR(C679*G679,""))</f>
        <v>0</v>
      </c>
      <c r="I679" s="8">
        <f>IF(A679="","",IFERROR(INDEX(Recipes!$D$5:$D$204,MATCH(A679,Recipes!$A$5:$A$204,0)),""))</f>
        <v>0</v>
      </c>
      <c r="J679" s="8">
        <f>IF(OR(H679="",I679="",I679=0),"",IFERROR(H679/I679,""))</f>
        <v>0</v>
      </c>
      <c r="K679" s="8">
        <f>IF(OR(B679="",C679=""),"",IFERROR(C679*IFERROR(INDEX(Ingredients!$H$5:$H$304,MATCH(B679,Ingredients!$A$5:$A$304,0)),""),""))</f>
        <v>0</v>
      </c>
      <c r="L679" s="8">
        <f>IF(OR(B679="",C679=""),"",IFERROR(C679*IFERROR(INDEX(Ingredients!$I$5:$I$304,MATCH(B679,Ingredients!$A$5:$A$304,0)),""),""))</f>
        <v>0</v>
      </c>
      <c r="M679" s="8">
        <f>IF(OR(B679="",C679=""),"",IFERROR(C679*IFERROR(INDEX(Ingredients!$J$5:$J$304,MATCH(B679,Ingredients!$A$5:$A$304,0)),""),""))</f>
        <v>0</v>
      </c>
      <c r="N679" s="8">
        <f>IF(OR(B679="",C679=""),"",IFERROR(C679*IFERROR(INDEX(Ingredients!$K$5:$K$304,MATCH(B679,Ingredients!$A$5:$A$304,0)),""),""))</f>
        <v>0</v>
      </c>
      <c r="O679" s="8">
        <f>IF(OR(B679="",C679=""),"",IFERROR(C679*IFERROR(INDEX(Ingredients!$L$5:$L$304,MATCH(B679,Ingredients!$A$5:$A$304,0)),""),""))</f>
        <v>0</v>
      </c>
      <c r="P679" s="8">
        <f>IF(OR(H679="",A679=""),"",IFERROR(H679/SUMIFS('Recipe Ingredients'!$H$5:$H$1204,'Recipe Ingredients'!$A$5:$A$1204,A679),""))</f>
        <v>0</v>
      </c>
      <c r="Q679" s="8">
        <f>IF(H679="","",COUNTIFS($H$5:$H$1204,"&gt;"&amp;H679)+1)</f>
        <v>0</v>
      </c>
      <c r="R679" s="8">
        <f>IF(B679="","",SUMIFS(Pantry!$C$5:$C$304,Pantry!$A$5:$A$304,B679))</f>
        <v>0</v>
      </c>
      <c r="S679" s="8">
        <f>IF(OR(B679="",C679=""),"",MAX(0,C679-R679))</f>
        <v>0</v>
      </c>
      <c r="T679" s="26"/>
      <c r="U679" s="8">
        <f>IF(OR(T679="",T679=0,G679=""),"",T679*G679)</f>
        <v>0</v>
      </c>
      <c r="V679" s="8">
        <f>IF(OR(S679="",T679="",T679=0),"",CEILING(S679/T679,1))</f>
        <v>0</v>
      </c>
      <c r="W679" s="27"/>
      <c r="X679" s="29"/>
      <c r="Y679" s="8">
        <f>IF(OR(C679="",X679=""),"",C679*(1+X679))</f>
        <v>0</v>
      </c>
      <c r="Z679" s="8">
        <f>IF(B679="","",IFERROR(INDEX(Ingredients!$O$5:$O$304,MATCH(B679,Ingredients!$A$5:$A$304,0)),""))</f>
        <v>0</v>
      </c>
      <c r="AA679" s="8">
        <f>IF(B679="","",IF(R679&gt;=C679,"In pantry","To buy"))</f>
        <v>0</v>
      </c>
      <c r="AB679" s="8">
        <f>IF(A679="","",COUNTIFS($A$5:A679,A679))</f>
        <v>0</v>
      </c>
      <c r="AC679" s="8">
        <f>IF(B679="","",IF(COUNTIFS('Dietary Filters'!$C$5:$C$104,B679)&gt;0,"Check","OK"))</f>
        <v>0</v>
      </c>
      <c r="AD679" s="25"/>
    </row>
    <row r="680" spans="1:30">
      <c r="A680" s="7"/>
      <c r="B680" s="7"/>
      <c r="C680" s="26"/>
      <c r="D680" s="27"/>
      <c r="E680" s="8">
        <f>IF(B680="","",IFERROR(INDEX(Ingredients!$B$5:$B$304,MATCH(B680,Ingredients!$A$5:$A$304,0)),""))</f>
        <v>0</v>
      </c>
      <c r="F680" s="8">
        <f>IF(B680="","",IFERROR(INDEX(Ingredients!$E$5:$E$304,MATCH(B680,Ingredients!$A$5:$A$304,0)),""))</f>
        <v>0</v>
      </c>
      <c r="G680" s="8">
        <f>IF(B680="","",IFERROR(INDEX(Ingredients!$D$5:$D$304,MATCH(B680,Ingredients!$A$5:$A$304,0)),""))</f>
        <v>0</v>
      </c>
      <c r="H680" s="8">
        <f>IF(OR(B680="",C680=""),"",IFERROR(C680*G680,""))</f>
        <v>0</v>
      </c>
      <c r="I680" s="8">
        <f>IF(A680="","",IFERROR(INDEX(Recipes!$D$5:$D$204,MATCH(A680,Recipes!$A$5:$A$204,0)),""))</f>
        <v>0</v>
      </c>
      <c r="J680" s="8">
        <f>IF(OR(H680="",I680="",I680=0),"",IFERROR(H680/I680,""))</f>
        <v>0</v>
      </c>
      <c r="K680" s="8">
        <f>IF(OR(B680="",C680=""),"",IFERROR(C680*IFERROR(INDEX(Ingredients!$H$5:$H$304,MATCH(B680,Ingredients!$A$5:$A$304,0)),""),""))</f>
        <v>0</v>
      </c>
      <c r="L680" s="8">
        <f>IF(OR(B680="",C680=""),"",IFERROR(C680*IFERROR(INDEX(Ingredients!$I$5:$I$304,MATCH(B680,Ingredients!$A$5:$A$304,0)),""),""))</f>
        <v>0</v>
      </c>
      <c r="M680" s="8">
        <f>IF(OR(B680="",C680=""),"",IFERROR(C680*IFERROR(INDEX(Ingredients!$J$5:$J$304,MATCH(B680,Ingredients!$A$5:$A$304,0)),""),""))</f>
        <v>0</v>
      </c>
      <c r="N680" s="8">
        <f>IF(OR(B680="",C680=""),"",IFERROR(C680*IFERROR(INDEX(Ingredients!$K$5:$K$304,MATCH(B680,Ingredients!$A$5:$A$304,0)),""),""))</f>
        <v>0</v>
      </c>
      <c r="O680" s="8">
        <f>IF(OR(B680="",C680=""),"",IFERROR(C680*IFERROR(INDEX(Ingredients!$L$5:$L$304,MATCH(B680,Ingredients!$A$5:$A$304,0)),""),""))</f>
        <v>0</v>
      </c>
      <c r="P680" s="8">
        <f>IF(OR(H680="",A680=""),"",IFERROR(H680/SUMIFS('Recipe Ingredients'!$H$5:$H$1204,'Recipe Ingredients'!$A$5:$A$1204,A680),""))</f>
        <v>0</v>
      </c>
      <c r="Q680" s="8">
        <f>IF(H680="","",COUNTIFS($H$5:$H$1204,"&gt;"&amp;H680)+1)</f>
        <v>0</v>
      </c>
      <c r="R680" s="8">
        <f>IF(B680="","",SUMIFS(Pantry!$C$5:$C$304,Pantry!$A$5:$A$304,B680))</f>
        <v>0</v>
      </c>
      <c r="S680" s="8">
        <f>IF(OR(B680="",C680=""),"",MAX(0,C680-R680))</f>
        <v>0</v>
      </c>
      <c r="T680" s="26"/>
      <c r="U680" s="8">
        <f>IF(OR(T680="",T680=0,G680=""),"",T680*G680)</f>
        <v>0</v>
      </c>
      <c r="V680" s="8">
        <f>IF(OR(S680="",T680="",T680=0),"",CEILING(S680/T680,1))</f>
        <v>0</v>
      </c>
      <c r="W680" s="27"/>
      <c r="X680" s="29"/>
      <c r="Y680" s="8">
        <f>IF(OR(C680="",X680=""),"",C680*(1+X680))</f>
        <v>0</v>
      </c>
      <c r="Z680" s="8">
        <f>IF(B680="","",IFERROR(INDEX(Ingredients!$O$5:$O$304,MATCH(B680,Ingredients!$A$5:$A$304,0)),""))</f>
        <v>0</v>
      </c>
      <c r="AA680" s="8">
        <f>IF(B680="","",IF(R680&gt;=C680,"In pantry","To buy"))</f>
        <v>0</v>
      </c>
      <c r="AB680" s="8">
        <f>IF(A680="","",COUNTIFS($A$5:A680,A680))</f>
        <v>0</v>
      </c>
      <c r="AC680" s="8">
        <f>IF(B680="","",IF(COUNTIFS('Dietary Filters'!$C$5:$C$104,B680)&gt;0,"Check","OK"))</f>
        <v>0</v>
      </c>
      <c r="AD680" s="25"/>
    </row>
    <row r="681" spans="1:30">
      <c r="A681" s="7"/>
      <c r="B681" s="7"/>
      <c r="C681" s="26"/>
      <c r="D681" s="27"/>
      <c r="E681" s="8">
        <f>IF(B681="","",IFERROR(INDEX(Ingredients!$B$5:$B$304,MATCH(B681,Ingredients!$A$5:$A$304,0)),""))</f>
        <v>0</v>
      </c>
      <c r="F681" s="8">
        <f>IF(B681="","",IFERROR(INDEX(Ingredients!$E$5:$E$304,MATCH(B681,Ingredients!$A$5:$A$304,0)),""))</f>
        <v>0</v>
      </c>
      <c r="G681" s="8">
        <f>IF(B681="","",IFERROR(INDEX(Ingredients!$D$5:$D$304,MATCH(B681,Ingredients!$A$5:$A$304,0)),""))</f>
        <v>0</v>
      </c>
      <c r="H681" s="8">
        <f>IF(OR(B681="",C681=""),"",IFERROR(C681*G681,""))</f>
        <v>0</v>
      </c>
      <c r="I681" s="8">
        <f>IF(A681="","",IFERROR(INDEX(Recipes!$D$5:$D$204,MATCH(A681,Recipes!$A$5:$A$204,0)),""))</f>
        <v>0</v>
      </c>
      <c r="J681" s="8">
        <f>IF(OR(H681="",I681="",I681=0),"",IFERROR(H681/I681,""))</f>
        <v>0</v>
      </c>
      <c r="K681" s="8">
        <f>IF(OR(B681="",C681=""),"",IFERROR(C681*IFERROR(INDEX(Ingredients!$H$5:$H$304,MATCH(B681,Ingredients!$A$5:$A$304,0)),""),""))</f>
        <v>0</v>
      </c>
      <c r="L681" s="8">
        <f>IF(OR(B681="",C681=""),"",IFERROR(C681*IFERROR(INDEX(Ingredients!$I$5:$I$304,MATCH(B681,Ingredients!$A$5:$A$304,0)),""),""))</f>
        <v>0</v>
      </c>
      <c r="M681" s="8">
        <f>IF(OR(B681="",C681=""),"",IFERROR(C681*IFERROR(INDEX(Ingredients!$J$5:$J$304,MATCH(B681,Ingredients!$A$5:$A$304,0)),""),""))</f>
        <v>0</v>
      </c>
      <c r="N681" s="8">
        <f>IF(OR(B681="",C681=""),"",IFERROR(C681*IFERROR(INDEX(Ingredients!$K$5:$K$304,MATCH(B681,Ingredients!$A$5:$A$304,0)),""),""))</f>
        <v>0</v>
      </c>
      <c r="O681" s="8">
        <f>IF(OR(B681="",C681=""),"",IFERROR(C681*IFERROR(INDEX(Ingredients!$L$5:$L$304,MATCH(B681,Ingredients!$A$5:$A$304,0)),""),""))</f>
        <v>0</v>
      </c>
      <c r="P681" s="8">
        <f>IF(OR(H681="",A681=""),"",IFERROR(H681/SUMIFS('Recipe Ingredients'!$H$5:$H$1204,'Recipe Ingredients'!$A$5:$A$1204,A681),""))</f>
        <v>0</v>
      </c>
      <c r="Q681" s="8">
        <f>IF(H681="","",COUNTIFS($H$5:$H$1204,"&gt;"&amp;H681)+1)</f>
        <v>0</v>
      </c>
      <c r="R681" s="8">
        <f>IF(B681="","",SUMIFS(Pantry!$C$5:$C$304,Pantry!$A$5:$A$304,B681))</f>
        <v>0</v>
      </c>
      <c r="S681" s="8">
        <f>IF(OR(B681="",C681=""),"",MAX(0,C681-R681))</f>
        <v>0</v>
      </c>
      <c r="T681" s="26"/>
      <c r="U681" s="8">
        <f>IF(OR(T681="",T681=0,G681=""),"",T681*G681)</f>
        <v>0</v>
      </c>
      <c r="V681" s="8">
        <f>IF(OR(S681="",T681="",T681=0),"",CEILING(S681/T681,1))</f>
        <v>0</v>
      </c>
      <c r="W681" s="27"/>
      <c r="X681" s="29"/>
      <c r="Y681" s="8">
        <f>IF(OR(C681="",X681=""),"",C681*(1+X681))</f>
        <v>0</v>
      </c>
      <c r="Z681" s="8">
        <f>IF(B681="","",IFERROR(INDEX(Ingredients!$O$5:$O$304,MATCH(B681,Ingredients!$A$5:$A$304,0)),""))</f>
        <v>0</v>
      </c>
      <c r="AA681" s="8">
        <f>IF(B681="","",IF(R681&gt;=C681,"In pantry","To buy"))</f>
        <v>0</v>
      </c>
      <c r="AB681" s="8">
        <f>IF(A681="","",COUNTIFS($A$5:A681,A681))</f>
        <v>0</v>
      </c>
      <c r="AC681" s="8">
        <f>IF(B681="","",IF(COUNTIFS('Dietary Filters'!$C$5:$C$104,B681)&gt;0,"Check","OK"))</f>
        <v>0</v>
      </c>
      <c r="AD681" s="25"/>
    </row>
    <row r="682" spans="1:30">
      <c r="A682" s="7"/>
      <c r="B682" s="7"/>
      <c r="C682" s="26"/>
      <c r="D682" s="27"/>
      <c r="E682" s="8">
        <f>IF(B682="","",IFERROR(INDEX(Ingredients!$B$5:$B$304,MATCH(B682,Ingredients!$A$5:$A$304,0)),""))</f>
        <v>0</v>
      </c>
      <c r="F682" s="8">
        <f>IF(B682="","",IFERROR(INDEX(Ingredients!$E$5:$E$304,MATCH(B682,Ingredients!$A$5:$A$304,0)),""))</f>
        <v>0</v>
      </c>
      <c r="G682" s="8">
        <f>IF(B682="","",IFERROR(INDEX(Ingredients!$D$5:$D$304,MATCH(B682,Ingredients!$A$5:$A$304,0)),""))</f>
        <v>0</v>
      </c>
      <c r="H682" s="8">
        <f>IF(OR(B682="",C682=""),"",IFERROR(C682*G682,""))</f>
        <v>0</v>
      </c>
      <c r="I682" s="8">
        <f>IF(A682="","",IFERROR(INDEX(Recipes!$D$5:$D$204,MATCH(A682,Recipes!$A$5:$A$204,0)),""))</f>
        <v>0</v>
      </c>
      <c r="J682" s="8">
        <f>IF(OR(H682="",I682="",I682=0),"",IFERROR(H682/I682,""))</f>
        <v>0</v>
      </c>
      <c r="K682" s="8">
        <f>IF(OR(B682="",C682=""),"",IFERROR(C682*IFERROR(INDEX(Ingredients!$H$5:$H$304,MATCH(B682,Ingredients!$A$5:$A$304,0)),""),""))</f>
        <v>0</v>
      </c>
      <c r="L682" s="8">
        <f>IF(OR(B682="",C682=""),"",IFERROR(C682*IFERROR(INDEX(Ingredients!$I$5:$I$304,MATCH(B682,Ingredients!$A$5:$A$304,0)),""),""))</f>
        <v>0</v>
      </c>
      <c r="M682" s="8">
        <f>IF(OR(B682="",C682=""),"",IFERROR(C682*IFERROR(INDEX(Ingredients!$J$5:$J$304,MATCH(B682,Ingredients!$A$5:$A$304,0)),""),""))</f>
        <v>0</v>
      </c>
      <c r="N682" s="8">
        <f>IF(OR(B682="",C682=""),"",IFERROR(C682*IFERROR(INDEX(Ingredients!$K$5:$K$304,MATCH(B682,Ingredients!$A$5:$A$304,0)),""),""))</f>
        <v>0</v>
      </c>
      <c r="O682" s="8">
        <f>IF(OR(B682="",C682=""),"",IFERROR(C682*IFERROR(INDEX(Ingredients!$L$5:$L$304,MATCH(B682,Ingredients!$A$5:$A$304,0)),""),""))</f>
        <v>0</v>
      </c>
      <c r="P682" s="8">
        <f>IF(OR(H682="",A682=""),"",IFERROR(H682/SUMIFS('Recipe Ingredients'!$H$5:$H$1204,'Recipe Ingredients'!$A$5:$A$1204,A682),""))</f>
        <v>0</v>
      </c>
      <c r="Q682" s="8">
        <f>IF(H682="","",COUNTIFS($H$5:$H$1204,"&gt;"&amp;H682)+1)</f>
        <v>0</v>
      </c>
      <c r="R682" s="8">
        <f>IF(B682="","",SUMIFS(Pantry!$C$5:$C$304,Pantry!$A$5:$A$304,B682))</f>
        <v>0</v>
      </c>
      <c r="S682" s="8">
        <f>IF(OR(B682="",C682=""),"",MAX(0,C682-R682))</f>
        <v>0</v>
      </c>
      <c r="T682" s="26"/>
      <c r="U682" s="8">
        <f>IF(OR(T682="",T682=0,G682=""),"",T682*G682)</f>
        <v>0</v>
      </c>
      <c r="V682" s="8">
        <f>IF(OR(S682="",T682="",T682=0),"",CEILING(S682/T682,1))</f>
        <v>0</v>
      </c>
      <c r="W682" s="27"/>
      <c r="X682" s="29"/>
      <c r="Y682" s="8">
        <f>IF(OR(C682="",X682=""),"",C682*(1+X682))</f>
        <v>0</v>
      </c>
      <c r="Z682" s="8">
        <f>IF(B682="","",IFERROR(INDEX(Ingredients!$O$5:$O$304,MATCH(B682,Ingredients!$A$5:$A$304,0)),""))</f>
        <v>0</v>
      </c>
      <c r="AA682" s="8">
        <f>IF(B682="","",IF(R682&gt;=C682,"In pantry","To buy"))</f>
        <v>0</v>
      </c>
      <c r="AB682" s="8">
        <f>IF(A682="","",COUNTIFS($A$5:A682,A682))</f>
        <v>0</v>
      </c>
      <c r="AC682" s="8">
        <f>IF(B682="","",IF(COUNTIFS('Dietary Filters'!$C$5:$C$104,B682)&gt;0,"Check","OK"))</f>
        <v>0</v>
      </c>
      <c r="AD682" s="25"/>
    </row>
    <row r="683" spans="1:30">
      <c r="A683" s="7"/>
      <c r="B683" s="7"/>
      <c r="C683" s="26"/>
      <c r="D683" s="27"/>
      <c r="E683" s="8">
        <f>IF(B683="","",IFERROR(INDEX(Ingredients!$B$5:$B$304,MATCH(B683,Ingredients!$A$5:$A$304,0)),""))</f>
        <v>0</v>
      </c>
      <c r="F683" s="8">
        <f>IF(B683="","",IFERROR(INDEX(Ingredients!$E$5:$E$304,MATCH(B683,Ingredients!$A$5:$A$304,0)),""))</f>
        <v>0</v>
      </c>
      <c r="G683" s="8">
        <f>IF(B683="","",IFERROR(INDEX(Ingredients!$D$5:$D$304,MATCH(B683,Ingredients!$A$5:$A$304,0)),""))</f>
        <v>0</v>
      </c>
      <c r="H683" s="8">
        <f>IF(OR(B683="",C683=""),"",IFERROR(C683*G683,""))</f>
        <v>0</v>
      </c>
      <c r="I683" s="8">
        <f>IF(A683="","",IFERROR(INDEX(Recipes!$D$5:$D$204,MATCH(A683,Recipes!$A$5:$A$204,0)),""))</f>
        <v>0</v>
      </c>
      <c r="J683" s="8">
        <f>IF(OR(H683="",I683="",I683=0),"",IFERROR(H683/I683,""))</f>
        <v>0</v>
      </c>
      <c r="K683" s="8">
        <f>IF(OR(B683="",C683=""),"",IFERROR(C683*IFERROR(INDEX(Ingredients!$H$5:$H$304,MATCH(B683,Ingredients!$A$5:$A$304,0)),""),""))</f>
        <v>0</v>
      </c>
      <c r="L683" s="8">
        <f>IF(OR(B683="",C683=""),"",IFERROR(C683*IFERROR(INDEX(Ingredients!$I$5:$I$304,MATCH(B683,Ingredients!$A$5:$A$304,0)),""),""))</f>
        <v>0</v>
      </c>
      <c r="M683" s="8">
        <f>IF(OR(B683="",C683=""),"",IFERROR(C683*IFERROR(INDEX(Ingredients!$J$5:$J$304,MATCH(B683,Ingredients!$A$5:$A$304,0)),""),""))</f>
        <v>0</v>
      </c>
      <c r="N683" s="8">
        <f>IF(OR(B683="",C683=""),"",IFERROR(C683*IFERROR(INDEX(Ingredients!$K$5:$K$304,MATCH(B683,Ingredients!$A$5:$A$304,0)),""),""))</f>
        <v>0</v>
      </c>
      <c r="O683" s="8">
        <f>IF(OR(B683="",C683=""),"",IFERROR(C683*IFERROR(INDEX(Ingredients!$L$5:$L$304,MATCH(B683,Ingredients!$A$5:$A$304,0)),""),""))</f>
        <v>0</v>
      </c>
      <c r="P683" s="8">
        <f>IF(OR(H683="",A683=""),"",IFERROR(H683/SUMIFS('Recipe Ingredients'!$H$5:$H$1204,'Recipe Ingredients'!$A$5:$A$1204,A683),""))</f>
        <v>0</v>
      </c>
      <c r="Q683" s="8">
        <f>IF(H683="","",COUNTIFS($H$5:$H$1204,"&gt;"&amp;H683)+1)</f>
        <v>0</v>
      </c>
      <c r="R683" s="8">
        <f>IF(B683="","",SUMIFS(Pantry!$C$5:$C$304,Pantry!$A$5:$A$304,B683))</f>
        <v>0</v>
      </c>
      <c r="S683" s="8">
        <f>IF(OR(B683="",C683=""),"",MAX(0,C683-R683))</f>
        <v>0</v>
      </c>
      <c r="T683" s="26"/>
      <c r="U683" s="8">
        <f>IF(OR(T683="",T683=0,G683=""),"",T683*G683)</f>
        <v>0</v>
      </c>
      <c r="V683" s="8">
        <f>IF(OR(S683="",T683="",T683=0),"",CEILING(S683/T683,1))</f>
        <v>0</v>
      </c>
      <c r="W683" s="27"/>
      <c r="X683" s="29"/>
      <c r="Y683" s="8">
        <f>IF(OR(C683="",X683=""),"",C683*(1+X683))</f>
        <v>0</v>
      </c>
      <c r="Z683" s="8">
        <f>IF(B683="","",IFERROR(INDEX(Ingredients!$O$5:$O$304,MATCH(B683,Ingredients!$A$5:$A$304,0)),""))</f>
        <v>0</v>
      </c>
      <c r="AA683" s="8">
        <f>IF(B683="","",IF(R683&gt;=C683,"In pantry","To buy"))</f>
        <v>0</v>
      </c>
      <c r="AB683" s="8">
        <f>IF(A683="","",COUNTIFS($A$5:A683,A683))</f>
        <v>0</v>
      </c>
      <c r="AC683" s="8">
        <f>IF(B683="","",IF(COUNTIFS('Dietary Filters'!$C$5:$C$104,B683)&gt;0,"Check","OK"))</f>
        <v>0</v>
      </c>
      <c r="AD683" s="25"/>
    </row>
    <row r="684" spans="1:30">
      <c r="A684" s="7"/>
      <c r="B684" s="7"/>
      <c r="C684" s="26"/>
      <c r="D684" s="27"/>
      <c r="E684" s="8">
        <f>IF(B684="","",IFERROR(INDEX(Ingredients!$B$5:$B$304,MATCH(B684,Ingredients!$A$5:$A$304,0)),""))</f>
        <v>0</v>
      </c>
      <c r="F684" s="8">
        <f>IF(B684="","",IFERROR(INDEX(Ingredients!$E$5:$E$304,MATCH(B684,Ingredients!$A$5:$A$304,0)),""))</f>
        <v>0</v>
      </c>
      <c r="G684" s="8">
        <f>IF(B684="","",IFERROR(INDEX(Ingredients!$D$5:$D$304,MATCH(B684,Ingredients!$A$5:$A$304,0)),""))</f>
        <v>0</v>
      </c>
      <c r="H684" s="8">
        <f>IF(OR(B684="",C684=""),"",IFERROR(C684*G684,""))</f>
        <v>0</v>
      </c>
      <c r="I684" s="8">
        <f>IF(A684="","",IFERROR(INDEX(Recipes!$D$5:$D$204,MATCH(A684,Recipes!$A$5:$A$204,0)),""))</f>
        <v>0</v>
      </c>
      <c r="J684" s="8">
        <f>IF(OR(H684="",I684="",I684=0),"",IFERROR(H684/I684,""))</f>
        <v>0</v>
      </c>
      <c r="K684" s="8">
        <f>IF(OR(B684="",C684=""),"",IFERROR(C684*IFERROR(INDEX(Ingredients!$H$5:$H$304,MATCH(B684,Ingredients!$A$5:$A$304,0)),""),""))</f>
        <v>0</v>
      </c>
      <c r="L684" s="8">
        <f>IF(OR(B684="",C684=""),"",IFERROR(C684*IFERROR(INDEX(Ingredients!$I$5:$I$304,MATCH(B684,Ingredients!$A$5:$A$304,0)),""),""))</f>
        <v>0</v>
      </c>
      <c r="M684" s="8">
        <f>IF(OR(B684="",C684=""),"",IFERROR(C684*IFERROR(INDEX(Ingredients!$J$5:$J$304,MATCH(B684,Ingredients!$A$5:$A$304,0)),""),""))</f>
        <v>0</v>
      </c>
      <c r="N684" s="8">
        <f>IF(OR(B684="",C684=""),"",IFERROR(C684*IFERROR(INDEX(Ingredients!$K$5:$K$304,MATCH(B684,Ingredients!$A$5:$A$304,0)),""),""))</f>
        <v>0</v>
      </c>
      <c r="O684" s="8">
        <f>IF(OR(B684="",C684=""),"",IFERROR(C684*IFERROR(INDEX(Ingredients!$L$5:$L$304,MATCH(B684,Ingredients!$A$5:$A$304,0)),""),""))</f>
        <v>0</v>
      </c>
      <c r="P684" s="8">
        <f>IF(OR(H684="",A684=""),"",IFERROR(H684/SUMIFS('Recipe Ingredients'!$H$5:$H$1204,'Recipe Ingredients'!$A$5:$A$1204,A684),""))</f>
        <v>0</v>
      </c>
      <c r="Q684" s="8">
        <f>IF(H684="","",COUNTIFS($H$5:$H$1204,"&gt;"&amp;H684)+1)</f>
        <v>0</v>
      </c>
      <c r="R684" s="8">
        <f>IF(B684="","",SUMIFS(Pantry!$C$5:$C$304,Pantry!$A$5:$A$304,B684))</f>
        <v>0</v>
      </c>
      <c r="S684" s="8">
        <f>IF(OR(B684="",C684=""),"",MAX(0,C684-R684))</f>
        <v>0</v>
      </c>
      <c r="T684" s="26"/>
      <c r="U684" s="8">
        <f>IF(OR(T684="",T684=0,G684=""),"",T684*G684)</f>
        <v>0</v>
      </c>
      <c r="V684" s="8">
        <f>IF(OR(S684="",T684="",T684=0),"",CEILING(S684/T684,1))</f>
        <v>0</v>
      </c>
      <c r="W684" s="27"/>
      <c r="X684" s="29"/>
      <c r="Y684" s="8">
        <f>IF(OR(C684="",X684=""),"",C684*(1+X684))</f>
        <v>0</v>
      </c>
      <c r="Z684" s="8">
        <f>IF(B684="","",IFERROR(INDEX(Ingredients!$O$5:$O$304,MATCH(B684,Ingredients!$A$5:$A$304,0)),""))</f>
        <v>0</v>
      </c>
      <c r="AA684" s="8">
        <f>IF(B684="","",IF(R684&gt;=C684,"In pantry","To buy"))</f>
        <v>0</v>
      </c>
      <c r="AB684" s="8">
        <f>IF(A684="","",COUNTIFS($A$5:A684,A684))</f>
        <v>0</v>
      </c>
      <c r="AC684" s="8">
        <f>IF(B684="","",IF(COUNTIFS('Dietary Filters'!$C$5:$C$104,B684)&gt;0,"Check","OK"))</f>
        <v>0</v>
      </c>
      <c r="AD684" s="25"/>
    </row>
    <row r="685" spans="1:30">
      <c r="A685" s="7"/>
      <c r="B685" s="7"/>
      <c r="C685" s="26"/>
      <c r="D685" s="27"/>
      <c r="E685" s="8">
        <f>IF(B685="","",IFERROR(INDEX(Ingredients!$B$5:$B$304,MATCH(B685,Ingredients!$A$5:$A$304,0)),""))</f>
        <v>0</v>
      </c>
      <c r="F685" s="8">
        <f>IF(B685="","",IFERROR(INDEX(Ingredients!$E$5:$E$304,MATCH(B685,Ingredients!$A$5:$A$304,0)),""))</f>
        <v>0</v>
      </c>
      <c r="G685" s="8">
        <f>IF(B685="","",IFERROR(INDEX(Ingredients!$D$5:$D$304,MATCH(B685,Ingredients!$A$5:$A$304,0)),""))</f>
        <v>0</v>
      </c>
      <c r="H685" s="8">
        <f>IF(OR(B685="",C685=""),"",IFERROR(C685*G685,""))</f>
        <v>0</v>
      </c>
      <c r="I685" s="8">
        <f>IF(A685="","",IFERROR(INDEX(Recipes!$D$5:$D$204,MATCH(A685,Recipes!$A$5:$A$204,0)),""))</f>
        <v>0</v>
      </c>
      <c r="J685" s="8">
        <f>IF(OR(H685="",I685="",I685=0),"",IFERROR(H685/I685,""))</f>
        <v>0</v>
      </c>
      <c r="K685" s="8">
        <f>IF(OR(B685="",C685=""),"",IFERROR(C685*IFERROR(INDEX(Ingredients!$H$5:$H$304,MATCH(B685,Ingredients!$A$5:$A$304,0)),""),""))</f>
        <v>0</v>
      </c>
      <c r="L685" s="8">
        <f>IF(OR(B685="",C685=""),"",IFERROR(C685*IFERROR(INDEX(Ingredients!$I$5:$I$304,MATCH(B685,Ingredients!$A$5:$A$304,0)),""),""))</f>
        <v>0</v>
      </c>
      <c r="M685" s="8">
        <f>IF(OR(B685="",C685=""),"",IFERROR(C685*IFERROR(INDEX(Ingredients!$J$5:$J$304,MATCH(B685,Ingredients!$A$5:$A$304,0)),""),""))</f>
        <v>0</v>
      </c>
      <c r="N685" s="8">
        <f>IF(OR(B685="",C685=""),"",IFERROR(C685*IFERROR(INDEX(Ingredients!$K$5:$K$304,MATCH(B685,Ingredients!$A$5:$A$304,0)),""),""))</f>
        <v>0</v>
      </c>
      <c r="O685" s="8">
        <f>IF(OR(B685="",C685=""),"",IFERROR(C685*IFERROR(INDEX(Ingredients!$L$5:$L$304,MATCH(B685,Ingredients!$A$5:$A$304,0)),""),""))</f>
        <v>0</v>
      </c>
      <c r="P685" s="8">
        <f>IF(OR(H685="",A685=""),"",IFERROR(H685/SUMIFS('Recipe Ingredients'!$H$5:$H$1204,'Recipe Ingredients'!$A$5:$A$1204,A685),""))</f>
        <v>0</v>
      </c>
      <c r="Q685" s="8">
        <f>IF(H685="","",COUNTIFS($H$5:$H$1204,"&gt;"&amp;H685)+1)</f>
        <v>0</v>
      </c>
      <c r="R685" s="8">
        <f>IF(B685="","",SUMIFS(Pantry!$C$5:$C$304,Pantry!$A$5:$A$304,B685))</f>
        <v>0</v>
      </c>
      <c r="S685" s="8">
        <f>IF(OR(B685="",C685=""),"",MAX(0,C685-R685))</f>
        <v>0</v>
      </c>
      <c r="T685" s="26"/>
      <c r="U685" s="8">
        <f>IF(OR(T685="",T685=0,G685=""),"",T685*G685)</f>
        <v>0</v>
      </c>
      <c r="V685" s="8">
        <f>IF(OR(S685="",T685="",T685=0),"",CEILING(S685/T685,1))</f>
        <v>0</v>
      </c>
      <c r="W685" s="27"/>
      <c r="X685" s="29"/>
      <c r="Y685" s="8">
        <f>IF(OR(C685="",X685=""),"",C685*(1+X685))</f>
        <v>0</v>
      </c>
      <c r="Z685" s="8">
        <f>IF(B685="","",IFERROR(INDEX(Ingredients!$O$5:$O$304,MATCH(B685,Ingredients!$A$5:$A$304,0)),""))</f>
        <v>0</v>
      </c>
      <c r="AA685" s="8">
        <f>IF(B685="","",IF(R685&gt;=C685,"In pantry","To buy"))</f>
        <v>0</v>
      </c>
      <c r="AB685" s="8">
        <f>IF(A685="","",COUNTIFS($A$5:A685,A685))</f>
        <v>0</v>
      </c>
      <c r="AC685" s="8">
        <f>IF(B685="","",IF(COUNTIFS('Dietary Filters'!$C$5:$C$104,B685)&gt;0,"Check","OK"))</f>
        <v>0</v>
      </c>
      <c r="AD685" s="25"/>
    </row>
    <row r="686" spans="1:30">
      <c r="A686" s="7"/>
      <c r="B686" s="7"/>
      <c r="C686" s="26"/>
      <c r="D686" s="27"/>
      <c r="E686" s="8">
        <f>IF(B686="","",IFERROR(INDEX(Ingredients!$B$5:$B$304,MATCH(B686,Ingredients!$A$5:$A$304,0)),""))</f>
        <v>0</v>
      </c>
      <c r="F686" s="8">
        <f>IF(B686="","",IFERROR(INDEX(Ingredients!$E$5:$E$304,MATCH(B686,Ingredients!$A$5:$A$304,0)),""))</f>
        <v>0</v>
      </c>
      <c r="G686" s="8">
        <f>IF(B686="","",IFERROR(INDEX(Ingredients!$D$5:$D$304,MATCH(B686,Ingredients!$A$5:$A$304,0)),""))</f>
        <v>0</v>
      </c>
      <c r="H686" s="8">
        <f>IF(OR(B686="",C686=""),"",IFERROR(C686*G686,""))</f>
        <v>0</v>
      </c>
      <c r="I686" s="8">
        <f>IF(A686="","",IFERROR(INDEX(Recipes!$D$5:$D$204,MATCH(A686,Recipes!$A$5:$A$204,0)),""))</f>
        <v>0</v>
      </c>
      <c r="J686" s="8">
        <f>IF(OR(H686="",I686="",I686=0),"",IFERROR(H686/I686,""))</f>
        <v>0</v>
      </c>
      <c r="K686" s="8">
        <f>IF(OR(B686="",C686=""),"",IFERROR(C686*IFERROR(INDEX(Ingredients!$H$5:$H$304,MATCH(B686,Ingredients!$A$5:$A$304,0)),""),""))</f>
        <v>0</v>
      </c>
      <c r="L686" s="8">
        <f>IF(OR(B686="",C686=""),"",IFERROR(C686*IFERROR(INDEX(Ingredients!$I$5:$I$304,MATCH(B686,Ingredients!$A$5:$A$304,0)),""),""))</f>
        <v>0</v>
      </c>
      <c r="M686" s="8">
        <f>IF(OR(B686="",C686=""),"",IFERROR(C686*IFERROR(INDEX(Ingredients!$J$5:$J$304,MATCH(B686,Ingredients!$A$5:$A$304,0)),""),""))</f>
        <v>0</v>
      </c>
      <c r="N686" s="8">
        <f>IF(OR(B686="",C686=""),"",IFERROR(C686*IFERROR(INDEX(Ingredients!$K$5:$K$304,MATCH(B686,Ingredients!$A$5:$A$304,0)),""),""))</f>
        <v>0</v>
      </c>
      <c r="O686" s="8">
        <f>IF(OR(B686="",C686=""),"",IFERROR(C686*IFERROR(INDEX(Ingredients!$L$5:$L$304,MATCH(B686,Ingredients!$A$5:$A$304,0)),""),""))</f>
        <v>0</v>
      </c>
      <c r="P686" s="8">
        <f>IF(OR(H686="",A686=""),"",IFERROR(H686/SUMIFS('Recipe Ingredients'!$H$5:$H$1204,'Recipe Ingredients'!$A$5:$A$1204,A686),""))</f>
        <v>0</v>
      </c>
      <c r="Q686" s="8">
        <f>IF(H686="","",COUNTIFS($H$5:$H$1204,"&gt;"&amp;H686)+1)</f>
        <v>0</v>
      </c>
      <c r="R686" s="8">
        <f>IF(B686="","",SUMIFS(Pantry!$C$5:$C$304,Pantry!$A$5:$A$304,B686))</f>
        <v>0</v>
      </c>
      <c r="S686" s="8">
        <f>IF(OR(B686="",C686=""),"",MAX(0,C686-R686))</f>
        <v>0</v>
      </c>
      <c r="T686" s="26"/>
      <c r="U686" s="8">
        <f>IF(OR(T686="",T686=0,G686=""),"",T686*G686)</f>
        <v>0</v>
      </c>
      <c r="V686" s="8">
        <f>IF(OR(S686="",T686="",T686=0),"",CEILING(S686/T686,1))</f>
        <v>0</v>
      </c>
      <c r="W686" s="27"/>
      <c r="X686" s="29"/>
      <c r="Y686" s="8">
        <f>IF(OR(C686="",X686=""),"",C686*(1+X686))</f>
        <v>0</v>
      </c>
      <c r="Z686" s="8">
        <f>IF(B686="","",IFERROR(INDEX(Ingredients!$O$5:$O$304,MATCH(B686,Ingredients!$A$5:$A$304,0)),""))</f>
        <v>0</v>
      </c>
      <c r="AA686" s="8">
        <f>IF(B686="","",IF(R686&gt;=C686,"In pantry","To buy"))</f>
        <v>0</v>
      </c>
      <c r="AB686" s="8">
        <f>IF(A686="","",COUNTIFS($A$5:A686,A686))</f>
        <v>0</v>
      </c>
      <c r="AC686" s="8">
        <f>IF(B686="","",IF(COUNTIFS('Dietary Filters'!$C$5:$C$104,B686)&gt;0,"Check","OK"))</f>
        <v>0</v>
      </c>
      <c r="AD686" s="25"/>
    </row>
    <row r="687" spans="1:30">
      <c r="A687" s="7"/>
      <c r="B687" s="7"/>
      <c r="C687" s="26"/>
      <c r="D687" s="27"/>
      <c r="E687" s="8">
        <f>IF(B687="","",IFERROR(INDEX(Ingredients!$B$5:$B$304,MATCH(B687,Ingredients!$A$5:$A$304,0)),""))</f>
        <v>0</v>
      </c>
      <c r="F687" s="8">
        <f>IF(B687="","",IFERROR(INDEX(Ingredients!$E$5:$E$304,MATCH(B687,Ingredients!$A$5:$A$304,0)),""))</f>
        <v>0</v>
      </c>
      <c r="G687" s="8">
        <f>IF(B687="","",IFERROR(INDEX(Ingredients!$D$5:$D$304,MATCH(B687,Ingredients!$A$5:$A$304,0)),""))</f>
        <v>0</v>
      </c>
      <c r="H687" s="8">
        <f>IF(OR(B687="",C687=""),"",IFERROR(C687*G687,""))</f>
        <v>0</v>
      </c>
      <c r="I687" s="8">
        <f>IF(A687="","",IFERROR(INDEX(Recipes!$D$5:$D$204,MATCH(A687,Recipes!$A$5:$A$204,0)),""))</f>
        <v>0</v>
      </c>
      <c r="J687" s="8">
        <f>IF(OR(H687="",I687="",I687=0),"",IFERROR(H687/I687,""))</f>
        <v>0</v>
      </c>
      <c r="K687" s="8">
        <f>IF(OR(B687="",C687=""),"",IFERROR(C687*IFERROR(INDEX(Ingredients!$H$5:$H$304,MATCH(B687,Ingredients!$A$5:$A$304,0)),""),""))</f>
        <v>0</v>
      </c>
      <c r="L687" s="8">
        <f>IF(OR(B687="",C687=""),"",IFERROR(C687*IFERROR(INDEX(Ingredients!$I$5:$I$304,MATCH(B687,Ingredients!$A$5:$A$304,0)),""),""))</f>
        <v>0</v>
      </c>
      <c r="M687" s="8">
        <f>IF(OR(B687="",C687=""),"",IFERROR(C687*IFERROR(INDEX(Ingredients!$J$5:$J$304,MATCH(B687,Ingredients!$A$5:$A$304,0)),""),""))</f>
        <v>0</v>
      </c>
      <c r="N687" s="8">
        <f>IF(OR(B687="",C687=""),"",IFERROR(C687*IFERROR(INDEX(Ingredients!$K$5:$K$304,MATCH(B687,Ingredients!$A$5:$A$304,0)),""),""))</f>
        <v>0</v>
      </c>
      <c r="O687" s="8">
        <f>IF(OR(B687="",C687=""),"",IFERROR(C687*IFERROR(INDEX(Ingredients!$L$5:$L$304,MATCH(B687,Ingredients!$A$5:$A$304,0)),""),""))</f>
        <v>0</v>
      </c>
      <c r="P687" s="8">
        <f>IF(OR(H687="",A687=""),"",IFERROR(H687/SUMIFS('Recipe Ingredients'!$H$5:$H$1204,'Recipe Ingredients'!$A$5:$A$1204,A687),""))</f>
        <v>0</v>
      </c>
      <c r="Q687" s="8">
        <f>IF(H687="","",COUNTIFS($H$5:$H$1204,"&gt;"&amp;H687)+1)</f>
        <v>0</v>
      </c>
      <c r="R687" s="8">
        <f>IF(B687="","",SUMIFS(Pantry!$C$5:$C$304,Pantry!$A$5:$A$304,B687))</f>
        <v>0</v>
      </c>
      <c r="S687" s="8">
        <f>IF(OR(B687="",C687=""),"",MAX(0,C687-R687))</f>
        <v>0</v>
      </c>
      <c r="T687" s="26"/>
      <c r="U687" s="8">
        <f>IF(OR(T687="",T687=0,G687=""),"",T687*G687)</f>
        <v>0</v>
      </c>
      <c r="V687" s="8">
        <f>IF(OR(S687="",T687="",T687=0),"",CEILING(S687/T687,1))</f>
        <v>0</v>
      </c>
      <c r="W687" s="27"/>
      <c r="X687" s="29"/>
      <c r="Y687" s="8">
        <f>IF(OR(C687="",X687=""),"",C687*(1+X687))</f>
        <v>0</v>
      </c>
      <c r="Z687" s="8">
        <f>IF(B687="","",IFERROR(INDEX(Ingredients!$O$5:$O$304,MATCH(B687,Ingredients!$A$5:$A$304,0)),""))</f>
        <v>0</v>
      </c>
      <c r="AA687" s="8">
        <f>IF(B687="","",IF(R687&gt;=C687,"In pantry","To buy"))</f>
        <v>0</v>
      </c>
      <c r="AB687" s="8">
        <f>IF(A687="","",COUNTIFS($A$5:A687,A687))</f>
        <v>0</v>
      </c>
      <c r="AC687" s="8">
        <f>IF(B687="","",IF(COUNTIFS('Dietary Filters'!$C$5:$C$104,B687)&gt;0,"Check","OK"))</f>
        <v>0</v>
      </c>
      <c r="AD687" s="25"/>
    </row>
    <row r="688" spans="1:30">
      <c r="A688" s="7"/>
      <c r="B688" s="7"/>
      <c r="C688" s="26"/>
      <c r="D688" s="27"/>
      <c r="E688" s="8">
        <f>IF(B688="","",IFERROR(INDEX(Ingredients!$B$5:$B$304,MATCH(B688,Ingredients!$A$5:$A$304,0)),""))</f>
        <v>0</v>
      </c>
      <c r="F688" s="8">
        <f>IF(B688="","",IFERROR(INDEX(Ingredients!$E$5:$E$304,MATCH(B688,Ingredients!$A$5:$A$304,0)),""))</f>
        <v>0</v>
      </c>
      <c r="G688" s="8">
        <f>IF(B688="","",IFERROR(INDEX(Ingredients!$D$5:$D$304,MATCH(B688,Ingredients!$A$5:$A$304,0)),""))</f>
        <v>0</v>
      </c>
      <c r="H688" s="8">
        <f>IF(OR(B688="",C688=""),"",IFERROR(C688*G688,""))</f>
        <v>0</v>
      </c>
      <c r="I688" s="8">
        <f>IF(A688="","",IFERROR(INDEX(Recipes!$D$5:$D$204,MATCH(A688,Recipes!$A$5:$A$204,0)),""))</f>
        <v>0</v>
      </c>
      <c r="J688" s="8">
        <f>IF(OR(H688="",I688="",I688=0),"",IFERROR(H688/I688,""))</f>
        <v>0</v>
      </c>
      <c r="K688" s="8">
        <f>IF(OR(B688="",C688=""),"",IFERROR(C688*IFERROR(INDEX(Ingredients!$H$5:$H$304,MATCH(B688,Ingredients!$A$5:$A$304,0)),""),""))</f>
        <v>0</v>
      </c>
      <c r="L688" s="8">
        <f>IF(OR(B688="",C688=""),"",IFERROR(C688*IFERROR(INDEX(Ingredients!$I$5:$I$304,MATCH(B688,Ingredients!$A$5:$A$304,0)),""),""))</f>
        <v>0</v>
      </c>
      <c r="M688" s="8">
        <f>IF(OR(B688="",C688=""),"",IFERROR(C688*IFERROR(INDEX(Ingredients!$J$5:$J$304,MATCH(B688,Ingredients!$A$5:$A$304,0)),""),""))</f>
        <v>0</v>
      </c>
      <c r="N688" s="8">
        <f>IF(OR(B688="",C688=""),"",IFERROR(C688*IFERROR(INDEX(Ingredients!$K$5:$K$304,MATCH(B688,Ingredients!$A$5:$A$304,0)),""),""))</f>
        <v>0</v>
      </c>
      <c r="O688" s="8">
        <f>IF(OR(B688="",C688=""),"",IFERROR(C688*IFERROR(INDEX(Ingredients!$L$5:$L$304,MATCH(B688,Ingredients!$A$5:$A$304,0)),""),""))</f>
        <v>0</v>
      </c>
      <c r="P688" s="8">
        <f>IF(OR(H688="",A688=""),"",IFERROR(H688/SUMIFS('Recipe Ingredients'!$H$5:$H$1204,'Recipe Ingredients'!$A$5:$A$1204,A688),""))</f>
        <v>0</v>
      </c>
      <c r="Q688" s="8">
        <f>IF(H688="","",COUNTIFS($H$5:$H$1204,"&gt;"&amp;H688)+1)</f>
        <v>0</v>
      </c>
      <c r="R688" s="8">
        <f>IF(B688="","",SUMIFS(Pantry!$C$5:$C$304,Pantry!$A$5:$A$304,B688))</f>
        <v>0</v>
      </c>
      <c r="S688" s="8">
        <f>IF(OR(B688="",C688=""),"",MAX(0,C688-R688))</f>
        <v>0</v>
      </c>
      <c r="T688" s="26"/>
      <c r="U688" s="8">
        <f>IF(OR(T688="",T688=0,G688=""),"",T688*G688)</f>
        <v>0</v>
      </c>
      <c r="V688" s="8">
        <f>IF(OR(S688="",T688="",T688=0),"",CEILING(S688/T688,1))</f>
        <v>0</v>
      </c>
      <c r="W688" s="27"/>
      <c r="X688" s="29"/>
      <c r="Y688" s="8">
        <f>IF(OR(C688="",X688=""),"",C688*(1+X688))</f>
        <v>0</v>
      </c>
      <c r="Z688" s="8">
        <f>IF(B688="","",IFERROR(INDEX(Ingredients!$O$5:$O$304,MATCH(B688,Ingredients!$A$5:$A$304,0)),""))</f>
        <v>0</v>
      </c>
      <c r="AA688" s="8">
        <f>IF(B688="","",IF(R688&gt;=C688,"In pantry","To buy"))</f>
        <v>0</v>
      </c>
      <c r="AB688" s="8">
        <f>IF(A688="","",COUNTIFS($A$5:A688,A688))</f>
        <v>0</v>
      </c>
      <c r="AC688" s="8">
        <f>IF(B688="","",IF(COUNTIFS('Dietary Filters'!$C$5:$C$104,B688)&gt;0,"Check","OK"))</f>
        <v>0</v>
      </c>
      <c r="AD688" s="25"/>
    </row>
    <row r="689" spans="1:30">
      <c r="A689" s="7"/>
      <c r="B689" s="7"/>
      <c r="C689" s="26"/>
      <c r="D689" s="27"/>
      <c r="E689" s="8">
        <f>IF(B689="","",IFERROR(INDEX(Ingredients!$B$5:$B$304,MATCH(B689,Ingredients!$A$5:$A$304,0)),""))</f>
        <v>0</v>
      </c>
      <c r="F689" s="8">
        <f>IF(B689="","",IFERROR(INDEX(Ingredients!$E$5:$E$304,MATCH(B689,Ingredients!$A$5:$A$304,0)),""))</f>
        <v>0</v>
      </c>
      <c r="G689" s="8">
        <f>IF(B689="","",IFERROR(INDEX(Ingredients!$D$5:$D$304,MATCH(B689,Ingredients!$A$5:$A$304,0)),""))</f>
        <v>0</v>
      </c>
      <c r="H689" s="8">
        <f>IF(OR(B689="",C689=""),"",IFERROR(C689*G689,""))</f>
        <v>0</v>
      </c>
      <c r="I689" s="8">
        <f>IF(A689="","",IFERROR(INDEX(Recipes!$D$5:$D$204,MATCH(A689,Recipes!$A$5:$A$204,0)),""))</f>
        <v>0</v>
      </c>
      <c r="J689" s="8">
        <f>IF(OR(H689="",I689="",I689=0),"",IFERROR(H689/I689,""))</f>
        <v>0</v>
      </c>
      <c r="K689" s="8">
        <f>IF(OR(B689="",C689=""),"",IFERROR(C689*IFERROR(INDEX(Ingredients!$H$5:$H$304,MATCH(B689,Ingredients!$A$5:$A$304,0)),""),""))</f>
        <v>0</v>
      </c>
      <c r="L689" s="8">
        <f>IF(OR(B689="",C689=""),"",IFERROR(C689*IFERROR(INDEX(Ingredients!$I$5:$I$304,MATCH(B689,Ingredients!$A$5:$A$304,0)),""),""))</f>
        <v>0</v>
      </c>
      <c r="M689" s="8">
        <f>IF(OR(B689="",C689=""),"",IFERROR(C689*IFERROR(INDEX(Ingredients!$J$5:$J$304,MATCH(B689,Ingredients!$A$5:$A$304,0)),""),""))</f>
        <v>0</v>
      </c>
      <c r="N689" s="8">
        <f>IF(OR(B689="",C689=""),"",IFERROR(C689*IFERROR(INDEX(Ingredients!$K$5:$K$304,MATCH(B689,Ingredients!$A$5:$A$304,0)),""),""))</f>
        <v>0</v>
      </c>
      <c r="O689" s="8">
        <f>IF(OR(B689="",C689=""),"",IFERROR(C689*IFERROR(INDEX(Ingredients!$L$5:$L$304,MATCH(B689,Ingredients!$A$5:$A$304,0)),""),""))</f>
        <v>0</v>
      </c>
      <c r="P689" s="8">
        <f>IF(OR(H689="",A689=""),"",IFERROR(H689/SUMIFS('Recipe Ingredients'!$H$5:$H$1204,'Recipe Ingredients'!$A$5:$A$1204,A689),""))</f>
        <v>0</v>
      </c>
      <c r="Q689" s="8">
        <f>IF(H689="","",COUNTIFS($H$5:$H$1204,"&gt;"&amp;H689)+1)</f>
        <v>0</v>
      </c>
      <c r="R689" s="8">
        <f>IF(B689="","",SUMIFS(Pantry!$C$5:$C$304,Pantry!$A$5:$A$304,B689))</f>
        <v>0</v>
      </c>
      <c r="S689" s="8">
        <f>IF(OR(B689="",C689=""),"",MAX(0,C689-R689))</f>
        <v>0</v>
      </c>
      <c r="T689" s="26"/>
      <c r="U689" s="8">
        <f>IF(OR(T689="",T689=0,G689=""),"",T689*G689)</f>
        <v>0</v>
      </c>
      <c r="V689" s="8">
        <f>IF(OR(S689="",T689="",T689=0),"",CEILING(S689/T689,1))</f>
        <v>0</v>
      </c>
      <c r="W689" s="27"/>
      <c r="X689" s="29"/>
      <c r="Y689" s="8">
        <f>IF(OR(C689="",X689=""),"",C689*(1+X689))</f>
        <v>0</v>
      </c>
      <c r="Z689" s="8">
        <f>IF(B689="","",IFERROR(INDEX(Ingredients!$O$5:$O$304,MATCH(B689,Ingredients!$A$5:$A$304,0)),""))</f>
        <v>0</v>
      </c>
      <c r="AA689" s="8">
        <f>IF(B689="","",IF(R689&gt;=C689,"In pantry","To buy"))</f>
        <v>0</v>
      </c>
      <c r="AB689" s="8">
        <f>IF(A689="","",COUNTIFS($A$5:A689,A689))</f>
        <v>0</v>
      </c>
      <c r="AC689" s="8">
        <f>IF(B689="","",IF(COUNTIFS('Dietary Filters'!$C$5:$C$104,B689)&gt;0,"Check","OK"))</f>
        <v>0</v>
      </c>
      <c r="AD689" s="25"/>
    </row>
    <row r="690" spans="1:30">
      <c r="A690" s="7"/>
      <c r="B690" s="7"/>
      <c r="C690" s="26"/>
      <c r="D690" s="27"/>
      <c r="E690" s="8">
        <f>IF(B690="","",IFERROR(INDEX(Ingredients!$B$5:$B$304,MATCH(B690,Ingredients!$A$5:$A$304,0)),""))</f>
        <v>0</v>
      </c>
      <c r="F690" s="8">
        <f>IF(B690="","",IFERROR(INDEX(Ingredients!$E$5:$E$304,MATCH(B690,Ingredients!$A$5:$A$304,0)),""))</f>
        <v>0</v>
      </c>
      <c r="G690" s="8">
        <f>IF(B690="","",IFERROR(INDEX(Ingredients!$D$5:$D$304,MATCH(B690,Ingredients!$A$5:$A$304,0)),""))</f>
        <v>0</v>
      </c>
      <c r="H690" s="8">
        <f>IF(OR(B690="",C690=""),"",IFERROR(C690*G690,""))</f>
        <v>0</v>
      </c>
      <c r="I690" s="8">
        <f>IF(A690="","",IFERROR(INDEX(Recipes!$D$5:$D$204,MATCH(A690,Recipes!$A$5:$A$204,0)),""))</f>
        <v>0</v>
      </c>
      <c r="J690" s="8">
        <f>IF(OR(H690="",I690="",I690=0),"",IFERROR(H690/I690,""))</f>
        <v>0</v>
      </c>
      <c r="K690" s="8">
        <f>IF(OR(B690="",C690=""),"",IFERROR(C690*IFERROR(INDEX(Ingredients!$H$5:$H$304,MATCH(B690,Ingredients!$A$5:$A$304,0)),""),""))</f>
        <v>0</v>
      </c>
      <c r="L690" s="8">
        <f>IF(OR(B690="",C690=""),"",IFERROR(C690*IFERROR(INDEX(Ingredients!$I$5:$I$304,MATCH(B690,Ingredients!$A$5:$A$304,0)),""),""))</f>
        <v>0</v>
      </c>
      <c r="M690" s="8">
        <f>IF(OR(B690="",C690=""),"",IFERROR(C690*IFERROR(INDEX(Ingredients!$J$5:$J$304,MATCH(B690,Ingredients!$A$5:$A$304,0)),""),""))</f>
        <v>0</v>
      </c>
      <c r="N690" s="8">
        <f>IF(OR(B690="",C690=""),"",IFERROR(C690*IFERROR(INDEX(Ingredients!$K$5:$K$304,MATCH(B690,Ingredients!$A$5:$A$304,0)),""),""))</f>
        <v>0</v>
      </c>
      <c r="O690" s="8">
        <f>IF(OR(B690="",C690=""),"",IFERROR(C690*IFERROR(INDEX(Ingredients!$L$5:$L$304,MATCH(B690,Ingredients!$A$5:$A$304,0)),""),""))</f>
        <v>0</v>
      </c>
      <c r="P690" s="8">
        <f>IF(OR(H690="",A690=""),"",IFERROR(H690/SUMIFS('Recipe Ingredients'!$H$5:$H$1204,'Recipe Ingredients'!$A$5:$A$1204,A690),""))</f>
        <v>0</v>
      </c>
      <c r="Q690" s="8">
        <f>IF(H690="","",COUNTIFS($H$5:$H$1204,"&gt;"&amp;H690)+1)</f>
        <v>0</v>
      </c>
      <c r="R690" s="8">
        <f>IF(B690="","",SUMIFS(Pantry!$C$5:$C$304,Pantry!$A$5:$A$304,B690))</f>
        <v>0</v>
      </c>
      <c r="S690" s="8">
        <f>IF(OR(B690="",C690=""),"",MAX(0,C690-R690))</f>
        <v>0</v>
      </c>
      <c r="T690" s="26"/>
      <c r="U690" s="8">
        <f>IF(OR(T690="",T690=0,G690=""),"",T690*G690)</f>
        <v>0</v>
      </c>
      <c r="V690" s="8">
        <f>IF(OR(S690="",T690="",T690=0),"",CEILING(S690/T690,1))</f>
        <v>0</v>
      </c>
      <c r="W690" s="27"/>
      <c r="X690" s="29"/>
      <c r="Y690" s="8">
        <f>IF(OR(C690="",X690=""),"",C690*(1+X690))</f>
        <v>0</v>
      </c>
      <c r="Z690" s="8">
        <f>IF(B690="","",IFERROR(INDEX(Ingredients!$O$5:$O$304,MATCH(B690,Ingredients!$A$5:$A$304,0)),""))</f>
        <v>0</v>
      </c>
      <c r="AA690" s="8">
        <f>IF(B690="","",IF(R690&gt;=C690,"In pantry","To buy"))</f>
        <v>0</v>
      </c>
      <c r="AB690" s="8">
        <f>IF(A690="","",COUNTIFS($A$5:A690,A690))</f>
        <v>0</v>
      </c>
      <c r="AC690" s="8">
        <f>IF(B690="","",IF(COUNTIFS('Dietary Filters'!$C$5:$C$104,B690)&gt;0,"Check","OK"))</f>
        <v>0</v>
      </c>
      <c r="AD690" s="25"/>
    </row>
    <row r="691" spans="1:30">
      <c r="A691" s="7"/>
      <c r="B691" s="7"/>
      <c r="C691" s="26"/>
      <c r="D691" s="27"/>
      <c r="E691" s="8">
        <f>IF(B691="","",IFERROR(INDEX(Ingredients!$B$5:$B$304,MATCH(B691,Ingredients!$A$5:$A$304,0)),""))</f>
        <v>0</v>
      </c>
      <c r="F691" s="8">
        <f>IF(B691="","",IFERROR(INDEX(Ingredients!$E$5:$E$304,MATCH(B691,Ingredients!$A$5:$A$304,0)),""))</f>
        <v>0</v>
      </c>
      <c r="G691" s="8">
        <f>IF(B691="","",IFERROR(INDEX(Ingredients!$D$5:$D$304,MATCH(B691,Ingredients!$A$5:$A$304,0)),""))</f>
        <v>0</v>
      </c>
      <c r="H691" s="8">
        <f>IF(OR(B691="",C691=""),"",IFERROR(C691*G691,""))</f>
        <v>0</v>
      </c>
      <c r="I691" s="8">
        <f>IF(A691="","",IFERROR(INDEX(Recipes!$D$5:$D$204,MATCH(A691,Recipes!$A$5:$A$204,0)),""))</f>
        <v>0</v>
      </c>
      <c r="J691" s="8">
        <f>IF(OR(H691="",I691="",I691=0),"",IFERROR(H691/I691,""))</f>
        <v>0</v>
      </c>
      <c r="K691" s="8">
        <f>IF(OR(B691="",C691=""),"",IFERROR(C691*IFERROR(INDEX(Ingredients!$H$5:$H$304,MATCH(B691,Ingredients!$A$5:$A$304,0)),""),""))</f>
        <v>0</v>
      </c>
      <c r="L691" s="8">
        <f>IF(OR(B691="",C691=""),"",IFERROR(C691*IFERROR(INDEX(Ingredients!$I$5:$I$304,MATCH(B691,Ingredients!$A$5:$A$304,0)),""),""))</f>
        <v>0</v>
      </c>
      <c r="M691" s="8">
        <f>IF(OR(B691="",C691=""),"",IFERROR(C691*IFERROR(INDEX(Ingredients!$J$5:$J$304,MATCH(B691,Ingredients!$A$5:$A$304,0)),""),""))</f>
        <v>0</v>
      </c>
      <c r="N691" s="8">
        <f>IF(OR(B691="",C691=""),"",IFERROR(C691*IFERROR(INDEX(Ingredients!$K$5:$K$304,MATCH(B691,Ingredients!$A$5:$A$304,0)),""),""))</f>
        <v>0</v>
      </c>
      <c r="O691" s="8">
        <f>IF(OR(B691="",C691=""),"",IFERROR(C691*IFERROR(INDEX(Ingredients!$L$5:$L$304,MATCH(B691,Ingredients!$A$5:$A$304,0)),""),""))</f>
        <v>0</v>
      </c>
      <c r="P691" s="8">
        <f>IF(OR(H691="",A691=""),"",IFERROR(H691/SUMIFS('Recipe Ingredients'!$H$5:$H$1204,'Recipe Ingredients'!$A$5:$A$1204,A691),""))</f>
        <v>0</v>
      </c>
      <c r="Q691" s="8">
        <f>IF(H691="","",COUNTIFS($H$5:$H$1204,"&gt;"&amp;H691)+1)</f>
        <v>0</v>
      </c>
      <c r="R691" s="8">
        <f>IF(B691="","",SUMIFS(Pantry!$C$5:$C$304,Pantry!$A$5:$A$304,B691))</f>
        <v>0</v>
      </c>
      <c r="S691" s="8">
        <f>IF(OR(B691="",C691=""),"",MAX(0,C691-R691))</f>
        <v>0</v>
      </c>
      <c r="T691" s="26"/>
      <c r="U691" s="8">
        <f>IF(OR(T691="",T691=0,G691=""),"",T691*G691)</f>
        <v>0</v>
      </c>
      <c r="V691" s="8">
        <f>IF(OR(S691="",T691="",T691=0),"",CEILING(S691/T691,1))</f>
        <v>0</v>
      </c>
      <c r="W691" s="27"/>
      <c r="X691" s="29"/>
      <c r="Y691" s="8">
        <f>IF(OR(C691="",X691=""),"",C691*(1+X691))</f>
        <v>0</v>
      </c>
      <c r="Z691" s="8">
        <f>IF(B691="","",IFERROR(INDEX(Ingredients!$O$5:$O$304,MATCH(B691,Ingredients!$A$5:$A$304,0)),""))</f>
        <v>0</v>
      </c>
      <c r="AA691" s="8">
        <f>IF(B691="","",IF(R691&gt;=C691,"In pantry","To buy"))</f>
        <v>0</v>
      </c>
      <c r="AB691" s="8">
        <f>IF(A691="","",COUNTIFS($A$5:A691,A691))</f>
        <v>0</v>
      </c>
      <c r="AC691" s="8">
        <f>IF(B691="","",IF(COUNTIFS('Dietary Filters'!$C$5:$C$104,B691)&gt;0,"Check","OK"))</f>
        <v>0</v>
      </c>
      <c r="AD691" s="25"/>
    </row>
    <row r="692" spans="1:30">
      <c r="A692" s="7"/>
      <c r="B692" s="7"/>
      <c r="C692" s="26"/>
      <c r="D692" s="27"/>
      <c r="E692" s="8">
        <f>IF(B692="","",IFERROR(INDEX(Ingredients!$B$5:$B$304,MATCH(B692,Ingredients!$A$5:$A$304,0)),""))</f>
        <v>0</v>
      </c>
      <c r="F692" s="8">
        <f>IF(B692="","",IFERROR(INDEX(Ingredients!$E$5:$E$304,MATCH(B692,Ingredients!$A$5:$A$304,0)),""))</f>
        <v>0</v>
      </c>
      <c r="G692" s="8">
        <f>IF(B692="","",IFERROR(INDEX(Ingredients!$D$5:$D$304,MATCH(B692,Ingredients!$A$5:$A$304,0)),""))</f>
        <v>0</v>
      </c>
      <c r="H692" s="8">
        <f>IF(OR(B692="",C692=""),"",IFERROR(C692*G692,""))</f>
        <v>0</v>
      </c>
      <c r="I692" s="8">
        <f>IF(A692="","",IFERROR(INDEX(Recipes!$D$5:$D$204,MATCH(A692,Recipes!$A$5:$A$204,0)),""))</f>
        <v>0</v>
      </c>
      <c r="J692" s="8">
        <f>IF(OR(H692="",I692="",I692=0),"",IFERROR(H692/I692,""))</f>
        <v>0</v>
      </c>
      <c r="K692" s="8">
        <f>IF(OR(B692="",C692=""),"",IFERROR(C692*IFERROR(INDEX(Ingredients!$H$5:$H$304,MATCH(B692,Ingredients!$A$5:$A$304,0)),""),""))</f>
        <v>0</v>
      </c>
      <c r="L692" s="8">
        <f>IF(OR(B692="",C692=""),"",IFERROR(C692*IFERROR(INDEX(Ingredients!$I$5:$I$304,MATCH(B692,Ingredients!$A$5:$A$304,0)),""),""))</f>
        <v>0</v>
      </c>
      <c r="M692" s="8">
        <f>IF(OR(B692="",C692=""),"",IFERROR(C692*IFERROR(INDEX(Ingredients!$J$5:$J$304,MATCH(B692,Ingredients!$A$5:$A$304,0)),""),""))</f>
        <v>0</v>
      </c>
      <c r="N692" s="8">
        <f>IF(OR(B692="",C692=""),"",IFERROR(C692*IFERROR(INDEX(Ingredients!$K$5:$K$304,MATCH(B692,Ingredients!$A$5:$A$304,0)),""),""))</f>
        <v>0</v>
      </c>
      <c r="O692" s="8">
        <f>IF(OR(B692="",C692=""),"",IFERROR(C692*IFERROR(INDEX(Ingredients!$L$5:$L$304,MATCH(B692,Ingredients!$A$5:$A$304,0)),""),""))</f>
        <v>0</v>
      </c>
      <c r="P692" s="8">
        <f>IF(OR(H692="",A692=""),"",IFERROR(H692/SUMIFS('Recipe Ingredients'!$H$5:$H$1204,'Recipe Ingredients'!$A$5:$A$1204,A692),""))</f>
        <v>0</v>
      </c>
      <c r="Q692" s="8">
        <f>IF(H692="","",COUNTIFS($H$5:$H$1204,"&gt;"&amp;H692)+1)</f>
        <v>0</v>
      </c>
      <c r="R692" s="8">
        <f>IF(B692="","",SUMIFS(Pantry!$C$5:$C$304,Pantry!$A$5:$A$304,B692))</f>
        <v>0</v>
      </c>
      <c r="S692" s="8">
        <f>IF(OR(B692="",C692=""),"",MAX(0,C692-R692))</f>
        <v>0</v>
      </c>
      <c r="T692" s="26"/>
      <c r="U692" s="8">
        <f>IF(OR(T692="",T692=0,G692=""),"",T692*G692)</f>
        <v>0</v>
      </c>
      <c r="V692" s="8">
        <f>IF(OR(S692="",T692="",T692=0),"",CEILING(S692/T692,1))</f>
        <v>0</v>
      </c>
      <c r="W692" s="27"/>
      <c r="X692" s="29"/>
      <c r="Y692" s="8">
        <f>IF(OR(C692="",X692=""),"",C692*(1+X692))</f>
        <v>0</v>
      </c>
      <c r="Z692" s="8">
        <f>IF(B692="","",IFERROR(INDEX(Ingredients!$O$5:$O$304,MATCH(B692,Ingredients!$A$5:$A$304,0)),""))</f>
        <v>0</v>
      </c>
      <c r="AA692" s="8">
        <f>IF(B692="","",IF(R692&gt;=C692,"In pantry","To buy"))</f>
        <v>0</v>
      </c>
      <c r="AB692" s="8">
        <f>IF(A692="","",COUNTIFS($A$5:A692,A692))</f>
        <v>0</v>
      </c>
      <c r="AC692" s="8">
        <f>IF(B692="","",IF(COUNTIFS('Dietary Filters'!$C$5:$C$104,B692)&gt;0,"Check","OK"))</f>
        <v>0</v>
      </c>
      <c r="AD692" s="25"/>
    </row>
    <row r="693" spans="1:30">
      <c r="A693" s="7"/>
      <c r="B693" s="7"/>
      <c r="C693" s="26"/>
      <c r="D693" s="27"/>
      <c r="E693" s="8">
        <f>IF(B693="","",IFERROR(INDEX(Ingredients!$B$5:$B$304,MATCH(B693,Ingredients!$A$5:$A$304,0)),""))</f>
        <v>0</v>
      </c>
      <c r="F693" s="8">
        <f>IF(B693="","",IFERROR(INDEX(Ingredients!$E$5:$E$304,MATCH(B693,Ingredients!$A$5:$A$304,0)),""))</f>
        <v>0</v>
      </c>
      <c r="G693" s="8">
        <f>IF(B693="","",IFERROR(INDEX(Ingredients!$D$5:$D$304,MATCH(B693,Ingredients!$A$5:$A$304,0)),""))</f>
        <v>0</v>
      </c>
      <c r="H693" s="8">
        <f>IF(OR(B693="",C693=""),"",IFERROR(C693*G693,""))</f>
        <v>0</v>
      </c>
      <c r="I693" s="8">
        <f>IF(A693="","",IFERROR(INDEX(Recipes!$D$5:$D$204,MATCH(A693,Recipes!$A$5:$A$204,0)),""))</f>
        <v>0</v>
      </c>
      <c r="J693" s="8">
        <f>IF(OR(H693="",I693="",I693=0),"",IFERROR(H693/I693,""))</f>
        <v>0</v>
      </c>
      <c r="K693" s="8">
        <f>IF(OR(B693="",C693=""),"",IFERROR(C693*IFERROR(INDEX(Ingredients!$H$5:$H$304,MATCH(B693,Ingredients!$A$5:$A$304,0)),""),""))</f>
        <v>0</v>
      </c>
      <c r="L693" s="8">
        <f>IF(OR(B693="",C693=""),"",IFERROR(C693*IFERROR(INDEX(Ingredients!$I$5:$I$304,MATCH(B693,Ingredients!$A$5:$A$304,0)),""),""))</f>
        <v>0</v>
      </c>
      <c r="M693" s="8">
        <f>IF(OR(B693="",C693=""),"",IFERROR(C693*IFERROR(INDEX(Ingredients!$J$5:$J$304,MATCH(B693,Ingredients!$A$5:$A$304,0)),""),""))</f>
        <v>0</v>
      </c>
      <c r="N693" s="8">
        <f>IF(OR(B693="",C693=""),"",IFERROR(C693*IFERROR(INDEX(Ingredients!$K$5:$K$304,MATCH(B693,Ingredients!$A$5:$A$304,0)),""),""))</f>
        <v>0</v>
      </c>
      <c r="O693" s="8">
        <f>IF(OR(B693="",C693=""),"",IFERROR(C693*IFERROR(INDEX(Ingredients!$L$5:$L$304,MATCH(B693,Ingredients!$A$5:$A$304,0)),""),""))</f>
        <v>0</v>
      </c>
      <c r="P693" s="8">
        <f>IF(OR(H693="",A693=""),"",IFERROR(H693/SUMIFS('Recipe Ingredients'!$H$5:$H$1204,'Recipe Ingredients'!$A$5:$A$1204,A693),""))</f>
        <v>0</v>
      </c>
      <c r="Q693" s="8">
        <f>IF(H693="","",COUNTIFS($H$5:$H$1204,"&gt;"&amp;H693)+1)</f>
        <v>0</v>
      </c>
      <c r="R693" s="8">
        <f>IF(B693="","",SUMIFS(Pantry!$C$5:$C$304,Pantry!$A$5:$A$304,B693))</f>
        <v>0</v>
      </c>
      <c r="S693" s="8">
        <f>IF(OR(B693="",C693=""),"",MAX(0,C693-R693))</f>
        <v>0</v>
      </c>
      <c r="T693" s="26"/>
      <c r="U693" s="8">
        <f>IF(OR(T693="",T693=0,G693=""),"",T693*G693)</f>
        <v>0</v>
      </c>
      <c r="V693" s="8">
        <f>IF(OR(S693="",T693="",T693=0),"",CEILING(S693/T693,1))</f>
        <v>0</v>
      </c>
      <c r="W693" s="27"/>
      <c r="X693" s="29"/>
      <c r="Y693" s="8">
        <f>IF(OR(C693="",X693=""),"",C693*(1+X693))</f>
        <v>0</v>
      </c>
      <c r="Z693" s="8">
        <f>IF(B693="","",IFERROR(INDEX(Ingredients!$O$5:$O$304,MATCH(B693,Ingredients!$A$5:$A$304,0)),""))</f>
        <v>0</v>
      </c>
      <c r="AA693" s="8">
        <f>IF(B693="","",IF(R693&gt;=C693,"In pantry","To buy"))</f>
        <v>0</v>
      </c>
      <c r="AB693" s="8">
        <f>IF(A693="","",COUNTIFS($A$5:A693,A693))</f>
        <v>0</v>
      </c>
      <c r="AC693" s="8">
        <f>IF(B693="","",IF(COUNTIFS('Dietary Filters'!$C$5:$C$104,B693)&gt;0,"Check","OK"))</f>
        <v>0</v>
      </c>
      <c r="AD693" s="25"/>
    </row>
    <row r="694" spans="1:30">
      <c r="A694" s="7"/>
      <c r="B694" s="7"/>
      <c r="C694" s="26"/>
      <c r="D694" s="27"/>
      <c r="E694" s="8">
        <f>IF(B694="","",IFERROR(INDEX(Ingredients!$B$5:$B$304,MATCH(B694,Ingredients!$A$5:$A$304,0)),""))</f>
        <v>0</v>
      </c>
      <c r="F694" s="8">
        <f>IF(B694="","",IFERROR(INDEX(Ingredients!$E$5:$E$304,MATCH(B694,Ingredients!$A$5:$A$304,0)),""))</f>
        <v>0</v>
      </c>
      <c r="G694" s="8">
        <f>IF(B694="","",IFERROR(INDEX(Ingredients!$D$5:$D$304,MATCH(B694,Ingredients!$A$5:$A$304,0)),""))</f>
        <v>0</v>
      </c>
      <c r="H694" s="8">
        <f>IF(OR(B694="",C694=""),"",IFERROR(C694*G694,""))</f>
        <v>0</v>
      </c>
      <c r="I694" s="8">
        <f>IF(A694="","",IFERROR(INDEX(Recipes!$D$5:$D$204,MATCH(A694,Recipes!$A$5:$A$204,0)),""))</f>
        <v>0</v>
      </c>
      <c r="J694" s="8">
        <f>IF(OR(H694="",I694="",I694=0),"",IFERROR(H694/I694,""))</f>
        <v>0</v>
      </c>
      <c r="K694" s="8">
        <f>IF(OR(B694="",C694=""),"",IFERROR(C694*IFERROR(INDEX(Ingredients!$H$5:$H$304,MATCH(B694,Ingredients!$A$5:$A$304,0)),""),""))</f>
        <v>0</v>
      </c>
      <c r="L694" s="8">
        <f>IF(OR(B694="",C694=""),"",IFERROR(C694*IFERROR(INDEX(Ingredients!$I$5:$I$304,MATCH(B694,Ingredients!$A$5:$A$304,0)),""),""))</f>
        <v>0</v>
      </c>
      <c r="M694" s="8">
        <f>IF(OR(B694="",C694=""),"",IFERROR(C694*IFERROR(INDEX(Ingredients!$J$5:$J$304,MATCH(B694,Ingredients!$A$5:$A$304,0)),""),""))</f>
        <v>0</v>
      </c>
      <c r="N694" s="8">
        <f>IF(OR(B694="",C694=""),"",IFERROR(C694*IFERROR(INDEX(Ingredients!$K$5:$K$304,MATCH(B694,Ingredients!$A$5:$A$304,0)),""),""))</f>
        <v>0</v>
      </c>
      <c r="O694" s="8">
        <f>IF(OR(B694="",C694=""),"",IFERROR(C694*IFERROR(INDEX(Ingredients!$L$5:$L$304,MATCH(B694,Ingredients!$A$5:$A$304,0)),""),""))</f>
        <v>0</v>
      </c>
      <c r="P694" s="8">
        <f>IF(OR(H694="",A694=""),"",IFERROR(H694/SUMIFS('Recipe Ingredients'!$H$5:$H$1204,'Recipe Ingredients'!$A$5:$A$1204,A694),""))</f>
        <v>0</v>
      </c>
      <c r="Q694" s="8">
        <f>IF(H694="","",COUNTIFS($H$5:$H$1204,"&gt;"&amp;H694)+1)</f>
        <v>0</v>
      </c>
      <c r="R694" s="8">
        <f>IF(B694="","",SUMIFS(Pantry!$C$5:$C$304,Pantry!$A$5:$A$304,B694))</f>
        <v>0</v>
      </c>
      <c r="S694" s="8">
        <f>IF(OR(B694="",C694=""),"",MAX(0,C694-R694))</f>
        <v>0</v>
      </c>
      <c r="T694" s="26"/>
      <c r="U694" s="8">
        <f>IF(OR(T694="",T694=0,G694=""),"",T694*G694)</f>
        <v>0</v>
      </c>
      <c r="V694" s="8">
        <f>IF(OR(S694="",T694="",T694=0),"",CEILING(S694/T694,1))</f>
        <v>0</v>
      </c>
      <c r="W694" s="27"/>
      <c r="X694" s="29"/>
      <c r="Y694" s="8">
        <f>IF(OR(C694="",X694=""),"",C694*(1+X694))</f>
        <v>0</v>
      </c>
      <c r="Z694" s="8">
        <f>IF(B694="","",IFERROR(INDEX(Ingredients!$O$5:$O$304,MATCH(B694,Ingredients!$A$5:$A$304,0)),""))</f>
        <v>0</v>
      </c>
      <c r="AA694" s="8">
        <f>IF(B694="","",IF(R694&gt;=C694,"In pantry","To buy"))</f>
        <v>0</v>
      </c>
      <c r="AB694" s="8">
        <f>IF(A694="","",COUNTIFS($A$5:A694,A694))</f>
        <v>0</v>
      </c>
      <c r="AC694" s="8">
        <f>IF(B694="","",IF(COUNTIFS('Dietary Filters'!$C$5:$C$104,B694)&gt;0,"Check","OK"))</f>
        <v>0</v>
      </c>
      <c r="AD694" s="25"/>
    </row>
    <row r="695" spans="1:30">
      <c r="A695" s="7"/>
      <c r="B695" s="7"/>
      <c r="C695" s="26"/>
      <c r="D695" s="27"/>
      <c r="E695" s="8">
        <f>IF(B695="","",IFERROR(INDEX(Ingredients!$B$5:$B$304,MATCH(B695,Ingredients!$A$5:$A$304,0)),""))</f>
        <v>0</v>
      </c>
      <c r="F695" s="8">
        <f>IF(B695="","",IFERROR(INDEX(Ingredients!$E$5:$E$304,MATCH(B695,Ingredients!$A$5:$A$304,0)),""))</f>
        <v>0</v>
      </c>
      <c r="G695" s="8">
        <f>IF(B695="","",IFERROR(INDEX(Ingredients!$D$5:$D$304,MATCH(B695,Ingredients!$A$5:$A$304,0)),""))</f>
        <v>0</v>
      </c>
      <c r="H695" s="8">
        <f>IF(OR(B695="",C695=""),"",IFERROR(C695*G695,""))</f>
        <v>0</v>
      </c>
      <c r="I695" s="8">
        <f>IF(A695="","",IFERROR(INDEX(Recipes!$D$5:$D$204,MATCH(A695,Recipes!$A$5:$A$204,0)),""))</f>
        <v>0</v>
      </c>
      <c r="J695" s="8">
        <f>IF(OR(H695="",I695="",I695=0),"",IFERROR(H695/I695,""))</f>
        <v>0</v>
      </c>
      <c r="K695" s="8">
        <f>IF(OR(B695="",C695=""),"",IFERROR(C695*IFERROR(INDEX(Ingredients!$H$5:$H$304,MATCH(B695,Ingredients!$A$5:$A$304,0)),""),""))</f>
        <v>0</v>
      </c>
      <c r="L695" s="8">
        <f>IF(OR(B695="",C695=""),"",IFERROR(C695*IFERROR(INDEX(Ingredients!$I$5:$I$304,MATCH(B695,Ingredients!$A$5:$A$304,0)),""),""))</f>
        <v>0</v>
      </c>
      <c r="M695" s="8">
        <f>IF(OR(B695="",C695=""),"",IFERROR(C695*IFERROR(INDEX(Ingredients!$J$5:$J$304,MATCH(B695,Ingredients!$A$5:$A$304,0)),""),""))</f>
        <v>0</v>
      </c>
      <c r="N695" s="8">
        <f>IF(OR(B695="",C695=""),"",IFERROR(C695*IFERROR(INDEX(Ingredients!$K$5:$K$304,MATCH(B695,Ingredients!$A$5:$A$304,0)),""),""))</f>
        <v>0</v>
      </c>
      <c r="O695" s="8">
        <f>IF(OR(B695="",C695=""),"",IFERROR(C695*IFERROR(INDEX(Ingredients!$L$5:$L$304,MATCH(B695,Ingredients!$A$5:$A$304,0)),""),""))</f>
        <v>0</v>
      </c>
      <c r="P695" s="8">
        <f>IF(OR(H695="",A695=""),"",IFERROR(H695/SUMIFS('Recipe Ingredients'!$H$5:$H$1204,'Recipe Ingredients'!$A$5:$A$1204,A695),""))</f>
        <v>0</v>
      </c>
      <c r="Q695" s="8">
        <f>IF(H695="","",COUNTIFS($H$5:$H$1204,"&gt;"&amp;H695)+1)</f>
        <v>0</v>
      </c>
      <c r="R695" s="8">
        <f>IF(B695="","",SUMIFS(Pantry!$C$5:$C$304,Pantry!$A$5:$A$304,B695))</f>
        <v>0</v>
      </c>
      <c r="S695" s="8">
        <f>IF(OR(B695="",C695=""),"",MAX(0,C695-R695))</f>
        <v>0</v>
      </c>
      <c r="T695" s="26"/>
      <c r="U695" s="8">
        <f>IF(OR(T695="",T695=0,G695=""),"",T695*G695)</f>
        <v>0</v>
      </c>
      <c r="V695" s="8">
        <f>IF(OR(S695="",T695="",T695=0),"",CEILING(S695/T695,1))</f>
        <v>0</v>
      </c>
      <c r="W695" s="27"/>
      <c r="X695" s="29"/>
      <c r="Y695" s="8">
        <f>IF(OR(C695="",X695=""),"",C695*(1+X695))</f>
        <v>0</v>
      </c>
      <c r="Z695" s="8">
        <f>IF(B695="","",IFERROR(INDEX(Ingredients!$O$5:$O$304,MATCH(B695,Ingredients!$A$5:$A$304,0)),""))</f>
        <v>0</v>
      </c>
      <c r="AA695" s="8">
        <f>IF(B695="","",IF(R695&gt;=C695,"In pantry","To buy"))</f>
        <v>0</v>
      </c>
      <c r="AB695" s="8">
        <f>IF(A695="","",COUNTIFS($A$5:A695,A695))</f>
        <v>0</v>
      </c>
      <c r="AC695" s="8">
        <f>IF(B695="","",IF(COUNTIFS('Dietary Filters'!$C$5:$C$104,B695)&gt;0,"Check","OK"))</f>
        <v>0</v>
      </c>
      <c r="AD695" s="25"/>
    </row>
    <row r="696" spans="1:30">
      <c r="A696" s="7"/>
      <c r="B696" s="7"/>
      <c r="C696" s="26"/>
      <c r="D696" s="27"/>
      <c r="E696" s="8">
        <f>IF(B696="","",IFERROR(INDEX(Ingredients!$B$5:$B$304,MATCH(B696,Ingredients!$A$5:$A$304,0)),""))</f>
        <v>0</v>
      </c>
      <c r="F696" s="8">
        <f>IF(B696="","",IFERROR(INDEX(Ingredients!$E$5:$E$304,MATCH(B696,Ingredients!$A$5:$A$304,0)),""))</f>
        <v>0</v>
      </c>
      <c r="G696" s="8">
        <f>IF(B696="","",IFERROR(INDEX(Ingredients!$D$5:$D$304,MATCH(B696,Ingredients!$A$5:$A$304,0)),""))</f>
        <v>0</v>
      </c>
      <c r="H696" s="8">
        <f>IF(OR(B696="",C696=""),"",IFERROR(C696*G696,""))</f>
        <v>0</v>
      </c>
      <c r="I696" s="8">
        <f>IF(A696="","",IFERROR(INDEX(Recipes!$D$5:$D$204,MATCH(A696,Recipes!$A$5:$A$204,0)),""))</f>
        <v>0</v>
      </c>
      <c r="J696" s="8">
        <f>IF(OR(H696="",I696="",I696=0),"",IFERROR(H696/I696,""))</f>
        <v>0</v>
      </c>
      <c r="K696" s="8">
        <f>IF(OR(B696="",C696=""),"",IFERROR(C696*IFERROR(INDEX(Ingredients!$H$5:$H$304,MATCH(B696,Ingredients!$A$5:$A$304,0)),""),""))</f>
        <v>0</v>
      </c>
      <c r="L696" s="8">
        <f>IF(OR(B696="",C696=""),"",IFERROR(C696*IFERROR(INDEX(Ingredients!$I$5:$I$304,MATCH(B696,Ingredients!$A$5:$A$304,0)),""),""))</f>
        <v>0</v>
      </c>
      <c r="M696" s="8">
        <f>IF(OR(B696="",C696=""),"",IFERROR(C696*IFERROR(INDEX(Ingredients!$J$5:$J$304,MATCH(B696,Ingredients!$A$5:$A$304,0)),""),""))</f>
        <v>0</v>
      </c>
      <c r="N696" s="8">
        <f>IF(OR(B696="",C696=""),"",IFERROR(C696*IFERROR(INDEX(Ingredients!$K$5:$K$304,MATCH(B696,Ingredients!$A$5:$A$304,0)),""),""))</f>
        <v>0</v>
      </c>
      <c r="O696" s="8">
        <f>IF(OR(B696="",C696=""),"",IFERROR(C696*IFERROR(INDEX(Ingredients!$L$5:$L$304,MATCH(B696,Ingredients!$A$5:$A$304,0)),""),""))</f>
        <v>0</v>
      </c>
      <c r="P696" s="8">
        <f>IF(OR(H696="",A696=""),"",IFERROR(H696/SUMIFS('Recipe Ingredients'!$H$5:$H$1204,'Recipe Ingredients'!$A$5:$A$1204,A696),""))</f>
        <v>0</v>
      </c>
      <c r="Q696" s="8">
        <f>IF(H696="","",COUNTIFS($H$5:$H$1204,"&gt;"&amp;H696)+1)</f>
        <v>0</v>
      </c>
      <c r="R696" s="8">
        <f>IF(B696="","",SUMIFS(Pantry!$C$5:$C$304,Pantry!$A$5:$A$304,B696))</f>
        <v>0</v>
      </c>
      <c r="S696" s="8">
        <f>IF(OR(B696="",C696=""),"",MAX(0,C696-R696))</f>
        <v>0</v>
      </c>
      <c r="T696" s="26"/>
      <c r="U696" s="8">
        <f>IF(OR(T696="",T696=0,G696=""),"",T696*G696)</f>
        <v>0</v>
      </c>
      <c r="V696" s="8">
        <f>IF(OR(S696="",T696="",T696=0),"",CEILING(S696/T696,1))</f>
        <v>0</v>
      </c>
      <c r="W696" s="27"/>
      <c r="X696" s="29"/>
      <c r="Y696" s="8">
        <f>IF(OR(C696="",X696=""),"",C696*(1+X696))</f>
        <v>0</v>
      </c>
      <c r="Z696" s="8">
        <f>IF(B696="","",IFERROR(INDEX(Ingredients!$O$5:$O$304,MATCH(B696,Ingredients!$A$5:$A$304,0)),""))</f>
        <v>0</v>
      </c>
      <c r="AA696" s="8">
        <f>IF(B696="","",IF(R696&gt;=C696,"In pantry","To buy"))</f>
        <v>0</v>
      </c>
      <c r="AB696" s="8">
        <f>IF(A696="","",COUNTIFS($A$5:A696,A696))</f>
        <v>0</v>
      </c>
      <c r="AC696" s="8">
        <f>IF(B696="","",IF(COUNTIFS('Dietary Filters'!$C$5:$C$104,B696)&gt;0,"Check","OK"))</f>
        <v>0</v>
      </c>
      <c r="AD696" s="25"/>
    </row>
    <row r="697" spans="1:30">
      <c r="A697" s="7"/>
      <c r="B697" s="7"/>
      <c r="C697" s="26"/>
      <c r="D697" s="27"/>
      <c r="E697" s="8">
        <f>IF(B697="","",IFERROR(INDEX(Ingredients!$B$5:$B$304,MATCH(B697,Ingredients!$A$5:$A$304,0)),""))</f>
        <v>0</v>
      </c>
      <c r="F697" s="8">
        <f>IF(B697="","",IFERROR(INDEX(Ingredients!$E$5:$E$304,MATCH(B697,Ingredients!$A$5:$A$304,0)),""))</f>
        <v>0</v>
      </c>
      <c r="G697" s="8">
        <f>IF(B697="","",IFERROR(INDEX(Ingredients!$D$5:$D$304,MATCH(B697,Ingredients!$A$5:$A$304,0)),""))</f>
        <v>0</v>
      </c>
      <c r="H697" s="8">
        <f>IF(OR(B697="",C697=""),"",IFERROR(C697*G697,""))</f>
        <v>0</v>
      </c>
      <c r="I697" s="8">
        <f>IF(A697="","",IFERROR(INDEX(Recipes!$D$5:$D$204,MATCH(A697,Recipes!$A$5:$A$204,0)),""))</f>
        <v>0</v>
      </c>
      <c r="J697" s="8">
        <f>IF(OR(H697="",I697="",I697=0),"",IFERROR(H697/I697,""))</f>
        <v>0</v>
      </c>
      <c r="K697" s="8">
        <f>IF(OR(B697="",C697=""),"",IFERROR(C697*IFERROR(INDEX(Ingredients!$H$5:$H$304,MATCH(B697,Ingredients!$A$5:$A$304,0)),""),""))</f>
        <v>0</v>
      </c>
      <c r="L697" s="8">
        <f>IF(OR(B697="",C697=""),"",IFERROR(C697*IFERROR(INDEX(Ingredients!$I$5:$I$304,MATCH(B697,Ingredients!$A$5:$A$304,0)),""),""))</f>
        <v>0</v>
      </c>
      <c r="M697" s="8">
        <f>IF(OR(B697="",C697=""),"",IFERROR(C697*IFERROR(INDEX(Ingredients!$J$5:$J$304,MATCH(B697,Ingredients!$A$5:$A$304,0)),""),""))</f>
        <v>0</v>
      </c>
      <c r="N697" s="8">
        <f>IF(OR(B697="",C697=""),"",IFERROR(C697*IFERROR(INDEX(Ingredients!$K$5:$K$304,MATCH(B697,Ingredients!$A$5:$A$304,0)),""),""))</f>
        <v>0</v>
      </c>
      <c r="O697" s="8">
        <f>IF(OR(B697="",C697=""),"",IFERROR(C697*IFERROR(INDEX(Ingredients!$L$5:$L$304,MATCH(B697,Ingredients!$A$5:$A$304,0)),""),""))</f>
        <v>0</v>
      </c>
      <c r="P697" s="8">
        <f>IF(OR(H697="",A697=""),"",IFERROR(H697/SUMIFS('Recipe Ingredients'!$H$5:$H$1204,'Recipe Ingredients'!$A$5:$A$1204,A697),""))</f>
        <v>0</v>
      </c>
      <c r="Q697" s="8">
        <f>IF(H697="","",COUNTIFS($H$5:$H$1204,"&gt;"&amp;H697)+1)</f>
        <v>0</v>
      </c>
      <c r="R697" s="8">
        <f>IF(B697="","",SUMIFS(Pantry!$C$5:$C$304,Pantry!$A$5:$A$304,B697))</f>
        <v>0</v>
      </c>
      <c r="S697" s="8">
        <f>IF(OR(B697="",C697=""),"",MAX(0,C697-R697))</f>
        <v>0</v>
      </c>
      <c r="T697" s="26"/>
      <c r="U697" s="8">
        <f>IF(OR(T697="",T697=0,G697=""),"",T697*G697)</f>
        <v>0</v>
      </c>
      <c r="V697" s="8">
        <f>IF(OR(S697="",T697="",T697=0),"",CEILING(S697/T697,1))</f>
        <v>0</v>
      </c>
      <c r="W697" s="27"/>
      <c r="X697" s="29"/>
      <c r="Y697" s="8">
        <f>IF(OR(C697="",X697=""),"",C697*(1+X697))</f>
        <v>0</v>
      </c>
      <c r="Z697" s="8">
        <f>IF(B697="","",IFERROR(INDEX(Ingredients!$O$5:$O$304,MATCH(B697,Ingredients!$A$5:$A$304,0)),""))</f>
        <v>0</v>
      </c>
      <c r="AA697" s="8">
        <f>IF(B697="","",IF(R697&gt;=C697,"In pantry","To buy"))</f>
        <v>0</v>
      </c>
      <c r="AB697" s="8">
        <f>IF(A697="","",COUNTIFS($A$5:A697,A697))</f>
        <v>0</v>
      </c>
      <c r="AC697" s="8">
        <f>IF(B697="","",IF(COUNTIFS('Dietary Filters'!$C$5:$C$104,B697)&gt;0,"Check","OK"))</f>
        <v>0</v>
      </c>
      <c r="AD697" s="25"/>
    </row>
    <row r="698" spans="1:30">
      <c r="A698" s="7"/>
      <c r="B698" s="7"/>
      <c r="C698" s="26"/>
      <c r="D698" s="27"/>
      <c r="E698" s="8">
        <f>IF(B698="","",IFERROR(INDEX(Ingredients!$B$5:$B$304,MATCH(B698,Ingredients!$A$5:$A$304,0)),""))</f>
        <v>0</v>
      </c>
      <c r="F698" s="8">
        <f>IF(B698="","",IFERROR(INDEX(Ingredients!$E$5:$E$304,MATCH(B698,Ingredients!$A$5:$A$304,0)),""))</f>
        <v>0</v>
      </c>
      <c r="G698" s="8">
        <f>IF(B698="","",IFERROR(INDEX(Ingredients!$D$5:$D$304,MATCH(B698,Ingredients!$A$5:$A$304,0)),""))</f>
        <v>0</v>
      </c>
      <c r="H698" s="8">
        <f>IF(OR(B698="",C698=""),"",IFERROR(C698*G698,""))</f>
        <v>0</v>
      </c>
      <c r="I698" s="8">
        <f>IF(A698="","",IFERROR(INDEX(Recipes!$D$5:$D$204,MATCH(A698,Recipes!$A$5:$A$204,0)),""))</f>
        <v>0</v>
      </c>
      <c r="J698" s="8">
        <f>IF(OR(H698="",I698="",I698=0),"",IFERROR(H698/I698,""))</f>
        <v>0</v>
      </c>
      <c r="K698" s="8">
        <f>IF(OR(B698="",C698=""),"",IFERROR(C698*IFERROR(INDEX(Ingredients!$H$5:$H$304,MATCH(B698,Ingredients!$A$5:$A$304,0)),""),""))</f>
        <v>0</v>
      </c>
      <c r="L698" s="8">
        <f>IF(OR(B698="",C698=""),"",IFERROR(C698*IFERROR(INDEX(Ingredients!$I$5:$I$304,MATCH(B698,Ingredients!$A$5:$A$304,0)),""),""))</f>
        <v>0</v>
      </c>
      <c r="M698" s="8">
        <f>IF(OR(B698="",C698=""),"",IFERROR(C698*IFERROR(INDEX(Ingredients!$J$5:$J$304,MATCH(B698,Ingredients!$A$5:$A$304,0)),""),""))</f>
        <v>0</v>
      </c>
      <c r="N698" s="8">
        <f>IF(OR(B698="",C698=""),"",IFERROR(C698*IFERROR(INDEX(Ingredients!$K$5:$K$304,MATCH(B698,Ingredients!$A$5:$A$304,0)),""),""))</f>
        <v>0</v>
      </c>
      <c r="O698" s="8">
        <f>IF(OR(B698="",C698=""),"",IFERROR(C698*IFERROR(INDEX(Ingredients!$L$5:$L$304,MATCH(B698,Ingredients!$A$5:$A$304,0)),""),""))</f>
        <v>0</v>
      </c>
      <c r="P698" s="8">
        <f>IF(OR(H698="",A698=""),"",IFERROR(H698/SUMIFS('Recipe Ingredients'!$H$5:$H$1204,'Recipe Ingredients'!$A$5:$A$1204,A698),""))</f>
        <v>0</v>
      </c>
      <c r="Q698" s="8">
        <f>IF(H698="","",COUNTIFS($H$5:$H$1204,"&gt;"&amp;H698)+1)</f>
        <v>0</v>
      </c>
      <c r="R698" s="8">
        <f>IF(B698="","",SUMIFS(Pantry!$C$5:$C$304,Pantry!$A$5:$A$304,B698))</f>
        <v>0</v>
      </c>
      <c r="S698" s="8">
        <f>IF(OR(B698="",C698=""),"",MAX(0,C698-R698))</f>
        <v>0</v>
      </c>
      <c r="T698" s="26"/>
      <c r="U698" s="8">
        <f>IF(OR(T698="",T698=0,G698=""),"",T698*G698)</f>
        <v>0</v>
      </c>
      <c r="V698" s="8">
        <f>IF(OR(S698="",T698="",T698=0),"",CEILING(S698/T698,1))</f>
        <v>0</v>
      </c>
      <c r="W698" s="27"/>
      <c r="X698" s="29"/>
      <c r="Y698" s="8">
        <f>IF(OR(C698="",X698=""),"",C698*(1+X698))</f>
        <v>0</v>
      </c>
      <c r="Z698" s="8">
        <f>IF(B698="","",IFERROR(INDEX(Ingredients!$O$5:$O$304,MATCH(B698,Ingredients!$A$5:$A$304,0)),""))</f>
        <v>0</v>
      </c>
      <c r="AA698" s="8">
        <f>IF(B698="","",IF(R698&gt;=C698,"In pantry","To buy"))</f>
        <v>0</v>
      </c>
      <c r="AB698" s="8">
        <f>IF(A698="","",COUNTIFS($A$5:A698,A698))</f>
        <v>0</v>
      </c>
      <c r="AC698" s="8">
        <f>IF(B698="","",IF(COUNTIFS('Dietary Filters'!$C$5:$C$104,B698)&gt;0,"Check","OK"))</f>
        <v>0</v>
      </c>
      <c r="AD698" s="25"/>
    </row>
    <row r="699" spans="1:30">
      <c r="A699" s="7"/>
      <c r="B699" s="7"/>
      <c r="C699" s="26"/>
      <c r="D699" s="27"/>
      <c r="E699" s="8">
        <f>IF(B699="","",IFERROR(INDEX(Ingredients!$B$5:$B$304,MATCH(B699,Ingredients!$A$5:$A$304,0)),""))</f>
        <v>0</v>
      </c>
      <c r="F699" s="8">
        <f>IF(B699="","",IFERROR(INDEX(Ingredients!$E$5:$E$304,MATCH(B699,Ingredients!$A$5:$A$304,0)),""))</f>
        <v>0</v>
      </c>
      <c r="G699" s="8">
        <f>IF(B699="","",IFERROR(INDEX(Ingredients!$D$5:$D$304,MATCH(B699,Ingredients!$A$5:$A$304,0)),""))</f>
        <v>0</v>
      </c>
      <c r="H699" s="8">
        <f>IF(OR(B699="",C699=""),"",IFERROR(C699*G699,""))</f>
        <v>0</v>
      </c>
      <c r="I699" s="8">
        <f>IF(A699="","",IFERROR(INDEX(Recipes!$D$5:$D$204,MATCH(A699,Recipes!$A$5:$A$204,0)),""))</f>
        <v>0</v>
      </c>
      <c r="J699" s="8">
        <f>IF(OR(H699="",I699="",I699=0),"",IFERROR(H699/I699,""))</f>
        <v>0</v>
      </c>
      <c r="K699" s="8">
        <f>IF(OR(B699="",C699=""),"",IFERROR(C699*IFERROR(INDEX(Ingredients!$H$5:$H$304,MATCH(B699,Ingredients!$A$5:$A$304,0)),""),""))</f>
        <v>0</v>
      </c>
      <c r="L699" s="8">
        <f>IF(OR(B699="",C699=""),"",IFERROR(C699*IFERROR(INDEX(Ingredients!$I$5:$I$304,MATCH(B699,Ingredients!$A$5:$A$304,0)),""),""))</f>
        <v>0</v>
      </c>
      <c r="M699" s="8">
        <f>IF(OR(B699="",C699=""),"",IFERROR(C699*IFERROR(INDEX(Ingredients!$J$5:$J$304,MATCH(B699,Ingredients!$A$5:$A$304,0)),""),""))</f>
        <v>0</v>
      </c>
      <c r="N699" s="8">
        <f>IF(OR(B699="",C699=""),"",IFERROR(C699*IFERROR(INDEX(Ingredients!$K$5:$K$304,MATCH(B699,Ingredients!$A$5:$A$304,0)),""),""))</f>
        <v>0</v>
      </c>
      <c r="O699" s="8">
        <f>IF(OR(B699="",C699=""),"",IFERROR(C699*IFERROR(INDEX(Ingredients!$L$5:$L$304,MATCH(B699,Ingredients!$A$5:$A$304,0)),""),""))</f>
        <v>0</v>
      </c>
      <c r="P699" s="8">
        <f>IF(OR(H699="",A699=""),"",IFERROR(H699/SUMIFS('Recipe Ingredients'!$H$5:$H$1204,'Recipe Ingredients'!$A$5:$A$1204,A699),""))</f>
        <v>0</v>
      </c>
      <c r="Q699" s="8">
        <f>IF(H699="","",COUNTIFS($H$5:$H$1204,"&gt;"&amp;H699)+1)</f>
        <v>0</v>
      </c>
      <c r="R699" s="8">
        <f>IF(B699="","",SUMIFS(Pantry!$C$5:$C$304,Pantry!$A$5:$A$304,B699))</f>
        <v>0</v>
      </c>
      <c r="S699" s="8">
        <f>IF(OR(B699="",C699=""),"",MAX(0,C699-R699))</f>
        <v>0</v>
      </c>
      <c r="T699" s="26"/>
      <c r="U699" s="8">
        <f>IF(OR(T699="",T699=0,G699=""),"",T699*G699)</f>
        <v>0</v>
      </c>
      <c r="V699" s="8">
        <f>IF(OR(S699="",T699="",T699=0),"",CEILING(S699/T699,1))</f>
        <v>0</v>
      </c>
      <c r="W699" s="27"/>
      <c r="X699" s="29"/>
      <c r="Y699" s="8">
        <f>IF(OR(C699="",X699=""),"",C699*(1+X699))</f>
        <v>0</v>
      </c>
      <c r="Z699" s="8">
        <f>IF(B699="","",IFERROR(INDEX(Ingredients!$O$5:$O$304,MATCH(B699,Ingredients!$A$5:$A$304,0)),""))</f>
        <v>0</v>
      </c>
      <c r="AA699" s="8">
        <f>IF(B699="","",IF(R699&gt;=C699,"In pantry","To buy"))</f>
        <v>0</v>
      </c>
      <c r="AB699" s="8">
        <f>IF(A699="","",COUNTIFS($A$5:A699,A699))</f>
        <v>0</v>
      </c>
      <c r="AC699" s="8">
        <f>IF(B699="","",IF(COUNTIFS('Dietary Filters'!$C$5:$C$104,B699)&gt;0,"Check","OK"))</f>
        <v>0</v>
      </c>
      <c r="AD699" s="25"/>
    </row>
    <row r="700" spans="1:30">
      <c r="A700" s="7"/>
      <c r="B700" s="7"/>
      <c r="C700" s="26"/>
      <c r="D700" s="27"/>
      <c r="E700" s="8">
        <f>IF(B700="","",IFERROR(INDEX(Ingredients!$B$5:$B$304,MATCH(B700,Ingredients!$A$5:$A$304,0)),""))</f>
        <v>0</v>
      </c>
      <c r="F700" s="8">
        <f>IF(B700="","",IFERROR(INDEX(Ingredients!$E$5:$E$304,MATCH(B700,Ingredients!$A$5:$A$304,0)),""))</f>
        <v>0</v>
      </c>
      <c r="G700" s="8">
        <f>IF(B700="","",IFERROR(INDEX(Ingredients!$D$5:$D$304,MATCH(B700,Ingredients!$A$5:$A$304,0)),""))</f>
        <v>0</v>
      </c>
      <c r="H700" s="8">
        <f>IF(OR(B700="",C700=""),"",IFERROR(C700*G700,""))</f>
        <v>0</v>
      </c>
      <c r="I700" s="8">
        <f>IF(A700="","",IFERROR(INDEX(Recipes!$D$5:$D$204,MATCH(A700,Recipes!$A$5:$A$204,0)),""))</f>
        <v>0</v>
      </c>
      <c r="J700" s="8">
        <f>IF(OR(H700="",I700="",I700=0),"",IFERROR(H700/I700,""))</f>
        <v>0</v>
      </c>
      <c r="K700" s="8">
        <f>IF(OR(B700="",C700=""),"",IFERROR(C700*IFERROR(INDEX(Ingredients!$H$5:$H$304,MATCH(B700,Ingredients!$A$5:$A$304,0)),""),""))</f>
        <v>0</v>
      </c>
      <c r="L700" s="8">
        <f>IF(OR(B700="",C700=""),"",IFERROR(C700*IFERROR(INDEX(Ingredients!$I$5:$I$304,MATCH(B700,Ingredients!$A$5:$A$304,0)),""),""))</f>
        <v>0</v>
      </c>
      <c r="M700" s="8">
        <f>IF(OR(B700="",C700=""),"",IFERROR(C700*IFERROR(INDEX(Ingredients!$J$5:$J$304,MATCH(B700,Ingredients!$A$5:$A$304,0)),""),""))</f>
        <v>0</v>
      </c>
      <c r="N700" s="8">
        <f>IF(OR(B700="",C700=""),"",IFERROR(C700*IFERROR(INDEX(Ingredients!$K$5:$K$304,MATCH(B700,Ingredients!$A$5:$A$304,0)),""),""))</f>
        <v>0</v>
      </c>
      <c r="O700" s="8">
        <f>IF(OR(B700="",C700=""),"",IFERROR(C700*IFERROR(INDEX(Ingredients!$L$5:$L$304,MATCH(B700,Ingredients!$A$5:$A$304,0)),""),""))</f>
        <v>0</v>
      </c>
      <c r="P700" s="8">
        <f>IF(OR(H700="",A700=""),"",IFERROR(H700/SUMIFS('Recipe Ingredients'!$H$5:$H$1204,'Recipe Ingredients'!$A$5:$A$1204,A700),""))</f>
        <v>0</v>
      </c>
      <c r="Q700" s="8">
        <f>IF(H700="","",COUNTIFS($H$5:$H$1204,"&gt;"&amp;H700)+1)</f>
        <v>0</v>
      </c>
      <c r="R700" s="8">
        <f>IF(B700="","",SUMIFS(Pantry!$C$5:$C$304,Pantry!$A$5:$A$304,B700))</f>
        <v>0</v>
      </c>
      <c r="S700" s="8">
        <f>IF(OR(B700="",C700=""),"",MAX(0,C700-R700))</f>
        <v>0</v>
      </c>
      <c r="T700" s="26"/>
      <c r="U700" s="8">
        <f>IF(OR(T700="",T700=0,G700=""),"",T700*G700)</f>
        <v>0</v>
      </c>
      <c r="V700" s="8">
        <f>IF(OR(S700="",T700="",T700=0),"",CEILING(S700/T700,1))</f>
        <v>0</v>
      </c>
      <c r="W700" s="27"/>
      <c r="X700" s="29"/>
      <c r="Y700" s="8">
        <f>IF(OR(C700="",X700=""),"",C700*(1+X700))</f>
        <v>0</v>
      </c>
      <c r="Z700" s="8">
        <f>IF(B700="","",IFERROR(INDEX(Ingredients!$O$5:$O$304,MATCH(B700,Ingredients!$A$5:$A$304,0)),""))</f>
        <v>0</v>
      </c>
      <c r="AA700" s="8">
        <f>IF(B700="","",IF(R700&gt;=C700,"In pantry","To buy"))</f>
        <v>0</v>
      </c>
      <c r="AB700" s="8">
        <f>IF(A700="","",COUNTIFS($A$5:A700,A700))</f>
        <v>0</v>
      </c>
      <c r="AC700" s="8">
        <f>IF(B700="","",IF(COUNTIFS('Dietary Filters'!$C$5:$C$104,B700)&gt;0,"Check","OK"))</f>
        <v>0</v>
      </c>
      <c r="AD700" s="25"/>
    </row>
    <row r="701" spans="1:30">
      <c r="A701" s="7"/>
      <c r="B701" s="7"/>
      <c r="C701" s="26"/>
      <c r="D701" s="27"/>
      <c r="E701" s="8">
        <f>IF(B701="","",IFERROR(INDEX(Ingredients!$B$5:$B$304,MATCH(B701,Ingredients!$A$5:$A$304,0)),""))</f>
        <v>0</v>
      </c>
      <c r="F701" s="8">
        <f>IF(B701="","",IFERROR(INDEX(Ingredients!$E$5:$E$304,MATCH(B701,Ingredients!$A$5:$A$304,0)),""))</f>
        <v>0</v>
      </c>
      <c r="G701" s="8">
        <f>IF(B701="","",IFERROR(INDEX(Ingredients!$D$5:$D$304,MATCH(B701,Ingredients!$A$5:$A$304,0)),""))</f>
        <v>0</v>
      </c>
      <c r="H701" s="8">
        <f>IF(OR(B701="",C701=""),"",IFERROR(C701*G701,""))</f>
        <v>0</v>
      </c>
      <c r="I701" s="8">
        <f>IF(A701="","",IFERROR(INDEX(Recipes!$D$5:$D$204,MATCH(A701,Recipes!$A$5:$A$204,0)),""))</f>
        <v>0</v>
      </c>
      <c r="J701" s="8">
        <f>IF(OR(H701="",I701="",I701=0),"",IFERROR(H701/I701,""))</f>
        <v>0</v>
      </c>
      <c r="K701" s="8">
        <f>IF(OR(B701="",C701=""),"",IFERROR(C701*IFERROR(INDEX(Ingredients!$H$5:$H$304,MATCH(B701,Ingredients!$A$5:$A$304,0)),""),""))</f>
        <v>0</v>
      </c>
      <c r="L701" s="8">
        <f>IF(OR(B701="",C701=""),"",IFERROR(C701*IFERROR(INDEX(Ingredients!$I$5:$I$304,MATCH(B701,Ingredients!$A$5:$A$304,0)),""),""))</f>
        <v>0</v>
      </c>
      <c r="M701" s="8">
        <f>IF(OR(B701="",C701=""),"",IFERROR(C701*IFERROR(INDEX(Ingredients!$J$5:$J$304,MATCH(B701,Ingredients!$A$5:$A$304,0)),""),""))</f>
        <v>0</v>
      </c>
      <c r="N701" s="8">
        <f>IF(OR(B701="",C701=""),"",IFERROR(C701*IFERROR(INDEX(Ingredients!$K$5:$K$304,MATCH(B701,Ingredients!$A$5:$A$304,0)),""),""))</f>
        <v>0</v>
      </c>
      <c r="O701" s="8">
        <f>IF(OR(B701="",C701=""),"",IFERROR(C701*IFERROR(INDEX(Ingredients!$L$5:$L$304,MATCH(B701,Ingredients!$A$5:$A$304,0)),""),""))</f>
        <v>0</v>
      </c>
      <c r="P701" s="8">
        <f>IF(OR(H701="",A701=""),"",IFERROR(H701/SUMIFS('Recipe Ingredients'!$H$5:$H$1204,'Recipe Ingredients'!$A$5:$A$1204,A701),""))</f>
        <v>0</v>
      </c>
      <c r="Q701" s="8">
        <f>IF(H701="","",COUNTIFS($H$5:$H$1204,"&gt;"&amp;H701)+1)</f>
        <v>0</v>
      </c>
      <c r="R701" s="8">
        <f>IF(B701="","",SUMIFS(Pantry!$C$5:$C$304,Pantry!$A$5:$A$304,B701))</f>
        <v>0</v>
      </c>
      <c r="S701" s="8">
        <f>IF(OR(B701="",C701=""),"",MAX(0,C701-R701))</f>
        <v>0</v>
      </c>
      <c r="T701" s="26"/>
      <c r="U701" s="8">
        <f>IF(OR(T701="",T701=0,G701=""),"",T701*G701)</f>
        <v>0</v>
      </c>
      <c r="V701" s="8">
        <f>IF(OR(S701="",T701="",T701=0),"",CEILING(S701/T701,1))</f>
        <v>0</v>
      </c>
      <c r="W701" s="27"/>
      <c r="X701" s="29"/>
      <c r="Y701" s="8">
        <f>IF(OR(C701="",X701=""),"",C701*(1+X701))</f>
        <v>0</v>
      </c>
      <c r="Z701" s="8">
        <f>IF(B701="","",IFERROR(INDEX(Ingredients!$O$5:$O$304,MATCH(B701,Ingredients!$A$5:$A$304,0)),""))</f>
        <v>0</v>
      </c>
      <c r="AA701" s="8">
        <f>IF(B701="","",IF(R701&gt;=C701,"In pantry","To buy"))</f>
        <v>0</v>
      </c>
      <c r="AB701" s="8">
        <f>IF(A701="","",COUNTIFS($A$5:A701,A701))</f>
        <v>0</v>
      </c>
      <c r="AC701" s="8">
        <f>IF(B701="","",IF(COUNTIFS('Dietary Filters'!$C$5:$C$104,B701)&gt;0,"Check","OK"))</f>
        <v>0</v>
      </c>
      <c r="AD701" s="25"/>
    </row>
    <row r="702" spans="1:30">
      <c r="A702" s="7"/>
      <c r="B702" s="7"/>
      <c r="C702" s="26"/>
      <c r="D702" s="27"/>
      <c r="E702" s="8">
        <f>IF(B702="","",IFERROR(INDEX(Ingredients!$B$5:$B$304,MATCH(B702,Ingredients!$A$5:$A$304,0)),""))</f>
        <v>0</v>
      </c>
      <c r="F702" s="8">
        <f>IF(B702="","",IFERROR(INDEX(Ingredients!$E$5:$E$304,MATCH(B702,Ingredients!$A$5:$A$304,0)),""))</f>
        <v>0</v>
      </c>
      <c r="G702" s="8">
        <f>IF(B702="","",IFERROR(INDEX(Ingredients!$D$5:$D$304,MATCH(B702,Ingredients!$A$5:$A$304,0)),""))</f>
        <v>0</v>
      </c>
      <c r="H702" s="8">
        <f>IF(OR(B702="",C702=""),"",IFERROR(C702*G702,""))</f>
        <v>0</v>
      </c>
      <c r="I702" s="8">
        <f>IF(A702="","",IFERROR(INDEX(Recipes!$D$5:$D$204,MATCH(A702,Recipes!$A$5:$A$204,0)),""))</f>
        <v>0</v>
      </c>
      <c r="J702" s="8">
        <f>IF(OR(H702="",I702="",I702=0),"",IFERROR(H702/I702,""))</f>
        <v>0</v>
      </c>
      <c r="K702" s="8">
        <f>IF(OR(B702="",C702=""),"",IFERROR(C702*IFERROR(INDEX(Ingredients!$H$5:$H$304,MATCH(B702,Ingredients!$A$5:$A$304,0)),""),""))</f>
        <v>0</v>
      </c>
      <c r="L702" s="8">
        <f>IF(OR(B702="",C702=""),"",IFERROR(C702*IFERROR(INDEX(Ingredients!$I$5:$I$304,MATCH(B702,Ingredients!$A$5:$A$304,0)),""),""))</f>
        <v>0</v>
      </c>
      <c r="M702" s="8">
        <f>IF(OR(B702="",C702=""),"",IFERROR(C702*IFERROR(INDEX(Ingredients!$J$5:$J$304,MATCH(B702,Ingredients!$A$5:$A$304,0)),""),""))</f>
        <v>0</v>
      </c>
      <c r="N702" s="8">
        <f>IF(OR(B702="",C702=""),"",IFERROR(C702*IFERROR(INDEX(Ingredients!$K$5:$K$304,MATCH(B702,Ingredients!$A$5:$A$304,0)),""),""))</f>
        <v>0</v>
      </c>
      <c r="O702" s="8">
        <f>IF(OR(B702="",C702=""),"",IFERROR(C702*IFERROR(INDEX(Ingredients!$L$5:$L$304,MATCH(B702,Ingredients!$A$5:$A$304,0)),""),""))</f>
        <v>0</v>
      </c>
      <c r="P702" s="8">
        <f>IF(OR(H702="",A702=""),"",IFERROR(H702/SUMIFS('Recipe Ingredients'!$H$5:$H$1204,'Recipe Ingredients'!$A$5:$A$1204,A702),""))</f>
        <v>0</v>
      </c>
      <c r="Q702" s="8">
        <f>IF(H702="","",COUNTIFS($H$5:$H$1204,"&gt;"&amp;H702)+1)</f>
        <v>0</v>
      </c>
      <c r="R702" s="8">
        <f>IF(B702="","",SUMIFS(Pantry!$C$5:$C$304,Pantry!$A$5:$A$304,B702))</f>
        <v>0</v>
      </c>
      <c r="S702" s="8">
        <f>IF(OR(B702="",C702=""),"",MAX(0,C702-R702))</f>
        <v>0</v>
      </c>
      <c r="T702" s="26"/>
      <c r="U702" s="8">
        <f>IF(OR(T702="",T702=0,G702=""),"",T702*G702)</f>
        <v>0</v>
      </c>
      <c r="V702" s="8">
        <f>IF(OR(S702="",T702="",T702=0),"",CEILING(S702/T702,1))</f>
        <v>0</v>
      </c>
      <c r="W702" s="27"/>
      <c r="X702" s="29"/>
      <c r="Y702" s="8">
        <f>IF(OR(C702="",X702=""),"",C702*(1+X702))</f>
        <v>0</v>
      </c>
      <c r="Z702" s="8">
        <f>IF(B702="","",IFERROR(INDEX(Ingredients!$O$5:$O$304,MATCH(B702,Ingredients!$A$5:$A$304,0)),""))</f>
        <v>0</v>
      </c>
      <c r="AA702" s="8">
        <f>IF(B702="","",IF(R702&gt;=C702,"In pantry","To buy"))</f>
        <v>0</v>
      </c>
      <c r="AB702" s="8">
        <f>IF(A702="","",COUNTIFS($A$5:A702,A702))</f>
        <v>0</v>
      </c>
      <c r="AC702" s="8">
        <f>IF(B702="","",IF(COUNTIFS('Dietary Filters'!$C$5:$C$104,B702)&gt;0,"Check","OK"))</f>
        <v>0</v>
      </c>
      <c r="AD702" s="25"/>
    </row>
    <row r="703" spans="1:30">
      <c r="A703" s="7"/>
      <c r="B703" s="7"/>
      <c r="C703" s="26"/>
      <c r="D703" s="27"/>
      <c r="E703" s="8">
        <f>IF(B703="","",IFERROR(INDEX(Ingredients!$B$5:$B$304,MATCH(B703,Ingredients!$A$5:$A$304,0)),""))</f>
        <v>0</v>
      </c>
      <c r="F703" s="8">
        <f>IF(B703="","",IFERROR(INDEX(Ingredients!$E$5:$E$304,MATCH(B703,Ingredients!$A$5:$A$304,0)),""))</f>
        <v>0</v>
      </c>
      <c r="G703" s="8">
        <f>IF(B703="","",IFERROR(INDEX(Ingredients!$D$5:$D$304,MATCH(B703,Ingredients!$A$5:$A$304,0)),""))</f>
        <v>0</v>
      </c>
      <c r="H703" s="8">
        <f>IF(OR(B703="",C703=""),"",IFERROR(C703*G703,""))</f>
        <v>0</v>
      </c>
      <c r="I703" s="8">
        <f>IF(A703="","",IFERROR(INDEX(Recipes!$D$5:$D$204,MATCH(A703,Recipes!$A$5:$A$204,0)),""))</f>
        <v>0</v>
      </c>
      <c r="J703" s="8">
        <f>IF(OR(H703="",I703="",I703=0),"",IFERROR(H703/I703,""))</f>
        <v>0</v>
      </c>
      <c r="K703" s="8">
        <f>IF(OR(B703="",C703=""),"",IFERROR(C703*IFERROR(INDEX(Ingredients!$H$5:$H$304,MATCH(B703,Ingredients!$A$5:$A$304,0)),""),""))</f>
        <v>0</v>
      </c>
      <c r="L703" s="8">
        <f>IF(OR(B703="",C703=""),"",IFERROR(C703*IFERROR(INDEX(Ingredients!$I$5:$I$304,MATCH(B703,Ingredients!$A$5:$A$304,0)),""),""))</f>
        <v>0</v>
      </c>
      <c r="M703" s="8">
        <f>IF(OR(B703="",C703=""),"",IFERROR(C703*IFERROR(INDEX(Ingredients!$J$5:$J$304,MATCH(B703,Ingredients!$A$5:$A$304,0)),""),""))</f>
        <v>0</v>
      </c>
      <c r="N703" s="8">
        <f>IF(OR(B703="",C703=""),"",IFERROR(C703*IFERROR(INDEX(Ingredients!$K$5:$K$304,MATCH(B703,Ingredients!$A$5:$A$304,0)),""),""))</f>
        <v>0</v>
      </c>
      <c r="O703" s="8">
        <f>IF(OR(B703="",C703=""),"",IFERROR(C703*IFERROR(INDEX(Ingredients!$L$5:$L$304,MATCH(B703,Ingredients!$A$5:$A$304,0)),""),""))</f>
        <v>0</v>
      </c>
      <c r="P703" s="8">
        <f>IF(OR(H703="",A703=""),"",IFERROR(H703/SUMIFS('Recipe Ingredients'!$H$5:$H$1204,'Recipe Ingredients'!$A$5:$A$1204,A703),""))</f>
        <v>0</v>
      </c>
      <c r="Q703" s="8">
        <f>IF(H703="","",COUNTIFS($H$5:$H$1204,"&gt;"&amp;H703)+1)</f>
        <v>0</v>
      </c>
      <c r="R703" s="8">
        <f>IF(B703="","",SUMIFS(Pantry!$C$5:$C$304,Pantry!$A$5:$A$304,B703))</f>
        <v>0</v>
      </c>
      <c r="S703" s="8">
        <f>IF(OR(B703="",C703=""),"",MAX(0,C703-R703))</f>
        <v>0</v>
      </c>
      <c r="T703" s="26"/>
      <c r="U703" s="8">
        <f>IF(OR(T703="",T703=0,G703=""),"",T703*G703)</f>
        <v>0</v>
      </c>
      <c r="V703" s="8">
        <f>IF(OR(S703="",T703="",T703=0),"",CEILING(S703/T703,1))</f>
        <v>0</v>
      </c>
      <c r="W703" s="27"/>
      <c r="X703" s="29"/>
      <c r="Y703" s="8">
        <f>IF(OR(C703="",X703=""),"",C703*(1+X703))</f>
        <v>0</v>
      </c>
      <c r="Z703" s="8">
        <f>IF(B703="","",IFERROR(INDEX(Ingredients!$O$5:$O$304,MATCH(B703,Ingredients!$A$5:$A$304,0)),""))</f>
        <v>0</v>
      </c>
      <c r="AA703" s="8">
        <f>IF(B703="","",IF(R703&gt;=C703,"In pantry","To buy"))</f>
        <v>0</v>
      </c>
      <c r="AB703" s="8">
        <f>IF(A703="","",COUNTIFS($A$5:A703,A703))</f>
        <v>0</v>
      </c>
      <c r="AC703" s="8">
        <f>IF(B703="","",IF(COUNTIFS('Dietary Filters'!$C$5:$C$104,B703)&gt;0,"Check","OK"))</f>
        <v>0</v>
      </c>
      <c r="AD703" s="25"/>
    </row>
    <row r="704" spans="1:30">
      <c r="A704" s="7"/>
      <c r="B704" s="7"/>
      <c r="C704" s="26"/>
      <c r="D704" s="27"/>
      <c r="E704" s="8">
        <f>IF(B704="","",IFERROR(INDEX(Ingredients!$B$5:$B$304,MATCH(B704,Ingredients!$A$5:$A$304,0)),""))</f>
        <v>0</v>
      </c>
      <c r="F704" s="8">
        <f>IF(B704="","",IFERROR(INDEX(Ingredients!$E$5:$E$304,MATCH(B704,Ingredients!$A$5:$A$304,0)),""))</f>
        <v>0</v>
      </c>
      <c r="G704" s="8">
        <f>IF(B704="","",IFERROR(INDEX(Ingredients!$D$5:$D$304,MATCH(B704,Ingredients!$A$5:$A$304,0)),""))</f>
        <v>0</v>
      </c>
      <c r="H704" s="8">
        <f>IF(OR(B704="",C704=""),"",IFERROR(C704*G704,""))</f>
        <v>0</v>
      </c>
      <c r="I704" s="8">
        <f>IF(A704="","",IFERROR(INDEX(Recipes!$D$5:$D$204,MATCH(A704,Recipes!$A$5:$A$204,0)),""))</f>
        <v>0</v>
      </c>
      <c r="J704" s="8">
        <f>IF(OR(H704="",I704="",I704=0),"",IFERROR(H704/I704,""))</f>
        <v>0</v>
      </c>
      <c r="K704" s="8">
        <f>IF(OR(B704="",C704=""),"",IFERROR(C704*IFERROR(INDEX(Ingredients!$H$5:$H$304,MATCH(B704,Ingredients!$A$5:$A$304,0)),""),""))</f>
        <v>0</v>
      </c>
      <c r="L704" s="8">
        <f>IF(OR(B704="",C704=""),"",IFERROR(C704*IFERROR(INDEX(Ingredients!$I$5:$I$304,MATCH(B704,Ingredients!$A$5:$A$304,0)),""),""))</f>
        <v>0</v>
      </c>
      <c r="M704" s="8">
        <f>IF(OR(B704="",C704=""),"",IFERROR(C704*IFERROR(INDEX(Ingredients!$J$5:$J$304,MATCH(B704,Ingredients!$A$5:$A$304,0)),""),""))</f>
        <v>0</v>
      </c>
      <c r="N704" s="8">
        <f>IF(OR(B704="",C704=""),"",IFERROR(C704*IFERROR(INDEX(Ingredients!$K$5:$K$304,MATCH(B704,Ingredients!$A$5:$A$304,0)),""),""))</f>
        <v>0</v>
      </c>
      <c r="O704" s="8">
        <f>IF(OR(B704="",C704=""),"",IFERROR(C704*IFERROR(INDEX(Ingredients!$L$5:$L$304,MATCH(B704,Ingredients!$A$5:$A$304,0)),""),""))</f>
        <v>0</v>
      </c>
      <c r="P704" s="8">
        <f>IF(OR(H704="",A704=""),"",IFERROR(H704/SUMIFS('Recipe Ingredients'!$H$5:$H$1204,'Recipe Ingredients'!$A$5:$A$1204,A704),""))</f>
        <v>0</v>
      </c>
      <c r="Q704" s="8">
        <f>IF(H704="","",COUNTIFS($H$5:$H$1204,"&gt;"&amp;H704)+1)</f>
        <v>0</v>
      </c>
      <c r="R704" s="8">
        <f>IF(B704="","",SUMIFS(Pantry!$C$5:$C$304,Pantry!$A$5:$A$304,B704))</f>
        <v>0</v>
      </c>
      <c r="S704" s="8">
        <f>IF(OR(B704="",C704=""),"",MAX(0,C704-R704))</f>
        <v>0</v>
      </c>
      <c r="T704" s="26"/>
      <c r="U704" s="8">
        <f>IF(OR(T704="",T704=0,G704=""),"",T704*G704)</f>
        <v>0</v>
      </c>
      <c r="V704" s="8">
        <f>IF(OR(S704="",T704="",T704=0),"",CEILING(S704/T704,1))</f>
        <v>0</v>
      </c>
      <c r="W704" s="27"/>
      <c r="X704" s="29"/>
      <c r="Y704" s="8">
        <f>IF(OR(C704="",X704=""),"",C704*(1+X704))</f>
        <v>0</v>
      </c>
      <c r="Z704" s="8">
        <f>IF(B704="","",IFERROR(INDEX(Ingredients!$O$5:$O$304,MATCH(B704,Ingredients!$A$5:$A$304,0)),""))</f>
        <v>0</v>
      </c>
      <c r="AA704" s="8">
        <f>IF(B704="","",IF(R704&gt;=C704,"In pantry","To buy"))</f>
        <v>0</v>
      </c>
      <c r="AB704" s="8">
        <f>IF(A704="","",COUNTIFS($A$5:A704,A704))</f>
        <v>0</v>
      </c>
      <c r="AC704" s="8">
        <f>IF(B704="","",IF(COUNTIFS('Dietary Filters'!$C$5:$C$104,B704)&gt;0,"Check","OK"))</f>
        <v>0</v>
      </c>
      <c r="AD704" s="25"/>
    </row>
    <row r="705" spans="1:30">
      <c r="A705" s="7"/>
      <c r="B705" s="7"/>
      <c r="C705" s="26"/>
      <c r="D705" s="27"/>
      <c r="E705" s="8">
        <f>IF(B705="","",IFERROR(INDEX(Ingredients!$B$5:$B$304,MATCH(B705,Ingredients!$A$5:$A$304,0)),""))</f>
        <v>0</v>
      </c>
      <c r="F705" s="8">
        <f>IF(B705="","",IFERROR(INDEX(Ingredients!$E$5:$E$304,MATCH(B705,Ingredients!$A$5:$A$304,0)),""))</f>
        <v>0</v>
      </c>
      <c r="G705" s="8">
        <f>IF(B705="","",IFERROR(INDEX(Ingredients!$D$5:$D$304,MATCH(B705,Ingredients!$A$5:$A$304,0)),""))</f>
        <v>0</v>
      </c>
      <c r="H705" s="8">
        <f>IF(OR(B705="",C705=""),"",IFERROR(C705*G705,""))</f>
        <v>0</v>
      </c>
      <c r="I705" s="8">
        <f>IF(A705="","",IFERROR(INDEX(Recipes!$D$5:$D$204,MATCH(A705,Recipes!$A$5:$A$204,0)),""))</f>
        <v>0</v>
      </c>
      <c r="J705" s="8">
        <f>IF(OR(H705="",I705="",I705=0),"",IFERROR(H705/I705,""))</f>
        <v>0</v>
      </c>
      <c r="K705" s="8">
        <f>IF(OR(B705="",C705=""),"",IFERROR(C705*IFERROR(INDEX(Ingredients!$H$5:$H$304,MATCH(B705,Ingredients!$A$5:$A$304,0)),""),""))</f>
        <v>0</v>
      </c>
      <c r="L705" s="8">
        <f>IF(OR(B705="",C705=""),"",IFERROR(C705*IFERROR(INDEX(Ingredients!$I$5:$I$304,MATCH(B705,Ingredients!$A$5:$A$304,0)),""),""))</f>
        <v>0</v>
      </c>
      <c r="M705" s="8">
        <f>IF(OR(B705="",C705=""),"",IFERROR(C705*IFERROR(INDEX(Ingredients!$J$5:$J$304,MATCH(B705,Ingredients!$A$5:$A$304,0)),""),""))</f>
        <v>0</v>
      </c>
      <c r="N705" s="8">
        <f>IF(OR(B705="",C705=""),"",IFERROR(C705*IFERROR(INDEX(Ingredients!$K$5:$K$304,MATCH(B705,Ingredients!$A$5:$A$304,0)),""),""))</f>
        <v>0</v>
      </c>
      <c r="O705" s="8">
        <f>IF(OR(B705="",C705=""),"",IFERROR(C705*IFERROR(INDEX(Ingredients!$L$5:$L$304,MATCH(B705,Ingredients!$A$5:$A$304,0)),""),""))</f>
        <v>0</v>
      </c>
      <c r="P705" s="8">
        <f>IF(OR(H705="",A705=""),"",IFERROR(H705/SUMIFS('Recipe Ingredients'!$H$5:$H$1204,'Recipe Ingredients'!$A$5:$A$1204,A705),""))</f>
        <v>0</v>
      </c>
      <c r="Q705" s="8">
        <f>IF(H705="","",COUNTIFS($H$5:$H$1204,"&gt;"&amp;H705)+1)</f>
        <v>0</v>
      </c>
      <c r="R705" s="8">
        <f>IF(B705="","",SUMIFS(Pantry!$C$5:$C$304,Pantry!$A$5:$A$304,B705))</f>
        <v>0</v>
      </c>
      <c r="S705" s="8">
        <f>IF(OR(B705="",C705=""),"",MAX(0,C705-R705))</f>
        <v>0</v>
      </c>
      <c r="T705" s="26"/>
      <c r="U705" s="8">
        <f>IF(OR(T705="",T705=0,G705=""),"",T705*G705)</f>
        <v>0</v>
      </c>
      <c r="V705" s="8">
        <f>IF(OR(S705="",T705="",T705=0),"",CEILING(S705/T705,1))</f>
        <v>0</v>
      </c>
      <c r="W705" s="27"/>
      <c r="X705" s="29"/>
      <c r="Y705" s="8">
        <f>IF(OR(C705="",X705=""),"",C705*(1+X705))</f>
        <v>0</v>
      </c>
      <c r="Z705" s="8">
        <f>IF(B705="","",IFERROR(INDEX(Ingredients!$O$5:$O$304,MATCH(B705,Ingredients!$A$5:$A$304,0)),""))</f>
        <v>0</v>
      </c>
      <c r="AA705" s="8">
        <f>IF(B705="","",IF(R705&gt;=C705,"In pantry","To buy"))</f>
        <v>0</v>
      </c>
      <c r="AB705" s="8">
        <f>IF(A705="","",COUNTIFS($A$5:A705,A705))</f>
        <v>0</v>
      </c>
      <c r="AC705" s="8">
        <f>IF(B705="","",IF(COUNTIFS('Dietary Filters'!$C$5:$C$104,B705)&gt;0,"Check","OK"))</f>
        <v>0</v>
      </c>
      <c r="AD705" s="25"/>
    </row>
    <row r="706" spans="1:30">
      <c r="A706" s="7"/>
      <c r="B706" s="7"/>
      <c r="C706" s="26"/>
      <c r="D706" s="27"/>
      <c r="E706" s="8">
        <f>IF(B706="","",IFERROR(INDEX(Ingredients!$B$5:$B$304,MATCH(B706,Ingredients!$A$5:$A$304,0)),""))</f>
        <v>0</v>
      </c>
      <c r="F706" s="8">
        <f>IF(B706="","",IFERROR(INDEX(Ingredients!$E$5:$E$304,MATCH(B706,Ingredients!$A$5:$A$304,0)),""))</f>
        <v>0</v>
      </c>
      <c r="G706" s="8">
        <f>IF(B706="","",IFERROR(INDEX(Ingredients!$D$5:$D$304,MATCH(B706,Ingredients!$A$5:$A$304,0)),""))</f>
        <v>0</v>
      </c>
      <c r="H706" s="8">
        <f>IF(OR(B706="",C706=""),"",IFERROR(C706*G706,""))</f>
        <v>0</v>
      </c>
      <c r="I706" s="8">
        <f>IF(A706="","",IFERROR(INDEX(Recipes!$D$5:$D$204,MATCH(A706,Recipes!$A$5:$A$204,0)),""))</f>
        <v>0</v>
      </c>
      <c r="J706" s="8">
        <f>IF(OR(H706="",I706="",I706=0),"",IFERROR(H706/I706,""))</f>
        <v>0</v>
      </c>
      <c r="K706" s="8">
        <f>IF(OR(B706="",C706=""),"",IFERROR(C706*IFERROR(INDEX(Ingredients!$H$5:$H$304,MATCH(B706,Ingredients!$A$5:$A$304,0)),""),""))</f>
        <v>0</v>
      </c>
      <c r="L706" s="8">
        <f>IF(OR(B706="",C706=""),"",IFERROR(C706*IFERROR(INDEX(Ingredients!$I$5:$I$304,MATCH(B706,Ingredients!$A$5:$A$304,0)),""),""))</f>
        <v>0</v>
      </c>
      <c r="M706" s="8">
        <f>IF(OR(B706="",C706=""),"",IFERROR(C706*IFERROR(INDEX(Ingredients!$J$5:$J$304,MATCH(B706,Ingredients!$A$5:$A$304,0)),""),""))</f>
        <v>0</v>
      </c>
      <c r="N706" s="8">
        <f>IF(OR(B706="",C706=""),"",IFERROR(C706*IFERROR(INDEX(Ingredients!$K$5:$K$304,MATCH(B706,Ingredients!$A$5:$A$304,0)),""),""))</f>
        <v>0</v>
      </c>
      <c r="O706" s="8">
        <f>IF(OR(B706="",C706=""),"",IFERROR(C706*IFERROR(INDEX(Ingredients!$L$5:$L$304,MATCH(B706,Ingredients!$A$5:$A$304,0)),""),""))</f>
        <v>0</v>
      </c>
      <c r="P706" s="8">
        <f>IF(OR(H706="",A706=""),"",IFERROR(H706/SUMIFS('Recipe Ingredients'!$H$5:$H$1204,'Recipe Ingredients'!$A$5:$A$1204,A706),""))</f>
        <v>0</v>
      </c>
      <c r="Q706" s="8">
        <f>IF(H706="","",COUNTIFS($H$5:$H$1204,"&gt;"&amp;H706)+1)</f>
        <v>0</v>
      </c>
      <c r="R706" s="8">
        <f>IF(B706="","",SUMIFS(Pantry!$C$5:$C$304,Pantry!$A$5:$A$304,B706))</f>
        <v>0</v>
      </c>
      <c r="S706" s="8">
        <f>IF(OR(B706="",C706=""),"",MAX(0,C706-R706))</f>
        <v>0</v>
      </c>
      <c r="T706" s="26"/>
      <c r="U706" s="8">
        <f>IF(OR(T706="",T706=0,G706=""),"",T706*G706)</f>
        <v>0</v>
      </c>
      <c r="V706" s="8">
        <f>IF(OR(S706="",T706="",T706=0),"",CEILING(S706/T706,1))</f>
        <v>0</v>
      </c>
      <c r="W706" s="27"/>
      <c r="X706" s="29"/>
      <c r="Y706" s="8">
        <f>IF(OR(C706="",X706=""),"",C706*(1+X706))</f>
        <v>0</v>
      </c>
      <c r="Z706" s="8">
        <f>IF(B706="","",IFERROR(INDEX(Ingredients!$O$5:$O$304,MATCH(B706,Ingredients!$A$5:$A$304,0)),""))</f>
        <v>0</v>
      </c>
      <c r="AA706" s="8">
        <f>IF(B706="","",IF(R706&gt;=C706,"In pantry","To buy"))</f>
        <v>0</v>
      </c>
      <c r="AB706" s="8">
        <f>IF(A706="","",COUNTIFS($A$5:A706,A706))</f>
        <v>0</v>
      </c>
      <c r="AC706" s="8">
        <f>IF(B706="","",IF(COUNTIFS('Dietary Filters'!$C$5:$C$104,B706)&gt;0,"Check","OK"))</f>
        <v>0</v>
      </c>
      <c r="AD706" s="25"/>
    </row>
    <row r="707" spans="1:30">
      <c r="A707" s="7"/>
      <c r="B707" s="7"/>
      <c r="C707" s="26"/>
      <c r="D707" s="27"/>
      <c r="E707" s="8">
        <f>IF(B707="","",IFERROR(INDEX(Ingredients!$B$5:$B$304,MATCH(B707,Ingredients!$A$5:$A$304,0)),""))</f>
        <v>0</v>
      </c>
      <c r="F707" s="8">
        <f>IF(B707="","",IFERROR(INDEX(Ingredients!$E$5:$E$304,MATCH(B707,Ingredients!$A$5:$A$304,0)),""))</f>
        <v>0</v>
      </c>
      <c r="G707" s="8">
        <f>IF(B707="","",IFERROR(INDEX(Ingredients!$D$5:$D$304,MATCH(B707,Ingredients!$A$5:$A$304,0)),""))</f>
        <v>0</v>
      </c>
      <c r="H707" s="8">
        <f>IF(OR(B707="",C707=""),"",IFERROR(C707*G707,""))</f>
        <v>0</v>
      </c>
      <c r="I707" s="8">
        <f>IF(A707="","",IFERROR(INDEX(Recipes!$D$5:$D$204,MATCH(A707,Recipes!$A$5:$A$204,0)),""))</f>
        <v>0</v>
      </c>
      <c r="J707" s="8">
        <f>IF(OR(H707="",I707="",I707=0),"",IFERROR(H707/I707,""))</f>
        <v>0</v>
      </c>
      <c r="K707" s="8">
        <f>IF(OR(B707="",C707=""),"",IFERROR(C707*IFERROR(INDEX(Ingredients!$H$5:$H$304,MATCH(B707,Ingredients!$A$5:$A$304,0)),""),""))</f>
        <v>0</v>
      </c>
      <c r="L707" s="8">
        <f>IF(OR(B707="",C707=""),"",IFERROR(C707*IFERROR(INDEX(Ingredients!$I$5:$I$304,MATCH(B707,Ingredients!$A$5:$A$304,0)),""),""))</f>
        <v>0</v>
      </c>
      <c r="M707" s="8">
        <f>IF(OR(B707="",C707=""),"",IFERROR(C707*IFERROR(INDEX(Ingredients!$J$5:$J$304,MATCH(B707,Ingredients!$A$5:$A$304,0)),""),""))</f>
        <v>0</v>
      </c>
      <c r="N707" s="8">
        <f>IF(OR(B707="",C707=""),"",IFERROR(C707*IFERROR(INDEX(Ingredients!$K$5:$K$304,MATCH(B707,Ingredients!$A$5:$A$304,0)),""),""))</f>
        <v>0</v>
      </c>
      <c r="O707" s="8">
        <f>IF(OR(B707="",C707=""),"",IFERROR(C707*IFERROR(INDEX(Ingredients!$L$5:$L$304,MATCH(B707,Ingredients!$A$5:$A$304,0)),""),""))</f>
        <v>0</v>
      </c>
      <c r="P707" s="8">
        <f>IF(OR(H707="",A707=""),"",IFERROR(H707/SUMIFS('Recipe Ingredients'!$H$5:$H$1204,'Recipe Ingredients'!$A$5:$A$1204,A707),""))</f>
        <v>0</v>
      </c>
      <c r="Q707" s="8">
        <f>IF(H707="","",COUNTIFS($H$5:$H$1204,"&gt;"&amp;H707)+1)</f>
        <v>0</v>
      </c>
      <c r="R707" s="8">
        <f>IF(B707="","",SUMIFS(Pantry!$C$5:$C$304,Pantry!$A$5:$A$304,B707))</f>
        <v>0</v>
      </c>
      <c r="S707" s="8">
        <f>IF(OR(B707="",C707=""),"",MAX(0,C707-R707))</f>
        <v>0</v>
      </c>
      <c r="T707" s="26"/>
      <c r="U707" s="8">
        <f>IF(OR(T707="",T707=0,G707=""),"",T707*G707)</f>
        <v>0</v>
      </c>
      <c r="V707" s="8">
        <f>IF(OR(S707="",T707="",T707=0),"",CEILING(S707/T707,1))</f>
        <v>0</v>
      </c>
      <c r="W707" s="27"/>
      <c r="X707" s="29"/>
      <c r="Y707" s="8">
        <f>IF(OR(C707="",X707=""),"",C707*(1+X707))</f>
        <v>0</v>
      </c>
      <c r="Z707" s="8">
        <f>IF(B707="","",IFERROR(INDEX(Ingredients!$O$5:$O$304,MATCH(B707,Ingredients!$A$5:$A$304,0)),""))</f>
        <v>0</v>
      </c>
      <c r="AA707" s="8">
        <f>IF(B707="","",IF(R707&gt;=C707,"In pantry","To buy"))</f>
        <v>0</v>
      </c>
      <c r="AB707" s="8">
        <f>IF(A707="","",COUNTIFS($A$5:A707,A707))</f>
        <v>0</v>
      </c>
      <c r="AC707" s="8">
        <f>IF(B707="","",IF(COUNTIFS('Dietary Filters'!$C$5:$C$104,B707)&gt;0,"Check","OK"))</f>
        <v>0</v>
      </c>
      <c r="AD707" s="25"/>
    </row>
    <row r="708" spans="1:30">
      <c r="A708" s="7"/>
      <c r="B708" s="7"/>
      <c r="C708" s="26"/>
      <c r="D708" s="27"/>
      <c r="E708" s="8">
        <f>IF(B708="","",IFERROR(INDEX(Ingredients!$B$5:$B$304,MATCH(B708,Ingredients!$A$5:$A$304,0)),""))</f>
        <v>0</v>
      </c>
      <c r="F708" s="8">
        <f>IF(B708="","",IFERROR(INDEX(Ingredients!$E$5:$E$304,MATCH(B708,Ingredients!$A$5:$A$304,0)),""))</f>
        <v>0</v>
      </c>
      <c r="G708" s="8">
        <f>IF(B708="","",IFERROR(INDEX(Ingredients!$D$5:$D$304,MATCH(B708,Ingredients!$A$5:$A$304,0)),""))</f>
        <v>0</v>
      </c>
      <c r="H708" s="8">
        <f>IF(OR(B708="",C708=""),"",IFERROR(C708*G708,""))</f>
        <v>0</v>
      </c>
      <c r="I708" s="8">
        <f>IF(A708="","",IFERROR(INDEX(Recipes!$D$5:$D$204,MATCH(A708,Recipes!$A$5:$A$204,0)),""))</f>
        <v>0</v>
      </c>
      <c r="J708" s="8">
        <f>IF(OR(H708="",I708="",I708=0),"",IFERROR(H708/I708,""))</f>
        <v>0</v>
      </c>
      <c r="K708" s="8">
        <f>IF(OR(B708="",C708=""),"",IFERROR(C708*IFERROR(INDEX(Ingredients!$H$5:$H$304,MATCH(B708,Ingredients!$A$5:$A$304,0)),""),""))</f>
        <v>0</v>
      </c>
      <c r="L708" s="8">
        <f>IF(OR(B708="",C708=""),"",IFERROR(C708*IFERROR(INDEX(Ingredients!$I$5:$I$304,MATCH(B708,Ingredients!$A$5:$A$304,0)),""),""))</f>
        <v>0</v>
      </c>
      <c r="M708" s="8">
        <f>IF(OR(B708="",C708=""),"",IFERROR(C708*IFERROR(INDEX(Ingredients!$J$5:$J$304,MATCH(B708,Ingredients!$A$5:$A$304,0)),""),""))</f>
        <v>0</v>
      </c>
      <c r="N708" s="8">
        <f>IF(OR(B708="",C708=""),"",IFERROR(C708*IFERROR(INDEX(Ingredients!$K$5:$K$304,MATCH(B708,Ingredients!$A$5:$A$304,0)),""),""))</f>
        <v>0</v>
      </c>
      <c r="O708" s="8">
        <f>IF(OR(B708="",C708=""),"",IFERROR(C708*IFERROR(INDEX(Ingredients!$L$5:$L$304,MATCH(B708,Ingredients!$A$5:$A$304,0)),""),""))</f>
        <v>0</v>
      </c>
      <c r="P708" s="8">
        <f>IF(OR(H708="",A708=""),"",IFERROR(H708/SUMIFS('Recipe Ingredients'!$H$5:$H$1204,'Recipe Ingredients'!$A$5:$A$1204,A708),""))</f>
        <v>0</v>
      </c>
      <c r="Q708" s="8">
        <f>IF(H708="","",COUNTIFS($H$5:$H$1204,"&gt;"&amp;H708)+1)</f>
        <v>0</v>
      </c>
      <c r="R708" s="8">
        <f>IF(B708="","",SUMIFS(Pantry!$C$5:$C$304,Pantry!$A$5:$A$304,B708))</f>
        <v>0</v>
      </c>
      <c r="S708" s="8">
        <f>IF(OR(B708="",C708=""),"",MAX(0,C708-R708))</f>
        <v>0</v>
      </c>
      <c r="T708" s="26"/>
      <c r="U708" s="8">
        <f>IF(OR(T708="",T708=0,G708=""),"",T708*G708)</f>
        <v>0</v>
      </c>
      <c r="V708" s="8">
        <f>IF(OR(S708="",T708="",T708=0),"",CEILING(S708/T708,1))</f>
        <v>0</v>
      </c>
      <c r="W708" s="27"/>
      <c r="X708" s="29"/>
      <c r="Y708" s="8">
        <f>IF(OR(C708="",X708=""),"",C708*(1+X708))</f>
        <v>0</v>
      </c>
      <c r="Z708" s="8">
        <f>IF(B708="","",IFERROR(INDEX(Ingredients!$O$5:$O$304,MATCH(B708,Ingredients!$A$5:$A$304,0)),""))</f>
        <v>0</v>
      </c>
      <c r="AA708" s="8">
        <f>IF(B708="","",IF(R708&gt;=C708,"In pantry","To buy"))</f>
        <v>0</v>
      </c>
      <c r="AB708" s="8">
        <f>IF(A708="","",COUNTIFS($A$5:A708,A708))</f>
        <v>0</v>
      </c>
      <c r="AC708" s="8">
        <f>IF(B708="","",IF(COUNTIFS('Dietary Filters'!$C$5:$C$104,B708)&gt;0,"Check","OK"))</f>
        <v>0</v>
      </c>
      <c r="AD708" s="25"/>
    </row>
    <row r="709" spans="1:30">
      <c r="A709" s="7"/>
      <c r="B709" s="7"/>
      <c r="C709" s="26"/>
      <c r="D709" s="27"/>
      <c r="E709" s="8">
        <f>IF(B709="","",IFERROR(INDEX(Ingredients!$B$5:$B$304,MATCH(B709,Ingredients!$A$5:$A$304,0)),""))</f>
        <v>0</v>
      </c>
      <c r="F709" s="8">
        <f>IF(B709="","",IFERROR(INDEX(Ingredients!$E$5:$E$304,MATCH(B709,Ingredients!$A$5:$A$304,0)),""))</f>
        <v>0</v>
      </c>
      <c r="G709" s="8">
        <f>IF(B709="","",IFERROR(INDEX(Ingredients!$D$5:$D$304,MATCH(B709,Ingredients!$A$5:$A$304,0)),""))</f>
        <v>0</v>
      </c>
      <c r="H709" s="8">
        <f>IF(OR(B709="",C709=""),"",IFERROR(C709*G709,""))</f>
        <v>0</v>
      </c>
      <c r="I709" s="8">
        <f>IF(A709="","",IFERROR(INDEX(Recipes!$D$5:$D$204,MATCH(A709,Recipes!$A$5:$A$204,0)),""))</f>
        <v>0</v>
      </c>
      <c r="J709" s="8">
        <f>IF(OR(H709="",I709="",I709=0),"",IFERROR(H709/I709,""))</f>
        <v>0</v>
      </c>
      <c r="K709" s="8">
        <f>IF(OR(B709="",C709=""),"",IFERROR(C709*IFERROR(INDEX(Ingredients!$H$5:$H$304,MATCH(B709,Ingredients!$A$5:$A$304,0)),""),""))</f>
        <v>0</v>
      </c>
      <c r="L709" s="8">
        <f>IF(OR(B709="",C709=""),"",IFERROR(C709*IFERROR(INDEX(Ingredients!$I$5:$I$304,MATCH(B709,Ingredients!$A$5:$A$304,0)),""),""))</f>
        <v>0</v>
      </c>
      <c r="M709" s="8">
        <f>IF(OR(B709="",C709=""),"",IFERROR(C709*IFERROR(INDEX(Ingredients!$J$5:$J$304,MATCH(B709,Ingredients!$A$5:$A$304,0)),""),""))</f>
        <v>0</v>
      </c>
      <c r="N709" s="8">
        <f>IF(OR(B709="",C709=""),"",IFERROR(C709*IFERROR(INDEX(Ingredients!$K$5:$K$304,MATCH(B709,Ingredients!$A$5:$A$304,0)),""),""))</f>
        <v>0</v>
      </c>
      <c r="O709" s="8">
        <f>IF(OR(B709="",C709=""),"",IFERROR(C709*IFERROR(INDEX(Ingredients!$L$5:$L$304,MATCH(B709,Ingredients!$A$5:$A$304,0)),""),""))</f>
        <v>0</v>
      </c>
      <c r="P709" s="8">
        <f>IF(OR(H709="",A709=""),"",IFERROR(H709/SUMIFS('Recipe Ingredients'!$H$5:$H$1204,'Recipe Ingredients'!$A$5:$A$1204,A709),""))</f>
        <v>0</v>
      </c>
      <c r="Q709" s="8">
        <f>IF(H709="","",COUNTIFS($H$5:$H$1204,"&gt;"&amp;H709)+1)</f>
        <v>0</v>
      </c>
      <c r="R709" s="8">
        <f>IF(B709="","",SUMIFS(Pantry!$C$5:$C$304,Pantry!$A$5:$A$304,B709))</f>
        <v>0</v>
      </c>
      <c r="S709" s="8">
        <f>IF(OR(B709="",C709=""),"",MAX(0,C709-R709))</f>
        <v>0</v>
      </c>
      <c r="T709" s="26"/>
      <c r="U709" s="8">
        <f>IF(OR(T709="",T709=0,G709=""),"",T709*G709)</f>
        <v>0</v>
      </c>
      <c r="V709" s="8">
        <f>IF(OR(S709="",T709="",T709=0),"",CEILING(S709/T709,1))</f>
        <v>0</v>
      </c>
      <c r="W709" s="27"/>
      <c r="X709" s="29"/>
      <c r="Y709" s="8">
        <f>IF(OR(C709="",X709=""),"",C709*(1+X709))</f>
        <v>0</v>
      </c>
      <c r="Z709" s="8">
        <f>IF(B709="","",IFERROR(INDEX(Ingredients!$O$5:$O$304,MATCH(B709,Ingredients!$A$5:$A$304,0)),""))</f>
        <v>0</v>
      </c>
      <c r="AA709" s="8">
        <f>IF(B709="","",IF(R709&gt;=C709,"In pantry","To buy"))</f>
        <v>0</v>
      </c>
      <c r="AB709" s="8">
        <f>IF(A709="","",COUNTIFS($A$5:A709,A709))</f>
        <v>0</v>
      </c>
      <c r="AC709" s="8">
        <f>IF(B709="","",IF(COUNTIFS('Dietary Filters'!$C$5:$C$104,B709)&gt;0,"Check","OK"))</f>
        <v>0</v>
      </c>
      <c r="AD709" s="25"/>
    </row>
    <row r="710" spans="1:30">
      <c r="A710" s="7"/>
      <c r="B710" s="7"/>
      <c r="C710" s="26"/>
      <c r="D710" s="27"/>
      <c r="E710" s="8">
        <f>IF(B710="","",IFERROR(INDEX(Ingredients!$B$5:$B$304,MATCH(B710,Ingredients!$A$5:$A$304,0)),""))</f>
        <v>0</v>
      </c>
      <c r="F710" s="8">
        <f>IF(B710="","",IFERROR(INDEX(Ingredients!$E$5:$E$304,MATCH(B710,Ingredients!$A$5:$A$304,0)),""))</f>
        <v>0</v>
      </c>
      <c r="G710" s="8">
        <f>IF(B710="","",IFERROR(INDEX(Ingredients!$D$5:$D$304,MATCH(B710,Ingredients!$A$5:$A$304,0)),""))</f>
        <v>0</v>
      </c>
      <c r="H710" s="8">
        <f>IF(OR(B710="",C710=""),"",IFERROR(C710*G710,""))</f>
        <v>0</v>
      </c>
      <c r="I710" s="8">
        <f>IF(A710="","",IFERROR(INDEX(Recipes!$D$5:$D$204,MATCH(A710,Recipes!$A$5:$A$204,0)),""))</f>
        <v>0</v>
      </c>
      <c r="J710" s="8">
        <f>IF(OR(H710="",I710="",I710=0),"",IFERROR(H710/I710,""))</f>
        <v>0</v>
      </c>
      <c r="K710" s="8">
        <f>IF(OR(B710="",C710=""),"",IFERROR(C710*IFERROR(INDEX(Ingredients!$H$5:$H$304,MATCH(B710,Ingredients!$A$5:$A$304,0)),""),""))</f>
        <v>0</v>
      </c>
      <c r="L710" s="8">
        <f>IF(OR(B710="",C710=""),"",IFERROR(C710*IFERROR(INDEX(Ingredients!$I$5:$I$304,MATCH(B710,Ingredients!$A$5:$A$304,0)),""),""))</f>
        <v>0</v>
      </c>
      <c r="M710" s="8">
        <f>IF(OR(B710="",C710=""),"",IFERROR(C710*IFERROR(INDEX(Ingredients!$J$5:$J$304,MATCH(B710,Ingredients!$A$5:$A$304,0)),""),""))</f>
        <v>0</v>
      </c>
      <c r="N710" s="8">
        <f>IF(OR(B710="",C710=""),"",IFERROR(C710*IFERROR(INDEX(Ingredients!$K$5:$K$304,MATCH(B710,Ingredients!$A$5:$A$304,0)),""),""))</f>
        <v>0</v>
      </c>
      <c r="O710" s="8">
        <f>IF(OR(B710="",C710=""),"",IFERROR(C710*IFERROR(INDEX(Ingredients!$L$5:$L$304,MATCH(B710,Ingredients!$A$5:$A$304,0)),""),""))</f>
        <v>0</v>
      </c>
      <c r="P710" s="8">
        <f>IF(OR(H710="",A710=""),"",IFERROR(H710/SUMIFS('Recipe Ingredients'!$H$5:$H$1204,'Recipe Ingredients'!$A$5:$A$1204,A710),""))</f>
        <v>0</v>
      </c>
      <c r="Q710" s="8">
        <f>IF(H710="","",COUNTIFS($H$5:$H$1204,"&gt;"&amp;H710)+1)</f>
        <v>0</v>
      </c>
      <c r="R710" s="8">
        <f>IF(B710="","",SUMIFS(Pantry!$C$5:$C$304,Pantry!$A$5:$A$304,B710))</f>
        <v>0</v>
      </c>
      <c r="S710" s="8">
        <f>IF(OR(B710="",C710=""),"",MAX(0,C710-R710))</f>
        <v>0</v>
      </c>
      <c r="T710" s="26"/>
      <c r="U710" s="8">
        <f>IF(OR(T710="",T710=0,G710=""),"",T710*G710)</f>
        <v>0</v>
      </c>
      <c r="V710" s="8">
        <f>IF(OR(S710="",T710="",T710=0),"",CEILING(S710/T710,1))</f>
        <v>0</v>
      </c>
      <c r="W710" s="27"/>
      <c r="X710" s="29"/>
      <c r="Y710" s="8">
        <f>IF(OR(C710="",X710=""),"",C710*(1+X710))</f>
        <v>0</v>
      </c>
      <c r="Z710" s="8">
        <f>IF(B710="","",IFERROR(INDEX(Ingredients!$O$5:$O$304,MATCH(B710,Ingredients!$A$5:$A$304,0)),""))</f>
        <v>0</v>
      </c>
      <c r="AA710" s="8">
        <f>IF(B710="","",IF(R710&gt;=C710,"In pantry","To buy"))</f>
        <v>0</v>
      </c>
      <c r="AB710" s="8">
        <f>IF(A710="","",COUNTIFS($A$5:A710,A710))</f>
        <v>0</v>
      </c>
      <c r="AC710" s="8">
        <f>IF(B710="","",IF(COUNTIFS('Dietary Filters'!$C$5:$C$104,B710)&gt;0,"Check","OK"))</f>
        <v>0</v>
      </c>
      <c r="AD710" s="25"/>
    </row>
    <row r="711" spans="1:30">
      <c r="A711" s="7"/>
      <c r="B711" s="7"/>
      <c r="C711" s="26"/>
      <c r="D711" s="27"/>
      <c r="E711" s="8">
        <f>IF(B711="","",IFERROR(INDEX(Ingredients!$B$5:$B$304,MATCH(B711,Ingredients!$A$5:$A$304,0)),""))</f>
        <v>0</v>
      </c>
      <c r="F711" s="8">
        <f>IF(B711="","",IFERROR(INDEX(Ingredients!$E$5:$E$304,MATCH(B711,Ingredients!$A$5:$A$304,0)),""))</f>
        <v>0</v>
      </c>
      <c r="G711" s="8">
        <f>IF(B711="","",IFERROR(INDEX(Ingredients!$D$5:$D$304,MATCH(B711,Ingredients!$A$5:$A$304,0)),""))</f>
        <v>0</v>
      </c>
      <c r="H711" s="8">
        <f>IF(OR(B711="",C711=""),"",IFERROR(C711*G711,""))</f>
        <v>0</v>
      </c>
      <c r="I711" s="8">
        <f>IF(A711="","",IFERROR(INDEX(Recipes!$D$5:$D$204,MATCH(A711,Recipes!$A$5:$A$204,0)),""))</f>
        <v>0</v>
      </c>
      <c r="J711" s="8">
        <f>IF(OR(H711="",I711="",I711=0),"",IFERROR(H711/I711,""))</f>
        <v>0</v>
      </c>
      <c r="K711" s="8">
        <f>IF(OR(B711="",C711=""),"",IFERROR(C711*IFERROR(INDEX(Ingredients!$H$5:$H$304,MATCH(B711,Ingredients!$A$5:$A$304,0)),""),""))</f>
        <v>0</v>
      </c>
      <c r="L711" s="8">
        <f>IF(OR(B711="",C711=""),"",IFERROR(C711*IFERROR(INDEX(Ingredients!$I$5:$I$304,MATCH(B711,Ingredients!$A$5:$A$304,0)),""),""))</f>
        <v>0</v>
      </c>
      <c r="M711" s="8">
        <f>IF(OR(B711="",C711=""),"",IFERROR(C711*IFERROR(INDEX(Ingredients!$J$5:$J$304,MATCH(B711,Ingredients!$A$5:$A$304,0)),""),""))</f>
        <v>0</v>
      </c>
      <c r="N711" s="8">
        <f>IF(OR(B711="",C711=""),"",IFERROR(C711*IFERROR(INDEX(Ingredients!$K$5:$K$304,MATCH(B711,Ingredients!$A$5:$A$304,0)),""),""))</f>
        <v>0</v>
      </c>
      <c r="O711" s="8">
        <f>IF(OR(B711="",C711=""),"",IFERROR(C711*IFERROR(INDEX(Ingredients!$L$5:$L$304,MATCH(B711,Ingredients!$A$5:$A$304,0)),""),""))</f>
        <v>0</v>
      </c>
      <c r="P711" s="8">
        <f>IF(OR(H711="",A711=""),"",IFERROR(H711/SUMIFS('Recipe Ingredients'!$H$5:$H$1204,'Recipe Ingredients'!$A$5:$A$1204,A711),""))</f>
        <v>0</v>
      </c>
      <c r="Q711" s="8">
        <f>IF(H711="","",COUNTIFS($H$5:$H$1204,"&gt;"&amp;H711)+1)</f>
        <v>0</v>
      </c>
      <c r="R711" s="8">
        <f>IF(B711="","",SUMIFS(Pantry!$C$5:$C$304,Pantry!$A$5:$A$304,B711))</f>
        <v>0</v>
      </c>
      <c r="S711" s="8">
        <f>IF(OR(B711="",C711=""),"",MAX(0,C711-R711))</f>
        <v>0</v>
      </c>
      <c r="T711" s="26"/>
      <c r="U711" s="8">
        <f>IF(OR(T711="",T711=0,G711=""),"",T711*G711)</f>
        <v>0</v>
      </c>
      <c r="V711" s="8">
        <f>IF(OR(S711="",T711="",T711=0),"",CEILING(S711/T711,1))</f>
        <v>0</v>
      </c>
      <c r="W711" s="27"/>
      <c r="X711" s="29"/>
      <c r="Y711" s="8">
        <f>IF(OR(C711="",X711=""),"",C711*(1+X711))</f>
        <v>0</v>
      </c>
      <c r="Z711" s="8">
        <f>IF(B711="","",IFERROR(INDEX(Ingredients!$O$5:$O$304,MATCH(B711,Ingredients!$A$5:$A$304,0)),""))</f>
        <v>0</v>
      </c>
      <c r="AA711" s="8">
        <f>IF(B711="","",IF(R711&gt;=C711,"In pantry","To buy"))</f>
        <v>0</v>
      </c>
      <c r="AB711" s="8">
        <f>IF(A711="","",COUNTIFS($A$5:A711,A711))</f>
        <v>0</v>
      </c>
      <c r="AC711" s="8">
        <f>IF(B711="","",IF(COUNTIFS('Dietary Filters'!$C$5:$C$104,B711)&gt;0,"Check","OK"))</f>
        <v>0</v>
      </c>
      <c r="AD711" s="25"/>
    </row>
    <row r="712" spans="1:30">
      <c r="A712" s="7"/>
      <c r="B712" s="7"/>
      <c r="C712" s="26"/>
      <c r="D712" s="27"/>
      <c r="E712" s="8">
        <f>IF(B712="","",IFERROR(INDEX(Ingredients!$B$5:$B$304,MATCH(B712,Ingredients!$A$5:$A$304,0)),""))</f>
        <v>0</v>
      </c>
      <c r="F712" s="8">
        <f>IF(B712="","",IFERROR(INDEX(Ingredients!$E$5:$E$304,MATCH(B712,Ingredients!$A$5:$A$304,0)),""))</f>
        <v>0</v>
      </c>
      <c r="G712" s="8">
        <f>IF(B712="","",IFERROR(INDEX(Ingredients!$D$5:$D$304,MATCH(B712,Ingredients!$A$5:$A$304,0)),""))</f>
        <v>0</v>
      </c>
      <c r="H712" s="8">
        <f>IF(OR(B712="",C712=""),"",IFERROR(C712*G712,""))</f>
        <v>0</v>
      </c>
      <c r="I712" s="8">
        <f>IF(A712="","",IFERROR(INDEX(Recipes!$D$5:$D$204,MATCH(A712,Recipes!$A$5:$A$204,0)),""))</f>
        <v>0</v>
      </c>
      <c r="J712" s="8">
        <f>IF(OR(H712="",I712="",I712=0),"",IFERROR(H712/I712,""))</f>
        <v>0</v>
      </c>
      <c r="K712" s="8">
        <f>IF(OR(B712="",C712=""),"",IFERROR(C712*IFERROR(INDEX(Ingredients!$H$5:$H$304,MATCH(B712,Ingredients!$A$5:$A$304,0)),""),""))</f>
        <v>0</v>
      </c>
      <c r="L712" s="8">
        <f>IF(OR(B712="",C712=""),"",IFERROR(C712*IFERROR(INDEX(Ingredients!$I$5:$I$304,MATCH(B712,Ingredients!$A$5:$A$304,0)),""),""))</f>
        <v>0</v>
      </c>
      <c r="M712" s="8">
        <f>IF(OR(B712="",C712=""),"",IFERROR(C712*IFERROR(INDEX(Ingredients!$J$5:$J$304,MATCH(B712,Ingredients!$A$5:$A$304,0)),""),""))</f>
        <v>0</v>
      </c>
      <c r="N712" s="8">
        <f>IF(OR(B712="",C712=""),"",IFERROR(C712*IFERROR(INDEX(Ingredients!$K$5:$K$304,MATCH(B712,Ingredients!$A$5:$A$304,0)),""),""))</f>
        <v>0</v>
      </c>
      <c r="O712" s="8">
        <f>IF(OR(B712="",C712=""),"",IFERROR(C712*IFERROR(INDEX(Ingredients!$L$5:$L$304,MATCH(B712,Ingredients!$A$5:$A$304,0)),""),""))</f>
        <v>0</v>
      </c>
      <c r="P712" s="8">
        <f>IF(OR(H712="",A712=""),"",IFERROR(H712/SUMIFS('Recipe Ingredients'!$H$5:$H$1204,'Recipe Ingredients'!$A$5:$A$1204,A712),""))</f>
        <v>0</v>
      </c>
      <c r="Q712" s="8">
        <f>IF(H712="","",COUNTIFS($H$5:$H$1204,"&gt;"&amp;H712)+1)</f>
        <v>0</v>
      </c>
      <c r="R712" s="8">
        <f>IF(B712="","",SUMIFS(Pantry!$C$5:$C$304,Pantry!$A$5:$A$304,B712))</f>
        <v>0</v>
      </c>
      <c r="S712" s="8">
        <f>IF(OR(B712="",C712=""),"",MAX(0,C712-R712))</f>
        <v>0</v>
      </c>
      <c r="T712" s="26"/>
      <c r="U712" s="8">
        <f>IF(OR(T712="",T712=0,G712=""),"",T712*G712)</f>
        <v>0</v>
      </c>
      <c r="V712" s="8">
        <f>IF(OR(S712="",T712="",T712=0),"",CEILING(S712/T712,1))</f>
        <v>0</v>
      </c>
      <c r="W712" s="27"/>
      <c r="X712" s="29"/>
      <c r="Y712" s="8">
        <f>IF(OR(C712="",X712=""),"",C712*(1+X712))</f>
        <v>0</v>
      </c>
      <c r="Z712" s="8">
        <f>IF(B712="","",IFERROR(INDEX(Ingredients!$O$5:$O$304,MATCH(B712,Ingredients!$A$5:$A$304,0)),""))</f>
        <v>0</v>
      </c>
      <c r="AA712" s="8">
        <f>IF(B712="","",IF(R712&gt;=C712,"In pantry","To buy"))</f>
        <v>0</v>
      </c>
      <c r="AB712" s="8">
        <f>IF(A712="","",COUNTIFS($A$5:A712,A712))</f>
        <v>0</v>
      </c>
      <c r="AC712" s="8">
        <f>IF(B712="","",IF(COUNTIFS('Dietary Filters'!$C$5:$C$104,B712)&gt;0,"Check","OK"))</f>
        <v>0</v>
      </c>
      <c r="AD712" s="25"/>
    </row>
    <row r="713" spans="1:30">
      <c r="A713" s="7"/>
      <c r="B713" s="7"/>
      <c r="C713" s="26"/>
      <c r="D713" s="27"/>
      <c r="E713" s="8">
        <f>IF(B713="","",IFERROR(INDEX(Ingredients!$B$5:$B$304,MATCH(B713,Ingredients!$A$5:$A$304,0)),""))</f>
        <v>0</v>
      </c>
      <c r="F713" s="8">
        <f>IF(B713="","",IFERROR(INDEX(Ingredients!$E$5:$E$304,MATCH(B713,Ingredients!$A$5:$A$304,0)),""))</f>
        <v>0</v>
      </c>
      <c r="G713" s="8">
        <f>IF(B713="","",IFERROR(INDEX(Ingredients!$D$5:$D$304,MATCH(B713,Ingredients!$A$5:$A$304,0)),""))</f>
        <v>0</v>
      </c>
      <c r="H713" s="8">
        <f>IF(OR(B713="",C713=""),"",IFERROR(C713*G713,""))</f>
        <v>0</v>
      </c>
      <c r="I713" s="8">
        <f>IF(A713="","",IFERROR(INDEX(Recipes!$D$5:$D$204,MATCH(A713,Recipes!$A$5:$A$204,0)),""))</f>
        <v>0</v>
      </c>
      <c r="J713" s="8">
        <f>IF(OR(H713="",I713="",I713=0),"",IFERROR(H713/I713,""))</f>
        <v>0</v>
      </c>
      <c r="K713" s="8">
        <f>IF(OR(B713="",C713=""),"",IFERROR(C713*IFERROR(INDEX(Ingredients!$H$5:$H$304,MATCH(B713,Ingredients!$A$5:$A$304,0)),""),""))</f>
        <v>0</v>
      </c>
      <c r="L713" s="8">
        <f>IF(OR(B713="",C713=""),"",IFERROR(C713*IFERROR(INDEX(Ingredients!$I$5:$I$304,MATCH(B713,Ingredients!$A$5:$A$304,0)),""),""))</f>
        <v>0</v>
      </c>
      <c r="M713" s="8">
        <f>IF(OR(B713="",C713=""),"",IFERROR(C713*IFERROR(INDEX(Ingredients!$J$5:$J$304,MATCH(B713,Ingredients!$A$5:$A$304,0)),""),""))</f>
        <v>0</v>
      </c>
      <c r="N713" s="8">
        <f>IF(OR(B713="",C713=""),"",IFERROR(C713*IFERROR(INDEX(Ingredients!$K$5:$K$304,MATCH(B713,Ingredients!$A$5:$A$304,0)),""),""))</f>
        <v>0</v>
      </c>
      <c r="O713" s="8">
        <f>IF(OR(B713="",C713=""),"",IFERROR(C713*IFERROR(INDEX(Ingredients!$L$5:$L$304,MATCH(B713,Ingredients!$A$5:$A$304,0)),""),""))</f>
        <v>0</v>
      </c>
      <c r="P713" s="8">
        <f>IF(OR(H713="",A713=""),"",IFERROR(H713/SUMIFS('Recipe Ingredients'!$H$5:$H$1204,'Recipe Ingredients'!$A$5:$A$1204,A713),""))</f>
        <v>0</v>
      </c>
      <c r="Q713" s="8">
        <f>IF(H713="","",COUNTIFS($H$5:$H$1204,"&gt;"&amp;H713)+1)</f>
        <v>0</v>
      </c>
      <c r="R713" s="8">
        <f>IF(B713="","",SUMIFS(Pantry!$C$5:$C$304,Pantry!$A$5:$A$304,B713))</f>
        <v>0</v>
      </c>
      <c r="S713" s="8">
        <f>IF(OR(B713="",C713=""),"",MAX(0,C713-R713))</f>
        <v>0</v>
      </c>
      <c r="T713" s="26"/>
      <c r="U713" s="8">
        <f>IF(OR(T713="",T713=0,G713=""),"",T713*G713)</f>
        <v>0</v>
      </c>
      <c r="V713" s="8">
        <f>IF(OR(S713="",T713="",T713=0),"",CEILING(S713/T713,1))</f>
        <v>0</v>
      </c>
      <c r="W713" s="27"/>
      <c r="X713" s="29"/>
      <c r="Y713" s="8">
        <f>IF(OR(C713="",X713=""),"",C713*(1+X713))</f>
        <v>0</v>
      </c>
      <c r="Z713" s="8">
        <f>IF(B713="","",IFERROR(INDEX(Ingredients!$O$5:$O$304,MATCH(B713,Ingredients!$A$5:$A$304,0)),""))</f>
        <v>0</v>
      </c>
      <c r="AA713" s="8">
        <f>IF(B713="","",IF(R713&gt;=C713,"In pantry","To buy"))</f>
        <v>0</v>
      </c>
      <c r="AB713" s="8">
        <f>IF(A713="","",COUNTIFS($A$5:A713,A713))</f>
        <v>0</v>
      </c>
      <c r="AC713" s="8">
        <f>IF(B713="","",IF(COUNTIFS('Dietary Filters'!$C$5:$C$104,B713)&gt;0,"Check","OK"))</f>
        <v>0</v>
      </c>
      <c r="AD713" s="25"/>
    </row>
    <row r="714" spans="1:30">
      <c r="A714" s="7"/>
      <c r="B714" s="7"/>
      <c r="C714" s="26"/>
      <c r="D714" s="27"/>
      <c r="E714" s="8">
        <f>IF(B714="","",IFERROR(INDEX(Ingredients!$B$5:$B$304,MATCH(B714,Ingredients!$A$5:$A$304,0)),""))</f>
        <v>0</v>
      </c>
      <c r="F714" s="8">
        <f>IF(B714="","",IFERROR(INDEX(Ingredients!$E$5:$E$304,MATCH(B714,Ingredients!$A$5:$A$304,0)),""))</f>
        <v>0</v>
      </c>
      <c r="G714" s="8">
        <f>IF(B714="","",IFERROR(INDEX(Ingredients!$D$5:$D$304,MATCH(B714,Ingredients!$A$5:$A$304,0)),""))</f>
        <v>0</v>
      </c>
      <c r="H714" s="8">
        <f>IF(OR(B714="",C714=""),"",IFERROR(C714*G714,""))</f>
        <v>0</v>
      </c>
      <c r="I714" s="8">
        <f>IF(A714="","",IFERROR(INDEX(Recipes!$D$5:$D$204,MATCH(A714,Recipes!$A$5:$A$204,0)),""))</f>
        <v>0</v>
      </c>
      <c r="J714" s="8">
        <f>IF(OR(H714="",I714="",I714=0),"",IFERROR(H714/I714,""))</f>
        <v>0</v>
      </c>
      <c r="K714" s="8">
        <f>IF(OR(B714="",C714=""),"",IFERROR(C714*IFERROR(INDEX(Ingredients!$H$5:$H$304,MATCH(B714,Ingredients!$A$5:$A$304,0)),""),""))</f>
        <v>0</v>
      </c>
      <c r="L714" s="8">
        <f>IF(OR(B714="",C714=""),"",IFERROR(C714*IFERROR(INDEX(Ingredients!$I$5:$I$304,MATCH(B714,Ingredients!$A$5:$A$304,0)),""),""))</f>
        <v>0</v>
      </c>
      <c r="M714" s="8">
        <f>IF(OR(B714="",C714=""),"",IFERROR(C714*IFERROR(INDEX(Ingredients!$J$5:$J$304,MATCH(B714,Ingredients!$A$5:$A$304,0)),""),""))</f>
        <v>0</v>
      </c>
      <c r="N714" s="8">
        <f>IF(OR(B714="",C714=""),"",IFERROR(C714*IFERROR(INDEX(Ingredients!$K$5:$K$304,MATCH(B714,Ingredients!$A$5:$A$304,0)),""),""))</f>
        <v>0</v>
      </c>
      <c r="O714" s="8">
        <f>IF(OR(B714="",C714=""),"",IFERROR(C714*IFERROR(INDEX(Ingredients!$L$5:$L$304,MATCH(B714,Ingredients!$A$5:$A$304,0)),""),""))</f>
        <v>0</v>
      </c>
      <c r="P714" s="8">
        <f>IF(OR(H714="",A714=""),"",IFERROR(H714/SUMIFS('Recipe Ingredients'!$H$5:$H$1204,'Recipe Ingredients'!$A$5:$A$1204,A714),""))</f>
        <v>0</v>
      </c>
      <c r="Q714" s="8">
        <f>IF(H714="","",COUNTIFS($H$5:$H$1204,"&gt;"&amp;H714)+1)</f>
        <v>0</v>
      </c>
      <c r="R714" s="8">
        <f>IF(B714="","",SUMIFS(Pantry!$C$5:$C$304,Pantry!$A$5:$A$304,B714))</f>
        <v>0</v>
      </c>
      <c r="S714" s="8">
        <f>IF(OR(B714="",C714=""),"",MAX(0,C714-R714))</f>
        <v>0</v>
      </c>
      <c r="T714" s="26"/>
      <c r="U714" s="8">
        <f>IF(OR(T714="",T714=0,G714=""),"",T714*G714)</f>
        <v>0</v>
      </c>
      <c r="V714" s="8">
        <f>IF(OR(S714="",T714="",T714=0),"",CEILING(S714/T714,1))</f>
        <v>0</v>
      </c>
      <c r="W714" s="27"/>
      <c r="X714" s="29"/>
      <c r="Y714" s="8">
        <f>IF(OR(C714="",X714=""),"",C714*(1+X714))</f>
        <v>0</v>
      </c>
      <c r="Z714" s="8">
        <f>IF(B714="","",IFERROR(INDEX(Ingredients!$O$5:$O$304,MATCH(B714,Ingredients!$A$5:$A$304,0)),""))</f>
        <v>0</v>
      </c>
      <c r="AA714" s="8">
        <f>IF(B714="","",IF(R714&gt;=C714,"In pantry","To buy"))</f>
        <v>0</v>
      </c>
      <c r="AB714" s="8">
        <f>IF(A714="","",COUNTIFS($A$5:A714,A714))</f>
        <v>0</v>
      </c>
      <c r="AC714" s="8">
        <f>IF(B714="","",IF(COUNTIFS('Dietary Filters'!$C$5:$C$104,B714)&gt;0,"Check","OK"))</f>
        <v>0</v>
      </c>
      <c r="AD714" s="25"/>
    </row>
    <row r="715" spans="1:30">
      <c r="A715" s="7"/>
      <c r="B715" s="7"/>
      <c r="C715" s="26"/>
      <c r="D715" s="27"/>
      <c r="E715" s="8">
        <f>IF(B715="","",IFERROR(INDEX(Ingredients!$B$5:$B$304,MATCH(B715,Ingredients!$A$5:$A$304,0)),""))</f>
        <v>0</v>
      </c>
      <c r="F715" s="8">
        <f>IF(B715="","",IFERROR(INDEX(Ingredients!$E$5:$E$304,MATCH(B715,Ingredients!$A$5:$A$304,0)),""))</f>
        <v>0</v>
      </c>
      <c r="G715" s="8">
        <f>IF(B715="","",IFERROR(INDEX(Ingredients!$D$5:$D$304,MATCH(B715,Ingredients!$A$5:$A$304,0)),""))</f>
        <v>0</v>
      </c>
      <c r="H715" s="8">
        <f>IF(OR(B715="",C715=""),"",IFERROR(C715*G715,""))</f>
        <v>0</v>
      </c>
      <c r="I715" s="8">
        <f>IF(A715="","",IFERROR(INDEX(Recipes!$D$5:$D$204,MATCH(A715,Recipes!$A$5:$A$204,0)),""))</f>
        <v>0</v>
      </c>
      <c r="J715" s="8">
        <f>IF(OR(H715="",I715="",I715=0),"",IFERROR(H715/I715,""))</f>
        <v>0</v>
      </c>
      <c r="K715" s="8">
        <f>IF(OR(B715="",C715=""),"",IFERROR(C715*IFERROR(INDEX(Ingredients!$H$5:$H$304,MATCH(B715,Ingredients!$A$5:$A$304,0)),""),""))</f>
        <v>0</v>
      </c>
      <c r="L715" s="8">
        <f>IF(OR(B715="",C715=""),"",IFERROR(C715*IFERROR(INDEX(Ingredients!$I$5:$I$304,MATCH(B715,Ingredients!$A$5:$A$304,0)),""),""))</f>
        <v>0</v>
      </c>
      <c r="M715" s="8">
        <f>IF(OR(B715="",C715=""),"",IFERROR(C715*IFERROR(INDEX(Ingredients!$J$5:$J$304,MATCH(B715,Ingredients!$A$5:$A$304,0)),""),""))</f>
        <v>0</v>
      </c>
      <c r="N715" s="8">
        <f>IF(OR(B715="",C715=""),"",IFERROR(C715*IFERROR(INDEX(Ingredients!$K$5:$K$304,MATCH(B715,Ingredients!$A$5:$A$304,0)),""),""))</f>
        <v>0</v>
      </c>
      <c r="O715" s="8">
        <f>IF(OR(B715="",C715=""),"",IFERROR(C715*IFERROR(INDEX(Ingredients!$L$5:$L$304,MATCH(B715,Ingredients!$A$5:$A$304,0)),""),""))</f>
        <v>0</v>
      </c>
      <c r="P715" s="8">
        <f>IF(OR(H715="",A715=""),"",IFERROR(H715/SUMIFS('Recipe Ingredients'!$H$5:$H$1204,'Recipe Ingredients'!$A$5:$A$1204,A715),""))</f>
        <v>0</v>
      </c>
      <c r="Q715" s="8">
        <f>IF(H715="","",COUNTIFS($H$5:$H$1204,"&gt;"&amp;H715)+1)</f>
        <v>0</v>
      </c>
      <c r="R715" s="8">
        <f>IF(B715="","",SUMIFS(Pantry!$C$5:$C$304,Pantry!$A$5:$A$304,B715))</f>
        <v>0</v>
      </c>
      <c r="S715" s="8">
        <f>IF(OR(B715="",C715=""),"",MAX(0,C715-R715))</f>
        <v>0</v>
      </c>
      <c r="T715" s="26"/>
      <c r="U715" s="8">
        <f>IF(OR(T715="",T715=0,G715=""),"",T715*G715)</f>
        <v>0</v>
      </c>
      <c r="V715" s="8">
        <f>IF(OR(S715="",T715="",T715=0),"",CEILING(S715/T715,1))</f>
        <v>0</v>
      </c>
      <c r="W715" s="27"/>
      <c r="X715" s="29"/>
      <c r="Y715" s="8">
        <f>IF(OR(C715="",X715=""),"",C715*(1+X715))</f>
        <v>0</v>
      </c>
      <c r="Z715" s="8">
        <f>IF(B715="","",IFERROR(INDEX(Ingredients!$O$5:$O$304,MATCH(B715,Ingredients!$A$5:$A$304,0)),""))</f>
        <v>0</v>
      </c>
      <c r="AA715" s="8">
        <f>IF(B715="","",IF(R715&gt;=C715,"In pantry","To buy"))</f>
        <v>0</v>
      </c>
      <c r="AB715" s="8">
        <f>IF(A715="","",COUNTIFS($A$5:A715,A715))</f>
        <v>0</v>
      </c>
      <c r="AC715" s="8">
        <f>IF(B715="","",IF(COUNTIFS('Dietary Filters'!$C$5:$C$104,B715)&gt;0,"Check","OK"))</f>
        <v>0</v>
      </c>
      <c r="AD715" s="25"/>
    </row>
    <row r="716" spans="1:30">
      <c r="A716" s="7"/>
      <c r="B716" s="7"/>
      <c r="C716" s="26"/>
      <c r="D716" s="27"/>
      <c r="E716" s="8">
        <f>IF(B716="","",IFERROR(INDEX(Ingredients!$B$5:$B$304,MATCH(B716,Ingredients!$A$5:$A$304,0)),""))</f>
        <v>0</v>
      </c>
      <c r="F716" s="8">
        <f>IF(B716="","",IFERROR(INDEX(Ingredients!$E$5:$E$304,MATCH(B716,Ingredients!$A$5:$A$304,0)),""))</f>
        <v>0</v>
      </c>
      <c r="G716" s="8">
        <f>IF(B716="","",IFERROR(INDEX(Ingredients!$D$5:$D$304,MATCH(B716,Ingredients!$A$5:$A$304,0)),""))</f>
        <v>0</v>
      </c>
      <c r="H716" s="8">
        <f>IF(OR(B716="",C716=""),"",IFERROR(C716*G716,""))</f>
        <v>0</v>
      </c>
      <c r="I716" s="8">
        <f>IF(A716="","",IFERROR(INDEX(Recipes!$D$5:$D$204,MATCH(A716,Recipes!$A$5:$A$204,0)),""))</f>
        <v>0</v>
      </c>
      <c r="J716" s="8">
        <f>IF(OR(H716="",I716="",I716=0),"",IFERROR(H716/I716,""))</f>
        <v>0</v>
      </c>
      <c r="K716" s="8">
        <f>IF(OR(B716="",C716=""),"",IFERROR(C716*IFERROR(INDEX(Ingredients!$H$5:$H$304,MATCH(B716,Ingredients!$A$5:$A$304,0)),""),""))</f>
        <v>0</v>
      </c>
      <c r="L716" s="8">
        <f>IF(OR(B716="",C716=""),"",IFERROR(C716*IFERROR(INDEX(Ingredients!$I$5:$I$304,MATCH(B716,Ingredients!$A$5:$A$304,0)),""),""))</f>
        <v>0</v>
      </c>
      <c r="M716" s="8">
        <f>IF(OR(B716="",C716=""),"",IFERROR(C716*IFERROR(INDEX(Ingredients!$J$5:$J$304,MATCH(B716,Ingredients!$A$5:$A$304,0)),""),""))</f>
        <v>0</v>
      </c>
      <c r="N716" s="8">
        <f>IF(OR(B716="",C716=""),"",IFERROR(C716*IFERROR(INDEX(Ingredients!$K$5:$K$304,MATCH(B716,Ingredients!$A$5:$A$304,0)),""),""))</f>
        <v>0</v>
      </c>
      <c r="O716" s="8">
        <f>IF(OR(B716="",C716=""),"",IFERROR(C716*IFERROR(INDEX(Ingredients!$L$5:$L$304,MATCH(B716,Ingredients!$A$5:$A$304,0)),""),""))</f>
        <v>0</v>
      </c>
      <c r="P716" s="8">
        <f>IF(OR(H716="",A716=""),"",IFERROR(H716/SUMIFS('Recipe Ingredients'!$H$5:$H$1204,'Recipe Ingredients'!$A$5:$A$1204,A716),""))</f>
        <v>0</v>
      </c>
      <c r="Q716" s="8">
        <f>IF(H716="","",COUNTIFS($H$5:$H$1204,"&gt;"&amp;H716)+1)</f>
        <v>0</v>
      </c>
      <c r="R716" s="8">
        <f>IF(B716="","",SUMIFS(Pantry!$C$5:$C$304,Pantry!$A$5:$A$304,B716))</f>
        <v>0</v>
      </c>
      <c r="S716" s="8">
        <f>IF(OR(B716="",C716=""),"",MAX(0,C716-R716))</f>
        <v>0</v>
      </c>
      <c r="T716" s="26"/>
      <c r="U716" s="8">
        <f>IF(OR(T716="",T716=0,G716=""),"",T716*G716)</f>
        <v>0</v>
      </c>
      <c r="V716" s="8">
        <f>IF(OR(S716="",T716="",T716=0),"",CEILING(S716/T716,1))</f>
        <v>0</v>
      </c>
      <c r="W716" s="27"/>
      <c r="X716" s="29"/>
      <c r="Y716" s="8">
        <f>IF(OR(C716="",X716=""),"",C716*(1+X716))</f>
        <v>0</v>
      </c>
      <c r="Z716" s="8">
        <f>IF(B716="","",IFERROR(INDEX(Ingredients!$O$5:$O$304,MATCH(B716,Ingredients!$A$5:$A$304,0)),""))</f>
        <v>0</v>
      </c>
      <c r="AA716" s="8">
        <f>IF(B716="","",IF(R716&gt;=C716,"In pantry","To buy"))</f>
        <v>0</v>
      </c>
      <c r="AB716" s="8">
        <f>IF(A716="","",COUNTIFS($A$5:A716,A716))</f>
        <v>0</v>
      </c>
      <c r="AC716" s="8">
        <f>IF(B716="","",IF(COUNTIFS('Dietary Filters'!$C$5:$C$104,B716)&gt;0,"Check","OK"))</f>
        <v>0</v>
      </c>
      <c r="AD716" s="25"/>
    </row>
    <row r="717" spans="1:30">
      <c r="A717" s="7"/>
      <c r="B717" s="7"/>
      <c r="C717" s="26"/>
      <c r="D717" s="27"/>
      <c r="E717" s="8">
        <f>IF(B717="","",IFERROR(INDEX(Ingredients!$B$5:$B$304,MATCH(B717,Ingredients!$A$5:$A$304,0)),""))</f>
        <v>0</v>
      </c>
      <c r="F717" s="8">
        <f>IF(B717="","",IFERROR(INDEX(Ingredients!$E$5:$E$304,MATCH(B717,Ingredients!$A$5:$A$304,0)),""))</f>
        <v>0</v>
      </c>
      <c r="G717" s="8">
        <f>IF(B717="","",IFERROR(INDEX(Ingredients!$D$5:$D$304,MATCH(B717,Ingredients!$A$5:$A$304,0)),""))</f>
        <v>0</v>
      </c>
      <c r="H717" s="8">
        <f>IF(OR(B717="",C717=""),"",IFERROR(C717*G717,""))</f>
        <v>0</v>
      </c>
      <c r="I717" s="8">
        <f>IF(A717="","",IFERROR(INDEX(Recipes!$D$5:$D$204,MATCH(A717,Recipes!$A$5:$A$204,0)),""))</f>
        <v>0</v>
      </c>
      <c r="J717" s="8">
        <f>IF(OR(H717="",I717="",I717=0),"",IFERROR(H717/I717,""))</f>
        <v>0</v>
      </c>
      <c r="K717" s="8">
        <f>IF(OR(B717="",C717=""),"",IFERROR(C717*IFERROR(INDEX(Ingredients!$H$5:$H$304,MATCH(B717,Ingredients!$A$5:$A$304,0)),""),""))</f>
        <v>0</v>
      </c>
      <c r="L717" s="8">
        <f>IF(OR(B717="",C717=""),"",IFERROR(C717*IFERROR(INDEX(Ingredients!$I$5:$I$304,MATCH(B717,Ingredients!$A$5:$A$304,0)),""),""))</f>
        <v>0</v>
      </c>
      <c r="M717" s="8">
        <f>IF(OR(B717="",C717=""),"",IFERROR(C717*IFERROR(INDEX(Ingredients!$J$5:$J$304,MATCH(B717,Ingredients!$A$5:$A$304,0)),""),""))</f>
        <v>0</v>
      </c>
      <c r="N717" s="8">
        <f>IF(OR(B717="",C717=""),"",IFERROR(C717*IFERROR(INDEX(Ingredients!$K$5:$K$304,MATCH(B717,Ingredients!$A$5:$A$304,0)),""),""))</f>
        <v>0</v>
      </c>
      <c r="O717" s="8">
        <f>IF(OR(B717="",C717=""),"",IFERROR(C717*IFERROR(INDEX(Ingredients!$L$5:$L$304,MATCH(B717,Ingredients!$A$5:$A$304,0)),""),""))</f>
        <v>0</v>
      </c>
      <c r="P717" s="8">
        <f>IF(OR(H717="",A717=""),"",IFERROR(H717/SUMIFS('Recipe Ingredients'!$H$5:$H$1204,'Recipe Ingredients'!$A$5:$A$1204,A717),""))</f>
        <v>0</v>
      </c>
      <c r="Q717" s="8">
        <f>IF(H717="","",COUNTIFS($H$5:$H$1204,"&gt;"&amp;H717)+1)</f>
        <v>0</v>
      </c>
      <c r="R717" s="8">
        <f>IF(B717="","",SUMIFS(Pantry!$C$5:$C$304,Pantry!$A$5:$A$304,B717))</f>
        <v>0</v>
      </c>
      <c r="S717" s="8">
        <f>IF(OR(B717="",C717=""),"",MAX(0,C717-R717))</f>
        <v>0</v>
      </c>
      <c r="T717" s="26"/>
      <c r="U717" s="8">
        <f>IF(OR(T717="",T717=0,G717=""),"",T717*G717)</f>
        <v>0</v>
      </c>
      <c r="V717" s="8">
        <f>IF(OR(S717="",T717="",T717=0),"",CEILING(S717/T717,1))</f>
        <v>0</v>
      </c>
      <c r="W717" s="27"/>
      <c r="X717" s="29"/>
      <c r="Y717" s="8">
        <f>IF(OR(C717="",X717=""),"",C717*(1+X717))</f>
        <v>0</v>
      </c>
      <c r="Z717" s="8">
        <f>IF(B717="","",IFERROR(INDEX(Ingredients!$O$5:$O$304,MATCH(B717,Ingredients!$A$5:$A$304,0)),""))</f>
        <v>0</v>
      </c>
      <c r="AA717" s="8">
        <f>IF(B717="","",IF(R717&gt;=C717,"In pantry","To buy"))</f>
        <v>0</v>
      </c>
      <c r="AB717" s="8">
        <f>IF(A717="","",COUNTIFS($A$5:A717,A717))</f>
        <v>0</v>
      </c>
      <c r="AC717" s="8">
        <f>IF(B717="","",IF(COUNTIFS('Dietary Filters'!$C$5:$C$104,B717)&gt;0,"Check","OK"))</f>
        <v>0</v>
      </c>
      <c r="AD717" s="25"/>
    </row>
    <row r="718" spans="1:30">
      <c r="A718" s="7"/>
      <c r="B718" s="7"/>
      <c r="C718" s="26"/>
      <c r="D718" s="27"/>
      <c r="E718" s="8">
        <f>IF(B718="","",IFERROR(INDEX(Ingredients!$B$5:$B$304,MATCH(B718,Ingredients!$A$5:$A$304,0)),""))</f>
        <v>0</v>
      </c>
      <c r="F718" s="8">
        <f>IF(B718="","",IFERROR(INDEX(Ingredients!$E$5:$E$304,MATCH(B718,Ingredients!$A$5:$A$304,0)),""))</f>
        <v>0</v>
      </c>
      <c r="G718" s="8">
        <f>IF(B718="","",IFERROR(INDEX(Ingredients!$D$5:$D$304,MATCH(B718,Ingredients!$A$5:$A$304,0)),""))</f>
        <v>0</v>
      </c>
      <c r="H718" s="8">
        <f>IF(OR(B718="",C718=""),"",IFERROR(C718*G718,""))</f>
        <v>0</v>
      </c>
      <c r="I718" s="8">
        <f>IF(A718="","",IFERROR(INDEX(Recipes!$D$5:$D$204,MATCH(A718,Recipes!$A$5:$A$204,0)),""))</f>
        <v>0</v>
      </c>
      <c r="J718" s="8">
        <f>IF(OR(H718="",I718="",I718=0),"",IFERROR(H718/I718,""))</f>
        <v>0</v>
      </c>
      <c r="K718" s="8">
        <f>IF(OR(B718="",C718=""),"",IFERROR(C718*IFERROR(INDEX(Ingredients!$H$5:$H$304,MATCH(B718,Ingredients!$A$5:$A$304,0)),""),""))</f>
        <v>0</v>
      </c>
      <c r="L718" s="8">
        <f>IF(OR(B718="",C718=""),"",IFERROR(C718*IFERROR(INDEX(Ingredients!$I$5:$I$304,MATCH(B718,Ingredients!$A$5:$A$304,0)),""),""))</f>
        <v>0</v>
      </c>
      <c r="M718" s="8">
        <f>IF(OR(B718="",C718=""),"",IFERROR(C718*IFERROR(INDEX(Ingredients!$J$5:$J$304,MATCH(B718,Ingredients!$A$5:$A$304,0)),""),""))</f>
        <v>0</v>
      </c>
      <c r="N718" s="8">
        <f>IF(OR(B718="",C718=""),"",IFERROR(C718*IFERROR(INDEX(Ingredients!$K$5:$K$304,MATCH(B718,Ingredients!$A$5:$A$304,0)),""),""))</f>
        <v>0</v>
      </c>
      <c r="O718" s="8">
        <f>IF(OR(B718="",C718=""),"",IFERROR(C718*IFERROR(INDEX(Ingredients!$L$5:$L$304,MATCH(B718,Ingredients!$A$5:$A$304,0)),""),""))</f>
        <v>0</v>
      </c>
      <c r="P718" s="8">
        <f>IF(OR(H718="",A718=""),"",IFERROR(H718/SUMIFS('Recipe Ingredients'!$H$5:$H$1204,'Recipe Ingredients'!$A$5:$A$1204,A718),""))</f>
        <v>0</v>
      </c>
      <c r="Q718" s="8">
        <f>IF(H718="","",COUNTIFS($H$5:$H$1204,"&gt;"&amp;H718)+1)</f>
        <v>0</v>
      </c>
      <c r="R718" s="8">
        <f>IF(B718="","",SUMIFS(Pantry!$C$5:$C$304,Pantry!$A$5:$A$304,B718))</f>
        <v>0</v>
      </c>
      <c r="S718" s="8">
        <f>IF(OR(B718="",C718=""),"",MAX(0,C718-R718))</f>
        <v>0</v>
      </c>
      <c r="T718" s="26"/>
      <c r="U718" s="8">
        <f>IF(OR(T718="",T718=0,G718=""),"",T718*G718)</f>
        <v>0</v>
      </c>
      <c r="V718" s="8">
        <f>IF(OR(S718="",T718="",T718=0),"",CEILING(S718/T718,1))</f>
        <v>0</v>
      </c>
      <c r="W718" s="27"/>
      <c r="X718" s="29"/>
      <c r="Y718" s="8">
        <f>IF(OR(C718="",X718=""),"",C718*(1+X718))</f>
        <v>0</v>
      </c>
      <c r="Z718" s="8">
        <f>IF(B718="","",IFERROR(INDEX(Ingredients!$O$5:$O$304,MATCH(B718,Ingredients!$A$5:$A$304,0)),""))</f>
        <v>0</v>
      </c>
      <c r="AA718" s="8">
        <f>IF(B718="","",IF(R718&gt;=C718,"In pantry","To buy"))</f>
        <v>0</v>
      </c>
      <c r="AB718" s="8">
        <f>IF(A718="","",COUNTIFS($A$5:A718,A718))</f>
        <v>0</v>
      </c>
      <c r="AC718" s="8">
        <f>IF(B718="","",IF(COUNTIFS('Dietary Filters'!$C$5:$C$104,B718)&gt;0,"Check","OK"))</f>
        <v>0</v>
      </c>
      <c r="AD718" s="25"/>
    </row>
    <row r="719" spans="1:30">
      <c r="A719" s="7"/>
      <c r="B719" s="7"/>
      <c r="C719" s="26"/>
      <c r="D719" s="27"/>
      <c r="E719" s="8">
        <f>IF(B719="","",IFERROR(INDEX(Ingredients!$B$5:$B$304,MATCH(B719,Ingredients!$A$5:$A$304,0)),""))</f>
        <v>0</v>
      </c>
      <c r="F719" s="8">
        <f>IF(B719="","",IFERROR(INDEX(Ingredients!$E$5:$E$304,MATCH(B719,Ingredients!$A$5:$A$304,0)),""))</f>
        <v>0</v>
      </c>
      <c r="G719" s="8">
        <f>IF(B719="","",IFERROR(INDEX(Ingredients!$D$5:$D$304,MATCH(B719,Ingredients!$A$5:$A$304,0)),""))</f>
        <v>0</v>
      </c>
      <c r="H719" s="8">
        <f>IF(OR(B719="",C719=""),"",IFERROR(C719*G719,""))</f>
        <v>0</v>
      </c>
      <c r="I719" s="8">
        <f>IF(A719="","",IFERROR(INDEX(Recipes!$D$5:$D$204,MATCH(A719,Recipes!$A$5:$A$204,0)),""))</f>
        <v>0</v>
      </c>
      <c r="J719" s="8">
        <f>IF(OR(H719="",I719="",I719=0),"",IFERROR(H719/I719,""))</f>
        <v>0</v>
      </c>
      <c r="K719" s="8">
        <f>IF(OR(B719="",C719=""),"",IFERROR(C719*IFERROR(INDEX(Ingredients!$H$5:$H$304,MATCH(B719,Ingredients!$A$5:$A$304,0)),""),""))</f>
        <v>0</v>
      </c>
      <c r="L719" s="8">
        <f>IF(OR(B719="",C719=""),"",IFERROR(C719*IFERROR(INDEX(Ingredients!$I$5:$I$304,MATCH(B719,Ingredients!$A$5:$A$304,0)),""),""))</f>
        <v>0</v>
      </c>
      <c r="M719" s="8">
        <f>IF(OR(B719="",C719=""),"",IFERROR(C719*IFERROR(INDEX(Ingredients!$J$5:$J$304,MATCH(B719,Ingredients!$A$5:$A$304,0)),""),""))</f>
        <v>0</v>
      </c>
      <c r="N719" s="8">
        <f>IF(OR(B719="",C719=""),"",IFERROR(C719*IFERROR(INDEX(Ingredients!$K$5:$K$304,MATCH(B719,Ingredients!$A$5:$A$304,0)),""),""))</f>
        <v>0</v>
      </c>
      <c r="O719" s="8">
        <f>IF(OR(B719="",C719=""),"",IFERROR(C719*IFERROR(INDEX(Ingredients!$L$5:$L$304,MATCH(B719,Ingredients!$A$5:$A$304,0)),""),""))</f>
        <v>0</v>
      </c>
      <c r="P719" s="8">
        <f>IF(OR(H719="",A719=""),"",IFERROR(H719/SUMIFS('Recipe Ingredients'!$H$5:$H$1204,'Recipe Ingredients'!$A$5:$A$1204,A719),""))</f>
        <v>0</v>
      </c>
      <c r="Q719" s="8">
        <f>IF(H719="","",COUNTIFS($H$5:$H$1204,"&gt;"&amp;H719)+1)</f>
        <v>0</v>
      </c>
      <c r="R719" s="8">
        <f>IF(B719="","",SUMIFS(Pantry!$C$5:$C$304,Pantry!$A$5:$A$304,B719))</f>
        <v>0</v>
      </c>
      <c r="S719" s="8">
        <f>IF(OR(B719="",C719=""),"",MAX(0,C719-R719))</f>
        <v>0</v>
      </c>
      <c r="T719" s="26"/>
      <c r="U719" s="8">
        <f>IF(OR(T719="",T719=0,G719=""),"",T719*G719)</f>
        <v>0</v>
      </c>
      <c r="V719" s="8">
        <f>IF(OR(S719="",T719="",T719=0),"",CEILING(S719/T719,1))</f>
        <v>0</v>
      </c>
      <c r="W719" s="27"/>
      <c r="X719" s="29"/>
      <c r="Y719" s="8">
        <f>IF(OR(C719="",X719=""),"",C719*(1+X719))</f>
        <v>0</v>
      </c>
      <c r="Z719" s="8">
        <f>IF(B719="","",IFERROR(INDEX(Ingredients!$O$5:$O$304,MATCH(B719,Ingredients!$A$5:$A$304,0)),""))</f>
        <v>0</v>
      </c>
      <c r="AA719" s="8">
        <f>IF(B719="","",IF(R719&gt;=C719,"In pantry","To buy"))</f>
        <v>0</v>
      </c>
      <c r="AB719" s="8">
        <f>IF(A719="","",COUNTIFS($A$5:A719,A719))</f>
        <v>0</v>
      </c>
      <c r="AC719" s="8">
        <f>IF(B719="","",IF(COUNTIFS('Dietary Filters'!$C$5:$C$104,B719)&gt;0,"Check","OK"))</f>
        <v>0</v>
      </c>
      <c r="AD719" s="25"/>
    </row>
    <row r="720" spans="1:30">
      <c r="A720" s="7"/>
      <c r="B720" s="7"/>
      <c r="C720" s="26"/>
      <c r="D720" s="27"/>
      <c r="E720" s="8">
        <f>IF(B720="","",IFERROR(INDEX(Ingredients!$B$5:$B$304,MATCH(B720,Ingredients!$A$5:$A$304,0)),""))</f>
        <v>0</v>
      </c>
      <c r="F720" s="8">
        <f>IF(B720="","",IFERROR(INDEX(Ingredients!$E$5:$E$304,MATCH(B720,Ingredients!$A$5:$A$304,0)),""))</f>
        <v>0</v>
      </c>
      <c r="G720" s="8">
        <f>IF(B720="","",IFERROR(INDEX(Ingredients!$D$5:$D$304,MATCH(B720,Ingredients!$A$5:$A$304,0)),""))</f>
        <v>0</v>
      </c>
      <c r="H720" s="8">
        <f>IF(OR(B720="",C720=""),"",IFERROR(C720*G720,""))</f>
        <v>0</v>
      </c>
      <c r="I720" s="8">
        <f>IF(A720="","",IFERROR(INDEX(Recipes!$D$5:$D$204,MATCH(A720,Recipes!$A$5:$A$204,0)),""))</f>
        <v>0</v>
      </c>
      <c r="J720" s="8">
        <f>IF(OR(H720="",I720="",I720=0),"",IFERROR(H720/I720,""))</f>
        <v>0</v>
      </c>
      <c r="K720" s="8">
        <f>IF(OR(B720="",C720=""),"",IFERROR(C720*IFERROR(INDEX(Ingredients!$H$5:$H$304,MATCH(B720,Ingredients!$A$5:$A$304,0)),""),""))</f>
        <v>0</v>
      </c>
      <c r="L720" s="8">
        <f>IF(OR(B720="",C720=""),"",IFERROR(C720*IFERROR(INDEX(Ingredients!$I$5:$I$304,MATCH(B720,Ingredients!$A$5:$A$304,0)),""),""))</f>
        <v>0</v>
      </c>
      <c r="M720" s="8">
        <f>IF(OR(B720="",C720=""),"",IFERROR(C720*IFERROR(INDEX(Ingredients!$J$5:$J$304,MATCH(B720,Ingredients!$A$5:$A$304,0)),""),""))</f>
        <v>0</v>
      </c>
      <c r="N720" s="8">
        <f>IF(OR(B720="",C720=""),"",IFERROR(C720*IFERROR(INDEX(Ingredients!$K$5:$K$304,MATCH(B720,Ingredients!$A$5:$A$304,0)),""),""))</f>
        <v>0</v>
      </c>
      <c r="O720" s="8">
        <f>IF(OR(B720="",C720=""),"",IFERROR(C720*IFERROR(INDEX(Ingredients!$L$5:$L$304,MATCH(B720,Ingredients!$A$5:$A$304,0)),""),""))</f>
        <v>0</v>
      </c>
      <c r="P720" s="8">
        <f>IF(OR(H720="",A720=""),"",IFERROR(H720/SUMIFS('Recipe Ingredients'!$H$5:$H$1204,'Recipe Ingredients'!$A$5:$A$1204,A720),""))</f>
        <v>0</v>
      </c>
      <c r="Q720" s="8">
        <f>IF(H720="","",COUNTIFS($H$5:$H$1204,"&gt;"&amp;H720)+1)</f>
        <v>0</v>
      </c>
      <c r="R720" s="8">
        <f>IF(B720="","",SUMIFS(Pantry!$C$5:$C$304,Pantry!$A$5:$A$304,B720))</f>
        <v>0</v>
      </c>
      <c r="S720" s="8">
        <f>IF(OR(B720="",C720=""),"",MAX(0,C720-R720))</f>
        <v>0</v>
      </c>
      <c r="T720" s="26"/>
      <c r="U720" s="8">
        <f>IF(OR(T720="",T720=0,G720=""),"",T720*G720)</f>
        <v>0</v>
      </c>
      <c r="V720" s="8">
        <f>IF(OR(S720="",T720="",T720=0),"",CEILING(S720/T720,1))</f>
        <v>0</v>
      </c>
      <c r="W720" s="27"/>
      <c r="X720" s="29"/>
      <c r="Y720" s="8">
        <f>IF(OR(C720="",X720=""),"",C720*(1+X720))</f>
        <v>0</v>
      </c>
      <c r="Z720" s="8">
        <f>IF(B720="","",IFERROR(INDEX(Ingredients!$O$5:$O$304,MATCH(B720,Ingredients!$A$5:$A$304,0)),""))</f>
        <v>0</v>
      </c>
      <c r="AA720" s="8">
        <f>IF(B720="","",IF(R720&gt;=C720,"In pantry","To buy"))</f>
        <v>0</v>
      </c>
      <c r="AB720" s="8">
        <f>IF(A720="","",COUNTIFS($A$5:A720,A720))</f>
        <v>0</v>
      </c>
      <c r="AC720" s="8">
        <f>IF(B720="","",IF(COUNTIFS('Dietary Filters'!$C$5:$C$104,B720)&gt;0,"Check","OK"))</f>
        <v>0</v>
      </c>
      <c r="AD720" s="25"/>
    </row>
    <row r="721" spans="1:30">
      <c r="A721" s="7"/>
      <c r="B721" s="7"/>
      <c r="C721" s="26"/>
      <c r="D721" s="27"/>
      <c r="E721" s="8">
        <f>IF(B721="","",IFERROR(INDEX(Ingredients!$B$5:$B$304,MATCH(B721,Ingredients!$A$5:$A$304,0)),""))</f>
        <v>0</v>
      </c>
      <c r="F721" s="8">
        <f>IF(B721="","",IFERROR(INDEX(Ingredients!$E$5:$E$304,MATCH(B721,Ingredients!$A$5:$A$304,0)),""))</f>
        <v>0</v>
      </c>
      <c r="G721" s="8">
        <f>IF(B721="","",IFERROR(INDEX(Ingredients!$D$5:$D$304,MATCH(B721,Ingredients!$A$5:$A$304,0)),""))</f>
        <v>0</v>
      </c>
      <c r="H721" s="8">
        <f>IF(OR(B721="",C721=""),"",IFERROR(C721*G721,""))</f>
        <v>0</v>
      </c>
      <c r="I721" s="8">
        <f>IF(A721="","",IFERROR(INDEX(Recipes!$D$5:$D$204,MATCH(A721,Recipes!$A$5:$A$204,0)),""))</f>
        <v>0</v>
      </c>
      <c r="J721" s="8">
        <f>IF(OR(H721="",I721="",I721=0),"",IFERROR(H721/I721,""))</f>
        <v>0</v>
      </c>
      <c r="K721" s="8">
        <f>IF(OR(B721="",C721=""),"",IFERROR(C721*IFERROR(INDEX(Ingredients!$H$5:$H$304,MATCH(B721,Ingredients!$A$5:$A$304,0)),""),""))</f>
        <v>0</v>
      </c>
      <c r="L721" s="8">
        <f>IF(OR(B721="",C721=""),"",IFERROR(C721*IFERROR(INDEX(Ingredients!$I$5:$I$304,MATCH(B721,Ingredients!$A$5:$A$304,0)),""),""))</f>
        <v>0</v>
      </c>
      <c r="M721" s="8">
        <f>IF(OR(B721="",C721=""),"",IFERROR(C721*IFERROR(INDEX(Ingredients!$J$5:$J$304,MATCH(B721,Ingredients!$A$5:$A$304,0)),""),""))</f>
        <v>0</v>
      </c>
      <c r="N721" s="8">
        <f>IF(OR(B721="",C721=""),"",IFERROR(C721*IFERROR(INDEX(Ingredients!$K$5:$K$304,MATCH(B721,Ingredients!$A$5:$A$304,0)),""),""))</f>
        <v>0</v>
      </c>
      <c r="O721" s="8">
        <f>IF(OR(B721="",C721=""),"",IFERROR(C721*IFERROR(INDEX(Ingredients!$L$5:$L$304,MATCH(B721,Ingredients!$A$5:$A$304,0)),""),""))</f>
        <v>0</v>
      </c>
      <c r="P721" s="8">
        <f>IF(OR(H721="",A721=""),"",IFERROR(H721/SUMIFS('Recipe Ingredients'!$H$5:$H$1204,'Recipe Ingredients'!$A$5:$A$1204,A721),""))</f>
        <v>0</v>
      </c>
      <c r="Q721" s="8">
        <f>IF(H721="","",COUNTIFS($H$5:$H$1204,"&gt;"&amp;H721)+1)</f>
        <v>0</v>
      </c>
      <c r="R721" s="8">
        <f>IF(B721="","",SUMIFS(Pantry!$C$5:$C$304,Pantry!$A$5:$A$304,B721))</f>
        <v>0</v>
      </c>
      <c r="S721" s="8">
        <f>IF(OR(B721="",C721=""),"",MAX(0,C721-R721))</f>
        <v>0</v>
      </c>
      <c r="T721" s="26"/>
      <c r="U721" s="8">
        <f>IF(OR(T721="",T721=0,G721=""),"",T721*G721)</f>
        <v>0</v>
      </c>
      <c r="V721" s="8">
        <f>IF(OR(S721="",T721="",T721=0),"",CEILING(S721/T721,1))</f>
        <v>0</v>
      </c>
      <c r="W721" s="27"/>
      <c r="X721" s="29"/>
      <c r="Y721" s="8">
        <f>IF(OR(C721="",X721=""),"",C721*(1+X721))</f>
        <v>0</v>
      </c>
      <c r="Z721" s="8">
        <f>IF(B721="","",IFERROR(INDEX(Ingredients!$O$5:$O$304,MATCH(B721,Ingredients!$A$5:$A$304,0)),""))</f>
        <v>0</v>
      </c>
      <c r="AA721" s="8">
        <f>IF(B721="","",IF(R721&gt;=C721,"In pantry","To buy"))</f>
        <v>0</v>
      </c>
      <c r="AB721" s="8">
        <f>IF(A721="","",COUNTIFS($A$5:A721,A721))</f>
        <v>0</v>
      </c>
      <c r="AC721" s="8">
        <f>IF(B721="","",IF(COUNTIFS('Dietary Filters'!$C$5:$C$104,B721)&gt;0,"Check","OK"))</f>
        <v>0</v>
      </c>
      <c r="AD721" s="25"/>
    </row>
    <row r="722" spans="1:30">
      <c r="A722" s="7"/>
      <c r="B722" s="7"/>
      <c r="C722" s="26"/>
      <c r="D722" s="27"/>
      <c r="E722" s="8">
        <f>IF(B722="","",IFERROR(INDEX(Ingredients!$B$5:$B$304,MATCH(B722,Ingredients!$A$5:$A$304,0)),""))</f>
        <v>0</v>
      </c>
      <c r="F722" s="8">
        <f>IF(B722="","",IFERROR(INDEX(Ingredients!$E$5:$E$304,MATCH(B722,Ingredients!$A$5:$A$304,0)),""))</f>
        <v>0</v>
      </c>
      <c r="G722" s="8">
        <f>IF(B722="","",IFERROR(INDEX(Ingredients!$D$5:$D$304,MATCH(B722,Ingredients!$A$5:$A$304,0)),""))</f>
        <v>0</v>
      </c>
      <c r="H722" s="8">
        <f>IF(OR(B722="",C722=""),"",IFERROR(C722*G722,""))</f>
        <v>0</v>
      </c>
      <c r="I722" s="8">
        <f>IF(A722="","",IFERROR(INDEX(Recipes!$D$5:$D$204,MATCH(A722,Recipes!$A$5:$A$204,0)),""))</f>
        <v>0</v>
      </c>
      <c r="J722" s="8">
        <f>IF(OR(H722="",I722="",I722=0),"",IFERROR(H722/I722,""))</f>
        <v>0</v>
      </c>
      <c r="K722" s="8">
        <f>IF(OR(B722="",C722=""),"",IFERROR(C722*IFERROR(INDEX(Ingredients!$H$5:$H$304,MATCH(B722,Ingredients!$A$5:$A$304,0)),""),""))</f>
        <v>0</v>
      </c>
      <c r="L722" s="8">
        <f>IF(OR(B722="",C722=""),"",IFERROR(C722*IFERROR(INDEX(Ingredients!$I$5:$I$304,MATCH(B722,Ingredients!$A$5:$A$304,0)),""),""))</f>
        <v>0</v>
      </c>
      <c r="M722" s="8">
        <f>IF(OR(B722="",C722=""),"",IFERROR(C722*IFERROR(INDEX(Ingredients!$J$5:$J$304,MATCH(B722,Ingredients!$A$5:$A$304,0)),""),""))</f>
        <v>0</v>
      </c>
      <c r="N722" s="8">
        <f>IF(OR(B722="",C722=""),"",IFERROR(C722*IFERROR(INDEX(Ingredients!$K$5:$K$304,MATCH(B722,Ingredients!$A$5:$A$304,0)),""),""))</f>
        <v>0</v>
      </c>
      <c r="O722" s="8">
        <f>IF(OR(B722="",C722=""),"",IFERROR(C722*IFERROR(INDEX(Ingredients!$L$5:$L$304,MATCH(B722,Ingredients!$A$5:$A$304,0)),""),""))</f>
        <v>0</v>
      </c>
      <c r="P722" s="8">
        <f>IF(OR(H722="",A722=""),"",IFERROR(H722/SUMIFS('Recipe Ingredients'!$H$5:$H$1204,'Recipe Ingredients'!$A$5:$A$1204,A722),""))</f>
        <v>0</v>
      </c>
      <c r="Q722" s="8">
        <f>IF(H722="","",COUNTIFS($H$5:$H$1204,"&gt;"&amp;H722)+1)</f>
        <v>0</v>
      </c>
      <c r="R722" s="8">
        <f>IF(B722="","",SUMIFS(Pantry!$C$5:$C$304,Pantry!$A$5:$A$304,B722))</f>
        <v>0</v>
      </c>
      <c r="S722" s="8">
        <f>IF(OR(B722="",C722=""),"",MAX(0,C722-R722))</f>
        <v>0</v>
      </c>
      <c r="T722" s="26"/>
      <c r="U722" s="8">
        <f>IF(OR(T722="",T722=0,G722=""),"",T722*G722)</f>
        <v>0</v>
      </c>
      <c r="V722" s="8">
        <f>IF(OR(S722="",T722="",T722=0),"",CEILING(S722/T722,1))</f>
        <v>0</v>
      </c>
      <c r="W722" s="27"/>
      <c r="X722" s="29"/>
      <c r="Y722" s="8">
        <f>IF(OR(C722="",X722=""),"",C722*(1+X722))</f>
        <v>0</v>
      </c>
      <c r="Z722" s="8">
        <f>IF(B722="","",IFERROR(INDEX(Ingredients!$O$5:$O$304,MATCH(B722,Ingredients!$A$5:$A$304,0)),""))</f>
        <v>0</v>
      </c>
      <c r="AA722" s="8">
        <f>IF(B722="","",IF(R722&gt;=C722,"In pantry","To buy"))</f>
        <v>0</v>
      </c>
      <c r="AB722" s="8">
        <f>IF(A722="","",COUNTIFS($A$5:A722,A722))</f>
        <v>0</v>
      </c>
      <c r="AC722" s="8">
        <f>IF(B722="","",IF(COUNTIFS('Dietary Filters'!$C$5:$C$104,B722)&gt;0,"Check","OK"))</f>
        <v>0</v>
      </c>
      <c r="AD722" s="25"/>
    </row>
    <row r="723" spans="1:30">
      <c r="A723" s="7"/>
      <c r="B723" s="7"/>
      <c r="C723" s="26"/>
      <c r="D723" s="27"/>
      <c r="E723" s="8">
        <f>IF(B723="","",IFERROR(INDEX(Ingredients!$B$5:$B$304,MATCH(B723,Ingredients!$A$5:$A$304,0)),""))</f>
        <v>0</v>
      </c>
      <c r="F723" s="8">
        <f>IF(B723="","",IFERROR(INDEX(Ingredients!$E$5:$E$304,MATCH(B723,Ingredients!$A$5:$A$304,0)),""))</f>
        <v>0</v>
      </c>
      <c r="G723" s="8">
        <f>IF(B723="","",IFERROR(INDEX(Ingredients!$D$5:$D$304,MATCH(B723,Ingredients!$A$5:$A$304,0)),""))</f>
        <v>0</v>
      </c>
      <c r="H723" s="8">
        <f>IF(OR(B723="",C723=""),"",IFERROR(C723*G723,""))</f>
        <v>0</v>
      </c>
      <c r="I723" s="8">
        <f>IF(A723="","",IFERROR(INDEX(Recipes!$D$5:$D$204,MATCH(A723,Recipes!$A$5:$A$204,0)),""))</f>
        <v>0</v>
      </c>
      <c r="J723" s="8">
        <f>IF(OR(H723="",I723="",I723=0),"",IFERROR(H723/I723,""))</f>
        <v>0</v>
      </c>
      <c r="K723" s="8">
        <f>IF(OR(B723="",C723=""),"",IFERROR(C723*IFERROR(INDEX(Ingredients!$H$5:$H$304,MATCH(B723,Ingredients!$A$5:$A$304,0)),""),""))</f>
        <v>0</v>
      </c>
      <c r="L723" s="8">
        <f>IF(OR(B723="",C723=""),"",IFERROR(C723*IFERROR(INDEX(Ingredients!$I$5:$I$304,MATCH(B723,Ingredients!$A$5:$A$304,0)),""),""))</f>
        <v>0</v>
      </c>
      <c r="M723" s="8">
        <f>IF(OR(B723="",C723=""),"",IFERROR(C723*IFERROR(INDEX(Ingredients!$J$5:$J$304,MATCH(B723,Ingredients!$A$5:$A$304,0)),""),""))</f>
        <v>0</v>
      </c>
      <c r="N723" s="8">
        <f>IF(OR(B723="",C723=""),"",IFERROR(C723*IFERROR(INDEX(Ingredients!$K$5:$K$304,MATCH(B723,Ingredients!$A$5:$A$304,0)),""),""))</f>
        <v>0</v>
      </c>
      <c r="O723" s="8">
        <f>IF(OR(B723="",C723=""),"",IFERROR(C723*IFERROR(INDEX(Ingredients!$L$5:$L$304,MATCH(B723,Ingredients!$A$5:$A$304,0)),""),""))</f>
        <v>0</v>
      </c>
      <c r="P723" s="8">
        <f>IF(OR(H723="",A723=""),"",IFERROR(H723/SUMIFS('Recipe Ingredients'!$H$5:$H$1204,'Recipe Ingredients'!$A$5:$A$1204,A723),""))</f>
        <v>0</v>
      </c>
      <c r="Q723" s="8">
        <f>IF(H723="","",COUNTIFS($H$5:$H$1204,"&gt;"&amp;H723)+1)</f>
        <v>0</v>
      </c>
      <c r="R723" s="8">
        <f>IF(B723="","",SUMIFS(Pantry!$C$5:$C$304,Pantry!$A$5:$A$304,B723))</f>
        <v>0</v>
      </c>
      <c r="S723" s="8">
        <f>IF(OR(B723="",C723=""),"",MAX(0,C723-R723))</f>
        <v>0</v>
      </c>
      <c r="T723" s="26"/>
      <c r="U723" s="8">
        <f>IF(OR(T723="",T723=0,G723=""),"",T723*G723)</f>
        <v>0</v>
      </c>
      <c r="V723" s="8">
        <f>IF(OR(S723="",T723="",T723=0),"",CEILING(S723/T723,1))</f>
        <v>0</v>
      </c>
      <c r="W723" s="27"/>
      <c r="X723" s="29"/>
      <c r="Y723" s="8">
        <f>IF(OR(C723="",X723=""),"",C723*(1+X723))</f>
        <v>0</v>
      </c>
      <c r="Z723" s="8">
        <f>IF(B723="","",IFERROR(INDEX(Ingredients!$O$5:$O$304,MATCH(B723,Ingredients!$A$5:$A$304,0)),""))</f>
        <v>0</v>
      </c>
      <c r="AA723" s="8">
        <f>IF(B723="","",IF(R723&gt;=C723,"In pantry","To buy"))</f>
        <v>0</v>
      </c>
      <c r="AB723" s="8">
        <f>IF(A723="","",COUNTIFS($A$5:A723,A723))</f>
        <v>0</v>
      </c>
      <c r="AC723" s="8">
        <f>IF(B723="","",IF(COUNTIFS('Dietary Filters'!$C$5:$C$104,B723)&gt;0,"Check","OK"))</f>
        <v>0</v>
      </c>
      <c r="AD723" s="25"/>
    </row>
    <row r="724" spans="1:30">
      <c r="A724" s="7"/>
      <c r="B724" s="7"/>
      <c r="C724" s="26"/>
      <c r="D724" s="27"/>
      <c r="E724" s="8">
        <f>IF(B724="","",IFERROR(INDEX(Ingredients!$B$5:$B$304,MATCH(B724,Ingredients!$A$5:$A$304,0)),""))</f>
        <v>0</v>
      </c>
      <c r="F724" s="8">
        <f>IF(B724="","",IFERROR(INDEX(Ingredients!$E$5:$E$304,MATCH(B724,Ingredients!$A$5:$A$304,0)),""))</f>
        <v>0</v>
      </c>
      <c r="G724" s="8">
        <f>IF(B724="","",IFERROR(INDEX(Ingredients!$D$5:$D$304,MATCH(B724,Ingredients!$A$5:$A$304,0)),""))</f>
        <v>0</v>
      </c>
      <c r="H724" s="8">
        <f>IF(OR(B724="",C724=""),"",IFERROR(C724*G724,""))</f>
        <v>0</v>
      </c>
      <c r="I724" s="8">
        <f>IF(A724="","",IFERROR(INDEX(Recipes!$D$5:$D$204,MATCH(A724,Recipes!$A$5:$A$204,0)),""))</f>
        <v>0</v>
      </c>
      <c r="J724" s="8">
        <f>IF(OR(H724="",I724="",I724=0),"",IFERROR(H724/I724,""))</f>
        <v>0</v>
      </c>
      <c r="K724" s="8">
        <f>IF(OR(B724="",C724=""),"",IFERROR(C724*IFERROR(INDEX(Ingredients!$H$5:$H$304,MATCH(B724,Ingredients!$A$5:$A$304,0)),""),""))</f>
        <v>0</v>
      </c>
      <c r="L724" s="8">
        <f>IF(OR(B724="",C724=""),"",IFERROR(C724*IFERROR(INDEX(Ingredients!$I$5:$I$304,MATCH(B724,Ingredients!$A$5:$A$304,0)),""),""))</f>
        <v>0</v>
      </c>
      <c r="M724" s="8">
        <f>IF(OR(B724="",C724=""),"",IFERROR(C724*IFERROR(INDEX(Ingredients!$J$5:$J$304,MATCH(B724,Ingredients!$A$5:$A$304,0)),""),""))</f>
        <v>0</v>
      </c>
      <c r="N724" s="8">
        <f>IF(OR(B724="",C724=""),"",IFERROR(C724*IFERROR(INDEX(Ingredients!$K$5:$K$304,MATCH(B724,Ingredients!$A$5:$A$304,0)),""),""))</f>
        <v>0</v>
      </c>
      <c r="O724" s="8">
        <f>IF(OR(B724="",C724=""),"",IFERROR(C724*IFERROR(INDEX(Ingredients!$L$5:$L$304,MATCH(B724,Ingredients!$A$5:$A$304,0)),""),""))</f>
        <v>0</v>
      </c>
      <c r="P724" s="8">
        <f>IF(OR(H724="",A724=""),"",IFERROR(H724/SUMIFS('Recipe Ingredients'!$H$5:$H$1204,'Recipe Ingredients'!$A$5:$A$1204,A724),""))</f>
        <v>0</v>
      </c>
      <c r="Q724" s="8">
        <f>IF(H724="","",COUNTIFS($H$5:$H$1204,"&gt;"&amp;H724)+1)</f>
        <v>0</v>
      </c>
      <c r="R724" s="8">
        <f>IF(B724="","",SUMIFS(Pantry!$C$5:$C$304,Pantry!$A$5:$A$304,B724))</f>
        <v>0</v>
      </c>
      <c r="S724" s="8">
        <f>IF(OR(B724="",C724=""),"",MAX(0,C724-R724))</f>
        <v>0</v>
      </c>
      <c r="T724" s="26"/>
      <c r="U724" s="8">
        <f>IF(OR(T724="",T724=0,G724=""),"",T724*G724)</f>
        <v>0</v>
      </c>
      <c r="V724" s="8">
        <f>IF(OR(S724="",T724="",T724=0),"",CEILING(S724/T724,1))</f>
        <v>0</v>
      </c>
      <c r="W724" s="27"/>
      <c r="X724" s="29"/>
      <c r="Y724" s="8">
        <f>IF(OR(C724="",X724=""),"",C724*(1+X724))</f>
        <v>0</v>
      </c>
      <c r="Z724" s="8">
        <f>IF(B724="","",IFERROR(INDEX(Ingredients!$O$5:$O$304,MATCH(B724,Ingredients!$A$5:$A$304,0)),""))</f>
        <v>0</v>
      </c>
      <c r="AA724" s="8">
        <f>IF(B724="","",IF(R724&gt;=C724,"In pantry","To buy"))</f>
        <v>0</v>
      </c>
      <c r="AB724" s="8">
        <f>IF(A724="","",COUNTIFS($A$5:A724,A724))</f>
        <v>0</v>
      </c>
      <c r="AC724" s="8">
        <f>IF(B724="","",IF(COUNTIFS('Dietary Filters'!$C$5:$C$104,B724)&gt;0,"Check","OK"))</f>
        <v>0</v>
      </c>
      <c r="AD724" s="25"/>
    </row>
    <row r="725" spans="1:30">
      <c r="A725" s="7"/>
      <c r="B725" s="7"/>
      <c r="C725" s="26"/>
      <c r="D725" s="27"/>
      <c r="E725" s="8">
        <f>IF(B725="","",IFERROR(INDEX(Ingredients!$B$5:$B$304,MATCH(B725,Ingredients!$A$5:$A$304,0)),""))</f>
        <v>0</v>
      </c>
      <c r="F725" s="8">
        <f>IF(B725="","",IFERROR(INDEX(Ingredients!$E$5:$E$304,MATCH(B725,Ingredients!$A$5:$A$304,0)),""))</f>
        <v>0</v>
      </c>
      <c r="G725" s="8">
        <f>IF(B725="","",IFERROR(INDEX(Ingredients!$D$5:$D$304,MATCH(B725,Ingredients!$A$5:$A$304,0)),""))</f>
        <v>0</v>
      </c>
      <c r="H725" s="8">
        <f>IF(OR(B725="",C725=""),"",IFERROR(C725*G725,""))</f>
        <v>0</v>
      </c>
      <c r="I725" s="8">
        <f>IF(A725="","",IFERROR(INDEX(Recipes!$D$5:$D$204,MATCH(A725,Recipes!$A$5:$A$204,0)),""))</f>
        <v>0</v>
      </c>
      <c r="J725" s="8">
        <f>IF(OR(H725="",I725="",I725=0),"",IFERROR(H725/I725,""))</f>
        <v>0</v>
      </c>
      <c r="K725" s="8">
        <f>IF(OR(B725="",C725=""),"",IFERROR(C725*IFERROR(INDEX(Ingredients!$H$5:$H$304,MATCH(B725,Ingredients!$A$5:$A$304,0)),""),""))</f>
        <v>0</v>
      </c>
      <c r="L725" s="8">
        <f>IF(OR(B725="",C725=""),"",IFERROR(C725*IFERROR(INDEX(Ingredients!$I$5:$I$304,MATCH(B725,Ingredients!$A$5:$A$304,0)),""),""))</f>
        <v>0</v>
      </c>
      <c r="M725" s="8">
        <f>IF(OR(B725="",C725=""),"",IFERROR(C725*IFERROR(INDEX(Ingredients!$J$5:$J$304,MATCH(B725,Ingredients!$A$5:$A$304,0)),""),""))</f>
        <v>0</v>
      </c>
      <c r="N725" s="8">
        <f>IF(OR(B725="",C725=""),"",IFERROR(C725*IFERROR(INDEX(Ingredients!$K$5:$K$304,MATCH(B725,Ingredients!$A$5:$A$304,0)),""),""))</f>
        <v>0</v>
      </c>
      <c r="O725" s="8">
        <f>IF(OR(B725="",C725=""),"",IFERROR(C725*IFERROR(INDEX(Ingredients!$L$5:$L$304,MATCH(B725,Ingredients!$A$5:$A$304,0)),""),""))</f>
        <v>0</v>
      </c>
      <c r="P725" s="8">
        <f>IF(OR(H725="",A725=""),"",IFERROR(H725/SUMIFS('Recipe Ingredients'!$H$5:$H$1204,'Recipe Ingredients'!$A$5:$A$1204,A725),""))</f>
        <v>0</v>
      </c>
      <c r="Q725" s="8">
        <f>IF(H725="","",COUNTIFS($H$5:$H$1204,"&gt;"&amp;H725)+1)</f>
        <v>0</v>
      </c>
      <c r="R725" s="8">
        <f>IF(B725="","",SUMIFS(Pantry!$C$5:$C$304,Pantry!$A$5:$A$304,B725))</f>
        <v>0</v>
      </c>
      <c r="S725" s="8">
        <f>IF(OR(B725="",C725=""),"",MAX(0,C725-R725))</f>
        <v>0</v>
      </c>
      <c r="T725" s="26"/>
      <c r="U725" s="8">
        <f>IF(OR(T725="",T725=0,G725=""),"",T725*G725)</f>
        <v>0</v>
      </c>
      <c r="V725" s="8">
        <f>IF(OR(S725="",T725="",T725=0),"",CEILING(S725/T725,1))</f>
        <v>0</v>
      </c>
      <c r="W725" s="27"/>
      <c r="X725" s="29"/>
      <c r="Y725" s="8">
        <f>IF(OR(C725="",X725=""),"",C725*(1+X725))</f>
        <v>0</v>
      </c>
      <c r="Z725" s="8">
        <f>IF(B725="","",IFERROR(INDEX(Ingredients!$O$5:$O$304,MATCH(B725,Ingredients!$A$5:$A$304,0)),""))</f>
        <v>0</v>
      </c>
      <c r="AA725" s="8">
        <f>IF(B725="","",IF(R725&gt;=C725,"In pantry","To buy"))</f>
        <v>0</v>
      </c>
      <c r="AB725" s="8">
        <f>IF(A725="","",COUNTIFS($A$5:A725,A725))</f>
        <v>0</v>
      </c>
      <c r="AC725" s="8">
        <f>IF(B725="","",IF(COUNTIFS('Dietary Filters'!$C$5:$C$104,B725)&gt;0,"Check","OK"))</f>
        <v>0</v>
      </c>
      <c r="AD725" s="25"/>
    </row>
    <row r="726" spans="1:30">
      <c r="A726" s="7"/>
      <c r="B726" s="7"/>
      <c r="C726" s="26"/>
      <c r="D726" s="27"/>
      <c r="E726" s="8">
        <f>IF(B726="","",IFERROR(INDEX(Ingredients!$B$5:$B$304,MATCH(B726,Ingredients!$A$5:$A$304,0)),""))</f>
        <v>0</v>
      </c>
      <c r="F726" s="8">
        <f>IF(B726="","",IFERROR(INDEX(Ingredients!$E$5:$E$304,MATCH(B726,Ingredients!$A$5:$A$304,0)),""))</f>
        <v>0</v>
      </c>
      <c r="G726" s="8">
        <f>IF(B726="","",IFERROR(INDEX(Ingredients!$D$5:$D$304,MATCH(B726,Ingredients!$A$5:$A$304,0)),""))</f>
        <v>0</v>
      </c>
      <c r="H726" s="8">
        <f>IF(OR(B726="",C726=""),"",IFERROR(C726*G726,""))</f>
        <v>0</v>
      </c>
      <c r="I726" s="8">
        <f>IF(A726="","",IFERROR(INDEX(Recipes!$D$5:$D$204,MATCH(A726,Recipes!$A$5:$A$204,0)),""))</f>
        <v>0</v>
      </c>
      <c r="J726" s="8">
        <f>IF(OR(H726="",I726="",I726=0),"",IFERROR(H726/I726,""))</f>
        <v>0</v>
      </c>
      <c r="K726" s="8">
        <f>IF(OR(B726="",C726=""),"",IFERROR(C726*IFERROR(INDEX(Ingredients!$H$5:$H$304,MATCH(B726,Ingredients!$A$5:$A$304,0)),""),""))</f>
        <v>0</v>
      </c>
      <c r="L726" s="8">
        <f>IF(OR(B726="",C726=""),"",IFERROR(C726*IFERROR(INDEX(Ingredients!$I$5:$I$304,MATCH(B726,Ingredients!$A$5:$A$304,0)),""),""))</f>
        <v>0</v>
      </c>
      <c r="M726" s="8">
        <f>IF(OR(B726="",C726=""),"",IFERROR(C726*IFERROR(INDEX(Ingredients!$J$5:$J$304,MATCH(B726,Ingredients!$A$5:$A$304,0)),""),""))</f>
        <v>0</v>
      </c>
      <c r="N726" s="8">
        <f>IF(OR(B726="",C726=""),"",IFERROR(C726*IFERROR(INDEX(Ingredients!$K$5:$K$304,MATCH(B726,Ingredients!$A$5:$A$304,0)),""),""))</f>
        <v>0</v>
      </c>
      <c r="O726" s="8">
        <f>IF(OR(B726="",C726=""),"",IFERROR(C726*IFERROR(INDEX(Ingredients!$L$5:$L$304,MATCH(B726,Ingredients!$A$5:$A$304,0)),""),""))</f>
        <v>0</v>
      </c>
      <c r="P726" s="8">
        <f>IF(OR(H726="",A726=""),"",IFERROR(H726/SUMIFS('Recipe Ingredients'!$H$5:$H$1204,'Recipe Ingredients'!$A$5:$A$1204,A726),""))</f>
        <v>0</v>
      </c>
      <c r="Q726" s="8">
        <f>IF(H726="","",COUNTIFS($H$5:$H$1204,"&gt;"&amp;H726)+1)</f>
        <v>0</v>
      </c>
      <c r="R726" s="8">
        <f>IF(B726="","",SUMIFS(Pantry!$C$5:$C$304,Pantry!$A$5:$A$304,B726))</f>
        <v>0</v>
      </c>
      <c r="S726" s="8">
        <f>IF(OR(B726="",C726=""),"",MAX(0,C726-R726))</f>
        <v>0</v>
      </c>
      <c r="T726" s="26"/>
      <c r="U726" s="8">
        <f>IF(OR(T726="",T726=0,G726=""),"",T726*G726)</f>
        <v>0</v>
      </c>
      <c r="V726" s="8">
        <f>IF(OR(S726="",T726="",T726=0),"",CEILING(S726/T726,1))</f>
        <v>0</v>
      </c>
      <c r="W726" s="27"/>
      <c r="X726" s="29"/>
      <c r="Y726" s="8">
        <f>IF(OR(C726="",X726=""),"",C726*(1+X726))</f>
        <v>0</v>
      </c>
      <c r="Z726" s="8">
        <f>IF(B726="","",IFERROR(INDEX(Ingredients!$O$5:$O$304,MATCH(B726,Ingredients!$A$5:$A$304,0)),""))</f>
        <v>0</v>
      </c>
      <c r="AA726" s="8">
        <f>IF(B726="","",IF(R726&gt;=C726,"In pantry","To buy"))</f>
        <v>0</v>
      </c>
      <c r="AB726" s="8">
        <f>IF(A726="","",COUNTIFS($A$5:A726,A726))</f>
        <v>0</v>
      </c>
      <c r="AC726" s="8">
        <f>IF(B726="","",IF(COUNTIFS('Dietary Filters'!$C$5:$C$104,B726)&gt;0,"Check","OK"))</f>
        <v>0</v>
      </c>
      <c r="AD726" s="25"/>
    </row>
    <row r="727" spans="1:30">
      <c r="A727" s="7"/>
      <c r="B727" s="7"/>
      <c r="C727" s="26"/>
      <c r="D727" s="27"/>
      <c r="E727" s="8">
        <f>IF(B727="","",IFERROR(INDEX(Ingredients!$B$5:$B$304,MATCH(B727,Ingredients!$A$5:$A$304,0)),""))</f>
        <v>0</v>
      </c>
      <c r="F727" s="8">
        <f>IF(B727="","",IFERROR(INDEX(Ingredients!$E$5:$E$304,MATCH(B727,Ingredients!$A$5:$A$304,0)),""))</f>
        <v>0</v>
      </c>
      <c r="G727" s="8">
        <f>IF(B727="","",IFERROR(INDEX(Ingredients!$D$5:$D$304,MATCH(B727,Ingredients!$A$5:$A$304,0)),""))</f>
        <v>0</v>
      </c>
      <c r="H727" s="8">
        <f>IF(OR(B727="",C727=""),"",IFERROR(C727*G727,""))</f>
        <v>0</v>
      </c>
      <c r="I727" s="8">
        <f>IF(A727="","",IFERROR(INDEX(Recipes!$D$5:$D$204,MATCH(A727,Recipes!$A$5:$A$204,0)),""))</f>
        <v>0</v>
      </c>
      <c r="J727" s="8">
        <f>IF(OR(H727="",I727="",I727=0),"",IFERROR(H727/I727,""))</f>
        <v>0</v>
      </c>
      <c r="K727" s="8">
        <f>IF(OR(B727="",C727=""),"",IFERROR(C727*IFERROR(INDEX(Ingredients!$H$5:$H$304,MATCH(B727,Ingredients!$A$5:$A$304,0)),""),""))</f>
        <v>0</v>
      </c>
      <c r="L727" s="8">
        <f>IF(OR(B727="",C727=""),"",IFERROR(C727*IFERROR(INDEX(Ingredients!$I$5:$I$304,MATCH(B727,Ingredients!$A$5:$A$304,0)),""),""))</f>
        <v>0</v>
      </c>
      <c r="M727" s="8">
        <f>IF(OR(B727="",C727=""),"",IFERROR(C727*IFERROR(INDEX(Ingredients!$J$5:$J$304,MATCH(B727,Ingredients!$A$5:$A$304,0)),""),""))</f>
        <v>0</v>
      </c>
      <c r="N727" s="8">
        <f>IF(OR(B727="",C727=""),"",IFERROR(C727*IFERROR(INDEX(Ingredients!$K$5:$K$304,MATCH(B727,Ingredients!$A$5:$A$304,0)),""),""))</f>
        <v>0</v>
      </c>
      <c r="O727" s="8">
        <f>IF(OR(B727="",C727=""),"",IFERROR(C727*IFERROR(INDEX(Ingredients!$L$5:$L$304,MATCH(B727,Ingredients!$A$5:$A$304,0)),""),""))</f>
        <v>0</v>
      </c>
      <c r="P727" s="8">
        <f>IF(OR(H727="",A727=""),"",IFERROR(H727/SUMIFS('Recipe Ingredients'!$H$5:$H$1204,'Recipe Ingredients'!$A$5:$A$1204,A727),""))</f>
        <v>0</v>
      </c>
      <c r="Q727" s="8">
        <f>IF(H727="","",COUNTIFS($H$5:$H$1204,"&gt;"&amp;H727)+1)</f>
        <v>0</v>
      </c>
      <c r="R727" s="8">
        <f>IF(B727="","",SUMIFS(Pantry!$C$5:$C$304,Pantry!$A$5:$A$304,B727))</f>
        <v>0</v>
      </c>
      <c r="S727" s="8">
        <f>IF(OR(B727="",C727=""),"",MAX(0,C727-R727))</f>
        <v>0</v>
      </c>
      <c r="T727" s="26"/>
      <c r="U727" s="8">
        <f>IF(OR(T727="",T727=0,G727=""),"",T727*G727)</f>
        <v>0</v>
      </c>
      <c r="V727" s="8">
        <f>IF(OR(S727="",T727="",T727=0),"",CEILING(S727/T727,1))</f>
        <v>0</v>
      </c>
      <c r="W727" s="27"/>
      <c r="X727" s="29"/>
      <c r="Y727" s="8">
        <f>IF(OR(C727="",X727=""),"",C727*(1+X727))</f>
        <v>0</v>
      </c>
      <c r="Z727" s="8">
        <f>IF(B727="","",IFERROR(INDEX(Ingredients!$O$5:$O$304,MATCH(B727,Ingredients!$A$5:$A$304,0)),""))</f>
        <v>0</v>
      </c>
      <c r="AA727" s="8">
        <f>IF(B727="","",IF(R727&gt;=C727,"In pantry","To buy"))</f>
        <v>0</v>
      </c>
      <c r="AB727" s="8">
        <f>IF(A727="","",COUNTIFS($A$5:A727,A727))</f>
        <v>0</v>
      </c>
      <c r="AC727" s="8">
        <f>IF(B727="","",IF(COUNTIFS('Dietary Filters'!$C$5:$C$104,B727)&gt;0,"Check","OK"))</f>
        <v>0</v>
      </c>
      <c r="AD727" s="25"/>
    </row>
    <row r="728" spans="1:30">
      <c r="A728" s="7"/>
      <c r="B728" s="7"/>
      <c r="C728" s="26"/>
      <c r="D728" s="27"/>
      <c r="E728" s="8">
        <f>IF(B728="","",IFERROR(INDEX(Ingredients!$B$5:$B$304,MATCH(B728,Ingredients!$A$5:$A$304,0)),""))</f>
        <v>0</v>
      </c>
      <c r="F728" s="8">
        <f>IF(B728="","",IFERROR(INDEX(Ingredients!$E$5:$E$304,MATCH(B728,Ingredients!$A$5:$A$304,0)),""))</f>
        <v>0</v>
      </c>
      <c r="G728" s="8">
        <f>IF(B728="","",IFERROR(INDEX(Ingredients!$D$5:$D$304,MATCH(B728,Ingredients!$A$5:$A$304,0)),""))</f>
        <v>0</v>
      </c>
      <c r="H728" s="8">
        <f>IF(OR(B728="",C728=""),"",IFERROR(C728*G728,""))</f>
        <v>0</v>
      </c>
      <c r="I728" s="8">
        <f>IF(A728="","",IFERROR(INDEX(Recipes!$D$5:$D$204,MATCH(A728,Recipes!$A$5:$A$204,0)),""))</f>
        <v>0</v>
      </c>
      <c r="J728" s="8">
        <f>IF(OR(H728="",I728="",I728=0),"",IFERROR(H728/I728,""))</f>
        <v>0</v>
      </c>
      <c r="K728" s="8">
        <f>IF(OR(B728="",C728=""),"",IFERROR(C728*IFERROR(INDEX(Ingredients!$H$5:$H$304,MATCH(B728,Ingredients!$A$5:$A$304,0)),""),""))</f>
        <v>0</v>
      </c>
      <c r="L728" s="8">
        <f>IF(OR(B728="",C728=""),"",IFERROR(C728*IFERROR(INDEX(Ingredients!$I$5:$I$304,MATCH(B728,Ingredients!$A$5:$A$304,0)),""),""))</f>
        <v>0</v>
      </c>
      <c r="M728" s="8">
        <f>IF(OR(B728="",C728=""),"",IFERROR(C728*IFERROR(INDEX(Ingredients!$J$5:$J$304,MATCH(B728,Ingredients!$A$5:$A$304,0)),""),""))</f>
        <v>0</v>
      </c>
      <c r="N728" s="8">
        <f>IF(OR(B728="",C728=""),"",IFERROR(C728*IFERROR(INDEX(Ingredients!$K$5:$K$304,MATCH(B728,Ingredients!$A$5:$A$304,0)),""),""))</f>
        <v>0</v>
      </c>
      <c r="O728" s="8">
        <f>IF(OR(B728="",C728=""),"",IFERROR(C728*IFERROR(INDEX(Ingredients!$L$5:$L$304,MATCH(B728,Ingredients!$A$5:$A$304,0)),""),""))</f>
        <v>0</v>
      </c>
      <c r="P728" s="8">
        <f>IF(OR(H728="",A728=""),"",IFERROR(H728/SUMIFS('Recipe Ingredients'!$H$5:$H$1204,'Recipe Ingredients'!$A$5:$A$1204,A728),""))</f>
        <v>0</v>
      </c>
      <c r="Q728" s="8">
        <f>IF(H728="","",COUNTIFS($H$5:$H$1204,"&gt;"&amp;H728)+1)</f>
        <v>0</v>
      </c>
      <c r="R728" s="8">
        <f>IF(B728="","",SUMIFS(Pantry!$C$5:$C$304,Pantry!$A$5:$A$304,B728))</f>
        <v>0</v>
      </c>
      <c r="S728" s="8">
        <f>IF(OR(B728="",C728=""),"",MAX(0,C728-R728))</f>
        <v>0</v>
      </c>
      <c r="T728" s="26"/>
      <c r="U728" s="8">
        <f>IF(OR(T728="",T728=0,G728=""),"",T728*G728)</f>
        <v>0</v>
      </c>
      <c r="V728" s="8">
        <f>IF(OR(S728="",T728="",T728=0),"",CEILING(S728/T728,1))</f>
        <v>0</v>
      </c>
      <c r="W728" s="27"/>
      <c r="X728" s="29"/>
      <c r="Y728" s="8">
        <f>IF(OR(C728="",X728=""),"",C728*(1+X728))</f>
        <v>0</v>
      </c>
      <c r="Z728" s="8">
        <f>IF(B728="","",IFERROR(INDEX(Ingredients!$O$5:$O$304,MATCH(B728,Ingredients!$A$5:$A$304,0)),""))</f>
        <v>0</v>
      </c>
      <c r="AA728" s="8">
        <f>IF(B728="","",IF(R728&gt;=C728,"In pantry","To buy"))</f>
        <v>0</v>
      </c>
      <c r="AB728" s="8">
        <f>IF(A728="","",COUNTIFS($A$5:A728,A728))</f>
        <v>0</v>
      </c>
      <c r="AC728" s="8">
        <f>IF(B728="","",IF(COUNTIFS('Dietary Filters'!$C$5:$C$104,B728)&gt;0,"Check","OK"))</f>
        <v>0</v>
      </c>
      <c r="AD728" s="25"/>
    </row>
    <row r="729" spans="1:30">
      <c r="A729" s="7"/>
      <c r="B729" s="7"/>
      <c r="C729" s="26"/>
      <c r="D729" s="27"/>
      <c r="E729" s="8">
        <f>IF(B729="","",IFERROR(INDEX(Ingredients!$B$5:$B$304,MATCH(B729,Ingredients!$A$5:$A$304,0)),""))</f>
        <v>0</v>
      </c>
      <c r="F729" s="8">
        <f>IF(B729="","",IFERROR(INDEX(Ingredients!$E$5:$E$304,MATCH(B729,Ingredients!$A$5:$A$304,0)),""))</f>
        <v>0</v>
      </c>
      <c r="G729" s="8">
        <f>IF(B729="","",IFERROR(INDEX(Ingredients!$D$5:$D$304,MATCH(B729,Ingredients!$A$5:$A$304,0)),""))</f>
        <v>0</v>
      </c>
      <c r="H729" s="8">
        <f>IF(OR(B729="",C729=""),"",IFERROR(C729*G729,""))</f>
        <v>0</v>
      </c>
      <c r="I729" s="8">
        <f>IF(A729="","",IFERROR(INDEX(Recipes!$D$5:$D$204,MATCH(A729,Recipes!$A$5:$A$204,0)),""))</f>
        <v>0</v>
      </c>
      <c r="J729" s="8">
        <f>IF(OR(H729="",I729="",I729=0),"",IFERROR(H729/I729,""))</f>
        <v>0</v>
      </c>
      <c r="K729" s="8">
        <f>IF(OR(B729="",C729=""),"",IFERROR(C729*IFERROR(INDEX(Ingredients!$H$5:$H$304,MATCH(B729,Ingredients!$A$5:$A$304,0)),""),""))</f>
        <v>0</v>
      </c>
      <c r="L729" s="8">
        <f>IF(OR(B729="",C729=""),"",IFERROR(C729*IFERROR(INDEX(Ingredients!$I$5:$I$304,MATCH(B729,Ingredients!$A$5:$A$304,0)),""),""))</f>
        <v>0</v>
      </c>
      <c r="M729" s="8">
        <f>IF(OR(B729="",C729=""),"",IFERROR(C729*IFERROR(INDEX(Ingredients!$J$5:$J$304,MATCH(B729,Ingredients!$A$5:$A$304,0)),""),""))</f>
        <v>0</v>
      </c>
      <c r="N729" s="8">
        <f>IF(OR(B729="",C729=""),"",IFERROR(C729*IFERROR(INDEX(Ingredients!$K$5:$K$304,MATCH(B729,Ingredients!$A$5:$A$304,0)),""),""))</f>
        <v>0</v>
      </c>
      <c r="O729" s="8">
        <f>IF(OR(B729="",C729=""),"",IFERROR(C729*IFERROR(INDEX(Ingredients!$L$5:$L$304,MATCH(B729,Ingredients!$A$5:$A$304,0)),""),""))</f>
        <v>0</v>
      </c>
      <c r="P729" s="8">
        <f>IF(OR(H729="",A729=""),"",IFERROR(H729/SUMIFS('Recipe Ingredients'!$H$5:$H$1204,'Recipe Ingredients'!$A$5:$A$1204,A729),""))</f>
        <v>0</v>
      </c>
      <c r="Q729" s="8">
        <f>IF(H729="","",COUNTIFS($H$5:$H$1204,"&gt;"&amp;H729)+1)</f>
        <v>0</v>
      </c>
      <c r="R729" s="8">
        <f>IF(B729="","",SUMIFS(Pantry!$C$5:$C$304,Pantry!$A$5:$A$304,B729))</f>
        <v>0</v>
      </c>
      <c r="S729" s="8">
        <f>IF(OR(B729="",C729=""),"",MAX(0,C729-R729))</f>
        <v>0</v>
      </c>
      <c r="T729" s="26"/>
      <c r="U729" s="8">
        <f>IF(OR(T729="",T729=0,G729=""),"",T729*G729)</f>
        <v>0</v>
      </c>
      <c r="V729" s="8">
        <f>IF(OR(S729="",T729="",T729=0),"",CEILING(S729/T729,1))</f>
        <v>0</v>
      </c>
      <c r="W729" s="27"/>
      <c r="X729" s="29"/>
      <c r="Y729" s="8">
        <f>IF(OR(C729="",X729=""),"",C729*(1+X729))</f>
        <v>0</v>
      </c>
      <c r="Z729" s="8">
        <f>IF(B729="","",IFERROR(INDEX(Ingredients!$O$5:$O$304,MATCH(B729,Ingredients!$A$5:$A$304,0)),""))</f>
        <v>0</v>
      </c>
      <c r="AA729" s="8">
        <f>IF(B729="","",IF(R729&gt;=C729,"In pantry","To buy"))</f>
        <v>0</v>
      </c>
      <c r="AB729" s="8">
        <f>IF(A729="","",COUNTIFS($A$5:A729,A729))</f>
        <v>0</v>
      </c>
      <c r="AC729" s="8">
        <f>IF(B729="","",IF(COUNTIFS('Dietary Filters'!$C$5:$C$104,B729)&gt;0,"Check","OK"))</f>
        <v>0</v>
      </c>
      <c r="AD729" s="25"/>
    </row>
    <row r="730" spans="1:30">
      <c r="A730" s="7"/>
      <c r="B730" s="7"/>
      <c r="C730" s="26"/>
      <c r="D730" s="27"/>
      <c r="E730" s="8">
        <f>IF(B730="","",IFERROR(INDEX(Ingredients!$B$5:$B$304,MATCH(B730,Ingredients!$A$5:$A$304,0)),""))</f>
        <v>0</v>
      </c>
      <c r="F730" s="8">
        <f>IF(B730="","",IFERROR(INDEX(Ingredients!$E$5:$E$304,MATCH(B730,Ingredients!$A$5:$A$304,0)),""))</f>
        <v>0</v>
      </c>
      <c r="G730" s="8">
        <f>IF(B730="","",IFERROR(INDEX(Ingredients!$D$5:$D$304,MATCH(B730,Ingredients!$A$5:$A$304,0)),""))</f>
        <v>0</v>
      </c>
      <c r="H730" s="8">
        <f>IF(OR(B730="",C730=""),"",IFERROR(C730*G730,""))</f>
        <v>0</v>
      </c>
      <c r="I730" s="8">
        <f>IF(A730="","",IFERROR(INDEX(Recipes!$D$5:$D$204,MATCH(A730,Recipes!$A$5:$A$204,0)),""))</f>
        <v>0</v>
      </c>
      <c r="J730" s="8">
        <f>IF(OR(H730="",I730="",I730=0),"",IFERROR(H730/I730,""))</f>
        <v>0</v>
      </c>
      <c r="K730" s="8">
        <f>IF(OR(B730="",C730=""),"",IFERROR(C730*IFERROR(INDEX(Ingredients!$H$5:$H$304,MATCH(B730,Ingredients!$A$5:$A$304,0)),""),""))</f>
        <v>0</v>
      </c>
      <c r="L730" s="8">
        <f>IF(OR(B730="",C730=""),"",IFERROR(C730*IFERROR(INDEX(Ingredients!$I$5:$I$304,MATCH(B730,Ingredients!$A$5:$A$304,0)),""),""))</f>
        <v>0</v>
      </c>
      <c r="M730" s="8">
        <f>IF(OR(B730="",C730=""),"",IFERROR(C730*IFERROR(INDEX(Ingredients!$J$5:$J$304,MATCH(B730,Ingredients!$A$5:$A$304,0)),""),""))</f>
        <v>0</v>
      </c>
      <c r="N730" s="8">
        <f>IF(OR(B730="",C730=""),"",IFERROR(C730*IFERROR(INDEX(Ingredients!$K$5:$K$304,MATCH(B730,Ingredients!$A$5:$A$304,0)),""),""))</f>
        <v>0</v>
      </c>
      <c r="O730" s="8">
        <f>IF(OR(B730="",C730=""),"",IFERROR(C730*IFERROR(INDEX(Ingredients!$L$5:$L$304,MATCH(B730,Ingredients!$A$5:$A$304,0)),""),""))</f>
        <v>0</v>
      </c>
      <c r="P730" s="8">
        <f>IF(OR(H730="",A730=""),"",IFERROR(H730/SUMIFS('Recipe Ingredients'!$H$5:$H$1204,'Recipe Ingredients'!$A$5:$A$1204,A730),""))</f>
        <v>0</v>
      </c>
      <c r="Q730" s="8">
        <f>IF(H730="","",COUNTIFS($H$5:$H$1204,"&gt;"&amp;H730)+1)</f>
        <v>0</v>
      </c>
      <c r="R730" s="8">
        <f>IF(B730="","",SUMIFS(Pantry!$C$5:$C$304,Pantry!$A$5:$A$304,B730))</f>
        <v>0</v>
      </c>
      <c r="S730" s="8">
        <f>IF(OR(B730="",C730=""),"",MAX(0,C730-R730))</f>
        <v>0</v>
      </c>
      <c r="T730" s="26"/>
      <c r="U730" s="8">
        <f>IF(OR(T730="",T730=0,G730=""),"",T730*G730)</f>
        <v>0</v>
      </c>
      <c r="V730" s="8">
        <f>IF(OR(S730="",T730="",T730=0),"",CEILING(S730/T730,1))</f>
        <v>0</v>
      </c>
      <c r="W730" s="27"/>
      <c r="X730" s="29"/>
      <c r="Y730" s="8">
        <f>IF(OR(C730="",X730=""),"",C730*(1+X730))</f>
        <v>0</v>
      </c>
      <c r="Z730" s="8">
        <f>IF(B730="","",IFERROR(INDEX(Ingredients!$O$5:$O$304,MATCH(B730,Ingredients!$A$5:$A$304,0)),""))</f>
        <v>0</v>
      </c>
      <c r="AA730" s="8">
        <f>IF(B730="","",IF(R730&gt;=C730,"In pantry","To buy"))</f>
        <v>0</v>
      </c>
      <c r="AB730" s="8">
        <f>IF(A730="","",COUNTIFS($A$5:A730,A730))</f>
        <v>0</v>
      </c>
      <c r="AC730" s="8">
        <f>IF(B730="","",IF(COUNTIFS('Dietary Filters'!$C$5:$C$104,B730)&gt;0,"Check","OK"))</f>
        <v>0</v>
      </c>
      <c r="AD730" s="25"/>
    </row>
    <row r="731" spans="1:30">
      <c r="A731" s="7"/>
      <c r="B731" s="7"/>
      <c r="C731" s="26"/>
      <c r="D731" s="27"/>
      <c r="E731" s="8">
        <f>IF(B731="","",IFERROR(INDEX(Ingredients!$B$5:$B$304,MATCH(B731,Ingredients!$A$5:$A$304,0)),""))</f>
        <v>0</v>
      </c>
      <c r="F731" s="8">
        <f>IF(B731="","",IFERROR(INDEX(Ingredients!$E$5:$E$304,MATCH(B731,Ingredients!$A$5:$A$304,0)),""))</f>
        <v>0</v>
      </c>
      <c r="G731" s="8">
        <f>IF(B731="","",IFERROR(INDEX(Ingredients!$D$5:$D$304,MATCH(B731,Ingredients!$A$5:$A$304,0)),""))</f>
        <v>0</v>
      </c>
      <c r="H731" s="8">
        <f>IF(OR(B731="",C731=""),"",IFERROR(C731*G731,""))</f>
        <v>0</v>
      </c>
      <c r="I731" s="8">
        <f>IF(A731="","",IFERROR(INDEX(Recipes!$D$5:$D$204,MATCH(A731,Recipes!$A$5:$A$204,0)),""))</f>
        <v>0</v>
      </c>
      <c r="J731" s="8">
        <f>IF(OR(H731="",I731="",I731=0),"",IFERROR(H731/I731,""))</f>
        <v>0</v>
      </c>
      <c r="K731" s="8">
        <f>IF(OR(B731="",C731=""),"",IFERROR(C731*IFERROR(INDEX(Ingredients!$H$5:$H$304,MATCH(B731,Ingredients!$A$5:$A$304,0)),""),""))</f>
        <v>0</v>
      </c>
      <c r="L731" s="8">
        <f>IF(OR(B731="",C731=""),"",IFERROR(C731*IFERROR(INDEX(Ingredients!$I$5:$I$304,MATCH(B731,Ingredients!$A$5:$A$304,0)),""),""))</f>
        <v>0</v>
      </c>
      <c r="M731" s="8">
        <f>IF(OR(B731="",C731=""),"",IFERROR(C731*IFERROR(INDEX(Ingredients!$J$5:$J$304,MATCH(B731,Ingredients!$A$5:$A$304,0)),""),""))</f>
        <v>0</v>
      </c>
      <c r="N731" s="8">
        <f>IF(OR(B731="",C731=""),"",IFERROR(C731*IFERROR(INDEX(Ingredients!$K$5:$K$304,MATCH(B731,Ingredients!$A$5:$A$304,0)),""),""))</f>
        <v>0</v>
      </c>
      <c r="O731" s="8">
        <f>IF(OR(B731="",C731=""),"",IFERROR(C731*IFERROR(INDEX(Ingredients!$L$5:$L$304,MATCH(B731,Ingredients!$A$5:$A$304,0)),""),""))</f>
        <v>0</v>
      </c>
      <c r="P731" s="8">
        <f>IF(OR(H731="",A731=""),"",IFERROR(H731/SUMIFS('Recipe Ingredients'!$H$5:$H$1204,'Recipe Ingredients'!$A$5:$A$1204,A731),""))</f>
        <v>0</v>
      </c>
      <c r="Q731" s="8">
        <f>IF(H731="","",COUNTIFS($H$5:$H$1204,"&gt;"&amp;H731)+1)</f>
        <v>0</v>
      </c>
      <c r="R731" s="8">
        <f>IF(B731="","",SUMIFS(Pantry!$C$5:$C$304,Pantry!$A$5:$A$304,B731))</f>
        <v>0</v>
      </c>
      <c r="S731" s="8">
        <f>IF(OR(B731="",C731=""),"",MAX(0,C731-R731))</f>
        <v>0</v>
      </c>
      <c r="T731" s="26"/>
      <c r="U731" s="8">
        <f>IF(OR(T731="",T731=0,G731=""),"",T731*G731)</f>
        <v>0</v>
      </c>
      <c r="V731" s="8">
        <f>IF(OR(S731="",T731="",T731=0),"",CEILING(S731/T731,1))</f>
        <v>0</v>
      </c>
      <c r="W731" s="27"/>
      <c r="X731" s="29"/>
      <c r="Y731" s="8">
        <f>IF(OR(C731="",X731=""),"",C731*(1+X731))</f>
        <v>0</v>
      </c>
      <c r="Z731" s="8">
        <f>IF(B731="","",IFERROR(INDEX(Ingredients!$O$5:$O$304,MATCH(B731,Ingredients!$A$5:$A$304,0)),""))</f>
        <v>0</v>
      </c>
      <c r="AA731" s="8">
        <f>IF(B731="","",IF(R731&gt;=C731,"In pantry","To buy"))</f>
        <v>0</v>
      </c>
      <c r="AB731" s="8">
        <f>IF(A731="","",COUNTIFS($A$5:A731,A731))</f>
        <v>0</v>
      </c>
      <c r="AC731" s="8">
        <f>IF(B731="","",IF(COUNTIFS('Dietary Filters'!$C$5:$C$104,B731)&gt;0,"Check","OK"))</f>
        <v>0</v>
      </c>
      <c r="AD731" s="25"/>
    </row>
    <row r="732" spans="1:30">
      <c r="A732" s="7"/>
      <c r="B732" s="7"/>
      <c r="C732" s="26"/>
      <c r="D732" s="27"/>
      <c r="E732" s="8">
        <f>IF(B732="","",IFERROR(INDEX(Ingredients!$B$5:$B$304,MATCH(B732,Ingredients!$A$5:$A$304,0)),""))</f>
        <v>0</v>
      </c>
      <c r="F732" s="8">
        <f>IF(B732="","",IFERROR(INDEX(Ingredients!$E$5:$E$304,MATCH(B732,Ingredients!$A$5:$A$304,0)),""))</f>
        <v>0</v>
      </c>
      <c r="G732" s="8">
        <f>IF(B732="","",IFERROR(INDEX(Ingredients!$D$5:$D$304,MATCH(B732,Ingredients!$A$5:$A$304,0)),""))</f>
        <v>0</v>
      </c>
      <c r="H732" s="8">
        <f>IF(OR(B732="",C732=""),"",IFERROR(C732*G732,""))</f>
        <v>0</v>
      </c>
      <c r="I732" s="8">
        <f>IF(A732="","",IFERROR(INDEX(Recipes!$D$5:$D$204,MATCH(A732,Recipes!$A$5:$A$204,0)),""))</f>
        <v>0</v>
      </c>
      <c r="J732" s="8">
        <f>IF(OR(H732="",I732="",I732=0),"",IFERROR(H732/I732,""))</f>
        <v>0</v>
      </c>
      <c r="K732" s="8">
        <f>IF(OR(B732="",C732=""),"",IFERROR(C732*IFERROR(INDEX(Ingredients!$H$5:$H$304,MATCH(B732,Ingredients!$A$5:$A$304,0)),""),""))</f>
        <v>0</v>
      </c>
      <c r="L732" s="8">
        <f>IF(OR(B732="",C732=""),"",IFERROR(C732*IFERROR(INDEX(Ingredients!$I$5:$I$304,MATCH(B732,Ingredients!$A$5:$A$304,0)),""),""))</f>
        <v>0</v>
      </c>
      <c r="M732" s="8">
        <f>IF(OR(B732="",C732=""),"",IFERROR(C732*IFERROR(INDEX(Ingredients!$J$5:$J$304,MATCH(B732,Ingredients!$A$5:$A$304,0)),""),""))</f>
        <v>0</v>
      </c>
      <c r="N732" s="8">
        <f>IF(OR(B732="",C732=""),"",IFERROR(C732*IFERROR(INDEX(Ingredients!$K$5:$K$304,MATCH(B732,Ingredients!$A$5:$A$304,0)),""),""))</f>
        <v>0</v>
      </c>
      <c r="O732" s="8">
        <f>IF(OR(B732="",C732=""),"",IFERROR(C732*IFERROR(INDEX(Ingredients!$L$5:$L$304,MATCH(B732,Ingredients!$A$5:$A$304,0)),""),""))</f>
        <v>0</v>
      </c>
      <c r="P732" s="8">
        <f>IF(OR(H732="",A732=""),"",IFERROR(H732/SUMIFS('Recipe Ingredients'!$H$5:$H$1204,'Recipe Ingredients'!$A$5:$A$1204,A732),""))</f>
        <v>0</v>
      </c>
      <c r="Q732" s="8">
        <f>IF(H732="","",COUNTIFS($H$5:$H$1204,"&gt;"&amp;H732)+1)</f>
        <v>0</v>
      </c>
      <c r="R732" s="8">
        <f>IF(B732="","",SUMIFS(Pantry!$C$5:$C$304,Pantry!$A$5:$A$304,B732))</f>
        <v>0</v>
      </c>
      <c r="S732" s="8">
        <f>IF(OR(B732="",C732=""),"",MAX(0,C732-R732))</f>
        <v>0</v>
      </c>
      <c r="T732" s="26"/>
      <c r="U732" s="8">
        <f>IF(OR(T732="",T732=0,G732=""),"",T732*G732)</f>
        <v>0</v>
      </c>
      <c r="V732" s="8">
        <f>IF(OR(S732="",T732="",T732=0),"",CEILING(S732/T732,1))</f>
        <v>0</v>
      </c>
      <c r="W732" s="27"/>
      <c r="X732" s="29"/>
      <c r="Y732" s="8">
        <f>IF(OR(C732="",X732=""),"",C732*(1+X732))</f>
        <v>0</v>
      </c>
      <c r="Z732" s="8">
        <f>IF(B732="","",IFERROR(INDEX(Ingredients!$O$5:$O$304,MATCH(B732,Ingredients!$A$5:$A$304,0)),""))</f>
        <v>0</v>
      </c>
      <c r="AA732" s="8">
        <f>IF(B732="","",IF(R732&gt;=C732,"In pantry","To buy"))</f>
        <v>0</v>
      </c>
      <c r="AB732" s="8">
        <f>IF(A732="","",COUNTIFS($A$5:A732,A732))</f>
        <v>0</v>
      </c>
      <c r="AC732" s="8">
        <f>IF(B732="","",IF(COUNTIFS('Dietary Filters'!$C$5:$C$104,B732)&gt;0,"Check","OK"))</f>
        <v>0</v>
      </c>
      <c r="AD732" s="25"/>
    </row>
    <row r="733" spans="1:30">
      <c r="A733" s="7"/>
      <c r="B733" s="7"/>
      <c r="C733" s="26"/>
      <c r="D733" s="27"/>
      <c r="E733" s="8">
        <f>IF(B733="","",IFERROR(INDEX(Ingredients!$B$5:$B$304,MATCH(B733,Ingredients!$A$5:$A$304,0)),""))</f>
        <v>0</v>
      </c>
      <c r="F733" s="8">
        <f>IF(B733="","",IFERROR(INDEX(Ingredients!$E$5:$E$304,MATCH(B733,Ingredients!$A$5:$A$304,0)),""))</f>
        <v>0</v>
      </c>
      <c r="G733" s="8">
        <f>IF(B733="","",IFERROR(INDEX(Ingredients!$D$5:$D$304,MATCH(B733,Ingredients!$A$5:$A$304,0)),""))</f>
        <v>0</v>
      </c>
      <c r="H733" s="8">
        <f>IF(OR(B733="",C733=""),"",IFERROR(C733*G733,""))</f>
        <v>0</v>
      </c>
      <c r="I733" s="8">
        <f>IF(A733="","",IFERROR(INDEX(Recipes!$D$5:$D$204,MATCH(A733,Recipes!$A$5:$A$204,0)),""))</f>
        <v>0</v>
      </c>
      <c r="J733" s="8">
        <f>IF(OR(H733="",I733="",I733=0),"",IFERROR(H733/I733,""))</f>
        <v>0</v>
      </c>
      <c r="K733" s="8">
        <f>IF(OR(B733="",C733=""),"",IFERROR(C733*IFERROR(INDEX(Ingredients!$H$5:$H$304,MATCH(B733,Ingredients!$A$5:$A$304,0)),""),""))</f>
        <v>0</v>
      </c>
      <c r="L733" s="8">
        <f>IF(OR(B733="",C733=""),"",IFERROR(C733*IFERROR(INDEX(Ingredients!$I$5:$I$304,MATCH(B733,Ingredients!$A$5:$A$304,0)),""),""))</f>
        <v>0</v>
      </c>
      <c r="M733" s="8">
        <f>IF(OR(B733="",C733=""),"",IFERROR(C733*IFERROR(INDEX(Ingredients!$J$5:$J$304,MATCH(B733,Ingredients!$A$5:$A$304,0)),""),""))</f>
        <v>0</v>
      </c>
      <c r="N733" s="8">
        <f>IF(OR(B733="",C733=""),"",IFERROR(C733*IFERROR(INDEX(Ingredients!$K$5:$K$304,MATCH(B733,Ingredients!$A$5:$A$304,0)),""),""))</f>
        <v>0</v>
      </c>
      <c r="O733" s="8">
        <f>IF(OR(B733="",C733=""),"",IFERROR(C733*IFERROR(INDEX(Ingredients!$L$5:$L$304,MATCH(B733,Ingredients!$A$5:$A$304,0)),""),""))</f>
        <v>0</v>
      </c>
      <c r="P733" s="8">
        <f>IF(OR(H733="",A733=""),"",IFERROR(H733/SUMIFS('Recipe Ingredients'!$H$5:$H$1204,'Recipe Ingredients'!$A$5:$A$1204,A733),""))</f>
        <v>0</v>
      </c>
      <c r="Q733" s="8">
        <f>IF(H733="","",COUNTIFS($H$5:$H$1204,"&gt;"&amp;H733)+1)</f>
        <v>0</v>
      </c>
      <c r="R733" s="8">
        <f>IF(B733="","",SUMIFS(Pantry!$C$5:$C$304,Pantry!$A$5:$A$304,B733))</f>
        <v>0</v>
      </c>
      <c r="S733" s="8">
        <f>IF(OR(B733="",C733=""),"",MAX(0,C733-R733))</f>
        <v>0</v>
      </c>
      <c r="T733" s="26"/>
      <c r="U733" s="8">
        <f>IF(OR(T733="",T733=0,G733=""),"",T733*G733)</f>
        <v>0</v>
      </c>
      <c r="V733" s="8">
        <f>IF(OR(S733="",T733="",T733=0),"",CEILING(S733/T733,1))</f>
        <v>0</v>
      </c>
      <c r="W733" s="27"/>
      <c r="X733" s="29"/>
      <c r="Y733" s="8">
        <f>IF(OR(C733="",X733=""),"",C733*(1+X733))</f>
        <v>0</v>
      </c>
      <c r="Z733" s="8">
        <f>IF(B733="","",IFERROR(INDEX(Ingredients!$O$5:$O$304,MATCH(B733,Ingredients!$A$5:$A$304,0)),""))</f>
        <v>0</v>
      </c>
      <c r="AA733" s="8">
        <f>IF(B733="","",IF(R733&gt;=C733,"In pantry","To buy"))</f>
        <v>0</v>
      </c>
      <c r="AB733" s="8">
        <f>IF(A733="","",COUNTIFS($A$5:A733,A733))</f>
        <v>0</v>
      </c>
      <c r="AC733" s="8">
        <f>IF(B733="","",IF(COUNTIFS('Dietary Filters'!$C$5:$C$104,B733)&gt;0,"Check","OK"))</f>
        <v>0</v>
      </c>
      <c r="AD733" s="25"/>
    </row>
    <row r="734" spans="1:30">
      <c r="A734" s="7"/>
      <c r="B734" s="7"/>
      <c r="C734" s="26"/>
      <c r="D734" s="27"/>
      <c r="E734" s="8">
        <f>IF(B734="","",IFERROR(INDEX(Ingredients!$B$5:$B$304,MATCH(B734,Ingredients!$A$5:$A$304,0)),""))</f>
        <v>0</v>
      </c>
      <c r="F734" s="8">
        <f>IF(B734="","",IFERROR(INDEX(Ingredients!$E$5:$E$304,MATCH(B734,Ingredients!$A$5:$A$304,0)),""))</f>
        <v>0</v>
      </c>
      <c r="G734" s="8">
        <f>IF(B734="","",IFERROR(INDEX(Ingredients!$D$5:$D$304,MATCH(B734,Ingredients!$A$5:$A$304,0)),""))</f>
        <v>0</v>
      </c>
      <c r="H734" s="8">
        <f>IF(OR(B734="",C734=""),"",IFERROR(C734*G734,""))</f>
        <v>0</v>
      </c>
      <c r="I734" s="8">
        <f>IF(A734="","",IFERROR(INDEX(Recipes!$D$5:$D$204,MATCH(A734,Recipes!$A$5:$A$204,0)),""))</f>
        <v>0</v>
      </c>
      <c r="J734" s="8">
        <f>IF(OR(H734="",I734="",I734=0),"",IFERROR(H734/I734,""))</f>
        <v>0</v>
      </c>
      <c r="K734" s="8">
        <f>IF(OR(B734="",C734=""),"",IFERROR(C734*IFERROR(INDEX(Ingredients!$H$5:$H$304,MATCH(B734,Ingredients!$A$5:$A$304,0)),""),""))</f>
        <v>0</v>
      </c>
      <c r="L734" s="8">
        <f>IF(OR(B734="",C734=""),"",IFERROR(C734*IFERROR(INDEX(Ingredients!$I$5:$I$304,MATCH(B734,Ingredients!$A$5:$A$304,0)),""),""))</f>
        <v>0</v>
      </c>
      <c r="M734" s="8">
        <f>IF(OR(B734="",C734=""),"",IFERROR(C734*IFERROR(INDEX(Ingredients!$J$5:$J$304,MATCH(B734,Ingredients!$A$5:$A$304,0)),""),""))</f>
        <v>0</v>
      </c>
      <c r="N734" s="8">
        <f>IF(OR(B734="",C734=""),"",IFERROR(C734*IFERROR(INDEX(Ingredients!$K$5:$K$304,MATCH(B734,Ingredients!$A$5:$A$304,0)),""),""))</f>
        <v>0</v>
      </c>
      <c r="O734" s="8">
        <f>IF(OR(B734="",C734=""),"",IFERROR(C734*IFERROR(INDEX(Ingredients!$L$5:$L$304,MATCH(B734,Ingredients!$A$5:$A$304,0)),""),""))</f>
        <v>0</v>
      </c>
      <c r="P734" s="8">
        <f>IF(OR(H734="",A734=""),"",IFERROR(H734/SUMIFS('Recipe Ingredients'!$H$5:$H$1204,'Recipe Ingredients'!$A$5:$A$1204,A734),""))</f>
        <v>0</v>
      </c>
      <c r="Q734" s="8">
        <f>IF(H734="","",COUNTIFS($H$5:$H$1204,"&gt;"&amp;H734)+1)</f>
        <v>0</v>
      </c>
      <c r="R734" s="8">
        <f>IF(B734="","",SUMIFS(Pantry!$C$5:$C$304,Pantry!$A$5:$A$304,B734))</f>
        <v>0</v>
      </c>
      <c r="S734" s="8">
        <f>IF(OR(B734="",C734=""),"",MAX(0,C734-R734))</f>
        <v>0</v>
      </c>
      <c r="T734" s="26"/>
      <c r="U734" s="8">
        <f>IF(OR(T734="",T734=0,G734=""),"",T734*G734)</f>
        <v>0</v>
      </c>
      <c r="V734" s="8">
        <f>IF(OR(S734="",T734="",T734=0),"",CEILING(S734/T734,1))</f>
        <v>0</v>
      </c>
      <c r="W734" s="27"/>
      <c r="X734" s="29"/>
      <c r="Y734" s="8">
        <f>IF(OR(C734="",X734=""),"",C734*(1+X734))</f>
        <v>0</v>
      </c>
      <c r="Z734" s="8">
        <f>IF(B734="","",IFERROR(INDEX(Ingredients!$O$5:$O$304,MATCH(B734,Ingredients!$A$5:$A$304,0)),""))</f>
        <v>0</v>
      </c>
      <c r="AA734" s="8">
        <f>IF(B734="","",IF(R734&gt;=C734,"In pantry","To buy"))</f>
        <v>0</v>
      </c>
      <c r="AB734" s="8">
        <f>IF(A734="","",COUNTIFS($A$5:A734,A734))</f>
        <v>0</v>
      </c>
      <c r="AC734" s="8">
        <f>IF(B734="","",IF(COUNTIFS('Dietary Filters'!$C$5:$C$104,B734)&gt;0,"Check","OK"))</f>
        <v>0</v>
      </c>
      <c r="AD734" s="25"/>
    </row>
    <row r="735" spans="1:30">
      <c r="A735" s="7"/>
      <c r="B735" s="7"/>
      <c r="C735" s="26"/>
      <c r="D735" s="27"/>
      <c r="E735" s="8">
        <f>IF(B735="","",IFERROR(INDEX(Ingredients!$B$5:$B$304,MATCH(B735,Ingredients!$A$5:$A$304,0)),""))</f>
        <v>0</v>
      </c>
      <c r="F735" s="8">
        <f>IF(B735="","",IFERROR(INDEX(Ingredients!$E$5:$E$304,MATCH(B735,Ingredients!$A$5:$A$304,0)),""))</f>
        <v>0</v>
      </c>
      <c r="G735" s="8">
        <f>IF(B735="","",IFERROR(INDEX(Ingredients!$D$5:$D$304,MATCH(B735,Ingredients!$A$5:$A$304,0)),""))</f>
        <v>0</v>
      </c>
      <c r="H735" s="8">
        <f>IF(OR(B735="",C735=""),"",IFERROR(C735*G735,""))</f>
        <v>0</v>
      </c>
      <c r="I735" s="8">
        <f>IF(A735="","",IFERROR(INDEX(Recipes!$D$5:$D$204,MATCH(A735,Recipes!$A$5:$A$204,0)),""))</f>
        <v>0</v>
      </c>
      <c r="J735" s="8">
        <f>IF(OR(H735="",I735="",I735=0),"",IFERROR(H735/I735,""))</f>
        <v>0</v>
      </c>
      <c r="K735" s="8">
        <f>IF(OR(B735="",C735=""),"",IFERROR(C735*IFERROR(INDEX(Ingredients!$H$5:$H$304,MATCH(B735,Ingredients!$A$5:$A$304,0)),""),""))</f>
        <v>0</v>
      </c>
      <c r="L735" s="8">
        <f>IF(OR(B735="",C735=""),"",IFERROR(C735*IFERROR(INDEX(Ingredients!$I$5:$I$304,MATCH(B735,Ingredients!$A$5:$A$304,0)),""),""))</f>
        <v>0</v>
      </c>
      <c r="M735" s="8">
        <f>IF(OR(B735="",C735=""),"",IFERROR(C735*IFERROR(INDEX(Ingredients!$J$5:$J$304,MATCH(B735,Ingredients!$A$5:$A$304,0)),""),""))</f>
        <v>0</v>
      </c>
      <c r="N735" s="8">
        <f>IF(OR(B735="",C735=""),"",IFERROR(C735*IFERROR(INDEX(Ingredients!$K$5:$K$304,MATCH(B735,Ingredients!$A$5:$A$304,0)),""),""))</f>
        <v>0</v>
      </c>
      <c r="O735" s="8">
        <f>IF(OR(B735="",C735=""),"",IFERROR(C735*IFERROR(INDEX(Ingredients!$L$5:$L$304,MATCH(B735,Ingredients!$A$5:$A$304,0)),""),""))</f>
        <v>0</v>
      </c>
      <c r="P735" s="8">
        <f>IF(OR(H735="",A735=""),"",IFERROR(H735/SUMIFS('Recipe Ingredients'!$H$5:$H$1204,'Recipe Ingredients'!$A$5:$A$1204,A735),""))</f>
        <v>0</v>
      </c>
      <c r="Q735" s="8">
        <f>IF(H735="","",COUNTIFS($H$5:$H$1204,"&gt;"&amp;H735)+1)</f>
        <v>0</v>
      </c>
      <c r="R735" s="8">
        <f>IF(B735="","",SUMIFS(Pantry!$C$5:$C$304,Pantry!$A$5:$A$304,B735))</f>
        <v>0</v>
      </c>
      <c r="S735" s="8">
        <f>IF(OR(B735="",C735=""),"",MAX(0,C735-R735))</f>
        <v>0</v>
      </c>
      <c r="T735" s="26"/>
      <c r="U735" s="8">
        <f>IF(OR(T735="",T735=0,G735=""),"",T735*G735)</f>
        <v>0</v>
      </c>
      <c r="V735" s="8">
        <f>IF(OR(S735="",T735="",T735=0),"",CEILING(S735/T735,1))</f>
        <v>0</v>
      </c>
      <c r="W735" s="27"/>
      <c r="X735" s="29"/>
      <c r="Y735" s="8">
        <f>IF(OR(C735="",X735=""),"",C735*(1+X735))</f>
        <v>0</v>
      </c>
      <c r="Z735" s="8">
        <f>IF(B735="","",IFERROR(INDEX(Ingredients!$O$5:$O$304,MATCH(B735,Ingredients!$A$5:$A$304,0)),""))</f>
        <v>0</v>
      </c>
      <c r="AA735" s="8">
        <f>IF(B735="","",IF(R735&gt;=C735,"In pantry","To buy"))</f>
        <v>0</v>
      </c>
      <c r="AB735" s="8">
        <f>IF(A735="","",COUNTIFS($A$5:A735,A735))</f>
        <v>0</v>
      </c>
      <c r="AC735" s="8">
        <f>IF(B735="","",IF(COUNTIFS('Dietary Filters'!$C$5:$C$104,B735)&gt;0,"Check","OK"))</f>
        <v>0</v>
      </c>
      <c r="AD735" s="25"/>
    </row>
    <row r="736" spans="1:30">
      <c r="A736" s="7"/>
      <c r="B736" s="7"/>
      <c r="C736" s="26"/>
      <c r="D736" s="27"/>
      <c r="E736" s="8">
        <f>IF(B736="","",IFERROR(INDEX(Ingredients!$B$5:$B$304,MATCH(B736,Ingredients!$A$5:$A$304,0)),""))</f>
        <v>0</v>
      </c>
      <c r="F736" s="8">
        <f>IF(B736="","",IFERROR(INDEX(Ingredients!$E$5:$E$304,MATCH(B736,Ingredients!$A$5:$A$304,0)),""))</f>
        <v>0</v>
      </c>
      <c r="G736" s="8">
        <f>IF(B736="","",IFERROR(INDEX(Ingredients!$D$5:$D$304,MATCH(B736,Ingredients!$A$5:$A$304,0)),""))</f>
        <v>0</v>
      </c>
      <c r="H736" s="8">
        <f>IF(OR(B736="",C736=""),"",IFERROR(C736*G736,""))</f>
        <v>0</v>
      </c>
      <c r="I736" s="8">
        <f>IF(A736="","",IFERROR(INDEX(Recipes!$D$5:$D$204,MATCH(A736,Recipes!$A$5:$A$204,0)),""))</f>
        <v>0</v>
      </c>
      <c r="J736" s="8">
        <f>IF(OR(H736="",I736="",I736=0),"",IFERROR(H736/I736,""))</f>
        <v>0</v>
      </c>
      <c r="K736" s="8">
        <f>IF(OR(B736="",C736=""),"",IFERROR(C736*IFERROR(INDEX(Ingredients!$H$5:$H$304,MATCH(B736,Ingredients!$A$5:$A$304,0)),""),""))</f>
        <v>0</v>
      </c>
      <c r="L736" s="8">
        <f>IF(OR(B736="",C736=""),"",IFERROR(C736*IFERROR(INDEX(Ingredients!$I$5:$I$304,MATCH(B736,Ingredients!$A$5:$A$304,0)),""),""))</f>
        <v>0</v>
      </c>
      <c r="M736" s="8">
        <f>IF(OR(B736="",C736=""),"",IFERROR(C736*IFERROR(INDEX(Ingredients!$J$5:$J$304,MATCH(B736,Ingredients!$A$5:$A$304,0)),""),""))</f>
        <v>0</v>
      </c>
      <c r="N736" s="8">
        <f>IF(OR(B736="",C736=""),"",IFERROR(C736*IFERROR(INDEX(Ingredients!$K$5:$K$304,MATCH(B736,Ingredients!$A$5:$A$304,0)),""),""))</f>
        <v>0</v>
      </c>
      <c r="O736" s="8">
        <f>IF(OR(B736="",C736=""),"",IFERROR(C736*IFERROR(INDEX(Ingredients!$L$5:$L$304,MATCH(B736,Ingredients!$A$5:$A$304,0)),""),""))</f>
        <v>0</v>
      </c>
      <c r="P736" s="8">
        <f>IF(OR(H736="",A736=""),"",IFERROR(H736/SUMIFS('Recipe Ingredients'!$H$5:$H$1204,'Recipe Ingredients'!$A$5:$A$1204,A736),""))</f>
        <v>0</v>
      </c>
      <c r="Q736" s="8">
        <f>IF(H736="","",COUNTIFS($H$5:$H$1204,"&gt;"&amp;H736)+1)</f>
        <v>0</v>
      </c>
      <c r="R736" s="8">
        <f>IF(B736="","",SUMIFS(Pantry!$C$5:$C$304,Pantry!$A$5:$A$304,B736))</f>
        <v>0</v>
      </c>
      <c r="S736" s="8">
        <f>IF(OR(B736="",C736=""),"",MAX(0,C736-R736))</f>
        <v>0</v>
      </c>
      <c r="T736" s="26"/>
      <c r="U736" s="8">
        <f>IF(OR(T736="",T736=0,G736=""),"",T736*G736)</f>
        <v>0</v>
      </c>
      <c r="V736" s="8">
        <f>IF(OR(S736="",T736="",T736=0),"",CEILING(S736/T736,1))</f>
        <v>0</v>
      </c>
      <c r="W736" s="27"/>
      <c r="X736" s="29"/>
      <c r="Y736" s="8">
        <f>IF(OR(C736="",X736=""),"",C736*(1+X736))</f>
        <v>0</v>
      </c>
      <c r="Z736" s="8">
        <f>IF(B736="","",IFERROR(INDEX(Ingredients!$O$5:$O$304,MATCH(B736,Ingredients!$A$5:$A$304,0)),""))</f>
        <v>0</v>
      </c>
      <c r="AA736" s="8">
        <f>IF(B736="","",IF(R736&gt;=C736,"In pantry","To buy"))</f>
        <v>0</v>
      </c>
      <c r="AB736" s="8">
        <f>IF(A736="","",COUNTIFS($A$5:A736,A736))</f>
        <v>0</v>
      </c>
      <c r="AC736" s="8">
        <f>IF(B736="","",IF(COUNTIFS('Dietary Filters'!$C$5:$C$104,B736)&gt;0,"Check","OK"))</f>
        <v>0</v>
      </c>
      <c r="AD736" s="25"/>
    </row>
    <row r="737" spans="1:30">
      <c r="A737" s="7"/>
      <c r="B737" s="7"/>
      <c r="C737" s="26"/>
      <c r="D737" s="27"/>
      <c r="E737" s="8">
        <f>IF(B737="","",IFERROR(INDEX(Ingredients!$B$5:$B$304,MATCH(B737,Ingredients!$A$5:$A$304,0)),""))</f>
        <v>0</v>
      </c>
      <c r="F737" s="8">
        <f>IF(B737="","",IFERROR(INDEX(Ingredients!$E$5:$E$304,MATCH(B737,Ingredients!$A$5:$A$304,0)),""))</f>
        <v>0</v>
      </c>
      <c r="G737" s="8">
        <f>IF(B737="","",IFERROR(INDEX(Ingredients!$D$5:$D$304,MATCH(B737,Ingredients!$A$5:$A$304,0)),""))</f>
        <v>0</v>
      </c>
      <c r="H737" s="8">
        <f>IF(OR(B737="",C737=""),"",IFERROR(C737*G737,""))</f>
        <v>0</v>
      </c>
      <c r="I737" s="8">
        <f>IF(A737="","",IFERROR(INDEX(Recipes!$D$5:$D$204,MATCH(A737,Recipes!$A$5:$A$204,0)),""))</f>
        <v>0</v>
      </c>
      <c r="J737" s="8">
        <f>IF(OR(H737="",I737="",I737=0),"",IFERROR(H737/I737,""))</f>
        <v>0</v>
      </c>
      <c r="K737" s="8">
        <f>IF(OR(B737="",C737=""),"",IFERROR(C737*IFERROR(INDEX(Ingredients!$H$5:$H$304,MATCH(B737,Ingredients!$A$5:$A$304,0)),""),""))</f>
        <v>0</v>
      </c>
      <c r="L737" s="8">
        <f>IF(OR(B737="",C737=""),"",IFERROR(C737*IFERROR(INDEX(Ingredients!$I$5:$I$304,MATCH(B737,Ingredients!$A$5:$A$304,0)),""),""))</f>
        <v>0</v>
      </c>
      <c r="M737" s="8">
        <f>IF(OR(B737="",C737=""),"",IFERROR(C737*IFERROR(INDEX(Ingredients!$J$5:$J$304,MATCH(B737,Ingredients!$A$5:$A$304,0)),""),""))</f>
        <v>0</v>
      </c>
      <c r="N737" s="8">
        <f>IF(OR(B737="",C737=""),"",IFERROR(C737*IFERROR(INDEX(Ingredients!$K$5:$K$304,MATCH(B737,Ingredients!$A$5:$A$304,0)),""),""))</f>
        <v>0</v>
      </c>
      <c r="O737" s="8">
        <f>IF(OR(B737="",C737=""),"",IFERROR(C737*IFERROR(INDEX(Ingredients!$L$5:$L$304,MATCH(B737,Ingredients!$A$5:$A$304,0)),""),""))</f>
        <v>0</v>
      </c>
      <c r="P737" s="8">
        <f>IF(OR(H737="",A737=""),"",IFERROR(H737/SUMIFS('Recipe Ingredients'!$H$5:$H$1204,'Recipe Ingredients'!$A$5:$A$1204,A737),""))</f>
        <v>0</v>
      </c>
      <c r="Q737" s="8">
        <f>IF(H737="","",COUNTIFS($H$5:$H$1204,"&gt;"&amp;H737)+1)</f>
        <v>0</v>
      </c>
      <c r="R737" s="8">
        <f>IF(B737="","",SUMIFS(Pantry!$C$5:$C$304,Pantry!$A$5:$A$304,B737))</f>
        <v>0</v>
      </c>
      <c r="S737" s="8">
        <f>IF(OR(B737="",C737=""),"",MAX(0,C737-R737))</f>
        <v>0</v>
      </c>
      <c r="T737" s="26"/>
      <c r="U737" s="8">
        <f>IF(OR(T737="",T737=0,G737=""),"",T737*G737)</f>
        <v>0</v>
      </c>
      <c r="V737" s="8">
        <f>IF(OR(S737="",T737="",T737=0),"",CEILING(S737/T737,1))</f>
        <v>0</v>
      </c>
      <c r="W737" s="27"/>
      <c r="X737" s="29"/>
      <c r="Y737" s="8">
        <f>IF(OR(C737="",X737=""),"",C737*(1+X737))</f>
        <v>0</v>
      </c>
      <c r="Z737" s="8">
        <f>IF(B737="","",IFERROR(INDEX(Ingredients!$O$5:$O$304,MATCH(B737,Ingredients!$A$5:$A$304,0)),""))</f>
        <v>0</v>
      </c>
      <c r="AA737" s="8">
        <f>IF(B737="","",IF(R737&gt;=C737,"In pantry","To buy"))</f>
        <v>0</v>
      </c>
      <c r="AB737" s="8">
        <f>IF(A737="","",COUNTIFS($A$5:A737,A737))</f>
        <v>0</v>
      </c>
      <c r="AC737" s="8">
        <f>IF(B737="","",IF(COUNTIFS('Dietary Filters'!$C$5:$C$104,B737)&gt;0,"Check","OK"))</f>
        <v>0</v>
      </c>
      <c r="AD737" s="25"/>
    </row>
    <row r="738" spans="1:30">
      <c r="A738" s="7"/>
      <c r="B738" s="7"/>
      <c r="C738" s="26"/>
      <c r="D738" s="27"/>
      <c r="E738" s="8">
        <f>IF(B738="","",IFERROR(INDEX(Ingredients!$B$5:$B$304,MATCH(B738,Ingredients!$A$5:$A$304,0)),""))</f>
        <v>0</v>
      </c>
      <c r="F738" s="8">
        <f>IF(B738="","",IFERROR(INDEX(Ingredients!$E$5:$E$304,MATCH(B738,Ingredients!$A$5:$A$304,0)),""))</f>
        <v>0</v>
      </c>
      <c r="G738" s="8">
        <f>IF(B738="","",IFERROR(INDEX(Ingredients!$D$5:$D$304,MATCH(B738,Ingredients!$A$5:$A$304,0)),""))</f>
        <v>0</v>
      </c>
      <c r="H738" s="8">
        <f>IF(OR(B738="",C738=""),"",IFERROR(C738*G738,""))</f>
        <v>0</v>
      </c>
      <c r="I738" s="8">
        <f>IF(A738="","",IFERROR(INDEX(Recipes!$D$5:$D$204,MATCH(A738,Recipes!$A$5:$A$204,0)),""))</f>
        <v>0</v>
      </c>
      <c r="J738" s="8">
        <f>IF(OR(H738="",I738="",I738=0),"",IFERROR(H738/I738,""))</f>
        <v>0</v>
      </c>
      <c r="K738" s="8">
        <f>IF(OR(B738="",C738=""),"",IFERROR(C738*IFERROR(INDEX(Ingredients!$H$5:$H$304,MATCH(B738,Ingredients!$A$5:$A$304,0)),""),""))</f>
        <v>0</v>
      </c>
      <c r="L738" s="8">
        <f>IF(OR(B738="",C738=""),"",IFERROR(C738*IFERROR(INDEX(Ingredients!$I$5:$I$304,MATCH(B738,Ingredients!$A$5:$A$304,0)),""),""))</f>
        <v>0</v>
      </c>
      <c r="M738" s="8">
        <f>IF(OR(B738="",C738=""),"",IFERROR(C738*IFERROR(INDEX(Ingredients!$J$5:$J$304,MATCH(B738,Ingredients!$A$5:$A$304,0)),""),""))</f>
        <v>0</v>
      </c>
      <c r="N738" s="8">
        <f>IF(OR(B738="",C738=""),"",IFERROR(C738*IFERROR(INDEX(Ingredients!$K$5:$K$304,MATCH(B738,Ingredients!$A$5:$A$304,0)),""),""))</f>
        <v>0</v>
      </c>
      <c r="O738" s="8">
        <f>IF(OR(B738="",C738=""),"",IFERROR(C738*IFERROR(INDEX(Ingredients!$L$5:$L$304,MATCH(B738,Ingredients!$A$5:$A$304,0)),""),""))</f>
        <v>0</v>
      </c>
      <c r="P738" s="8">
        <f>IF(OR(H738="",A738=""),"",IFERROR(H738/SUMIFS('Recipe Ingredients'!$H$5:$H$1204,'Recipe Ingredients'!$A$5:$A$1204,A738),""))</f>
        <v>0</v>
      </c>
      <c r="Q738" s="8">
        <f>IF(H738="","",COUNTIFS($H$5:$H$1204,"&gt;"&amp;H738)+1)</f>
        <v>0</v>
      </c>
      <c r="R738" s="8">
        <f>IF(B738="","",SUMIFS(Pantry!$C$5:$C$304,Pantry!$A$5:$A$304,B738))</f>
        <v>0</v>
      </c>
      <c r="S738" s="8">
        <f>IF(OR(B738="",C738=""),"",MAX(0,C738-R738))</f>
        <v>0</v>
      </c>
      <c r="T738" s="26"/>
      <c r="U738" s="8">
        <f>IF(OR(T738="",T738=0,G738=""),"",T738*G738)</f>
        <v>0</v>
      </c>
      <c r="V738" s="8">
        <f>IF(OR(S738="",T738="",T738=0),"",CEILING(S738/T738,1))</f>
        <v>0</v>
      </c>
      <c r="W738" s="27"/>
      <c r="X738" s="29"/>
      <c r="Y738" s="8">
        <f>IF(OR(C738="",X738=""),"",C738*(1+X738))</f>
        <v>0</v>
      </c>
      <c r="Z738" s="8">
        <f>IF(B738="","",IFERROR(INDEX(Ingredients!$O$5:$O$304,MATCH(B738,Ingredients!$A$5:$A$304,0)),""))</f>
        <v>0</v>
      </c>
      <c r="AA738" s="8">
        <f>IF(B738="","",IF(R738&gt;=C738,"In pantry","To buy"))</f>
        <v>0</v>
      </c>
      <c r="AB738" s="8">
        <f>IF(A738="","",COUNTIFS($A$5:A738,A738))</f>
        <v>0</v>
      </c>
      <c r="AC738" s="8">
        <f>IF(B738="","",IF(COUNTIFS('Dietary Filters'!$C$5:$C$104,B738)&gt;0,"Check","OK"))</f>
        <v>0</v>
      </c>
      <c r="AD738" s="25"/>
    </row>
    <row r="739" spans="1:30">
      <c r="A739" s="7"/>
      <c r="B739" s="7"/>
      <c r="C739" s="26"/>
      <c r="D739" s="27"/>
      <c r="E739" s="8">
        <f>IF(B739="","",IFERROR(INDEX(Ingredients!$B$5:$B$304,MATCH(B739,Ingredients!$A$5:$A$304,0)),""))</f>
        <v>0</v>
      </c>
      <c r="F739" s="8">
        <f>IF(B739="","",IFERROR(INDEX(Ingredients!$E$5:$E$304,MATCH(B739,Ingredients!$A$5:$A$304,0)),""))</f>
        <v>0</v>
      </c>
      <c r="G739" s="8">
        <f>IF(B739="","",IFERROR(INDEX(Ingredients!$D$5:$D$304,MATCH(B739,Ingredients!$A$5:$A$304,0)),""))</f>
        <v>0</v>
      </c>
      <c r="H739" s="8">
        <f>IF(OR(B739="",C739=""),"",IFERROR(C739*G739,""))</f>
        <v>0</v>
      </c>
      <c r="I739" s="8">
        <f>IF(A739="","",IFERROR(INDEX(Recipes!$D$5:$D$204,MATCH(A739,Recipes!$A$5:$A$204,0)),""))</f>
        <v>0</v>
      </c>
      <c r="J739" s="8">
        <f>IF(OR(H739="",I739="",I739=0),"",IFERROR(H739/I739,""))</f>
        <v>0</v>
      </c>
      <c r="K739" s="8">
        <f>IF(OR(B739="",C739=""),"",IFERROR(C739*IFERROR(INDEX(Ingredients!$H$5:$H$304,MATCH(B739,Ingredients!$A$5:$A$304,0)),""),""))</f>
        <v>0</v>
      </c>
      <c r="L739" s="8">
        <f>IF(OR(B739="",C739=""),"",IFERROR(C739*IFERROR(INDEX(Ingredients!$I$5:$I$304,MATCH(B739,Ingredients!$A$5:$A$304,0)),""),""))</f>
        <v>0</v>
      </c>
      <c r="M739" s="8">
        <f>IF(OR(B739="",C739=""),"",IFERROR(C739*IFERROR(INDEX(Ingredients!$J$5:$J$304,MATCH(B739,Ingredients!$A$5:$A$304,0)),""),""))</f>
        <v>0</v>
      </c>
      <c r="N739" s="8">
        <f>IF(OR(B739="",C739=""),"",IFERROR(C739*IFERROR(INDEX(Ingredients!$K$5:$K$304,MATCH(B739,Ingredients!$A$5:$A$304,0)),""),""))</f>
        <v>0</v>
      </c>
      <c r="O739" s="8">
        <f>IF(OR(B739="",C739=""),"",IFERROR(C739*IFERROR(INDEX(Ingredients!$L$5:$L$304,MATCH(B739,Ingredients!$A$5:$A$304,0)),""),""))</f>
        <v>0</v>
      </c>
      <c r="P739" s="8">
        <f>IF(OR(H739="",A739=""),"",IFERROR(H739/SUMIFS('Recipe Ingredients'!$H$5:$H$1204,'Recipe Ingredients'!$A$5:$A$1204,A739),""))</f>
        <v>0</v>
      </c>
      <c r="Q739" s="8">
        <f>IF(H739="","",COUNTIFS($H$5:$H$1204,"&gt;"&amp;H739)+1)</f>
        <v>0</v>
      </c>
      <c r="R739" s="8">
        <f>IF(B739="","",SUMIFS(Pantry!$C$5:$C$304,Pantry!$A$5:$A$304,B739))</f>
        <v>0</v>
      </c>
      <c r="S739" s="8">
        <f>IF(OR(B739="",C739=""),"",MAX(0,C739-R739))</f>
        <v>0</v>
      </c>
      <c r="T739" s="26"/>
      <c r="U739" s="8">
        <f>IF(OR(T739="",T739=0,G739=""),"",T739*G739)</f>
        <v>0</v>
      </c>
      <c r="V739" s="8">
        <f>IF(OR(S739="",T739="",T739=0),"",CEILING(S739/T739,1))</f>
        <v>0</v>
      </c>
      <c r="W739" s="27"/>
      <c r="X739" s="29"/>
      <c r="Y739" s="8">
        <f>IF(OR(C739="",X739=""),"",C739*(1+X739))</f>
        <v>0</v>
      </c>
      <c r="Z739" s="8">
        <f>IF(B739="","",IFERROR(INDEX(Ingredients!$O$5:$O$304,MATCH(B739,Ingredients!$A$5:$A$304,0)),""))</f>
        <v>0</v>
      </c>
      <c r="AA739" s="8">
        <f>IF(B739="","",IF(R739&gt;=C739,"In pantry","To buy"))</f>
        <v>0</v>
      </c>
      <c r="AB739" s="8">
        <f>IF(A739="","",COUNTIFS($A$5:A739,A739))</f>
        <v>0</v>
      </c>
      <c r="AC739" s="8">
        <f>IF(B739="","",IF(COUNTIFS('Dietary Filters'!$C$5:$C$104,B739)&gt;0,"Check","OK"))</f>
        <v>0</v>
      </c>
      <c r="AD739" s="25"/>
    </row>
    <row r="740" spans="1:30">
      <c r="A740" s="7"/>
      <c r="B740" s="7"/>
      <c r="C740" s="26"/>
      <c r="D740" s="27"/>
      <c r="E740" s="8">
        <f>IF(B740="","",IFERROR(INDEX(Ingredients!$B$5:$B$304,MATCH(B740,Ingredients!$A$5:$A$304,0)),""))</f>
        <v>0</v>
      </c>
      <c r="F740" s="8">
        <f>IF(B740="","",IFERROR(INDEX(Ingredients!$E$5:$E$304,MATCH(B740,Ingredients!$A$5:$A$304,0)),""))</f>
        <v>0</v>
      </c>
      <c r="G740" s="8">
        <f>IF(B740="","",IFERROR(INDEX(Ingredients!$D$5:$D$304,MATCH(B740,Ingredients!$A$5:$A$304,0)),""))</f>
        <v>0</v>
      </c>
      <c r="H740" s="8">
        <f>IF(OR(B740="",C740=""),"",IFERROR(C740*G740,""))</f>
        <v>0</v>
      </c>
      <c r="I740" s="8">
        <f>IF(A740="","",IFERROR(INDEX(Recipes!$D$5:$D$204,MATCH(A740,Recipes!$A$5:$A$204,0)),""))</f>
        <v>0</v>
      </c>
      <c r="J740" s="8">
        <f>IF(OR(H740="",I740="",I740=0),"",IFERROR(H740/I740,""))</f>
        <v>0</v>
      </c>
      <c r="K740" s="8">
        <f>IF(OR(B740="",C740=""),"",IFERROR(C740*IFERROR(INDEX(Ingredients!$H$5:$H$304,MATCH(B740,Ingredients!$A$5:$A$304,0)),""),""))</f>
        <v>0</v>
      </c>
      <c r="L740" s="8">
        <f>IF(OR(B740="",C740=""),"",IFERROR(C740*IFERROR(INDEX(Ingredients!$I$5:$I$304,MATCH(B740,Ingredients!$A$5:$A$304,0)),""),""))</f>
        <v>0</v>
      </c>
      <c r="M740" s="8">
        <f>IF(OR(B740="",C740=""),"",IFERROR(C740*IFERROR(INDEX(Ingredients!$J$5:$J$304,MATCH(B740,Ingredients!$A$5:$A$304,0)),""),""))</f>
        <v>0</v>
      </c>
      <c r="N740" s="8">
        <f>IF(OR(B740="",C740=""),"",IFERROR(C740*IFERROR(INDEX(Ingredients!$K$5:$K$304,MATCH(B740,Ingredients!$A$5:$A$304,0)),""),""))</f>
        <v>0</v>
      </c>
      <c r="O740" s="8">
        <f>IF(OR(B740="",C740=""),"",IFERROR(C740*IFERROR(INDEX(Ingredients!$L$5:$L$304,MATCH(B740,Ingredients!$A$5:$A$304,0)),""),""))</f>
        <v>0</v>
      </c>
      <c r="P740" s="8">
        <f>IF(OR(H740="",A740=""),"",IFERROR(H740/SUMIFS('Recipe Ingredients'!$H$5:$H$1204,'Recipe Ingredients'!$A$5:$A$1204,A740),""))</f>
        <v>0</v>
      </c>
      <c r="Q740" s="8">
        <f>IF(H740="","",COUNTIFS($H$5:$H$1204,"&gt;"&amp;H740)+1)</f>
        <v>0</v>
      </c>
      <c r="R740" s="8">
        <f>IF(B740="","",SUMIFS(Pantry!$C$5:$C$304,Pantry!$A$5:$A$304,B740))</f>
        <v>0</v>
      </c>
      <c r="S740" s="8">
        <f>IF(OR(B740="",C740=""),"",MAX(0,C740-R740))</f>
        <v>0</v>
      </c>
      <c r="T740" s="26"/>
      <c r="U740" s="8">
        <f>IF(OR(T740="",T740=0,G740=""),"",T740*G740)</f>
        <v>0</v>
      </c>
      <c r="V740" s="8">
        <f>IF(OR(S740="",T740="",T740=0),"",CEILING(S740/T740,1))</f>
        <v>0</v>
      </c>
      <c r="W740" s="27"/>
      <c r="X740" s="29"/>
      <c r="Y740" s="8">
        <f>IF(OR(C740="",X740=""),"",C740*(1+X740))</f>
        <v>0</v>
      </c>
      <c r="Z740" s="8">
        <f>IF(B740="","",IFERROR(INDEX(Ingredients!$O$5:$O$304,MATCH(B740,Ingredients!$A$5:$A$304,0)),""))</f>
        <v>0</v>
      </c>
      <c r="AA740" s="8">
        <f>IF(B740="","",IF(R740&gt;=C740,"In pantry","To buy"))</f>
        <v>0</v>
      </c>
      <c r="AB740" s="8">
        <f>IF(A740="","",COUNTIFS($A$5:A740,A740))</f>
        <v>0</v>
      </c>
      <c r="AC740" s="8">
        <f>IF(B740="","",IF(COUNTIFS('Dietary Filters'!$C$5:$C$104,B740)&gt;0,"Check","OK"))</f>
        <v>0</v>
      </c>
      <c r="AD740" s="25"/>
    </row>
    <row r="741" spans="1:30">
      <c r="A741" s="7"/>
      <c r="B741" s="7"/>
      <c r="C741" s="26"/>
      <c r="D741" s="27"/>
      <c r="E741" s="8">
        <f>IF(B741="","",IFERROR(INDEX(Ingredients!$B$5:$B$304,MATCH(B741,Ingredients!$A$5:$A$304,0)),""))</f>
        <v>0</v>
      </c>
      <c r="F741" s="8">
        <f>IF(B741="","",IFERROR(INDEX(Ingredients!$E$5:$E$304,MATCH(B741,Ingredients!$A$5:$A$304,0)),""))</f>
        <v>0</v>
      </c>
      <c r="G741" s="8">
        <f>IF(B741="","",IFERROR(INDEX(Ingredients!$D$5:$D$304,MATCH(B741,Ingredients!$A$5:$A$304,0)),""))</f>
        <v>0</v>
      </c>
      <c r="H741" s="8">
        <f>IF(OR(B741="",C741=""),"",IFERROR(C741*G741,""))</f>
        <v>0</v>
      </c>
      <c r="I741" s="8">
        <f>IF(A741="","",IFERROR(INDEX(Recipes!$D$5:$D$204,MATCH(A741,Recipes!$A$5:$A$204,0)),""))</f>
        <v>0</v>
      </c>
      <c r="J741" s="8">
        <f>IF(OR(H741="",I741="",I741=0),"",IFERROR(H741/I741,""))</f>
        <v>0</v>
      </c>
      <c r="K741" s="8">
        <f>IF(OR(B741="",C741=""),"",IFERROR(C741*IFERROR(INDEX(Ingredients!$H$5:$H$304,MATCH(B741,Ingredients!$A$5:$A$304,0)),""),""))</f>
        <v>0</v>
      </c>
      <c r="L741" s="8">
        <f>IF(OR(B741="",C741=""),"",IFERROR(C741*IFERROR(INDEX(Ingredients!$I$5:$I$304,MATCH(B741,Ingredients!$A$5:$A$304,0)),""),""))</f>
        <v>0</v>
      </c>
      <c r="M741" s="8">
        <f>IF(OR(B741="",C741=""),"",IFERROR(C741*IFERROR(INDEX(Ingredients!$J$5:$J$304,MATCH(B741,Ingredients!$A$5:$A$304,0)),""),""))</f>
        <v>0</v>
      </c>
      <c r="N741" s="8">
        <f>IF(OR(B741="",C741=""),"",IFERROR(C741*IFERROR(INDEX(Ingredients!$K$5:$K$304,MATCH(B741,Ingredients!$A$5:$A$304,0)),""),""))</f>
        <v>0</v>
      </c>
      <c r="O741" s="8">
        <f>IF(OR(B741="",C741=""),"",IFERROR(C741*IFERROR(INDEX(Ingredients!$L$5:$L$304,MATCH(B741,Ingredients!$A$5:$A$304,0)),""),""))</f>
        <v>0</v>
      </c>
      <c r="P741" s="8">
        <f>IF(OR(H741="",A741=""),"",IFERROR(H741/SUMIFS('Recipe Ingredients'!$H$5:$H$1204,'Recipe Ingredients'!$A$5:$A$1204,A741),""))</f>
        <v>0</v>
      </c>
      <c r="Q741" s="8">
        <f>IF(H741="","",COUNTIFS($H$5:$H$1204,"&gt;"&amp;H741)+1)</f>
        <v>0</v>
      </c>
      <c r="R741" s="8">
        <f>IF(B741="","",SUMIFS(Pantry!$C$5:$C$304,Pantry!$A$5:$A$304,B741))</f>
        <v>0</v>
      </c>
      <c r="S741" s="8">
        <f>IF(OR(B741="",C741=""),"",MAX(0,C741-R741))</f>
        <v>0</v>
      </c>
      <c r="T741" s="26"/>
      <c r="U741" s="8">
        <f>IF(OR(T741="",T741=0,G741=""),"",T741*G741)</f>
        <v>0</v>
      </c>
      <c r="V741" s="8">
        <f>IF(OR(S741="",T741="",T741=0),"",CEILING(S741/T741,1))</f>
        <v>0</v>
      </c>
      <c r="W741" s="27"/>
      <c r="X741" s="29"/>
      <c r="Y741" s="8">
        <f>IF(OR(C741="",X741=""),"",C741*(1+X741))</f>
        <v>0</v>
      </c>
      <c r="Z741" s="8">
        <f>IF(B741="","",IFERROR(INDEX(Ingredients!$O$5:$O$304,MATCH(B741,Ingredients!$A$5:$A$304,0)),""))</f>
        <v>0</v>
      </c>
      <c r="AA741" s="8">
        <f>IF(B741="","",IF(R741&gt;=C741,"In pantry","To buy"))</f>
        <v>0</v>
      </c>
      <c r="AB741" s="8">
        <f>IF(A741="","",COUNTIFS($A$5:A741,A741))</f>
        <v>0</v>
      </c>
      <c r="AC741" s="8">
        <f>IF(B741="","",IF(COUNTIFS('Dietary Filters'!$C$5:$C$104,B741)&gt;0,"Check","OK"))</f>
        <v>0</v>
      </c>
      <c r="AD741" s="25"/>
    </row>
    <row r="742" spans="1:30">
      <c r="A742" s="7"/>
      <c r="B742" s="7"/>
      <c r="C742" s="26"/>
      <c r="D742" s="27"/>
      <c r="E742" s="8">
        <f>IF(B742="","",IFERROR(INDEX(Ingredients!$B$5:$B$304,MATCH(B742,Ingredients!$A$5:$A$304,0)),""))</f>
        <v>0</v>
      </c>
      <c r="F742" s="8">
        <f>IF(B742="","",IFERROR(INDEX(Ingredients!$E$5:$E$304,MATCH(B742,Ingredients!$A$5:$A$304,0)),""))</f>
        <v>0</v>
      </c>
      <c r="G742" s="8">
        <f>IF(B742="","",IFERROR(INDEX(Ingredients!$D$5:$D$304,MATCH(B742,Ingredients!$A$5:$A$304,0)),""))</f>
        <v>0</v>
      </c>
      <c r="H742" s="8">
        <f>IF(OR(B742="",C742=""),"",IFERROR(C742*G742,""))</f>
        <v>0</v>
      </c>
      <c r="I742" s="8">
        <f>IF(A742="","",IFERROR(INDEX(Recipes!$D$5:$D$204,MATCH(A742,Recipes!$A$5:$A$204,0)),""))</f>
        <v>0</v>
      </c>
      <c r="J742" s="8">
        <f>IF(OR(H742="",I742="",I742=0),"",IFERROR(H742/I742,""))</f>
        <v>0</v>
      </c>
      <c r="K742" s="8">
        <f>IF(OR(B742="",C742=""),"",IFERROR(C742*IFERROR(INDEX(Ingredients!$H$5:$H$304,MATCH(B742,Ingredients!$A$5:$A$304,0)),""),""))</f>
        <v>0</v>
      </c>
      <c r="L742" s="8">
        <f>IF(OR(B742="",C742=""),"",IFERROR(C742*IFERROR(INDEX(Ingredients!$I$5:$I$304,MATCH(B742,Ingredients!$A$5:$A$304,0)),""),""))</f>
        <v>0</v>
      </c>
      <c r="M742" s="8">
        <f>IF(OR(B742="",C742=""),"",IFERROR(C742*IFERROR(INDEX(Ingredients!$J$5:$J$304,MATCH(B742,Ingredients!$A$5:$A$304,0)),""),""))</f>
        <v>0</v>
      </c>
      <c r="N742" s="8">
        <f>IF(OR(B742="",C742=""),"",IFERROR(C742*IFERROR(INDEX(Ingredients!$K$5:$K$304,MATCH(B742,Ingredients!$A$5:$A$304,0)),""),""))</f>
        <v>0</v>
      </c>
      <c r="O742" s="8">
        <f>IF(OR(B742="",C742=""),"",IFERROR(C742*IFERROR(INDEX(Ingredients!$L$5:$L$304,MATCH(B742,Ingredients!$A$5:$A$304,0)),""),""))</f>
        <v>0</v>
      </c>
      <c r="P742" s="8">
        <f>IF(OR(H742="",A742=""),"",IFERROR(H742/SUMIFS('Recipe Ingredients'!$H$5:$H$1204,'Recipe Ingredients'!$A$5:$A$1204,A742),""))</f>
        <v>0</v>
      </c>
      <c r="Q742" s="8">
        <f>IF(H742="","",COUNTIFS($H$5:$H$1204,"&gt;"&amp;H742)+1)</f>
        <v>0</v>
      </c>
      <c r="R742" s="8">
        <f>IF(B742="","",SUMIFS(Pantry!$C$5:$C$304,Pantry!$A$5:$A$304,B742))</f>
        <v>0</v>
      </c>
      <c r="S742" s="8">
        <f>IF(OR(B742="",C742=""),"",MAX(0,C742-R742))</f>
        <v>0</v>
      </c>
      <c r="T742" s="26"/>
      <c r="U742" s="8">
        <f>IF(OR(T742="",T742=0,G742=""),"",T742*G742)</f>
        <v>0</v>
      </c>
      <c r="V742" s="8">
        <f>IF(OR(S742="",T742="",T742=0),"",CEILING(S742/T742,1))</f>
        <v>0</v>
      </c>
      <c r="W742" s="27"/>
      <c r="X742" s="29"/>
      <c r="Y742" s="8">
        <f>IF(OR(C742="",X742=""),"",C742*(1+X742))</f>
        <v>0</v>
      </c>
      <c r="Z742" s="8">
        <f>IF(B742="","",IFERROR(INDEX(Ingredients!$O$5:$O$304,MATCH(B742,Ingredients!$A$5:$A$304,0)),""))</f>
        <v>0</v>
      </c>
      <c r="AA742" s="8">
        <f>IF(B742="","",IF(R742&gt;=C742,"In pantry","To buy"))</f>
        <v>0</v>
      </c>
      <c r="AB742" s="8">
        <f>IF(A742="","",COUNTIFS($A$5:A742,A742))</f>
        <v>0</v>
      </c>
      <c r="AC742" s="8">
        <f>IF(B742="","",IF(COUNTIFS('Dietary Filters'!$C$5:$C$104,B742)&gt;0,"Check","OK"))</f>
        <v>0</v>
      </c>
      <c r="AD742" s="25"/>
    </row>
    <row r="743" spans="1:30">
      <c r="A743" s="7"/>
      <c r="B743" s="7"/>
      <c r="C743" s="26"/>
      <c r="D743" s="27"/>
      <c r="E743" s="8">
        <f>IF(B743="","",IFERROR(INDEX(Ingredients!$B$5:$B$304,MATCH(B743,Ingredients!$A$5:$A$304,0)),""))</f>
        <v>0</v>
      </c>
      <c r="F743" s="8">
        <f>IF(B743="","",IFERROR(INDEX(Ingredients!$E$5:$E$304,MATCH(B743,Ingredients!$A$5:$A$304,0)),""))</f>
        <v>0</v>
      </c>
      <c r="G743" s="8">
        <f>IF(B743="","",IFERROR(INDEX(Ingredients!$D$5:$D$304,MATCH(B743,Ingredients!$A$5:$A$304,0)),""))</f>
        <v>0</v>
      </c>
      <c r="H743" s="8">
        <f>IF(OR(B743="",C743=""),"",IFERROR(C743*G743,""))</f>
        <v>0</v>
      </c>
      <c r="I743" s="8">
        <f>IF(A743="","",IFERROR(INDEX(Recipes!$D$5:$D$204,MATCH(A743,Recipes!$A$5:$A$204,0)),""))</f>
        <v>0</v>
      </c>
      <c r="J743" s="8">
        <f>IF(OR(H743="",I743="",I743=0),"",IFERROR(H743/I743,""))</f>
        <v>0</v>
      </c>
      <c r="K743" s="8">
        <f>IF(OR(B743="",C743=""),"",IFERROR(C743*IFERROR(INDEX(Ingredients!$H$5:$H$304,MATCH(B743,Ingredients!$A$5:$A$304,0)),""),""))</f>
        <v>0</v>
      </c>
      <c r="L743" s="8">
        <f>IF(OR(B743="",C743=""),"",IFERROR(C743*IFERROR(INDEX(Ingredients!$I$5:$I$304,MATCH(B743,Ingredients!$A$5:$A$304,0)),""),""))</f>
        <v>0</v>
      </c>
      <c r="M743" s="8">
        <f>IF(OR(B743="",C743=""),"",IFERROR(C743*IFERROR(INDEX(Ingredients!$J$5:$J$304,MATCH(B743,Ingredients!$A$5:$A$304,0)),""),""))</f>
        <v>0</v>
      </c>
      <c r="N743" s="8">
        <f>IF(OR(B743="",C743=""),"",IFERROR(C743*IFERROR(INDEX(Ingredients!$K$5:$K$304,MATCH(B743,Ingredients!$A$5:$A$304,0)),""),""))</f>
        <v>0</v>
      </c>
      <c r="O743" s="8">
        <f>IF(OR(B743="",C743=""),"",IFERROR(C743*IFERROR(INDEX(Ingredients!$L$5:$L$304,MATCH(B743,Ingredients!$A$5:$A$304,0)),""),""))</f>
        <v>0</v>
      </c>
      <c r="P743" s="8">
        <f>IF(OR(H743="",A743=""),"",IFERROR(H743/SUMIFS('Recipe Ingredients'!$H$5:$H$1204,'Recipe Ingredients'!$A$5:$A$1204,A743),""))</f>
        <v>0</v>
      </c>
      <c r="Q743" s="8">
        <f>IF(H743="","",COUNTIFS($H$5:$H$1204,"&gt;"&amp;H743)+1)</f>
        <v>0</v>
      </c>
      <c r="R743" s="8">
        <f>IF(B743="","",SUMIFS(Pantry!$C$5:$C$304,Pantry!$A$5:$A$304,B743))</f>
        <v>0</v>
      </c>
      <c r="S743" s="8">
        <f>IF(OR(B743="",C743=""),"",MAX(0,C743-R743))</f>
        <v>0</v>
      </c>
      <c r="T743" s="26"/>
      <c r="U743" s="8">
        <f>IF(OR(T743="",T743=0,G743=""),"",T743*G743)</f>
        <v>0</v>
      </c>
      <c r="V743" s="8">
        <f>IF(OR(S743="",T743="",T743=0),"",CEILING(S743/T743,1))</f>
        <v>0</v>
      </c>
      <c r="W743" s="27"/>
      <c r="X743" s="29"/>
      <c r="Y743" s="8">
        <f>IF(OR(C743="",X743=""),"",C743*(1+X743))</f>
        <v>0</v>
      </c>
      <c r="Z743" s="8">
        <f>IF(B743="","",IFERROR(INDEX(Ingredients!$O$5:$O$304,MATCH(B743,Ingredients!$A$5:$A$304,0)),""))</f>
        <v>0</v>
      </c>
      <c r="AA743" s="8">
        <f>IF(B743="","",IF(R743&gt;=C743,"In pantry","To buy"))</f>
        <v>0</v>
      </c>
      <c r="AB743" s="8">
        <f>IF(A743="","",COUNTIFS($A$5:A743,A743))</f>
        <v>0</v>
      </c>
      <c r="AC743" s="8">
        <f>IF(B743="","",IF(COUNTIFS('Dietary Filters'!$C$5:$C$104,B743)&gt;0,"Check","OK"))</f>
        <v>0</v>
      </c>
      <c r="AD743" s="25"/>
    </row>
    <row r="744" spans="1:30">
      <c r="A744" s="7"/>
      <c r="B744" s="7"/>
      <c r="C744" s="26"/>
      <c r="D744" s="27"/>
      <c r="E744" s="8">
        <f>IF(B744="","",IFERROR(INDEX(Ingredients!$B$5:$B$304,MATCH(B744,Ingredients!$A$5:$A$304,0)),""))</f>
        <v>0</v>
      </c>
      <c r="F744" s="8">
        <f>IF(B744="","",IFERROR(INDEX(Ingredients!$E$5:$E$304,MATCH(B744,Ingredients!$A$5:$A$304,0)),""))</f>
        <v>0</v>
      </c>
      <c r="G744" s="8">
        <f>IF(B744="","",IFERROR(INDEX(Ingredients!$D$5:$D$304,MATCH(B744,Ingredients!$A$5:$A$304,0)),""))</f>
        <v>0</v>
      </c>
      <c r="H744" s="8">
        <f>IF(OR(B744="",C744=""),"",IFERROR(C744*G744,""))</f>
        <v>0</v>
      </c>
      <c r="I744" s="8">
        <f>IF(A744="","",IFERROR(INDEX(Recipes!$D$5:$D$204,MATCH(A744,Recipes!$A$5:$A$204,0)),""))</f>
        <v>0</v>
      </c>
      <c r="J744" s="8">
        <f>IF(OR(H744="",I744="",I744=0),"",IFERROR(H744/I744,""))</f>
        <v>0</v>
      </c>
      <c r="K744" s="8">
        <f>IF(OR(B744="",C744=""),"",IFERROR(C744*IFERROR(INDEX(Ingredients!$H$5:$H$304,MATCH(B744,Ingredients!$A$5:$A$304,0)),""),""))</f>
        <v>0</v>
      </c>
      <c r="L744" s="8">
        <f>IF(OR(B744="",C744=""),"",IFERROR(C744*IFERROR(INDEX(Ingredients!$I$5:$I$304,MATCH(B744,Ingredients!$A$5:$A$304,0)),""),""))</f>
        <v>0</v>
      </c>
      <c r="M744" s="8">
        <f>IF(OR(B744="",C744=""),"",IFERROR(C744*IFERROR(INDEX(Ingredients!$J$5:$J$304,MATCH(B744,Ingredients!$A$5:$A$304,0)),""),""))</f>
        <v>0</v>
      </c>
      <c r="N744" s="8">
        <f>IF(OR(B744="",C744=""),"",IFERROR(C744*IFERROR(INDEX(Ingredients!$K$5:$K$304,MATCH(B744,Ingredients!$A$5:$A$304,0)),""),""))</f>
        <v>0</v>
      </c>
      <c r="O744" s="8">
        <f>IF(OR(B744="",C744=""),"",IFERROR(C744*IFERROR(INDEX(Ingredients!$L$5:$L$304,MATCH(B744,Ingredients!$A$5:$A$304,0)),""),""))</f>
        <v>0</v>
      </c>
      <c r="P744" s="8">
        <f>IF(OR(H744="",A744=""),"",IFERROR(H744/SUMIFS('Recipe Ingredients'!$H$5:$H$1204,'Recipe Ingredients'!$A$5:$A$1204,A744),""))</f>
        <v>0</v>
      </c>
      <c r="Q744" s="8">
        <f>IF(H744="","",COUNTIFS($H$5:$H$1204,"&gt;"&amp;H744)+1)</f>
        <v>0</v>
      </c>
      <c r="R744" s="8">
        <f>IF(B744="","",SUMIFS(Pantry!$C$5:$C$304,Pantry!$A$5:$A$304,B744))</f>
        <v>0</v>
      </c>
      <c r="S744" s="8">
        <f>IF(OR(B744="",C744=""),"",MAX(0,C744-R744))</f>
        <v>0</v>
      </c>
      <c r="T744" s="26"/>
      <c r="U744" s="8">
        <f>IF(OR(T744="",T744=0,G744=""),"",T744*G744)</f>
        <v>0</v>
      </c>
      <c r="V744" s="8">
        <f>IF(OR(S744="",T744="",T744=0),"",CEILING(S744/T744,1))</f>
        <v>0</v>
      </c>
      <c r="W744" s="27"/>
      <c r="X744" s="29"/>
      <c r="Y744" s="8">
        <f>IF(OR(C744="",X744=""),"",C744*(1+X744))</f>
        <v>0</v>
      </c>
      <c r="Z744" s="8">
        <f>IF(B744="","",IFERROR(INDEX(Ingredients!$O$5:$O$304,MATCH(B744,Ingredients!$A$5:$A$304,0)),""))</f>
        <v>0</v>
      </c>
      <c r="AA744" s="8">
        <f>IF(B744="","",IF(R744&gt;=C744,"In pantry","To buy"))</f>
        <v>0</v>
      </c>
      <c r="AB744" s="8">
        <f>IF(A744="","",COUNTIFS($A$5:A744,A744))</f>
        <v>0</v>
      </c>
      <c r="AC744" s="8">
        <f>IF(B744="","",IF(COUNTIFS('Dietary Filters'!$C$5:$C$104,B744)&gt;0,"Check","OK"))</f>
        <v>0</v>
      </c>
      <c r="AD744" s="25"/>
    </row>
    <row r="745" spans="1:30">
      <c r="A745" s="7"/>
      <c r="B745" s="7"/>
      <c r="C745" s="26"/>
      <c r="D745" s="27"/>
      <c r="E745" s="8">
        <f>IF(B745="","",IFERROR(INDEX(Ingredients!$B$5:$B$304,MATCH(B745,Ingredients!$A$5:$A$304,0)),""))</f>
        <v>0</v>
      </c>
      <c r="F745" s="8">
        <f>IF(B745="","",IFERROR(INDEX(Ingredients!$E$5:$E$304,MATCH(B745,Ingredients!$A$5:$A$304,0)),""))</f>
        <v>0</v>
      </c>
      <c r="G745" s="8">
        <f>IF(B745="","",IFERROR(INDEX(Ingredients!$D$5:$D$304,MATCH(B745,Ingredients!$A$5:$A$304,0)),""))</f>
        <v>0</v>
      </c>
      <c r="H745" s="8">
        <f>IF(OR(B745="",C745=""),"",IFERROR(C745*G745,""))</f>
        <v>0</v>
      </c>
      <c r="I745" s="8">
        <f>IF(A745="","",IFERROR(INDEX(Recipes!$D$5:$D$204,MATCH(A745,Recipes!$A$5:$A$204,0)),""))</f>
        <v>0</v>
      </c>
      <c r="J745" s="8">
        <f>IF(OR(H745="",I745="",I745=0),"",IFERROR(H745/I745,""))</f>
        <v>0</v>
      </c>
      <c r="K745" s="8">
        <f>IF(OR(B745="",C745=""),"",IFERROR(C745*IFERROR(INDEX(Ingredients!$H$5:$H$304,MATCH(B745,Ingredients!$A$5:$A$304,0)),""),""))</f>
        <v>0</v>
      </c>
      <c r="L745" s="8">
        <f>IF(OR(B745="",C745=""),"",IFERROR(C745*IFERROR(INDEX(Ingredients!$I$5:$I$304,MATCH(B745,Ingredients!$A$5:$A$304,0)),""),""))</f>
        <v>0</v>
      </c>
      <c r="M745" s="8">
        <f>IF(OR(B745="",C745=""),"",IFERROR(C745*IFERROR(INDEX(Ingredients!$J$5:$J$304,MATCH(B745,Ingredients!$A$5:$A$304,0)),""),""))</f>
        <v>0</v>
      </c>
      <c r="N745" s="8">
        <f>IF(OR(B745="",C745=""),"",IFERROR(C745*IFERROR(INDEX(Ingredients!$K$5:$K$304,MATCH(B745,Ingredients!$A$5:$A$304,0)),""),""))</f>
        <v>0</v>
      </c>
      <c r="O745" s="8">
        <f>IF(OR(B745="",C745=""),"",IFERROR(C745*IFERROR(INDEX(Ingredients!$L$5:$L$304,MATCH(B745,Ingredients!$A$5:$A$304,0)),""),""))</f>
        <v>0</v>
      </c>
      <c r="P745" s="8">
        <f>IF(OR(H745="",A745=""),"",IFERROR(H745/SUMIFS('Recipe Ingredients'!$H$5:$H$1204,'Recipe Ingredients'!$A$5:$A$1204,A745),""))</f>
        <v>0</v>
      </c>
      <c r="Q745" s="8">
        <f>IF(H745="","",COUNTIFS($H$5:$H$1204,"&gt;"&amp;H745)+1)</f>
        <v>0</v>
      </c>
      <c r="R745" s="8">
        <f>IF(B745="","",SUMIFS(Pantry!$C$5:$C$304,Pantry!$A$5:$A$304,B745))</f>
        <v>0</v>
      </c>
      <c r="S745" s="8">
        <f>IF(OR(B745="",C745=""),"",MAX(0,C745-R745))</f>
        <v>0</v>
      </c>
      <c r="T745" s="26"/>
      <c r="U745" s="8">
        <f>IF(OR(T745="",T745=0,G745=""),"",T745*G745)</f>
        <v>0</v>
      </c>
      <c r="V745" s="8">
        <f>IF(OR(S745="",T745="",T745=0),"",CEILING(S745/T745,1))</f>
        <v>0</v>
      </c>
      <c r="W745" s="27"/>
      <c r="X745" s="29"/>
      <c r="Y745" s="8">
        <f>IF(OR(C745="",X745=""),"",C745*(1+X745))</f>
        <v>0</v>
      </c>
      <c r="Z745" s="8">
        <f>IF(B745="","",IFERROR(INDEX(Ingredients!$O$5:$O$304,MATCH(B745,Ingredients!$A$5:$A$304,0)),""))</f>
        <v>0</v>
      </c>
      <c r="AA745" s="8">
        <f>IF(B745="","",IF(R745&gt;=C745,"In pantry","To buy"))</f>
        <v>0</v>
      </c>
      <c r="AB745" s="8">
        <f>IF(A745="","",COUNTIFS($A$5:A745,A745))</f>
        <v>0</v>
      </c>
      <c r="AC745" s="8">
        <f>IF(B745="","",IF(COUNTIFS('Dietary Filters'!$C$5:$C$104,B745)&gt;0,"Check","OK"))</f>
        <v>0</v>
      </c>
      <c r="AD745" s="25"/>
    </row>
    <row r="746" spans="1:30">
      <c r="A746" s="7"/>
      <c r="B746" s="7"/>
      <c r="C746" s="26"/>
      <c r="D746" s="27"/>
      <c r="E746" s="8">
        <f>IF(B746="","",IFERROR(INDEX(Ingredients!$B$5:$B$304,MATCH(B746,Ingredients!$A$5:$A$304,0)),""))</f>
        <v>0</v>
      </c>
      <c r="F746" s="8">
        <f>IF(B746="","",IFERROR(INDEX(Ingredients!$E$5:$E$304,MATCH(B746,Ingredients!$A$5:$A$304,0)),""))</f>
        <v>0</v>
      </c>
      <c r="G746" s="8">
        <f>IF(B746="","",IFERROR(INDEX(Ingredients!$D$5:$D$304,MATCH(B746,Ingredients!$A$5:$A$304,0)),""))</f>
        <v>0</v>
      </c>
      <c r="H746" s="8">
        <f>IF(OR(B746="",C746=""),"",IFERROR(C746*G746,""))</f>
        <v>0</v>
      </c>
      <c r="I746" s="8">
        <f>IF(A746="","",IFERROR(INDEX(Recipes!$D$5:$D$204,MATCH(A746,Recipes!$A$5:$A$204,0)),""))</f>
        <v>0</v>
      </c>
      <c r="J746" s="8">
        <f>IF(OR(H746="",I746="",I746=0),"",IFERROR(H746/I746,""))</f>
        <v>0</v>
      </c>
      <c r="K746" s="8">
        <f>IF(OR(B746="",C746=""),"",IFERROR(C746*IFERROR(INDEX(Ingredients!$H$5:$H$304,MATCH(B746,Ingredients!$A$5:$A$304,0)),""),""))</f>
        <v>0</v>
      </c>
      <c r="L746" s="8">
        <f>IF(OR(B746="",C746=""),"",IFERROR(C746*IFERROR(INDEX(Ingredients!$I$5:$I$304,MATCH(B746,Ingredients!$A$5:$A$304,0)),""),""))</f>
        <v>0</v>
      </c>
      <c r="M746" s="8">
        <f>IF(OR(B746="",C746=""),"",IFERROR(C746*IFERROR(INDEX(Ingredients!$J$5:$J$304,MATCH(B746,Ingredients!$A$5:$A$304,0)),""),""))</f>
        <v>0</v>
      </c>
      <c r="N746" s="8">
        <f>IF(OR(B746="",C746=""),"",IFERROR(C746*IFERROR(INDEX(Ingredients!$K$5:$K$304,MATCH(B746,Ingredients!$A$5:$A$304,0)),""),""))</f>
        <v>0</v>
      </c>
      <c r="O746" s="8">
        <f>IF(OR(B746="",C746=""),"",IFERROR(C746*IFERROR(INDEX(Ingredients!$L$5:$L$304,MATCH(B746,Ingredients!$A$5:$A$304,0)),""),""))</f>
        <v>0</v>
      </c>
      <c r="P746" s="8">
        <f>IF(OR(H746="",A746=""),"",IFERROR(H746/SUMIFS('Recipe Ingredients'!$H$5:$H$1204,'Recipe Ingredients'!$A$5:$A$1204,A746),""))</f>
        <v>0</v>
      </c>
      <c r="Q746" s="8">
        <f>IF(H746="","",COUNTIFS($H$5:$H$1204,"&gt;"&amp;H746)+1)</f>
        <v>0</v>
      </c>
      <c r="R746" s="8">
        <f>IF(B746="","",SUMIFS(Pantry!$C$5:$C$304,Pantry!$A$5:$A$304,B746))</f>
        <v>0</v>
      </c>
      <c r="S746" s="8">
        <f>IF(OR(B746="",C746=""),"",MAX(0,C746-R746))</f>
        <v>0</v>
      </c>
      <c r="T746" s="26"/>
      <c r="U746" s="8">
        <f>IF(OR(T746="",T746=0,G746=""),"",T746*G746)</f>
        <v>0</v>
      </c>
      <c r="V746" s="8">
        <f>IF(OR(S746="",T746="",T746=0),"",CEILING(S746/T746,1))</f>
        <v>0</v>
      </c>
      <c r="W746" s="27"/>
      <c r="X746" s="29"/>
      <c r="Y746" s="8">
        <f>IF(OR(C746="",X746=""),"",C746*(1+X746))</f>
        <v>0</v>
      </c>
      <c r="Z746" s="8">
        <f>IF(B746="","",IFERROR(INDEX(Ingredients!$O$5:$O$304,MATCH(B746,Ingredients!$A$5:$A$304,0)),""))</f>
        <v>0</v>
      </c>
      <c r="AA746" s="8">
        <f>IF(B746="","",IF(R746&gt;=C746,"In pantry","To buy"))</f>
        <v>0</v>
      </c>
      <c r="AB746" s="8">
        <f>IF(A746="","",COUNTIFS($A$5:A746,A746))</f>
        <v>0</v>
      </c>
      <c r="AC746" s="8">
        <f>IF(B746="","",IF(COUNTIFS('Dietary Filters'!$C$5:$C$104,B746)&gt;0,"Check","OK"))</f>
        <v>0</v>
      </c>
      <c r="AD746" s="25"/>
    </row>
    <row r="747" spans="1:30">
      <c r="A747" s="7"/>
      <c r="B747" s="7"/>
      <c r="C747" s="26"/>
      <c r="D747" s="27"/>
      <c r="E747" s="8">
        <f>IF(B747="","",IFERROR(INDEX(Ingredients!$B$5:$B$304,MATCH(B747,Ingredients!$A$5:$A$304,0)),""))</f>
        <v>0</v>
      </c>
      <c r="F747" s="8">
        <f>IF(B747="","",IFERROR(INDEX(Ingredients!$E$5:$E$304,MATCH(B747,Ingredients!$A$5:$A$304,0)),""))</f>
        <v>0</v>
      </c>
      <c r="G747" s="8">
        <f>IF(B747="","",IFERROR(INDEX(Ingredients!$D$5:$D$304,MATCH(B747,Ingredients!$A$5:$A$304,0)),""))</f>
        <v>0</v>
      </c>
      <c r="H747" s="8">
        <f>IF(OR(B747="",C747=""),"",IFERROR(C747*G747,""))</f>
        <v>0</v>
      </c>
      <c r="I747" s="8">
        <f>IF(A747="","",IFERROR(INDEX(Recipes!$D$5:$D$204,MATCH(A747,Recipes!$A$5:$A$204,0)),""))</f>
        <v>0</v>
      </c>
      <c r="J747" s="8">
        <f>IF(OR(H747="",I747="",I747=0),"",IFERROR(H747/I747,""))</f>
        <v>0</v>
      </c>
      <c r="K747" s="8">
        <f>IF(OR(B747="",C747=""),"",IFERROR(C747*IFERROR(INDEX(Ingredients!$H$5:$H$304,MATCH(B747,Ingredients!$A$5:$A$304,0)),""),""))</f>
        <v>0</v>
      </c>
      <c r="L747" s="8">
        <f>IF(OR(B747="",C747=""),"",IFERROR(C747*IFERROR(INDEX(Ingredients!$I$5:$I$304,MATCH(B747,Ingredients!$A$5:$A$304,0)),""),""))</f>
        <v>0</v>
      </c>
      <c r="M747" s="8">
        <f>IF(OR(B747="",C747=""),"",IFERROR(C747*IFERROR(INDEX(Ingredients!$J$5:$J$304,MATCH(B747,Ingredients!$A$5:$A$304,0)),""),""))</f>
        <v>0</v>
      </c>
      <c r="N747" s="8">
        <f>IF(OR(B747="",C747=""),"",IFERROR(C747*IFERROR(INDEX(Ingredients!$K$5:$K$304,MATCH(B747,Ingredients!$A$5:$A$304,0)),""),""))</f>
        <v>0</v>
      </c>
      <c r="O747" s="8">
        <f>IF(OR(B747="",C747=""),"",IFERROR(C747*IFERROR(INDEX(Ingredients!$L$5:$L$304,MATCH(B747,Ingredients!$A$5:$A$304,0)),""),""))</f>
        <v>0</v>
      </c>
      <c r="P747" s="8">
        <f>IF(OR(H747="",A747=""),"",IFERROR(H747/SUMIFS('Recipe Ingredients'!$H$5:$H$1204,'Recipe Ingredients'!$A$5:$A$1204,A747),""))</f>
        <v>0</v>
      </c>
      <c r="Q747" s="8">
        <f>IF(H747="","",COUNTIFS($H$5:$H$1204,"&gt;"&amp;H747)+1)</f>
        <v>0</v>
      </c>
      <c r="R747" s="8">
        <f>IF(B747="","",SUMIFS(Pantry!$C$5:$C$304,Pantry!$A$5:$A$304,B747))</f>
        <v>0</v>
      </c>
      <c r="S747" s="8">
        <f>IF(OR(B747="",C747=""),"",MAX(0,C747-R747))</f>
        <v>0</v>
      </c>
      <c r="T747" s="26"/>
      <c r="U747" s="8">
        <f>IF(OR(T747="",T747=0,G747=""),"",T747*G747)</f>
        <v>0</v>
      </c>
      <c r="V747" s="8">
        <f>IF(OR(S747="",T747="",T747=0),"",CEILING(S747/T747,1))</f>
        <v>0</v>
      </c>
      <c r="W747" s="27"/>
      <c r="X747" s="29"/>
      <c r="Y747" s="8">
        <f>IF(OR(C747="",X747=""),"",C747*(1+X747))</f>
        <v>0</v>
      </c>
      <c r="Z747" s="8">
        <f>IF(B747="","",IFERROR(INDEX(Ingredients!$O$5:$O$304,MATCH(B747,Ingredients!$A$5:$A$304,0)),""))</f>
        <v>0</v>
      </c>
      <c r="AA747" s="8">
        <f>IF(B747="","",IF(R747&gt;=C747,"In pantry","To buy"))</f>
        <v>0</v>
      </c>
      <c r="AB747" s="8">
        <f>IF(A747="","",COUNTIFS($A$5:A747,A747))</f>
        <v>0</v>
      </c>
      <c r="AC747" s="8">
        <f>IF(B747="","",IF(COUNTIFS('Dietary Filters'!$C$5:$C$104,B747)&gt;0,"Check","OK"))</f>
        <v>0</v>
      </c>
      <c r="AD747" s="25"/>
    </row>
    <row r="748" spans="1:30">
      <c r="A748" s="7"/>
      <c r="B748" s="7"/>
      <c r="C748" s="26"/>
      <c r="D748" s="27"/>
      <c r="E748" s="8">
        <f>IF(B748="","",IFERROR(INDEX(Ingredients!$B$5:$B$304,MATCH(B748,Ingredients!$A$5:$A$304,0)),""))</f>
        <v>0</v>
      </c>
      <c r="F748" s="8">
        <f>IF(B748="","",IFERROR(INDEX(Ingredients!$E$5:$E$304,MATCH(B748,Ingredients!$A$5:$A$304,0)),""))</f>
        <v>0</v>
      </c>
      <c r="G748" s="8">
        <f>IF(B748="","",IFERROR(INDEX(Ingredients!$D$5:$D$304,MATCH(B748,Ingredients!$A$5:$A$304,0)),""))</f>
        <v>0</v>
      </c>
      <c r="H748" s="8">
        <f>IF(OR(B748="",C748=""),"",IFERROR(C748*G748,""))</f>
        <v>0</v>
      </c>
      <c r="I748" s="8">
        <f>IF(A748="","",IFERROR(INDEX(Recipes!$D$5:$D$204,MATCH(A748,Recipes!$A$5:$A$204,0)),""))</f>
        <v>0</v>
      </c>
      <c r="J748" s="8">
        <f>IF(OR(H748="",I748="",I748=0),"",IFERROR(H748/I748,""))</f>
        <v>0</v>
      </c>
      <c r="K748" s="8">
        <f>IF(OR(B748="",C748=""),"",IFERROR(C748*IFERROR(INDEX(Ingredients!$H$5:$H$304,MATCH(B748,Ingredients!$A$5:$A$304,0)),""),""))</f>
        <v>0</v>
      </c>
      <c r="L748" s="8">
        <f>IF(OR(B748="",C748=""),"",IFERROR(C748*IFERROR(INDEX(Ingredients!$I$5:$I$304,MATCH(B748,Ingredients!$A$5:$A$304,0)),""),""))</f>
        <v>0</v>
      </c>
      <c r="M748" s="8">
        <f>IF(OR(B748="",C748=""),"",IFERROR(C748*IFERROR(INDEX(Ingredients!$J$5:$J$304,MATCH(B748,Ingredients!$A$5:$A$304,0)),""),""))</f>
        <v>0</v>
      </c>
      <c r="N748" s="8">
        <f>IF(OR(B748="",C748=""),"",IFERROR(C748*IFERROR(INDEX(Ingredients!$K$5:$K$304,MATCH(B748,Ingredients!$A$5:$A$304,0)),""),""))</f>
        <v>0</v>
      </c>
      <c r="O748" s="8">
        <f>IF(OR(B748="",C748=""),"",IFERROR(C748*IFERROR(INDEX(Ingredients!$L$5:$L$304,MATCH(B748,Ingredients!$A$5:$A$304,0)),""),""))</f>
        <v>0</v>
      </c>
      <c r="P748" s="8">
        <f>IF(OR(H748="",A748=""),"",IFERROR(H748/SUMIFS('Recipe Ingredients'!$H$5:$H$1204,'Recipe Ingredients'!$A$5:$A$1204,A748),""))</f>
        <v>0</v>
      </c>
      <c r="Q748" s="8">
        <f>IF(H748="","",COUNTIFS($H$5:$H$1204,"&gt;"&amp;H748)+1)</f>
        <v>0</v>
      </c>
      <c r="R748" s="8">
        <f>IF(B748="","",SUMIFS(Pantry!$C$5:$C$304,Pantry!$A$5:$A$304,B748))</f>
        <v>0</v>
      </c>
      <c r="S748" s="8">
        <f>IF(OR(B748="",C748=""),"",MAX(0,C748-R748))</f>
        <v>0</v>
      </c>
      <c r="T748" s="26"/>
      <c r="U748" s="8">
        <f>IF(OR(T748="",T748=0,G748=""),"",T748*G748)</f>
        <v>0</v>
      </c>
      <c r="V748" s="8">
        <f>IF(OR(S748="",T748="",T748=0),"",CEILING(S748/T748,1))</f>
        <v>0</v>
      </c>
      <c r="W748" s="27"/>
      <c r="X748" s="29"/>
      <c r="Y748" s="8">
        <f>IF(OR(C748="",X748=""),"",C748*(1+X748))</f>
        <v>0</v>
      </c>
      <c r="Z748" s="8">
        <f>IF(B748="","",IFERROR(INDEX(Ingredients!$O$5:$O$304,MATCH(B748,Ingredients!$A$5:$A$304,0)),""))</f>
        <v>0</v>
      </c>
      <c r="AA748" s="8">
        <f>IF(B748="","",IF(R748&gt;=C748,"In pantry","To buy"))</f>
        <v>0</v>
      </c>
      <c r="AB748" s="8">
        <f>IF(A748="","",COUNTIFS($A$5:A748,A748))</f>
        <v>0</v>
      </c>
      <c r="AC748" s="8">
        <f>IF(B748="","",IF(COUNTIFS('Dietary Filters'!$C$5:$C$104,B748)&gt;0,"Check","OK"))</f>
        <v>0</v>
      </c>
      <c r="AD748" s="25"/>
    </row>
    <row r="749" spans="1:30">
      <c r="A749" s="7"/>
      <c r="B749" s="7"/>
      <c r="C749" s="26"/>
      <c r="D749" s="27"/>
      <c r="E749" s="8">
        <f>IF(B749="","",IFERROR(INDEX(Ingredients!$B$5:$B$304,MATCH(B749,Ingredients!$A$5:$A$304,0)),""))</f>
        <v>0</v>
      </c>
      <c r="F749" s="8">
        <f>IF(B749="","",IFERROR(INDEX(Ingredients!$E$5:$E$304,MATCH(B749,Ingredients!$A$5:$A$304,0)),""))</f>
        <v>0</v>
      </c>
      <c r="G749" s="8">
        <f>IF(B749="","",IFERROR(INDEX(Ingredients!$D$5:$D$304,MATCH(B749,Ingredients!$A$5:$A$304,0)),""))</f>
        <v>0</v>
      </c>
      <c r="H749" s="8">
        <f>IF(OR(B749="",C749=""),"",IFERROR(C749*G749,""))</f>
        <v>0</v>
      </c>
      <c r="I749" s="8">
        <f>IF(A749="","",IFERROR(INDEX(Recipes!$D$5:$D$204,MATCH(A749,Recipes!$A$5:$A$204,0)),""))</f>
        <v>0</v>
      </c>
      <c r="J749" s="8">
        <f>IF(OR(H749="",I749="",I749=0),"",IFERROR(H749/I749,""))</f>
        <v>0</v>
      </c>
      <c r="K749" s="8">
        <f>IF(OR(B749="",C749=""),"",IFERROR(C749*IFERROR(INDEX(Ingredients!$H$5:$H$304,MATCH(B749,Ingredients!$A$5:$A$304,0)),""),""))</f>
        <v>0</v>
      </c>
      <c r="L749" s="8">
        <f>IF(OR(B749="",C749=""),"",IFERROR(C749*IFERROR(INDEX(Ingredients!$I$5:$I$304,MATCH(B749,Ingredients!$A$5:$A$304,0)),""),""))</f>
        <v>0</v>
      </c>
      <c r="M749" s="8">
        <f>IF(OR(B749="",C749=""),"",IFERROR(C749*IFERROR(INDEX(Ingredients!$J$5:$J$304,MATCH(B749,Ingredients!$A$5:$A$304,0)),""),""))</f>
        <v>0</v>
      </c>
      <c r="N749" s="8">
        <f>IF(OR(B749="",C749=""),"",IFERROR(C749*IFERROR(INDEX(Ingredients!$K$5:$K$304,MATCH(B749,Ingredients!$A$5:$A$304,0)),""),""))</f>
        <v>0</v>
      </c>
      <c r="O749" s="8">
        <f>IF(OR(B749="",C749=""),"",IFERROR(C749*IFERROR(INDEX(Ingredients!$L$5:$L$304,MATCH(B749,Ingredients!$A$5:$A$304,0)),""),""))</f>
        <v>0</v>
      </c>
      <c r="P749" s="8">
        <f>IF(OR(H749="",A749=""),"",IFERROR(H749/SUMIFS('Recipe Ingredients'!$H$5:$H$1204,'Recipe Ingredients'!$A$5:$A$1204,A749),""))</f>
        <v>0</v>
      </c>
      <c r="Q749" s="8">
        <f>IF(H749="","",COUNTIFS($H$5:$H$1204,"&gt;"&amp;H749)+1)</f>
        <v>0</v>
      </c>
      <c r="R749" s="8">
        <f>IF(B749="","",SUMIFS(Pantry!$C$5:$C$304,Pantry!$A$5:$A$304,B749))</f>
        <v>0</v>
      </c>
      <c r="S749" s="8">
        <f>IF(OR(B749="",C749=""),"",MAX(0,C749-R749))</f>
        <v>0</v>
      </c>
      <c r="T749" s="26"/>
      <c r="U749" s="8">
        <f>IF(OR(T749="",T749=0,G749=""),"",T749*G749)</f>
        <v>0</v>
      </c>
      <c r="V749" s="8">
        <f>IF(OR(S749="",T749="",T749=0),"",CEILING(S749/T749,1))</f>
        <v>0</v>
      </c>
      <c r="W749" s="27"/>
      <c r="X749" s="29"/>
      <c r="Y749" s="8">
        <f>IF(OR(C749="",X749=""),"",C749*(1+X749))</f>
        <v>0</v>
      </c>
      <c r="Z749" s="8">
        <f>IF(B749="","",IFERROR(INDEX(Ingredients!$O$5:$O$304,MATCH(B749,Ingredients!$A$5:$A$304,0)),""))</f>
        <v>0</v>
      </c>
      <c r="AA749" s="8">
        <f>IF(B749="","",IF(R749&gt;=C749,"In pantry","To buy"))</f>
        <v>0</v>
      </c>
      <c r="AB749" s="8">
        <f>IF(A749="","",COUNTIFS($A$5:A749,A749))</f>
        <v>0</v>
      </c>
      <c r="AC749" s="8">
        <f>IF(B749="","",IF(COUNTIFS('Dietary Filters'!$C$5:$C$104,B749)&gt;0,"Check","OK"))</f>
        <v>0</v>
      </c>
      <c r="AD749" s="25"/>
    </row>
    <row r="750" spans="1:30">
      <c r="A750" s="7"/>
      <c r="B750" s="7"/>
      <c r="C750" s="26"/>
      <c r="D750" s="27"/>
      <c r="E750" s="8">
        <f>IF(B750="","",IFERROR(INDEX(Ingredients!$B$5:$B$304,MATCH(B750,Ingredients!$A$5:$A$304,0)),""))</f>
        <v>0</v>
      </c>
      <c r="F750" s="8">
        <f>IF(B750="","",IFERROR(INDEX(Ingredients!$E$5:$E$304,MATCH(B750,Ingredients!$A$5:$A$304,0)),""))</f>
        <v>0</v>
      </c>
      <c r="G750" s="8">
        <f>IF(B750="","",IFERROR(INDEX(Ingredients!$D$5:$D$304,MATCH(B750,Ingredients!$A$5:$A$304,0)),""))</f>
        <v>0</v>
      </c>
      <c r="H750" s="8">
        <f>IF(OR(B750="",C750=""),"",IFERROR(C750*G750,""))</f>
        <v>0</v>
      </c>
      <c r="I750" s="8">
        <f>IF(A750="","",IFERROR(INDEX(Recipes!$D$5:$D$204,MATCH(A750,Recipes!$A$5:$A$204,0)),""))</f>
        <v>0</v>
      </c>
      <c r="J750" s="8">
        <f>IF(OR(H750="",I750="",I750=0),"",IFERROR(H750/I750,""))</f>
        <v>0</v>
      </c>
      <c r="K750" s="8">
        <f>IF(OR(B750="",C750=""),"",IFERROR(C750*IFERROR(INDEX(Ingredients!$H$5:$H$304,MATCH(B750,Ingredients!$A$5:$A$304,0)),""),""))</f>
        <v>0</v>
      </c>
      <c r="L750" s="8">
        <f>IF(OR(B750="",C750=""),"",IFERROR(C750*IFERROR(INDEX(Ingredients!$I$5:$I$304,MATCH(B750,Ingredients!$A$5:$A$304,0)),""),""))</f>
        <v>0</v>
      </c>
      <c r="M750" s="8">
        <f>IF(OR(B750="",C750=""),"",IFERROR(C750*IFERROR(INDEX(Ingredients!$J$5:$J$304,MATCH(B750,Ingredients!$A$5:$A$304,0)),""),""))</f>
        <v>0</v>
      </c>
      <c r="N750" s="8">
        <f>IF(OR(B750="",C750=""),"",IFERROR(C750*IFERROR(INDEX(Ingredients!$K$5:$K$304,MATCH(B750,Ingredients!$A$5:$A$304,0)),""),""))</f>
        <v>0</v>
      </c>
      <c r="O750" s="8">
        <f>IF(OR(B750="",C750=""),"",IFERROR(C750*IFERROR(INDEX(Ingredients!$L$5:$L$304,MATCH(B750,Ingredients!$A$5:$A$304,0)),""),""))</f>
        <v>0</v>
      </c>
      <c r="P750" s="8">
        <f>IF(OR(H750="",A750=""),"",IFERROR(H750/SUMIFS('Recipe Ingredients'!$H$5:$H$1204,'Recipe Ingredients'!$A$5:$A$1204,A750),""))</f>
        <v>0</v>
      </c>
      <c r="Q750" s="8">
        <f>IF(H750="","",COUNTIFS($H$5:$H$1204,"&gt;"&amp;H750)+1)</f>
        <v>0</v>
      </c>
      <c r="R750" s="8">
        <f>IF(B750="","",SUMIFS(Pantry!$C$5:$C$304,Pantry!$A$5:$A$304,B750))</f>
        <v>0</v>
      </c>
      <c r="S750" s="8">
        <f>IF(OR(B750="",C750=""),"",MAX(0,C750-R750))</f>
        <v>0</v>
      </c>
      <c r="T750" s="26"/>
      <c r="U750" s="8">
        <f>IF(OR(T750="",T750=0,G750=""),"",T750*G750)</f>
        <v>0</v>
      </c>
      <c r="V750" s="8">
        <f>IF(OR(S750="",T750="",T750=0),"",CEILING(S750/T750,1))</f>
        <v>0</v>
      </c>
      <c r="W750" s="27"/>
      <c r="X750" s="29"/>
      <c r="Y750" s="8">
        <f>IF(OR(C750="",X750=""),"",C750*(1+X750))</f>
        <v>0</v>
      </c>
      <c r="Z750" s="8">
        <f>IF(B750="","",IFERROR(INDEX(Ingredients!$O$5:$O$304,MATCH(B750,Ingredients!$A$5:$A$304,0)),""))</f>
        <v>0</v>
      </c>
      <c r="AA750" s="8">
        <f>IF(B750="","",IF(R750&gt;=C750,"In pantry","To buy"))</f>
        <v>0</v>
      </c>
      <c r="AB750" s="8">
        <f>IF(A750="","",COUNTIFS($A$5:A750,A750))</f>
        <v>0</v>
      </c>
      <c r="AC750" s="8">
        <f>IF(B750="","",IF(COUNTIFS('Dietary Filters'!$C$5:$C$104,B750)&gt;0,"Check","OK"))</f>
        <v>0</v>
      </c>
      <c r="AD750" s="25"/>
    </row>
    <row r="751" spans="1:30">
      <c r="A751" s="7"/>
      <c r="B751" s="7"/>
      <c r="C751" s="26"/>
      <c r="D751" s="27"/>
      <c r="E751" s="8">
        <f>IF(B751="","",IFERROR(INDEX(Ingredients!$B$5:$B$304,MATCH(B751,Ingredients!$A$5:$A$304,0)),""))</f>
        <v>0</v>
      </c>
      <c r="F751" s="8">
        <f>IF(B751="","",IFERROR(INDEX(Ingredients!$E$5:$E$304,MATCH(B751,Ingredients!$A$5:$A$304,0)),""))</f>
        <v>0</v>
      </c>
      <c r="G751" s="8">
        <f>IF(B751="","",IFERROR(INDEX(Ingredients!$D$5:$D$304,MATCH(B751,Ingredients!$A$5:$A$304,0)),""))</f>
        <v>0</v>
      </c>
      <c r="H751" s="8">
        <f>IF(OR(B751="",C751=""),"",IFERROR(C751*G751,""))</f>
        <v>0</v>
      </c>
      <c r="I751" s="8">
        <f>IF(A751="","",IFERROR(INDEX(Recipes!$D$5:$D$204,MATCH(A751,Recipes!$A$5:$A$204,0)),""))</f>
        <v>0</v>
      </c>
      <c r="J751" s="8">
        <f>IF(OR(H751="",I751="",I751=0),"",IFERROR(H751/I751,""))</f>
        <v>0</v>
      </c>
      <c r="K751" s="8">
        <f>IF(OR(B751="",C751=""),"",IFERROR(C751*IFERROR(INDEX(Ingredients!$H$5:$H$304,MATCH(B751,Ingredients!$A$5:$A$304,0)),""),""))</f>
        <v>0</v>
      </c>
      <c r="L751" s="8">
        <f>IF(OR(B751="",C751=""),"",IFERROR(C751*IFERROR(INDEX(Ingredients!$I$5:$I$304,MATCH(B751,Ingredients!$A$5:$A$304,0)),""),""))</f>
        <v>0</v>
      </c>
      <c r="M751" s="8">
        <f>IF(OR(B751="",C751=""),"",IFERROR(C751*IFERROR(INDEX(Ingredients!$J$5:$J$304,MATCH(B751,Ingredients!$A$5:$A$304,0)),""),""))</f>
        <v>0</v>
      </c>
      <c r="N751" s="8">
        <f>IF(OR(B751="",C751=""),"",IFERROR(C751*IFERROR(INDEX(Ingredients!$K$5:$K$304,MATCH(B751,Ingredients!$A$5:$A$304,0)),""),""))</f>
        <v>0</v>
      </c>
      <c r="O751" s="8">
        <f>IF(OR(B751="",C751=""),"",IFERROR(C751*IFERROR(INDEX(Ingredients!$L$5:$L$304,MATCH(B751,Ingredients!$A$5:$A$304,0)),""),""))</f>
        <v>0</v>
      </c>
      <c r="P751" s="8">
        <f>IF(OR(H751="",A751=""),"",IFERROR(H751/SUMIFS('Recipe Ingredients'!$H$5:$H$1204,'Recipe Ingredients'!$A$5:$A$1204,A751),""))</f>
        <v>0</v>
      </c>
      <c r="Q751" s="8">
        <f>IF(H751="","",COUNTIFS($H$5:$H$1204,"&gt;"&amp;H751)+1)</f>
        <v>0</v>
      </c>
      <c r="R751" s="8">
        <f>IF(B751="","",SUMIFS(Pantry!$C$5:$C$304,Pantry!$A$5:$A$304,B751))</f>
        <v>0</v>
      </c>
      <c r="S751" s="8">
        <f>IF(OR(B751="",C751=""),"",MAX(0,C751-R751))</f>
        <v>0</v>
      </c>
      <c r="T751" s="26"/>
      <c r="U751" s="8">
        <f>IF(OR(T751="",T751=0,G751=""),"",T751*G751)</f>
        <v>0</v>
      </c>
      <c r="V751" s="8">
        <f>IF(OR(S751="",T751="",T751=0),"",CEILING(S751/T751,1))</f>
        <v>0</v>
      </c>
      <c r="W751" s="27"/>
      <c r="X751" s="29"/>
      <c r="Y751" s="8">
        <f>IF(OR(C751="",X751=""),"",C751*(1+X751))</f>
        <v>0</v>
      </c>
      <c r="Z751" s="8">
        <f>IF(B751="","",IFERROR(INDEX(Ingredients!$O$5:$O$304,MATCH(B751,Ingredients!$A$5:$A$304,0)),""))</f>
        <v>0</v>
      </c>
      <c r="AA751" s="8">
        <f>IF(B751="","",IF(R751&gt;=C751,"In pantry","To buy"))</f>
        <v>0</v>
      </c>
      <c r="AB751" s="8">
        <f>IF(A751="","",COUNTIFS($A$5:A751,A751))</f>
        <v>0</v>
      </c>
      <c r="AC751" s="8">
        <f>IF(B751="","",IF(COUNTIFS('Dietary Filters'!$C$5:$C$104,B751)&gt;0,"Check","OK"))</f>
        <v>0</v>
      </c>
      <c r="AD751" s="25"/>
    </row>
    <row r="752" spans="1:30">
      <c r="A752" s="7"/>
      <c r="B752" s="7"/>
      <c r="C752" s="26"/>
      <c r="D752" s="27"/>
      <c r="E752" s="8">
        <f>IF(B752="","",IFERROR(INDEX(Ingredients!$B$5:$B$304,MATCH(B752,Ingredients!$A$5:$A$304,0)),""))</f>
        <v>0</v>
      </c>
      <c r="F752" s="8">
        <f>IF(B752="","",IFERROR(INDEX(Ingredients!$E$5:$E$304,MATCH(B752,Ingredients!$A$5:$A$304,0)),""))</f>
        <v>0</v>
      </c>
      <c r="G752" s="8">
        <f>IF(B752="","",IFERROR(INDEX(Ingredients!$D$5:$D$304,MATCH(B752,Ingredients!$A$5:$A$304,0)),""))</f>
        <v>0</v>
      </c>
      <c r="H752" s="8">
        <f>IF(OR(B752="",C752=""),"",IFERROR(C752*G752,""))</f>
        <v>0</v>
      </c>
      <c r="I752" s="8">
        <f>IF(A752="","",IFERROR(INDEX(Recipes!$D$5:$D$204,MATCH(A752,Recipes!$A$5:$A$204,0)),""))</f>
        <v>0</v>
      </c>
      <c r="J752" s="8">
        <f>IF(OR(H752="",I752="",I752=0),"",IFERROR(H752/I752,""))</f>
        <v>0</v>
      </c>
      <c r="K752" s="8">
        <f>IF(OR(B752="",C752=""),"",IFERROR(C752*IFERROR(INDEX(Ingredients!$H$5:$H$304,MATCH(B752,Ingredients!$A$5:$A$304,0)),""),""))</f>
        <v>0</v>
      </c>
      <c r="L752" s="8">
        <f>IF(OR(B752="",C752=""),"",IFERROR(C752*IFERROR(INDEX(Ingredients!$I$5:$I$304,MATCH(B752,Ingredients!$A$5:$A$304,0)),""),""))</f>
        <v>0</v>
      </c>
      <c r="M752" s="8">
        <f>IF(OR(B752="",C752=""),"",IFERROR(C752*IFERROR(INDEX(Ingredients!$J$5:$J$304,MATCH(B752,Ingredients!$A$5:$A$304,0)),""),""))</f>
        <v>0</v>
      </c>
      <c r="N752" s="8">
        <f>IF(OR(B752="",C752=""),"",IFERROR(C752*IFERROR(INDEX(Ingredients!$K$5:$K$304,MATCH(B752,Ingredients!$A$5:$A$304,0)),""),""))</f>
        <v>0</v>
      </c>
      <c r="O752" s="8">
        <f>IF(OR(B752="",C752=""),"",IFERROR(C752*IFERROR(INDEX(Ingredients!$L$5:$L$304,MATCH(B752,Ingredients!$A$5:$A$304,0)),""),""))</f>
        <v>0</v>
      </c>
      <c r="P752" s="8">
        <f>IF(OR(H752="",A752=""),"",IFERROR(H752/SUMIFS('Recipe Ingredients'!$H$5:$H$1204,'Recipe Ingredients'!$A$5:$A$1204,A752),""))</f>
        <v>0</v>
      </c>
      <c r="Q752" s="8">
        <f>IF(H752="","",COUNTIFS($H$5:$H$1204,"&gt;"&amp;H752)+1)</f>
        <v>0</v>
      </c>
      <c r="R752" s="8">
        <f>IF(B752="","",SUMIFS(Pantry!$C$5:$C$304,Pantry!$A$5:$A$304,B752))</f>
        <v>0</v>
      </c>
      <c r="S752" s="8">
        <f>IF(OR(B752="",C752=""),"",MAX(0,C752-R752))</f>
        <v>0</v>
      </c>
      <c r="T752" s="26"/>
      <c r="U752" s="8">
        <f>IF(OR(T752="",T752=0,G752=""),"",T752*G752)</f>
        <v>0</v>
      </c>
      <c r="V752" s="8">
        <f>IF(OR(S752="",T752="",T752=0),"",CEILING(S752/T752,1))</f>
        <v>0</v>
      </c>
      <c r="W752" s="27"/>
      <c r="X752" s="29"/>
      <c r="Y752" s="8">
        <f>IF(OR(C752="",X752=""),"",C752*(1+X752))</f>
        <v>0</v>
      </c>
      <c r="Z752" s="8">
        <f>IF(B752="","",IFERROR(INDEX(Ingredients!$O$5:$O$304,MATCH(B752,Ingredients!$A$5:$A$304,0)),""))</f>
        <v>0</v>
      </c>
      <c r="AA752" s="8">
        <f>IF(B752="","",IF(R752&gt;=C752,"In pantry","To buy"))</f>
        <v>0</v>
      </c>
      <c r="AB752" s="8">
        <f>IF(A752="","",COUNTIFS($A$5:A752,A752))</f>
        <v>0</v>
      </c>
      <c r="AC752" s="8">
        <f>IF(B752="","",IF(COUNTIFS('Dietary Filters'!$C$5:$C$104,B752)&gt;0,"Check","OK"))</f>
        <v>0</v>
      </c>
      <c r="AD752" s="25"/>
    </row>
    <row r="753" spans="1:30">
      <c r="A753" s="7"/>
      <c r="B753" s="7"/>
      <c r="C753" s="26"/>
      <c r="D753" s="27"/>
      <c r="E753" s="8">
        <f>IF(B753="","",IFERROR(INDEX(Ingredients!$B$5:$B$304,MATCH(B753,Ingredients!$A$5:$A$304,0)),""))</f>
        <v>0</v>
      </c>
      <c r="F753" s="8">
        <f>IF(B753="","",IFERROR(INDEX(Ingredients!$E$5:$E$304,MATCH(B753,Ingredients!$A$5:$A$304,0)),""))</f>
        <v>0</v>
      </c>
      <c r="G753" s="8">
        <f>IF(B753="","",IFERROR(INDEX(Ingredients!$D$5:$D$304,MATCH(B753,Ingredients!$A$5:$A$304,0)),""))</f>
        <v>0</v>
      </c>
      <c r="H753" s="8">
        <f>IF(OR(B753="",C753=""),"",IFERROR(C753*G753,""))</f>
        <v>0</v>
      </c>
      <c r="I753" s="8">
        <f>IF(A753="","",IFERROR(INDEX(Recipes!$D$5:$D$204,MATCH(A753,Recipes!$A$5:$A$204,0)),""))</f>
        <v>0</v>
      </c>
      <c r="J753" s="8">
        <f>IF(OR(H753="",I753="",I753=0),"",IFERROR(H753/I753,""))</f>
        <v>0</v>
      </c>
      <c r="K753" s="8">
        <f>IF(OR(B753="",C753=""),"",IFERROR(C753*IFERROR(INDEX(Ingredients!$H$5:$H$304,MATCH(B753,Ingredients!$A$5:$A$304,0)),""),""))</f>
        <v>0</v>
      </c>
      <c r="L753" s="8">
        <f>IF(OR(B753="",C753=""),"",IFERROR(C753*IFERROR(INDEX(Ingredients!$I$5:$I$304,MATCH(B753,Ingredients!$A$5:$A$304,0)),""),""))</f>
        <v>0</v>
      </c>
      <c r="M753" s="8">
        <f>IF(OR(B753="",C753=""),"",IFERROR(C753*IFERROR(INDEX(Ingredients!$J$5:$J$304,MATCH(B753,Ingredients!$A$5:$A$304,0)),""),""))</f>
        <v>0</v>
      </c>
      <c r="N753" s="8">
        <f>IF(OR(B753="",C753=""),"",IFERROR(C753*IFERROR(INDEX(Ingredients!$K$5:$K$304,MATCH(B753,Ingredients!$A$5:$A$304,0)),""),""))</f>
        <v>0</v>
      </c>
      <c r="O753" s="8">
        <f>IF(OR(B753="",C753=""),"",IFERROR(C753*IFERROR(INDEX(Ingredients!$L$5:$L$304,MATCH(B753,Ingredients!$A$5:$A$304,0)),""),""))</f>
        <v>0</v>
      </c>
      <c r="P753" s="8">
        <f>IF(OR(H753="",A753=""),"",IFERROR(H753/SUMIFS('Recipe Ingredients'!$H$5:$H$1204,'Recipe Ingredients'!$A$5:$A$1204,A753),""))</f>
        <v>0</v>
      </c>
      <c r="Q753" s="8">
        <f>IF(H753="","",COUNTIFS($H$5:$H$1204,"&gt;"&amp;H753)+1)</f>
        <v>0</v>
      </c>
      <c r="R753" s="8">
        <f>IF(B753="","",SUMIFS(Pantry!$C$5:$C$304,Pantry!$A$5:$A$304,B753))</f>
        <v>0</v>
      </c>
      <c r="S753" s="8">
        <f>IF(OR(B753="",C753=""),"",MAX(0,C753-R753))</f>
        <v>0</v>
      </c>
      <c r="T753" s="26"/>
      <c r="U753" s="8">
        <f>IF(OR(T753="",T753=0,G753=""),"",T753*G753)</f>
        <v>0</v>
      </c>
      <c r="V753" s="8">
        <f>IF(OR(S753="",T753="",T753=0),"",CEILING(S753/T753,1))</f>
        <v>0</v>
      </c>
      <c r="W753" s="27"/>
      <c r="X753" s="29"/>
      <c r="Y753" s="8">
        <f>IF(OR(C753="",X753=""),"",C753*(1+X753))</f>
        <v>0</v>
      </c>
      <c r="Z753" s="8">
        <f>IF(B753="","",IFERROR(INDEX(Ingredients!$O$5:$O$304,MATCH(B753,Ingredients!$A$5:$A$304,0)),""))</f>
        <v>0</v>
      </c>
      <c r="AA753" s="8">
        <f>IF(B753="","",IF(R753&gt;=C753,"In pantry","To buy"))</f>
        <v>0</v>
      </c>
      <c r="AB753" s="8">
        <f>IF(A753="","",COUNTIFS($A$5:A753,A753))</f>
        <v>0</v>
      </c>
      <c r="AC753" s="8">
        <f>IF(B753="","",IF(COUNTIFS('Dietary Filters'!$C$5:$C$104,B753)&gt;0,"Check","OK"))</f>
        <v>0</v>
      </c>
      <c r="AD753" s="25"/>
    </row>
    <row r="754" spans="1:30">
      <c r="A754" s="7"/>
      <c r="B754" s="7"/>
      <c r="C754" s="26"/>
      <c r="D754" s="27"/>
      <c r="E754" s="8">
        <f>IF(B754="","",IFERROR(INDEX(Ingredients!$B$5:$B$304,MATCH(B754,Ingredients!$A$5:$A$304,0)),""))</f>
        <v>0</v>
      </c>
      <c r="F754" s="8">
        <f>IF(B754="","",IFERROR(INDEX(Ingredients!$E$5:$E$304,MATCH(B754,Ingredients!$A$5:$A$304,0)),""))</f>
        <v>0</v>
      </c>
      <c r="G754" s="8">
        <f>IF(B754="","",IFERROR(INDEX(Ingredients!$D$5:$D$304,MATCH(B754,Ingredients!$A$5:$A$304,0)),""))</f>
        <v>0</v>
      </c>
      <c r="H754" s="8">
        <f>IF(OR(B754="",C754=""),"",IFERROR(C754*G754,""))</f>
        <v>0</v>
      </c>
      <c r="I754" s="8">
        <f>IF(A754="","",IFERROR(INDEX(Recipes!$D$5:$D$204,MATCH(A754,Recipes!$A$5:$A$204,0)),""))</f>
        <v>0</v>
      </c>
      <c r="J754" s="8">
        <f>IF(OR(H754="",I754="",I754=0),"",IFERROR(H754/I754,""))</f>
        <v>0</v>
      </c>
      <c r="K754" s="8">
        <f>IF(OR(B754="",C754=""),"",IFERROR(C754*IFERROR(INDEX(Ingredients!$H$5:$H$304,MATCH(B754,Ingredients!$A$5:$A$304,0)),""),""))</f>
        <v>0</v>
      </c>
      <c r="L754" s="8">
        <f>IF(OR(B754="",C754=""),"",IFERROR(C754*IFERROR(INDEX(Ingredients!$I$5:$I$304,MATCH(B754,Ingredients!$A$5:$A$304,0)),""),""))</f>
        <v>0</v>
      </c>
      <c r="M754" s="8">
        <f>IF(OR(B754="",C754=""),"",IFERROR(C754*IFERROR(INDEX(Ingredients!$J$5:$J$304,MATCH(B754,Ingredients!$A$5:$A$304,0)),""),""))</f>
        <v>0</v>
      </c>
      <c r="N754" s="8">
        <f>IF(OR(B754="",C754=""),"",IFERROR(C754*IFERROR(INDEX(Ingredients!$K$5:$K$304,MATCH(B754,Ingredients!$A$5:$A$304,0)),""),""))</f>
        <v>0</v>
      </c>
      <c r="O754" s="8">
        <f>IF(OR(B754="",C754=""),"",IFERROR(C754*IFERROR(INDEX(Ingredients!$L$5:$L$304,MATCH(B754,Ingredients!$A$5:$A$304,0)),""),""))</f>
        <v>0</v>
      </c>
      <c r="P754" s="8">
        <f>IF(OR(H754="",A754=""),"",IFERROR(H754/SUMIFS('Recipe Ingredients'!$H$5:$H$1204,'Recipe Ingredients'!$A$5:$A$1204,A754),""))</f>
        <v>0</v>
      </c>
      <c r="Q754" s="8">
        <f>IF(H754="","",COUNTIFS($H$5:$H$1204,"&gt;"&amp;H754)+1)</f>
        <v>0</v>
      </c>
      <c r="R754" s="8">
        <f>IF(B754="","",SUMIFS(Pantry!$C$5:$C$304,Pantry!$A$5:$A$304,B754))</f>
        <v>0</v>
      </c>
      <c r="S754" s="8">
        <f>IF(OR(B754="",C754=""),"",MAX(0,C754-R754))</f>
        <v>0</v>
      </c>
      <c r="T754" s="26"/>
      <c r="U754" s="8">
        <f>IF(OR(T754="",T754=0,G754=""),"",T754*G754)</f>
        <v>0</v>
      </c>
      <c r="V754" s="8">
        <f>IF(OR(S754="",T754="",T754=0),"",CEILING(S754/T754,1))</f>
        <v>0</v>
      </c>
      <c r="W754" s="27"/>
      <c r="X754" s="29"/>
      <c r="Y754" s="8">
        <f>IF(OR(C754="",X754=""),"",C754*(1+X754))</f>
        <v>0</v>
      </c>
      <c r="Z754" s="8">
        <f>IF(B754="","",IFERROR(INDEX(Ingredients!$O$5:$O$304,MATCH(B754,Ingredients!$A$5:$A$304,0)),""))</f>
        <v>0</v>
      </c>
      <c r="AA754" s="8">
        <f>IF(B754="","",IF(R754&gt;=C754,"In pantry","To buy"))</f>
        <v>0</v>
      </c>
      <c r="AB754" s="8">
        <f>IF(A754="","",COUNTIFS($A$5:A754,A754))</f>
        <v>0</v>
      </c>
      <c r="AC754" s="8">
        <f>IF(B754="","",IF(COUNTIFS('Dietary Filters'!$C$5:$C$104,B754)&gt;0,"Check","OK"))</f>
        <v>0</v>
      </c>
      <c r="AD754" s="25"/>
    </row>
    <row r="755" spans="1:30">
      <c r="A755" s="7"/>
      <c r="B755" s="7"/>
      <c r="C755" s="26"/>
      <c r="D755" s="27"/>
      <c r="E755" s="8">
        <f>IF(B755="","",IFERROR(INDEX(Ingredients!$B$5:$B$304,MATCH(B755,Ingredients!$A$5:$A$304,0)),""))</f>
        <v>0</v>
      </c>
      <c r="F755" s="8">
        <f>IF(B755="","",IFERROR(INDEX(Ingredients!$E$5:$E$304,MATCH(B755,Ingredients!$A$5:$A$304,0)),""))</f>
        <v>0</v>
      </c>
      <c r="G755" s="8">
        <f>IF(B755="","",IFERROR(INDEX(Ingredients!$D$5:$D$304,MATCH(B755,Ingredients!$A$5:$A$304,0)),""))</f>
        <v>0</v>
      </c>
      <c r="H755" s="8">
        <f>IF(OR(B755="",C755=""),"",IFERROR(C755*G755,""))</f>
        <v>0</v>
      </c>
      <c r="I755" s="8">
        <f>IF(A755="","",IFERROR(INDEX(Recipes!$D$5:$D$204,MATCH(A755,Recipes!$A$5:$A$204,0)),""))</f>
        <v>0</v>
      </c>
      <c r="J755" s="8">
        <f>IF(OR(H755="",I755="",I755=0),"",IFERROR(H755/I755,""))</f>
        <v>0</v>
      </c>
      <c r="K755" s="8">
        <f>IF(OR(B755="",C755=""),"",IFERROR(C755*IFERROR(INDEX(Ingredients!$H$5:$H$304,MATCH(B755,Ingredients!$A$5:$A$304,0)),""),""))</f>
        <v>0</v>
      </c>
      <c r="L755" s="8">
        <f>IF(OR(B755="",C755=""),"",IFERROR(C755*IFERROR(INDEX(Ingredients!$I$5:$I$304,MATCH(B755,Ingredients!$A$5:$A$304,0)),""),""))</f>
        <v>0</v>
      </c>
      <c r="M755" s="8">
        <f>IF(OR(B755="",C755=""),"",IFERROR(C755*IFERROR(INDEX(Ingredients!$J$5:$J$304,MATCH(B755,Ingredients!$A$5:$A$304,0)),""),""))</f>
        <v>0</v>
      </c>
      <c r="N755" s="8">
        <f>IF(OR(B755="",C755=""),"",IFERROR(C755*IFERROR(INDEX(Ingredients!$K$5:$K$304,MATCH(B755,Ingredients!$A$5:$A$304,0)),""),""))</f>
        <v>0</v>
      </c>
      <c r="O755" s="8">
        <f>IF(OR(B755="",C755=""),"",IFERROR(C755*IFERROR(INDEX(Ingredients!$L$5:$L$304,MATCH(B755,Ingredients!$A$5:$A$304,0)),""),""))</f>
        <v>0</v>
      </c>
      <c r="P755" s="8">
        <f>IF(OR(H755="",A755=""),"",IFERROR(H755/SUMIFS('Recipe Ingredients'!$H$5:$H$1204,'Recipe Ingredients'!$A$5:$A$1204,A755),""))</f>
        <v>0</v>
      </c>
      <c r="Q755" s="8">
        <f>IF(H755="","",COUNTIFS($H$5:$H$1204,"&gt;"&amp;H755)+1)</f>
        <v>0</v>
      </c>
      <c r="R755" s="8">
        <f>IF(B755="","",SUMIFS(Pantry!$C$5:$C$304,Pantry!$A$5:$A$304,B755))</f>
        <v>0</v>
      </c>
      <c r="S755" s="8">
        <f>IF(OR(B755="",C755=""),"",MAX(0,C755-R755))</f>
        <v>0</v>
      </c>
      <c r="T755" s="26"/>
      <c r="U755" s="8">
        <f>IF(OR(T755="",T755=0,G755=""),"",T755*G755)</f>
        <v>0</v>
      </c>
      <c r="V755" s="8">
        <f>IF(OR(S755="",T755="",T755=0),"",CEILING(S755/T755,1))</f>
        <v>0</v>
      </c>
      <c r="W755" s="27"/>
      <c r="X755" s="29"/>
      <c r="Y755" s="8">
        <f>IF(OR(C755="",X755=""),"",C755*(1+X755))</f>
        <v>0</v>
      </c>
      <c r="Z755" s="8">
        <f>IF(B755="","",IFERROR(INDEX(Ingredients!$O$5:$O$304,MATCH(B755,Ingredients!$A$5:$A$304,0)),""))</f>
        <v>0</v>
      </c>
      <c r="AA755" s="8">
        <f>IF(B755="","",IF(R755&gt;=C755,"In pantry","To buy"))</f>
        <v>0</v>
      </c>
      <c r="AB755" s="8">
        <f>IF(A755="","",COUNTIFS($A$5:A755,A755))</f>
        <v>0</v>
      </c>
      <c r="AC755" s="8">
        <f>IF(B755="","",IF(COUNTIFS('Dietary Filters'!$C$5:$C$104,B755)&gt;0,"Check","OK"))</f>
        <v>0</v>
      </c>
      <c r="AD755" s="25"/>
    </row>
    <row r="756" spans="1:30">
      <c r="A756" s="7"/>
      <c r="B756" s="7"/>
      <c r="C756" s="26"/>
      <c r="D756" s="27"/>
      <c r="E756" s="8">
        <f>IF(B756="","",IFERROR(INDEX(Ingredients!$B$5:$B$304,MATCH(B756,Ingredients!$A$5:$A$304,0)),""))</f>
        <v>0</v>
      </c>
      <c r="F756" s="8">
        <f>IF(B756="","",IFERROR(INDEX(Ingredients!$E$5:$E$304,MATCH(B756,Ingredients!$A$5:$A$304,0)),""))</f>
        <v>0</v>
      </c>
      <c r="G756" s="8">
        <f>IF(B756="","",IFERROR(INDEX(Ingredients!$D$5:$D$304,MATCH(B756,Ingredients!$A$5:$A$304,0)),""))</f>
        <v>0</v>
      </c>
      <c r="H756" s="8">
        <f>IF(OR(B756="",C756=""),"",IFERROR(C756*G756,""))</f>
        <v>0</v>
      </c>
      <c r="I756" s="8">
        <f>IF(A756="","",IFERROR(INDEX(Recipes!$D$5:$D$204,MATCH(A756,Recipes!$A$5:$A$204,0)),""))</f>
        <v>0</v>
      </c>
      <c r="J756" s="8">
        <f>IF(OR(H756="",I756="",I756=0),"",IFERROR(H756/I756,""))</f>
        <v>0</v>
      </c>
      <c r="K756" s="8">
        <f>IF(OR(B756="",C756=""),"",IFERROR(C756*IFERROR(INDEX(Ingredients!$H$5:$H$304,MATCH(B756,Ingredients!$A$5:$A$304,0)),""),""))</f>
        <v>0</v>
      </c>
      <c r="L756" s="8">
        <f>IF(OR(B756="",C756=""),"",IFERROR(C756*IFERROR(INDEX(Ingredients!$I$5:$I$304,MATCH(B756,Ingredients!$A$5:$A$304,0)),""),""))</f>
        <v>0</v>
      </c>
      <c r="M756" s="8">
        <f>IF(OR(B756="",C756=""),"",IFERROR(C756*IFERROR(INDEX(Ingredients!$J$5:$J$304,MATCH(B756,Ingredients!$A$5:$A$304,0)),""),""))</f>
        <v>0</v>
      </c>
      <c r="N756" s="8">
        <f>IF(OR(B756="",C756=""),"",IFERROR(C756*IFERROR(INDEX(Ingredients!$K$5:$K$304,MATCH(B756,Ingredients!$A$5:$A$304,0)),""),""))</f>
        <v>0</v>
      </c>
      <c r="O756" s="8">
        <f>IF(OR(B756="",C756=""),"",IFERROR(C756*IFERROR(INDEX(Ingredients!$L$5:$L$304,MATCH(B756,Ingredients!$A$5:$A$304,0)),""),""))</f>
        <v>0</v>
      </c>
      <c r="P756" s="8">
        <f>IF(OR(H756="",A756=""),"",IFERROR(H756/SUMIFS('Recipe Ingredients'!$H$5:$H$1204,'Recipe Ingredients'!$A$5:$A$1204,A756),""))</f>
        <v>0</v>
      </c>
      <c r="Q756" s="8">
        <f>IF(H756="","",COUNTIFS($H$5:$H$1204,"&gt;"&amp;H756)+1)</f>
        <v>0</v>
      </c>
      <c r="R756" s="8">
        <f>IF(B756="","",SUMIFS(Pantry!$C$5:$C$304,Pantry!$A$5:$A$304,B756))</f>
        <v>0</v>
      </c>
      <c r="S756" s="8">
        <f>IF(OR(B756="",C756=""),"",MAX(0,C756-R756))</f>
        <v>0</v>
      </c>
      <c r="T756" s="26"/>
      <c r="U756" s="8">
        <f>IF(OR(T756="",T756=0,G756=""),"",T756*G756)</f>
        <v>0</v>
      </c>
      <c r="V756" s="8">
        <f>IF(OR(S756="",T756="",T756=0),"",CEILING(S756/T756,1))</f>
        <v>0</v>
      </c>
      <c r="W756" s="27"/>
      <c r="X756" s="29"/>
      <c r="Y756" s="8">
        <f>IF(OR(C756="",X756=""),"",C756*(1+X756))</f>
        <v>0</v>
      </c>
      <c r="Z756" s="8">
        <f>IF(B756="","",IFERROR(INDEX(Ingredients!$O$5:$O$304,MATCH(B756,Ingredients!$A$5:$A$304,0)),""))</f>
        <v>0</v>
      </c>
      <c r="AA756" s="8">
        <f>IF(B756="","",IF(R756&gt;=C756,"In pantry","To buy"))</f>
        <v>0</v>
      </c>
      <c r="AB756" s="8">
        <f>IF(A756="","",COUNTIFS($A$5:A756,A756))</f>
        <v>0</v>
      </c>
      <c r="AC756" s="8">
        <f>IF(B756="","",IF(COUNTIFS('Dietary Filters'!$C$5:$C$104,B756)&gt;0,"Check","OK"))</f>
        <v>0</v>
      </c>
      <c r="AD756" s="25"/>
    </row>
    <row r="757" spans="1:30">
      <c r="A757" s="7"/>
      <c r="B757" s="7"/>
      <c r="C757" s="26"/>
      <c r="D757" s="27"/>
      <c r="E757" s="8">
        <f>IF(B757="","",IFERROR(INDEX(Ingredients!$B$5:$B$304,MATCH(B757,Ingredients!$A$5:$A$304,0)),""))</f>
        <v>0</v>
      </c>
      <c r="F757" s="8">
        <f>IF(B757="","",IFERROR(INDEX(Ingredients!$E$5:$E$304,MATCH(B757,Ingredients!$A$5:$A$304,0)),""))</f>
        <v>0</v>
      </c>
      <c r="G757" s="8">
        <f>IF(B757="","",IFERROR(INDEX(Ingredients!$D$5:$D$304,MATCH(B757,Ingredients!$A$5:$A$304,0)),""))</f>
        <v>0</v>
      </c>
      <c r="H757" s="8">
        <f>IF(OR(B757="",C757=""),"",IFERROR(C757*G757,""))</f>
        <v>0</v>
      </c>
      <c r="I757" s="8">
        <f>IF(A757="","",IFERROR(INDEX(Recipes!$D$5:$D$204,MATCH(A757,Recipes!$A$5:$A$204,0)),""))</f>
        <v>0</v>
      </c>
      <c r="J757" s="8">
        <f>IF(OR(H757="",I757="",I757=0),"",IFERROR(H757/I757,""))</f>
        <v>0</v>
      </c>
      <c r="K757" s="8">
        <f>IF(OR(B757="",C757=""),"",IFERROR(C757*IFERROR(INDEX(Ingredients!$H$5:$H$304,MATCH(B757,Ingredients!$A$5:$A$304,0)),""),""))</f>
        <v>0</v>
      </c>
      <c r="L757" s="8">
        <f>IF(OR(B757="",C757=""),"",IFERROR(C757*IFERROR(INDEX(Ingredients!$I$5:$I$304,MATCH(B757,Ingredients!$A$5:$A$304,0)),""),""))</f>
        <v>0</v>
      </c>
      <c r="M757" s="8">
        <f>IF(OR(B757="",C757=""),"",IFERROR(C757*IFERROR(INDEX(Ingredients!$J$5:$J$304,MATCH(B757,Ingredients!$A$5:$A$304,0)),""),""))</f>
        <v>0</v>
      </c>
      <c r="N757" s="8">
        <f>IF(OR(B757="",C757=""),"",IFERROR(C757*IFERROR(INDEX(Ingredients!$K$5:$K$304,MATCH(B757,Ingredients!$A$5:$A$304,0)),""),""))</f>
        <v>0</v>
      </c>
      <c r="O757" s="8">
        <f>IF(OR(B757="",C757=""),"",IFERROR(C757*IFERROR(INDEX(Ingredients!$L$5:$L$304,MATCH(B757,Ingredients!$A$5:$A$304,0)),""),""))</f>
        <v>0</v>
      </c>
      <c r="P757" s="8">
        <f>IF(OR(H757="",A757=""),"",IFERROR(H757/SUMIFS('Recipe Ingredients'!$H$5:$H$1204,'Recipe Ingredients'!$A$5:$A$1204,A757),""))</f>
        <v>0</v>
      </c>
      <c r="Q757" s="8">
        <f>IF(H757="","",COUNTIFS($H$5:$H$1204,"&gt;"&amp;H757)+1)</f>
        <v>0</v>
      </c>
      <c r="R757" s="8">
        <f>IF(B757="","",SUMIFS(Pantry!$C$5:$C$304,Pantry!$A$5:$A$304,B757))</f>
        <v>0</v>
      </c>
      <c r="S757" s="8">
        <f>IF(OR(B757="",C757=""),"",MAX(0,C757-R757))</f>
        <v>0</v>
      </c>
      <c r="T757" s="26"/>
      <c r="U757" s="8">
        <f>IF(OR(T757="",T757=0,G757=""),"",T757*G757)</f>
        <v>0</v>
      </c>
      <c r="V757" s="8">
        <f>IF(OR(S757="",T757="",T757=0),"",CEILING(S757/T757,1))</f>
        <v>0</v>
      </c>
      <c r="W757" s="27"/>
      <c r="X757" s="29"/>
      <c r="Y757" s="8">
        <f>IF(OR(C757="",X757=""),"",C757*(1+X757))</f>
        <v>0</v>
      </c>
      <c r="Z757" s="8">
        <f>IF(B757="","",IFERROR(INDEX(Ingredients!$O$5:$O$304,MATCH(B757,Ingredients!$A$5:$A$304,0)),""))</f>
        <v>0</v>
      </c>
      <c r="AA757" s="8">
        <f>IF(B757="","",IF(R757&gt;=C757,"In pantry","To buy"))</f>
        <v>0</v>
      </c>
      <c r="AB757" s="8">
        <f>IF(A757="","",COUNTIFS($A$5:A757,A757))</f>
        <v>0</v>
      </c>
      <c r="AC757" s="8">
        <f>IF(B757="","",IF(COUNTIFS('Dietary Filters'!$C$5:$C$104,B757)&gt;0,"Check","OK"))</f>
        <v>0</v>
      </c>
      <c r="AD757" s="25"/>
    </row>
    <row r="758" spans="1:30">
      <c r="A758" s="7"/>
      <c r="B758" s="7"/>
      <c r="C758" s="26"/>
      <c r="D758" s="27"/>
      <c r="E758" s="8">
        <f>IF(B758="","",IFERROR(INDEX(Ingredients!$B$5:$B$304,MATCH(B758,Ingredients!$A$5:$A$304,0)),""))</f>
        <v>0</v>
      </c>
      <c r="F758" s="8">
        <f>IF(B758="","",IFERROR(INDEX(Ingredients!$E$5:$E$304,MATCH(B758,Ingredients!$A$5:$A$304,0)),""))</f>
        <v>0</v>
      </c>
      <c r="G758" s="8">
        <f>IF(B758="","",IFERROR(INDEX(Ingredients!$D$5:$D$304,MATCH(B758,Ingredients!$A$5:$A$304,0)),""))</f>
        <v>0</v>
      </c>
      <c r="H758" s="8">
        <f>IF(OR(B758="",C758=""),"",IFERROR(C758*G758,""))</f>
        <v>0</v>
      </c>
      <c r="I758" s="8">
        <f>IF(A758="","",IFERROR(INDEX(Recipes!$D$5:$D$204,MATCH(A758,Recipes!$A$5:$A$204,0)),""))</f>
        <v>0</v>
      </c>
      <c r="J758" s="8">
        <f>IF(OR(H758="",I758="",I758=0),"",IFERROR(H758/I758,""))</f>
        <v>0</v>
      </c>
      <c r="K758" s="8">
        <f>IF(OR(B758="",C758=""),"",IFERROR(C758*IFERROR(INDEX(Ingredients!$H$5:$H$304,MATCH(B758,Ingredients!$A$5:$A$304,0)),""),""))</f>
        <v>0</v>
      </c>
      <c r="L758" s="8">
        <f>IF(OR(B758="",C758=""),"",IFERROR(C758*IFERROR(INDEX(Ingredients!$I$5:$I$304,MATCH(B758,Ingredients!$A$5:$A$304,0)),""),""))</f>
        <v>0</v>
      </c>
      <c r="M758" s="8">
        <f>IF(OR(B758="",C758=""),"",IFERROR(C758*IFERROR(INDEX(Ingredients!$J$5:$J$304,MATCH(B758,Ingredients!$A$5:$A$304,0)),""),""))</f>
        <v>0</v>
      </c>
      <c r="N758" s="8">
        <f>IF(OR(B758="",C758=""),"",IFERROR(C758*IFERROR(INDEX(Ingredients!$K$5:$K$304,MATCH(B758,Ingredients!$A$5:$A$304,0)),""),""))</f>
        <v>0</v>
      </c>
      <c r="O758" s="8">
        <f>IF(OR(B758="",C758=""),"",IFERROR(C758*IFERROR(INDEX(Ingredients!$L$5:$L$304,MATCH(B758,Ingredients!$A$5:$A$304,0)),""),""))</f>
        <v>0</v>
      </c>
      <c r="P758" s="8">
        <f>IF(OR(H758="",A758=""),"",IFERROR(H758/SUMIFS('Recipe Ingredients'!$H$5:$H$1204,'Recipe Ingredients'!$A$5:$A$1204,A758),""))</f>
        <v>0</v>
      </c>
      <c r="Q758" s="8">
        <f>IF(H758="","",COUNTIFS($H$5:$H$1204,"&gt;"&amp;H758)+1)</f>
        <v>0</v>
      </c>
      <c r="R758" s="8">
        <f>IF(B758="","",SUMIFS(Pantry!$C$5:$C$304,Pantry!$A$5:$A$304,B758))</f>
        <v>0</v>
      </c>
      <c r="S758" s="8">
        <f>IF(OR(B758="",C758=""),"",MAX(0,C758-R758))</f>
        <v>0</v>
      </c>
      <c r="T758" s="26"/>
      <c r="U758" s="8">
        <f>IF(OR(T758="",T758=0,G758=""),"",T758*G758)</f>
        <v>0</v>
      </c>
      <c r="V758" s="8">
        <f>IF(OR(S758="",T758="",T758=0),"",CEILING(S758/T758,1))</f>
        <v>0</v>
      </c>
      <c r="W758" s="27"/>
      <c r="X758" s="29"/>
      <c r="Y758" s="8">
        <f>IF(OR(C758="",X758=""),"",C758*(1+X758))</f>
        <v>0</v>
      </c>
      <c r="Z758" s="8">
        <f>IF(B758="","",IFERROR(INDEX(Ingredients!$O$5:$O$304,MATCH(B758,Ingredients!$A$5:$A$304,0)),""))</f>
        <v>0</v>
      </c>
      <c r="AA758" s="8">
        <f>IF(B758="","",IF(R758&gt;=C758,"In pantry","To buy"))</f>
        <v>0</v>
      </c>
      <c r="AB758" s="8">
        <f>IF(A758="","",COUNTIFS($A$5:A758,A758))</f>
        <v>0</v>
      </c>
      <c r="AC758" s="8">
        <f>IF(B758="","",IF(COUNTIFS('Dietary Filters'!$C$5:$C$104,B758)&gt;0,"Check","OK"))</f>
        <v>0</v>
      </c>
      <c r="AD758" s="25"/>
    </row>
    <row r="759" spans="1:30">
      <c r="A759" s="7"/>
      <c r="B759" s="7"/>
      <c r="C759" s="26"/>
      <c r="D759" s="27"/>
      <c r="E759" s="8">
        <f>IF(B759="","",IFERROR(INDEX(Ingredients!$B$5:$B$304,MATCH(B759,Ingredients!$A$5:$A$304,0)),""))</f>
        <v>0</v>
      </c>
      <c r="F759" s="8">
        <f>IF(B759="","",IFERROR(INDEX(Ingredients!$E$5:$E$304,MATCH(B759,Ingredients!$A$5:$A$304,0)),""))</f>
        <v>0</v>
      </c>
      <c r="G759" s="8">
        <f>IF(B759="","",IFERROR(INDEX(Ingredients!$D$5:$D$304,MATCH(B759,Ingredients!$A$5:$A$304,0)),""))</f>
        <v>0</v>
      </c>
      <c r="H759" s="8">
        <f>IF(OR(B759="",C759=""),"",IFERROR(C759*G759,""))</f>
        <v>0</v>
      </c>
      <c r="I759" s="8">
        <f>IF(A759="","",IFERROR(INDEX(Recipes!$D$5:$D$204,MATCH(A759,Recipes!$A$5:$A$204,0)),""))</f>
        <v>0</v>
      </c>
      <c r="J759" s="8">
        <f>IF(OR(H759="",I759="",I759=0),"",IFERROR(H759/I759,""))</f>
        <v>0</v>
      </c>
      <c r="K759" s="8">
        <f>IF(OR(B759="",C759=""),"",IFERROR(C759*IFERROR(INDEX(Ingredients!$H$5:$H$304,MATCH(B759,Ingredients!$A$5:$A$304,0)),""),""))</f>
        <v>0</v>
      </c>
      <c r="L759" s="8">
        <f>IF(OR(B759="",C759=""),"",IFERROR(C759*IFERROR(INDEX(Ingredients!$I$5:$I$304,MATCH(B759,Ingredients!$A$5:$A$304,0)),""),""))</f>
        <v>0</v>
      </c>
      <c r="M759" s="8">
        <f>IF(OR(B759="",C759=""),"",IFERROR(C759*IFERROR(INDEX(Ingredients!$J$5:$J$304,MATCH(B759,Ingredients!$A$5:$A$304,0)),""),""))</f>
        <v>0</v>
      </c>
      <c r="N759" s="8">
        <f>IF(OR(B759="",C759=""),"",IFERROR(C759*IFERROR(INDEX(Ingredients!$K$5:$K$304,MATCH(B759,Ingredients!$A$5:$A$304,0)),""),""))</f>
        <v>0</v>
      </c>
      <c r="O759" s="8">
        <f>IF(OR(B759="",C759=""),"",IFERROR(C759*IFERROR(INDEX(Ingredients!$L$5:$L$304,MATCH(B759,Ingredients!$A$5:$A$304,0)),""),""))</f>
        <v>0</v>
      </c>
      <c r="P759" s="8">
        <f>IF(OR(H759="",A759=""),"",IFERROR(H759/SUMIFS('Recipe Ingredients'!$H$5:$H$1204,'Recipe Ingredients'!$A$5:$A$1204,A759),""))</f>
        <v>0</v>
      </c>
      <c r="Q759" s="8">
        <f>IF(H759="","",COUNTIFS($H$5:$H$1204,"&gt;"&amp;H759)+1)</f>
        <v>0</v>
      </c>
      <c r="R759" s="8">
        <f>IF(B759="","",SUMIFS(Pantry!$C$5:$C$304,Pantry!$A$5:$A$304,B759))</f>
        <v>0</v>
      </c>
      <c r="S759" s="8">
        <f>IF(OR(B759="",C759=""),"",MAX(0,C759-R759))</f>
        <v>0</v>
      </c>
      <c r="T759" s="26"/>
      <c r="U759" s="8">
        <f>IF(OR(T759="",T759=0,G759=""),"",T759*G759)</f>
        <v>0</v>
      </c>
      <c r="V759" s="8">
        <f>IF(OR(S759="",T759="",T759=0),"",CEILING(S759/T759,1))</f>
        <v>0</v>
      </c>
      <c r="W759" s="27"/>
      <c r="X759" s="29"/>
      <c r="Y759" s="8">
        <f>IF(OR(C759="",X759=""),"",C759*(1+X759))</f>
        <v>0</v>
      </c>
      <c r="Z759" s="8">
        <f>IF(B759="","",IFERROR(INDEX(Ingredients!$O$5:$O$304,MATCH(B759,Ingredients!$A$5:$A$304,0)),""))</f>
        <v>0</v>
      </c>
      <c r="AA759" s="8">
        <f>IF(B759="","",IF(R759&gt;=C759,"In pantry","To buy"))</f>
        <v>0</v>
      </c>
      <c r="AB759" s="8">
        <f>IF(A759="","",COUNTIFS($A$5:A759,A759))</f>
        <v>0</v>
      </c>
      <c r="AC759" s="8">
        <f>IF(B759="","",IF(COUNTIFS('Dietary Filters'!$C$5:$C$104,B759)&gt;0,"Check","OK"))</f>
        <v>0</v>
      </c>
      <c r="AD759" s="25"/>
    </row>
    <row r="760" spans="1:30">
      <c r="A760" s="7"/>
      <c r="B760" s="7"/>
      <c r="C760" s="26"/>
      <c r="D760" s="27"/>
      <c r="E760" s="8">
        <f>IF(B760="","",IFERROR(INDEX(Ingredients!$B$5:$B$304,MATCH(B760,Ingredients!$A$5:$A$304,0)),""))</f>
        <v>0</v>
      </c>
      <c r="F760" s="8">
        <f>IF(B760="","",IFERROR(INDEX(Ingredients!$E$5:$E$304,MATCH(B760,Ingredients!$A$5:$A$304,0)),""))</f>
        <v>0</v>
      </c>
      <c r="G760" s="8">
        <f>IF(B760="","",IFERROR(INDEX(Ingredients!$D$5:$D$304,MATCH(B760,Ingredients!$A$5:$A$304,0)),""))</f>
        <v>0</v>
      </c>
      <c r="H760" s="8">
        <f>IF(OR(B760="",C760=""),"",IFERROR(C760*G760,""))</f>
        <v>0</v>
      </c>
      <c r="I760" s="8">
        <f>IF(A760="","",IFERROR(INDEX(Recipes!$D$5:$D$204,MATCH(A760,Recipes!$A$5:$A$204,0)),""))</f>
        <v>0</v>
      </c>
      <c r="J760" s="8">
        <f>IF(OR(H760="",I760="",I760=0),"",IFERROR(H760/I760,""))</f>
        <v>0</v>
      </c>
      <c r="K760" s="8">
        <f>IF(OR(B760="",C760=""),"",IFERROR(C760*IFERROR(INDEX(Ingredients!$H$5:$H$304,MATCH(B760,Ingredients!$A$5:$A$304,0)),""),""))</f>
        <v>0</v>
      </c>
      <c r="L760" s="8">
        <f>IF(OR(B760="",C760=""),"",IFERROR(C760*IFERROR(INDEX(Ingredients!$I$5:$I$304,MATCH(B760,Ingredients!$A$5:$A$304,0)),""),""))</f>
        <v>0</v>
      </c>
      <c r="M760" s="8">
        <f>IF(OR(B760="",C760=""),"",IFERROR(C760*IFERROR(INDEX(Ingredients!$J$5:$J$304,MATCH(B760,Ingredients!$A$5:$A$304,0)),""),""))</f>
        <v>0</v>
      </c>
      <c r="N760" s="8">
        <f>IF(OR(B760="",C760=""),"",IFERROR(C760*IFERROR(INDEX(Ingredients!$K$5:$K$304,MATCH(B760,Ingredients!$A$5:$A$304,0)),""),""))</f>
        <v>0</v>
      </c>
      <c r="O760" s="8">
        <f>IF(OR(B760="",C760=""),"",IFERROR(C760*IFERROR(INDEX(Ingredients!$L$5:$L$304,MATCH(B760,Ingredients!$A$5:$A$304,0)),""),""))</f>
        <v>0</v>
      </c>
      <c r="P760" s="8">
        <f>IF(OR(H760="",A760=""),"",IFERROR(H760/SUMIFS('Recipe Ingredients'!$H$5:$H$1204,'Recipe Ingredients'!$A$5:$A$1204,A760),""))</f>
        <v>0</v>
      </c>
      <c r="Q760" s="8">
        <f>IF(H760="","",COUNTIFS($H$5:$H$1204,"&gt;"&amp;H760)+1)</f>
        <v>0</v>
      </c>
      <c r="R760" s="8">
        <f>IF(B760="","",SUMIFS(Pantry!$C$5:$C$304,Pantry!$A$5:$A$304,B760))</f>
        <v>0</v>
      </c>
      <c r="S760" s="8">
        <f>IF(OR(B760="",C760=""),"",MAX(0,C760-R760))</f>
        <v>0</v>
      </c>
      <c r="T760" s="26"/>
      <c r="U760" s="8">
        <f>IF(OR(T760="",T760=0,G760=""),"",T760*G760)</f>
        <v>0</v>
      </c>
      <c r="V760" s="8">
        <f>IF(OR(S760="",T760="",T760=0),"",CEILING(S760/T760,1))</f>
        <v>0</v>
      </c>
      <c r="W760" s="27"/>
      <c r="X760" s="29"/>
      <c r="Y760" s="8">
        <f>IF(OR(C760="",X760=""),"",C760*(1+X760))</f>
        <v>0</v>
      </c>
      <c r="Z760" s="8">
        <f>IF(B760="","",IFERROR(INDEX(Ingredients!$O$5:$O$304,MATCH(B760,Ingredients!$A$5:$A$304,0)),""))</f>
        <v>0</v>
      </c>
      <c r="AA760" s="8">
        <f>IF(B760="","",IF(R760&gt;=C760,"In pantry","To buy"))</f>
        <v>0</v>
      </c>
      <c r="AB760" s="8">
        <f>IF(A760="","",COUNTIFS($A$5:A760,A760))</f>
        <v>0</v>
      </c>
      <c r="AC760" s="8">
        <f>IF(B760="","",IF(COUNTIFS('Dietary Filters'!$C$5:$C$104,B760)&gt;0,"Check","OK"))</f>
        <v>0</v>
      </c>
      <c r="AD760" s="25"/>
    </row>
    <row r="761" spans="1:30">
      <c r="A761" s="7"/>
      <c r="B761" s="7"/>
      <c r="C761" s="26"/>
      <c r="D761" s="27"/>
      <c r="E761" s="8">
        <f>IF(B761="","",IFERROR(INDEX(Ingredients!$B$5:$B$304,MATCH(B761,Ingredients!$A$5:$A$304,0)),""))</f>
        <v>0</v>
      </c>
      <c r="F761" s="8">
        <f>IF(B761="","",IFERROR(INDEX(Ingredients!$E$5:$E$304,MATCH(B761,Ingredients!$A$5:$A$304,0)),""))</f>
        <v>0</v>
      </c>
      <c r="G761" s="8">
        <f>IF(B761="","",IFERROR(INDEX(Ingredients!$D$5:$D$304,MATCH(B761,Ingredients!$A$5:$A$304,0)),""))</f>
        <v>0</v>
      </c>
      <c r="H761" s="8">
        <f>IF(OR(B761="",C761=""),"",IFERROR(C761*G761,""))</f>
        <v>0</v>
      </c>
      <c r="I761" s="8">
        <f>IF(A761="","",IFERROR(INDEX(Recipes!$D$5:$D$204,MATCH(A761,Recipes!$A$5:$A$204,0)),""))</f>
        <v>0</v>
      </c>
      <c r="J761" s="8">
        <f>IF(OR(H761="",I761="",I761=0),"",IFERROR(H761/I761,""))</f>
        <v>0</v>
      </c>
      <c r="K761" s="8">
        <f>IF(OR(B761="",C761=""),"",IFERROR(C761*IFERROR(INDEX(Ingredients!$H$5:$H$304,MATCH(B761,Ingredients!$A$5:$A$304,0)),""),""))</f>
        <v>0</v>
      </c>
      <c r="L761" s="8">
        <f>IF(OR(B761="",C761=""),"",IFERROR(C761*IFERROR(INDEX(Ingredients!$I$5:$I$304,MATCH(B761,Ingredients!$A$5:$A$304,0)),""),""))</f>
        <v>0</v>
      </c>
      <c r="M761" s="8">
        <f>IF(OR(B761="",C761=""),"",IFERROR(C761*IFERROR(INDEX(Ingredients!$J$5:$J$304,MATCH(B761,Ingredients!$A$5:$A$304,0)),""),""))</f>
        <v>0</v>
      </c>
      <c r="N761" s="8">
        <f>IF(OR(B761="",C761=""),"",IFERROR(C761*IFERROR(INDEX(Ingredients!$K$5:$K$304,MATCH(B761,Ingredients!$A$5:$A$304,0)),""),""))</f>
        <v>0</v>
      </c>
      <c r="O761" s="8">
        <f>IF(OR(B761="",C761=""),"",IFERROR(C761*IFERROR(INDEX(Ingredients!$L$5:$L$304,MATCH(B761,Ingredients!$A$5:$A$304,0)),""),""))</f>
        <v>0</v>
      </c>
      <c r="P761" s="8">
        <f>IF(OR(H761="",A761=""),"",IFERROR(H761/SUMIFS('Recipe Ingredients'!$H$5:$H$1204,'Recipe Ingredients'!$A$5:$A$1204,A761),""))</f>
        <v>0</v>
      </c>
      <c r="Q761" s="8">
        <f>IF(H761="","",COUNTIFS($H$5:$H$1204,"&gt;"&amp;H761)+1)</f>
        <v>0</v>
      </c>
      <c r="R761" s="8">
        <f>IF(B761="","",SUMIFS(Pantry!$C$5:$C$304,Pantry!$A$5:$A$304,B761))</f>
        <v>0</v>
      </c>
      <c r="S761" s="8">
        <f>IF(OR(B761="",C761=""),"",MAX(0,C761-R761))</f>
        <v>0</v>
      </c>
      <c r="T761" s="26"/>
      <c r="U761" s="8">
        <f>IF(OR(T761="",T761=0,G761=""),"",T761*G761)</f>
        <v>0</v>
      </c>
      <c r="V761" s="8">
        <f>IF(OR(S761="",T761="",T761=0),"",CEILING(S761/T761,1))</f>
        <v>0</v>
      </c>
      <c r="W761" s="27"/>
      <c r="X761" s="29"/>
      <c r="Y761" s="8">
        <f>IF(OR(C761="",X761=""),"",C761*(1+X761))</f>
        <v>0</v>
      </c>
      <c r="Z761" s="8">
        <f>IF(B761="","",IFERROR(INDEX(Ingredients!$O$5:$O$304,MATCH(B761,Ingredients!$A$5:$A$304,0)),""))</f>
        <v>0</v>
      </c>
      <c r="AA761" s="8">
        <f>IF(B761="","",IF(R761&gt;=C761,"In pantry","To buy"))</f>
        <v>0</v>
      </c>
      <c r="AB761" s="8">
        <f>IF(A761="","",COUNTIFS($A$5:A761,A761))</f>
        <v>0</v>
      </c>
      <c r="AC761" s="8">
        <f>IF(B761="","",IF(COUNTIFS('Dietary Filters'!$C$5:$C$104,B761)&gt;0,"Check","OK"))</f>
        <v>0</v>
      </c>
      <c r="AD761" s="25"/>
    </row>
    <row r="762" spans="1:30">
      <c r="A762" s="7"/>
      <c r="B762" s="7"/>
      <c r="C762" s="26"/>
      <c r="D762" s="27"/>
      <c r="E762" s="8">
        <f>IF(B762="","",IFERROR(INDEX(Ingredients!$B$5:$B$304,MATCH(B762,Ingredients!$A$5:$A$304,0)),""))</f>
        <v>0</v>
      </c>
      <c r="F762" s="8">
        <f>IF(B762="","",IFERROR(INDEX(Ingredients!$E$5:$E$304,MATCH(B762,Ingredients!$A$5:$A$304,0)),""))</f>
        <v>0</v>
      </c>
      <c r="G762" s="8">
        <f>IF(B762="","",IFERROR(INDEX(Ingredients!$D$5:$D$304,MATCH(B762,Ingredients!$A$5:$A$304,0)),""))</f>
        <v>0</v>
      </c>
      <c r="H762" s="8">
        <f>IF(OR(B762="",C762=""),"",IFERROR(C762*G762,""))</f>
        <v>0</v>
      </c>
      <c r="I762" s="8">
        <f>IF(A762="","",IFERROR(INDEX(Recipes!$D$5:$D$204,MATCH(A762,Recipes!$A$5:$A$204,0)),""))</f>
        <v>0</v>
      </c>
      <c r="J762" s="8">
        <f>IF(OR(H762="",I762="",I762=0),"",IFERROR(H762/I762,""))</f>
        <v>0</v>
      </c>
      <c r="K762" s="8">
        <f>IF(OR(B762="",C762=""),"",IFERROR(C762*IFERROR(INDEX(Ingredients!$H$5:$H$304,MATCH(B762,Ingredients!$A$5:$A$304,0)),""),""))</f>
        <v>0</v>
      </c>
      <c r="L762" s="8">
        <f>IF(OR(B762="",C762=""),"",IFERROR(C762*IFERROR(INDEX(Ingredients!$I$5:$I$304,MATCH(B762,Ingredients!$A$5:$A$304,0)),""),""))</f>
        <v>0</v>
      </c>
      <c r="M762" s="8">
        <f>IF(OR(B762="",C762=""),"",IFERROR(C762*IFERROR(INDEX(Ingredients!$J$5:$J$304,MATCH(B762,Ingredients!$A$5:$A$304,0)),""),""))</f>
        <v>0</v>
      </c>
      <c r="N762" s="8">
        <f>IF(OR(B762="",C762=""),"",IFERROR(C762*IFERROR(INDEX(Ingredients!$K$5:$K$304,MATCH(B762,Ingredients!$A$5:$A$304,0)),""),""))</f>
        <v>0</v>
      </c>
      <c r="O762" s="8">
        <f>IF(OR(B762="",C762=""),"",IFERROR(C762*IFERROR(INDEX(Ingredients!$L$5:$L$304,MATCH(B762,Ingredients!$A$5:$A$304,0)),""),""))</f>
        <v>0</v>
      </c>
      <c r="P762" s="8">
        <f>IF(OR(H762="",A762=""),"",IFERROR(H762/SUMIFS('Recipe Ingredients'!$H$5:$H$1204,'Recipe Ingredients'!$A$5:$A$1204,A762),""))</f>
        <v>0</v>
      </c>
      <c r="Q762" s="8">
        <f>IF(H762="","",COUNTIFS($H$5:$H$1204,"&gt;"&amp;H762)+1)</f>
        <v>0</v>
      </c>
      <c r="R762" s="8">
        <f>IF(B762="","",SUMIFS(Pantry!$C$5:$C$304,Pantry!$A$5:$A$304,B762))</f>
        <v>0</v>
      </c>
      <c r="S762" s="8">
        <f>IF(OR(B762="",C762=""),"",MAX(0,C762-R762))</f>
        <v>0</v>
      </c>
      <c r="T762" s="26"/>
      <c r="U762" s="8">
        <f>IF(OR(T762="",T762=0,G762=""),"",T762*G762)</f>
        <v>0</v>
      </c>
      <c r="V762" s="8">
        <f>IF(OR(S762="",T762="",T762=0),"",CEILING(S762/T762,1))</f>
        <v>0</v>
      </c>
      <c r="W762" s="27"/>
      <c r="X762" s="29"/>
      <c r="Y762" s="8">
        <f>IF(OR(C762="",X762=""),"",C762*(1+X762))</f>
        <v>0</v>
      </c>
      <c r="Z762" s="8">
        <f>IF(B762="","",IFERROR(INDEX(Ingredients!$O$5:$O$304,MATCH(B762,Ingredients!$A$5:$A$304,0)),""))</f>
        <v>0</v>
      </c>
      <c r="AA762" s="8">
        <f>IF(B762="","",IF(R762&gt;=C762,"In pantry","To buy"))</f>
        <v>0</v>
      </c>
      <c r="AB762" s="8">
        <f>IF(A762="","",COUNTIFS($A$5:A762,A762))</f>
        <v>0</v>
      </c>
      <c r="AC762" s="8">
        <f>IF(B762="","",IF(COUNTIFS('Dietary Filters'!$C$5:$C$104,B762)&gt;0,"Check","OK"))</f>
        <v>0</v>
      </c>
      <c r="AD762" s="25"/>
    </row>
    <row r="763" spans="1:30">
      <c r="A763" s="7"/>
      <c r="B763" s="7"/>
      <c r="C763" s="26"/>
      <c r="D763" s="27"/>
      <c r="E763" s="8">
        <f>IF(B763="","",IFERROR(INDEX(Ingredients!$B$5:$B$304,MATCH(B763,Ingredients!$A$5:$A$304,0)),""))</f>
        <v>0</v>
      </c>
      <c r="F763" s="8">
        <f>IF(B763="","",IFERROR(INDEX(Ingredients!$E$5:$E$304,MATCH(B763,Ingredients!$A$5:$A$304,0)),""))</f>
        <v>0</v>
      </c>
      <c r="G763" s="8">
        <f>IF(B763="","",IFERROR(INDEX(Ingredients!$D$5:$D$304,MATCH(B763,Ingredients!$A$5:$A$304,0)),""))</f>
        <v>0</v>
      </c>
      <c r="H763" s="8">
        <f>IF(OR(B763="",C763=""),"",IFERROR(C763*G763,""))</f>
        <v>0</v>
      </c>
      <c r="I763" s="8">
        <f>IF(A763="","",IFERROR(INDEX(Recipes!$D$5:$D$204,MATCH(A763,Recipes!$A$5:$A$204,0)),""))</f>
        <v>0</v>
      </c>
      <c r="J763" s="8">
        <f>IF(OR(H763="",I763="",I763=0),"",IFERROR(H763/I763,""))</f>
        <v>0</v>
      </c>
      <c r="K763" s="8">
        <f>IF(OR(B763="",C763=""),"",IFERROR(C763*IFERROR(INDEX(Ingredients!$H$5:$H$304,MATCH(B763,Ingredients!$A$5:$A$304,0)),""),""))</f>
        <v>0</v>
      </c>
      <c r="L763" s="8">
        <f>IF(OR(B763="",C763=""),"",IFERROR(C763*IFERROR(INDEX(Ingredients!$I$5:$I$304,MATCH(B763,Ingredients!$A$5:$A$304,0)),""),""))</f>
        <v>0</v>
      </c>
      <c r="M763" s="8">
        <f>IF(OR(B763="",C763=""),"",IFERROR(C763*IFERROR(INDEX(Ingredients!$J$5:$J$304,MATCH(B763,Ingredients!$A$5:$A$304,0)),""),""))</f>
        <v>0</v>
      </c>
      <c r="N763" s="8">
        <f>IF(OR(B763="",C763=""),"",IFERROR(C763*IFERROR(INDEX(Ingredients!$K$5:$K$304,MATCH(B763,Ingredients!$A$5:$A$304,0)),""),""))</f>
        <v>0</v>
      </c>
      <c r="O763" s="8">
        <f>IF(OR(B763="",C763=""),"",IFERROR(C763*IFERROR(INDEX(Ingredients!$L$5:$L$304,MATCH(B763,Ingredients!$A$5:$A$304,0)),""),""))</f>
        <v>0</v>
      </c>
      <c r="P763" s="8">
        <f>IF(OR(H763="",A763=""),"",IFERROR(H763/SUMIFS('Recipe Ingredients'!$H$5:$H$1204,'Recipe Ingredients'!$A$5:$A$1204,A763),""))</f>
        <v>0</v>
      </c>
      <c r="Q763" s="8">
        <f>IF(H763="","",COUNTIFS($H$5:$H$1204,"&gt;"&amp;H763)+1)</f>
        <v>0</v>
      </c>
      <c r="R763" s="8">
        <f>IF(B763="","",SUMIFS(Pantry!$C$5:$C$304,Pantry!$A$5:$A$304,B763))</f>
        <v>0</v>
      </c>
      <c r="S763" s="8">
        <f>IF(OR(B763="",C763=""),"",MAX(0,C763-R763))</f>
        <v>0</v>
      </c>
      <c r="T763" s="26"/>
      <c r="U763" s="8">
        <f>IF(OR(T763="",T763=0,G763=""),"",T763*G763)</f>
        <v>0</v>
      </c>
      <c r="V763" s="8">
        <f>IF(OR(S763="",T763="",T763=0),"",CEILING(S763/T763,1))</f>
        <v>0</v>
      </c>
      <c r="W763" s="27"/>
      <c r="X763" s="29"/>
      <c r="Y763" s="8">
        <f>IF(OR(C763="",X763=""),"",C763*(1+X763))</f>
        <v>0</v>
      </c>
      <c r="Z763" s="8">
        <f>IF(B763="","",IFERROR(INDEX(Ingredients!$O$5:$O$304,MATCH(B763,Ingredients!$A$5:$A$304,0)),""))</f>
        <v>0</v>
      </c>
      <c r="AA763" s="8">
        <f>IF(B763="","",IF(R763&gt;=C763,"In pantry","To buy"))</f>
        <v>0</v>
      </c>
      <c r="AB763" s="8">
        <f>IF(A763="","",COUNTIFS($A$5:A763,A763))</f>
        <v>0</v>
      </c>
      <c r="AC763" s="8">
        <f>IF(B763="","",IF(COUNTIFS('Dietary Filters'!$C$5:$C$104,B763)&gt;0,"Check","OK"))</f>
        <v>0</v>
      </c>
      <c r="AD763" s="25"/>
    </row>
    <row r="764" spans="1:30">
      <c r="A764" s="7"/>
      <c r="B764" s="7"/>
      <c r="C764" s="26"/>
      <c r="D764" s="27"/>
      <c r="E764" s="8">
        <f>IF(B764="","",IFERROR(INDEX(Ingredients!$B$5:$B$304,MATCH(B764,Ingredients!$A$5:$A$304,0)),""))</f>
        <v>0</v>
      </c>
      <c r="F764" s="8">
        <f>IF(B764="","",IFERROR(INDEX(Ingredients!$E$5:$E$304,MATCH(B764,Ingredients!$A$5:$A$304,0)),""))</f>
        <v>0</v>
      </c>
      <c r="G764" s="8">
        <f>IF(B764="","",IFERROR(INDEX(Ingredients!$D$5:$D$304,MATCH(B764,Ingredients!$A$5:$A$304,0)),""))</f>
        <v>0</v>
      </c>
      <c r="H764" s="8">
        <f>IF(OR(B764="",C764=""),"",IFERROR(C764*G764,""))</f>
        <v>0</v>
      </c>
      <c r="I764" s="8">
        <f>IF(A764="","",IFERROR(INDEX(Recipes!$D$5:$D$204,MATCH(A764,Recipes!$A$5:$A$204,0)),""))</f>
        <v>0</v>
      </c>
      <c r="J764" s="8">
        <f>IF(OR(H764="",I764="",I764=0),"",IFERROR(H764/I764,""))</f>
        <v>0</v>
      </c>
      <c r="K764" s="8">
        <f>IF(OR(B764="",C764=""),"",IFERROR(C764*IFERROR(INDEX(Ingredients!$H$5:$H$304,MATCH(B764,Ingredients!$A$5:$A$304,0)),""),""))</f>
        <v>0</v>
      </c>
      <c r="L764" s="8">
        <f>IF(OR(B764="",C764=""),"",IFERROR(C764*IFERROR(INDEX(Ingredients!$I$5:$I$304,MATCH(B764,Ingredients!$A$5:$A$304,0)),""),""))</f>
        <v>0</v>
      </c>
      <c r="M764" s="8">
        <f>IF(OR(B764="",C764=""),"",IFERROR(C764*IFERROR(INDEX(Ingredients!$J$5:$J$304,MATCH(B764,Ingredients!$A$5:$A$304,0)),""),""))</f>
        <v>0</v>
      </c>
      <c r="N764" s="8">
        <f>IF(OR(B764="",C764=""),"",IFERROR(C764*IFERROR(INDEX(Ingredients!$K$5:$K$304,MATCH(B764,Ingredients!$A$5:$A$304,0)),""),""))</f>
        <v>0</v>
      </c>
      <c r="O764" s="8">
        <f>IF(OR(B764="",C764=""),"",IFERROR(C764*IFERROR(INDEX(Ingredients!$L$5:$L$304,MATCH(B764,Ingredients!$A$5:$A$304,0)),""),""))</f>
        <v>0</v>
      </c>
      <c r="P764" s="8">
        <f>IF(OR(H764="",A764=""),"",IFERROR(H764/SUMIFS('Recipe Ingredients'!$H$5:$H$1204,'Recipe Ingredients'!$A$5:$A$1204,A764),""))</f>
        <v>0</v>
      </c>
      <c r="Q764" s="8">
        <f>IF(H764="","",COUNTIFS($H$5:$H$1204,"&gt;"&amp;H764)+1)</f>
        <v>0</v>
      </c>
      <c r="R764" s="8">
        <f>IF(B764="","",SUMIFS(Pantry!$C$5:$C$304,Pantry!$A$5:$A$304,B764))</f>
        <v>0</v>
      </c>
      <c r="S764" s="8">
        <f>IF(OR(B764="",C764=""),"",MAX(0,C764-R764))</f>
        <v>0</v>
      </c>
      <c r="T764" s="26"/>
      <c r="U764" s="8">
        <f>IF(OR(T764="",T764=0,G764=""),"",T764*G764)</f>
        <v>0</v>
      </c>
      <c r="V764" s="8">
        <f>IF(OR(S764="",T764="",T764=0),"",CEILING(S764/T764,1))</f>
        <v>0</v>
      </c>
      <c r="W764" s="27"/>
      <c r="X764" s="29"/>
      <c r="Y764" s="8">
        <f>IF(OR(C764="",X764=""),"",C764*(1+X764))</f>
        <v>0</v>
      </c>
      <c r="Z764" s="8">
        <f>IF(B764="","",IFERROR(INDEX(Ingredients!$O$5:$O$304,MATCH(B764,Ingredients!$A$5:$A$304,0)),""))</f>
        <v>0</v>
      </c>
      <c r="AA764" s="8">
        <f>IF(B764="","",IF(R764&gt;=C764,"In pantry","To buy"))</f>
        <v>0</v>
      </c>
      <c r="AB764" s="8">
        <f>IF(A764="","",COUNTIFS($A$5:A764,A764))</f>
        <v>0</v>
      </c>
      <c r="AC764" s="8">
        <f>IF(B764="","",IF(COUNTIFS('Dietary Filters'!$C$5:$C$104,B764)&gt;0,"Check","OK"))</f>
        <v>0</v>
      </c>
      <c r="AD764" s="25"/>
    </row>
    <row r="765" spans="1:30">
      <c r="A765" s="7"/>
      <c r="B765" s="7"/>
      <c r="C765" s="26"/>
      <c r="D765" s="27"/>
      <c r="E765" s="8">
        <f>IF(B765="","",IFERROR(INDEX(Ingredients!$B$5:$B$304,MATCH(B765,Ingredients!$A$5:$A$304,0)),""))</f>
        <v>0</v>
      </c>
      <c r="F765" s="8">
        <f>IF(B765="","",IFERROR(INDEX(Ingredients!$E$5:$E$304,MATCH(B765,Ingredients!$A$5:$A$304,0)),""))</f>
        <v>0</v>
      </c>
      <c r="G765" s="8">
        <f>IF(B765="","",IFERROR(INDEX(Ingredients!$D$5:$D$304,MATCH(B765,Ingredients!$A$5:$A$304,0)),""))</f>
        <v>0</v>
      </c>
      <c r="H765" s="8">
        <f>IF(OR(B765="",C765=""),"",IFERROR(C765*G765,""))</f>
        <v>0</v>
      </c>
      <c r="I765" s="8">
        <f>IF(A765="","",IFERROR(INDEX(Recipes!$D$5:$D$204,MATCH(A765,Recipes!$A$5:$A$204,0)),""))</f>
        <v>0</v>
      </c>
      <c r="J765" s="8">
        <f>IF(OR(H765="",I765="",I765=0),"",IFERROR(H765/I765,""))</f>
        <v>0</v>
      </c>
      <c r="K765" s="8">
        <f>IF(OR(B765="",C765=""),"",IFERROR(C765*IFERROR(INDEX(Ingredients!$H$5:$H$304,MATCH(B765,Ingredients!$A$5:$A$304,0)),""),""))</f>
        <v>0</v>
      </c>
      <c r="L765" s="8">
        <f>IF(OR(B765="",C765=""),"",IFERROR(C765*IFERROR(INDEX(Ingredients!$I$5:$I$304,MATCH(B765,Ingredients!$A$5:$A$304,0)),""),""))</f>
        <v>0</v>
      </c>
      <c r="M765" s="8">
        <f>IF(OR(B765="",C765=""),"",IFERROR(C765*IFERROR(INDEX(Ingredients!$J$5:$J$304,MATCH(B765,Ingredients!$A$5:$A$304,0)),""),""))</f>
        <v>0</v>
      </c>
      <c r="N765" s="8">
        <f>IF(OR(B765="",C765=""),"",IFERROR(C765*IFERROR(INDEX(Ingredients!$K$5:$K$304,MATCH(B765,Ingredients!$A$5:$A$304,0)),""),""))</f>
        <v>0</v>
      </c>
      <c r="O765" s="8">
        <f>IF(OR(B765="",C765=""),"",IFERROR(C765*IFERROR(INDEX(Ingredients!$L$5:$L$304,MATCH(B765,Ingredients!$A$5:$A$304,0)),""),""))</f>
        <v>0</v>
      </c>
      <c r="P765" s="8">
        <f>IF(OR(H765="",A765=""),"",IFERROR(H765/SUMIFS('Recipe Ingredients'!$H$5:$H$1204,'Recipe Ingredients'!$A$5:$A$1204,A765),""))</f>
        <v>0</v>
      </c>
      <c r="Q765" s="8">
        <f>IF(H765="","",COUNTIFS($H$5:$H$1204,"&gt;"&amp;H765)+1)</f>
        <v>0</v>
      </c>
      <c r="R765" s="8">
        <f>IF(B765="","",SUMIFS(Pantry!$C$5:$C$304,Pantry!$A$5:$A$304,B765))</f>
        <v>0</v>
      </c>
      <c r="S765" s="8">
        <f>IF(OR(B765="",C765=""),"",MAX(0,C765-R765))</f>
        <v>0</v>
      </c>
      <c r="T765" s="26"/>
      <c r="U765" s="8">
        <f>IF(OR(T765="",T765=0,G765=""),"",T765*G765)</f>
        <v>0</v>
      </c>
      <c r="V765" s="8">
        <f>IF(OR(S765="",T765="",T765=0),"",CEILING(S765/T765,1))</f>
        <v>0</v>
      </c>
      <c r="W765" s="27"/>
      <c r="X765" s="29"/>
      <c r="Y765" s="8">
        <f>IF(OR(C765="",X765=""),"",C765*(1+X765))</f>
        <v>0</v>
      </c>
      <c r="Z765" s="8">
        <f>IF(B765="","",IFERROR(INDEX(Ingredients!$O$5:$O$304,MATCH(B765,Ingredients!$A$5:$A$304,0)),""))</f>
        <v>0</v>
      </c>
      <c r="AA765" s="8">
        <f>IF(B765="","",IF(R765&gt;=C765,"In pantry","To buy"))</f>
        <v>0</v>
      </c>
      <c r="AB765" s="8">
        <f>IF(A765="","",COUNTIFS($A$5:A765,A765))</f>
        <v>0</v>
      </c>
      <c r="AC765" s="8">
        <f>IF(B765="","",IF(COUNTIFS('Dietary Filters'!$C$5:$C$104,B765)&gt;0,"Check","OK"))</f>
        <v>0</v>
      </c>
      <c r="AD765" s="25"/>
    </row>
    <row r="766" spans="1:30">
      <c r="A766" s="7"/>
      <c r="B766" s="7"/>
      <c r="C766" s="26"/>
      <c r="D766" s="27"/>
      <c r="E766" s="8">
        <f>IF(B766="","",IFERROR(INDEX(Ingredients!$B$5:$B$304,MATCH(B766,Ingredients!$A$5:$A$304,0)),""))</f>
        <v>0</v>
      </c>
      <c r="F766" s="8">
        <f>IF(B766="","",IFERROR(INDEX(Ingredients!$E$5:$E$304,MATCH(B766,Ingredients!$A$5:$A$304,0)),""))</f>
        <v>0</v>
      </c>
      <c r="G766" s="8">
        <f>IF(B766="","",IFERROR(INDEX(Ingredients!$D$5:$D$304,MATCH(B766,Ingredients!$A$5:$A$304,0)),""))</f>
        <v>0</v>
      </c>
      <c r="H766" s="8">
        <f>IF(OR(B766="",C766=""),"",IFERROR(C766*G766,""))</f>
        <v>0</v>
      </c>
      <c r="I766" s="8">
        <f>IF(A766="","",IFERROR(INDEX(Recipes!$D$5:$D$204,MATCH(A766,Recipes!$A$5:$A$204,0)),""))</f>
        <v>0</v>
      </c>
      <c r="J766" s="8">
        <f>IF(OR(H766="",I766="",I766=0),"",IFERROR(H766/I766,""))</f>
        <v>0</v>
      </c>
      <c r="K766" s="8">
        <f>IF(OR(B766="",C766=""),"",IFERROR(C766*IFERROR(INDEX(Ingredients!$H$5:$H$304,MATCH(B766,Ingredients!$A$5:$A$304,0)),""),""))</f>
        <v>0</v>
      </c>
      <c r="L766" s="8">
        <f>IF(OR(B766="",C766=""),"",IFERROR(C766*IFERROR(INDEX(Ingredients!$I$5:$I$304,MATCH(B766,Ingredients!$A$5:$A$304,0)),""),""))</f>
        <v>0</v>
      </c>
      <c r="M766" s="8">
        <f>IF(OR(B766="",C766=""),"",IFERROR(C766*IFERROR(INDEX(Ingredients!$J$5:$J$304,MATCH(B766,Ingredients!$A$5:$A$304,0)),""),""))</f>
        <v>0</v>
      </c>
      <c r="N766" s="8">
        <f>IF(OR(B766="",C766=""),"",IFERROR(C766*IFERROR(INDEX(Ingredients!$K$5:$K$304,MATCH(B766,Ingredients!$A$5:$A$304,0)),""),""))</f>
        <v>0</v>
      </c>
      <c r="O766" s="8">
        <f>IF(OR(B766="",C766=""),"",IFERROR(C766*IFERROR(INDEX(Ingredients!$L$5:$L$304,MATCH(B766,Ingredients!$A$5:$A$304,0)),""),""))</f>
        <v>0</v>
      </c>
      <c r="P766" s="8">
        <f>IF(OR(H766="",A766=""),"",IFERROR(H766/SUMIFS('Recipe Ingredients'!$H$5:$H$1204,'Recipe Ingredients'!$A$5:$A$1204,A766),""))</f>
        <v>0</v>
      </c>
      <c r="Q766" s="8">
        <f>IF(H766="","",COUNTIFS($H$5:$H$1204,"&gt;"&amp;H766)+1)</f>
        <v>0</v>
      </c>
      <c r="R766" s="8">
        <f>IF(B766="","",SUMIFS(Pantry!$C$5:$C$304,Pantry!$A$5:$A$304,B766))</f>
        <v>0</v>
      </c>
      <c r="S766" s="8">
        <f>IF(OR(B766="",C766=""),"",MAX(0,C766-R766))</f>
        <v>0</v>
      </c>
      <c r="T766" s="26"/>
      <c r="U766" s="8">
        <f>IF(OR(T766="",T766=0,G766=""),"",T766*G766)</f>
        <v>0</v>
      </c>
      <c r="V766" s="8">
        <f>IF(OR(S766="",T766="",T766=0),"",CEILING(S766/T766,1))</f>
        <v>0</v>
      </c>
      <c r="W766" s="27"/>
      <c r="X766" s="29"/>
      <c r="Y766" s="8">
        <f>IF(OR(C766="",X766=""),"",C766*(1+X766))</f>
        <v>0</v>
      </c>
      <c r="Z766" s="8">
        <f>IF(B766="","",IFERROR(INDEX(Ingredients!$O$5:$O$304,MATCH(B766,Ingredients!$A$5:$A$304,0)),""))</f>
        <v>0</v>
      </c>
      <c r="AA766" s="8">
        <f>IF(B766="","",IF(R766&gt;=C766,"In pantry","To buy"))</f>
        <v>0</v>
      </c>
      <c r="AB766" s="8">
        <f>IF(A766="","",COUNTIFS($A$5:A766,A766))</f>
        <v>0</v>
      </c>
      <c r="AC766" s="8">
        <f>IF(B766="","",IF(COUNTIFS('Dietary Filters'!$C$5:$C$104,B766)&gt;0,"Check","OK"))</f>
        <v>0</v>
      </c>
      <c r="AD766" s="25"/>
    </row>
    <row r="767" spans="1:30">
      <c r="A767" s="7"/>
      <c r="B767" s="7"/>
      <c r="C767" s="26"/>
      <c r="D767" s="27"/>
      <c r="E767" s="8">
        <f>IF(B767="","",IFERROR(INDEX(Ingredients!$B$5:$B$304,MATCH(B767,Ingredients!$A$5:$A$304,0)),""))</f>
        <v>0</v>
      </c>
      <c r="F767" s="8">
        <f>IF(B767="","",IFERROR(INDEX(Ingredients!$E$5:$E$304,MATCH(B767,Ingredients!$A$5:$A$304,0)),""))</f>
        <v>0</v>
      </c>
      <c r="G767" s="8">
        <f>IF(B767="","",IFERROR(INDEX(Ingredients!$D$5:$D$304,MATCH(B767,Ingredients!$A$5:$A$304,0)),""))</f>
        <v>0</v>
      </c>
      <c r="H767" s="8">
        <f>IF(OR(B767="",C767=""),"",IFERROR(C767*G767,""))</f>
        <v>0</v>
      </c>
      <c r="I767" s="8">
        <f>IF(A767="","",IFERROR(INDEX(Recipes!$D$5:$D$204,MATCH(A767,Recipes!$A$5:$A$204,0)),""))</f>
        <v>0</v>
      </c>
      <c r="J767" s="8">
        <f>IF(OR(H767="",I767="",I767=0),"",IFERROR(H767/I767,""))</f>
        <v>0</v>
      </c>
      <c r="K767" s="8">
        <f>IF(OR(B767="",C767=""),"",IFERROR(C767*IFERROR(INDEX(Ingredients!$H$5:$H$304,MATCH(B767,Ingredients!$A$5:$A$304,0)),""),""))</f>
        <v>0</v>
      </c>
      <c r="L767" s="8">
        <f>IF(OR(B767="",C767=""),"",IFERROR(C767*IFERROR(INDEX(Ingredients!$I$5:$I$304,MATCH(B767,Ingredients!$A$5:$A$304,0)),""),""))</f>
        <v>0</v>
      </c>
      <c r="M767" s="8">
        <f>IF(OR(B767="",C767=""),"",IFERROR(C767*IFERROR(INDEX(Ingredients!$J$5:$J$304,MATCH(B767,Ingredients!$A$5:$A$304,0)),""),""))</f>
        <v>0</v>
      </c>
      <c r="N767" s="8">
        <f>IF(OR(B767="",C767=""),"",IFERROR(C767*IFERROR(INDEX(Ingredients!$K$5:$K$304,MATCH(B767,Ingredients!$A$5:$A$304,0)),""),""))</f>
        <v>0</v>
      </c>
      <c r="O767" s="8">
        <f>IF(OR(B767="",C767=""),"",IFERROR(C767*IFERROR(INDEX(Ingredients!$L$5:$L$304,MATCH(B767,Ingredients!$A$5:$A$304,0)),""),""))</f>
        <v>0</v>
      </c>
      <c r="P767" s="8">
        <f>IF(OR(H767="",A767=""),"",IFERROR(H767/SUMIFS('Recipe Ingredients'!$H$5:$H$1204,'Recipe Ingredients'!$A$5:$A$1204,A767),""))</f>
        <v>0</v>
      </c>
      <c r="Q767" s="8">
        <f>IF(H767="","",COUNTIFS($H$5:$H$1204,"&gt;"&amp;H767)+1)</f>
        <v>0</v>
      </c>
      <c r="R767" s="8">
        <f>IF(B767="","",SUMIFS(Pantry!$C$5:$C$304,Pantry!$A$5:$A$304,B767))</f>
        <v>0</v>
      </c>
      <c r="S767" s="8">
        <f>IF(OR(B767="",C767=""),"",MAX(0,C767-R767))</f>
        <v>0</v>
      </c>
      <c r="T767" s="26"/>
      <c r="U767" s="8">
        <f>IF(OR(T767="",T767=0,G767=""),"",T767*G767)</f>
        <v>0</v>
      </c>
      <c r="V767" s="8">
        <f>IF(OR(S767="",T767="",T767=0),"",CEILING(S767/T767,1))</f>
        <v>0</v>
      </c>
      <c r="W767" s="27"/>
      <c r="X767" s="29"/>
      <c r="Y767" s="8">
        <f>IF(OR(C767="",X767=""),"",C767*(1+X767))</f>
        <v>0</v>
      </c>
      <c r="Z767" s="8">
        <f>IF(B767="","",IFERROR(INDEX(Ingredients!$O$5:$O$304,MATCH(B767,Ingredients!$A$5:$A$304,0)),""))</f>
        <v>0</v>
      </c>
      <c r="AA767" s="8">
        <f>IF(B767="","",IF(R767&gt;=C767,"In pantry","To buy"))</f>
        <v>0</v>
      </c>
      <c r="AB767" s="8">
        <f>IF(A767="","",COUNTIFS($A$5:A767,A767))</f>
        <v>0</v>
      </c>
      <c r="AC767" s="8">
        <f>IF(B767="","",IF(COUNTIFS('Dietary Filters'!$C$5:$C$104,B767)&gt;0,"Check","OK"))</f>
        <v>0</v>
      </c>
      <c r="AD767" s="25"/>
    </row>
    <row r="768" spans="1:30">
      <c r="A768" s="7"/>
      <c r="B768" s="7"/>
      <c r="C768" s="26"/>
      <c r="D768" s="27"/>
      <c r="E768" s="8">
        <f>IF(B768="","",IFERROR(INDEX(Ingredients!$B$5:$B$304,MATCH(B768,Ingredients!$A$5:$A$304,0)),""))</f>
        <v>0</v>
      </c>
      <c r="F768" s="8">
        <f>IF(B768="","",IFERROR(INDEX(Ingredients!$E$5:$E$304,MATCH(B768,Ingredients!$A$5:$A$304,0)),""))</f>
        <v>0</v>
      </c>
      <c r="G768" s="8">
        <f>IF(B768="","",IFERROR(INDEX(Ingredients!$D$5:$D$304,MATCH(B768,Ingredients!$A$5:$A$304,0)),""))</f>
        <v>0</v>
      </c>
      <c r="H768" s="8">
        <f>IF(OR(B768="",C768=""),"",IFERROR(C768*G768,""))</f>
        <v>0</v>
      </c>
      <c r="I768" s="8">
        <f>IF(A768="","",IFERROR(INDEX(Recipes!$D$5:$D$204,MATCH(A768,Recipes!$A$5:$A$204,0)),""))</f>
        <v>0</v>
      </c>
      <c r="J768" s="8">
        <f>IF(OR(H768="",I768="",I768=0),"",IFERROR(H768/I768,""))</f>
        <v>0</v>
      </c>
      <c r="K768" s="8">
        <f>IF(OR(B768="",C768=""),"",IFERROR(C768*IFERROR(INDEX(Ingredients!$H$5:$H$304,MATCH(B768,Ingredients!$A$5:$A$304,0)),""),""))</f>
        <v>0</v>
      </c>
      <c r="L768" s="8">
        <f>IF(OR(B768="",C768=""),"",IFERROR(C768*IFERROR(INDEX(Ingredients!$I$5:$I$304,MATCH(B768,Ingredients!$A$5:$A$304,0)),""),""))</f>
        <v>0</v>
      </c>
      <c r="M768" s="8">
        <f>IF(OR(B768="",C768=""),"",IFERROR(C768*IFERROR(INDEX(Ingredients!$J$5:$J$304,MATCH(B768,Ingredients!$A$5:$A$304,0)),""),""))</f>
        <v>0</v>
      </c>
      <c r="N768" s="8">
        <f>IF(OR(B768="",C768=""),"",IFERROR(C768*IFERROR(INDEX(Ingredients!$K$5:$K$304,MATCH(B768,Ingredients!$A$5:$A$304,0)),""),""))</f>
        <v>0</v>
      </c>
      <c r="O768" s="8">
        <f>IF(OR(B768="",C768=""),"",IFERROR(C768*IFERROR(INDEX(Ingredients!$L$5:$L$304,MATCH(B768,Ingredients!$A$5:$A$304,0)),""),""))</f>
        <v>0</v>
      </c>
      <c r="P768" s="8">
        <f>IF(OR(H768="",A768=""),"",IFERROR(H768/SUMIFS('Recipe Ingredients'!$H$5:$H$1204,'Recipe Ingredients'!$A$5:$A$1204,A768),""))</f>
        <v>0</v>
      </c>
      <c r="Q768" s="8">
        <f>IF(H768="","",COUNTIFS($H$5:$H$1204,"&gt;"&amp;H768)+1)</f>
        <v>0</v>
      </c>
      <c r="R768" s="8">
        <f>IF(B768="","",SUMIFS(Pantry!$C$5:$C$304,Pantry!$A$5:$A$304,B768))</f>
        <v>0</v>
      </c>
      <c r="S768" s="8">
        <f>IF(OR(B768="",C768=""),"",MAX(0,C768-R768))</f>
        <v>0</v>
      </c>
      <c r="T768" s="26"/>
      <c r="U768" s="8">
        <f>IF(OR(T768="",T768=0,G768=""),"",T768*G768)</f>
        <v>0</v>
      </c>
      <c r="V768" s="8">
        <f>IF(OR(S768="",T768="",T768=0),"",CEILING(S768/T768,1))</f>
        <v>0</v>
      </c>
      <c r="W768" s="27"/>
      <c r="X768" s="29"/>
      <c r="Y768" s="8">
        <f>IF(OR(C768="",X768=""),"",C768*(1+X768))</f>
        <v>0</v>
      </c>
      <c r="Z768" s="8">
        <f>IF(B768="","",IFERROR(INDEX(Ingredients!$O$5:$O$304,MATCH(B768,Ingredients!$A$5:$A$304,0)),""))</f>
        <v>0</v>
      </c>
      <c r="AA768" s="8">
        <f>IF(B768="","",IF(R768&gt;=C768,"In pantry","To buy"))</f>
        <v>0</v>
      </c>
      <c r="AB768" s="8">
        <f>IF(A768="","",COUNTIFS($A$5:A768,A768))</f>
        <v>0</v>
      </c>
      <c r="AC768" s="8">
        <f>IF(B768="","",IF(COUNTIFS('Dietary Filters'!$C$5:$C$104,B768)&gt;0,"Check","OK"))</f>
        <v>0</v>
      </c>
      <c r="AD768" s="25"/>
    </row>
    <row r="769" spans="1:30">
      <c r="A769" s="7"/>
      <c r="B769" s="7"/>
      <c r="C769" s="26"/>
      <c r="D769" s="27"/>
      <c r="E769" s="8">
        <f>IF(B769="","",IFERROR(INDEX(Ingredients!$B$5:$B$304,MATCH(B769,Ingredients!$A$5:$A$304,0)),""))</f>
        <v>0</v>
      </c>
      <c r="F769" s="8">
        <f>IF(B769="","",IFERROR(INDEX(Ingredients!$E$5:$E$304,MATCH(B769,Ingredients!$A$5:$A$304,0)),""))</f>
        <v>0</v>
      </c>
      <c r="G769" s="8">
        <f>IF(B769="","",IFERROR(INDEX(Ingredients!$D$5:$D$304,MATCH(B769,Ingredients!$A$5:$A$304,0)),""))</f>
        <v>0</v>
      </c>
      <c r="H769" s="8">
        <f>IF(OR(B769="",C769=""),"",IFERROR(C769*G769,""))</f>
        <v>0</v>
      </c>
      <c r="I769" s="8">
        <f>IF(A769="","",IFERROR(INDEX(Recipes!$D$5:$D$204,MATCH(A769,Recipes!$A$5:$A$204,0)),""))</f>
        <v>0</v>
      </c>
      <c r="J769" s="8">
        <f>IF(OR(H769="",I769="",I769=0),"",IFERROR(H769/I769,""))</f>
        <v>0</v>
      </c>
      <c r="K769" s="8">
        <f>IF(OR(B769="",C769=""),"",IFERROR(C769*IFERROR(INDEX(Ingredients!$H$5:$H$304,MATCH(B769,Ingredients!$A$5:$A$304,0)),""),""))</f>
        <v>0</v>
      </c>
      <c r="L769" s="8">
        <f>IF(OR(B769="",C769=""),"",IFERROR(C769*IFERROR(INDEX(Ingredients!$I$5:$I$304,MATCH(B769,Ingredients!$A$5:$A$304,0)),""),""))</f>
        <v>0</v>
      </c>
      <c r="M769" s="8">
        <f>IF(OR(B769="",C769=""),"",IFERROR(C769*IFERROR(INDEX(Ingredients!$J$5:$J$304,MATCH(B769,Ingredients!$A$5:$A$304,0)),""),""))</f>
        <v>0</v>
      </c>
      <c r="N769" s="8">
        <f>IF(OR(B769="",C769=""),"",IFERROR(C769*IFERROR(INDEX(Ingredients!$K$5:$K$304,MATCH(B769,Ingredients!$A$5:$A$304,0)),""),""))</f>
        <v>0</v>
      </c>
      <c r="O769" s="8">
        <f>IF(OR(B769="",C769=""),"",IFERROR(C769*IFERROR(INDEX(Ingredients!$L$5:$L$304,MATCH(B769,Ingredients!$A$5:$A$304,0)),""),""))</f>
        <v>0</v>
      </c>
      <c r="P769" s="8">
        <f>IF(OR(H769="",A769=""),"",IFERROR(H769/SUMIFS('Recipe Ingredients'!$H$5:$H$1204,'Recipe Ingredients'!$A$5:$A$1204,A769),""))</f>
        <v>0</v>
      </c>
      <c r="Q769" s="8">
        <f>IF(H769="","",COUNTIFS($H$5:$H$1204,"&gt;"&amp;H769)+1)</f>
        <v>0</v>
      </c>
      <c r="R769" s="8">
        <f>IF(B769="","",SUMIFS(Pantry!$C$5:$C$304,Pantry!$A$5:$A$304,B769))</f>
        <v>0</v>
      </c>
      <c r="S769" s="8">
        <f>IF(OR(B769="",C769=""),"",MAX(0,C769-R769))</f>
        <v>0</v>
      </c>
      <c r="T769" s="26"/>
      <c r="U769" s="8">
        <f>IF(OR(T769="",T769=0,G769=""),"",T769*G769)</f>
        <v>0</v>
      </c>
      <c r="V769" s="8">
        <f>IF(OR(S769="",T769="",T769=0),"",CEILING(S769/T769,1))</f>
        <v>0</v>
      </c>
      <c r="W769" s="27"/>
      <c r="X769" s="29"/>
      <c r="Y769" s="8">
        <f>IF(OR(C769="",X769=""),"",C769*(1+X769))</f>
        <v>0</v>
      </c>
      <c r="Z769" s="8">
        <f>IF(B769="","",IFERROR(INDEX(Ingredients!$O$5:$O$304,MATCH(B769,Ingredients!$A$5:$A$304,0)),""))</f>
        <v>0</v>
      </c>
      <c r="AA769" s="8">
        <f>IF(B769="","",IF(R769&gt;=C769,"In pantry","To buy"))</f>
        <v>0</v>
      </c>
      <c r="AB769" s="8">
        <f>IF(A769="","",COUNTIFS($A$5:A769,A769))</f>
        <v>0</v>
      </c>
      <c r="AC769" s="8">
        <f>IF(B769="","",IF(COUNTIFS('Dietary Filters'!$C$5:$C$104,B769)&gt;0,"Check","OK"))</f>
        <v>0</v>
      </c>
      <c r="AD769" s="25"/>
    </row>
    <row r="770" spans="1:30">
      <c r="A770" s="7"/>
      <c r="B770" s="7"/>
      <c r="C770" s="26"/>
      <c r="D770" s="27"/>
      <c r="E770" s="8">
        <f>IF(B770="","",IFERROR(INDEX(Ingredients!$B$5:$B$304,MATCH(B770,Ingredients!$A$5:$A$304,0)),""))</f>
        <v>0</v>
      </c>
      <c r="F770" s="8">
        <f>IF(B770="","",IFERROR(INDEX(Ingredients!$E$5:$E$304,MATCH(B770,Ingredients!$A$5:$A$304,0)),""))</f>
        <v>0</v>
      </c>
      <c r="G770" s="8">
        <f>IF(B770="","",IFERROR(INDEX(Ingredients!$D$5:$D$304,MATCH(B770,Ingredients!$A$5:$A$304,0)),""))</f>
        <v>0</v>
      </c>
      <c r="H770" s="8">
        <f>IF(OR(B770="",C770=""),"",IFERROR(C770*G770,""))</f>
        <v>0</v>
      </c>
      <c r="I770" s="8">
        <f>IF(A770="","",IFERROR(INDEX(Recipes!$D$5:$D$204,MATCH(A770,Recipes!$A$5:$A$204,0)),""))</f>
        <v>0</v>
      </c>
      <c r="J770" s="8">
        <f>IF(OR(H770="",I770="",I770=0),"",IFERROR(H770/I770,""))</f>
        <v>0</v>
      </c>
      <c r="K770" s="8">
        <f>IF(OR(B770="",C770=""),"",IFERROR(C770*IFERROR(INDEX(Ingredients!$H$5:$H$304,MATCH(B770,Ingredients!$A$5:$A$304,0)),""),""))</f>
        <v>0</v>
      </c>
      <c r="L770" s="8">
        <f>IF(OR(B770="",C770=""),"",IFERROR(C770*IFERROR(INDEX(Ingredients!$I$5:$I$304,MATCH(B770,Ingredients!$A$5:$A$304,0)),""),""))</f>
        <v>0</v>
      </c>
      <c r="M770" s="8">
        <f>IF(OR(B770="",C770=""),"",IFERROR(C770*IFERROR(INDEX(Ingredients!$J$5:$J$304,MATCH(B770,Ingredients!$A$5:$A$304,0)),""),""))</f>
        <v>0</v>
      </c>
      <c r="N770" s="8">
        <f>IF(OR(B770="",C770=""),"",IFERROR(C770*IFERROR(INDEX(Ingredients!$K$5:$K$304,MATCH(B770,Ingredients!$A$5:$A$304,0)),""),""))</f>
        <v>0</v>
      </c>
      <c r="O770" s="8">
        <f>IF(OR(B770="",C770=""),"",IFERROR(C770*IFERROR(INDEX(Ingredients!$L$5:$L$304,MATCH(B770,Ingredients!$A$5:$A$304,0)),""),""))</f>
        <v>0</v>
      </c>
      <c r="P770" s="8">
        <f>IF(OR(H770="",A770=""),"",IFERROR(H770/SUMIFS('Recipe Ingredients'!$H$5:$H$1204,'Recipe Ingredients'!$A$5:$A$1204,A770),""))</f>
        <v>0</v>
      </c>
      <c r="Q770" s="8">
        <f>IF(H770="","",COUNTIFS($H$5:$H$1204,"&gt;"&amp;H770)+1)</f>
        <v>0</v>
      </c>
      <c r="R770" s="8">
        <f>IF(B770="","",SUMIFS(Pantry!$C$5:$C$304,Pantry!$A$5:$A$304,B770))</f>
        <v>0</v>
      </c>
      <c r="S770" s="8">
        <f>IF(OR(B770="",C770=""),"",MAX(0,C770-R770))</f>
        <v>0</v>
      </c>
      <c r="T770" s="26"/>
      <c r="U770" s="8">
        <f>IF(OR(T770="",T770=0,G770=""),"",T770*G770)</f>
        <v>0</v>
      </c>
      <c r="V770" s="8">
        <f>IF(OR(S770="",T770="",T770=0),"",CEILING(S770/T770,1))</f>
        <v>0</v>
      </c>
      <c r="W770" s="27"/>
      <c r="X770" s="29"/>
      <c r="Y770" s="8">
        <f>IF(OR(C770="",X770=""),"",C770*(1+X770))</f>
        <v>0</v>
      </c>
      <c r="Z770" s="8">
        <f>IF(B770="","",IFERROR(INDEX(Ingredients!$O$5:$O$304,MATCH(B770,Ingredients!$A$5:$A$304,0)),""))</f>
        <v>0</v>
      </c>
      <c r="AA770" s="8">
        <f>IF(B770="","",IF(R770&gt;=C770,"In pantry","To buy"))</f>
        <v>0</v>
      </c>
      <c r="AB770" s="8">
        <f>IF(A770="","",COUNTIFS($A$5:A770,A770))</f>
        <v>0</v>
      </c>
      <c r="AC770" s="8">
        <f>IF(B770="","",IF(COUNTIFS('Dietary Filters'!$C$5:$C$104,B770)&gt;0,"Check","OK"))</f>
        <v>0</v>
      </c>
      <c r="AD770" s="25"/>
    </row>
    <row r="771" spans="1:30">
      <c r="A771" s="7"/>
      <c r="B771" s="7"/>
      <c r="C771" s="26"/>
      <c r="D771" s="27"/>
      <c r="E771" s="8">
        <f>IF(B771="","",IFERROR(INDEX(Ingredients!$B$5:$B$304,MATCH(B771,Ingredients!$A$5:$A$304,0)),""))</f>
        <v>0</v>
      </c>
      <c r="F771" s="8">
        <f>IF(B771="","",IFERROR(INDEX(Ingredients!$E$5:$E$304,MATCH(B771,Ingredients!$A$5:$A$304,0)),""))</f>
        <v>0</v>
      </c>
      <c r="G771" s="8">
        <f>IF(B771="","",IFERROR(INDEX(Ingredients!$D$5:$D$304,MATCH(B771,Ingredients!$A$5:$A$304,0)),""))</f>
        <v>0</v>
      </c>
      <c r="H771" s="8">
        <f>IF(OR(B771="",C771=""),"",IFERROR(C771*G771,""))</f>
        <v>0</v>
      </c>
      <c r="I771" s="8">
        <f>IF(A771="","",IFERROR(INDEX(Recipes!$D$5:$D$204,MATCH(A771,Recipes!$A$5:$A$204,0)),""))</f>
        <v>0</v>
      </c>
      <c r="J771" s="8">
        <f>IF(OR(H771="",I771="",I771=0),"",IFERROR(H771/I771,""))</f>
        <v>0</v>
      </c>
      <c r="K771" s="8">
        <f>IF(OR(B771="",C771=""),"",IFERROR(C771*IFERROR(INDEX(Ingredients!$H$5:$H$304,MATCH(B771,Ingredients!$A$5:$A$304,0)),""),""))</f>
        <v>0</v>
      </c>
      <c r="L771" s="8">
        <f>IF(OR(B771="",C771=""),"",IFERROR(C771*IFERROR(INDEX(Ingredients!$I$5:$I$304,MATCH(B771,Ingredients!$A$5:$A$304,0)),""),""))</f>
        <v>0</v>
      </c>
      <c r="M771" s="8">
        <f>IF(OR(B771="",C771=""),"",IFERROR(C771*IFERROR(INDEX(Ingredients!$J$5:$J$304,MATCH(B771,Ingredients!$A$5:$A$304,0)),""),""))</f>
        <v>0</v>
      </c>
      <c r="N771" s="8">
        <f>IF(OR(B771="",C771=""),"",IFERROR(C771*IFERROR(INDEX(Ingredients!$K$5:$K$304,MATCH(B771,Ingredients!$A$5:$A$304,0)),""),""))</f>
        <v>0</v>
      </c>
      <c r="O771" s="8">
        <f>IF(OR(B771="",C771=""),"",IFERROR(C771*IFERROR(INDEX(Ingredients!$L$5:$L$304,MATCH(B771,Ingredients!$A$5:$A$304,0)),""),""))</f>
        <v>0</v>
      </c>
      <c r="P771" s="8">
        <f>IF(OR(H771="",A771=""),"",IFERROR(H771/SUMIFS('Recipe Ingredients'!$H$5:$H$1204,'Recipe Ingredients'!$A$5:$A$1204,A771),""))</f>
        <v>0</v>
      </c>
      <c r="Q771" s="8">
        <f>IF(H771="","",COUNTIFS($H$5:$H$1204,"&gt;"&amp;H771)+1)</f>
        <v>0</v>
      </c>
      <c r="R771" s="8">
        <f>IF(B771="","",SUMIFS(Pantry!$C$5:$C$304,Pantry!$A$5:$A$304,B771))</f>
        <v>0</v>
      </c>
      <c r="S771" s="8">
        <f>IF(OR(B771="",C771=""),"",MAX(0,C771-R771))</f>
        <v>0</v>
      </c>
      <c r="T771" s="26"/>
      <c r="U771" s="8">
        <f>IF(OR(T771="",T771=0,G771=""),"",T771*G771)</f>
        <v>0</v>
      </c>
      <c r="V771" s="8">
        <f>IF(OR(S771="",T771="",T771=0),"",CEILING(S771/T771,1))</f>
        <v>0</v>
      </c>
      <c r="W771" s="27"/>
      <c r="X771" s="29"/>
      <c r="Y771" s="8">
        <f>IF(OR(C771="",X771=""),"",C771*(1+X771))</f>
        <v>0</v>
      </c>
      <c r="Z771" s="8">
        <f>IF(B771="","",IFERROR(INDEX(Ingredients!$O$5:$O$304,MATCH(B771,Ingredients!$A$5:$A$304,0)),""))</f>
        <v>0</v>
      </c>
      <c r="AA771" s="8">
        <f>IF(B771="","",IF(R771&gt;=C771,"In pantry","To buy"))</f>
        <v>0</v>
      </c>
      <c r="AB771" s="8">
        <f>IF(A771="","",COUNTIFS($A$5:A771,A771))</f>
        <v>0</v>
      </c>
      <c r="AC771" s="8">
        <f>IF(B771="","",IF(COUNTIFS('Dietary Filters'!$C$5:$C$104,B771)&gt;0,"Check","OK"))</f>
        <v>0</v>
      </c>
      <c r="AD771" s="25"/>
    </row>
    <row r="772" spans="1:30">
      <c r="A772" s="7"/>
      <c r="B772" s="7"/>
      <c r="C772" s="26"/>
      <c r="D772" s="27"/>
      <c r="E772" s="8">
        <f>IF(B772="","",IFERROR(INDEX(Ingredients!$B$5:$B$304,MATCH(B772,Ingredients!$A$5:$A$304,0)),""))</f>
        <v>0</v>
      </c>
      <c r="F772" s="8">
        <f>IF(B772="","",IFERROR(INDEX(Ingredients!$E$5:$E$304,MATCH(B772,Ingredients!$A$5:$A$304,0)),""))</f>
        <v>0</v>
      </c>
      <c r="G772" s="8">
        <f>IF(B772="","",IFERROR(INDEX(Ingredients!$D$5:$D$304,MATCH(B772,Ingredients!$A$5:$A$304,0)),""))</f>
        <v>0</v>
      </c>
      <c r="H772" s="8">
        <f>IF(OR(B772="",C772=""),"",IFERROR(C772*G772,""))</f>
        <v>0</v>
      </c>
      <c r="I772" s="8">
        <f>IF(A772="","",IFERROR(INDEX(Recipes!$D$5:$D$204,MATCH(A772,Recipes!$A$5:$A$204,0)),""))</f>
        <v>0</v>
      </c>
      <c r="J772" s="8">
        <f>IF(OR(H772="",I772="",I772=0),"",IFERROR(H772/I772,""))</f>
        <v>0</v>
      </c>
      <c r="K772" s="8">
        <f>IF(OR(B772="",C772=""),"",IFERROR(C772*IFERROR(INDEX(Ingredients!$H$5:$H$304,MATCH(B772,Ingredients!$A$5:$A$304,0)),""),""))</f>
        <v>0</v>
      </c>
      <c r="L772" s="8">
        <f>IF(OR(B772="",C772=""),"",IFERROR(C772*IFERROR(INDEX(Ingredients!$I$5:$I$304,MATCH(B772,Ingredients!$A$5:$A$304,0)),""),""))</f>
        <v>0</v>
      </c>
      <c r="M772" s="8">
        <f>IF(OR(B772="",C772=""),"",IFERROR(C772*IFERROR(INDEX(Ingredients!$J$5:$J$304,MATCH(B772,Ingredients!$A$5:$A$304,0)),""),""))</f>
        <v>0</v>
      </c>
      <c r="N772" s="8">
        <f>IF(OR(B772="",C772=""),"",IFERROR(C772*IFERROR(INDEX(Ingredients!$K$5:$K$304,MATCH(B772,Ingredients!$A$5:$A$304,0)),""),""))</f>
        <v>0</v>
      </c>
      <c r="O772" s="8">
        <f>IF(OR(B772="",C772=""),"",IFERROR(C772*IFERROR(INDEX(Ingredients!$L$5:$L$304,MATCH(B772,Ingredients!$A$5:$A$304,0)),""),""))</f>
        <v>0</v>
      </c>
      <c r="P772" s="8">
        <f>IF(OR(H772="",A772=""),"",IFERROR(H772/SUMIFS('Recipe Ingredients'!$H$5:$H$1204,'Recipe Ingredients'!$A$5:$A$1204,A772),""))</f>
        <v>0</v>
      </c>
      <c r="Q772" s="8">
        <f>IF(H772="","",COUNTIFS($H$5:$H$1204,"&gt;"&amp;H772)+1)</f>
        <v>0</v>
      </c>
      <c r="R772" s="8">
        <f>IF(B772="","",SUMIFS(Pantry!$C$5:$C$304,Pantry!$A$5:$A$304,B772))</f>
        <v>0</v>
      </c>
      <c r="S772" s="8">
        <f>IF(OR(B772="",C772=""),"",MAX(0,C772-R772))</f>
        <v>0</v>
      </c>
      <c r="T772" s="26"/>
      <c r="U772" s="8">
        <f>IF(OR(T772="",T772=0,G772=""),"",T772*G772)</f>
        <v>0</v>
      </c>
      <c r="V772" s="8">
        <f>IF(OR(S772="",T772="",T772=0),"",CEILING(S772/T772,1))</f>
        <v>0</v>
      </c>
      <c r="W772" s="27"/>
      <c r="X772" s="29"/>
      <c r="Y772" s="8">
        <f>IF(OR(C772="",X772=""),"",C772*(1+X772))</f>
        <v>0</v>
      </c>
      <c r="Z772" s="8">
        <f>IF(B772="","",IFERROR(INDEX(Ingredients!$O$5:$O$304,MATCH(B772,Ingredients!$A$5:$A$304,0)),""))</f>
        <v>0</v>
      </c>
      <c r="AA772" s="8">
        <f>IF(B772="","",IF(R772&gt;=C772,"In pantry","To buy"))</f>
        <v>0</v>
      </c>
      <c r="AB772" s="8">
        <f>IF(A772="","",COUNTIFS($A$5:A772,A772))</f>
        <v>0</v>
      </c>
      <c r="AC772" s="8">
        <f>IF(B772="","",IF(COUNTIFS('Dietary Filters'!$C$5:$C$104,B772)&gt;0,"Check","OK"))</f>
        <v>0</v>
      </c>
      <c r="AD772" s="25"/>
    </row>
    <row r="773" spans="1:30">
      <c r="A773" s="7"/>
      <c r="B773" s="7"/>
      <c r="C773" s="26"/>
      <c r="D773" s="27"/>
      <c r="E773" s="8">
        <f>IF(B773="","",IFERROR(INDEX(Ingredients!$B$5:$B$304,MATCH(B773,Ingredients!$A$5:$A$304,0)),""))</f>
        <v>0</v>
      </c>
      <c r="F773" s="8">
        <f>IF(B773="","",IFERROR(INDEX(Ingredients!$E$5:$E$304,MATCH(B773,Ingredients!$A$5:$A$304,0)),""))</f>
        <v>0</v>
      </c>
      <c r="G773" s="8">
        <f>IF(B773="","",IFERROR(INDEX(Ingredients!$D$5:$D$304,MATCH(B773,Ingredients!$A$5:$A$304,0)),""))</f>
        <v>0</v>
      </c>
      <c r="H773" s="8">
        <f>IF(OR(B773="",C773=""),"",IFERROR(C773*G773,""))</f>
        <v>0</v>
      </c>
      <c r="I773" s="8">
        <f>IF(A773="","",IFERROR(INDEX(Recipes!$D$5:$D$204,MATCH(A773,Recipes!$A$5:$A$204,0)),""))</f>
        <v>0</v>
      </c>
      <c r="J773" s="8">
        <f>IF(OR(H773="",I773="",I773=0),"",IFERROR(H773/I773,""))</f>
        <v>0</v>
      </c>
      <c r="K773" s="8">
        <f>IF(OR(B773="",C773=""),"",IFERROR(C773*IFERROR(INDEX(Ingredients!$H$5:$H$304,MATCH(B773,Ingredients!$A$5:$A$304,0)),""),""))</f>
        <v>0</v>
      </c>
      <c r="L773" s="8">
        <f>IF(OR(B773="",C773=""),"",IFERROR(C773*IFERROR(INDEX(Ingredients!$I$5:$I$304,MATCH(B773,Ingredients!$A$5:$A$304,0)),""),""))</f>
        <v>0</v>
      </c>
      <c r="M773" s="8">
        <f>IF(OR(B773="",C773=""),"",IFERROR(C773*IFERROR(INDEX(Ingredients!$J$5:$J$304,MATCH(B773,Ingredients!$A$5:$A$304,0)),""),""))</f>
        <v>0</v>
      </c>
      <c r="N773" s="8">
        <f>IF(OR(B773="",C773=""),"",IFERROR(C773*IFERROR(INDEX(Ingredients!$K$5:$K$304,MATCH(B773,Ingredients!$A$5:$A$304,0)),""),""))</f>
        <v>0</v>
      </c>
      <c r="O773" s="8">
        <f>IF(OR(B773="",C773=""),"",IFERROR(C773*IFERROR(INDEX(Ingredients!$L$5:$L$304,MATCH(B773,Ingredients!$A$5:$A$304,0)),""),""))</f>
        <v>0</v>
      </c>
      <c r="P773" s="8">
        <f>IF(OR(H773="",A773=""),"",IFERROR(H773/SUMIFS('Recipe Ingredients'!$H$5:$H$1204,'Recipe Ingredients'!$A$5:$A$1204,A773),""))</f>
        <v>0</v>
      </c>
      <c r="Q773" s="8">
        <f>IF(H773="","",COUNTIFS($H$5:$H$1204,"&gt;"&amp;H773)+1)</f>
        <v>0</v>
      </c>
      <c r="R773" s="8">
        <f>IF(B773="","",SUMIFS(Pantry!$C$5:$C$304,Pantry!$A$5:$A$304,B773))</f>
        <v>0</v>
      </c>
      <c r="S773" s="8">
        <f>IF(OR(B773="",C773=""),"",MAX(0,C773-R773))</f>
        <v>0</v>
      </c>
      <c r="T773" s="26"/>
      <c r="U773" s="8">
        <f>IF(OR(T773="",T773=0,G773=""),"",T773*G773)</f>
        <v>0</v>
      </c>
      <c r="V773" s="8">
        <f>IF(OR(S773="",T773="",T773=0),"",CEILING(S773/T773,1))</f>
        <v>0</v>
      </c>
      <c r="W773" s="27"/>
      <c r="X773" s="29"/>
      <c r="Y773" s="8">
        <f>IF(OR(C773="",X773=""),"",C773*(1+X773))</f>
        <v>0</v>
      </c>
      <c r="Z773" s="8">
        <f>IF(B773="","",IFERROR(INDEX(Ingredients!$O$5:$O$304,MATCH(B773,Ingredients!$A$5:$A$304,0)),""))</f>
        <v>0</v>
      </c>
      <c r="AA773" s="8">
        <f>IF(B773="","",IF(R773&gt;=C773,"In pantry","To buy"))</f>
        <v>0</v>
      </c>
      <c r="AB773" s="8">
        <f>IF(A773="","",COUNTIFS($A$5:A773,A773))</f>
        <v>0</v>
      </c>
      <c r="AC773" s="8">
        <f>IF(B773="","",IF(COUNTIFS('Dietary Filters'!$C$5:$C$104,B773)&gt;0,"Check","OK"))</f>
        <v>0</v>
      </c>
      <c r="AD773" s="25"/>
    </row>
    <row r="774" spans="1:30">
      <c r="A774" s="7"/>
      <c r="B774" s="7"/>
      <c r="C774" s="26"/>
      <c r="D774" s="27"/>
      <c r="E774" s="8">
        <f>IF(B774="","",IFERROR(INDEX(Ingredients!$B$5:$B$304,MATCH(B774,Ingredients!$A$5:$A$304,0)),""))</f>
        <v>0</v>
      </c>
      <c r="F774" s="8">
        <f>IF(B774="","",IFERROR(INDEX(Ingredients!$E$5:$E$304,MATCH(B774,Ingredients!$A$5:$A$304,0)),""))</f>
        <v>0</v>
      </c>
      <c r="G774" s="8">
        <f>IF(B774="","",IFERROR(INDEX(Ingredients!$D$5:$D$304,MATCH(B774,Ingredients!$A$5:$A$304,0)),""))</f>
        <v>0</v>
      </c>
      <c r="H774" s="8">
        <f>IF(OR(B774="",C774=""),"",IFERROR(C774*G774,""))</f>
        <v>0</v>
      </c>
      <c r="I774" s="8">
        <f>IF(A774="","",IFERROR(INDEX(Recipes!$D$5:$D$204,MATCH(A774,Recipes!$A$5:$A$204,0)),""))</f>
        <v>0</v>
      </c>
      <c r="J774" s="8">
        <f>IF(OR(H774="",I774="",I774=0),"",IFERROR(H774/I774,""))</f>
        <v>0</v>
      </c>
      <c r="K774" s="8">
        <f>IF(OR(B774="",C774=""),"",IFERROR(C774*IFERROR(INDEX(Ingredients!$H$5:$H$304,MATCH(B774,Ingredients!$A$5:$A$304,0)),""),""))</f>
        <v>0</v>
      </c>
      <c r="L774" s="8">
        <f>IF(OR(B774="",C774=""),"",IFERROR(C774*IFERROR(INDEX(Ingredients!$I$5:$I$304,MATCH(B774,Ingredients!$A$5:$A$304,0)),""),""))</f>
        <v>0</v>
      </c>
      <c r="M774" s="8">
        <f>IF(OR(B774="",C774=""),"",IFERROR(C774*IFERROR(INDEX(Ingredients!$J$5:$J$304,MATCH(B774,Ingredients!$A$5:$A$304,0)),""),""))</f>
        <v>0</v>
      </c>
      <c r="N774" s="8">
        <f>IF(OR(B774="",C774=""),"",IFERROR(C774*IFERROR(INDEX(Ingredients!$K$5:$K$304,MATCH(B774,Ingredients!$A$5:$A$304,0)),""),""))</f>
        <v>0</v>
      </c>
      <c r="O774" s="8">
        <f>IF(OR(B774="",C774=""),"",IFERROR(C774*IFERROR(INDEX(Ingredients!$L$5:$L$304,MATCH(B774,Ingredients!$A$5:$A$304,0)),""),""))</f>
        <v>0</v>
      </c>
      <c r="P774" s="8">
        <f>IF(OR(H774="",A774=""),"",IFERROR(H774/SUMIFS('Recipe Ingredients'!$H$5:$H$1204,'Recipe Ingredients'!$A$5:$A$1204,A774),""))</f>
        <v>0</v>
      </c>
      <c r="Q774" s="8">
        <f>IF(H774="","",COUNTIFS($H$5:$H$1204,"&gt;"&amp;H774)+1)</f>
        <v>0</v>
      </c>
      <c r="R774" s="8">
        <f>IF(B774="","",SUMIFS(Pantry!$C$5:$C$304,Pantry!$A$5:$A$304,B774))</f>
        <v>0</v>
      </c>
      <c r="S774" s="8">
        <f>IF(OR(B774="",C774=""),"",MAX(0,C774-R774))</f>
        <v>0</v>
      </c>
      <c r="T774" s="26"/>
      <c r="U774" s="8">
        <f>IF(OR(T774="",T774=0,G774=""),"",T774*G774)</f>
        <v>0</v>
      </c>
      <c r="V774" s="8">
        <f>IF(OR(S774="",T774="",T774=0),"",CEILING(S774/T774,1))</f>
        <v>0</v>
      </c>
      <c r="W774" s="27"/>
      <c r="X774" s="29"/>
      <c r="Y774" s="8">
        <f>IF(OR(C774="",X774=""),"",C774*(1+X774))</f>
        <v>0</v>
      </c>
      <c r="Z774" s="8">
        <f>IF(B774="","",IFERROR(INDEX(Ingredients!$O$5:$O$304,MATCH(B774,Ingredients!$A$5:$A$304,0)),""))</f>
        <v>0</v>
      </c>
      <c r="AA774" s="8">
        <f>IF(B774="","",IF(R774&gt;=C774,"In pantry","To buy"))</f>
        <v>0</v>
      </c>
      <c r="AB774" s="8">
        <f>IF(A774="","",COUNTIFS($A$5:A774,A774))</f>
        <v>0</v>
      </c>
      <c r="AC774" s="8">
        <f>IF(B774="","",IF(COUNTIFS('Dietary Filters'!$C$5:$C$104,B774)&gt;0,"Check","OK"))</f>
        <v>0</v>
      </c>
      <c r="AD774" s="25"/>
    </row>
    <row r="775" spans="1:30">
      <c r="A775" s="7"/>
      <c r="B775" s="7"/>
      <c r="C775" s="26"/>
      <c r="D775" s="27"/>
      <c r="E775" s="8">
        <f>IF(B775="","",IFERROR(INDEX(Ingredients!$B$5:$B$304,MATCH(B775,Ingredients!$A$5:$A$304,0)),""))</f>
        <v>0</v>
      </c>
      <c r="F775" s="8">
        <f>IF(B775="","",IFERROR(INDEX(Ingredients!$E$5:$E$304,MATCH(B775,Ingredients!$A$5:$A$304,0)),""))</f>
        <v>0</v>
      </c>
      <c r="G775" s="8">
        <f>IF(B775="","",IFERROR(INDEX(Ingredients!$D$5:$D$304,MATCH(B775,Ingredients!$A$5:$A$304,0)),""))</f>
        <v>0</v>
      </c>
      <c r="H775" s="8">
        <f>IF(OR(B775="",C775=""),"",IFERROR(C775*G775,""))</f>
        <v>0</v>
      </c>
      <c r="I775" s="8">
        <f>IF(A775="","",IFERROR(INDEX(Recipes!$D$5:$D$204,MATCH(A775,Recipes!$A$5:$A$204,0)),""))</f>
        <v>0</v>
      </c>
      <c r="J775" s="8">
        <f>IF(OR(H775="",I775="",I775=0),"",IFERROR(H775/I775,""))</f>
        <v>0</v>
      </c>
      <c r="K775" s="8">
        <f>IF(OR(B775="",C775=""),"",IFERROR(C775*IFERROR(INDEX(Ingredients!$H$5:$H$304,MATCH(B775,Ingredients!$A$5:$A$304,0)),""),""))</f>
        <v>0</v>
      </c>
      <c r="L775" s="8">
        <f>IF(OR(B775="",C775=""),"",IFERROR(C775*IFERROR(INDEX(Ingredients!$I$5:$I$304,MATCH(B775,Ingredients!$A$5:$A$304,0)),""),""))</f>
        <v>0</v>
      </c>
      <c r="M775" s="8">
        <f>IF(OR(B775="",C775=""),"",IFERROR(C775*IFERROR(INDEX(Ingredients!$J$5:$J$304,MATCH(B775,Ingredients!$A$5:$A$304,0)),""),""))</f>
        <v>0</v>
      </c>
      <c r="N775" s="8">
        <f>IF(OR(B775="",C775=""),"",IFERROR(C775*IFERROR(INDEX(Ingredients!$K$5:$K$304,MATCH(B775,Ingredients!$A$5:$A$304,0)),""),""))</f>
        <v>0</v>
      </c>
      <c r="O775" s="8">
        <f>IF(OR(B775="",C775=""),"",IFERROR(C775*IFERROR(INDEX(Ingredients!$L$5:$L$304,MATCH(B775,Ingredients!$A$5:$A$304,0)),""),""))</f>
        <v>0</v>
      </c>
      <c r="P775" s="8">
        <f>IF(OR(H775="",A775=""),"",IFERROR(H775/SUMIFS('Recipe Ingredients'!$H$5:$H$1204,'Recipe Ingredients'!$A$5:$A$1204,A775),""))</f>
        <v>0</v>
      </c>
      <c r="Q775" s="8">
        <f>IF(H775="","",COUNTIFS($H$5:$H$1204,"&gt;"&amp;H775)+1)</f>
        <v>0</v>
      </c>
      <c r="R775" s="8">
        <f>IF(B775="","",SUMIFS(Pantry!$C$5:$C$304,Pantry!$A$5:$A$304,B775))</f>
        <v>0</v>
      </c>
      <c r="S775" s="8">
        <f>IF(OR(B775="",C775=""),"",MAX(0,C775-R775))</f>
        <v>0</v>
      </c>
      <c r="T775" s="26"/>
      <c r="U775" s="8">
        <f>IF(OR(T775="",T775=0,G775=""),"",T775*G775)</f>
        <v>0</v>
      </c>
      <c r="V775" s="8">
        <f>IF(OR(S775="",T775="",T775=0),"",CEILING(S775/T775,1))</f>
        <v>0</v>
      </c>
      <c r="W775" s="27"/>
      <c r="X775" s="29"/>
      <c r="Y775" s="8">
        <f>IF(OR(C775="",X775=""),"",C775*(1+X775))</f>
        <v>0</v>
      </c>
      <c r="Z775" s="8">
        <f>IF(B775="","",IFERROR(INDEX(Ingredients!$O$5:$O$304,MATCH(B775,Ingredients!$A$5:$A$304,0)),""))</f>
        <v>0</v>
      </c>
      <c r="AA775" s="8">
        <f>IF(B775="","",IF(R775&gt;=C775,"In pantry","To buy"))</f>
        <v>0</v>
      </c>
      <c r="AB775" s="8">
        <f>IF(A775="","",COUNTIFS($A$5:A775,A775))</f>
        <v>0</v>
      </c>
      <c r="AC775" s="8">
        <f>IF(B775="","",IF(COUNTIFS('Dietary Filters'!$C$5:$C$104,B775)&gt;0,"Check","OK"))</f>
        <v>0</v>
      </c>
      <c r="AD775" s="25"/>
    </row>
    <row r="776" spans="1:30">
      <c r="A776" s="7"/>
      <c r="B776" s="7"/>
      <c r="C776" s="26"/>
      <c r="D776" s="27"/>
      <c r="E776" s="8">
        <f>IF(B776="","",IFERROR(INDEX(Ingredients!$B$5:$B$304,MATCH(B776,Ingredients!$A$5:$A$304,0)),""))</f>
        <v>0</v>
      </c>
      <c r="F776" s="8">
        <f>IF(B776="","",IFERROR(INDEX(Ingredients!$E$5:$E$304,MATCH(B776,Ingredients!$A$5:$A$304,0)),""))</f>
        <v>0</v>
      </c>
      <c r="G776" s="8">
        <f>IF(B776="","",IFERROR(INDEX(Ingredients!$D$5:$D$304,MATCH(B776,Ingredients!$A$5:$A$304,0)),""))</f>
        <v>0</v>
      </c>
      <c r="H776" s="8">
        <f>IF(OR(B776="",C776=""),"",IFERROR(C776*G776,""))</f>
        <v>0</v>
      </c>
      <c r="I776" s="8">
        <f>IF(A776="","",IFERROR(INDEX(Recipes!$D$5:$D$204,MATCH(A776,Recipes!$A$5:$A$204,0)),""))</f>
        <v>0</v>
      </c>
      <c r="J776" s="8">
        <f>IF(OR(H776="",I776="",I776=0),"",IFERROR(H776/I776,""))</f>
        <v>0</v>
      </c>
      <c r="K776" s="8">
        <f>IF(OR(B776="",C776=""),"",IFERROR(C776*IFERROR(INDEX(Ingredients!$H$5:$H$304,MATCH(B776,Ingredients!$A$5:$A$304,0)),""),""))</f>
        <v>0</v>
      </c>
      <c r="L776" s="8">
        <f>IF(OR(B776="",C776=""),"",IFERROR(C776*IFERROR(INDEX(Ingredients!$I$5:$I$304,MATCH(B776,Ingredients!$A$5:$A$304,0)),""),""))</f>
        <v>0</v>
      </c>
      <c r="M776" s="8">
        <f>IF(OR(B776="",C776=""),"",IFERROR(C776*IFERROR(INDEX(Ingredients!$J$5:$J$304,MATCH(B776,Ingredients!$A$5:$A$304,0)),""),""))</f>
        <v>0</v>
      </c>
      <c r="N776" s="8">
        <f>IF(OR(B776="",C776=""),"",IFERROR(C776*IFERROR(INDEX(Ingredients!$K$5:$K$304,MATCH(B776,Ingredients!$A$5:$A$304,0)),""),""))</f>
        <v>0</v>
      </c>
      <c r="O776" s="8">
        <f>IF(OR(B776="",C776=""),"",IFERROR(C776*IFERROR(INDEX(Ingredients!$L$5:$L$304,MATCH(B776,Ingredients!$A$5:$A$304,0)),""),""))</f>
        <v>0</v>
      </c>
      <c r="P776" s="8">
        <f>IF(OR(H776="",A776=""),"",IFERROR(H776/SUMIFS('Recipe Ingredients'!$H$5:$H$1204,'Recipe Ingredients'!$A$5:$A$1204,A776),""))</f>
        <v>0</v>
      </c>
      <c r="Q776" s="8">
        <f>IF(H776="","",COUNTIFS($H$5:$H$1204,"&gt;"&amp;H776)+1)</f>
        <v>0</v>
      </c>
      <c r="R776" s="8">
        <f>IF(B776="","",SUMIFS(Pantry!$C$5:$C$304,Pantry!$A$5:$A$304,B776))</f>
        <v>0</v>
      </c>
      <c r="S776" s="8">
        <f>IF(OR(B776="",C776=""),"",MAX(0,C776-R776))</f>
        <v>0</v>
      </c>
      <c r="T776" s="26"/>
      <c r="U776" s="8">
        <f>IF(OR(T776="",T776=0,G776=""),"",T776*G776)</f>
        <v>0</v>
      </c>
      <c r="V776" s="8">
        <f>IF(OR(S776="",T776="",T776=0),"",CEILING(S776/T776,1))</f>
        <v>0</v>
      </c>
      <c r="W776" s="27"/>
      <c r="X776" s="29"/>
      <c r="Y776" s="8">
        <f>IF(OR(C776="",X776=""),"",C776*(1+X776))</f>
        <v>0</v>
      </c>
      <c r="Z776" s="8">
        <f>IF(B776="","",IFERROR(INDEX(Ingredients!$O$5:$O$304,MATCH(B776,Ingredients!$A$5:$A$304,0)),""))</f>
        <v>0</v>
      </c>
      <c r="AA776" s="8">
        <f>IF(B776="","",IF(R776&gt;=C776,"In pantry","To buy"))</f>
        <v>0</v>
      </c>
      <c r="AB776" s="8">
        <f>IF(A776="","",COUNTIFS($A$5:A776,A776))</f>
        <v>0</v>
      </c>
      <c r="AC776" s="8">
        <f>IF(B776="","",IF(COUNTIFS('Dietary Filters'!$C$5:$C$104,B776)&gt;0,"Check","OK"))</f>
        <v>0</v>
      </c>
      <c r="AD776" s="25"/>
    </row>
    <row r="777" spans="1:30">
      <c r="A777" s="7"/>
      <c r="B777" s="7"/>
      <c r="C777" s="26"/>
      <c r="D777" s="27"/>
      <c r="E777" s="8">
        <f>IF(B777="","",IFERROR(INDEX(Ingredients!$B$5:$B$304,MATCH(B777,Ingredients!$A$5:$A$304,0)),""))</f>
        <v>0</v>
      </c>
      <c r="F777" s="8">
        <f>IF(B777="","",IFERROR(INDEX(Ingredients!$E$5:$E$304,MATCH(B777,Ingredients!$A$5:$A$304,0)),""))</f>
        <v>0</v>
      </c>
      <c r="G777" s="8">
        <f>IF(B777="","",IFERROR(INDEX(Ingredients!$D$5:$D$304,MATCH(B777,Ingredients!$A$5:$A$304,0)),""))</f>
        <v>0</v>
      </c>
      <c r="H777" s="8">
        <f>IF(OR(B777="",C777=""),"",IFERROR(C777*G777,""))</f>
        <v>0</v>
      </c>
      <c r="I777" s="8">
        <f>IF(A777="","",IFERROR(INDEX(Recipes!$D$5:$D$204,MATCH(A777,Recipes!$A$5:$A$204,0)),""))</f>
        <v>0</v>
      </c>
      <c r="J777" s="8">
        <f>IF(OR(H777="",I777="",I777=0),"",IFERROR(H777/I777,""))</f>
        <v>0</v>
      </c>
      <c r="K777" s="8">
        <f>IF(OR(B777="",C777=""),"",IFERROR(C777*IFERROR(INDEX(Ingredients!$H$5:$H$304,MATCH(B777,Ingredients!$A$5:$A$304,0)),""),""))</f>
        <v>0</v>
      </c>
      <c r="L777" s="8">
        <f>IF(OR(B777="",C777=""),"",IFERROR(C777*IFERROR(INDEX(Ingredients!$I$5:$I$304,MATCH(B777,Ingredients!$A$5:$A$304,0)),""),""))</f>
        <v>0</v>
      </c>
      <c r="M777" s="8">
        <f>IF(OR(B777="",C777=""),"",IFERROR(C777*IFERROR(INDEX(Ingredients!$J$5:$J$304,MATCH(B777,Ingredients!$A$5:$A$304,0)),""),""))</f>
        <v>0</v>
      </c>
      <c r="N777" s="8">
        <f>IF(OR(B777="",C777=""),"",IFERROR(C777*IFERROR(INDEX(Ingredients!$K$5:$K$304,MATCH(B777,Ingredients!$A$5:$A$304,0)),""),""))</f>
        <v>0</v>
      </c>
      <c r="O777" s="8">
        <f>IF(OR(B777="",C777=""),"",IFERROR(C777*IFERROR(INDEX(Ingredients!$L$5:$L$304,MATCH(B777,Ingredients!$A$5:$A$304,0)),""),""))</f>
        <v>0</v>
      </c>
      <c r="P777" s="8">
        <f>IF(OR(H777="",A777=""),"",IFERROR(H777/SUMIFS('Recipe Ingredients'!$H$5:$H$1204,'Recipe Ingredients'!$A$5:$A$1204,A777),""))</f>
        <v>0</v>
      </c>
      <c r="Q777" s="8">
        <f>IF(H777="","",COUNTIFS($H$5:$H$1204,"&gt;"&amp;H777)+1)</f>
        <v>0</v>
      </c>
      <c r="R777" s="8">
        <f>IF(B777="","",SUMIFS(Pantry!$C$5:$C$304,Pantry!$A$5:$A$304,B777))</f>
        <v>0</v>
      </c>
      <c r="S777" s="8">
        <f>IF(OR(B777="",C777=""),"",MAX(0,C777-R777))</f>
        <v>0</v>
      </c>
      <c r="T777" s="26"/>
      <c r="U777" s="8">
        <f>IF(OR(T777="",T777=0,G777=""),"",T777*G777)</f>
        <v>0</v>
      </c>
      <c r="V777" s="8">
        <f>IF(OR(S777="",T777="",T777=0),"",CEILING(S777/T777,1))</f>
        <v>0</v>
      </c>
      <c r="W777" s="27"/>
      <c r="X777" s="29"/>
      <c r="Y777" s="8">
        <f>IF(OR(C777="",X777=""),"",C777*(1+X777))</f>
        <v>0</v>
      </c>
      <c r="Z777" s="8">
        <f>IF(B777="","",IFERROR(INDEX(Ingredients!$O$5:$O$304,MATCH(B777,Ingredients!$A$5:$A$304,0)),""))</f>
        <v>0</v>
      </c>
      <c r="AA777" s="8">
        <f>IF(B777="","",IF(R777&gt;=C777,"In pantry","To buy"))</f>
        <v>0</v>
      </c>
      <c r="AB777" s="8">
        <f>IF(A777="","",COUNTIFS($A$5:A777,A777))</f>
        <v>0</v>
      </c>
      <c r="AC777" s="8">
        <f>IF(B777="","",IF(COUNTIFS('Dietary Filters'!$C$5:$C$104,B777)&gt;0,"Check","OK"))</f>
        <v>0</v>
      </c>
      <c r="AD777" s="25"/>
    </row>
    <row r="778" spans="1:30">
      <c r="A778" s="7"/>
      <c r="B778" s="7"/>
      <c r="C778" s="26"/>
      <c r="D778" s="27"/>
      <c r="E778" s="8">
        <f>IF(B778="","",IFERROR(INDEX(Ingredients!$B$5:$B$304,MATCH(B778,Ingredients!$A$5:$A$304,0)),""))</f>
        <v>0</v>
      </c>
      <c r="F778" s="8">
        <f>IF(B778="","",IFERROR(INDEX(Ingredients!$E$5:$E$304,MATCH(B778,Ingredients!$A$5:$A$304,0)),""))</f>
        <v>0</v>
      </c>
      <c r="G778" s="8">
        <f>IF(B778="","",IFERROR(INDEX(Ingredients!$D$5:$D$304,MATCH(B778,Ingredients!$A$5:$A$304,0)),""))</f>
        <v>0</v>
      </c>
      <c r="H778" s="8">
        <f>IF(OR(B778="",C778=""),"",IFERROR(C778*G778,""))</f>
        <v>0</v>
      </c>
      <c r="I778" s="8">
        <f>IF(A778="","",IFERROR(INDEX(Recipes!$D$5:$D$204,MATCH(A778,Recipes!$A$5:$A$204,0)),""))</f>
        <v>0</v>
      </c>
      <c r="J778" s="8">
        <f>IF(OR(H778="",I778="",I778=0),"",IFERROR(H778/I778,""))</f>
        <v>0</v>
      </c>
      <c r="K778" s="8">
        <f>IF(OR(B778="",C778=""),"",IFERROR(C778*IFERROR(INDEX(Ingredients!$H$5:$H$304,MATCH(B778,Ingredients!$A$5:$A$304,0)),""),""))</f>
        <v>0</v>
      </c>
      <c r="L778" s="8">
        <f>IF(OR(B778="",C778=""),"",IFERROR(C778*IFERROR(INDEX(Ingredients!$I$5:$I$304,MATCH(B778,Ingredients!$A$5:$A$304,0)),""),""))</f>
        <v>0</v>
      </c>
      <c r="M778" s="8">
        <f>IF(OR(B778="",C778=""),"",IFERROR(C778*IFERROR(INDEX(Ingredients!$J$5:$J$304,MATCH(B778,Ingredients!$A$5:$A$304,0)),""),""))</f>
        <v>0</v>
      </c>
      <c r="N778" s="8">
        <f>IF(OR(B778="",C778=""),"",IFERROR(C778*IFERROR(INDEX(Ingredients!$K$5:$K$304,MATCH(B778,Ingredients!$A$5:$A$304,0)),""),""))</f>
        <v>0</v>
      </c>
      <c r="O778" s="8">
        <f>IF(OR(B778="",C778=""),"",IFERROR(C778*IFERROR(INDEX(Ingredients!$L$5:$L$304,MATCH(B778,Ingredients!$A$5:$A$304,0)),""),""))</f>
        <v>0</v>
      </c>
      <c r="P778" s="8">
        <f>IF(OR(H778="",A778=""),"",IFERROR(H778/SUMIFS('Recipe Ingredients'!$H$5:$H$1204,'Recipe Ingredients'!$A$5:$A$1204,A778),""))</f>
        <v>0</v>
      </c>
      <c r="Q778" s="8">
        <f>IF(H778="","",COUNTIFS($H$5:$H$1204,"&gt;"&amp;H778)+1)</f>
        <v>0</v>
      </c>
      <c r="R778" s="8">
        <f>IF(B778="","",SUMIFS(Pantry!$C$5:$C$304,Pantry!$A$5:$A$304,B778))</f>
        <v>0</v>
      </c>
      <c r="S778" s="8">
        <f>IF(OR(B778="",C778=""),"",MAX(0,C778-R778))</f>
        <v>0</v>
      </c>
      <c r="T778" s="26"/>
      <c r="U778" s="8">
        <f>IF(OR(T778="",T778=0,G778=""),"",T778*G778)</f>
        <v>0</v>
      </c>
      <c r="V778" s="8">
        <f>IF(OR(S778="",T778="",T778=0),"",CEILING(S778/T778,1))</f>
        <v>0</v>
      </c>
      <c r="W778" s="27"/>
      <c r="X778" s="29"/>
      <c r="Y778" s="8">
        <f>IF(OR(C778="",X778=""),"",C778*(1+X778))</f>
        <v>0</v>
      </c>
      <c r="Z778" s="8">
        <f>IF(B778="","",IFERROR(INDEX(Ingredients!$O$5:$O$304,MATCH(B778,Ingredients!$A$5:$A$304,0)),""))</f>
        <v>0</v>
      </c>
      <c r="AA778" s="8">
        <f>IF(B778="","",IF(R778&gt;=C778,"In pantry","To buy"))</f>
        <v>0</v>
      </c>
      <c r="AB778" s="8">
        <f>IF(A778="","",COUNTIFS($A$5:A778,A778))</f>
        <v>0</v>
      </c>
      <c r="AC778" s="8">
        <f>IF(B778="","",IF(COUNTIFS('Dietary Filters'!$C$5:$C$104,B778)&gt;0,"Check","OK"))</f>
        <v>0</v>
      </c>
      <c r="AD778" s="25"/>
    </row>
    <row r="779" spans="1:30">
      <c r="A779" s="7"/>
      <c r="B779" s="7"/>
      <c r="C779" s="26"/>
      <c r="D779" s="27"/>
      <c r="E779" s="8">
        <f>IF(B779="","",IFERROR(INDEX(Ingredients!$B$5:$B$304,MATCH(B779,Ingredients!$A$5:$A$304,0)),""))</f>
        <v>0</v>
      </c>
      <c r="F779" s="8">
        <f>IF(B779="","",IFERROR(INDEX(Ingredients!$E$5:$E$304,MATCH(B779,Ingredients!$A$5:$A$304,0)),""))</f>
        <v>0</v>
      </c>
      <c r="G779" s="8">
        <f>IF(B779="","",IFERROR(INDEX(Ingredients!$D$5:$D$304,MATCH(B779,Ingredients!$A$5:$A$304,0)),""))</f>
        <v>0</v>
      </c>
      <c r="H779" s="8">
        <f>IF(OR(B779="",C779=""),"",IFERROR(C779*G779,""))</f>
        <v>0</v>
      </c>
      <c r="I779" s="8">
        <f>IF(A779="","",IFERROR(INDEX(Recipes!$D$5:$D$204,MATCH(A779,Recipes!$A$5:$A$204,0)),""))</f>
        <v>0</v>
      </c>
      <c r="J779" s="8">
        <f>IF(OR(H779="",I779="",I779=0),"",IFERROR(H779/I779,""))</f>
        <v>0</v>
      </c>
      <c r="K779" s="8">
        <f>IF(OR(B779="",C779=""),"",IFERROR(C779*IFERROR(INDEX(Ingredients!$H$5:$H$304,MATCH(B779,Ingredients!$A$5:$A$304,0)),""),""))</f>
        <v>0</v>
      </c>
      <c r="L779" s="8">
        <f>IF(OR(B779="",C779=""),"",IFERROR(C779*IFERROR(INDEX(Ingredients!$I$5:$I$304,MATCH(B779,Ingredients!$A$5:$A$304,0)),""),""))</f>
        <v>0</v>
      </c>
      <c r="M779" s="8">
        <f>IF(OR(B779="",C779=""),"",IFERROR(C779*IFERROR(INDEX(Ingredients!$J$5:$J$304,MATCH(B779,Ingredients!$A$5:$A$304,0)),""),""))</f>
        <v>0</v>
      </c>
      <c r="N779" s="8">
        <f>IF(OR(B779="",C779=""),"",IFERROR(C779*IFERROR(INDEX(Ingredients!$K$5:$K$304,MATCH(B779,Ingredients!$A$5:$A$304,0)),""),""))</f>
        <v>0</v>
      </c>
      <c r="O779" s="8">
        <f>IF(OR(B779="",C779=""),"",IFERROR(C779*IFERROR(INDEX(Ingredients!$L$5:$L$304,MATCH(B779,Ingredients!$A$5:$A$304,0)),""),""))</f>
        <v>0</v>
      </c>
      <c r="P779" s="8">
        <f>IF(OR(H779="",A779=""),"",IFERROR(H779/SUMIFS('Recipe Ingredients'!$H$5:$H$1204,'Recipe Ingredients'!$A$5:$A$1204,A779),""))</f>
        <v>0</v>
      </c>
      <c r="Q779" s="8">
        <f>IF(H779="","",COUNTIFS($H$5:$H$1204,"&gt;"&amp;H779)+1)</f>
        <v>0</v>
      </c>
      <c r="R779" s="8">
        <f>IF(B779="","",SUMIFS(Pantry!$C$5:$C$304,Pantry!$A$5:$A$304,B779))</f>
        <v>0</v>
      </c>
      <c r="S779" s="8">
        <f>IF(OR(B779="",C779=""),"",MAX(0,C779-R779))</f>
        <v>0</v>
      </c>
      <c r="T779" s="26"/>
      <c r="U779" s="8">
        <f>IF(OR(T779="",T779=0,G779=""),"",T779*G779)</f>
        <v>0</v>
      </c>
      <c r="V779" s="8">
        <f>IF(OR(S779="",T779="",T779=0),"",CEILING(S779/T779,1))</f>
        <v>0</v>
      </c>
      <c r="W779" s="27"/>
      <c r="X779" s="29"/>
      <c r="Y779" s="8">
        <f>IF(OR(C779="",X779=""),"",C779*(1+X779))</f>
        <v>0</v>
      </c>
      <c r="Z779" s="8">
        <f>IF(B779="","",IFERROR(INDEX(Ingredients!$O$5:$O$304,MATCH(B779,Ingredients!$A$5:$A$304,0)),""))</f>
        <v>0</v>
      </c>
      <c r="AA779" s="8">
        <f>IF(B779="","",IF(R779&gt;=C779,"In pantry","To buy"))</f>
        <v>0</v>
      </c>
      <c r="AB779" s="8">
        <f>IF(A779="","",COUNTIFS($A$5:A779,A779))</f>
        <v>0</v>
      </c>
      <c r="AC779" s="8">
        <f>IF(B779="","",IF(COUNTIFS('Dietary Filters'!$C$5:$C$104,B779)&gt;0,"Check","OK"))</f>
        <v>0</v>
      </c>
      <c r="AD779" s="25"/>
    </row>
    <row r="780" spans="1:30">
      <c r="A780" s="7"/>
      <c r="B780" s="7"/>
      <c r="C780" s="26"/>
      <c r="D780" s="27"/>
      <c r="E780" s="8">
        <f>IF(B780="","",IFERROR(INDEX(Ingredients!$B$5:$B$304,MATCH(B780,Ingredients!$A$5:$A$304,0)),""))</f>
        <v>0</v>
      </c>
      <c r="F780" s="8">
        <f>IF(B780="","",IFERROR(INDEX(Ingredients!$E$5:$E$304,MATCH(B780,Ingredients!$A$5:$A$304,0)),""))</f>
        <v>0</v>
      </c>
      <c r="G780" s="8">
        <f>IF(B780="","",IFERROR(INDEX(Ingredients!$D$5:$D$304,MATCH(B780,Ingredients!$A$5:$A$304,0)),""))</f>
        <v>0</v>
      </c>
      <c r="H780" s="8">
        <f>IF(OR(B780="",C780=""),"",IFERROR(C780*G780,""))</f>
        <v>0</v>
      </c>
      <c r="I780" s="8">
        <f>IF(A780="","",IFERROR(INDEX(Recipes!$D$5:$D$204,MATCH(A780,Recipes!$A$5:$A$204,0)),""))</f>
        <v>0</v>
      </c>
      <c r="J780" s="8">
        <f>IF(OR(H780="",I780="",I780=0),"",IFERROR(H780/I780,""))</f>
        <v>0</v>
      </c>
      <c r="K780" s="8">
        <f>IF(OR(B780="",C780=""),"",IFERROR(C780*IFERROR(INDEX(Ingredients!$H$5:$H$304,MATCH(B780,Ingredients!$A$5:$A$304,0)),""),""))</f>
        <v>0</v>
      </c>
      <c r="L780" s="8">
        <f>IF(OR(B780="",C780=""),"",IFERROR(C780*IFERROR(INDEX(Ingredients!$I$5:$I$304,MATCH(B780,Ingredients!$A$5:$A$304,0)),""),""))</f>
        <v>0</v>
      </c>
      <c r="M780" s="8">
        <f>IF(OR(B780="",C780=""),"",IFERROR(C780*IFERROR(INDEX(Ingredients!$J$5:$J$304,MATCH(B780,Ingredients!$A$5:$A$304,0)),""),""))</f>
        <v>0</v>
      </c>
      <c r="N780" s="8">
        <f>IF(OR(B780="",C780=""),"",IFERROR(C780*IFERROR(INDEX(Ingredients!$K$5:$K$304,MATCH(B780,Ingredients!$A$5:$A$304,0)),""),""))</f>
        <v>0</v>
      </c>
      <c r="O780" s="8">
        <f>IF(OR(B780="",C780=""),"",IFERROR(C780*IFERROR(INDEX(Ingredients!$L$5:$L$304,MATCH(B780,Ingredients!$A$5:$A$304,0)),""),""))</f>
        <v>0</v>
      </c>
      <c r="P780" s="8">
        <f>IF(OR(H780="",A780=""),"",IFERROR(H780/SUMIFS('Recipe Ingredients'!$H$5:$H$1204,'Recipe Ingredients'!$A$5:$A$1204,A780),""))</f>
        <v>0</v>
      </c>
      <c r="Q780" s="8">
        <f>IF(H780="","",COUNTIFS($H$5:$H$1204,"&gt;"&amp;H780)+1)</f>
        <v>0</v>
      </c>
      <c r="R780" s="8">
        <f>IF(B780="","",SUMIFS(Pantry!$C$5:$C$304,Pantry!$A$5:$A$304,B780))</f>
        <v>0</v>
      </c>
      <c r="S780" s="8">
        <f>IF(OR(B780="",C780=""),"",MAX(0,C780-R780))</f>
        <v>0</v>
      </c>
      <c r="T780" s="26"/>
      <c r="U780" s="8">
        <f>IF(OR(T780="",T780=0,G780=""),"",T780*G780)</f>
        <v>0</v>
      </c>
      <c r="V780" s="8">
        <f>IF(OR(S780="",T780="",T780=0),"",CEILING(S780/T780,1))</f>
        <v>0</v>
      </c>
      <c r="W780" s="27"/>
      <c r="X780" s="29"/>
      <c r="Y780" s="8">
        <f>IF(OR(C780="",X780=""),"",C780*(1+X780))</f>
        <v>0</v>
      </c>
      <c r="Z780" s="8">
        <f>IF(B780="","",IFERROR(INDEX(Ingredients!$O$5:$O$304,MATCH(B780,Ingredients!$A$5:$A$304,0)),""))</f>
        <v>0</v>
      </c>
      <c r="AA780" s="8">
        <f>IF(B780="","",IF(R780&gt;=C780,"In pantry","To buy"))</f>
        <v>0</v>
      </c>
      <c r="AB780" s="8">
        <f>IF(A780="","",COUNTIFS($A$5:A780,A780))</f>
        <v>0</v>
      </c>
      <c r="AC780" s="8">
        <f>IF(B780="","",IF(COUNTIFS('Dietary Filters'!$C$5:$C$104,B780)&gt;0,"Check","OK"))</f>
        <v>0</v>
      </c>
      <c r="AD780" s="25"/>
    </row>
    <row r="781" spans="1:30">
      <c r="A781" s="7"/>
      <c r="B781" s="7"/>
      <c r="C781" s="26"/>
      <c r="D781" s="27"/>
      <c r="E781" s="8">
        <f>IF(B781="","",IFERROR(INDEX(Ingredients!$B$5:$B$304,MATCH(B781,Ingredients!$A$5:$A$304,0)),""))</f>
        <v>0</v>
      </c>
      <c r="F781" s="8">
        <f>IF(B781="","",IFERROR(INDEX(Ingredients!$E$5:$E$304,MATCH(B781,Ingredients!$A$5:$A$304,0)),""))</f>
        <v>0</v>
      </c>
      <c r="G781" s="8">
        <f>IF(B781="","",IFERROR(INDEX(Ingredients!$D$5:$D$304,MATCH(B781,Ingredients!$A$5:$A$304,0)),""))</f>
        <v>0</v>
      </c>
      <c r="H781" s="8">
        <f>IF(OR(B781="",C781=""),"",IFERROR(C781*G781,""))</f>
        <v>0</v>
      </c>
      <c r="I781" s="8">
        <f>IF(A781="","",IFERROR(INDEX(Recipes!$D$5:$D$204,MATCH(A781,Recipes!$A$5:$A$204,0)),""))</f>
        <v>0</v>
      </c>
      <c r="J781" s="8">
        <f>IF(OR(H781="",I781="",I781=0),"",IFERROR(H781/I781,""))</f>
        <v>0</v>
      </c>
      <c r="K781" s="8">
        <f>IF(OR(B781="",C781=""),"",IFERROR(C781*IFERROR(INDEX(Ingredients!$H$5:$H$304,MATCH(B781,Ingredients!$A$5:$A$304,0)),""),""))</f>
        <v>0</v>
      </c>
      <c r="L781" s="8">
        <f>IF(OR(B781="",C781=""),"",IFERROR(C781*IFERROR(INDEX(Ingredients!$I$5:$I$304,MATCH(B781,Ingredients!$A$5:$A$304,0)),""),""))</f>
        <v>0</v>
      </c>
      <c r="M781" s="8">
        <f>IF(OR(B781="",C781=""),"",IFERROR(C781*IFERROR(INDEX(Ingredients!$J$5:$J$304,MATCH(B781,Ingredients!$A$5:$A$304,0)),""),""))</f>
        <v>0</v>
      </c>
      <c r="N781" s="8">
        <f>IF(OR(B781="",C781=""),"",IFERROR(C781*IFERROR(INDEX(Ingredients!$K$5:$K$304,MATCH(B781,Ingredients!$A$5:$A$304,0)),""),""))</f>
        <v>0</v>
      </c>
      <c r="O781" s="8">
        <f>IF(OR(B781="",C781=""),"",IFERROR(C781*IFERROR(INDEX(Ingredients!$L$5:$L$304,MATCH(B781,Ingredients!$A$5:$A$304,0)),""),""))</f>
        <v>0</v>
      </c>
      <c r="P781" s="8">
        <f>IF(OR(H781="",A781=""),"",IFERROR(H781/SUMIFS('Recipe Ingredients'!$H$5:$H$1204,'Recipe Ingredients'!$A$5:$A$1204,A781),""))</f>
        <v>0</v>
      </c>
      <c r="Q781" s="8">
        <f>IF(H781="","",COUNTIFS($H$5:$H$1204,"&gt;"&amp;H781)+1)</f>
        <v>0</v>
      </c>
      <c r="R781" s="8">
        <f>IF(B781="","",SUMIFS(Pantry!$C$5:$C$304,Pantry!$A$5:$A$304,B781))</f>
        <v>0</v>
      </c>
      <c r="S781" s="8">
        <f>IF(OR(B781="",C781=""),"",MAX(0,C781-R781))</f>
        <v>0</v>
      </c>
      <c r="T781" s="26"/>
      <c r="U781" s="8">
        <f>IF(OR(T781="",T781=0,G781=""),"",T781*G781)</f>
        <v>0</v>
      </c>
      <c r="V781" s="8">
        <f>IF(OR(S781="",T781="",T781=0),"",CEILING(S781/T781,1))</f>
        <v>0</v>
      </c>
      <c r="W781" s="27"/>
      <c r="X781" s="29"/>
      <c r="Y781" s="8">
        <f>IF(OR(C781="",X781=""),"",C781*(1+X781))</f>
        <v>0</v>
      </c>
      <c r="Z781" s="8">
        <f>IF(B781="","",IFERROR(INDEX(Ingredients!$O$5:$O$304,MATCH(B781,Ingredients!$A$5:$A$304,0)),""))</f>
        <v>0</v>
      </c>
      <c r="AA781" s="8">
        <f>IF(B781="","",IF(R781&gt;=C781,"In pantry","To buy"))</f>
        <v>0</v>
      </c>
      <c r="AB781" s="8">
        <f>IF(A781="","",COUNTIFS($A$5:A781,A781))</f>
        <v>0</v>
      </c>
      <c r="AC781" s="8">
        <f>IF(B781="","",IF(COUNTIFS('Dietary Filters'!$C$5:$C$104,B781)&gt;0,"Check","OK"))</f>
        <v>0</v>
      </c>
      <c r="AD781" s="25"/>
    </row>
    <row r="782" spans="1:30">
      <c r="A782" s="7"/>
      <c r="B782" s="7"/>
      <c r="C782" s="26"/>
      <c r="D782" s="27"/>
      <c r="E782" s="8">
        <f>IF(B782="","",IFERROR(INDEX(Ingredients!$B$5:$B$304,MATCH(B782,Ingredients!$A$5:$A$304,0)),""))</f>
        <v>0</v>
      </c>
      <c r="F782" s="8">
        <f>IF(B782="","",IFERROR(INDEX(Ingredients!$E$5:$E$304,MATCH(B782,Ingredients!$A$5:$A$304,0)),""))</f>
        <v>0</v>
      </c>
      <c r="G782" s="8">
        <f>IF(B782="","",IFERROR(INDEX(Ingredients!$D$5:$D$304,MATCH(B782,Ingredients!$A$5:$A$304,0)),""))</f>
        <v>0</v>
      </c>
      <c r="H782" s="8">
        <f>IF(OR(B782="",C782=""),"",IFERROR(C782*G782,""))</f>
        <v>0</v>
      </c>
      <c r="I782" s="8">
        <f>IF(A782="","",IFERROR(INDEX(Recipes!$D$5:$D$204,MATCH(A782,Recipes!$A$5:$A$204,0)),""))</f>
        <v>0</v>
      </c>
      <c r="J782" s="8">
        <f>IF(OR(H782="",I782="",I782=0),"",IFERROR(H782/I782,""))</f>
        <v>0</v>
      </c>
      <c r="K782" s="8">
        <f>IF(OR(B782="",C782=""),"",IFERROR(C782*IFERROR(INDEX(Ingredients!$H$5:$H$304,MATCH(B782,Ingredients!$A$5:$A$304,0)),""),""))</f>
        <v>0</v>
      </c>
      <c r="L782" s="8">
        <f>IF(OR(B782="",C782=""),"",IFERROR(C782*IFERROR(INDEX(Ingredients!$I$5:$I$304,MATCH(B782,Ingredients!$A$5:$A$304,0)),""),""))</f>
        <v>0</v>
      </c>
      <c r="M782" s="8">
        <f>IF(OR(B782="",C782=""),"",IFERROR(C782*IFERROR(INDEX(Ingredients!$J$5:$J$304,MATCH(B782,Ingredients!$A$5:$A$304,0)),""),""))</f>
        <v>0</v>
      </c>
      <c r="N782" s="8">
        <f>IF(OR(B782="",C782=""),"",IFERROR(C782*IFERROR(INDEX(Ingredients!$K$5:$K$304,MATCH(B782,Ingredients!$A$5:$A$304,0)),""),""))</f>
        <v>0</v>
      </c>
      <c r="O782" s="8">
        <f>IF(OR(B782="",C782=""),"",IFERROR(C782*IFERROR(INDEX(Ingredients!$L$5:$L$304,MATCH(B782,Ingredients!$A$5:$A$304,0)),""),""))</f>
        <v>0</v>
      </c>
      <c r="P782" s="8">
        <f>IF(OR(H782="",A782=""),"",IFERROR(H782/SUMIFS('Recipe Ingredients'!$H$5:$H$1204,'Recipe Ingredients'!$A$5:$A$1204,A782),""))</f>
        <v>0</v>
      </c>
      <c r="Q782" s="8">
        <f>IF(H782="","",COUNTIFS($H$5:$H$1204,"&gt;"&amp;H782)+1)</f>
        <v>0</v>
      </c>
      <c r="R782" s="8">
        <f>IF(B782="","",SUMIFS(Pantry!$C$5:$C$304,Pantry!$A$5:$A$304,B782))</f>
        <v>0</v>
      </c>
      <c r="S782" s="8">
        <f>IF(OR(B782="",C782=""),"",MAX(0,C782-R782))</f>
        <v>0</v>
      </c>
      <c r="T782" s="26"/>
      <c r="U782" s="8">
        <f>IF(OR(T782="",T782=0,G782=""),"",T782*G782)</f>
        <v>0</v>
      </c>
      <c r="V782" s="8">
        <f>IF(OR(S782="",T782="",T782=0),"",CEILING(S782/T782,1))</f>
        <v>0</v>
      </c>
      <c r="W782" s="27"/>
      <c r="X782" s="29"/>
      <c r="Y782" s="8">
        <f>IF(OR(C782="",X782=""),"",C782*(1+X782))</f>
        <v>0</v>
      </c>
      <c r="Z782" s="8">
        <f>IF(B782="","",IFERROR(INDEX(Ingredients!$O$5:$O$304,MATCH(B782,Ingredients!$A$5:$A$304,0)),""))</f>
        <v>0</v>
      </c>
      <c r="AA782" s="8">
        <f>IF(B782="","",IF(R782&gt;=C782,"In pantry","To buy"))</f>
        <v>0</v>
      </c>
      <c r="AB782" s="8">
        <f>IF(A782="","",COUNTIFS($A$5:A782,A782))</f>
        <v>0</v>
      </c>
      <c r="AC782" s="8">
        <f>IF(B782="","",IF(COUNTIFS('Dietary Filters'!$C$5:$C$104,B782)&gt;0,"Check","OK"))</f>
        <v>0</v>
      </c>
      <c r="AD782" s="25"/>
    </row>
    <row r="783" spans="1:30">
      <c r="A783" s="7"/>
      <c r="B783" s="7"/>
      <c r="C783" s="26"/>
      <c r="D783" s="27"/>
      <c r="E783" s="8">
        <f>IF(B783="","",IFERROR(INDEX(Ingredients!$B$5:$B$304,MATCH(B783,Ingredients!$A$5:$A$304,0)),""))</f>
        <v>0</v>
      </c>
      <c r="F783" s="8">
        <f>IF(B783="","",IFERROR(INDEX(Ingredients!$E$5:$E$304,MATCH(B783,Ingredients!$A$5:$A$304,0)),""))</f>
        <v>0</v>
      </c>
      <c r="G783" s="8">
        <f>IF(B783="","",IFERROR(INDEX(Ingredients!$D$5:$D$304,MATCH(B783,Ingredients!$A$5:$A$304,0)),""))</f>
        <v>0</v>
      </c>
      <c r="H783" s="8">
        <f>IF(OR(B783="",C783=""),"",IFERROR(C783*G783,""))</f>
        <v>0</v>
      </c>
      <c r="I783" s="8">
        <f>IF(A783="","",IFERROR(INDEX(Recipes!$D$5:$D$204,MATCH(A783,Recipes!$A$5:$A$204,0)),""))</f>
        <v>0</v>
      </c>
      <c r="J783" s="8">
        <f>IF(OR(H783="",I783="",I783=0),"",IFERROR(H783/I783,""))</f>
        <v>0</v>
      </c>
      <c r="K783" s="8">
        <f>IF(OR(B783="",C783=""),"",IFERROR(C783*IFERROR(INDEX(Ingredients!$H$5:$H$304,MATCH(B783,Ingredients!$A$5:$A$304,0)),""),""))</f>
        <v>0</v>
      </c>
      <c r="L783" s="8">
        <f>IF(OR(B783="",C783=""),"",IFERROR(C783*IFERROR(INDEX(Ingredients!$I$5:$I$304,MATCH(B783,Ingredients!$A$5:$A$304,0)),""),""))</f>
        <v>0</v>
      </c>
      <c r="M783" s="8">
        <f>IF(OR(B783="",C783=""),"",IFERROR(C783*IFERROR(INDEX(Ingredients!$J$5:$J$304,MATCH(B783,Ingredients!$A$5:$A$304,0)),""),""))</f>
        <v>0</v>
      </c>
      <c r="N783" s="8">
        <f>IF(OR(B783="",C783=""),"",IFERROR(C783*IFERROR(INDEX(Ingredients!$K$5:$K$304,MATCH(B783,Ingredients!$A$5:$A$304,0)),""),""))</f>
        <v>0</v>
      </c>
      <c r="O783" s="8">
        <f>IF(OR(B783="",C783=""),"",IFERROR(C783*IFERROR(INDEX(Ingredients!$L$5:$L$304,MATCH(B783,Ingredients!$A$5:$A$304,0)),""),""))</f>
        <v>0</v>
      </c>
      <c r="P783" s="8">
        <f>IF(OR(H783="",A783=""),"",IFERROR(H783/SUMIFS('Recipe Ingredients'!$H$5:$H$1204,'Recipe Ingredients'!$A$5:$A$1204,A783),""))</f>
        <v>0</v>
      </c>
      <c r="Q783" s="8">
        <f>IF(H783="","",COUNTIFS($H$5:$H$1204,"&gt;"&amp;H783)+1)</f>
        <v>0</v>
      </c>
      <c r="R783" s="8">
        <f>IF(B783="","",SUMIFS(Pantry!$C$5:$C$304,Pantry!$A$5:$A$304,B783))</f>
        <v>0</v>
      </c>
      <c r="S783" s="8">
        <f>IF(OR(B783="",C783=""),"",MAX(0,C783-R783))</f>
        <v>0</v>
      </c>
      <c r="T783" s="26"/>
      <c r="U783" s="8">
        <f>IF(OR(T783="",T783=0,G783=""),"",T783*G783)</f>
        <v>0</v>
      </c>
      <c r="V783" s="8">
        <f>IF(OR(S783="",T783="",T783=0),"",CEILING(S783/T783,1))</f>
        <v>0</v>
      </c>
      <c r="W783" s="27"/>
      <c r="X783" s="29"/>
      <c r="Y783" s="8">
        <f>IF(OR(C783="",X783=""),"",C783*(1+X783))</f>
        <v>0</v>
      </c>
      <c r="Z783" s="8">
        <f>IF(B783="","",IFERROR(INDEX(Ingredients!$O$5:$O$304,MATCH(B783,Ingredients!$A$5:$A$304,0)),""))</f>
        <v>0</v>
      </c>
      <c r="AA783" s="8">
        <f>IF(B783="","",IF(R783&gt;=C783,"In pantry","To buy"))</f>
        <v>0</v>
      </c>
      <c r="AB783" s="8">
        <f>IF(A783="","",COUNTIFS($A$5:A783,A783))</f>
        <v>0</v>
      </c>
      <c r="AC783" s="8">
        <f>IF(B783="","",IF(COUNTIFS('Dietary Filters'!$C$5:$C$104,B783)&gt;0,"Check","OK"))</f>
        <v>0</v>
      </c>
      <c r="AD783" s="25"/>
    </row>
    <row r="784" spans="1:30">
      <c r="A784" s="7"/>
      <c r="B784" s="7"/>
      <c r="C784" s="26"/>
      <c r="D784" s="27"/>
      <c r="E784" s="8">
        <f>IF(B784="","",IFERROR(INDEX(Ingredients!$B$5:$B$304,MATCH(B784,Ingredients!$A$5:$A$304,0)),""))</f>
        <v>0</v>
      </c>
      <c r="F784" s="8">
        <f>IF(B784="","",IFERROR(INDEX(Ingredients!$E$5:$E$304,MATCH(B784,Ingredients!$A$5:$A$304,0)),""))</f>
        <v>0</v>
      </c>
      <c r="G784" s="8">
        <f>IF(B784="","",IFERROR(INDEX(Ingredients!$D$5:$D$304,MATCH(B784,Ingredients!$A$5:$A$304,0)),""))</f>
        <v>0</v>
      </c>
      <c r="H784" s="8">
        <f>IF(OR(B784="",C784=""),"",IFERROR(C784*G784,""))</f>
        <v>0</v>
      </c>
      <c r="I784" s="8">
        <f>IF(A784="","",IFERROR(INDEX(Recipes!$D$5:$D$204,MATCH(A784,Recipes!$A$5:$A$204,0)),""))</f>
        <v>0</v>
      </c>
      <c r="J784" s="8">
        <f>IF(OR(H784="",I784="",I784=0),"",IFERROR(H784/I784,""))</f>
        <v>0</v>
      </c>
      <c r="K784" s="8">
        <f>IF(OR(B784="",C784=""),"",IFERROR(C784*IFERROR(INDEX(Ingredients!$H$5:$H$304,MATCH(B784,Ingredients!$A$5:$A$304,0)),""),""))</f>
        <v>0</v>
      </c>
      <c r="L784" s="8">
        <f>IF(OR(B784="",C784=""),"",IFERROR(C784*IFERROR(INDEX(Ingredients!$I$5:$I$304,MATCH(B784,Ingredients!$A$5:$A$304,0)),""),""))</f>
        <v>0</v>
      </c>
      <c r="M784" s="8">
        <f>IF(OR(B784="",C784=""),"",IFERROR(C784*IFERROR(INDEX(Ingredients!$J$5:$J$304,MATCH(B784,Ingredients!$A$5:$A$304,0)),""),""))</f>
        <v>0</v>
      </c>
      <c r="N784" s="8">
        <f>IF(OR(B784="",C784=""),"",IFERROR(C784*IFERROR(INDEX(Ingredients!$K$5:$K$304,MATCH(B784,Ingredients!$A$5:$A$304,0)),""),""))</f>
        <v>0</v>
      </c>
      <c r="O784" s="8">
        <f>IF(OR(B784="",C784=""),"",IFERROR(C784*IFERROR(INDEX(Ingredients!$L$5:$L$304,MATCH(B784,Ingredients!$A$5:$A$304,0)),""),""))</f>
        <v>0</v>
      </c>
      <c r="P784" s="8">
        <f>IF(OR(H784="",A784=""),"",IFERROR(H784/SUMIFS('Recipe Ingredients'!$H$5:$H$1204,'Recipe Ingredients'!$A$5:$A$1204,A784),""))</f>
        <v>0</v>
      </c>
      <c r="Q784" s="8">
        <f>IF(H784="","",COUNTIFS($H$5:$H$1204,"&gt;"&amp;H784)+1)</f>
        <v>0</v>
      </c>
      <c r="R784" s="8">
        <f>IF(B784="","",SUMIFS(Pantry!$C$5:$C$304,Pantry!$A$5:$A$304,B784))</f>
        <v>0</v>
      </c>
      <c r="S784" s="8">
        <f>IF(OR(B784="",C784=""),"",MAX(0,C784-R784))</f>
        <v>0</v>
      </c>
      <c r="T784" s="26"/>
      <c r="U784" s="8">
        <f>IF(OR(T784="",T784=0,G784=""),"",T784*G784)</f>
        <v>0</v>
      </c>
      <c r="V784" s="8">
        <f>IF(OR(S784="",T784="",T784=0),"",CEILING(S784/T784,1))</f>
        <v>0</v>
      </c>
      <c r="W784" s="27"/>
      <c r="X784" s="29"/>
      <c r="Y784" s="8">
        <f>IF(OR(C784="",X784=""),"",C784*(1+X784))</f>
        <v>0</v>
      </c>
      <c r="Z784" s="8">
        <f>IF(B784="","",IFERROR(INDEX(Ingredients!$O$5:$O$304,MATCH(B784,Ingredients!$A$5:$A$304,0)),""))</f>
        <v>0</v>
      </c>
      <c r="AA784" s="8">
        <f>IF(B784="","",IF(R784&gt;=C784,"In pantry","To buy"))</f>
        <v>0</v>
      </c>
      <c r="AB784" s="8">
        <f>IF(A784="","",COUNTIFS($A$5:A784,A784))</f>
        <v>0</v>
      </c>
      <c r="AC784" s="8">
        <f>IF(B784="","",IF(COUNTIFS('Dietary Filters'!$C$5:$C$104,B784)&gt;0,"Check","OK"))</f>
        <v>0</v>
      </c>
      <c r="AD784" s="25"/>
    </row>
    <row r="785" spans="1:30">
      <c r="A785" s="7"/>
      <c r="B785" s="7"/>
      <c r="C785" s="26"/>
      <c r="D785" s="27"/>
      <c r="E785" s="8">
        <f>IF(B785="","",IFERROR(INDEX(Ingredients!$B$5:$B$304,MATCH(B785,Ingredients!$A$5:$A$304,0)),""))</f>
        <v>0</v>
      </c>
      <c r="F785" s="8">
        <f>IF(B785="","",IFERROR(INDEX(Ingredients!$E$5:$E$304,MATCH(B785,Ingredients!$A$5:$A$304,0)),""))</f>
        <v>0</v>
      </c>
      <c r="G785" s="8">
        <f>IF(B785="","",IFERROR(INDEX(Ingredients!$D$5:$D$304,MATCH(B785,Ingredients!$A$5:$A$304,0)),""))</f>
        <v>0</v>
      </c>
      <c r="H785" s="8">
        <f>IF(OR(B785="",C785=""),"",IFERROR(C785*G785,""))</f>
        <v>0</v>
      </c>
      <c r="I785" s="8">
        <f>IF(A785="","",IFERROR(INDEX(Recipes!$D$5:$D$204,MATCH(A785,Recipes!$A$5:$A$204,0)),""))</f>
        <v>0</v>
      </c>
      <c r="J785" s="8">
        <f>IF(OR(H785="",I785="",I785=0),"",IFERROR(H785/I785,""))</f>
        <v>0</v>
      </c>
      <c r="K785" s="8">
        <f>IF(OR(B785="",C785=""),"",IFERROR(C785*IFERROR(INDEX(Ingredients!$H$5:$H$304,MATCH(B785,Ingredients!$A$5:$A$304,0)),""),""))</f>
        <v>0</v>
      </c>
      <c r="L785" s="8">
        <f>IF(OR(B785="",C785=""),"",IFERROR(C785*IFERROR(INDEX(Ingredients!$I$5:$I$304,MATCH(B785,Ingredients!$A$5:$A$304,0)),""),""))</f>
        <v>0</v>
      </c>
      <c r="M785" s="8">
        <f>IF(OR(B785="",C785=""),"",IFERROR(C785*IFERROR(INDEX(Ingredients!$J$5:$J$304,MATCH(B785,Ingredients!$A$5:$A$304,0)),""),""))</f>
        <v>0</v>
      </c>
      <c r="N785" s="8">
        <f>IF(OR(B785="",C785=""),"",IFERROR(C785*IFERROR(INDEX(Ingredients!$K$5:$K$304,MATCH(B785,Ingredients!$A$5:$A$304,0)),""),""))</f>
        <v>0</v>
      </c>
      <c r="O785" s="8">
        <f>IF(OR(B785="",C785=""),"",IFERROR(C785*IFERROR(INDEX(Ingredients!$L$5:$L$304,MATCH(B785,Ingredients!$A$5:$A$304,0)),""),""))</f>
        <v>0</v>
      </c>
      <c r="P785" s="8">
        <f>IF(OR(H785="",A785=""),"",IFERROR(H785/SUMIFS('Recipe Ingredients'!$H$5:$H$1204,'Recipe Ingredients'!$A$5:$A$1204,A785),""))</f>
        <v>0</v>
      </c>
      <c r="Q785" s="8">
        <f>IF(H785="","",COUNTIFS($H$5:$H$1204,"&gt;"&amp;H785)+1)</f>
        <v>0</v>
      </c>
      <c r="R785" s="8">
        <f>IF(B785="","",SUMIFS(Pantry!$C$5:$C$304,Pantry!$A$5:$A$304,B785))</f>
        <v>0</v>
      </c>
      <c r="S785" s="8">
        <f>IF(OR(B785="",C785=""),"",MAX(0,C785-R785))</f>
        <v>0</v>
      </c>
      <c r="T785" s="26"/>
      <c r="U785" s="8">
        <f>IF(OR(T785="",T785=0,G785=""),"",T785*G785)</f>
        <v>0</v>
      </c>
      <c r="V785" s="8">
        <f>IF(OR(S785="",T785="",T785=0),"",CEILING(S785/T785,1))</f>
        <v>0</v>
      </c>
      <c r="W785" s="27"/>
      <c r="X785" s="29"/>
      <c r="Y785" s="8">
        <f>IF(OR(C785="",X785=""),"",C785*(1+X785))</f>
        <v>0</v>
      </c>
      <c r="Z785" s="8">
        <f>IF(B785="","",IFERROR(INDEX(Ingredients!$O$5:$O$304,MATCH(B785,Ingredients!$A$5:$A$304,0)),""))</f>
        <v>0</v>
      </c>
      <c r="AA785" s="8">
        <f>IF(B785="","",IF(R785&gt;=C785,"In pantry","To buy"))</f>
        <v>0</v>
      </c>
      <c r="AB785" s="8">
        <f>IF(A785="","",COUNTIFS($A$5:A785,A785))</f>
        <v>0</v>
      </c>
      <c r="AC785" s="8">
        <f>IF(B785="","",IF(COUNTIFS('Dietary Filters'!$C$5:$C$104,B785)&gt;0,"Check","OK"))</f>
        <v>0</v>
      </c>
      <c r="AD785" s="25"/>
    </row>
    <row r="786" spans="1:30">
      <c r="A786" s="7"/>
      <c r="B786" s="7"/>
      <c r="C786" s="26"/>
      <c r="D786" s="27"/>
      <c r="E786" s="8">
        <f>IF(B786="","",IFERROR(INDEX(Ingredients!$B$5:$B$304,MATCH(B786,Ingredients!$A$5:$A$304,0)),""))</f>
        <v>0</v>
      </c>
      <c r="F786" s="8">
        <f>IF(B786="","",IFERROR(INDEX(Ingredients!$E$5:$E$304,MATCH(B786,Ingredients!$A$5:$A$304,0)),""))</f>
        <v>0</v>
      </c>
      <c r="G786" s="8">
        <f>IF(B786="","",IFERROR(INDEX(Ingredients!$D$5:$D$304,MATCH(B786,Ingredients!$A$5:$A$304,0)),""))</f>
        <v>0</v>
      </c>
      <c r="H786" s="8">
        <f>IF(OR(B786="",C786=""),"",IFERROR(C786*G786,""))</f>
        <v>0</v>
      </c>
      <c r="I786" s="8">
        <f>IF(A786="","",IFERROR(INDEX(Recipes!$D$5:$D$204,MATCH(A786,Recipes!$A$5:$A$204,0)),""))</f>
        <v>0</v>
      </c>
      <c r="J786" s="8">
        <f>IF(OR(H786="",I786="",I786=0),"",IFERROR(H786/I786,""))</f>
        <v>0</v>
      </c>
      <c r="K786" s="8">
        <f>IF(OR(B786="",C786=""),"",IFERROR(C786*IFERROR(INDEX(Ingredients!$H$5:$H$304,MATCH(B786,Ingredients!$A$5:$A$304,0)),""),""))</f>
        <v>0</v>
      </c>
      <c r="L786" s="8">
        <f>IF(OR(B786="",C786=""),"",IFERROR(C786*IFERROR(INDEX(Ingredients!$I$5:$I$304,MATCH(B786,Ingredients!$A$5:$A$304,0)),""),""))</f>
        <v>0</v>
      </c>
      <c r="M786" s="8">
        <f>IF(OR(B786="",C786=""),"",IFERROR(C786*IFERROR(INDEX(Ingredients!$J$5:$J$304,MATCH(B786,Ingredients!$A$5:$A$304,0)),""),""))</f>
        <v>0</v>
      </c>
      <c r="N786" s="8">
        <f>IF(OR(B786="",C786=""),"",IFERROR(C786*IFERROR(INDEX(Ingredients!$K$5:$K$304,MATCH(B786,Ingredients!$A$5:$A$304,0)),""),""))</f>
        <v>0</v>
      </c>
      <c r="O786" s="8">
        <f>IF(OR(B786="",C786=""),"",IFERROR(C786*IFERROR(INDEX(Ingredients!$L$5:$L$304,MATCH(B786,Ingredients!$A$5:$A$304,0)),""),""))</f>
        <v>0</v>
      </c>
      <c r="P786" s="8">
        <f>IF(OR(H786="",A786=""),"",IFERROR(H786/SUMIFS('Recipe Ingredients'!$H$5:$H$1204,'Recipe Ingredients'!$A$5:$A$1204,A786),""))</f>
        <v>0</v>
      </c>
      <c r="Q786" s="8">
        <f>IF(H786="","",COUNTIFS($H$5:$H$1204,"&gt;"&amp;H786)+1)</f>
        <v>0</v>
      </c>
      <c r="R786" s="8">
        <f>IF(B786="","",SUMIFS(Pantry!$C$5:$C$304,Pantry!$A$5:$A$304,B786))</f>
        <v>0</v>
      </c>
      <c r="S786" s="8">
        <f>IF(OR(B786="",C786=""),"",MAX(0,C786-R786))</f>
        <v>0</v>
      </c>
      <c r="T786" s="26"/>
      <c r="U786" s="8">
        <f>IF(OR(T786="",T786=0,G786=""),"",T786*G786)</f>
        <v>0</v>
      </c>
      <c r="V786" s="8">
        <f>IF(OR(S786="",T786="",T786=0),"",CEILING(S786/T786,1))</f>
        <v>0</v>
      </c>
      <c r="W786" s="27"/>
      <c r="X786" s="29"/>
      <c r="Y786" s="8">
        <f>IF(OR(C786="",X786=""),"",C786*(1+X786))</f>
        <v>0</v>
      </c>
      <c r="Z786" s="8">
        <f>IF(B786="","",IFERROR(INDEX(Ingredients!$O$5:$O$304,MATCH(B786,Ingredients!$A$5:$A$304,0)),""))</f>
        <v>0</v>
      </c>
      <c r="AA786" s="8">
        <f>IF(B786="","",IF(R786&gt;=C786,"In pantry","To buy"))</f>
        <v>0</v>
      </c>
      <c r="AB786" s="8">
        <f>IF(A786="","",COUNTIFS($A$5:A786,A786))</f>
        <v>0</v>
      </c>
      <c r="AC786" s="8">
        <f>IF(B786="","",IF(COUNTIFS('Dietary Filters'!$C$5:$C$104,B786)&gt;0,"Check","OK"))</f>
        <v>0</v>
      </c>
      <c r="AD786" s="25"/>
    </row>
    <row r="787" spans="1:30">
      <c r="A787" s="7"/>
      <c r="B787" s="7"/>
      <c r="C787" s="26"/>
      <c r="D787" s="27"/>
      <c r="E787" s="8">
        <f>IF(B787="","",IFERROR(INDEX(Ingredients!$B$5:$B$304,MATCH(B787,Ingredients!$A$5:$A$304,0)),""))</f>
        <v>0</v>
      </c>
      <c r="F787" s="8">
        <f>IF(B787="","",IFERROR(INDEX(Ingredients!$E$5:$E$304,MATCH(B787,Ingredients!$A$5:$A$304,0)),""))</f>
        <v>0</v>
      </c>
      <c r="G787" s="8">
        <f>IF(B787="","",IFERROR(INDEX(Ingredients!$D$5:$D$304,MATCH(B787,Ingredients!$A$5:$A$304,0)),""))</f>
        <v>0</v>
      </c>
      <c r="H787" s="8">
        <f>IF(OR(B787="",C787=""),"",IFERROR(C787*G787,""))</f>
        <v>0</v>
      </c>
      <c r="I787" s="8">
        <f>IF(A787="","",IFERROR(INDEX(Recipes!$D$5:$D$204,MATCH(A787,Recipes!$A$5:$A$204,0)),""))</f>
        <v>0</v>
      </c>
      <c r="J787" s="8">
        <f>IF(OR(H787="",I787="",I787=0),"",IFERROR(H787/I787,""))</f>
        <v>0</v>
      </c>
      <c r="K787" s="8">
        <f>IF(OR(B787="",C787=""),"",IFERROR(C787*IFERROR(INDEX(Ingredients!$H$5:$H$304,MATCH(B787,Ingredients!$A$5:$A$304,0)),""),""))</f>
        <v>0</v>
      </c>
      <c r="L787" s="8">
        <f>IF(OR(B787="",C787=""),"",IFERROR(C787*IFERROR(INDEX(Ingredients!$I$5:$I$304,MATCH(B787,Ingredients!$A$5:$A$304,0)),""),""))</f>
        <v>0</v>
      </c>
      <c r="M787" s="8">
        <f>IF(OR(B787="",C787=""),"",IFERROR(C787*IFERROR(INDEX(Ingredients!$J$5:$J$304,MATCH(B787,Ingredients!$A$5:$A$304,0)),""),""))</f>
        <v>0</v>
      </c>
      <c r="N787" s="8">
        <f>IF(OR(B787="",C787=""),"",IFERROR(C787*IFERROR(INDEX(Ingredients!$K$5:$K$304,MATCH(B787,Ingredients!$A$5:$A$304,0)),""),""))</f>
        <v>0</v>
      </c>
      <c r="O787" s="8">
        <f>IF(OR(B787="",C787=""),"",IFERROR(C787*IFERROR(INDEX(Ingredients!$L$5:$L$304,MATCH(B787,Ingredients!$A$5:$A$304,0)),""),""))</f>
        <v>0</v>
      </c>
      <c r="P787" s="8">
        <f>IF(OR(H787="",A787=""),"",IFERROR(H787/SUMIFS('Recipe Ingredients'!$H$5:$H$1204,'Recipe Ingredients'!$A$5:$A$1204,A787),""))</f>
        <v>0</v>
      </c>
      <c r="Q787" s="8">
        <f>IF(H787="","",COUNTIFS($H$5:$H$1204,"&gt;"&amp;H787)+1)</f>
        <v>0</v>
      </c>
      <c r="R787" s="8">
        <f>IF(B787="","",SUMIFS(Pantry!$C$5:$C$304,Pantry!$A$5:$A$304,B787))</f>
        <v>0</v>
      </c>
      <c r="S787" s="8">
        <f>IF(OR(B787="",C787=""),"",MAX(0,C787-R787))</f>
        <v>0</v>
      </c>
      <c r="T787" s="26"/>
      <c r="U787" s="8">
        <f>IF(OR(T787="",T787=0,G787=""),"",T787*G787)</f>
        <v>0</v>
      </c>
      <c r="V787" s="8">
        <f>IF(OR(S787="",T787="",T787=0),"",CEILING(S787/T787,1))</f>
        <v>0</v>
      </c>
      <c r="W787" s="27"/>
      <c r="X787" s="29"/>
      <c r="Y787" s="8">
        <f>IF(OR(C787="",X787=""),"",C787*(1+X787))</f>
        <v>0</v>
      </c>
      <c r="Z787" s="8">
        <f>IF(B787="","",IFERROR(INDEX(Ingredients!$O$5:$O$304,MATCH(B787,Ingredients!$A$5:$A$304,0)),""))</f>
        <v>0</v>
      </c>
      <c r="AA787" s="8">
        <f>IF(B787="","",IF(R787&gt;=C787,"In pantry","To buy"))</f>
        <v>0</v>
      </c>
      <c r="AB787" s="8">
        <f>IF(A787="","",COUNTIFS($A$5:A787,A787))</f>
        <v>0</v>
      </c>
      <c r="AC787" s="8">
        <f>IF(B787="","",IF(COUNTIFS('Dietary Filters'!$C$5:$C$104,B787)&gt;0,"Check","OK"))</f>
        <v>0</v>
      </c>
      <c r="AD787" s="25"/>
    </row>
    <row r="788" spans="1:30">
      <c r="A788" s="7"/>
      <c r="B788" s="7"/>
      <c r="C788" s="26"/>
      <c r="D788" s="27"/>
      <c r="E788" s="8">
        <f>IF(B788="","",IFERROR(INDEX(Ingredients!$B$5:$B$304,MATCH(B788,Ingredients!$A$5:$A$304,0)),""))</f>
        <v>0</v>
      </c>
      <c r="F788" s="8">
        <f>IF(B788="","",IFERROR(INDEX(Ingredients!$E$5:$E$304,MATCH(B788,Ingredients!$A$5:$A$304,0)),""))</f>
        <v>0</v>
      </c>
      <c r="G788" s="8">
        <f>IF(B788="","",IFERROR(INDEX(Ingredients!$D$5:$D$304,MATCH(B788,Ingredients!$A$5:$A$304,0)),""))</f>
        <v>0</v>
      </c>
      <c r="H788" s="8">
        <f>IF(OR(B788="",C788=""),"",IFERROR(C788*G788,""))</f>
        <v>0</v>
      </c>
      <c r="I788" s="8">
        <f>IF(A788="","",IFERROR(INDEX(Recipes!$D$5:$D$204,MATCH(A788,Recipes!$A$5:$A$204,0)),""))</f>
        <v>0</v>
      </c>
      <c r="J788" s="8">
        <f>IF(OR(H788="",I788="",I788=0),"",IFERROR(H788/I788,""))</f>
        <v>0</v>
      </c>
      <c r="K788" s="8">
        <f>IF(OR(B788="",C788=""),"",IFERROR(C788*IFERROR(INDEX(Ingredients!$H$5:$H$304,MATCH(B788,Ingredients!$A$5:$A$304,0)),""),""))</f>
        <v>0</v>
      </c>
      <c r="L788" s="8">
        <f>IF(OR(B788="",C788=""),"",IFERROR(C788*IFERROR(INDEX(Ingredients!$I$5:$I$304,MATCH(B788,Ingredients!$A$5:$A$304,0)),""),""))</f>
        <v>0</v>
      </c>
      <c r="M788" s="8">
        <f>IF(OR(B788="",C788=""),"",IFERROR(C788*IFERROR(INDEX(Ingredients!$J$5:$J$304,MATCH(B788,Ingredients!$A$5:$A$304,0)),""),""))</f>
        <v>0</v>
      </c>
      <c r="N788" s="8">
        <f>IF(OR(B788="",C788=""),"",IFERROR(C788*IFERROR(INDEX(Ingredients!$K$5:$K$304,MATCH(B788,Ingredients!$A$5:$A$304,0)),""),""))</f>
        <v>0</v>
      </c>
      <c r="O788" s="8">
        <f>IF(OR(B788="",C788=""),"",IFERROR(C788*IFERROR(INDEX(Ingredients!$L$5:$L$304,MATCH(B788,Ingredients!$A$5:$A$304,0)),""),""))</f>
        <v>0</v>
      </c>
      <c r="P788" s="8">
        <f>IF(OR(H788="",A788=""),"",IFERROR(H788/SUMIFS('Recipe Ingredients'!$H$5:$H$1204,'Recipe Ingredients'!$A$5:$A$1204,A788),""))</f>
        <v>0</v>
      </c>
      <c r="Q788" s="8">
        <f>IF(H788="","",COUNTIFS($H$5:$H$1204,"&gt;"&amp;H788)+1)</f>
        <v>0</v>
      </c>
      <c r="R788" s="8">
        <f>IF(B788="","",SUMIFS(Pantry!$C$5:$C$304,Pantry!$A$5:$A$304,B788))</f>
        <v>0</v>
      </c>
      <c r="S788" s="8">
        <f>IF(OR(B788="",C788=""),"",MAX(0,C788-R788))</f>
        <v>0</v>
      </c>
      <c r="T788" s="26"/>
      <c r="U788" s="8">
        <f>IF(OR(T788="",T788=0,G788=""),"",T788*G788)</f>
        <v>0</v>
      </c>
      <c r="V788" s="8">
        <f>IF(OR(S788="",T788="",T788=0),"",CEILING(S788/T788,1))</f>
        <v>0</v>
      </c>
      <c r="W788" s="27"/>
      <c r="X788" s="29"/>
      <c r="Y788" s="8">
        <f>IF(OR(C788="",X788=""),"",C788*(1+X788))</f>
        <v>0</v>
      </c>
      <c r="Z788" s="8">
        <f>IF(B788="","",IFERROR(INDEX(Ingredients!$O$5:$O$304,MATCH(B788,Ingredients!$A$5:$A$304,0)),""))</f>
        <v>0</v>
      </c>
      <c r="AA788" s="8">
        <f>IF(B788="","",IF(R788&gt;=C788,"In pantry","To buy"))</f>
        <v>0</v>
      </c>
      <c r="AB788" s="8">
        <f>IF(A788="","",COUNTIFS($A$5:A788,A788))</f>
        <v>0</v>
      </c>
      <c r="AC788" s="8">
        <f>IF(B788="","",IF(COUNTIFS('Dietary Filters'!$C$5:$C$104,B788)&gt;0,"Check","OK"))</f>
        <v>0</v>
      </c>
      <c r="AD788" s="25"/>
    </row>
    <row r="789" spans="1:30">
      <c r="A789" s="7"/>
      <c r="B789" s="7"/>
      <c r="C789" s="26"/>
      <c r="D789" s="27"/>
      <c r="E789" s="8">
        <f>IF(B789="","",IFERROR(INDEX(Ingredients!$B$5:$B$304,MATCH(B789,Ingredients!$A$5:$A$304,0)),""))</f>
        <v>0</v>
      </c>
      <c r="F789" s="8">
        <f>IF(B789="","",IFERROR(INDEX(Ingredients!$E$5:$E$304,MATCH(B789,Ingredients!$A$5:$A$304,0)),""))</f>
        <v>0</v>
      </c>
      <c r="G789" s="8">
        <f>IF(B789="","",IFERROR(INDEX(Ingredients!$D$5:$D$304,MATCH(B789,Ingredients!$A$5:$A$304,0)),""))</f>
        <v>0</v>
      </c>
      <c r="H789" s="8">
        <f>IF(OR(B789="",C789=""),"",IFERROR(C789*G789,""))</f>
        <v>0</v>
      </c>
      <c r="I789" s="8">
        <f>IF(A789="","",IFERROR(INDEX(Recipes!$D$5:$D$204,MATCH(A789,Recipes!$A$5:$A$204,0)),""))</f>
        <v>0</v>
      </c>
      <c r="J789" s="8">
        <f>IF(OR(H789="",I789="",I789=0),"",IFERROR(H789/I789,""))</f>
        <v>0</v>
      </c>
      <c r="K789" s="8">
        <f>IF(OR(B789="",C789=""),"",IFERROR(C789*IFERROR(INDEX(Ingredients!$H$5:$H$304,MATCH(B789,Ingredients!$A$5:$A$304,0)),""),""))</f>
        <v>0</v>
      </c>
      <c r="L789" s="8">
        <f>IF(OR(B789="",C789=""),"",IFERROR(C789*IFERROR(INDEX(Ingredients!$I$5:$I$304,MATCH(B789,Ingredients!$A$5:$A$304,0)),""),""))</f>
        <v>0</v>
      </c>
      <c r="M789" s="8">
        <f>IF(OR(B789="",C789=""),"",IFERROR(C789*IFERROR(INDEX(Ingredients!$J$5:$J$304,MATCH(B789,Ingredients!$A$5:$A$304,0)),""),""))</f>
        <v>0</v>
      </c>
      <c r="N789" s="8">
        <f>IF(OR(B789="",C789=""),"",IFERROR(C789*IFERROR(INDEX(Ingredients!$K$5:$K$304,MATCH(B789,Ingredients!$A$5:$A$304,0)),""),""))</f>
        <v>0</v>
      </c>
      <c r="O789" s="8">
        <f>IF(OR(B789="",C789=""),"",IFERROR(C789*IFERROR(INDEX(Ingredients!$L$5:$L$304,MATCH(B789,Ingredients!$A$5:$A$304,0)),""),""))</f>
        <v>0</v>
      </c>
      <c r="P789" s="8">
        <f>IF(OR(H789="",A789=""),"",IFERROR(H789/SUMIFS('Recipe Ingredients'!$H$5:$H$1204,'Recipe Ingredients'!$A$5:$A$1204,A789),""))</f>
        <v>0</v>
      </c>
      <c r="Q789" s="8">
        <f>IF(H789="","",COUNTIFS($H$5:$H$1204,"&gt;"&amp;H789)+1)</f>
        <v>0</v>
      </c>
      <c r="R789" s="8">
        <f>IF(B789="","",SUMIFS(Pantry!$C$5:$C$304,Pantry!$A$5:$A$304,B789))</f>
        <v>0</v>
      </c>
      <c r="S789" s="8">
        <f>IF(OR(B789="",C789=""),"",MAX(0,C789-R789))</f>
        <v>0</v>
      </c>
      <c r="T789" s="26"/>
      <c r="U789" s="8">
        <f>IF(OR(T789="",T789=0,G789=""),"",T789*G789)</f>
        <v>0</v>
      </c>
      <c r="V789" s="8">
        <f>IF(OR(S789="",T789="",T789=0),"",CEILING(S789/T789,1))</f>
        <v>0</v>
      </c>
      <c r="W789" s="27"/>
      <c r="X789" s="29"/>
      <c r="Y789" s="8">
        <f>IF(OR(C789="",X789=""),"",C789*(1+X789))</f>
        <v>0</v>
      </c>
      <c r="Z789" s="8">
        <f>IF(B789="","",IFERROR(INDEX(Ingredients!$O$5:$O$304,MATCH(B789,Ingredients!$A$5:$A$304,0)),""))</f>
        <v>0</v>
      </c>
      <c r="AA789" s="8">
        <f>IF(B789="","",IF(R789&gt;=C789,"In pantry","To buy"))</f>
        <v>0</v>
      </c>
      <c r="AB789" s="8">
        <f>IF(A789="","",COUNTIFS($A$5:A789,A789))</f>
        <v>0</v>
      </c>
      <c r="AC789" s="8">
        <f>IF(B789="","",IF(COUNTIFS('Dietary Filters'!$C$5:$C$104,B789)&gt;0,"Check","OK"))</f>
        <v>0</v>
      </c>
      <c r="AD789" s="25"/>
    </row>
    <row r="790" spans="1:30">
      <c r="A790" s="7"/>
      <c r="B790" s="7"/>
      <c r="C790" s="26"/>
      <c r="D790" s="27"/>
      <c r="E790" s="8">
        <f>IF(B790="","",IFERROR(INDEX(Ingredients!$B$5:$B$304,MATCH(B790,Ingredients!$A$5:$A$304,0)),""))</f>
        <v>0</v>
      </c>
      <c r="F790" s="8">
        <f>IF(B790="","",IFERROR(INDEX(Ingredients!$E$5:$E$304,MATCH(B790,Ingredients!$A$5:$A$304,0)),""))</f>
        <v>0</v>
      </c>
      <c r="G790" s="8">
        <f>IF(B790="","",IFERROR(INDEX(Ingredients!$D$5:$D$304,MATCH(B790,Ingredients!$A$5:$A$304,0)),""))</f>
        <v>0</v>
      </c>
      <c r="H790" s="8">
        <f>IF(OR(B790="",C790=""),"",IFERROR(C790*G790,""))</f>
        <v>0</v>
      </c>
      <c r="I790" s="8">
        <f>IF(A790="","",IFERROR(INDEX(Recipes!$D$5:$D$204,MATCH(A790,Recipes!$A$5:$A$204,0)),""))</f>
        <v>0</v>
      </c>
      <c r="J790" s="8">
        <f>IF(OR(H790="",I790="",I790=0),"",IFERROR(H790/I790,""))</f>
        <v>0</v>
      </c>
      <c r="K790" s="8">
        <f>IF(OR(B790="",C790=""),"",IFERROR(C790*IFERROR(INDEX(Ingredients!$H$5:$H$304,MATCH(B790,Ingredients!$A$5:$A$304,0)),""),""))</f>
        <v>0</v>
      </c>
      <c r="L790" s="8">
        <f>IF(OR(B790="",C790=""),"",IFERROR(C790*IFERROR(INDEX(Ingredients!$I$5:$I$304,MATCH(B790,Ingredients!$A$5:$A$304,0)),""),""))</f>
        <v>0</v>
      </c>
      <c r="M790" s="8">
        <f>IF(OR(B790="",C790=""),"",IFERROR(C790*IFERROR(INDEX(Ingredients!$J$5:$J$304,MATCH(B790,Ingredients!$A$5:$A$304,0)),""),""))</f>
        <v>0</v>
      </c>
      <c r="N790" s="8">
        <f>IF(OR(B790="",C790=""),"",IFERROR(C790*IFERROR(INDEX(Ingredients!$K$5:$K$304,MATCH(B790,Ingredients!$A$5:$A$304,0)),""),""))</f>
        <v>0</v>
      </c>
      <c r="O790" s="8">
        <f>IF(OR(B790="",C790=""),"",IFERROR(C790*IFERROR(INDEX(Ingredients!$L$5:$L$304,MATCH(B790,Ingredients!$A$5:$A$304,0)),""),""))</f>
        <v>0</v>
      </c>
      <c r="P790" s="8">
        <f>IF(OR(H790="",A790=""),"",IFERROR(H790/SUMIFS('Recipe Ingredients'!$H$5:$H$1204,'Recipe Ingredients'!$A$5:$A$1204,A790),""))</f>
        <v>0</v>
      </c>
      <c r="Q790" s="8">
        <f>IF(H790="","",COUNTIFS($H$5:$H$1204,"&gt;"&amp;H790)+1)</f>
        <v>0</v>
      </c>
      <c r="R790" s="8">
        <f>IF(B790="","",SUMIFS(Pantry!$C$5:$C$304,Pantry!$A$5:$A$304,B790))</f>
        <v>0</v>
      </c>
      <c r="S790" s="8">
        <f>IF(OR(B790="",C790=""),"",MAX(0,C790-R790))</f>
        <v>0</v>
      </c>
      <c r="T790" s="26"/>
      <c r="U790" s="8">
        <f>IF(OR(T790="",T790=0,G790=""),"",T790*G790)</f>
        <v>0</v>
      </c>
      <c r="V790" s="8">
        <f>IF(OR(S790="",T790="",T790=0),"",CEILING(S790/T790,1))</f>
        <v>0</v>
      </c>
      <c r="W790" s="27"/>
      <c r="X790" s="29"/>
      <c r="Y790" s="8">
        <f>IF(OR(C790="",X790=""),"",C790*(1+X790))</f>
        <v>0</v>
      </c>
      <c r="Z790" s="8">
        <f>IF(B790="","",IFERROR(INDEX(Ingredients!$O$5:$O$304,MATCH(B790,Ingredients!$A$5:$A$304,0)),""))</f>
        <v>0</v>
      </c>
      <c r="AA790" s="8">
        <f>IF(B790="","",IF(R790&gt;=C790,"In pantry","To buy"))</f>
        <v>0</v>
      </c>
      <c r="AB790" s="8">
        <f>IF(A790="","",COUNTIFS($A$5:A790,A790))</f>
        <v>0</v>
      </c>
      <c r="AC790" s="8">
        <f>IF(B790="","",IF(COUNTIFS('Dietary Filters'!$C$5:$C$104,B790)&gt;0,"Check","OK"))</f>
        <v>0</v>
      </c>
      <c r="AD790" s="25"/>
    </row>
    <row r="791" spans="1:30">
      <c r="A791" s="7"/>
      <c r="B791" s="7"/>
      <c r="C791" s="26"/>
      <c r="D791" s="27"/>
      <c r="E791" s="8">
        <f>IF(B791="","",IFERROR(INDEX(Ingredients!$B$5:$B$304,MATCH(B791,Ingredients!$A$5:$A$304,0)),""))</f>
        <v>0</v>
      </c>
      <c r="F791" s="8">
        <f>IF(B791="","",IFERROR(INDEX(Ingredients!$E$5:$E$304,MATCH(B791,Ingredients!$A$5:$A$304,0)),""))</f>
        <v>0</v>
      </c>
      <c r="G791" s="8">
        <f>IF(B791="","",IFERROR(INDEX(Ingredients!$D$5:$D$304,MATCH(B791,Ingredients!$A$5:$A$304,0)),""))</f>
        <v>0</v>
      </c>
      <c r="H791" s="8">
        <f>IF(OR(B791="",C791=""),"",IFERROR(C791*G791,""))</f>
        <v>0</v>
      </c>
      <c r="I791" s="8">
        <f>IF(A791="","",IFERROR(INDEX(Recipes!$D$5:$D$204,MATCH(A791,Recipes!$A$5:$A$204,0)),""))</f>
        <v>0</v>
      </c>
      <c r="J791" s="8">
        <f>IF(OR(H791="",I791="",I791=0),"",IFERROR(H791/I791,""))</f>
        <v>0</v>
      </c>
      <c r="K791" s="8">
        <f>IF(OR(B791="",C791=""),"",IFERROR(C791*IFERROR(INDEX(Ingredients!$H$5:$H$304,MATCH(B791,Ingredients!$A$5:$A$304,0)),""),""))</f>
        <v>0</v>
      </c>
      <c r="L791" s="8">
        <f>IF(OR(B791="",C791=""),"",IFERROR(C791*IFERROR(INDEX(Ingredients!$I$5:$I$304,MATCH(B791,Ingredients!$A$5:$A$304,0)),""),""))</f>
        <v>0</v>
      </c>
      <c r="M791" s="8">
        <f>IF(OR(B791="",C791=""),"",IFERROR(C791*IFERROR(INDEX(Ingredients!$J$5:$J$304,MATCH(B791,Ingredients!$A$5:$A$304,0)),""),""))</f>
        <v>0</v>
      </c>
      <c r="N791" s="8">
        <f>IF(OR(B791="",C791=""),"",IFERROR(C791*IFERROR(INDEX(Ingredients!$K$5:$K$304,MATCH(B791,Ingredients!$A$5:$A$304,0)),""),""))</f>
        <v>0</v>
      </c>
      <c r="O791" s="8">
        <f>IF(OR(B791="",C791=""),"",IFERROR(C791*IFERROR(INDEX(Ingredients!$L$5:$L$304,MATCH(B791,Ingredients!$A$5:$A$304,0)),""),""))</f>
        <v>0</v>
      </c>
      <c r="P791" s="8">
        <f>IF(OR(H791="",A791=""),"",IFERROR(H791/SUMIFS('Recipe Ingredients'!$H$5:$H$1204,'Recipe Ingredients'!$A$5:$A$1204,A791),""))</f>
        <v>0</v>
      </c>
      <c r="Q791" s="8">
        <f>IF(H791="","",COUNTIFS($H$5:$H$1204,"&gt;"&amp;H791)+1)</f>
        <v>0</v>
      </c>
      <c r="R791" s="8">
        <f>IF(B791="","",SUMIFS(Pantry!$C$5:$C$304,Pantry!$A$5:$A$304,B791))</f>
        <v>0</v>
      </c>
      <c r="S791" s="8">
        <f>IF(OR(B791="",C791=""),"",MAX(0,C791-R791))</f>
        <v>0</v>
      </c>
      <c r="T791" s="26"/>
      <c r="U791" s="8">
        <f>IF(OR(T791="",T791=0,G791=""),"",T791*G791)</f>
        <v>0</v>
      </c>
      <c r="V791" s="8">
        <f>IF(OR(S791="",T791="",T791=0),"",CEILING(S791/T791,1))</f>
        <v>0</v>
      </c>
      <c r="W791" s="27"/>
      <c r="X791" s="29"/>
      <c r="Y791" s="8">
        <f>IF(OR(C791="",X791=""),"",C791*(1+X791))</f>
        <v>0</v>
      </c>
      <c r="Z791" s="8">
        <f>IF(B791="","",IFERROR(INDEX(Ingredients!$O$5:$O$304,MATCH(B791,Ingredients!$A$5:$A$304,0)),""))</f>
        <v>0</v>
      </c>
      <c r="AA791" s="8">
        <f>IF(B791="","",IF(R791&gt;=C791,"In pantry","To buy"))</f>
        <v>0</v>
      </c>
      <c r="AB791" s="8">
        <f>IF(A791="","",COUNTIFS($A$5:A791,A791))</f>
        <v>0</v>
      </c>
      <c r="AC791" s="8">
        <f>IF(B791="","",IF(COUNTIFS('Dietary Filters'!$C$5:$C$104,B791)&gt;0,"Check","OK"))</f>
        <v>0</v>
      </c>
      <c r="AD791" s="25"/>
    </row>
    <row r="792" spans="1:30">
      <c r="A792" s="7"/>
      <c r="B792" s="7"/>
      <c r="C792" s="26"/>
      <c r="D792" s="27"/>
      <c r="E792" s="8">
        <f>IF(B792="","",IFERROR(INDEX(Ingredients!$B$5:$B$304,MATCH(B792,Ingredients!$A$5:$A$304,0)),""))</f>
        <v>0</v>
      </c>
      <c r="F792" s="8">
        <f>IF(B792="","",IFERROR(INDEX(Ingredients!$E$5:$E$304,MATCH(B792,Ingredients!$A$5:$A$304,0)),""))</f>
        <v>0</v>
      </c>
      <c r="G792" s="8">
        <f>IF(B792="","",IFERROR(INDEX(Ingredients!$D$5:$D$304,MATCH(B792,Ingredients!$A$5:$A$304,0)),""))</f>
        <v>0</v>
      </c>
      <c r="H792" s="8">
        <f>IF(OR(B792="",C792=""),"",IFERROR(C792*G792,""))</f>
        <v>0</v>
      </c>
      <c r="I792" s="8">
        <f>IF(A792="","",IFERROR(INDEX(Recipes!$D$5:$D$204,MATCH(A792,Recipes!$A$5:$A$204,0)),""))</f>
        <v>0</v>
      </c>
      <c r="J792" s="8">
        <f>IF(OR(H792="",I792="",I792=0),"",IFERROR(H792/I792,""))</f>
        <v>0</v>
      </c>
      <c r="K792" s="8">
        <f>IF(OR(B792="",C792=""),"",IFERROR(C792*IFERROR(INDEX(Ingredients!$H$5:$H$304,MATCH(B792,Ingredients!$A$5:$A$304,0)),""),""))</f>
        <v>0</v>
      </c>
      <c r="L792" s="8">
        <f>IF(OR(B792="",C792=""),"",IFERROR(C792*IFERROR(INDEX(Ingredients!$I$5:$I$304,MATCH(B792,Ingredients!$A$5:$A$304,0)),""),""))</f>
        <v>0</v>
      </c>
      <c r="M792" s="8">
        <f>IF(OR(B792="",C792=""),"",IFERROR(C792*IFERROR(INDEX(Ingredients!$J$5:$J$304,MATCH(B792,Ingredients!$A$5:$A$304,0)),""),""))</f>
        <v>0</v>
      </c>
      <c r="N792" s="8">
        <f>IF(OR(B792="",C792=""),"",IFERROR(C792*IFERROR(INDEX(Ingredients!$K$5:$K$304,MATCH(B792,Ingredients!$A$5:$A$304,0)),""),""))</f>
        <v>0</v>
      </c>
      <c r="O792" s="8">
        <f>IF(OR(B792="",C792=""),"",IFERROR(C792*IFERROR(INDEX(Ingredients!$L$5:$L$304,MATCH(B792,Ingredients!$A$5:$A$304,0)),""),""))</f>
        <v>0</v>
      </c>
      <c r="P792" s="8">
        <f>IF(OR(H792="",A792=""),"",IFERROR(H792/SUMIFS('Recipe Ingredients'!$H$5:$H$1204,'Recipe Ingredients'!$A$5:$A$1204,A792),""))</f>
        <v>0</v>
      </c>
      <c r="Q792" s="8">
        <f>IF(H792="","",COUNTIFS($H$5:$H$1204,"&gt;"&amp;H792)+1)</f>
        <v>0</v>
      </c>
      <c r="R792" s="8">
        <f>IF(B792="","",SUMIFS(Pantry!$C$5:$C$304,Pantry!$A$5:$A$304,B792))</f>
        <v>0</v>
      </c>
      <c r="S792" s="8">
        <f>IF(OR(B792="",C792=""),"",MAX(0,C792-R792))</f>
        <v>0</v>
      </c>
      <c r="T792" s="26"/>
      <c r="U792" s="8">
        <f>IF(OR(T792="",T792=0,G792=""),"",T792*G792)</f>
        <v>0</v>
      </c>
      <c r="V792" s="8">
        <f>IF(OR(S792="",T792="",T792=0),"",CEILING(S792/T792,1))</f>
        <v>0</v>
      </c>
      <c r="W792" s="27"/>
      <c r="X792" s="29"/>
      <c r="Y792" s="8">
        <f>IF(OR(C792="",X792=""),"",C792*(1+X792))</f>
        <v>0</v>
      </c>
      <c r="Z792" s="8">
        <f>IF(B792="","",IFERROR(INDEX(Ingredients!$O$5:$O$304,MATCH(B792,Ingredients!$A$5:$A$304,0)),""))</f>
        <v>0</v>
      </c>
      <c r="AA792" s="8">
        <f>IF(B792="","",IF(R792&gt;=C792,"In pantry","To buy"))</f>
        <v>0</v>
      </c>
      <c r="AB792" s="8">
        <f>IF(A792="","",COUNTIFS($A$5:A792,A792))</f>
        <v>0</v>
      </c>
      <c r="AC792" s="8">
        <f>IF(B792="","",IF(COUNTIFS('Dietary Filters'!$C$5:$C$104,B792)&gt;0,"Check","OK"))</f>
        <v>0</v>
      </c>
      <c r="AD792" s="25"/>
    </row>
    <row r="793" spans="1:30">
      <c r="A793" s="7"/>
      <c r="B793" s="7"/>
      <c r="C793" s="26"/>
      <c r="D793" s="27"/>
      <c r="E793" s="8">
        <f>IF(B793="","",IFERROR(INDEX(Ingredients!$B$5:$B$304,MATCH(B793,Ingredients!$A$5:$A$304,0)),""))</f>
        <v>0</v>
      </c>
      <c r="F793" s="8">
        <f>IF(B793="","",IFERROR(INDEX(Ingredients!$E$5:$E$304,MATCH(B793,Ingredients!$A$5:$A$304,0)),""))</f>
        <v>0</v>
      </c>
      <c r="G793" s="8">
        <f>IF(B793="","",IFERROR(INDEX(Ingredients!$D$5:$D$304,MATCH(B793,Ingredients!$A$5:$A$304,0)),""))</f>
        <v>0</v>
      </c>
      <c r="H793" s="8">
        <f>IF(OR(B793="",C793=""),"",IFERROR(C793*G793,""))</f>
        <v>0</v>
      </c>
      <c r="I793" s="8">
        <f>IF(A793="","",IFERROR(INDEX(Recipes!$D$5:$D$204,MATCH(A793,Recipes!$A$5:$A$204,0)),""))</f>
        <v>0</v>
      </c>
      <c r="J793" s="8">
        <f>IF(OR(H793="",I793="",I793=0),"",IFERROR(H793/I793,""))</f>
        <v>0</v>
      </c>
      <c r="K793" s="8">
        <f>IF(OR(B793="",C793=""),"",IFERROR(C793*IFERROR(INDEX(Ingredients!$H$5:$H$304,MATCH(B793,Ingredients!$A$5:$A$304,0)),""),""))</f>
        <v>0</v>
      </c>
      <c r="L793" s="8">
        <f>IF(OR(B793="",C793=""),"",IFERROR(C793*IFERROR(INDEX(Ingredients!$I$5:$I$304,MATCH(B793,Ingredients!$A$5:$A$304,0)),""),""))</f>
        <v>0</v>
      </c>
      <c r="M793" s="8">
        <f>IF(OR(B793="",C793=""),"",IFERROR(C793*IFERROR(INDEX(Ingredients!$J$5:$J$304,MATCH(B793,Ingredients!$A$5:$A$304,0)),""),""))</f>
        <v>0</v>
      </c>
      <c r="N793" s="8">
        <f>IF(OR(B793="",C793=""),"",IFERROR(C793*IFERROR(INDEX(Ingredients!$K$5:$K$304,MATCH(B793,Ingredients!$A$5:$A$304,0)),""),""))</f>
        <v>0</v>
      </c>
      <c r="O793" s="8">
        <f>IF(OR(B793="",C793=""),"",IFERROR(C793*IFERROR(INDEX(Ingredients!$L$5:$L$304,MATCH(B793,Ingredients!$A$5:$A$304,0)),""),""))</f>
        <v>0</v>
      </c>
      <c r="P793" s="8">
        <f>IF(OR(H793="",A793=""),"",IFERROR(H793/SUMIFS('Recipe Ingredients'!$H$5:$H$1204,'Recipe Ingredients'!$A$5:$A$1204,A793),""))</f>
        <v>0</v>
      </c>
      <c r="Q793" s="8">
        <f>IF(H793="","",COUNTIFS($H$5:$H$1204,"&gt;"&amp;H793)+1)</f>
        <v>0</v>
      </c>
      <c r="R793" s="8">
        <f>IF(B793="","",SUMIFS(Pantry!$C$5:$C$304,Pantry!$A$5:$A$304,B793))</f>
        <v>0</v>
      </c>
      <c r="S793" s="8">
        <f>IF(OR(B793="",C793=""),"",MAX(0,C793-R793))</f>
        <v>0</v>
      </c>
      <c r="T793" s="26"/>
      <c r="U793" s="8">
        <f>IF(OR(T793="",T793=0,G793=""),"",T793*G793)</f>
        <v>0</v>
      </c>
      <c r="V793" s="8">
        <f>IF(OR(S793="",T793="",T793=0),"",CEILING(S793/T793,1))</f>
        <v>0</v>
      </c>
      <c r="W793" s="27"/>
      <c r="X793" s="29"/>
      <c r="Y793" s="8">
        <f>IF(OR(C793="",X793=""),"",C793*(1+X793))</f>
        <v>0</v>
      </c>
      <c r="Z793" s="8">
        <f>IF(B793="","",IFERROR(INDEX(Ingredients!$O$5:$O$304,MATCH(B793,Ingredients!$A$5:$A$304,0)),""))</f>
        <v>0</v>
      </c>
      <c r="AA793" s="8">
        <f>IF(B793="","",IF(R793&gt;=C793,"In pantry","To buy"))</f>
        <v>0</v>
      </c>
      <c r="AB793" s="8">
        <f>IF(A793="","",COUNTIFS($A$5:A793,A793))</f>
        <v>0</v>
      </c>
      <c r="AC793" s="8">
        <f>IF(B793="","",IF(COUNTIFS('Dietary Filters'!$C$5:$C$104,B793)&gt;0,"Check","OK"))</f>
        <v>0</v>
      </c>
      <c r="AD793" s="25"/>
    </row>
    <row r="794" spans="1:30">
      <c r="A794" s="7"/>
      <c r="B794" s="7"/>
      <c r="C794" s="26"/>
      <c r="D794" s="27"/>
      <c r="E794" s="8">
        <f>IF(B794="","",IFERROR(INDEX(Ingredients!$B$5:$B$304,MATCH(B794,Ingredients!$A$5:$A$304,0)),""))</f>
        <v>0</v>
      </c>
      <c r="F794" s="8">
        <f>IF(B794="","",IFERROR(INDEX(Ingredients!$E$5:$E$304,MATCH(B794,Ingredients!$A$5:$A$304,0)),""))</f>
        <v>0</v>
      </c>
      <c r="G794" s="8">
        <f>IF(B794="","",IFERROR(INDEX(Ingredients!$D$5:$D$304,MATCH(B794,Ingredients!$A$5:$A$304,0)),""))</f>
        <v>0</v>
      </c>
      <c r="H794" s="8">
        <f>IF(OR(B794="",C794=""),"",IFERROR(C794*G794,""))</f>
        <v>0</v>
      </c>
      <c r="I794" s="8">
        <f>IF(A794="","",IFERROR(INDEX(Recipes!$D$5:$D$204,MATCH(A794,Recipes!$A$5:$A$204,0)),""))</f>
        <v>0</v>
      </c>
      <c r="J794" s="8">
        <f>IF(OR(H794="",I794="",I794=0),"",IFERROR(H794/I794,""))</f>
        <v>0</v>
      </c>
      <c r="K794" s="8">
        <f>IF(OR(B794="",C794=""),"",IFERROR(C794*IFERROR(INDEX(Ingredients!$H$5:$H$304,MATCH(B794,Ingredients!$A$5:$A$304,0)),""),""))</f>
        <v>0</v>
      </c>
      <c r="L794" s="8">
        <f>IF(OR(B794="",C794=""),"",IFERROR(C794*IFERROR(INDEX(Ingredients!$I$5:$I$304,MATCH(B794,Ingredients!$A$5:$A$304,0)),""),""))</f>
        <v>0</v>
      </c>
      <c r="M794" s="8">
        <f>IF(OR(B794="",C794=""),"",IFERROR(C794*IFERROR(INDEX(Ingredients!$J$5:$J$304,MATCH(B794,Ingredients!$A$5:$A$304,0)),""),""))</f>
        <v>0</v>
      </c>
      <c r="N794" s="8">
        <f>IF(OR(B794="",C794=""),"",IFERROR(C794*IFERROR(INDEX(Ingredients!$K$5:$K$304,MATCH(B794,Ingredients!$A$5:$A$304,0)),""),""))</f>
        <v>0</v>
      </c>
      <c r="O794" s="8">
        <f>IF(OR(B794="",C794=""),"",IFERROR(C794*IFERROR(INDEX(Ingredients!$L$5:$L$304,MATCH(B794,Ingredients!$A$5:$A$304,0)),""),""))</f>
        <v>0</v>
      </c>
      <c r="P794" s="8">
        <f>IF(OR(H794="",A794=""),"",IFERROR(H794/SUMIFS('Recipe Ingredients'!$H$5:$H$1204,'Recipe Ingredients'!$A$5:$A$1204,A794),""))</f>
        <v>0</v>
      </c>
      <c r="Q794" s="8">
        <f>IF(H794="","",COUNTIFS($H$5:$H$1204,"&gt;"&amp;H794)+1)</f>
        <v>0</v>
      </c>
      <c r="R794" s="8">
        <f>IF(B794="","",SUMIFS(Pantry!$C$5:$C$304,Pantry!$A$5:$A$304,B794))</f>
        <v>0</v>
      </c>
      <c r="S794" s="8">
        <f>IF(OR(B794="",C794=""),"",MAX(0,C794-R794))</f>
        <v>0</v>
      </c>
      <c r="T794" s="26"/>
      <c r="U794" s="8">
        <f>IF(OR(T794="",T794=0,G794=""),"",T794*G794)</f>
        <v>0</v>
      </c>
      <c r="V794" s="8">
        <f>IF(OR(S794="",T794="",T794=0),"",CEILING(S794/T794,1))</f>
        <v>0</v>
      </c>
      <c r="W794" s="27"/>
      <c r="X794" s="29"/>
      <c r="Y794" s="8">
        <f>IF(OR(C794="",X794=""),"",C794*(1+X794))</f>
        <v>0</v>
      </c>
      <c r="Z794" s="8">
        <f>IF(B794="","",IFERROR(INDEX(Ingredients!$O$5:$O$304,MATCH(B794,Ingredients!$A$5:$A$304,0)),""))</f>
        <v>0</v>
      </c>
      <c r="AA794" s="8">
        <f>IF(B794="","",IF(R794&gt;=C794,"In pantry","To buy"))</f>
        <v>0</v>
      </c>
      <c r="AB794" s="8">
        <f>IF(A794="","",COUNTIFS($A$5:A794,A794))</f>
        <v>0</v>
      </c>
      <c r="AC794" s="8">
        <f>IF(B794="","",IF(COUNTIFS('Dietary Filters'!$C$5:$C$104,B794)&gt;0,"Check","OK"))</f>
        <v>0</v>
      </c>
      <c r="AD794" s="25"/>
    </row>
    <row r="795" spans="1:30">
      <c r="A795" s="7"/>
      <c r="B795" s="7"/>
      <c r="C795" s="26"/>
      <c r="D795" s="27"/>
      <c r="E795" s="8">
        <f>IF(B795="","",IFERROR(INDEX(Ingredients!$B$5:$B$304,MATCH(B795,Ingredients!$A$5:$A$304,0)),""))</f>
        <v>0</v>
      </c>
      <c r="F795" s="8">
        <f>IF(B795="","",IFERROR(INDEX(Ingredients!$E$5:$E$304,MATCH(B795,Ingredients!$A$5:$A$304,0)),""))</f>
        <v>0</v>
      </c>
      <c r="G795" s="8">
        <f>IF(B795="","",IFERROR(INDEX(Ingredients!$D$5:$D$304,MATCH(B795,Ingredients!$A$5:$A$304,0)),""))</f>
        <v>0</v>
      </c>
      <c r="H795" s="8">
        <f>IF(OR(B795="",C795=""),"",IFERROR(C795*G795,""))</f>
        <v>0</v>
      </c>
      <c r="I795" s="8">
        <f>IF(A795="","",IFERROR(INDEX(Recipes!$D$5:$D$204,MATCH(A795,Recipes!$A$5:$A$204,0)),""))</f>
        <v>0</v>
      </c>
      <c r="J795" s="8">
        <f>IF(OR(H795="",I795="",I795=0),"",IFERROR(H795/I795,""))</f>
        <v>0</v>
      </c>
      <c r="K795" s="8">
        <f>IF(OR(B795="",C795=""),"",IFERROR(C795*IFERROR(INDEX(Ingredients!$H$5:$H$304,MATCH(B795,Ingredients!$A$5:$A$304,0)),""),""))</f>
        <v>0</v>
      </c>
      <c r="L795" s="8">
        <f>IF(OR(B795="",C795=""),"",IFERROR(C795*IFERROR(INDEX(Ingredients!$I$5:$I$304,MATCH(B795,Ingredients!$A$5:$A$304,0)),""),""))</f>
        <v>0</v>
      </c>
      <c r="M795" s="8">
        <f>IF(OR(B795="",C795=""),"",IFERROR(C795*IFERROR(INDEX(Ingredients!$J$5:$J$304,MATCH(B795,Ingredients!$A$5:$A$304,0)),""),""))</f>
        <v>0</v>
      </c>
      <c r="N795" s="8">
        <f>IF(OR(B795="",C795=""),"",IFERROR(C795*IFERROR(INDEX(Ingredients!$K$5:$K$304,MATCH(B795,Ingredients!$A$5:$A$304,0)),""),""))</f>
        <v>0</v>
      </c>
      <c r="O795" s="8">
        <f>IF(OR(B795="",C795=""),"",IFERROR(C795*IFERROR(INDEX(Ingredients!$L$5:$L$304,MATCH(B795,Ingredients!$A$5:$A$304,0)),""),""))</f>
        <v>0</v>
      </c>
      <c r="P795" s="8">
        <f>IF(OR(H795="",A795=""),"",IFERROR(H795/SUMIFS('Recipe Ingredients'!$H$5:$H$1204,'Recipe Ingredients'!$A$5:$A$1204,A795),""))</f>
        <v>0</v>
      </c>
      <c r="Q795" s="8">
        <f>IF(H795="","",COUNTIFS($H$5:$H$1204,"&gt;"&amp;H795)+1)</f>
        <v>0</v>
      </c>
      <c r="R795" s="8">
        <f>IF(B795="","",SUMIFS(Pantry!$C$5:$C$304,Pantry!$A$5:$A$304,B795))</f>
        <v>0</v>
      </c>
      <c r="S795" s="8">
        <f>IF(OR(B795="",C795=""),"",MAX(0,C795-R795))</f>
        <v>0</v>
      </c>
      <c r="T795" s="26"/>
      <c r="U795" s="8">
        <f>IF(OR(T795="",T795=0,G795=""),"",T795*G795)</f>
        <v>0</v>
      </c>
      <c r="V795" s="8">
        <f>IF(OR(S795="",T795="",T795=0),"",CEILING(S795/T795,1))</f>
        <v>0</v>
      </c>
      <c r="W795" s="27"/>
      <c r="X795" s="29"/>
      <c r="Y795" s="8">
        <f>IF(OR(C795="",X795=""),"",C795*(1+X795))</f>
        <v>0</v>
      </c>
      <c r="Z795" s="8">
        <f>IF(B795="","",IFERROR(INDEX(Ingredients!$O$5:$O$304,MATCH(B795,Ingredients!$A$5:$A$304,0)),""))</f>
        <v>0</v>
      </c>
      <c r="AA795" s="8">
        <f>IF(B795="","",IF(R795&gt;=C795,"In pantry","To buy"))</f>
        <v>0</v>
      </c>
      <c r="AB795" s="8">
        <f>IF(A795="","",COUNTIFS($A$5:A795,A795))</f>
        <v>0</v>
      </c>
      <c r="AC795" s="8">
        <f>IF(B795="","",IF(COUNTIFS('Dietary Filters'!$C$5:$C$104,B795)&gt;0,"Check","OK"))</f>
        <v>0</v>
      </c>
      <c r="AD795" s="25"/>
    </row>
    <row r="796" spans="1:30">
      <c r="A796" s="7"/>
      <c r="B796" s="7"/>
      <c r="C796" s="26"/>
      <c r="D796" s="27"/>
      <c r="E796" s="8">
        <f>IF(B796="","",IFERROR(INDEX(Ingredients!$B$5:$B$304,MATCH(B796,Ingredients!$A$5:$A$304,0)),""))</f>
        <v>0</v>
      </c>
      <c r="F796" s="8">
        <f>IF(B796="","",IFERROR(INDEX(Ingredients!$E$5:$E$304,MATCH(B796,Ingredients!$A$5:$A$304,0)),""))</f>
        <v>0</v>
      </c>
      <c r="G796" s="8">
        <f>IF(B796="","",IFERROR(INDEX(Ingredients!$D$5:$D$304,MATCH(B796,Ingredients!$A$5:$A$304,0)),""))</f>
        <v>0</v>
      </c>
      <c r="H796" s="8">
        <f>IF(OR(B796="",C796=""),"",IFERROR(C796*G796,""))</f>
        <v>0</v>
      </c>
      <c r="I796" s="8">
        <f>IF(A796="","",IFERROR(INDEX(Recipes!$D$5:$D$204,MATCH(A796,Recipes!$A$5:$A$204,0)),""))</f>
        <v>0</v>
      </c>
      <c r="J796" s="8">
        <f>IF(OR(H796="",I796="",I796=0),"",IFERROR(H796/I796,""))</f>
        <v>0</v>
      </c>
      <c r="K796" s="8">
        <f>IF(OR(B796="",C796=""),"",IFERROR(C796*IFERROR(INDEX(Ingredients!$H$5:$H$304,MATCH(B796,Ingredients!$A$5:$A$304,0)),""),""))</f>
        <v>0</v>
      </c>
      <c r="L796" s="8">
        <f>IF(OR(B796="",C796=""),"",IFERROR(C796*IFERROR(INDEX(Ingredients!$I$5:$I$304,MATCH(B796,Ingredients!$A$5:$A$304,0)),""),""))</f>
        <v>0</v>
      </c>
      <c r="M796" s="8">
        <f>IF(OR(B796="",C796=""),"",IFERROR(C796*IFERROR(INDEX(Ingredients!$J$5:$J$304,MATCH(B796,Ingredients!$A$5:$A$304,0)),""),""))</f>
        <v>0</v>
      </c>
      <c r="N796" s="8">
        <f>IF(OR(B796="",C796=""),"",IFERROR(C796*IFERROR(INDEX(Ingredients!$K$5:$K$304,MATCH(B796,Ingredients!$A$5:$A$304,0)),""),""))</f>
        <v>0</v>
      </c>
      <c r="O796" s="8">
        <f>IF(OR(B796="",C796=""),"",IFERROR(C796*IFERROR(INDEX(Ingredients!$L$5:$L$304,MATCH(B796,Ingredients!$A$5:$A$304,0)),""),""))</f>
        <v>0</v>
      </c>
      <c r="P796" s="8">
        <f>IF(OR(H796="",A796=""),"",IFERROR(H796/SUMIFS('Recipe Ingredients'!$H$5:$H$1204,'Recipe Ingredients'!$A$5:$A$1204,A796),""))</f>
        <v>0</v>
      </c>
      <c r="Q796" s="8">
        <f>IF(H796="","",COUNTIFS($H$5:$H$1204,"&gt;"&amp;H796)+1)</f>
        <v>0</v>
      </c>
      <c r="R796" s="8">
        <f>IF(B796="","",SUMIFS(Pantry!$C$5:$C$304,Pantry!$A$5:$A$304,B796))</f>
        <v>0</v>
      </c>
      <c r="S796" s="8">
        <f>IF(OR(B796="",C796=""),"",MAX(0,C796-R796))</f>
        <v>0</v>
      </c>
      <c r="T796" s="26"/>
      <c r="U796" s="8">
        <f>IF(OR(T796="",T796=0,G796=""),"",T796*G796)</f>
        <v>0</v>
      </c>
      <c r="V796" s="8">
        <f>IF(OR(S796="",T796="",T796=0),"",CEILING(S796/T796,1))</f>
        <v>0</v>
      </c>
      <c r="W796" s="27"/>
      <c r="X796" s="29"/>
      <c r="Y796" s="8">
        <f>IF(OR(C796="",X796=""),"",C796*(1+X796))</f>
        <v>0</v>
      </c>
      <c r="Z796" s="8">
        <f>IF(B796="","",IFERROR(INDEX(Ingredients!$O$5:$O$304,MATCH(B796,Ingredients!$A$5:$A$304,0)),""))</f>
        <v>0</v>
      </c>
      <c r="AA796" s="8">
        <f>IF(B796="","",IF(R796&gt;=C796,"In pantry","To buy"))</f>
        <v>0</v>
      </c>
      <c r="AB796" s="8">
        <f>IF(A796="","",COUNTIFS($A$5:A796,A796))</f>
        <v>0</v>
      </c>
      <c r="AC796" s="8">
        <f>IF(B796="","",IF(COUNTIFS('Dietary Filters'!$C$5:$C$104,B796)&gt;0,"Check","OK"))</f>
        <v>0</v>
      </c>
      <c r="AD796" s="25"/>
    </row>
    <row r="797" spans="1:30">
      <c r="A797" s="7"/>
      <c r="B797" s="7"/>
      <c r="C797" s="26"/>
      <c r="D797" s="27"/>
      <c r="E797" s="8">
        <f>IF(B797="","",IFERROR(INDEX(Ingredients!$B$5:$B$304,MATCH(B797,Ingredients!$A$5:$A$304,0)),""))</f>
        <v>0</v>
      </c>
      <c r="F797" s="8">
        <f>IF(B797="","",IFERROR(INDEX(Ingredients!$E$5:$E$304,MATCH(B797,Ingredients!$A$5:$A$304,0)),""))</f>
        <v>0</v>
      </c>
      <c r="G797" s="8">
        <f>IF(B797="","",IFERROR(INDEX(Ingredients!$D$5:$D$304,MATCH(B797,Ingredients!$A$5:$A$304,0)),""))</f>
        <v>0</v>
      </c>
      <c r="H797" s="8">
        <f>IF(OR(B797="",C797=""),"",IFERROR(C797*G797,""))</f>
        <v>0</v>
      </c>
      <c r="I797" s="8">
        <f>IF(A797="","",IFERROR(INDEX(Recipes!$D$5:$D$204,MATCH(A797,Recipes!$A$5:$A$204,0)),""))</f>
        <v>0</v>
      </c>
      <c r="J797" s="8">
        <f>IF(OR(H797="",I797="",I797=0),"",IFERROR(H797/I797,""))</f>
        <v>0</v>
      </c>
      <c r="K797" s="8">
        <f>IF(OR(B797="",C797=""),"",IFERROR(C797*IFERROR(INDEX(Ingredients!$H$5:$H$304,MATCH(B797,Ingredients!$A$5:$A$304,0)),""),""))</f>
        <v>0</v>
      </c>
      <c r="L797" s="8">
        <f>IF(OR(B797="",C797=""),"",IFERROR(C797*IFERROR(INDEX(Ingredients!$I$5:$I$304,MATCH(B797,Ingredients!$A$5:$A$304,0)),""),""))</f>
        <v>0</v>
      </c>
      <c r="M797" s="8">
        <f>IF(OR(B797="",C797=""),"",IFERROR(C797*IFERROR(INDEX(Ingredients!$J$5:$J$304,MATCH(B797,Ingredients!$A$5:$A$304,0)),""),""))</f>
        <v>0</v>
      </c>
      <c r="N797" s="8">
        <f>IF(OR(B797="",C797=""),"",IFERROR(C797*IFERROR(INDEX(Ingredients!$K$5:$K$304,MATCH(B797,Ingredients!$A$5:$A$304,0)),""),""))</f>
        <v>0</v>
      </c>
      <c r="O797" s="8">
        <f>IF(OR(B797="",C797=""),"",IFERROR(C797*IFERROR(INDEX(Ingredients!$L$5:$L$304,MATCH(B797,Ingredients!$A$5:$A$304,0)),""),""))</f>
        <v>0</v>
      </c>
      <c r="P797" s="8">
        <f>IF(OR(H797="",A797=""),"",IFERROR(H797/SUMIFS('Recipe Ingredients'!$H$5:$H$1204,'Recipe Ingredients'!$A$5:$A$1204,A797),""))</f>
        <v>0</v>
      </c>
      <c r="Q797" s="8">
        <f>IF(H797="","",COUNTIFS($H$5:$H$1204,"&gt;"&amp;H797)+1)</f>
        <v>0</v>
      </c>
      <c r="R797" s="8">
        <f>IF(B797="","",SUMIFS(Pantry!$C$5:$C$304,Pantry!$A$5:$A$304,B797))</f>
        <v>0</v>
      </c>
      <c r="S797" s="8">
        <f>IF(OR(B797="",C797=""),"",MAX(0,C797-R797))</f>
        <v>0</v>
      </c>
      <c r="T797" s="26"/>
      <c r="U797" s="8">
        <f>IF(OR(T797="",T797=0,G797=""),"",T797*G797)</f>
        <v>0</v>
      </c>
      <c r="V797" s="8">
        <f>IF(OR(S797="",T797="",T797=0),"",CEILING(S797/T797,1))</f>
        <v>0</v>
      </c>
      <c r="W797" s="27"/>
      <c r="X797" s="29"/>
      <c r="Y797" s="8">
        <f>IF(OR(C797="",X797=""),"",C797*(1+X797))</f>
        <v>0</v>
      </c>
      <c r="Z797" s="8">
        <f>IF(B797="","",IFERROR(INDEX(Ingredients!$O$5:$O$304,MATCH(B797,Ingredients!$A$5:$A$304,0)),""))</f>
        <v>0</v>
      </c>
      <c r="AA797" s="8">
        <f>IF(B797="","",IF(R797&gt;=C797,"In pantry","To buy"))</f>
        <v>0</v>
      </c>
      <c r="AB797" s="8">
        <f>IF(A797="","",COUNTIFS($A$5:A797,A797))</f>
        <v>0</v>
      </c>
      <c r="AC797" s="8">
        <f>IF(B797="","",IF(COUNTIFS('Dietary Filters'!$C$5:$C$104,B797)&gt;0,"Check","OK"))</f>
        <v>0</v>
      </c>
      <c r="AD797" s="25"/>
    </row>
    <row r="798" spans="1:30">
      <c r="A798" s="7"/>
      <c r="B798" s="7"/>
      <c r="C798" s="26"/>
      <c r="D798" s="27"/>
      <c r="E798" s="8">
        <f>IF(B798="","",IFERROR(INDEX(Ingredients!$B$5:$B$304,MATCH(B798,Ingredients!$A$5:$A$304,0)),""))</f>
        <v>0</v>
      </c>
      <c r="F798" s="8">
        <f>IF(B798="","",IFERROR(INDEX(Ingredients!$E$5:$E$304,MATCH(B798,Ingredients!$A$5:$A$304,0)),""))</f>
        <v>0</v>
      </c>
      <c r="G798" s="8">
        <f>IF(B798="","",IFERROR(INDEX(Ingredients!$D$5:$D$304,MATCH(B798,Ingredients!$A$5:$A$304,0)),""))</f>
        <v>0</v>
      </c>
      <c r="H798" s="8">
        <f>IF(OR(B798="",C798=""),"",IFERROR(C798*G798,""))</f>
        <v>0</v>
      </c>
      <c r="I798" s="8">
        <f>IF(A798="","",IFERROR(INDEX(Recipes!$D$5:$D$204,MATCH(A798,Recipes!$A$5:$A$204,0)),""))</f>
        <v>0</v>
      </c>
      <c r="J798" s="8">
        <f>IF(OR(H798="",I798="",I798=0),"",IFERROR(H798/I798,""))</f>
        <v>0</v>
      </c>
      <c r="K798" s="8">
        <f>IF(OR(B798="",C798=""),"",IFERROR(C798*IFERROR(INDEX(Ingredients!$H$5:$H$304,MATCH(B798,Ingredients!$A$5:$A$304,0)),""),""))</f>
        <v>0</v>
      </c>
      <c r="L798" s="8">
        <f>IF(OR(B798="",C798=""),"",IFERROR(C798*IFERROR(INDEX(Ingredients!$I$5:$I$304,MATCH(B798,Ingredients!$A$5:$A$304,0)),""),""))</f>
        <v>0</v>
      </c>
      <c r="M798" s="8">
        <f>IF(OR(B798="",C798=""),"",IFERROR(C798*IFERROR(INDEX(Ingredients!$J$5:$J$304,MATCH(B798,Ingredients!$A$5:$A$304,0)),""),""))</f>
        <v>0</v>
      </c>
      <c r="N798" s="8">
        <f>IF(OR(B798="",C798=""),"",IFERROR(C798*IFERROR(INDEX(Ingredients!$K$5:$K$304,MATCH(B798,Ingredients!$A$5:$A$304,0)),""),""))</f>
        <v>0</v>
      </c>
      <c r="O798" s="8">
        <f>IF(OR(B798="",C798=""),"",IFERROR(C798*IFERROR(INDEX(Ingredients!$L$5:$L$304,MATCH(B798,Ingredients!$A$5:$A$304,0)),""),""))</f>
        <v>0</v>
      </c>
      <c r="P798" s="8">
        <f>IF(OR(H798="",A798=""),"",IFERROR(H798/SUMIFS('Recipe Ingredients'!$H$5:$H$1204,'Recipe Ingredients'!$A$5:$A$1204,A798),""))</f>
        <v>0</v>
      </c>
      <c r="Q798" s="8">
        <f>IF(H798="","",COUNTIFS($H$5:$H$1204,"&gt;"&amp;H798)+1)</f>
        <v>0</v>
      </c>
      <c r="R798" s="8">
        <f>IF(B798="","",SUMIFS(Pantry!$C$5:$C$304,Pantry!$A$5:$A$304,B798))</f>
        <v>0</v>
      </c>
      <c r="S798" s="8">
        <f>IF(OR(B798="",C798=""),"",MAX(0,C798-R798))</f>
        <v>0</v>
      </c>
      <c r="T798" s="26"/>
      <c r="U798" s="8">
        <f>IF(OR(T798="",T798=0,G798=""),"",T798*G798)</f>
        <v>0</v>
      </c>
      <c r="V798" s="8">
        <f>IF(OR(S798="",T798="",T798=0),"",CEILING(S798/T798,1))</f>
        <v>0</v>
      </c>
      <c r="W798" s="27"/>
      <c r="X798" s="29"/>
      <c r="Y798" s="8">
        <f>IF(OR(C798="",X798=""),"",C798*(1+X798))</f>
        <v>0</v>
      </c>
      <c r="Z798" s="8">
        <f>IF(B798="","",IFERROR(INDEX(Ingredients!$O$5:$O$304,MATCH(B798,Ingredients!$A$5:$A$304,0)),""))</f>
        <v>0</v>
      </c>
      <c r="AA798" s="8">
        <f>IF(B798="","",IF(R798&gt;=C798,"In pantry","To buy"))</f>
        <v>0</v>
      </c>
      <c r="AB798" s="8">
        <f>IF(A798="","",COUNTIFS($A$5:A798,A798))</f>
        <v>0</v>
      </c>
      <c r="AC798" s="8">
        <f>IF(B798="","",IF(COUNTIFS('Dietary Filters'!$C$5:$C$104,B798)&gt;0,"Check","OK"))</f>
        <v>0</v>
      </c>
      <c r="AD798" s="25"/>
    </row>
    <row r="799" spans="1:30">
      <c r="A799" s="7"/>
      <c r="B799" s="7"/>
      <c r="C799" s="26"/>
      <c r="D799" s="27"/>
      <c r="E799" s="8">
        <f>IF(B799="","",IFERROR(INDEX(Ingredients!$B$5:$B$304,MATCH(B799,Ingredients!$A$5:$A$304,0)),""))</f>
        <v>0</v>
      </c>
      <c r="F799" s="8">
        <f>IF(B799="","",IFERROR(INDEX(Ingredients!$E$5:$E$304,MATCH(B799,Ingredients!$A$5:$A$304,0)),""))</f>
        <v>0</v>
      </c>
      <c r="G799" s="8">
        <f>IF(B799="","",IFERROR(INDEX(Ingredients!$D$5:$D$304,MATCH(B799,Ingredients!$A$5:$A$304,0)),""))</f>
        <v>0</v>
      </c>
      <c r="H799" s="8">
        <f>IF(OR(B799="",C799=""),"",IFERROR(C799*G799,""))</f>
        <v>0</v>
      </c>
      <c r="I799" s="8">
        <f>IF(A799="","",IFERROR(INDEX(Recipes!$D$5:$D$204,MATCH(A799,Recipes!$A$5:$A$204,0)),""))</f>
        <v>0</v>
      </c>
      <c r="J799" s="8">
        <f>IF(OR(H799="",I799="",I799=0),"",IFERROR(H799/I799,""))</f>
        <v>0</v>
      </c>
      <c r="K799" s="8">
        <f>IF(OR(B799="",C799=""),"",IFERROR(C799*IFERROR(INDEX(Ingredients!$H$5:$H$304,MATCH(B799,Ingredients!$A$5:$A$304,0)),""),""))</f>
        <v>0</v>
      </c>
      <c r="L799" s="8">
        <f>IF(OR(B799="",C799=""),"",IFERROR(C799*IFERROR(INDEX(Ingredients!$I$5:$I$304,MATCH(B799,Ingredients!$A$5:$A$304,0)),""),""))</f>
        <v>0</v>
      </c>
      <c r="M799" s="8">
        <f>IF(OR(B799="",C799=""),"",IFERROR(C799*IFERROR(INDEX(Ingredients!$J$5:$J$304,MATCH(B799,Ingredients!$A$5:$A$304,0)),""),""))</f>
        <v>0</v>
      </c>
      <c r="N799" s="8">
        <f>IF(OR(B799="",C799=""),"",IFERROR(C799*IFERROR(INDEX(Ingredients!$K$5:$K$304,MATCH(B799,Ingredients!$A$5:$A$304,0)),""),""))</f>
        <v>0</v>
      </c>
      <c r="O799" s="8">
        <f>IF(OR(B799="",C799=""),"",IFERROR(C799*IFERROR(INDEX(Ingredients!$L$5:$L$304,MATCH(B799,Ingredients!$A$5:$A$304,0)),""),""))</f>
        <v>0</v>
      </c>
      <c r="P799" s="8">
        <f>IF(OR(H799="",A799=""),"",IFERROR(H799/SUMIFS('Recipe Ingredients'!$H$5:$H$1204,'Recipe Ingredients'!$A$5:$A$1204,A799),""))</f>
        <v>0</v>
      </c>
      <c r="Q799" s="8">
        <f>IF(H799="","",COUNTIFS($H$5:$H$1204,"&gt;"&amp;H799)+1)</f>
        <v>0</v>
      </c>
      <c r="R799" s="8">
        <f>IF(B799="","",SUMIFS(Pantry!$C$5:$C$304,Pantry!$A$5:$A$304,B799))</f>
        <v>0</v>
      </c>
      <c r="S799" s="8">
        <f>IF(OR(B799="",C799=""),"",MAX(0,C799-R799))</f>
        <v>0</v>
      </c>
      <c r="T799" s="26"/>
      <c r="U799" s="8">
        <f>IF(OR(T799="",T799=0,G799=""),"",T799*G799)</f>
        <v>0</v>
      </c>
      <c r="V799" s="8">
        <f>IF(OR(S799="",T799="",T799=0),"",CEILING(S799/T799,1))</f>
        <v>0</v>
      </c>
      <c r="W799" s="27"/>
      <c r="X799" s="29"/>
      <c r="Y799" s="8">
        <f>IF(OR(C799="",X799=""),"",C799*(1+X799))</f>
        <v>0</v>
      </c>
      <c r="Z799" s="8">
        <f>IF(B799="","",IFERROR(INDEX(Ingredients!$O$5:$O$304,MATCH(B799,Ingredients!$A$5:$A$304,0)),""))</f>
        <v>0</v>
      </c>
      <c r="AA799" s="8">
        <f>IF(B799="","",IF(R799&gt;=C799,"In pantry","To buy"))</f>
        <v>0</v>
      </c>
      <c r="AB799" s="8">
        <f>IF(A799="","",COUNTIFS($A$5:A799,A799))</f>
        <v>0</v>
      </c>
      <c r="AC799" s="8">
        <f>IF(B799="","",IF(COUNTIFS('Dietary Filters'!$C$5:$C$104,B799)&gt;0,"Check","OK"))</f>
        <v>0</v>
      </c>
      <c r="AD799" s="25"/>
    </row>
    <row r="800" spans="1:30">
      <c r="A800" s="7"/>
      <c r="B800" s="7"/>
      <c r="C800" s="26"/>
      <c r="D800" s="27"/>
      <c r="E800" s="8">
        <f>IF(B800="","",IFERROR(INDEX(Ingredients!$B$5:$B$304,MATCH(B800,Ingredients!$A$5:$A$304,0)),""))</f>
        <v>0</v>
      </c>
      <c r="F800" s="8">
        <f>IF(B800="","",IFERROR(INDEX(Ingredients!$E$5:$E$304,MATCH(B800,Ingredients!$A$5:$A$304,0)),""))</f>
        <v>0</v>
      </c>
      <c r="G800" s="8">
        <f>IF(B800="","",IFERROR(INDEX(Ingredients!$D$5:$D$304,MATCH(B800,Ingredients!$A$5:$A$304,0)),""))</f>
        <v>0</v>
      </c>
      <c r="H800" s="8">
        <f>IF(OR(B800="",C800=""),"",IFERROR(C800*G800,""))</f>
        <v>0</v>
      </c>
      <c r="I800" s="8">
        <f>IF(A800="","",IFERROR(INDEX(Recipes!$D$5:$D$204,MATCH(A800,Recipes!$A$5:$A$204,0)),""))</f>
        <v>0</v>
      </c>
      <c r="J800" s="8">
        <f>IF(OR(H800="",I800="",I800=0),"",IFERROR(H800/I800,""))</f>
        <v>0</v>
      </c>
      <c r="K800" s="8">
        <f>IF(OR(B800="",C800=""),"",IFERROR(C800*IFERROR(INDEX(Ingredients!$H$5:$H$304,MATCH(B800,Ingredients!$A$5:$A$304,0)),""),""))</f>
        <v>0</v>
      </c>
      <c r="L800" s="8">
        <f>IF(OR(B800="",C800=""),"",IFERROR(C800*IFERROR(INDEX(Ingredients!$I$5:$I$304,MATCH(B800,Ingredients!$A$5:$A$304,0)),""),""))</f>
        <v>0</v>
      </c>
      <c r="M800" s="8">
        <f>IF(OR(B800="",C800=""),"",IFERROR(C800*IFERROR(INDEX(Ingredients!$J$5:$J$304,MATCH(B800,Ingredients!$A$5:$A$304,0)),""),""))</f>
        <v>0</v>
      </c>
      <c r="N800" s="8">
        <f>IF(OR(B800="",C800=""),"",IFERROR(C800*IFERROR(INDEX(Ingredients!$K$5:$K$304,MATCH(B800,Ingredients!$A$5:$A$304,0)),""),""))</f>
        <v>0</v>
      </c>
      <c r="O800" s="8">
        <f>IF(OR(B800="",C800=""),"",IFERROR(C800*IFERROR(INDEX(Ingredients!$L$5:$L$304,MATCH(B800,Ingredients!$A$5:$A$304,0)),""),""))</f>
        <v>0</v>
      </c>
      <c r="P800" s="8">
        <f>IF(OR(H800="",A800=""),"",IFERROR(H800/SUMIFS('Recipe Ingredients'!$H$5:$H$1204,'Recipe Ingredients'!$A$5:$A$1204,A800),""))</f>
        <v>0</v>
      </c>
      <c r="Q800" s="8">
        <f>IF(H800="","",COUNTIFS($H$5:$H$1204,"&gt;"&amp;H800)+1)</f>
        <v>0</v>
      </c>
      <c r="R800" s="8">
        <f>IF(B800="","",SUMIFS(Pantry!$C$5:$C$304,Pantry!$A$5:$A$304,B800))</f>
        <v>0</v>
      </c>
      <c r="S800" s="8">
        <f>IF(OR(B800="",C800=""),"",MAX(0,C800-R800))</f>
        <v>0</v>
      </c>
      <c r="T800" s="26"/>
      <c r="U800" s="8">
        <f>IF(OR(T800="",T800=0,G800=""),"",T800*G800)</f>
        <v>0</v>
      </c>
      <c r="V800" s="8">
        <f>IF(OR(S800="",T800="",T800=0),"",CEILING(S800/T800,1))</f>
        <v>0</v>
      </c>
      <c r="W800" s="27"/>
      <c r="X800" s="29"/>
      <c r="Y800" s="8">
        <f>IF(OR(C800="",X800=""),"",C800*(1+X800))</f>
        <v>0</v>
      </c>
      <c r="Z800" s="8">
        <f>IF(B800="","",IFERROR(INDEX(Ingredients!$O$5:$O$304,MATCH(B800,Ingredients!$A$5:$A$304,0)),""))</f>
        <v>0</v>
      </c>
      <c r="AA800" s="8">
        <f>IF(B800="","",IF(R800&gt;=C800,"In pantry","To buy"))</f>
        <v>0</v>
      </c>
      <c r="AB800" s="8">
        <f>IF(A800="","",COUNTIFS($A$5:A800,A800))</f>
        <v>0</v>
      </c>
      <c r="AC800" s="8">
        <f>IF(B800="","",IF(COUNTIFS('Dietary Filters'!$C$5:$C$104,B800)&gt;0,"Check","OK"))</f>
        <v>0</v>
      </c>
      <c r="AD800" s="25"/>
    </row>
    <row r="801" spans="1:30">
      <c r="A801" s="7"/>
      <c r="B801" s="7"/>
      <c r="C801" s="26"/>
      <c r="D801" s="27"/>
      <c r="E801" s="8">
        <f>IF(B801="","",IFERROR(INDEX(Ingredients!$B$5:$B$304,MATCH(B801,Ingredients!$A$5:$A$304,0)),""))</f>
        <v>0</v>
      </c>
      <c r="F801" s="8">
        <f>IF(B801="","",IFERROR(INDEX(Ingredients!$E$5:$E$304,MATCH(B801,Ingredients!$A$5:$A$304,0)),""))</f>
        <v>0</v>
      </c>
      <c r="G801" s="8">
        <f>IF(B801="","",IFERROR(INDEX(Ingredients!$D$5:$D$304,MATCH(B801,Ingredients!$A$5:$A$304,0)),""))</f>
        <v>0</v>
      </c>
      <c r="H801" s="8">
        <f>IF(OR(B801="",C801=""),"",IFERROR(C801*G801,""))</f>
        <v>0</v>
      </c>
      <c r="I801" s="8">
        <f>IF(A801="","",IFERROR(INDEX(Recipes!$D$5:$D$204,MATCH(A801,Recipes!$A$5:$A$204,0)),""))</f>
        <v>0</v>
      </c>
      <c r="J801" s="8">
        <f>IF(OR(H801="",I801="",I801=0),"",IFERROR(H801/I801,""))</f>
        <v>0</v>
      </c>
      <c r="K801" s="8">
        <f>IF(OR(B801="",C801=""),"",IFERROR(C801*IFERROR(INDEX(Ingredients!$H$5:$H$304,MATCH(B801,Ingredients!$A$5:$A$304,0)),""),""))</f>
        <v>0</v>
      </c>
      <c r="L801" s="8">
        <f>IF(OR(B801="",C801=""),"",IFERROR(C801*IFERROR(INDEX(Ingredients!$I$5:$I$304,MATCH(B801,Ingredients!$A$5:$A$304,0)),""),""))</f>
        <v>0</v>
      </c>
      <c r="M801" s="8">
        <f>IF(OR(B801="",C801=""),"",IFERROR(C801*IFERROR(INDEX(Ingredients!$J$5:$J$304,MATCH(B801,Ingredients!$A$5:$A$304,0)),""),""))</f>
        <v>0</v>
      </c>
      <c r="N801" s="8">
        <f>IF(OR(B801="",C801=""),"",IFERROR(C801*IFERROR(INDEX(Ingredients!$K$5:$K$304,MATCH(B801,Ingredients!$A$5:$A$304,0)),""),""))</f>
        <v>0</v>
      </c>
      <c r="O801" s="8">
        <f>IF(OR(B801="",C801=""),"",IFERROR(C801*IFERROR(INDEX(Ingredients!$L$5:$L$304,MATCH(B801,Ingredients!$A$5:$A$304,0)),""),""))</f>
        <v>0</v>
      </c>
      <c r="P801" s="8">
        <f>IF(OR(H801="",A801=""),"",IFERROR(H801/SUMIFS('Recipe Ingredients'!$H$5:$H$1204,'Recipe Ingredients'!$A$5:$A$1204,A801),""))</f>
        <v>0</v>
      </c>
      <c r="Q801" s="8">
        <f>IF(H801="","",COUNTIFS($H$5:$H$1204,"&gt;"&amp;H801)+1)</f>
        <v>0</v>
      </c>
      <c r="R801" s="8">
        <f>IF(B801="","",SUMIFS(Pantry!$C$5:$C$304,Pantry!$A$5:$A$304,B801))</f>
        <v>0</v>
      </c>
      <c r="S801" s="8">
        <f>IF(OR(B801="",C801=""),"",MAX(0,C801-R801))</f>
        <v>0</v>
      </c>
      <c r="T801" s="26"/>
      <c r="U801" s="8">
        <f>IF(OR(T801="",T801=0,G801=""),"",T801*G801)</f>
        <v>0</v>
      </c>
      <c r="V801" s="8">
        <f>IF(OR(S801="",T801="",T801=0),"",CEILING(S801/T801,1))</f>
        <v>0</v>
      </c>
      <c r="W801" s="27"/>
      <c r="X801" s="29"/>
      <c r="Y801" s="8">
        <f>IF(OR(C801="",X801=""),"",C801*(1+X801))</f>
        <v>0</v>
      </c>
      <c r="Z801" s="8">
        <f>IF(B801="","",IFERROR(INDEX(Ingredients!$O$5:$O$304,MATCH(B801,Ingredients!$A$5:$A$304,0)),""))</f>
        <v>0</v>
      </c>
      <c r="AA801" s="8">
        <f>IF(B801="","",IF(R801&gt;=C801,"In pantry","To buy"))</f>
        <v>0</v>
      </c>
      <c r="AB801" s="8">
        <f>IF(A801="","",COUNTIFS($A$5:A801,A801))</f>
        <v>0</v>
      </c>
      <c r="AC801" s="8">
        <f>IF(B801="","",IF(COUNTIFS('Dietary Filters'!$C$5:$C$104,B801)&gt;0,"Check","OK"))</f>
        <v>0</v>
      </c>
      <c r="AD801" s="25"/>
    </row>
    <row r="802" spans="1:30">
      <c r="A802" s="7"/>
      <c r="B802" s="7"/>
      <c r="C802" s="26"/>
      <c r="D802" s="27"/>
      <c r="E802" s="8">
        <f>IF(B802="","",IFERROR(INDEX(Ingredients!$B$5:$B$304,MATCH(B802,Ingredients!$A$5:$A$304,0)),""))</f>
        <v>0</v>
      </c>
      <c r="F802" s="8">
        <f>IF(B802="","",IFERROR(INDEX(Ingredients!$E$5:$E$304,MATCH(B802,Ingredients!$A$5:$A$304,0)),""))</f>
        <v>0</v>
      </c>
      <c r="G802" s="8">
        <f>IF(B802="","",IFERROR(INDEX(Ingredients!$D$5:$D$304,MATCH(B802,Ingredients!$A$5:$A$304,0)),""))</f>
        <v>0</v>
      </c>
      <c r="H802" s="8">
        <f>IF(OR(B802="",C802=""),"",IFERROR(C802*G802,""))</f>
        <v>0</v>
      </c>
      <c r="I802" s="8">
        <f>IF(A802="","",IFERROR(INDEX(Recipes!$D$5:$D$204,MATCH(A802,Recipes!$A$5:$A$204,0)),""))</f>
        <v>0</v>
      </c>
      <c r="J802" s="8">
        <f>IF(OR(H802="",I802="",I802=0),"",IFERROR(H802/I802,""))</f>
        <v>0</v>
      </c>
      <c r="K802" s="8">
        <f>IF(OR(B802="",C802=""),"",IFERROR(C802*IFERROR(INDEX(Ingredients!$H$5:$H$304,MATCH(B802,Ingredients!$A$5:$A$304,0)),""),""))</f>
        <v>0</v>
      </c>
      <c r="L802" s="8">
        <f>IF(OR(B802="",C802=""),"",IFERROR(C802*IFERROR(INDEX(Ingredients!$I$5:$I$304,MATCH(B802,Ingredients!$A$5:$A$304,0)),""),""))</f>
        <v>0</v>
      </c>
      <c r="M802" s="8">
        <f>IF(OR(B802="",C802=""),"",IFERROR(C802*IFERROR(INDEX(Ingredients!$J$5:$J$304,MATCH(B802,Ingredients!$A$5:$A$304,0)),""),""))</f>
        <v>0</v>
      </c>
      <c r="N802" s="8">
        <f>IF(OR(B802="",C802=""),"",IFERROR(C802*IFERROR(INDEX(Ingredients!$K$5:$K$304,MATCH(B802,Ingredients!$A$5:$A$304,0)),""),""))</f>
        <v>0</v>
      </c>
      <c r="O802" s="8">
        <f>IF(OR(B802="",C802=""),"",IFERROR(C802*IFERROR(INDEX(Ingredients!$L$5:$L$304,MATCH(B802,Ingredients!$A$5:$A$304,0)),""),""))</f>
        <v>0</v>
      </c>
      <c r="P802" s="8">
        <f>IF(OR(H802="",A802=""),"",IFERROR(H802/SUMIFS('Recipe Ingredients'!$H$5:$H$1204,'Recipe Ingredients'!$A$5:$A$1204,A802),""))</f>
        <v>0</v>
      </c>
      <c r="Q802" s="8">
        <f>IF(H802="","",COUNTIFS($H$5:$H$1204,"&gt;"&amp;H802)+1)</f>
        <v>0</v>
      </c>
      <c r="R802" s="8">
        <f>IF(B802="","",SUMIFS(Pantry!$C$5:$C$304,Pantry!$A$5:$A$304,B802))</f>
        <v>0</v>
      </c>
      <c r="S802" s="8">
        <f>IF(OR(B802="",C802=""),"",MAX(0,C802-R802))</f>
        <v>0</v>
      </c>
      <c r="T802" s="26"/>
      <c r="U802" s="8">
        <f>IF(OR(T802="",T802=0,G802=""),"",T802*G802)</f>
        <v>0</v>
      </c>
      <c r="V802" s="8">
        <f>IF(OR(S802="",T802="",T802=0),"",CEILING(S802/T802,1))</f>
        <v>0</v>
      </c>
      <c r="W802" s="27"/>
      <c r="X802" s="29"/>
      <c r="Y802" s="8">
        <f>IF(OR(C802="",X802=""),"",C802*(1+X802))</f>
        <v>0</v>
      </c>
      <c r="Z802" s="8">
        <f>IF(B802="","",IFERROR(INDEX(Ingredients!$O$5:$O$304,MATCH(B802,Ingredients!$A$5:$A$304,0)),""))</f>
        <v>0</v>
      </c>
      <c r="AA802" s="8">
        <f>IF(B802="","",IF(R802&gt;=C802,"In pantry","To buy"))</f>
        <v>0</v>
      </c>
      <c r="AB802" s="8">
        <f>IF(A802="","",COUNTIFS($A$5:A802,A802))</f>
        <v>0</v>
      </c>
      <c r="AC802" s="8">
        <f>IF(B802="","",IF(COUNTIFS('Dietary Filters'!$C$5:$C$104,B802)&gt;0,"Check","OK"))</f>
        <v>0</v>
      </c>
      <c r="AD802" s="25"/>
    </row>
    <row r="803" spans="1:30">
      <c r="A803" s="7"/>
      <c r="B803" s="7"/>
      <c r="C803" s="26"/>
      <c r="D803" s="27"/>
      <c r="E803" s="8">
        <f>IF(B803="","",IFERROR(INDEX(Ingredients!$B$5:$B$304,MATCH(B803,Ingredients!$A$5:$A$304,0)),""))</f>
        <v>0</v>
      </c>
      <c r="F803" s="8">
        <f>IF(B803="","",IFERROR(INDEX(Ingredients!$E$5:$E$304,MATCH(B803,Ingredients!$A$5:$A$304,0)),""))</f>
        <v>0</v>
      </c>
      <c r="G803" s="8">
        <f>IF(B803="","",IFERROR(INDEX(Ingredients!$D$5:$D$304,MATCH(B803,Ingredients!$A$5:$A$304,0)),""))</f>
        <v>0</v>
      </c>
      <c r="H803" s="8">
        <f>IF(OR(B803="",C803=""),"",IFERROR(C803*G803,""))</f>
        <v>0</v>
      </c>
      <c r="I803" s="8">
        <f>IF(A803="","",IFERROR(INDEX(Recipes!$D$5:$D$204,MATCH(A803,Recipes!$A$5:$A$204,0)),""))</f>
        <v>0</v>
      </c>
      <c r="J803" s="8">
        <f>IF(OR(H803="",I803="",I803=0),"",IFERROR(H803/I803,""))</f>
        <v>0</v>
      </c>
      <c r="K803" s="8">
        <f>IF(OR(B803="",C803=""),"",IFERROR(C803*IFERROR(INDEX(Ingredients!$H$5:$H$304,MATCH(B803,Ingredients!$A$5:$A$304,0)),""),""))</f>
        <v>0</v>
      </c>
      <c r="L803" s="8">
        <f>IF(OR(B803="",C803=""),"",IFERROR(C803*IFERROR(INDEX(Ingredients!$I$5:$I$304,MATCH(B803,Ingredients!$A$5:$A$304,0)),""),""))</f>
        <v>0</v>
      </c>
      <c r="M803" s="8">
        <f>IF(OR(B803="",C803=""),"",IFERROR(C803*IFERROR(INDEX(Ingredients!$J$5:$J$304,MATCH(B803,Ingredients!$A$5:$A$304,0)),""),""))</f>
        <v>0</v>
      </c>
      <c r="N803" s="8">
        <f>IF(OR(B803="",C803=""),"",IFERROR(C803*IFERROR(INDEX(Ingredients!$K$5:$K$304,MATCH(B803,Ingredients!$A$5:$A$304,0)),""),""))</f>
        <v>0</v>
      </c>
      <c r="O803" s="8">
        <f>IF(OR(B803="",C803=""),"",IFERROR(C803*IFERROR(INDEX(Ingredients!$L$5:$L$304,MATCH(B803,Ingredients!$A$5:$A$304,0)),""),""))</f>
        <v>0</v>
      </c>
      <c r="P803" s="8">
        <f>IF(OR(H803="",A803=""),"",IFERROR(H803/SUMIFS('Recipe Ingredients'!$H$5:$H$1204,'Recipe Ingredients'!$A$5:$A$1204,A803),""))</f>
        <v>0</v>
      </c>
      <c r="Q803" s="8">
        <f>IF(H803="","",COUNTIFS($H$5:$H$1204,"&gt;"&amp;H803)+1)</f>
        <v>0</v>
      </c>
      <c r="R803" s="8">
        <f>IF(B803="","",SUMIFS(Pantry!$C$5:$C$304,Pantry!$A$5:$A$304,B803))</f>
        <v>0</v>
      </c>
      <c r="S803" s="8">
        <f>IF(OR(B803="",C803=""),"",MAX(0,C803-R803))</f>
        <v>0</v>
      </c>
      <c r="T803" s="26"/>
      <c r="U803" s="8">
        <f>IF(OR(T803="",T803=0,G803=""),"",T803*G803)</f>
        <v>0</v>
      </c>
      <c r="V803" s="8">
        <f>IF(OR(S803="",T803="",T803=0),"",CEILING(S803/T803,1))</f>
        <v>0</v>
      </c>
      <c r="W803" s="27"/>
      <c r="X803" s="29"/>
      <c r="Y803" s="8">
        <f>IF(OR(C803="",X803=""),"",C803*(1+X803))</f>
        <v>0</v>
      </c>
      <c r="Z803" s="8">
        <f>IF(B803="","",IFERROR(INDEX(Ingredients!$O$5:$O$304,MATCH(B803,Ingredients!$A$5:$A$304,0)),""))</f>
        <v>0</v>
      </c>
      <c r="AA803" s="8">
        <f>IF(B803="","",IF(R803&gt;=C803,"In pantry","To buy"))</f>
        <v>0</v>
      </c>
      <c r="AB803" s="8">
        <f>IF(A803="","",COUNTIFS($A$5:A803,A803))</f>
        <v>0</v>
      </c>
      <c r="AC803" s="8">
        <f>IF(B803="","",IF(COUNTIFS('Dietary Filters'!$C$5:$C$104,B803)&gt;0,"Check","OK"))</f>
        <v>0</v>
      </c>
      <c r="AD803" s="25"/>
    </row>
    <row r="804" spans="1:30">
      <c r="A804" s="7"/>
      <c r="B804" s="7"/>
      <c r="C804" s="26"/>
      <c r="D804" s="27"/>
      <c r="E804" s="8">
        <f>IF(B804="","",IFERROR(INDEX(Ingredients!$B$5:$B$304,MATCH(B804,Ingredients!$A$5:$A$304,0)),""))</f>
        <v>0</v>
      </c>
      <c r="F804" s="8">
        <f>IF(B804="","",IFERROR(INDEX(Ingredients!$E$5:$E$304,MATCH(B804,Ingredients!$A$5:$A$304,0)),""))</f>
        <v>0</v>
      </c>
      <c r="G804" s="8">
        <f>IF(B804="","",IFERROR(INDEX(Ingredients!$D$5:$D$304,MATCH(B804,Ingredients!$A$5:$A$304,0)),""))</f>
        <v>0</v>
      </c>
      <c r="H804" s="8">
        <f>IF(OR(B804="",C804=""),"",IFERROR(C804*G804,""))</f>
        <v>0</v>
      </c>
      <c r="I804" s="8">
        <f>IF(A804="","",IFERROR(INDEX(Recipes!$D$5:$D$204,MATCH(A804,Recipes!$A$5:$A$204,0)),""))</f>
        <v>0</v>
      </c>
      <c r="J804" s="8">
        <f>IF(OR(H804="",I804="",I804=0),"",IFERROR(H804/I804,""))</f>
        <v>0</v>
      </c>
      <c r="K804" s="8">
        <f>IF(OR(B804="",C804=""),"",IFERROR(C804*IFERROR(INDEX(Ingredients!$H$5:$H$304,MATCH(B804,Ingredients!$A$5:$A$304,0)),""),""))</f>
        <v>0</v>
      </c>
      <c r="L804" s="8">
        <f>IF(OR(B804="",C804=""),"",IFERROR(C804*IFERROR(INDEX(Ingredients!$I$5:$I$304,MATCH(B804,Ingredients!$A$5:$A$304,0)),""),""))</f>
        <v>0</v>
      </c>
      <c r="M804" s="8">
        <f>IF(OR(B804="",C804=""),"",IFERROR(C804*IFERROR(INDEX(Ingredients!$J$5:$J$304,MATCH(B804,Ingredients!$A$5:$A$304,0)),""),""))</f>
        <v>0</v>
      </c>
      <c r="N804" s="8">
        <f>IF(OR(B804="",C804=""),"",IFERROR(C804*IFERROR(INDEX(Ingredients!$K$5:$K$304,MATCH(B804,Ingredients!$A$5:$A$304,0)),""),""))</f>
        <v>0</v>
      </c>
      <c r="O804" s="8">
        <f>IF(OR(B804="",C804=""),"",IFERROR(C804*IFERROR(INDEX(Ingredients!$L$5:$L$304,MATCH(B804,Ingredients!$A$5:$A$304,0)),""),""))</f>
        <v>0</v>
      </c>
      <c r="P804" s="8">
        <f>IF(OR(H804="",A804=""),"",IFERROR(H804/SUMIFS('Recipe Ingredients'!$H$5:$H$1204,'Recipe Ingredients'!$A$5:$A$1204,A804),""))</f>
        <v>0</v>
      </c>
      <c r="Q804" s="8">
        <f>IF(H804="","",COUNTIFS($H$5:$H$1204,"&gt;"&amp;H804)+1)</f>
        <v>0</v>
      </c>
      <c r="R804" s="8">
        <f>IF(B804="","",SUMIFS(Pantry!$C$5:$C$304,Pantry!$A$5:$A$304,B804))</f>
        <v>0</v>
      </c>
      <c r="S804" s="8">
        <f>IF(OR(B804="",C804=""),"",MAX(0,C804-R804))</f>
        <v>0</v>
      </c>
      <c r="T804" s="26"/>
      <c r="U804" s="8">
        <f>IF(OR(T804="",T804=0,G804=""),"",T804*G804)</f>
        <v>0</v>
      </c>
      <c r="V804" s="8">
        <f>IF(OR(S804="",T804="",T804=0),"",CEILING(S804/T804,1))</f>
        <v>0</v>
      </c>
      <c r="W804" s="27"/>
      <c r="X804" s="29"/>
      <c r="Y804" s="8">
        <f>IF(OR(C804="",X804=""),"",C804*(1+X804))</f>
        <v>0</v>
      </c>
      <c r="Z804" s="8">
        <f>IF(B804="","",IFERROR(INDEX(Ingredients!$O$5:$O$304,MATCH(B804,Ingredients!$A$5:$A$304,0)),""))</f>
        <v>0</v>
      </c>
      <c r="AA804" s="8">
        <f>IF(B804="","",IF(R804&gt;=C804,"In pantry","To buy"))</f>
        <v>0</v>
      </c>
      <c r="AB804" s="8">
        <f>IF(A804="","",COUNTIFS($A$5:A804,A804))</f>
        <v>0</v>
      </c>
      <c r="AC804" s="8">
        <f>IF(B804="","",IF(COUNTIFS('Dietary Filters'!$C$5:$C$104,B804)&gt;0,"Check","OK"))</f>
        <v>0</v>
      </c>
      <c r="AD804" s="25"/>
    </row>
    <row r="805" spans="1:30">
      <c r="A805" s="7"/>
      <c r="B805" s="7"/>
      <c r="C805" s="26"/>
      <c r="D805" s="27"/>
      <c r="E805" s="8">
        <f>IF(B805="","",IFERROR(INDEX(Ingredients!$B$5:$B$304,MATCH(B805,Ingredients!$A$5:$A$304,0)),""))</f>
        <v>0</v>
      </c>
      <c r="F805" s="8">
        <f>IF(B805="","",IFERROR(INDEX(Ingredients!$E$5:$E$304,MATCH(B805,Ingredients!$A$5:$A$304,0)),""))</f>
        <v>0</v>
      </c>
      <c r="G805" s="8">
        <f>IF(B805="","",IFERROR(INDEX(Ingredients!$D$5:$D$304,MATCH(B805,Ingredients!$A$5:$A$304,0)),""))</f>
        <v>0</v>
      </c>
      <c r="H805" s="8">
        <f>IF(OR(B805="",C805=""),"",IFERROR(C805*G805,""))</f>
        <v>0</v>
      </c>
      <c r="I805" s="8">
        <f>IF(A805="","",IFERROR(INDEX(Recipes!$D$5:$D$204,MATCH(A805,Recipes!$A$5:$A$204,0)),""))</f>
        <v>0</v>
      </c>
      <c r="J805" s="8">
        <f>IF(OR(H805="",I805="",I805=0),"",IFERROR(H805/I805,""))</f>
        <v>0</v>
      </c>
      <c r="K805" s="8">
        <f>IF(OR(B805="",C805=""),"",IFERROR(C805*IFERROR(INDEX(Ingredients!$H$5:$H$304,MATCH(B805,Ingredients!$A$5:$A$304,0)),""),""))</f>
        <v>0</v>
      </c>
      <c r="L805" s="8">
        <f>IF(OR(B805="",C805=""),"",IFERROR(C805*IFERROR(INDEX(Ingredients!$I$5:$I$304,MATCH(B805,Ingredients!$A$5:$A$304,0)),""),""))</f>
        <v>0</v>
      </c>
      <c r="M805" s="8">
        <f>IF(OR(B805="",C805=""),"",IFERROR(C805*IFERROR(INDEX(Ingredients!$J$5:$J$304,MATCH(B805,Ingredients!$A$5:$A$304,0)),""),""))</f>
        <v>0</v>
      </c>
      <c r="N805" s="8">
        <f>IF(OR(B805="",C805=""),"",IFERROR(C805*IFERROR(INDEX(Ingredients!$K$5:$K$304,MATCH(B805,Ingredients!$A$5:$A$304,0)),""),""))</f>
        <v>0</v>
      </c>
      <c r="O805" s="8">
        <f>IF(OR(B805="",C805=""),"",IFERROR(C805*IFERROR(INDEX(Ingredients!$L$5:$L$304,MATCH(B805,Ingredients!$A$5:$A$304,0)),""),""))</f>
        <v>0</v>
      </c>
      <c r="P805" s="8">
        <f>IF(OR(H805="",A805=""),"",IFERROR(H805/SUMIFS('Recipe Ingredients'!$H$5:$H$1204,'Recipe Ingredients'!$A$5:$A$1204,A805),""))</f>
        <v>0</v>
      </c>
      <c r="Q805" s="8">
        <f>IF(H805="","",COUNTIFS($H$5:$H$1204,"&gt;"&amp;H805)+1)</f>
        <v>0</v>
      </c>
      <c r="R805" s="8">
        <f>IF(B805="","",SUMIFS(Pantry!$C$5:$C$304,Pantry!$A$5:$A$304,B805))</f>
        <v>0</v>
      </c>
      <c r="S805" s="8">
        <f>IF(OR(B805="",C805=""),"",MAX(0,C805-R805))</f>
        <v>0</v>
      </c>
      <c r="T805" s="26"/>
      <c r="U805" s="8">
        <f>IF(OR(T805="",T805=0,G805=""),"",T805*G805)</f>
        <v>0</v>
      </c>
      <c r="V805" s="8">
        <f>IF(OR(S805="",T805="",T805=0),"",CEILING(S805/T805,1))</f>
        <v>0</v>
      </c>
      <c r="W805" s="27"/>
      <c r="X805" s="29"/>
      <c r="Y805" s="8">
        <f>IF(OR(C805="",X805=""),"",C805*(1+X805))</f>
        <v>0</v>
      </c>
      <c r="Z805" s="8">
        <f>IF(B805="","",IFERROR(INDEX(Ingredients!$O$5:$O$304,MATCH(B805,Ingredients!$A$5:$A$304,0)),""))</f>
        <v>0</v>
      </c>
      <c r="AA805" s="8">
        <f>IF(B805="","",IF(R805&gt;=C805,"In pantry","To buy"))</f>
        <v>0</v>
      </c>
      <c r="AB805" s="8">
        <f>IF(A805="","",COUNTIFS($A$5:A805,A805))</f>
        <v>0</v>
      </c>
      <c r="AC805" s="8">
        <f>IF(B805="","",IF(COUNTIFS('Dietary Filters'!$C$5:$C$104,B805)&gt;0,"Check","OK"))</f>
        <v>0</v>
      </c>
      <c r="AD805" s="25"/>
    </row>
    <row r="806" spans="1:30">
      <c r="A806" s="7"/>
      <c r="B806" s="7"/>
      <c r="C806" s="26"/>
      <c r="D806" s="27"/>
      <c r="E806" s="8">
        <f>IF(B806="","",IFERROR(INDEX(Ingredients!$B$5:$B$304,MATCH(B806,Ingredients!$A$5:$A$304,0)),""))</f>
        <v>0</v>
      </c>
      <c r="F806" s="8">
        <f>IF(B806="","",IFERROR(INDEX(Ingredients!$E$5:$E$304,MATCH(B806,Ingredients!$A$5:$A$304,0)),""))</f>
        <v>0</v>
      </c>
      <c r="G806" s="8">
        <f>IF(B806="","",IFERROR(INDEX(Ingredients!$D$5:$D$304,MATCH(B806,Ingredients!$A$5:$A$304,0)),""))</f>
        <v>0</v>
      </c>
      <c r="H806" s="8">
        <f>IF(OR(B806="",C806=""),"",IFERROR(C806*G806,""))</f>
        <v>0</v>
      </c>
      <c r="I806" s="8">
        <f>IF(A806="","",IFERROR(INDEX(Recipes!$D$5:$D$204,MATCH(A806,Recipes!$A$5:$A$204,0)),""))</f>
        <v>0</v>
      </c>
      <c r="J806" s="8">
        <f>IF(OR(H806="",I806="",I806=0),"",IFERROR(H806/I806,""))</f>
        <v>0</v>
      </c>
      <c r="K806" s="8">
        <f>IF(OR(B806="",C806=""),"",IFERROR(C806*IFERROR(INDEX(Ingredients!$H$5:$H$304,MATCH(B806,Ingredients!$A$5:$A$304,0)),""),""))</f>
        <v>0</v>
      </c>
      <c r="L806" s="8">
        <f>IF(OR(B806="",C806=""),"",IFERROR(C806*IFERROR(INDEX(Ingredients!$I$5:$I$304,MATCH(B806,Ingredients!$A$5:$A$304,0)),""),""))</f>
        <v>0</v>
      </c>
      <c r="M806" s="8">
        <f>IF(OR(B806="",C806=""),"",IFERROR(C806*IFERROR(INDEX(Ingredients!$J$5:$J$304,MATCH(B806,Ingredients!$A$5:$A$304,0)),""),""))</f>
        <v>0</v>
      </c>
      <c r="N806" s="8">
        <f>IF(OR(B806="",C806=""),"",IFERROR(C806*IFERROR(INDEX(Ingredients!$K$5:$K$304,MATCH(B806,Ingredients!$A$5:$A$304,0)),""),""))</f>
        <v>0</v>
      </c>
      <c r="O806" s="8">
        <f>IF(OR(B806="",C806=""),"",IFERROR(C806*IFERROR(INDEX(Ingredients!$L$5:$L$304,MATCH(B806,Ingredients!$A$5:$A$304,0)),""),""))</f>
        <v>0</v>
      </c>
      <c r="P806" s="8">
        <f>IF(OR(H806="",A806=""),"",IFERROR(H806/SUMIFS('Recipe Ingredients'!$H$5:$H$1204,'Recipe Ingredients'!$A$5:$A$1204,A806),""))</f>
        <v>0</v>
      </c>
      <c r="Q806" s="8">
        <f>IF(H806="","",COUNTIFS($H$5:$H$1204,"&gt;"&amp;H806)+1)</f>
        <v>0</v>
      </c>
      <c r="R806" s="8">
        <f>IF(B806="","",SUMIFS(Pantry!$C$5:$C$304,Pantry!$A$5:$A$304,B806))</f>
        <v>0</v>
      </c>
      <c r="S806" s="8">
        <f>IF(OR(B806="",C806=""),"",MAX(0,C806-R806))</f>
        <v>0</v>
      </c>
      <c r="T806" s="26"/>
      <c r="U806" s="8">
        <f>IF(OR(T806="",T806=0,G806=""),"",T806*G806)</f>
        <v>0</v>
      </c>
      <c r="V806" s="8">
        <f>IF(OR(S806="",T806="",T806=0),"",CEILING(S806/T806,1))</f>
        <v>0</v>
      </c>
      <c r="W806" s="27"/>
      <c r="X806" s="29"/>
      <c r="Y806" s="8">
        <f>IF(OR(C806="",X806=""),"",C806*(1+X806))</f>
        <v>0</v>
      </c>
      <c r="Z806" s="8">
        <f>IF(B806="","",IFERROR(INDEX(Ingredients!$O$5:$O$304,MATCH(B806,Ingredients!$A$5:$A$304,0)),""))</f>
        <v>0</v>
      </c>
      <c r="AA806" s="8">
        <f>IF(B806="","",IF(R806&gt;=C806,"In pantry","To buy"))</f>
        <v>0</v>
      </c>
      <c r="AB806" s="8">
        <f>IF(A806="","",COUNTIFS($A$5:A806,A806))</f>
        <v>0</v>
      </c>
      <c r="AC806" s="8">
        <f>IF(B806="","",IF(COUNTIFS('Dietary Filters'!$C$5:$C$104,B806)&gt;0,"Check","OK"))</f>
        <v>0</v>
      </c>
      <c r="AD806" s="25"/>
    </row>
    <row r="807" spans="1:30">
      <c r="A807" s="7"/>
      <c r="B807" s="7"/>
      <c r="C807" s="26"/>
      <c r="D807" s="27"/>
      <c r="E807" s="8">
        <f>IF(B807="","",IFERROR(INDEX(Ingredients!$B$5:$B$304,MATCH(B807,Ingredients!$A$5:$A$304,0)),""))</f>
        <v>0</v>
      </c>
      <c r="F807" s="8">
        <f>IF(B807="","",IFERROR(INDEX(Ingredients!$E$5:$E$304,MATCH(B807,Ingredients!$A$5:$A$304,0)),""))</f>
        <v>0</v>
      </c>
      <c r="G807" s="8">
        <f>IF(B807="","",IFERROR(INDEX(Ingredients!$D$5:$D$304,MATCH(B807,Ingredients!$A$5:$A$304,0)),""))</f>
        <v>0</v>
      </c>
      <c r="H807" s="8">
        <f>IF(OR(B807="",C807=""),"",IFERROR(C807*G807,""))</f>
        <v>0</v>
      </c>
      <c r="I807" s="8">
        <f>IF(A807="","",IFERROR(INDEX(Recipes!$D$5:$D$204,MATCH(A807,Recipes!$A$5:$A$204,0)),""))</f>
        <v>0</v>
      </c>
      <c r="J807" s="8">
        <f>IF(OR(H807="",I807="",I807=0),"",IFERROR(H807/I807,""))</f>
        <v>0</v>
      </c>
      <c r="K807" s="8">
        <f>IF(OR(B807="",C807=""),"",IFERROR(C807*IFERROR(INDEX(Ingredients!$H$5:$H$304,MATCH(B807,Ingredients!$A$5:$A$304,0)),""),""))</f>
        <v>0</v>
      </c>
      <c r="L807" s="8">
        <f>IF(OR(B807="",C807=""),"",IFERROR(C807*IFERROR(INDEX(Ingredients!$I$5:$I$304,MATCH(B807,Ingredients!$A$5:$A$304,0)),""),""))</f>
        <v>0</v>
      </c>
      <c r="M807" s="8">
        <f>IF(OR(B807="",C807=""),"",IFERROR(C807*IFERROR(INDEX(Ingredients!$J$5:$J$304,MATCH(B807,Ingredients!$A$5:$A$304,0)),""),""))</f>
        <v>0</v>
      </c>
      <c r="N807" s="8">
        <f>IF(OR(B807="",C807=""),"",IFERROR(C807*IFERROR(INDEX(Ingredients!$K$5:$K$304,MATCH(B807,Ingredients!$A$5:$A$304,0)),""),""))</f>
        <v>0</v>
      </c>
      <c r="O807" s="8">
        <f>IF(OR(B807="",C807=""),"",IFERROR(C807*IFERROR(INDEX(Ingredients!$L$5:$L$304,MATCH(B807,Ingredients!$A$5:$A$304,0)),""),""))</f>
        <v>0</v>
      </c>
      <c r="P807" s="8">
        <f>IF(OR(H807="",A807=""),"",IFERROR(H807/SUMIFS('Recipe Ingredients'!$H$5:$H$1204,'Recipe Ingredients'!$A$5:$A$1204,A807),""))</f>
        <v>0</v>
      </c>
      <c r="Q807" s="8">
        <f>IF(H807="","",COUNTIFS($H$5:$H$1204,"&gt;"&amp;H807)+1)</f>
        <v>0</v>
      </c>
      <c r="R807" s="8">
        <f>IF(B807="","",SUMIFS(Pantry!$C$5:$C$304,Pantry!$A$5:$A$304,B807))</f>
        <v>0</v>
      </c>
      <c r="S807" s="8">
        <f>IF(OR(B807="",C807=""),"",MAX(0,C807-R807))</f>
        <v>0</v>
      </c>
      <c r="T807" s="26"/>
      <c r="U807" s="8">
        <f>IF(OR(T807="",T807=0,G807=""),"",T807*G807)</f>
        <v>0</v>
      </c>
      <c r="V807" s="8">
        <f>IF(OR(S807="",T807="",T807=0),"",CEILING(S807/T807,1))</f>
        <v>0</v>
      </c>
      <c r="W807" s="27"/>
      <c r="X807" s="29"/>
      <c r="Y807" s="8">
        <f>IF(OR(C807="",X807=""),"",C807*(1+X807))</f>
        <v>0</v>
      </c>
      <c r="Z807" s="8">
        <f>IF(B807="","",IFERROR(INDEX(Ingredients!$O$5:$O$304,MATCH(B807,Ingredients!$A$5:$A$304,0)),""))</f>
        <v>0</v>
      </c>
      <c r="AA807" s="8">
        <f>IF(B807="","",IF(R807&gt;=C807,"In pantry","To buy"))</f>
        <v>0</v>
      </c>
      <c r="AB807" s="8">
        <f>IF(A807="","",COUNTIFS($A$5:A807,A807))</f>
        <v>0</v>
      </c>
      <c r="AC807" s="8">
        <f>IF(B807="","",IF(COUNTIFS('Dietary Filters'!$C$5:$C$104,B807)&gt;0,"Check","OK"))</f>
        <v>0</v>
      </c>
      <c r="AD807" s="25"/>
    </row>
    <row r="808" spans="1:30">
      <c r="A808" s="7"/>
      <c r="B808" s="7"/>
      <c r="C808" s="26"/>
      <c r="D808" s="27"/>
      <c r="E808" s="8">
        <f>IF(B808="","",IFERROR(INDEX(Ingredients!$B$5:$B$304,MATCH(B808,Ingredients!$A$5:$A$304,0)),""))</f>
        <v>0</v>
      </c>
      <c r="F808" s="8">
        <f>IF(B808="","",IFERROR(INDEX(Ingredients!$E$5:$E$304,MATCH(B808,Ingredients!$A$5:$A$304,0)),""))</f>
        <v>0</v>
      </c>
      <c r="G808" s="8">
        <f>IF(B808="","",IFERROR(INDEX(Ingredients!$D$5:$D$304,MATCH(B808,Ingredients!$A$5:$A$304,0)),""))</f>
        <v>0</v>
      </c>
      <c r="H808" s="8">
        <f>IF(OR(B808="",C808=""),"",IFERROR(C808*G808,""))</f>
        <v>0</v>
      </c>
      <c r="I808" s="8">
        <f>IF(A808="","",IFERROR(INDEX(Recipes!$D$5:$D$204,MATCH(A808,Recipes!$A$5:$A$204,0)),""))</f>
        <v>0</v>
      </c>
      <c r="J808" s="8">
        <f>IF(OR(H808="",I808="",I808=0),"",IFERROR(H808/I808,""))</f>
        <v>0</v>
      </c>
      <c r="K808" s="8">
        <f>IF(OR(B808="",C808=""),"",IFERROR(C808*IFERROR(INDEX(Ingredients!$H$5:$H$304,MATCH(B808,Ingredients!$A$5:$A$304,0)),""),""))</f>
        <v>0</v>
      </c>
      <c r="L808" s="8">
        <f>IF(OR(B808="",C808=""),"",IFERROR(C808*IFERROR(INDEX(Ingredients!$I$5:$I$304,MATCH(B808,Ingredients!$A$5:$A$304,0)),""),""))</f>
        <v>0</v>
      </c>
      <c r="M808" s="8">
        <f>IF(OR(B808="",C808=""),"",IFERROR(C808*IFERROR(INDEX(Ingredients!$J$5:$J$304,MATCH(B808,Ingredients!$A$5:$A$304,0)),""),""))</f>
        <v>0</v>
      </c>
      <c r="N808" s="8">
        <f>IF(OR(B808="",C808=""),"",IFERROR(C808*IFERROR(INDEX(Ingredients!$K$5:$K$304,MATCH(B808,Ingredients!$A$5:$A$304,0)),""),""))</f>
        <v>0</v>
      </c>
      <c r="O808" s="8">
        <f>IF(OR(B808="",C808=""),"",IFERROR(C808*IFERROR(INDEX(Ingredients!$L$5:$L$304,MATCH(B808,Ingredients!$A$5:$A$304,0)),""),""))</f>
        <v>0</v>
      </c>
      <c r="P808" s="8">
        <f>IF(OR(H808="",A808=""),"",IFERROR(H808/SUMIFS('Recipe Ingredients'!$H$5:$H$1204,'Recipe Ingredients'!$A$5:$A$1204,A808),""))</f>
        <v>0</v>
      </c>
      <c r="Q808" s="8">
        <f>IF(H808="","",COUNTIFS($H$5:$H$1204,"&gt;"&amp;H808)+1)</f>
        <v>0</v>
      </c>
      <c r="R808" s="8">
        <f>IF(B808="","",SUMIFS(Pantry!$C$5:$C$304,Pantry!$A$5:$A$304,B808))</f>
        <v>0</v>
      </c>
      <c r="S808" s="8">
        <f>IF(OR(B808="",C808=""),"",MAX(0,C808-R808))</f>
        <v>0</v>
      </c>
      <c r="T808" s="26"/>
      <c r="U808" s="8">
        <f>IF(OR(T808="",T808=0,G808=""),"",T808*G808)</f>
        <v>0</v>
      </c>
      <c r="V808" s="8">
        <f>IF(OR(S808="",T808="",T808=0),"",CEILING(S808/T808,1))</f>
        <v>0</v>
      </c>
      <c r="W808" s="27"/>
      <c r="X808" s="29"/>
      <c r="Y808" s="8">
        <f>IF(OR(C808="",X808=""),"",C808*(1+X808))</f>
        <v>0</v>
      </c>
      <c r="Z808" s="8">
        <f>IF(B808="","",IFERROR(INDEX(Ingredients!$O$5:$O$304,MATCH(B808,Ingredients!$A$5:$A$304,0)),""))</f>
        <v>0</v>
      </c>
      <c r="AA808" s="8">
        <f>IF(B808="","",IF(R808&gt;=C808,"In pantry","To buy"))</f>
        <v>0</v>
      </c>
      <c r="AB808" s="8">
        <f>IF(A808="","",COUNTIFS($A$5:A808,A808))</f>
        <v>0</v>
      </c>
      <c r="AC808" s="8">
        <f>IF(B808="","",IF(COUNTIFS('Dietary Filters'!$C$5:$C$104,B808)&gt;0,"Check","OK"))</f>
        <v>0</v>
      </c>
      <c r="AD808" s="25"/>
    </row>
    <row r="809" spans="1:30">
      <c r="A809" s="7"/>
      <c r="B809" s="7"/>
      <c r="C809" s="26"/>
      <c r="D809" s="27"/>
      <c r="E809" s="8">
        <f>IF(B809="","",IFERROR(INDEX(Ingredients!$B$5:$B$304,MATCH(B809,Ingredients!$A$5:$A$304,0)),""))</f>
        <v>0</v>
      </c>
      <c r="F809" s="8">
        <f>IF(B809="","",IFERROR(INDEX(Ingredients!$E$5:$E$304,MATCH(B809,Ingredients!$A$5:$A$304,0)),""))</f>
        <v>0</v>
      </c>
      <c r="G809" s="8">
        <f>IF(B809="","",IFERROR(INDEX(Ingredients!$D$5:$D$304,MATCH(B809,Ingredients!$A$5:$A$304,0)),""))</f>
        <v>0</v>
      </c>
      <c r="H809" s="8">
        <f>IF(OR(B809="",C809=""),"",IFERROR(C809*G809,""))</f>
        <v>0</v>
      </c>
      <c r="I809" s="8">
        <f>IF(A809="","",IFERROR(INDEX(Recipes!$D$5:$D$204,MATCH(A809,Recipes!$A$5:$A$204,0)),""))</f>
        <v>0</v>
      </c>
      <c r="J809" s="8">
        <f>IF(OR(H809="",I809="",I809=0),"",IFERROR(H809/I809,""))</f>
        <v>0</v>
      </c>
      <c r="K809" s="8">
        <f>IF(OR(B809="",C809=""),"",IFERROR(C809*IFERROR(INDEX(Ingredients!$H$5:$H$304,MATCH(B809,Ingredients!$A$5:$A$304,0)),""),""))</f>
        <v>0</v>
      </c>
      <c r="L809" s="8">
        <f>IF(OR(B809="",C809=""),"",IFERROR(C809*IFERROR(INDEX(Ingredients!$I$5:$I$304,MATCH(B809,Ingredients!$A$5:$A$304,0)),""),""))</f>
        <v>0</v>
      </c>
      <c r="M809" s="8">
        <f>IF(OR(B809="",C809=""),"",IFERROR(C809*IFERROR(INDEX(Ingredients!$J$5:$J$304,MATCH(B809,Ingredients!$A$5:$A$304,0)),""),""))</f>
        <v>0</v>
      </c>
      <c r="N809" s="8">
        <f>IF(OR(B809="",C809=""),"",IFERROR(C809*IFERROR(INDEX(Ingredients!$K$5:$K$304,MATCH(B809,Ingredients!$A$5:$A$304,0)),""),""))</f>
        <v>0</v>
      </c>
      <c r="O809" s="8">
        <f>IF(OR(B809="",C809=""),"",IFERROR(C809*IFERROR(INDEX(Ingredients!$L$5:$L$304,MATCH(B809,Ingredients!$A$5:$A$304,0)),""),""))</f>
        <v>0</v>
      </c>
      <c r="P809" s="8">
        <f>IF(OR(H809="",A809=""),"",IFERROR(H809/SUMIFS('Recipe Ingredients'!$H$5:$H$1204,'Recipe Ingredients'!$A$5:$A$1204,A809),""))</f>
        <v>0</v>
      </c>
      <c r="Q809" s="8">
        <f>IF(H809="","",COUNTIFS($H$5:$H$1204,"&gt;"&amp;H809)+1)</f>
        <v>0</v>
      </c>
      <c r="R809" s="8">
        <f>IF(B809="","",SUMIFS(Pantry!$C$5:$C$304,Pantry!$A$5:$A$304,B809))</f>
        <v>0</v>
      </c>
      <c r="S809" s="8">
        <f>IF(OR(B809="",C809=""),"",MAX(0,C809-R809))</f>
        <v>0</v>
      </c>
      <c r="T809" s="26"/>
      <c r="U809" s="8">
        <f>IF(OR(T809="",T809=0,G809=""),"",T809*G809)</f>
        <v>0</v>
      </c>
      <c r="V809" s="8">
        <f>IF(OR(S809="",T809="",T809=0),"",CEILING(S809/T809,1))</f>
        <v>0</v>
      </c>
      <c r="W809" s="27"/>
      <c r="X809" s="29"/>
      <c r="Y809" s="8">
        <f>IF(OR(C809="",X809=""),"",C809*(1+X809))</f>
        <v>0</v>
      </c>
      <c r="Z809" s="8">
        <f>IF(B809="","",IFERROR(INDEX(Ingredients!$O$5:$O$304,MATCH(B809,Ingredients!$A$5:$A$304,0)),""))</f>
        <v>0</v>
      </c>
      <c r="AA809" s="8">
        <f>IF(B809="","",IF(R809&gt;=C809,"In pantry","To buy"))</f>
        <v>0</v>
      </c>
      <c r="AB809" s="8">
        <f>IF(A809="","",COUNTIFS($A$5:A809,A809))</f>
        <v>0</v>
      </c>
      <c r="AC809" s="8">
        <f>IF(B809="","",IF(COUNTIFS('Dietary Filters'!$C$5:$C$104,B809)&gt;0,"Check","OK"))</f>
        <v>0</v>
      </c>
      <c r="AD809" s="25"/>
    </row>
    <row r="810" spans="1:30">
      <c r="A810" s="7"/>
      <c r="B810" s="7"/>
      <c r="C810" s="26"/>
      <c r="D810" s="27"/>
      <c r="E810" s="8">
        <f>IF(B810="","",IFERROR(INDEX(Ingredients!$B$5:$B$304,MATCH(B810,Ingredients!$A$5:$A$304,0)),""))</f>
        <v>0</v>
      </c>
      <c r="F810" s="8">
        <f>IF(B810="","",IFERROR(INDEX(Ingredients!$E$5:$E$304,MATCH(B810,Ingredients!$A$5:$A$304,0)),""))</f>
        <v>0</v>
      </c>
      <c r="G810" s="8">
        <f>IF(B810="","",IFERROR(INDEX(Ingredients!$D$5:$D$304,MATCH(B810,Ingredients!$A$5:$A$304,0)),""))</f>
        <v>0</v>
      </c>
      <c r="H810" s="8">
        <f>IF(OR(B810="",C810=""),"",IFERROR(C810*G810,""))</f>
        <v>0</v>
      </c>
      <c r="I810" s="8">
        <f>IF(A810="","",IFERROR(INDEX(Recipes!$D$5:$D$204,MATCH(A810,Recipes!$A$5:$A$204,0)),""))</f>
        <v>0</v>
      </c>
      <c r="J810" s="8">
        <f>IF(OR(H810="",I810="",I810=0),"",IFERROR(H810/I810,""))</f>
        <v>0</v>
      </c>
      <c r="K810" s="8">
        <f>IF(OR(B810="",C810=""),"",IFERROR(C810*IFERROR(INDEX(Ingredients!$H$5:$H$304,MATCH(B810,Ingredients!$A$5:$A$304,0)),""),""))</f>
        <v>0</v>
      </c>
      <c r="L810" s="8">
        <f>IF(OR(B810="",C810=""),"",IFERROR(C810*IFERROR(INDEX(Ingredients!$I$5:$I$304,MATCH(B810,Ingredients!$A$5:$A$304,0)),""),""))</f>
        <v>0</v>
      </c>
      <c r="M810" s="8">
        <f>IF(OR(B810="",C810=""),"",IFERROR(C810*IFERROR(INDEX(Ingredients!$J$5:$J$304,MATCH(B810,Ingredients!$A$5:$A$304,0)),""),""))</f>
        <v>0</v>
      </c>
      <c r="N810" s="8">
        <f>IF(OR(B810="",C810=""),"",IFERROR(C810*IFERROR(INDEX(Ingredients!$K$5:$K$304,MATCH(B810,Ingredients!$A$5:$A$304,0)),""),""))</f>
        <v>0</v>
      </c>
      <c r="O810" s="8">
        <f>IF(OR(B810="",C810=""),"",IFERROR(C810*IFERROR(INDEX(Ingredients!$L$5:$L$304,MATCH(B810,Ingredients!$A$5:$A$304,0)),""),""))</f>
        <v>0</v>
      </c>
      <c r="P810" s="8">
        <f>IF(OR(H810="",A810=""),"",IFERROR(H810/SUMIFS('Recipe Ingredients'!$H$5:$H$1204,'Recipe Ingredients'!$A$5:$A$1204,A810),""))</f>
        <v>0</v>
      </c>
      <c r="Q810" s="8">
        <f>IF(H810="","",COUNTIFS($H$5:$H$1204,"&gt;"&amp;H810)+1)</f>
        <v>0</v>
      </c>
      <c r="R810" s="8">
        <f>IF(B810="","",SUMIFS(Pantry!$C$5:$C$304,Pantry!$A$5:$A$304,B810))</f>
        <v>0</v>
      </c>
      <c r="S810" s="8">
        <f>IF(OR(B810="",C810=""),"",MAX(0,C810-R810))</f>
        <v>0</v>
      </c>
      <c r="T810" s="26"/>
      <c r="U810" s="8">
        <f>IF(OR(T810="",T810=0,G810=""),"",T810*G810)</f>
        <v>0</v>
      </c>
      <c r="V810" s="8">
        <f>IF(OR(S810="",T810="",T810=0),"",CEILING(S810/T810,1))</f>
        <v>0</v>
      </c>
      <c r="W810" s="27"/>
      <c r="X810" s="29"/>
      <c r="Y810" s="8">
        <f>IF(OR(C810="",X810=""),"",C810*(1+X810))</f>
        <v>0</v>
      </c>
      <c r="Z810" s="8">
        <f>IF(B810="","",IFERROR(INDEX(Ingredients!$O$5:$O$304,MATCH(B810,Ingredients!$A$5:$A$304,0)),""))</f>
        <v>0</v>
      </c>
      <c r="AA810" s="8">
        <f>IF(B810="","",IF(R810&gt;=C810,"In pantry","To buy"))</f>
        <v>0</v>
      </c>
      <c r="AB810" s="8">
        <f>IF(A810="","",COUNTIFS($A$5:A810,A810))</f>
        <v>0</v>
      </c>
      <c r="AC810" s="8">
        <f>IF(B810="","",IF(COUNTIFS('Dietary Filters'!$C$5:$C$104,B810)&gt;0,"Check","OK"))</f>
        <v>0</v>
      </c>
      <c r="AD810" s="25"/>
    </row>
    <row r="811" spans="1:30">
      <c r="A811" s="7"/>
      <c r="B811" s="7"/>
      <c r="C811" s="26"/>
      <c r="D811" s="27"/>
      <c r="E811" s="8">
        <f>IF(B811="","",IFERROR(INDEX(Ingredients!$B$5:$B$304,MATCH(B811,Ingredients!$A$5:$A$304,0)),""))</f>
        <v>0</v>
      </c>
      <c r="F811" s="8">
        <f>IF(B811="","",IFERROR(INDEX(Ingredients!$E$5:$E$304,MATCH(B811,Ingredients!$A$5:$A$304,0)),""))</f>
        <v>0</v>
      </c>
      <c r="G811" s="8">
        <f>IF(B811="","",IFERROR(INDEX(Ingredients!$D$5:$D$304,MATCH(B811,Ingredients!$A$5:$A$304,0)),""))</f>
        <v>0</v>
      </c>
      <c r="H811" s="8">
        <f>IF(OR(B811="",C811=""),"",IFERROR(C811*G811,""))</f>
        <v>0</v>
      </c>
      <c r="I811" s="8">
        <f>IF(A811="","",IFERROR(INDEX(Recipes!$D$5:$D$204,MATCH(A811,Recipes!$A$5:$A$204,0)),""))</f>
        <v>0</v>
      </c>
      <c r="J811" s="8">
        <f>IF(OR(H811="",I811="",I811=0),"",IFERROR(H811/I811,""))</f>
        <v>0</v>
      </c>
      <c r="K811" s="8">
        <f>IF(OR(B811="",C811=""),"",IFERROR(C811*IFERROR(INDEX(Ingredients!$H$5:$H$304,MATCH(B811,Ingredients!$A$5:$A$304,0)),""),""))</f>
        <v>0</v>
      </c>
      <c r="L811" s="8">
        <f>IF(OR(B811="",C811=""),"",IFERROR(C811*IFERROR(INDEX(Ingredients!$I$5:$I$304,MATCH(B811,Ingredients!$A$5:$A$304,0)),""),""))</f>
        <v>0</v>
      </c>
      <c r="M811" s="8">
        <f>IF(OR(B811="",C811=""),"",IFERROR(C811*IFERROR(INDEX(Ingredients!$J$5:$J$304,MATCH(B811,Ingredients!$A$5:$A$304,0)),""),""))</f>
        <v>0</v>
      </c>
      <c r="N811" s="8">
        <f>IF(OR(B811="",C811=""),"",IFERROR(C811*IFERROR(INDEX(Ingredients!$K$5:$K$304,MATCH(B811,Ingredients!$A$5:$A$304,0)),""),""))</f>
        <v>0</v>
      </c>
      <c r="O811" s="8">
        <f>IF(OR(B811="",C811=""),"",IFERROR(C811*IFERROR(INDEX(Ingredients!$L$5:$L$304,MATCH(B811,Ingredients!$A$5:$A$304,0)),""),""))</f>
        <v>0</v>
      </c>
      <c r="P811" s="8">
        <f>IF(OR(H811="",A811=""),"",IFERROR(H811/SUMIFS('Recipe Ingredients'!$H$5:$H$1204,'Recipe Ingredients'!$A$5:$A$1204,A811),""))</f>
        <v>0</v>
      </c>
      <c r="Q811" s="8">
        <f>IF(H811="","",COUNTIFS($H$5:$H$1204,"&gt;"&amp;H811)+1)</f>
        <v>0</v>
      </c>
      <c r="R811" s="8">
        <f>IF(B811="","",SUMIFS(Pantry!$C$5:$C$304,Pantry!$A$5:$A$304,B811))</f>
        <v>0</v>
      </c>
      <c r="S811" s="8">
        <f>IF(OR(B811="",C811=""),"",MAX(0,C811-R811))</f>
        <v>0</v>
      </c>
      <c r="T811" s="26"/>
      <c r="U811" s="8">
        <f>IF(OR(T811="",T811=0,G811=""),"",T811*G811)</f>
        <v>0</v>
      </c>
      <c r="V811" s="8">
        <f>IF(OR(S811="",T811="",T811=0),"",CEILING(S811/T811,1))</f>
        <v>0</v>
      </c>
      <c r="W811" s="27"/>
      <c r="X811" s="29"/>
      <c r="Y811" s="8">
        <f>IF(OR(C811="",X811=""),"",C811*(1+X811))</f>
        <v>0</v>
      </c>
      <c r="Z811" s="8">
        <f>IF(B811="","",IFERROR(INDEX(Ingredients!$O$5:$O$304,MATCH(B811,Ingredients!$A$5:$A$304,0)),""))</f>
        <v>0</v>
      </c>
      <c r="AA811" s="8">
        <f>IF(B811="","",IF(R811&gt;=C811,"In pantry","To buy"))</f>
        <v>0</v>
      </c>
      <c r="AB811" s="8">
        <f>IF(A811="","",COUNTIFS($A$5:A811,A811))</f>
        <v>0</v>
      </c>
      <c r="AC811" s="8">
        <f>IF(B811="","",IF(COUNTIFS('Dietary Filters'!$C$5:$C$104,B811)&gt;0,"Check","OK"))</f>
        <v>0</v>
      </c>
      <c r="AD811" s="25"/>
    </row>
    <row r="812" spans="1:30">
      <c r="A812" s="7"/>
      <c r="B812" s="7"/>
      <c r="C812" s="26"/>
      <c r="D812" s="27"/>
      <c r="E812" s="8">
        <f>IF(B812="","",IFERROR(INDEX(Ingredients!$B$5:$B$304,MATCH(B812,Ingredients!$A$5:$A$304,0)),""))</f>
        <v>0</v>
      </c>
      <c r="F812" s="8">
        <f>IF(B812="","",IFERROR(INDEX(Ingredients!$E$5:$E$304,MATCH(B812,Ingredients!$A$5:$A$304,0)),""))</f>
        <v>0</v>
      </c>
      <c r="G812" s="8">
        <f>IF(B812="","",IFERROR(INDEX(Ingredients!$D$5:$D$304,MATCH(B812,Ingredients!$A$5:$A$304,0)),""))</f>
        <v>0</v>
      </c>
      <c r="H812" s="8">
        <f>IF(OR(B812="",C812=""),"",IFERROR(C812*G812,""))</f>
        <v>0</v>
      </c>
      <c r="I812" s="8">
        <f>IF(A812="","",IFERROR(INDEX(Recipes!$D$5:$D$204,MATCH(A812,Recipes!$A$5:$A$204,0)),""))</f>
        <v>0</v>
      </c>
      <c r="J812" s="8">
        <f>IF(OR(H812="",I812="",I812=0),"",IFERROR(H812/I812,""))</f>
        <v>0</v>
      </c>
      <c r="K812" s="8">
        <f>IF(OR(B812="",C812=""),"",IFERROR(C812*IFERROR(INDEX(Ingredients!$H$5:$H$304,MATCH(B812,Ingredients!$A$5:$A$304,0)),""),""))</f>
        <v>0</v>
      </c>
      <c r="L812" s="8">
        <f>IF(OR(B812="",C812=""),"",IFERROR(C812*IFERROR(INDEX(Ingredients!$I$5:$I$304,MATCH(B812,Ingredients!$A$5:$A$304,0)),""),""))</f>
        <v>0</v>
      </c>
      <c r="M812" s="8">
        <f>IF(OR(B812="",C812=""),"",IFERROR(C812*IFERROR(INDEX(Ingredients!$J$5:$J$304,MATCH(B812,Ingredients!$A$5:$A$304,0)),""),""))</f>
        <v>0</v>
      </c>
      <c r="N812" s="8">
        <f>IF(OR(B812="",C812=""),"",IFERROR(C812*IFERROR(INDEX(Ingredients!$K$5:$K$304,MATCH(B812,Ingredients!$A$5:$A$304,0)),""),""))</f>
        <v>0</v>
      </c>
      <c r="O812" s="8">
        <f>IF(OR(B812="",C812=""),"",IFERROR(C812*IFERROR(INDEX(Ingredients!$L$5:$L$304,MATCH(B812,Ingredients!$A$5:$A$304,0)),""),""))</f>
        <v>0</v>
      </c>
      <c r="P812" s="8">
        <f>IF(OR(H812="",A812=""),"",IFERROR(H812/SUMIFS('Recipe Ingredients'!$H$5:$H$1204,'Recipe Ingredients'!$A$5:$A$1204,A812),""))</f>
        <v>0</v>
      </c>
      <c r="Q812" s="8">
        <f>IF(H812="","",COUNTIFS($H$5:$H$1204,"&gt;"&amp;H812)+1)</f>
        <v>0</v>
      </c>
      <c r="R812" s="8">
        <f>IF(B812="","",SUMIFS(Pantry!$C$5:$C$304,Pantry!$A$5:$A$304,B812))</f>
        <v>0</v>
      </c>
      <c r="S812" s="8">
        <f>IF(OR(B812="",C812=""),"",MAX(0,C812-R812))</f>
        <v>0</v>
      </c>
      <c r="T812" s="26"/>
      <c r="U812" s="8">
        <f>IF(OR(T812="",T812=0,G812=""),"",T812*G812)</f>
        <v>0</v>
      </c>
      <c r="V812" s="8">
        <f>IF(OR(S812="",T812="",T812=0),"",CEILING(S812/T812,1))</f>
        <v>0</v>
      </c>
      <c r="W812" s="27"/>
      <c r="X812" s="29"/>
      <c r="Y812" s="8">
        <f>IF(OR(C812="",X812=""),"",C812*(1+X812))</f>
        <v>0</v>
      </c>
      <c r="Z812" s="8">
        <f>IF(B812="","",IFERROR(INDEX(Ingredients!$O$5:$O$304,MATCH(B812,Ingredients!$A$5:$A$304,0)),""))</f>
        <v>0</v>
      </c>
      <c r="AA812" s="8">
        <f>IF(B812="","",IF(R812&gt;=C812,"In pantry","To buy"))</f>
        <v>0</v>
      </c>
      <c r="AB812" s="8">
        <f>IF(A812="","",COUNTIFS($A$5:A812,A812))</f>
        <v>0</v>
      </c>
      <c r="AC812" s="8">
        <f>IF(B812="","",IF(COUNTIFS('Dietary Filters'!$C$5:$C$104,B812)&gt;0,"Check","OK"))</f>
        <v>0</v>
      </c>
      <c r="AD812" s="25"/>
    </row>
    <row r="813" spans="1:30">
      <c r="A813" s="7"/>
      <c r="B813" s="7"/>
      <c r="C813" s="26"/>
      <c r="D813" s="27"/>
      <c r="E813" s="8">
        <f>IF(B813="","",IFERROR(INDEX(Ingredients!$B$5:$B$304,MATCH(B813,Ingredients!$A$5:$A$304,0)),""))</f>
        <v>0</v>
      </c>
      <c r="F813" s="8">
        <f>IF(B813="","",IFERROR(INDEX(Ingredients!$E$5:$E$304,MATCH(B813,Ingredients!$A$5:$A$304,0)),""))</f>
        <v>0</v>
      </c>
      <c r="G813" s="8">
        <f>IF(B813="","",IFERROR(INDEX(Ingredients!$D$5:$D$304,MATCH(B813,Ingredients!$A$5:$A$304,0)),""))</f>
        <v>0</v>
      </c>
      <c r="H813" s="8">
        <f>IF(OR(B813="",C813=""),"",IFERROR(C813*G813,""))</f>
        <v>0</v>
      </c>
      <c r="I813" s="8">
        <f>IF(A813="","",IFERROR(INDEX(Recipes!$D$5:$D$204,MATCH(A813,Recipes!$A$5:$A$204,0)),""))</f>
        <v>0</v>
      </c>
      <c r="J813" s="8">
        <f>IF(OR(H813="",I813="",I813=0),"",IFERROR(H813/I813,""))</f>
        <v>0</v>
      </c>
      <c r="K813" s="8">
        <f>IF(OR(B813="",C813=""),"",IFERROR(C813*IFERROR(INDEX(Ingredients!$H$5:$H$304,MATCH(B813,Ingredients!$A$5:$A$304,0)),""),""))</f>
        <v>0</v>
      </c>
      <c r="L813" s="8">
        <f>IF(OR(B813="",C813=""),"",IFERROR(C813*IFERROR(INDEX(Ingredients!$I$5:$I$304,MATCH(B813,Ingredients!$A$5:$A$304,0)),""),""))</f>
        <v>0</v>
      </c>
      <c r="M813" s="8">
        <f>IF(OR(B813="",C813=""),"",IFERROR(C813*IFERROR(INDEX(Ingredients!$J$5:$J$304,MATCH(B813,Ingredients!$A$5:$A$304,0)),""),""))</f>
        <v>0</v>
      </c>
      <c r="N813" s="8">
        <f>IF(OR(B813="",C813=""),"",IFERROR(C813*IFERROR(INDEX(Ingredients!$K$5:$K$304,MATCH(B813,Ingredients!$A$5:$A$304,0)),""),""))</f>
        <v>0</v>
      </c>
      <c r="O813" s="8">
        <f>IF(OR(B813="",C813=""),"",IFERROR(C813*IFERROR(INDEX(Ingredients!$L$5:$L$304,MATCH(B813,Ingredients!$A$5:$A$304,0)),""),""))</f>
        <v>0</v>
      </c>
      <c r="P813" s="8">
        <f>IF(OR(H813="",A813=""),"",IFERROR(H813/SUMIFS('Recipe Ingredients'!$H$5:$H$1204,'Recipe Ingredients'!$A$5:$A$1204,A813),""))</f>
        <v>0</v>
      </c>
      <c r="Q813" s="8">
        <f>IF(H813="","",COUNTIFS($H$5:$H$1204,"&gt;"&amp;H813)+1)</f>
        <v>0</v>
      </c>
      <c r="R813" s="8">
        <f>IF(B813="","",SUMIFS(Pantry!$C$5:$C$304,Pantry!$A$5:$A$304,B813))</f>
        <v>0</v>
      </c>
      <c r="S813" s="8">
        <f>IF(OR(B813="",C813=""),"",MAX(0,C813-R813))</f>
        <v>0</v>
      </c>
      <c r="T813" s="26"/>
      <c r="U813" s="8">
        <f>IF(OR(T813="",T813=0,G813=""),"",T813*G813)</f>
        <v>0</v>
      </c>
      <c r="V813" s="8">
        <f>IF(OR(S813="",T813="",T813=0),"",CEILING(S813/T813,1))</f>
        <v>0</v>
      </c>
      <c r="W813" s="27"/>
      <c r="X813" s="29"/>
      <c r="Y813" s="8">
        <f>IF(OR(C813="",X813=""),"",C813*(1+X813))</f>
        <v>0</v>
      </c>
      <c r="Z813" s="8">
        <f>IF(B813="","",IFERROR(INDEX(Ingredients!$O$5:$O$304,MATCH(B813,Ingredients!$A$5:$A$304,0)),""))</f>
        <v>0</v>
      </c>
      <c r="AA813" s="8">
        <f>IF(B813="","",IF(R813&gt;=C813,"In pantry","To buy"))</f>
        <v>0</v>
      </c>
      <c r="AB813" s="8">
        <f>IF(A813="","",COUNTIFS($A$5:A813,A813))</f>
        <v>0</v>
      </c>
      <c r="AC813" s="8">
        <f>IF(B813="","",IF(COUNTIFS('Dietary Filters'!$C$5:$C$104,B813)&gt;0,"Check","OK"))</f>
        <v>0</v>
      </c>
      <c r="AD813" s="25"/>
    </row>
    <row r="814" spans="1:30">
      <c r="A814" s="7"/>
      <c r="B814" s="7"/>
      <c r="C814" s="26"/>
      <c r="D814" s="27"/>
      <c r="E814" s="8">
        <f>IF(B814="","",IFERROR(INDEX(Ingredients!$B$5:$B$304,MATCH(B814,Ingredients!$A$5:$A$304,0)),""))</f>
        <v>0</v>
      </c>
      <c r="F814" s="8">
        <f>IF(B814="","",IFERROR(INDEX(Ingredients!$E$5:$E$304,MATCH(B814,Ingredients!$A$5:$A$304,0)),""))</f>
        <v>0</v>
      </c>
      <c r="G814" s="8">
        <f>IF(B814="","",IFERROR(INDEX(Ingredients!$D$5:$D$304,MATCH(B814,Ingredients!$A$5:$A$304,0)),""))</f>
        <v>0</v>
      </c>
      <c r="H814" s="8">
        <f>IF(OR(B814="",C814=""),"",IFERROR(C814*G814,""))</f>
        <v>0</v>
      </c>
      <c r="I814" s="8">
        <f>IF(A814="","",IFERROR(INDEX(Recipes!$D$5:$D$204,MATCH(A814,Recipes!$A$5:$A$204,0)),""))</f>
        <v>0</v>
      </c>
      <c r="J814" s="8">
        <f>IF(OR(H814="",I814="",I814=0),"",IFERROR(H814/I814,""))</f>
        <v>0</v>
      </c>
      <c r="K814" s="8">
        <f>IF(OR(B814="",C814=""),"",IFERROR(C814*IFERROR(INDEX(Ingredients!$H$5:$H$304,MATCH(B814,Ingredients!$A$5:$A$304,0)),""),""))</f>
        <v>0</v>
      </c>
      <c r="L814" s="8">
        <f>IF(OR(B814="",C814=""),"",IFERROR(C814*IFERROR(INDEX(Ingredients!$I$5:$I$304,MATCH(B814,Ingredients!$A$5:$A$304,0)),""),""))</f>
        <v>0</v>
      </c>
      <c r="M814" s="8">
        <f>IF(OR(B814="",C814=""),"",IFERROR(C814*IFERROR(INDEX(Ingredients!$J$5:$J$304,MATCH(B814,Ingredients!$A$5:$A$304,0)),""),""))</f>
        <v>0</v>
      </c>
      <c r="N814" s="8">
        <f>IF(OR(B814="",C814=""),"",IFERROR(C814*IFERROR(INDEX(Ingredients!$K$5:$K$304,MATCH(B814,Ingredients!$A$5:$A$304,0)),""),""))</f>
        <v>0</v>
      </c>
      <c r="O814" s="8">
        <f>IF(OR(B814="",C814=""),"",IFERROR(C814*IFERROR(INDEX(Ingredients!$L$5:$L$304,MATCH(B814,Ingredients!$A$5:$A$304,0)),""),""))</f>
        <v>0</v>
      </c>
      <c r="P814" s="8">
        <f>IF(OR(H814="",A814=""),"",IFERROR(H814/SUMIFS('Recipe Ingredients'!$H$5:$H$1204,'Recipe Ingredients'!$A$5:$A$1204,A814),""))</f>
        <v>0</v>
      </c>
      <c r="Q814" s="8">
        <f>IF(H814="","",COUNTIFS($H$5:$H$1204,"&gt;"&amp;H814)+1)</f>
        <v>0</v>
      </c>
      <c r="R814" s="8">
        <f>IF(B814="","",SUMIFS(Pantry!$C$5:$C$304,Pantry!$A$5:$A$304,B814))</f>
        <v>0</v>
      </c>
      <c r="S814" s="8">
        <f>IF(OR(B814="",C814=""),"",MAX(0,C814-R814))</f>
        <v>0</v>
      </c>
      <c r="T814" s="26"/>
      <c r="U814" s="8">
        <f>IF(OR(T814="",T814=0,G814=""),"",T814*G814)</f>
        <v>0</v>
      </c>
      <c r="V814" s="8">
        <f>IF(OR(S814="",T814="",T814=0),"",CEILING(S814/T814,1))</f>
        <v>0</v>
      </c>
      <c r="W814" s="27"/>
      <c r="X814" s="29"/>
      <c r="Y814" s="8">
        <f>IF(OR(C814="",X814=""),"",C814*(1+X814))</f>
        <v>0</v>
      </c>
      <c r="Z814" s="8">
        <f>IF(B814="","",IFERROR(INDEX(Ingredients!$O$5:$O$304,MATCH(B814,Ingredients!$A$5:$A$304,0)),""))</f>
        <v>0</v>
      </c>
      <c r="AA814" s="8">
        <f>IF(B814="","",IF(R814&gt;=C814,"In pantry","To buy"))</f>
        <v>0</v>
      </c>
      <c r="AB814" s="8">
        <f>IF(A814="","",COUNTIFS($A$5:A814,A814))</f>
        <v>0</v>
      </c>
      <c r="AC814" s="8">
        <f>IF(B814="","",IF(COUNTIFS('Dietary Filters'!$C$5:$C$104,B814)&gt;0,"Check","OK"))</f>
        <v>0</v>
      </c>
      <c r="AD814" s="25"/>
    </row>
    <row r="815" spans="1:30">
      <c r="A815" s="7"/>
      <c r="B815" s="7"/>
      <c r="C815" s="26"/>
      <c r="D815" s="27"/>
      <c r="E815" s="8">
        <f>IF(B815="","",IFERROR(INDEX(Ingredients!$B$5:$B$304,MATCH(B815,Ingredients!$A$5:$A$304,0)),""))</f>
        <v>0</v>
      </c>
      <c r="F815" s="8">
        <f>IF(B815="","",IFERROR(INDEX(Ingredients!$E$5:$E$304,MATCH(B815,Ingredients!$A$5:$A$304,0)),""))</f>
        <v>0</v>
      </c>
      <c r="G815" s="8">
        <f>IF(B815="","",IFERROR(INDEX(Ingredients!$D$5:$D$304,MATCH(B815,Ingredients!$A$5:$A$304,0)),""))</f>
        <v>0</v>
      </c>
      <c r="H815" s="8">
        <f>IF(OR(B815="",C815=""),"",IFERROR(C815*G815,""))</f>
        <v>0</v>
      </c>
      <c r="I815" s="8">
        <f>IF(A815="","",IFERROR(INDEX(Recipes!$D$5:$D$204,MATCH(A815,Recipes!$A$5:$A$204,0)),""))</f>
        <v>0</v>
      </c>
      <c r="J815" s="8">
        <f>IF(OR(H815="",I815="",I815=0),"",IFERROR(H815/I815,""))</f>
        <v>0</v>
      </c>
      <c r="K815" s="8">
        <f>IF(OR(B815="",C815=""),"",IFERROR(C815*IFERROR(INDEX(Ingredients!$H$5:$H$304,MATCH(B815,Ingredients!$A$5:$A$304,0)),""),""))</f>
        <v>0</v>
      </c>
      <c r="L815" s="8">
        <f>IF(OR(B815="",C815=""),"",IFERROR(C815*IFERROR(INDEX(Ingredients!$I$5:$I$304,MATCH(B815,Ingredients!$A$5:$A$304,0)),""),""))</f>
        <v>0</v>
      </c>
      <c r="M815" s="8">
        <f>IF(OR(B815="",C815=""),"",IFERROR(C815*IFERROR(INDEX(Ingredients!$J$5:$J$304,MATCH(B815,Ingredients!$A$5:$A$304,0)),""),""))</f>
        <v>0</v>
      </c>
      <c r="N815" s="8">
        <f>IF(OR(B815="",C815=""),"",IFERROR(C815*IFERROR(INDEX(Ingredients!$K$5:$K$304,MATCH(B815,Ingredients!$A$5:$A$304,0)),""),""))</f>
        <v>0</v>
      </c>
      <c r="O815" s="8">
        <f>IF(OR(B815="",C815=""),"",IFERROR(C815*IFERROR(INDEX(Ingredients!$L$5:$L$304,MATCH(B815,Ingredients!$A$5:$A$304,0)),""),""))</f>
        <v>0</v>
      </c>
      <c r="P815" s="8">
        <f>IF(OR(H815="",A815=""),"",IFERROR(H815/SUMIFS('Recipe Ingredients'!$H$5:$H$1204,'Recipe Ingredients'!$A$5:$A$1204,A815),""))</f>
        <v>0</v>
      </c>
      <c r="Q815" s="8">
        <f>IF(H815="","",COUNTIFS($H$5:$H$1204,"&gt;"&amp;H815)+1)</f>
        <v>0</v>
      </c>
      <c r="R815" s="8">
        <f>IF(B815="","",SUMIFS(Pantry!$C$5:$C$304,Pantry!$A$5:$A$304,B815))</f>
        <v>0</v>
      </c>
      <c r="S815" s="8">
        <f>IF(OR(B815="",C815=""),"",MAX(0,C815-R815))</f>
        <v>0</v>
      </c>
      <c r="T815" s="26"/>
      <c r="U815" s="8">
        <f>IF(OR(T815="",T815=0,G815=""),"",T815*G815)</f>
        <v>0</v>
      </c>
      <c r="V815" s="8">
        <f>IF(OR(S815="",T815="",T815=0),"",CEILING(S815/T815,1))</f>
        <v>0</v>
      </c>
      <c r="W815" s="27"/>
      <c r="X815" s="29"/>
      <c r="Y815" s="8">
        <f>IF(OR(C815="",X815=""),"",C815*(1+X815))</f>
        <v>0</v>
      </c>
      <c r="Z815" s="8">
        <f>IF(B815="","",IFERROR(INDEX(Ingredients!$O$5:$O$304,MATCH(B815,Ingredients!$A$5:$A$304,0)),""))</f>
        <v>0</v>
      </c>
      <c r="AA815" s="8">
        <f>IF(B815="","",IF(R815&gt;=C815,"In pantry","To buy"))</f>
        <v>0</v>
      </c>
      <c r="AB815" s="8">
        <f>IF(A815="","",COUNTIFS($A$5:A815,A815))</f>
        <v>0</v>
      </c>
      <c r="AC815" s="8">
        <f>IF(B815="","",IF(COUNTIFS('Dietary Filters'!$C$5:$C$104,B815)&gt;0,"Check","OK"))</f>
        <v>0</v>
      </c>
      <c r="AD815" s="25"/>
    </row>
    <row r="816" spans="1:30">
      <c r="A816" s="7"/>
      <c r="B816" s="7"/>
      <c r="C816" s="26"/>
      <c r="D816" s="27"/>
      <c r="E816" s="8">
        <f>IF(B816="","",IFERROR(INDEX(Ingredients!$B$5:$B$304,MATCH(B816,Ingredients!$A$5:$A$304,0)),""))</f>
        <v>0</v>
      </c>
      <c r="F816" s="8">
        <f>IF(B816="","",IFERROR(INDEX(Ingredients!$E$5:$E$304,MATCH(B816,Ingredients!$A$5:$A$304,0)),""))</f>
        <v>0</v>
      </c>
      <c r="G816" s="8">
        <f>IF(B816="","",IFERROR(INDEX(Ingredients!$D$5:$D$304,MATCH(B816,Ingredients!$A$5:$A$304,0)),""))</f>
        <v>0</v>
      </c>
      <c r="H816" s="8">
        <f>IF(OR(B816="",C816=""),"",IFERROR(C816*G816,""))</f>
        <v>0</v>
      </c>
      <c r="I816" s="8">
        <f>IF(A816="","",IFERROR(INDEX(Recipes!$D$5:$D$204,MATCH(A816,Recipes!$A$5:$A$204,0)),""))</f>
        <v>0</v>
      </c>
      <c r="J816" s="8">
        <f>IF(OR(H816="",I816="",I816=0),"",IFERROR(H816/I816,""))</f>
        <v>0</v>
      </c>
      <c r="K816" s="8">
        <f>IF(OR(B816="",C816=""),"",IFERROR(C816*IFERROR(INDEX(Ingredients!$H$5:$H$304,MATCH(B816,Ingredients!$A$5:$A$304,0)),""),""))</f>
        <v>0</v>
      </c>
      <c r="L816" s="8">
        <f>IF(OR(B816="",C816=""),"",IFERROR(C816*IFERROR(INDEX(Ingredients!$I$5:$I$304,MATCH(B816,Ingredients!$A$5:$A$304,0)),""),""))</f>
        <v>0</v>
      </c>
      <c r="M816" s="8">
        <f>IF(OR(B816="",C816=""),"",IFERROR(C816*IFERROR(INDEX(Ingredients!$J$5:$J$304,MATCH(B816,Ingredients!$A$5:$A$304,0)),""),""))</f>
        <v>0</v>
      </c>
      <c r="N816" s="8">
        <f>IF(OR(B816="",C816=""),"",IFERROR(C816*IFERROR(INDEX(Ingredients!$K$5:$K$304,MATCH(B816,Ingredients!$A$5:$A$304,0)),""),""))</f>
        <v>0</v>
      </c>
      <c r="O816" s="8">
        <f>IF(OR(B816="",C816=""),"",IFERROR(C816*IFERROR(INDEX(Ingredients!$L$5:$L$304,MATCH(B816,Ingredients!$A$5:$A$304,0)),""),""))</f>
        <v>0</v>
      </c>
      <c r="P816" s="8">
        <f>IF(OR(H816="",A816=""),"",IFERROR(H816/SUMIFS('Recipe Ingredients'!$H$5:$H$1204,'Recipe Ingredients'!$A$5:$A$1204,A816),""))</f>
        <v>0</v>
      </c>
      <c r="Q816" s="8">
        <f>IF(H816="","",COUNTIFS($H$5:$H$1204,"&gt;"&amp;H816)+1)</f>
        <v>0</v>
      </c>
      <c r="R816" s="8">
        <f>IF(B816="","",SUMIFS(Pantry!$C$5:$C$304,Pantry!$A$5:$A$304,B816))</f>
        <v>0</v>
      </c>
      <c r="S816" s="8">
        <f>IF(OR(B816="",C816=""),"",MAX(0,C816-R816))</f>
        <v>0</v>
      </c>
      <c r="T816" s="26"/>
      <c r="U816" s="8">
        <f>IF(OR(T816="",T816=0,G816=""),"",T816*G816)</f>
        <v>0</v>
      </c>
      <c r="V816" s="8">
        <f>IF(OR(S816="",T816="",T816=0),"",CEILING(S816/T816,1))</f>
        <v>0</v>
      </c>
      <c r="W816" s="27"/>
      <c r="X816" s="29"/>
      <c r="Y816" s="8">
        <f>IF(OR(C816="",X816=""),"",C816*(1+X816))</f>
        <v>0</v>
      </c>
      <c r="Z816" s="8">
        <f>IF(B816="","",IFERROR(INDEX(Ingredients!$O$5:$O$304,MATCH(B816,Ingredients!$A$5:$A$304,0)),""))</f>
        <v>0</v>
      </c>
      <c r="AA816" s="8">
        <f>IF(B816="","",IF(R816&gt;=C816,"In pantry","To buy"))</f>
        <v>0</v>
      </c>
      <c r="AB816" s="8">
        <f>IF(A816="","",COUNTIFS($A$5:A816,A816))</f>
        <v>0</v>
      </c>
      <c r="AC816" s="8">
        <f>IF(B816="","",IF(COUNTIFS('Dietary Filters'!$C$5:$C$104,B816)&gt;0,"Check","OK"))</f>
        <v>0</v>
      </c>
      <c r="AD816" s="25"/>
    </row>
    <row r="817" spans="1:30">
      <c r="A817" s="7"/>
      <c r="B817" s="7"/>
      <c r="C817" s="26"/>
      <c r="D817" s="27"/>
      <c r="E817" s="8">
        <f>IF(B817="","",IFERROR(INDEX(Ingredients!$B$5:$B$304,MATCH(B817,Ingredients!$A$5:$A$304,0)),""))</f>
        <v>0</v>
      </c>
      <c r="F817" s="8">
        <f>IF(B817="","",IFERROR(INDEX(Ingredients!$E$5:$E$304,MATCH(B817,Ingredients!$A$5:$A$304,0)),""))</f>
        <v>0</v>
      </c>
      <c r="G817" s="8">
        <f>IF(B817="","",IFERROR(INDEX(Ingredients!$D$5:$D$304,MATCH(B817,Ingredients!$A$5:$A$304,0)),""))</f>
        <v>0</v>
      </c>
      <c r="H817" s="8">
        <f>IF(OR(B817="",C817=""),"",IFERROR(C817*G817,""))</f>
        <v>0</v>
      </c>
      <c r="I817" s="8">
        <f>IF(A817="","",IFERROR(INDEX(Recipes!$D$5:$D$204,MATCH(A817,Recipes!$A$5:$A$204,0)),""))</f>
        <v>0</v>
      </c>
      <c r="J817" s="8">
        <f>IF(OR(H817="",I817="",I817=0),"",IFERROR(H817/I817,""))</f>
        <v>0</v>
      </c>
      <c r="K817" s="8">
        <f>IF(OR(B817="",C817=""),"",IFERROR(C817*IFERROR(INDEX(Ingredients!$H$5:$H$304,MATCH(B817,Ingredients!$A$5:$A$304,0)),""),""))</f>
        <v>0</v>
      </c>
      <c r="L817" s="8">
        <f>IF(OR(B817="",C817=""),"",IFERROR(C817*IFERROR(INDEX(Ingredients!$I$5:$I$304,MATCH(B817,Ingredients!$A$5:$A$304,0)),""),""))</f>
        <v>0</v>
      </c>
      <c r="M817" s="8">
        <f>IF(OR(B817="",C817=""),"",IFERROR(C817*IFERROR(INDEX(Ingredients!$J$5:$J$304,MATCH(B817,Ingredients!$A$5:$A$304,0)),""),""))</f>
        <v>0</v>
      </c>
      <c r="N817" s="8">
        <f>IF(OR(B817="",C817=""),"",IFERROR(C817*IFERROR(INDEX(Ingredients!$K$5:$K$304,MATCH(B817,Ingredients!$A$5:$A$304,0)),""),""))</f>
        <v>0</v>
      </c>
      <c r="O817" s="8">
        <f>IF(OR(B817="",C817=""),"",IFERROR(C817*IFERROR(INDEX(Ingredients!$L$5:$L$304,MATCH(B817,Ingredients!$A$5:$A$304,0)),""),""))</f>
        <v>0</v>
      </c>
      <c r="P817" s="8">
        <f>IF(OR(H817="",A817=""),"",IFERROR(H817/SUMIFS('Recipe Ingredients'!$H$5:$H$1204,'Recipe Ingredients'!$A$5:$A$1204,A817),""))</f>
        <v>0</v>
      </c>
      <c r="Q817" s="8">
        <f>IF(H817="","",COUNTIFS($H$5:$H$1204,"&gt;"&amp;H817)+1)</f>
        <v>0</v>
      </c>
      <c r="R817" s="8">
        <f>IF(B817="","",SUMIFS(Pantry!$C$5:$C$304,Pantry!$A$5:$A$304,B817))</f>
        <v>0</v>
      </c>
      <c r="S817" s="8">
        <f>IF(OR(B817="",C817=""),"",MAX(0,C817-R817))</f>
        <v>0</v>
      </c>
      <c r="T817" s="26"/>
      <c r="U817" s="8">
        <f>IF(OR(T817="",T817=0,G817=""),"",T817*G817)</f>
        <v>0</v>
      </c>
      <c r="V817" s="8">
        <f>IF(OR(S817="",T817="",T817=0),"",CEILING(S817/T817,1))</f>
        <v>0</v>
      </c>
      <c r="W817" s="27"/>
      <c r="X817" s="29"/>
      <c r="Y817" s="8">
        <f>IF(OR(C817="",X817=""),"",C817*(1+X817))</f>
        <v>0</v>
      </c>
      <c r="Z817" s="8">
        <f>IF(B817="","",IFERROR(INDEX(Ingredients!$O$5:$O$304,MATCH(B817,Ingredients!$A$5:$A$304,0)),""))</f>
        <v>0</v>
      </c>
      <c r="AA817" s="8">
        <f>IF(B817="","",IF(R817&gt;=C817,"In pantry","To buy"))</f>
        <v>0</v>
      </c>
      <c r="AB817" s="8">
        <f>IF(A817="","",COUNTIFS($A$5:A817,A817))</f>
        <v>0</v>
      </c>
      <c r="AC817" s="8">
        <f>IF(B817="","",IF(COUNTIFS('Dietary Filters'!$C$5:$C$104,B817)&gt;0,"Check","OK"))</f>
        <v>0</v>
      </c>
      <c r="AD817" s="25"/>
    </row>
    <row r="818" spans="1:30">
      <c r="A818" s="7"/>
      <c r="B818" s="7"/>
      <c r="C818" s="26"/>
      <c r="D818" s="27"/>
      <c r="E818" s="8">
        <f>IF(B818="","",IFERROR(INDEX(Ingredients!$B$5:$B$304,MATCH(B818,Ingredients!$A$5:$A$304,0)),""))</f>
        <v>0</v>
      </c>
      <c r="F818" s="8">
        <f>IF(B818="","",IFERROR(INDEX(Ingredients!$E$5:$E$304,MATCH(B818,Ingredients!$A$5:$A$304,0)),""))</f>
        <v>0</v>
      </c>
      <c r="G818" s="8">
        <f>IF(B818="","",IFERROR(INDEX(Ingredients!$D$5:$D$304,MATCH(B818,Ingredients!$A$5:$A$304,0)),""))</f>
        <v>0</v>
      </c>
      <c r="H818" s="8">
        <f>IF(OR(B818="",C818=""),"",IFERROR(C818*G818,""))</f>
        <v>0</v>
      </c>
      <c r="I818" s="8">
        <f>IF(A818="","",IFERROR(INDEX(Recipes!$D$5:$D$204,MATCH(A818,Recipes!$A$5:$A$204,0)),""))</f>
        <v>0</v>
      </c>
      <c r="J818" s="8">
        <f>IF(OR(H818="",I818="",I818=0),"",IFERROR(H818/I818,""))</f>
        <v>0</v>
      </c>
      <c r="K818" s="8">
        <f>IF(OR(B818="",C818=""),"",IFERROR(C818*IFERROR(INDEX(Ingredients!$H$5:$H$304,MATCH(B818,Ingredients!$A$5:$A$304,0)),""),""))</f>
        <v>0</v>
      </c>
      <c r="L818" s="8">
        <f>IF(OR(B818="",C818=""),"",IFERROR(C818*IFERROR(INDEX(Ingredients!$I$5:$I$304,MATCH(B818,Ingredients!$A$5:$A$304,0)),""),""))</f>
        <v>0</v>
      </c>
      <c r="M818" s="8">
        <f>IF(OR(B818="",C818=""),"",IFERROR(C818*IFERROR(INDEX(Ingredients!$J$5:$J$304,MATCH(B818,Ingredients!$A$5:$A$304,0)),""),""))</f>
        <v>0</v>
      </c>
      <c r="N818" s="8">
        <f>IF(OR(B818="",C818=""),"",IFERROR(C818*IFERROR(INDEX(Ingredients!$K$5:$K$304,MATCH(B818,Ingredients!$A$5:$A$304,0)),""),""))</f>
        <v>0</v>
      </c>
      <c r="O818" s="8">
        <f>IF(OR(B818="",C818=""),"",IFERROR(C818*IFERROR(INDEX(Ingredients!$L$5:$L$304,MATCH(B818,Ingredients!$A$5:$A$304,0)),""),""))</f>
        <v>0</v>
      </c>
      <c r="P818" s="8">
        <f>IF(OR(H818="",A818=""),"",IFERROR(H818/SUMIFS('Recipe Ingredients'!$H$5:$H$1204,'Recipe Ingredients'!$A$5:$A$1204,A818),""))</f>
        <v>0</v>
      </c>
      <c r="Q818" s="8">
        <f>IF(H818="","",COUNTIFS($H$5:$H$1204,"&gt;"&amp;H818)+1)</f>
        <v>0</v>
      </c>
      <c r="R818" s="8">
        <f>IF(B818="","",SUMIFS(Pantry!$C$5:$C$304,Pantry!$A$5:$A$304,B818))</f>
        <v>0</v>
      </c>
      <c r="S818" s="8">
        <f>IF(OR(B818="",C818=""),"",MAX(0,C818-R818))</f>
        <v>0</v>
      </c>
      <c r="T818" s="26"/>
      <c r="U818" s="8">
        <f>IF(OR(T818="",T818=0,G818=""),"",T818*G818)</f>
        <v>0</v>
      </c>
      <c r="V818" s="8">
        <f>IF(OR(S818="",T818="",T818=0),"",CEILING(S818/T818,1))</f>
        <v>0</v>
      </c>
      <c r="W818" s="27"/>
      <c r="X818" s="29"/>
      <c r="Y818" s="8">
        <f>IF(OR(C818="",X818=""),"",C818*(1+X818))</f>
        <v>0</v>
      </c>
      <c r="Z818" s="8">
        <f>IF(B818="","",IFERROR(INDEX(Ingredients!$O$5:$O$304,MATCH(B818,Ingredients!$A$5:$A$304,0)),""))</f>
        <v>0</v>
      </c>
      <c r="AA818" s="8">
        <f>IF(B818="","",IF(R818&gt;=C818,"In pantry","To buy"))</f>
        <v>0</v>
      </c>
      <c r="AB818" s="8">
        <f>IF(A818="","",COUNTIFS($A$5:A818,A818))</f>
        <v>0</v>
      </c>
      <c r="AC818" s="8">
        <f>IF(B818="","",IF(COUNTIFS('Dietary Filters'!$C$5:$C$104,B818)&gt;0,"Check","OK"))</f>
        <v>0</v>
      </c>
      <c r="AD818" s="25"/>
    </row>
    <row r="819" spans="1:30">
      <c r="A819" s="7"/>
      <c r="B819" s="7"/>
      <c r="C819" s="26"/>
      <c r="D819" s="27"/>
      <c r="E819" s="8">
        <f>IF(B819="","",IFERROR(INDEX(Ingredients!$B$5:$B$304,MATCH(B819,Ingredients!$A$5:$A$304,0)),""))</f>
        <v>0</v>
      </c>
      <c r="F819" s="8">
        <f>IF(B819="","",IFERROR(INDEX(Ingredients!$E$5:$E$304,MATCH(B819,Ingredients!$A$5:$A$304,0)),""))</f>
        <v>0</v>
      </c>
      <c r="G819" s="8">
        <f>IF(B819="","",IFERROR(INDEX(Ingredients!$D$5:$D$304,MATCH(B819,Ingredients!$A$5:$A$304,0)),""))</f>
        <v>0</v>
      </c>
      <c r="H819" s="8">
        <f>IF(OR(B819="",C819=""),"",IFERROR(C819*G819,""))</f>
        <v>0</v>
      </c>
      <c r="I819" s="8">
        <f>IF(A819="","",IFERROR(INDEX(Recipes!$D$5:$D$204,MATCH(A819,Recipes!$A$5:$A$204,0)),""))</f>
        <v>0</v>
      </c>
      <c r="J819" s="8">
        <f>IF(OR(H819="",I819="",I819=0),"",IFERROR(H819/I819,""))</f>
        <v>0</v>
      </c>
      <c r="K819" s="8">
        <f>IF(OR(B819="",C819=""),"",IFERROR(C819*IFERROR(INDEX(Ingredients!$H$5:$H$304,MATCH(B819,Ingredients!$A$5:$A$304,0)),""),""))</f>
        <v>0</v>
      </c>
      <c r="L819" s="8">
        <f>IF(OR(B819="",C819=""),"",IFERROR(C819*IFERROR(INDEX(Ingredients!$I$5:$I$304,MATCH(B819,Ingredients!$A$5:$A$304,0)),""),""))</f>
        <v>0</v>
      </c>
      <c r="M819" s="8">
        <f>IF(OR(B819="",C819=""),"",IFERROR(C819*IFERROR(INDEX(Ingredients!$J$5:$J$304,MATCH(B819,Ingredients!$A$5:$A$304,0)),""),""))</f>
        <v>0</v>
      </c>
      <c r="N819" s="8">
        <f>IF(OR(B819="",C819=""),"",IFERROR(C819*IFERROR(INDEX(Ingredients!$K$5:$K$304,MATCH(B819,Ingredients!$A$5:$A$304,0)),""),""))</f>
        <v>0</v>
      </c>
      <c r="O819" s="8">
        <f>IF(OR(B819="",C819=""),"",IFERROR(C819*IFERROR(INDEX(Ingredients!$L$5:$L$304,MATCH(B819,Ingredients!$A$5:$A$304,0)),""),""))</f>
        <v>0</v>
      </c>
      <c r="P819" s="8">
        <f>IF(OR(H819="",A819=""),"",IFERROR(H819/SUMIFS('Recipe Ingredients'!$H$5:$H$1204,'Recipe Ingredients'!$A$5:$A$1204,A819),""))</f>
        <v>0</v>
      </c>
      <c r="Q819" s="8">
        <f>IF(H819="","",COUNTIFS($H$5:$H$1204,"&gt;"&amp;H819)+1)</f>
        <v>0</v>
      </c>
      <c r="R819" s="8">
        <f>IF(B819="","",SUMIFS(Pantry!$C$5:$C$304,Pantry!$A$5:$A$304,B819))</f>
        <v>0</v>
      </c>
      <c r="S819" s="8">
        <f>IF(OR(B819="",C819=""),"",MAX(0,C819-R819))</f>
        <v>0</v>
      </c>
      <c r="T819" s="26"/>
      <c r="U819" s="8">
        <f>IF(OR(T819="",T819=0,G819=""),"",T819*G819)</f>
        <v>0</v>
      </c>
      <c r="V819" s="8">
        <f>IF(OR(S819="",T819="",T819=0),"",CEILING(S819/T819,1))</f>
        <v>0</v>
      </c>
      <c r="W819" s="27"/>
      <c r="X819" s="29"/>
      <c r="Y819" s="8">
        <f>IF(OR(C819="",X819=""),"",C819*(1+X819))</f>
        <v>0</v>
      </c>
      <c r="Z819" s="8">
        <f>IF(B819="","",IFERROR(INDEX(Ingredients!$O$5:$O$304,MATCH(B819,Ingredients!$A$5:$A$304,0)),""))</f>
        <v>0</v>
      </c>
      <c r="AA819" s="8">
        <f>IF(B819="","",IF(R819&gt;=C819,"In pantry","To buy"))</f>
        <v>0</v>
      </c>
      <c r="AB819" s="8">
        <f>IF(A819="","",COUNTIFS($A$5:A819,A819))</f>
        <v>0</v>
      </c>
      <c r="AC819" s="8">
        <f>IF(B819="","",IF(COUNTIFS('Dietary Filters'!$C$5:$C$104,B819)&gt;0,"Check","OK"))</f>
        <v>0</v>
      </c>
      <c r="AD819" s="25"/>
    </row>
    <row r="820" spans="1:30">
      <c r="A820" s="7"/>
      <c r="B820" s="7"/>
      <c r="C820" s="26"/>
      <c r="D820" s="27"/>
      <c r="E820" s="8">
        <f>IF(B820="","",IFERROR(INDEX(Ingredients!$B$5:$B$304,MATCH(B820,Ingredients!$A$5:$A$304,0)),""))</f>
        <v>0</v>
      </c>
      <c r="F820" s="8">
        <f>IF(B820="","",IFERROR(INDEX(Ingredients!$E$5:$E$304,MATCH(B820,Ingredients!$A$5:$A$304,0)),""))</f>
        <v>0</v>
      </c>
      <c r="G820" s="8">
        <f>IF(B820="","",IFERROR(INDEX(Ingredients!$D$5:$D$304,MATCH(B820,Ingredients!$A$5:$A$304,0)),""))</f>
        <v>0</v>
      </c>
      <c r="H820" s="8">
        <f>IF(OR(B820="",C820=""),"",IFERROR(C820*G820,""))</f>
        <v>0</v>
      </c>
      <c r="I820" s="8">
        <f>IF(A820="","",IFERROR(INDEX(Recipes!$D$5:$D$204,MATCH(A820,Recipes!$A$5:$A$204,0)),""))</f>
        <v>0</v>
      </c>
      <c r="J820" s="8">
        <f>IF(OR(H820="",I820="",I820=0),"",IFERROR(H820/I820,""))</f>
        <v>0</v>
      </c>
      <c r="K820" s="8">
        <f>IF(OR(B820="",C820=""),"",IFERROR(C820*IFERROR(INDEX(Ingredients!$H$5:$H$304,MATCH(B820,Ingredients!$A$5:$A$304,0)),""),""))</f>
        <v>0</v>
      </c>
      <c r="L820" s="8">
        <f>IF(OR(B820="",C820=""),"",IFERROR(C820*IFERROR(INDEX(Ingredients!$I$5:$I$304,MATCH(B820,Ingredients!$A$5:$A$304,0)),""),""))</f>
        <v>0</v>
      </c>
      <c r="M820" s="8">
        <f>IF(OR(B820="",C820=""),"",IFERROR(C820*IFERROR(INDEX(Ingredients!$J$5:$J$304,MATCH(B820,Ingredients!$A$5:$A$304,0)),""),""))</f>
        <v>0</v>
      </c>
      <c r="N820" s="8">
        <f>IF(OR(B820="",C820=""),"",IFERROR(C820*IFERROR(INDEX(Ingredients!$K$5:$K$304,MATCH(B820,Ingredients!$A$5:$A$304,0)),""),""))</f>
        <v>0</v>
      </c>
      <c r="O820" s="8">
        <f>IF(OR(B820="",C820=""),"",IFERROR(C820*IFERROR(INDEX(Ingredients!$L$5:$L$304,MATCH(B820,Ingredients!$A$5:$A$304,0)),""),""))</f>
        <v>0</v>
      </c>
      <c r="P820" s="8">
        <f>IF(OR(H820="",A820=""),"",IFERROR(H820/SUMIFS('Recipe Ingredients'!$H$5:$H$1204,'Recipe Ingredients'!$A$5:$A$1204,A820),""))</f>
        <v>0</v>
      </c>
      <c r="Q820" s="8">
        <f>IF(H820="","",COUNTIFS($H$5:$H$1204,"&gt;"&amp;H820)+1)</f>
        <v>0</v>
      </c>
      <c r="R820" s="8">
        <f>IF(B820="","",SUMIFS(Pantry!$C$5:$C$304,Pantry!$A$5:$A$304,B820))</f>
        <v>0</v>
      </c>
      <c r="S820" s="8">
        <f>IF(OR(B820="",C820=""),"",MAX(0,C820-R820))</f>
        <v>0</v>
      </c>
      <c r="T820" s="26"/>
      <c r="U820" s="8">
        <f>IF(OR(T820="",T820=0,G820=""),"",T820*G820)</f>
        <v>0</v>
      </c>
      <c r="V820" s="8">
        <f>IF(OR(S820="",T820="",T820=0),"",CEILING(S820/T820,1))</f>
        <v>0</v>
      </c>
      <c r="W820" s="27"/>
      <c r="X820" s="29"/>
      <c r="Y820" s="8">
        <f>IF(OR(C820="",X820=""),"",C820*(1+X820))</f>
        <v>0</v>
      </c>
      <c r="Z820" s="8">
        <f>IF(B820="","",IFERROR(INDEX(Ingredients!$O$5:$O$304,MATCH(B820,Ingredients!$A$5:$A$304,0)),""))</f>
        <v>0</v>
      </c>
      <c r="AA820" s="8">
        <f>IF(B820="","",IF(R820&gt;=C820,"In pantry","To buy"))</f>
        <v>0</v>
      </c>
      <c r="AB820" s="8">
        <f>IF(A820="","",COUNTIFS($A$5:A820,A820))</f>
        <v>0</v>
      </c>
      <c r="AC820" s="8">
        <f>IF(B820="","",IF(COUNTIFS('Dietary Filters'!$C$5:$C$104,B820)&gt;0,"Check","OK"))</f>
        <v>0</v>
      </c>
      <c r="AD820" s="25"/>
    </row>
    <row r="821" spans="1:30">
      <c r="A821" s="7"/>
      <c r="B821" s="7"/>
      <c r="C821" s="26"/>
      <c r="D821" s="27"/>
      <c r="E821" s="8">
        <f>IF(B821="","",IFERROR(INDEX(Ingredients!$B$5:$B$304,MATCH(B821,Ingredients!$A$5:$A$304,0)),""))</f>
        <v>0</v>
      </c>
      <c r="F821" s="8">
        <f>IF(B821="","",IFERROR(INDEX(Ingredients!$E$5:$E$304,MATCH(B821,Ingredients!$A$5:$A$304,0)),""))</f>
        <v>0</v>
      </c>
      <c r="G821" s="8">
        <f>IF(B821="","",IFERROR(INDEX(Ingredients!$D$5:$D$304,MATCH(B821,Ingredients!$A$5:$A$304,0)),""))</f>
        <v>0</v>
      </c>
      <c r="H821" s="8">
        <f>IF(OR(B821="",C821=""),"",IFERROR(C821*G821,""))</f>
        <v>0</v>
      </c>
      <c r="I821" s="8">
        <f>IF(A821="","",IFERROR(INDEX(Recipes!$D$5:$D$204,MATCH(A821,Recipes!$A$5:$A$204,0)),""))</f>
        <v>0</v>
      </c>
      <c r="J821" s="8">
        <f>IF(OR(H821="",I821="",I821=0),"",IFERROR(H821/I821,""))</f>
        <v>0</v>
      </c>
      <c r="K821" s="8">
        <f>IF(OR(B821="",C821=""),"",IFERROR(C821*IFERROR(INDEX(Ingredients!$H$5:$H$304,MATCH(B821,Ingredients!$A$5:$A$304,0)),""),""))</f>
        <v>0</v>
      </c>
      <c r="L821" s="8">
        <f>IF(OR(B821="",C821=""),"",IFERROR(C821*IFERROR(INDEX(Ingredients!$I$5:$I$304,MATCH(B821,Ingredients!$A$5:$A$304,0)),""),""))</f>
        <v>0</v>
      </c>
      <c r="M821" s="8">
        <f>IF(OR(B821="",C821=""),"",IFERROR(C821*IFERROR(INDEX(Ingredients!$J$5:$J$304,MATCH(B821,Ingredients!$A$5:$A$304,0)),""),""))</f>
        <v>0</v>
      </c>
      <c r="N821" s="8">
        <f>IF(OR(B821="",C821=""),"",IFERROR(C821*IFERROR(INDEX(Ingredients!$K$5:$K$304,MATCH(B821,Ingredients!$A$5:$A$304,0)),""),""))</f>
        <v>0</v>
      </c>
      <c r="O821" s="8">
        <f>IF(OR(B821="",C821=""),"",IFERROR(C821*IFERROR(INDEX(Ingredients!$L$5:$L$304,MATCH(B821,Ingredients!$A$5:$A$304,0)),""),""))</f>
        <v>0</v>
      </c>
      <c r="P821" s="8">
        <f>IF(OR(H821="",A821=""),"",IFERROR(H821/SUMIFS('Recipe Ingredients'!$H$5:$H$1204,'Recipe Ingredients'!$A$5:$A$1204,A821),""))</f>
        <v>0</v>
      </c>
      <c r="Q821" s="8">
        <f>IF(H821="","",COUNTIFS($H$5:$H$1204,"&gt;"&amp;H821)+1)</f>
        <v>0</v>
      </c>
      <c r="R821" s="8">
        <f>IF(B821="","",SUMIFS(Pantry!$C$5:$C$304,Pantry!$A$5:$A$304,B821))</f>
        <v>0</v>
      </c>
      <c r="S821" s="8">
        <f>IF(OR(B821="",C821=""),"",MAX(0,C821-R821))</f>
        <v>0</v>
      </c>
      <c r="T821" s="26"/>
      <c r="U821" s="8">
        <f>IF(OR(T821="",T821=0,G821=""),"",T821*G821)</f>
        <v>0</v>
      </c>
      <c r="V821" s="8">
        <f>IF(OR(S821="",T821="",T821=0),"",CEILING(S821/T821,1))</f>
        <v>0</v>
      </c>
      <c r="W821" s="27"/>
      <c r="X821" s="29"/>
      <c r="Y821" s="8">
        <f>IF(OR(C821="",X821=""),"",C821*(1+X821))</f>
        <v>0</v>
      </c>
      <c r="Z821" s="8">
        <f>IF(B821="","",IFERROR(INDEX(Ingredients!$O$5:$O$304,MATCH(B821,Ingredients!$A$5:$A$304,0)),""))</f>
        <v>0</v>
      </c>
      <c r="AA821" s="8">
        <f>IF(B821="","",IF(R821&gt;=C821,"In pantry","To buy"))</f>
        <v>0</v>
      </c>
      <c r="AB821" s="8">
        <f>IF(A821="","",COUNTIFS($A$5:A821,A821))</f>
        <v>0</v>
      </c>
      <c r="AC821" s="8">
        <f>IF(B821="","",IF(COUNTIFS('Dietary Filters'!$C$5:$C$104,B821)&gt;0,"Check","OK"))</f>
        <v>0</v>
      </c>
      <c r="AD821" s="25"/>
    </row>
    <row r="822" spans="1:30">
      <c r="A822" s="7"/>
      <c r="B822" s="7"/>
      <c r="C822" s="26"/>
      <c r="D822" s="27"/>
      <c r="E822" s="8">
        <f>IF(B822="","",IFERROR(INDEX(Ingredients!$B$5:$B$304,MATCH(B822,Ingredients!$A$5:$A$304,0)),""))</f>
        <v>0</v>
      </c>
      <c r="F822" s="8">
        <f>IF(B822="","",IFERROR(INDEX(Ingredients!$E$5:$E$304,MATCH(B822,Ingredients!$A$5:$A$304,0)),""))</f>
        <v>0</v>
      </c>
      <c r="G822" s="8">
        <f>IF(B822="","",IFERROR(INDEX(Ingredients!$D$5:$D$304,MATCH(B822,Ingredients!$A$5:$A$304,0)),""))</f>
        <v>0</v>
      </c>
      <c r="H822" s="8">
        <f>IF(OR(B822="",C822=""),"",IFERROR(C822*G822,""))</f>
        <v>0</v>
      </c>
      <c r="I822" s="8">
        <f>IF(A822="","",IFERROR(INDEX(Recipes!$D$5:$D$204,MATCH(A822,Recipes!$A$5:$A$204,0)),""))</f>
        <v>0</v>
      </c>
      <c r="J822" s="8">
        <f>IF(OR(H822="",I822="",I822=0),"",IFERROR(H822/I822,""))</f>
        <v>0</v>
      </c>
      <c r="K822" s="8">
        <f>IF(OR(B822="",C822=""),"",IFERROR(C822*IFERROR(INDEX(Ingredients!$H$5:$H$304,MATCH(B822,Ingredients!$A$5:$A$304,0)),""),""))</f>
        <v>0</v>
      </c>
      <c r="L822" s="8">
        <f>IF(OR(B822="",C822=""),"",IFERROR(C822*IFERROR(INDEX(Ingredients!$I$5:$I$304,MATCH(B822,Ingredients!$A$5:$A$304,0)),""),""))</f>
        <v>0</v>
      </c>
      <c r="M822" s="8">
        <f>IF(OR(B822="",C822=""),"",IFERROR(C822*IFERROR(INDEX(Ingredients!$J$5:$J$304,MATCH(B822,Ingredients!$A$5:$A$304,0)),""),""))</f>
        <v>0</v>
      </c>
      <c r="N822" s="8">
        <f>IF(OR(B822="",C822=""),"",IFERROR(C822*IFERROR(INDEX(Ingredients!$K$5:$K$304,MATCH(B822,Ingredients!$A$5:$A$304,0)),""),""))</f>
        <v>0</v>
      </c>
      <c r="O822" s="8">
        <f>IF(OR(B822="",C822=""),"",IFERROR(C822*IFERROR(INDEX(Ingredients!$L$5:$L$304,MATCH(B822,Ingredients!$A$5:$A$304,0)),""),""))</f>
        <v>0</v>
      </c>
      <c r="P822" s="8">
        <f>IF(OR(H822="",A822=""),"",IFERROR(H822/SUMIFS('Recipe Ingredients'!$H$5:$H$1204,'Recipe Ingredients'!$A$5:$A$1204,A822),""))</f>
        <v>0</v>
      </c>
      <c r="Q822" s="8">
        <f>IF(H822="","",COUNTIFS($H$5:$H$1204,"&gt;"&amp;H822)+1)</f>
        <v>0</v>
      </c>
      <c r="R822" s="8">
        <f>IF(B822="","",SUMIFS(Pantry!$C$5:$C$304,Pantry!$A$5:$A$304,B822))</f>
        <v>0</v>
      </c>
      <c r="S822" s="8">
        <f>IF(OR(B822="",C822=""),"",MAX(0,C822-R822))</f>
        <v>0</v>
      </c>
      <c r="T822" s="26"/>
      <c r="U822" s="8">
        <f>IF(OR(T822="",T822=0,G822=""),"",T822*G822)</f>
        <v>0</v>
      </c>
      <c r="V822" s="8">
        <f>IF(OR(S822="",T822="",T822=0),"",CEILING(S822/T822,1))</f>
        <v>0</v>
      </c>
      <c r="W822" s="27"/>
      <c r="X822" s="29"/>
      <c r="Y822" s="8">
        <f>IF(OR(C822="",X822=""),"",C822*(1+X822))</f>
        <v>0</v>
      </c>
      <c r="Z822" s="8">
        <f>IF(B822="","",IFERROR(INDEX(Ingredients!$O$5:$O$304,MATCH(B822,Ingredients!$A$5:$A$304,0)),""))</f>
        <v>0</v>
      </c>
      <c r="AA822" s="8">
        <f>IF(B822="","",IF(R822&gt;=C822,"In pantry","To buy"))</f>
        <v>0</v>
      </c>
      <c r="AB822" s="8">
        <f>IF(A822="","",COUNTIFS($A$5:A822,A822))</f>
        <v>0</v>
      </c>
      <c r="AC822" s="8">
        <f>IF(B822="","",IF(COUNTIFS('Dietary Filters'!$C$5:$C$104,B822)&gt;0,"Check","OK"))</f>
        <v>0</v>
      </c>
      <c r="AD822" s="25"/>
    </row>
    <row r="823" spans="1:30">
      <c r="A823" s="7"/>
      <c r="B823" s="7"/>
      <c r="C823" s="26"/>
      <c r="D823" s="27"/>
      <c r="E823" s="8">
        <f>IF(B823="","",IFERROR(INDEX(Ingredients!$B$5:$B$304,MATCH(B823,Ingredients!$A$5:$A$304,0)),""))</f>
        <v>0</v>
      </c>
      <c r="F823" s="8">
        <f>IF(B823="","",IFERROR(INDEX(Ingredients!$E$5:$E$304,MATCH(B823,Ingredients!$A$5:$A$304,0)),""))</f>
        <v>0</v>
      </c>
      <c r="G823" s="8">
        <f>IF(B823="","",IFERROR(INDEX(Ingredients!$D$5:$D$304,MATCH(B823,Ingredients!$A$5:$A$304,0)),""))</f>
        <v>0</v>
      </c>
      <c r="H823" s="8">
        <f>IF(OR(B823="",C823=""),"",IFERROR(C823*G823,""))</f>
        <v>0</v>
      </c>
      <c r="I823" s="8">
        <f>IF(A823="","",IFERROR(INDEX(Recipes!$D$5:$D$204,MATCH(A823,Recipes!$A$5:$A$204,0)),""))</f>
        <v>0</v>
      </c>
      <c r="J823" s="8">
        <f>IF(OR(H823="",I823="",I823=0),"",IFERROR(H823/I823,""))</f>
        <v>0</v>
      </c>
      <c r="K823" s="8">
        <f>IF(OR(B823="",C823=""),"",IFERROR(C823*IFERROR(INDEX(Ingredients!$H$5:$H$304,MATCH(B823,Ingredients!$A$5:$A$304,0)),""),""))</f>
        <v>0</v>
      </c>
      <c r="L823" s="8">
        <f>IF(OR(B823="",C823=""),"",IFERROR(C823*IFERROR(INDEX(Ingredients!$I$5:$I$304,MATCH(B823,Ingredients!$A$5:$A$304,0)),""),""))</f>
        <v>0</v>
      </c>
      <c r="M823" s="8">
        <f>IF(OR(B823="",C823=""),"",IFERROR(C823*IFERROR(INDEX(Ingredients!$J$5:$J$304,MATCH(B823,Ingredients!$A$5:$A$304,0)),""),""))</f>
        <v>0</v>
      </c>
      <c r="N823" s="8">
        <f>IF(OR(B823="",C823=""),"",IFERROR(C823*IFERROR(INDEX(Ingredients!$K$5:$K$304,MATCH(B823,Ingredients!$A$5:$A$304,0)),""),""))</f>
        <v>0</v>
      </c>
      <c r="O823" s="8">
        <f>IF(OR(B823="",C823=""),"",IFERROR(C823*IFERROR(INDEX(Ingredients!$L$5:$L$304,MATCH(B823,Ingredients!$A$5:$A$304,0)),""),""))</f>
        <v>0</v>
      </c>
      <c r="P823" s="8">
        <f>IF(OR(H823="",A823=""),"",IFERROR(H823/SUMIFS('Recipe Ingredients'!$H$5:$H$1204,'Recipe Ingredients'!$A$5:$A$1204,A823),""))</f>
        <v>0</v>
      </c>
      <c r="Q823" s="8">
        <f>IF(H823="","",COUNTIFS($H$5:$H$1204,"&gt;"&amp;H823)+1)</f>
        <v>0</v>
      </c>
      <c r="R823" s="8">
        <f>IF(B823="","",SUMIFS(Pantry!$C$5:$C$304,Pantry!$A$5:$A$304,B823))</f>
        <v>0</v>
      </c>
      <c r="S823" s="8">
        <f>IF(OR(B823="",C823=""),"",MAX(0,C823-R823))</f>
        <v>0</v>
      </c>
      <c r="T823" s="26"/>
      <c r="U823" s="8">
        <f>IF(OR(T823="",T823=0,G823=""),"",T823*G823)</f>
        <v>0</v>
      </c>
      <c r="V823" s="8">
        <f>IF(OR(S823="",T823="",T823=0),"",CEILING(S823/T823,1))</f>
        <v>0</v>
      </c>
      <c r="W823" s="27"/>
      <c r="X823" s="29"/>
      <c r="Y823" s="8">
        <f>IF(OR(C823="",X823=""),"",C823*(1+X823))</f>
        <v>0</v>
      </c>
      <c r="Z823" s="8">
        <f>IF(B823="","",IFERROR(INDEX(Ingredients!$O$5:$O$304,MATCH(B823,Ingredients!$A$5:$A$304,0)),""))</f>
        <v>0</v>
      </c>
      <c r="AA823" s="8">
        <f>IF(B823="","",IF(R823&gt;=C823,"In pantry","To buy"))</f>
        <v>0</v>
      </c>
      <c r="AB823" s="8">
        <f>IF(A823="","",COUNTIFS($A$5:A823,A823))</f>
        <v>0</v>
      </c>
      <c r="AC823" s="8">
        <f>IF(B823="","",IF(COUNTIFS('Dietary Filters'!$C$5:$C$104,B823)&gt;0,"Check","OK"))</f>
        <v>0</v>
      </c>
      <c r="AD823" s="25"/>
    </row>
    <row r="824" spans="1:30">
      <c r="A824" s="7"/>
      <c r="B824" s="7"/>
      <c r="C824" s="26"/>
      <c r="D824" s="27"/>
      <c r="E824" s="8">
        <f>IF(B824="","",IFERROR(INDEX(Ingredients!$B$5:$B$304,MATCH(B824,Ingredients!$A$5:$A$304,0)),""))</f>
        <v>0</v>
      </c>
      <c r="F824" s="8">
        <f>IF(B824="","",IFERROR(INDEX(Ingredients!$E$5:$E$304,MATCH(B824,Ingredients!$A$5:$A$304,0)),""))</f>
        <v>0</v>
      </c>
      <c r="G824" s="8">
        <f>IF(B824="","",IFERROR(INDEX(Ingredients!$D$5:$D$304,MATCH(B824,Ingredients!$A$5:$A$304,0)),""))</f>
        <v>0</v>
      </c>
      <c r="H824" s="8">
        <f>IF(OR(B824="",C824=""),"",IFERROR(C824*G824,""))</f>
        <v>0</v>
      </c>
      <c r="I824" s="8">
        <f>IF(A824="","",IFERROR(INDEX(Recipes!$D$5:$D$204,MATCH(A824,Recipes!$A$5:$A$204,0)),""))</f>
        <v>0</v>
      </c>
      <c r="J824" s="8">
        <f>IF(OR(H824="",I824="",I824=0),"",IFERROR(H824/I824,""))</f>
        <v>0</v>
      </c>
      <c r="K824" s="8">
        <f>IF(OR(B824="",C824=""),"",IFERROR(C824*IFERROR(INDEX(Ingredients!$H$5:$H$304,MATCH(B824,Ingredients!$A$5:$A$304,0)),""),""))</f>
        <v>0</v>
      </c>
      <c r="L824" s="8">
        <f>IF(OR(B824="",C824=""),"",IFERROR(C824*IFERROR(INDEX(Ingredients!$I$5:$I$304,MATCH(B824,Ingredients!$A$5:$A$304,0)),""),""))</f>
        <v>0</v>
      </c>
      <c r="M824" s="8">
        <f>IF(OR(B824="",C824=""),"",IFERROR(C824*IFERROR(INDEX(Ingredients!$J$5:$J$304,MATCH(B824,Ingredients!$A$5:$A$304,0)),""),""))</f>
        <v>0</v>
      </c>
      <c r="N824" s="8">
        <f>IF(OR(B824="",C824=""),"",IFERROR(C824*IFERROR(INDEX(Ingredients!$K$5:$K$304,MATCH(B824,Ingredients!$A$5:$A$304,0)),""),""))</f>
        <v>0</v>
      </c>
      <c r="O824" s="8">
        <f>IF(OR(B824="",C824=""),"",IFERROR(C824*IFERROR(INDEX(Ingredients!$L$5:$L$304,MATCH(B824,Ingredients!$A$5:$A$304,0)),""),""))</f>
        <v>0</v>
      </c>
      <c r="P824" s="8">
        <f>IF(OR(H824="",A824=""),"",IFERROR(H824/SUMIFS('Recipe Ingredients'!$H$5:$H$1204,'Recipe Ingredients'!$A$5:$A$1204,A824),""))</f>
        <v>0</v>
      </c>
      <c r="Q824" s="8">
        <f>IF(H824="","",COUNTIFS($H$5:$H$1204,"&gt;"&amp;H824)+1)</f>
        <v>0</v>
      </c>
      <c r="R824" s="8">
        <f>IF(B824="","",SUMIFS(Pantry!$C$5:$C$304,Pantry!$A$5:$A$304,B824))</f>
        <v>0</v>
      </c>
      <c r="S824" s="8">
        <f>IF(OR(B824="",C824=""),"",MAX(0,C824-R824))</f>
        <v>0</v>
      </c>
      <c r="T824" s="26"/>
      <c r="U824" s="8">
        <f>IF(OR(T824="",T824=0,G824=""),"",T824*G824)</f>
        <v>0</v>
      </c>
      <c r="V824" s="8">
        <f>IF(OR(S824="",T824="",T824=0),"",CEILING(S824/T824,1))</f>
        <v>0</v>
      </c>
      <c r="W824" s="27"/>
      <c r="X824" s="29"/>
      <c r="Y824" s="8">
        <f>IF(OR(C824="",X824=""),"",C824*(1+X824))</f>
        <v>0</v>
      </c>
      <c r="Z824" s="8">
        <f>IF(B824="","",IFERROR(INDEX(Ingredients!$O$5:$O$304,MATCH(B824,Ingredients!$A$5:$A$304,0)),""))</f>
        <v>0</v>
      </c>
      <c r="AA824" s="8">
        <f>IF(B824="","",IF(R824&gt;=C824,"In pantry","To buy"))</f>
        <v>0</v>
      </c>
      <c r="AB824" s="8">
        <f>IF(A824="","",COUNTIFS($A$5:A824,A824))</f>
        <v>0</v>
      </c>
      <c r="AC824" s="8">
        <f>IF(B824="","",IF(COUNTIFS('Dietary Filters'!$C$5:$C$104,B824)&gt;0,"Check","OK"))</f>
        <v>0</v>
      </c>
      <c r="AD824" s="25"/>
    </row>
    <row r="825" spans="1:30">
      <c r="A825" s="7"/>
      <c r="B825" s="7"/>
      <c r="C825" s="26"/>
      <c r="D825" s="27"/>
      <c r="E825" s="8">
        <f>IF(B825="","",IFERROR(INDEX(Ingredients!$B$5:$B$304,MATCH(B825,Ingredients!$A$5:$A$304,0)),""))</f>
        <v>0</v>
      </c>
      <c r="F825" s="8">
        <f>IF(B825="","",IFERROR(INDEX(Ingredients!$E$5:$E$304,MATCH(B825,Ingredients!$A$5:$A$304,0)),""))</f>
        <v>0</v>
      </c>
      <c r="G825" s="8">
        <f>IF(B825="","",IFERROR(INDEX(Ingredients!$D$5:$D$304,MATCH(B825,Ingredients!$A$5:$A$304,0)),""))</f>
        <v>0</v>
      </c>
      <c r="H825" s="8">
        <f>IF(OR(B825="",C825=""),"",IFERROR(C825*G825,""))</f>
        <v>0</v>
      </c>
      <c r="I825" s="8">
        <f>IF(A825="","",IFERROR(INDEX(Recipes!$D$5:$D$204,MATCH(A825,Recipes!$A$5:$A$204,0)),""))</f>
        <v>0</v>
      </c>
      <c r="J825" s="8">
        <f>IF(OR(H825="",I825="",I825=0),"",IFERROR(H825/I825,""))</f>
        <v>0</v>
      </c>
      <c r="K825" s="8">
        <f>IF(OR(B825="",C825=""),"",IFERROR(C825*IFERROR(INDEX(Ingredients!$H$5:$H$304,MATCH(B825,Ingredients!$A$5:$A$304,0)),""),""))</f>
        <v>0</v>
      </c>
      <c r="L825" s="8">
        <f>IF(OR(B825="",C825=""),"",IFERROR(C825*IFERROR(INDEX(Ingredients!$I$5:$I$304,MATCH(B825,Ingredients!$A$5:$A$304,0)),""),""))</f>
        <v>0</v>
      </c>
      <c r="M825" s="8">
        <f>IF(OR(B825="",C825=""),"",IFERROR(C825*IFERROR(INDEX(Ingredients!$J$5:$J$304,MATCH(B825,Ingredients!$A$5:$A$304,0)),""),""))</f>
        <v>0</v>
      </c>
      <c r="N825" s="8">
        <f>IF(OR(B825="",C825=""),"",IFERROR(C825*IFERROR(INDEX(Ingredients!$K$5:$K$304,MATCH(B825,Ingredients!$A$5:$A$304,0)),""),""))</f>
        <v>0</v>
      </c>
      <c r="O825" s="8">
        <f>IF(OR(B825="",C825=""),"",IFERROR(C825*IFERROR(INDEX(Ingredients!$L$5:$L$304,MATCH(B825,Ingredients!$A$5:$A$304,0)),""),""))</f>
        <v>0</v>
      </c>
      <c r="P825" s="8">
        <f>IF(OR(H825="",A825=""),"",IFERROR(H825/SUMIFS('Recipe Ingredients'!$H$5:$H$1204,'Recipe Ingredients'!$A$5:$A$1204,A825),""))</f>
        <v>0</v>
      </c>
      <c r="Q825" s="8">
        <f>IF(H825="","",COUNTIFS($H$5:$H$1204,"&gt;"&amp;H825)+1)</f>
        <v>0</v>
      </c>
      <c r="R825" s="8">
        <f>IF(B825="","",SUMIFS(Pantry!$C$5:$C$304,Pantry!$A$5:$A$304,B825))</f>
        <v>0</v>
      </c>
      <c r="S825" s="8">
        <f>IF(OR(B825="",C825=""),"",MAX(0,C825-R825))</f>
        <v>0</v>
      </c>
      <c r="T825" s="26"/>
      <c r="U825" s="8">
        <f>IF(OR(T825="",T825=0,G825=""),"",T825*G825)</f>
        <v>0</v>
      </c>
      <c r="V825" s="8">
        <f>IF(OR(S825="",T825="",T825=0),"",CEILING(S825/T825,1))</f>
        <v>0</v>
      </c>
      <c r="W825" s="27"/>
      <c r="X825" s="29"/>
      <c r="Y825" s="8">
        <f>IF(OR(C825="",X825=""),"",C825*(1+X825))</f>
        <v>0</v>
      </c>
      <c r="Z825" s="8">
        <f>IF(B825="","",IFERROR(INDEX(Ingredients!$O$5:$O$304,MATCH(B825,Ingredients!$A$5:$A$304,0)),""))</f>
        <v>0</v>
      </c>
      <c r="AA825" s="8">
        <f>IF(B825="","",IF(R825&gt;=C825,"In pantry","To buy"))</f>
        <v>0</v>
      </c>
      <c r="AB825" s="8">
        <f>IF(A825="","",COUNTIFS($A$5:A825,A825))</f>
        <v>0</v>
      </c>
      <c r="AC825" s="8">
        <f>IF(B825="","",IF(COUNTIFS('Dietary Filters'!$C$5:$C$104,B825)&gt;0,"Check","OK"))</f>
        <v>0</v>
      </c>
      <c r="AD825" s="25"/>
    </row>
    <row r="826" spans="1:30">
      <c r="A826" s="7"/>
      <c r="B826" s="7"/>
      <c r="C826" s="26"/>
      <c r="D826" s="27"/>
      <c r="E826" s="8">
        <f>IF(B826="","",IFERROR(INDEX(Ingredients!$B$5:$B$304,MATCH(B826,Ingredients!$A$5:$A$304,0)),""))</f>
        <v>0</v>
      </c>
      <c r="F826" s="8">
        <f>IF(B826="","",IFERROR(INDEX(Ingredients!$E$5:$E$304,MATCH(B826,Ingredients!$A$5:$A$304,0)),""))</f>
        <v>0</v>
      </c>
      <c r="G826" s="8">
        <f>IF(B826="","",IFERROR(INDEX(Ingredients!$D$5:$D$304,MATCH(B826,Ingredients!$A$5:$A$304,0)),""))</f>
        <v>0</v>
      </c>
      <c r="H826" s="8">
        <f>IF(OR(B826="",C826=""),"",IFERROR(C826*G826,""))</f>
        <v>0</v>
      </c>
      <c r="I826" s="8">
        <f>IF(A826="","",IFERROR(INDEX(Recipes!$D$5:$D$204,MATCH(A826,Recipes!$A$5:$A$204,0)),""))</f>
        <v>0</v>
      </c>
      <c r="J826" s="8">
        <f>IF(OR(H826="",I826="",I826=0),"",IFERROR(H826/I826,""))</f>
        <v>0</v>
      </c>
      <c r="K826" s="8">
        <f>IF(OR(B826="",C826=""),"",IFERROR(C826*IFERROR(INDEX(Ingredients!$H$5:$H$304,MATCH(B826,Ingredients!$A$5:$A$304,0)),""),""))</f>
        <v>0</v>
      </c>
      <c r="L826" s="8">
        <f>IF(OR(B826="",C826=""),"",IFERROR(C826*IFERROR(INDEX(Ingredients!$I$5:$I$304,MATCH(B826,Ingredients!$A$5:$A$304,0)),""),""))</f>
        <v>0</v>
      </c>
      <c r="M826" s="8">
        <f>IF(OR(B826="",C826=""),"",IFERROR(C826*IFERROR(INDEX(Ingredients!$J$5:$J$304,MATCH(B826,Ingredients!$A$5:$A$304,0)),""),""))</f>
        <v>0</v>
      </c>
      <c r="N826" s="8">
        <f>IF(OR(B826="",C826=""),"",IFERROR(C826*IFERROR(INDEX(Ingredients!$K$5:$K$304,MATCH(B826,Ingredients!$A$5:$A$304,0)),""),""))</f>
        <v>0</v>
      </c>
      <c r="O826" s="8">
        <f>IF(OR(B826="",C826=""),"",IFERROR(C826*IFERROR(INDEX(Ingredients!$L$5:$L$304,MATCH(B826,Ingredients!$A$5:$A$304,0)),""),""))</f>
        <v>0</v>
      </c>
      <c r="P826" s="8">
        <f>IF(OR(H826="",A826=""),"",IFERROR(H826/SUMIFS('Recipe Ingredients'!$H$5:$H$1204,'Recipe Ingredients'!$A$5:$A$1204,A826),""))</f>
        <v>0</v>
      </c>
      <c r="Q826" s="8">
        <f>IF(H826="","",COUNTIFS($H$5:$H$1204,"&gt;"&amp;H826)+1)</f>
        <v>0</v>
      </c>
      <c r="R826" s="8">
        <f>IF(B826="","",SUMIFS(Pantry!$C$5:$C$304,Pantry!$A$5:$A$304,B826))</f>
        <v>0</v>
      </c>
      <c r="S826" s="8">
        <f>IF(OR(B826="",C826=""),"",MAX(0,C826-R826))</f>
        <v>0</v>
      </c>
      <c r="T826" s="26"/>
      <c r="U826" s="8">
        <f>IF(OR(T826="",T826=0,G826=""),"",T826*G826)</f>
        <v>0</v>
      </c>
      <c r="V826" s="8">
        <f>IF(OR(S826="",T826="",T826=0),"",CEILING(S826/T826,1))</f>
        <v>0</v>
      </c>
      <c r="W826" s="27"/>
      <c r="X826" s="29"/>
      <c r="Y826" s="8">
        <f>IF(OR(C826="",X826=""),"",C826*(1+X826))</f>
        <v>0</v>
      </c>
      <c r="Z826" s="8">
        <f>IF(B826="","",IFERROR(INDEX(Ingredients!$O$5:$O$304,MATCH(B826,Ingredients!$A$5:$A$304,0)),""))</f>
        <v>0</v>
      </c>
      <c r="AA826" s="8">
        <f>IF(B826="","",IF(R826&gt;=C826,"In pantry","To buy"))</f>
        <v>0</v>
      </c>
      <c r="AB826" s="8">
        <f>IF(A826="","",COUNTIFS($A$5:A826,A826))</f>
        <v>0</v>
      </c>
      <c r="AC826" s="8">
        <f>IF(B826="","",IF(COUNTIFS('Dietary Filters'!$C$5:$C$104,B826)&gt;0,"Check","OK"))</f>
        <v>0</v>
      </c>
      <c r="AD826" s="25"/>
    </row>
    <row r="827" spans="1:30">
      <c r="A827" s="7"/>
      <c r="B827" s="7"/>
      <c r="C827" s="26"/>
      <c r="D827" s="27"/>
      <c r="E827" s="8">
        <f>IF(B827="","",IFERROR(INDEX(Ingredients!$B$5:$B$304,MATCH(B827,Ingredients!$A$5:$A$304,0)),""))</f>
        <v>0</v>
      </c>
      <c r="F827" s="8">
        <f>IF(B827="","",IFERROR(INDEX(Ingredients!$E$5:$E$304,MATCH(B827,Ingredients!$A$5:$A$304,0)),""))</f>
        <v>0</v>
      </c>
      <c r="G827" s="8">
        <f>IF(B827="","",IFERROR(INDEX(Ingredients!$D$5:$D$304,MATCH(B827,Ingredients!$A$5:$A$304,0)),""))</f>
        <v>0</v>
      </c>
      <c r="H827" s="8">
        <f>IF(OR(B827="",C827=""),"",IFERROR(C827*G827,""))</f>
        <v>0</v>
      </c>
      <c r="I827" s="8">
        <f>IF(A827="","",IFERROR(INDEX(Recipes!$D$5:$D$204,MATCH(A827,Recipes!$A$5:$A$204,0)),""))</f>
        <v>0</v>
      </c>
      <c r="J827" s="8">
        <f>IF(OR(H827="",I827="",I827=0),"",IFERROR(H827/I827,""))</f>
        <v>0</v>
      </c>
      <c r="K827" s="8">
        <f>IF(OR(B827="",C827=""),"",IFERROR(C827*IFERROR(INDEX(Ingredients!$H$5:$H$304,MATCH(B827,Ingredients!$A$5:$A$304,0)),""),""))</f>
        <v>0</v>
      </c>
      <c r="L827" s="8">
        <f>IF(OR(B827="",C827=""),"",IFERROR(C827*IFERROR(INDEX(Ingredients!$I$5:$I$304,MATCH(B827,Ingredients!$A$5:$A$304,0)),""),""))</f>
        <v>0</v>
      </c>
      <c r="M827" s="8">
        <f>IF(OR(B827="",C827=""),"",IFERROR(C827*IFERROR(INDEX(Ingredients!$J$5:$J$304,MATCH(B827,Ingredients!$A$5:$A$304,0)),""),""))</f>
        <v>0</v>
      </c>
      <c r="N827" s="8">
        <f>IF(OR(B827="",C827=""),"",IFERROR(C827*IFERROR(INDEX(Ingredients!$K$5:$K$304,MATCH(B827,Ingredients!$A$5:$A$304,0)),""),""))</f>
        <v>0</v>
      </c>
      <c r="O827" s="8">
        <f>IF(OR(B827="",C827=""),"",IFERROR(C827*IFERROR(INDEX(Ingredients!$L$5:$L$304,MATCH(B827,Ingredients!$A$5:$A$304,0)),""),""))</f>
        <v>0</v>
      </c>
      <c r="P827" s="8">
        <f>IF(OR(H827="",A827=""),"",IFERROR(H827/SUMIFS('Recipe Ingredients'!$H$5:$H$1204,'Recipe Ingredients'!$A$5:$A$1204,A827),""))</f>
        <v>0</v>
      </c>
      <c r="Q827" s="8">
        <f>IF(H827="","",COUNTIFS($H$5:$H$1204,"&gt;"&amp;H827)+1)</f>
        <v>0</v>
      </c>
      <c r="R827" s="8">
        <f>IF(B827="","",SUMIFS(Pantry!$C$5:$C$304,Pantry!$A$5:$A$304,B827))</f>
        <v>0</v>
      </c>
      <c r="S827" s="8">
        <f>IF(OR(B827="",C827=""),"",MAX(0,C827-R827))</f>
        <v>0</v>
      </c>
      <c r="T827" s="26"/>
      <c r="U827" s="8">
        <f>IF(OR(T827="",T827=0,G827=""),"",T827*G827)</f>
        <v>0</v>
      </c>
      <c r="V827" s="8">
        <f>IF(OR(S827="",T827="",T827=0),"",CEILING(S827/T827,1))</f>
        <v>0</v>
      </c>
      <c r="W827" s="27"/>
      <c r="X827" s="29"/>
      <c r="Y827" s="8">
        <f>IF(OR(C827="",X827=""),"",C827*(1+X827))</f>
        <v>0</v>
      </c>
      <c r="Z827" s="8">
        <f>IF(B827="","",IFERROR(INDEX(Ingredients!$O$5:$O$304,MATCH(B827,Ingredients!$A$5:$A$304,0)),""))</f>
        <v>0</v>
      </c>
      <c r="AA827" s="8">
        <f>IF(B827="","",IF(R827&gt;=C827,"In pantry","To buy"))</f>
        <v>0</v>
      </c>
      <c r="AB827" s="8">
        <f>IF(A827="","",COUNTIFS($A$5:A827,A827))</f>
        <v>0</v>
      </c>
      <c r="AC827" s="8">
        <f>IF(B827="","",IF(COUNTIFS('Dietary Filters'!$C$5:$C$104,B827)&gt;0,"Check","OK"))</f>
        <v>0</v>
      </c>
      <c r="AD827" s="25"/>
    </row>
    <row r="828" spans="1:30">
      <c r="A828" s="7"/>
      <c r="B828" s="7"/>
      <c r="C828" s="26"/>
      <c r="D828" s="27"/>
      <c r="E828" s="8">
        <f>IF(B828="","",IFERROR(INDEX(Ingredients!$B$5:$B$304,MATCH(B828,Ingredients!$A$5:$A$304,0)),""))</f>
        <v>0</v>
      </c>
      <c r="F828" s="8">
        <f>IF(B828="","",IFERROR(INDEX(Ingredients!$E$5:$E$304,MATCH(B828,Ingredients!$A$5:$A$304,0)),""))</f>
        <v>0</v>
      </c>
      <c r="G828" s="8">
        <f>IF(B828="","",IFERROR(INDEX(Ingredients!$D$5:$D$304,MATCH(B828,Ingredients!$A$5:$A$304,0)),""))</f>
        <v>0</v>
      </c>
      <c r="H828" s="8">
        <f>IF(OR(B828="",C828=""),"",IFERROR(C828*G828,""))</f>
        <v>0</v>
      </c>
      <c r="I828" s="8">
        <f>IF(A828="","",IFERROR(INDEX(Recipes!$D$5:$D$204,MATCH(A828,Recipes!$A$5:$A$204,0)),""))</f>
        <v>0</v>
      </c>
      <c r="J828" s="8">
        <f>IF(OR(H828="",I828="",I828=0),"",IFERROR(H828/I828,""))</f>
        <v>0</v>
      </c>
      <c r="K828" s="8">
        <f>IF(OR(B828="",C828=""),"",IFERROR(C828*IFERROR(INDEX(Ingredients!$H$5:$H$304,MATCH(B828,Ingredients!$A$5:$A$304,0)),""),""))</f>
        <v>0</v>
      </c>
      <c r="L828" s="8">
        <f>IF(OR(B828="",C828=""),"",IFERROR(C828*IFERROR(INDEX(Ingredients!$I$5:$I$304,MATCH(B828,Ingredients!$A$5:$A$304,0)),""),""))</f>
        <v>0</v>
      </c>
      <c r="M828" s="8">
        <f>IF(OR(B828="",C828=""),"",IFERROR(C828*IFERROR(INDEX(Ingredients!$J$5:$J$304,MATCH(B828,Ingredients!$A$5:$A$304,0)),""),""))</f>
        <v>0</v>
      </c>
      <c r="N828" s="8">
        <f>IF(OR(B828="",C828=""),"",IFERROR(C828*IFERROR(INDEX(Ingredients!$K$5:$K$304,MATCH(B828,Ingredients!$A$5:$A$304,0)),""),""))</f>
        <v>0</v>
      </c>
      <c r="O828" s="8">
        <f>IF(OR(B828="",C828=""),"",IFERROR(C828*IFERROR(INDEX(Ingredients!$L$5:$L$304,MATCH(B828,Ingredients!$A$5:$A$304,0)),""),""))</f>
        <v>0</v>
      </c>
      <c r="P828" s="8">
        <f>IF(OR(H828="",A828=""),"",IFERROR(H828/SUMIFS('Recipe Ingredients'!$H$5:$H$1204,'Recipe Ingredients'!$A$5:$A$1204,A828),""))</f>
        <v>0</v>
      </c>
      <c r="Q828" s="8">
        <f>IF(H828="","",COUNTIFS($H$5:$H$1204,"&gt;"&amp;H828)+1)</f>
        <v>0</v>
      </c>
      <c r="R828" s="8">
        <f>IF(B828="","",SUMIFS(Pantry!$C$5:$C$304,Pantry!$A$5:$A$304,B828))</f>
        <v>0</v>
      </c>
      <c r="S828" s="8">
        <f>IF(OR(B828="",C828=""),"",MAX(0,C828-R828))</f>
        <v>0</v>
      </c>
      <c r="T828" s="26"/>
      <c r="U828" s="8">
        <f>IF(OR(T828="",T828=0,G828=""),"",T828*G828)</f>
        <v>0</v>
      </c>
      <c r="V828" s="8">
        <f>IF(OR(S828="",T828="",T828=0),"",CEILING(S828/T828,1))</f>
        <v>0</v>
      </c>
      <c r="W828" s="27"/>
      <c r="X828" s="29"/>
      <c r="Y828" s="8">
        <f>IF(OR(C828="",X828=""),"",C828*(1+X828))</f>
        <v>0</v>
      </c>
      <c r="Z828" s="8">
        <f>IF(B828="","",IFERROR(INDEX(Ingredients!$O$5:$O$304,MATCH(B828,Ingredients!$A$5:$A$304,0)),""))</f>
        <v>0</v>
      </c>
      <c r="AA828" s="8">
        <f>IF(B828="","",IF(R828&gt;=C828,"In pantry","To buy"))</f>
        <v>0</v>
      </c>
      <c r="AB828" s="8">
        <f>IF(A828="","",COUNTIFS($A$5:A828,A828))</f>
        <v>0</v>
      </c>
      <c r="AC828" s="8">
        <f>IF(B828="","",IF(COUNTIFS('Dietary Filters'!$C$5:$C$104,B828)&gt;0,"Check","OK"))</f>
        <v>0</v>
      </c>
      <c r="AD828" s="25"/>
    </row>
    <row r="829" spans="1:30">
      <c r="A829" s="7"/>
      <c r="B829" s="7"/>
      <c r="C829" s="26"/>
      <c r="D829" s="27"/>
      <c r="E829" s="8">
        <f>IF(B829="","",IFERROR(INDEX(Ingredients!$B$5:$B$304,MATCH(B829,Ingredients!$A$5:$A$304,0)),""))</f>
        <v>0</v>
      </c>
      <c r="F829" s="8">
        <f>IF(B829="","",IFERROR(INDEX(Ingredients!$E$5:$E$304,MATCH(B829,Ingredients!$A$5:$A$304,0)),""))</f>
        <v>0</v>
      </c>
      <c r="G829" s="8">
        <f>IF(B829="","",IFERROR(INDEX(Ingredients!$D$5:$D$304,MATCH(B829,Ingredients!$A$5:$A$304,0)),""))</f>
        <v>0</v>
      </c>
      <c r="H829" s="8">
        <f>IF(OR(B829="",C829=""),"",IFERROR(C829*G829,""))</f>
        <v>0</v>
      </c>
      <c r="I829" s="8">
        <f>IF(A829="","",IFERROR(INDEX(Recipes!$D$5:$D$204,MATCH(A829,Recipes!$A$5:$A$204,0)),""))</f>
        <v>0</v>
      </c>
      <c r="J829" s="8">
        <f>IF(OR(H829="",I829="",I829=0),"",IFERROR(H829/I829,""))</f>
        <v>0</v>
      </c>
      <c r="K829" s="8">
        <f>IF(OR(B829="",C829=""),"",IFERROR(C829*IFERROR(INDEX(Ingredients!$H$5:$H$304,MATCH(B829,Ingredients!$A$5:$A$304,0)),""),""))</f>
        <v>0</v>
      </c>
      <c r="L829" s="8">
        <f>IF(OR(B829="",C829=""),"",IFERROR(C829*IFERROR(INDEX(Ingredients!$I$5:$I$304,MATCH(B829,Ingredients!$A$5:$A$304,0)),""),""))</f>
        <v>0</v>
      </c>
      <c r="M829" s="8">
        <f>IF(OR(B829="",C829=""),"",IFERROR(C829*IFERROR(INDEX(Ingredients!$J$5:$J$304,MATCH(B829,Ingredients!$A$5:$A$304,0)),""),""))</f>
        <v>0</v>
      </c>
      <c r="N829" s="8">
        <f>IF(OR(B829="",C829=""),"",IFERROR(C829*IFERROR(INDEX(Ingredients!$K$5:$K$304,MATCH(B829,Ingredients!$A$5:$A$304,0)),""),""))</f>
        <v>0</v>
      </c>
      <c r="O829" s="8">
        <f>IF(OR(B829="",C829=""),"",IFERROR(C829*IFERROR(INDEX(Ingredients!$L$5:$L$304,MATCH(B829,Ingredients!$A$5:$A$304,0)),""),""))</f>
        <v>0</v>
      </c>
      <c r="P829" s="8">
        <f>IF(OR(H829="",A829=""),"",IFERROR(H829/SUMIFS('Recipe Ingredients'!$H$5:$H$1204,'Recipe Ingredients'!$A$5:$A$1204,A829),""))</f>
        <v>0</v>
      </c>
      <c r="Q829" s="8">
        <f>IF(H829="","",COUNTIFS($H$5:$H$1204,"&gt;"&amp;H829)+1)</f>
        <v>0</v>
      </c>
      <c r="R829" s="8">
        <f>IF(B829="","",SUMIFS(Pantry!$C$5:$C$304,Pantry!$A$5:$A$304,B829))</f>
        <v>0</v>
      </c>
      <c r="S829" s="8">
        <f>IF(OR(B829="",C829=""),"",MAX(0,C829-R829))</f>
        <v>0</v>
      </c>
      <c r="T829" s="26"/>
      <c r="U829" s="8">
        <f>IF(OR(T829="",T829=0,G829=""),"",T829*G829)</f>
        <v>0</v>
      </c>
      <c r="V829" s="8">
        <f>IF(OR(S829="",T829="",T829=0),"",CEILING(S829/T829,1))</f>
        <v>0</v>
      </c>
      <c r="W829" s="27"/>
      <c r="X829" s="29"/>
      <c r="Y829" s="8">
        <f>IF(OR(C829="",X829=""),"",C829*(1+X829))</f>
        <v>0</v>
      </c>
      <c r="Z829" s="8">
        <f>IF(B829="","",IFERROR(INDEX(Ingredients!$O$5:$O$304,MATCH(B829,Ingredients!$A$5:$A$304,0)),""))</f>
        <v>0</v>
      </c>
      <c r="AA829" s="8">
        <f>IF(B829="","",IF(R829&gt;=C829,"In pantry","To buy"))</f>
        <v>0</v>
      </c>
      <c r="AB829" s="8">
        <f>IF(A829="","",COUNTIFS($A$5:A829,A829))</f>
        <v>0</v>
      </c>
      <c r="AC829" s="8">
        <f>IF(B829="","",IF(COUNTIFS('Dietary Filters'!$C$5:$C$104,B829)&gt;0,"Check","OK"))</f>
        <v>0</v>
      </c>
      <c r="AD829" s="25"/>
    </row>
    <row r="830" spans="1:30">
      <c r="A830" s="7"/>
      <c r="B830" s="7"/>
      <c r="C830" s="26"/>
      <c r="D830" s="27"/>
      <c r="E830" s="8">
        <f>IF(B830="","",IFERROR(INDEX(Ingredients!$B$5:$B$304,MATCH(B830,Ingredients!$A$5:$A$304,0)),""))</f>
        <v>0</v>
      </c>
      <c r="F830" s="8">
        <f>IF(B830="","",IFERROR(INDEX(Ingredients!$E$5:$E$304,MATCH(B830,Ingredients!$A$5:$A$304,0)),""))</f>
        <v>0</v>
      </c>
      <c r="G830" s="8">
        <f>IF(B830="","",IFERROR(INDEX(Ingredients!$D$5:$D$304,MATCH(B830,Ingredients!$A$5:$A$304,0)),""))</f>
        <v>0</v>
      </c>
      <c r="H830" s="8">
        <f>IF(OR(B830="",C830=""),"",IFERROR(C830*G830,""))</f>
        <v>0</v>
      </c>
      <c r="I830" s="8">
        <f>IF(A830="","",IFERROR(INDEX(Recipes!$D$5:$D$204,MATCH(A830,Recipes!$A$5:$A$204,0)),""))</f>
        <v>0</v>
      </c>
      <c r="J830" s="8">
        <f>IF(OR(H830="",I830="",I830=0),"",IFERROR(H830/I830,""))</f>
        <v>0</v>
      </c>
      <c r="K830" s="8">
        <f>IF(OR(B830="",C830=""),"",IFERROR(C830*IFERROR(INDEX(Ingredients!$H$5:$H$304,MATCH(B830,Ingredients!$A$5:$A$304,0)),""),""))</f>
        <v>0</v>
      </c>
      <c r="L830" s="8">
        <f>IF(OR(B830="",C830=""),"",IFERROR(C830*IFERROR(INDEX(Ingredients!$I$5:$I$304,MATCH(B830,Ingredients!$A$5:$A$304,0)),""),""))</f>
        <v>0</v>
      </c>
      <c r="M830" s="8">
        <f>IF(OR(B830="",C830=""),"",IFERROR(C830*IFERROR(INDEX(Ingredients!$J$5:$J$304,MATCH(B830,Ingredients!$A$5:$A$304,0)),""),""))</f>
        <v>0</v>
      </c>
      <c r="N830" s="8">
        <f>IF(OR(B830="",C830=""),"",IFERROR(C830*IFERROR(INDEX(Ingredients!$K$5:$K$304,MATCH(B830,Ingredients!$A$5:$A$304,0)),""),""))</f>
        <v>0</v>
      </c>
      <c r="O830" s="8">
        <f>IF(OR(B830="",C830=""),"",IFERROR(C830*IFERROR(INDEX(Ingredients!$L$5:$L$304,MATCH(B830,Ingredients!$A$5:$A$304,0)),""),""))</f>
        <v>0</v>
      </c>
      <c r="P830" s="8">
        <f>IF(OR(H830="",A830=""),"",IFERROR(H830/SUMIFS('Recipe Ingredients'!$H$5:$H$1204,'Recipe Ingredients'!$A$5:$A$1204,A830),""))</f>
        <v>0</v>
      </c>
      <c r="Q830" s="8">
        <f>IF(H830="","",COUNTIFS($H$5:$H$1204,"&gt;"&amp;H830)+1)</f>
        <v>0</v>
      </c>
      <c r="R830" s="8">
        <f>IF(B830="","",SUMIFS(Pantry!$C$5:$C$304,Pantry!$A$5:$A$304,B830))</f>
        <v>0</v>
      </c>
      <c r="S830" s="8">
        <f>IF(OR(B830="",C830=""),"",MAX(0,C830-R830))</f>
        <v>0</v>
      </c>
      <c r="T830" s="26"/>
      <c r="U830" s="8">
        <f>IF(OR(T830="",T830=0,G830=""),"",T830*G830)</f>
        <v>0</v>
      </c>
      <c r="V830" s="8">
        <f>IF(OR(S830="",T830="",T830=0),"",CEILING(S830/T830,1))</f>
        <v>0</v>
      </c>
      <c r="W830" s="27"/>
      <c r="X830" s="29"/>
      <c r="Y830" s="8">
        <f>IF(OR(C830="",X830=""),"",C830*(1+X830))</f>
        <v>0</v>
      </c>
      <c r="Z830" s="8">
        <f>IF(B830="","",IFERROR(INDEX(Ingredients!$O$5:$O$304,MATCH(B830,Ingredients!$A$5:$A$304,0)),""))</f>
        <v>0</v>
      </c>
      <c r="AA830" s="8">
        <f>IF(B830="","",IF(R830&gt;=C830,"In pantry","To buy"))</f>
        <v>0</v>
      </c>
      <c r="AB830" s="8">
        <f>IF(A830="","",COUNTIFS($A$5:A830,A830))</f>
        <v>0</v>
      </c>
      <c r="AC830" s="8">
        <f>IF(B830="","",IF(COUNTIFS('Dietary Filters'!$C$5:$C$104,B830)&gt;0,"Check","OK"))</f>
        <v>0</v>
      </c>
      <c r="AD830" s="25"/>
    </row>
    <row r="831" spans="1:30">
      <c r="A831" s="7"/>
      <c r="B831" s="7"/>
      <c r="C831" s="26"/>
      <c r="D831" s="27"/>
      <c r="E831" s="8">
        <f>IF(B831="","",IFERROR(INDEX(Ingredients!$B$5:$B$304,MATCH(B831,Ingredients!$A$5:$A$304,0)),""))</f>
        <v>0</v>
      </c>
      <c r="F831" s="8">
        <f>IF(B831="","",IFERROR(INDEX(Ingredients!$E$5:$E$304,MATCH(B831,Ingredients!$A$5:$A$304,0)),""))</f>
        <v>0</v>
      </c>
      <c r="G831" s="8">
        <f>IF(B831="","",IFERROR(INDEX(Ingredients!$D$5:$D$304,MATCH(B831,Ingredients!$A$5:$A$304,0)),""))</f>
        <v>0</v>
      </c>
      <c r="H831" s="8">
        <f>IF(OR(B831="",C831=""),"",IFERROR(C831*G831,""))</f>
        <v>0</v>
      </c>
      <c r="I831" s="8">
        <f>IF(A831="","",IFERROR(INDEX(Recipes!$D$5:$D$204,MATCH(A831,Recipes!$A$5:$A$204,0)),""))</f>
        <v>0</v>
      </c>
      <c r="J831" s="8">
        <f>IF(OR(H831="",I831="",I831=0),"",IFERROR(H831/I831,""))</f>
        <v>0</v>
      </c>
      <c r="K831" s="8">
        <f>IF(OR(B831="",C831=""),"",IFERROR(C831*IFERROR(INDEX(Ingredients!$H$5:$H$304,MATCH(B831,Ingredients!$A$5:$A$304,0)),""),""))</f>
        <v>0</v>
      </c>
      <c r="L831" s="8">
        <f>IF(OR(B831="",C831=""),"",IFERROR(C831*IFERROR(INDEX(Ingredients!$I$5:$I$304,MATCH(B831,Ingredients!$A$5:$A$304,0)),""),""))</f>
        <v>0</v>
      </c>
      <c r="M831" s="8">
        <f>IF(OR(B831="",C831=""),"",IFERROR(C831*IFERROR(INDEX(Ingredients!$J$5:$J$304,MATCH(B831,Ingredients!$A$5:$A$304,0)),""),""))</f>
        <v>0</v>
      </c>
      <c r="N831" s="8">
        <f>IF(OR(B831="",C831=""),"",IFERROR(C831*IFERROR(INDEX(Ingredients!$K$5:$K$304,MATCH(B831,Ingredients!$A$5:$A$304,0)),""),""))</f>
        <v>0</v>
      </c>
      <c r="O831" s="8">
        <f>IF(OR(B831="",C831=""),"",IFERROR(C831*IFERROR(INDEX(Ingredients!$L$5:$L$304,MATCH(B831,Ingredients!$A$5:$A$304,0)),""),""))</f>
        <v>0</v>
      </c>
      <c r="P831" s="8">
        <f>IF(OR(H831="",A831=""),"",IFERROR(H831/SUMIFS('Recipe Ingredients'!$H$5:$H$1204,'Recipe Ingredients'!$A$5:$A$1204,A831),""))</f>
        <v>0</v>
      </c>
      <c r="Q831" s="8">
        <f>IF(H831="","",COUNTIFS($H$5:$H$1204,"&gt;"&amp;H831)+1)</f>
        <v>0</v>
      </c>
      <c r="R831" s="8">
        <f>IF(B831="","",SUMIFS(Pantry!$C$5:$C$304,Pantry!$A$5:$A$304,B831))</f>
        <v>0</v>
      </c>
      <c r="S831" s="8">
        <f>IF(OR(B831="",C831=""),"",MAX(0,C831-R831))</f>
        <v>0</v>
      </c>
      <c r="T831" s="26"/>
      <c r="U831" s="8">
        <f>IF(OR(T831="",T831=0,G831=""),"",T831*G831)</f>
        <v>0</v>
      </c>
      <c r="V831" s="8">
        <f>IF(OR(S831="",T831="",T831=0),"",CEILING(S831/T831,1))</f>
        <v>0</v>
      </c>
      <c r="W831" s="27"/>
      <c r="X831" s="29"/>
      <c r="Y831" s="8">
        <f>IF(OR(C831="",X831=""),"",C831*(1+X831))</f>
        <v>0</v>
      </c>
      <c r="Z831" s="8">
        <f>IF(B831="","",IFERROR(INDEX(Ingredients!$O$5:$O$304,MATCH(B831,Ingredients!$A$5:$A$304,0)),""))</f>
        <v>0</v>
      </c>
      <c r="AA831" s="8">
        <f>IF(B831="","",IF(R831&gt;=C831,"In pantry","To buy"))</f>
        <v>0</v>
      </c>
      <c r="AB831" s="8">
        <f>IF(A831="","",COUNTIFS($A$5:A831,A831))</f>
        <v>0</v>
      </c>
      <c r="AC831" s="8">
        <f>IF(B831="","",IF(COUNTIFS('Dietary Filters'!$C$5:$C$104,B831)&gt;0,"Check","OK"))</f>
        <v>0</v>
      </c>
      <c r="AD831" s="25"/>
    </row>
    <row r="832" spans="1:30">
      <c r="A832" s="7"/>
      <c r="B832" s="7"/>
      <c r="C832" s="26"/>
      <c r="D832" s="27"/>
      <c r="E832" s="8">
        <f>IF(B832="","",IFERROR(INDEX(Ingredients!$B$5:$B$304,MATCH(B832,Ingredients!$A$5:$A$304,0)),""))</f>
        <v>0</v>
      </c>
      <c r="F832" s="8">
        <f>IF(B832="","",IFERROR(INDEX(Ingredients!$E$5:$E$304,MATCH(B832,Ingredients!$A$5:$A$304,0)),""))</f>
        <v>0</v>
      </c>
      <c r="G832" s="8">
        <f>IF(B832="","",IFERROR(INDEX(Ingredients!$D$5:$D$304,MATCH(B832,Ingredients!$A$5:$A$304,0)),""))</f>
        <v>0</v>
      </c>
      <c r="H832" s="8">
        <f>IF(OR(B832="",C832=""),"",IFERROR(C832*G832,""))</f>
        <v>0</v>
      </c>
      <c r="I832" s="8">
        <f>IF(A832="","",IFERROR(INDEX(Recipes!$D$5:$D$204,MATCH(A832,Recipes!$A$5:$A$204,0)),""))</f>
        <v>0</v>
      </c>
      <c r="J832" s="8">
        <f>IF(OR(H832="",I832="",I832=0),"",IFERROR(H832/I832,""))</f>
        <v>0</v>
      </c>
      <c r="K832" s="8">
        <f>IF(OR(B832="",C832=""),"",IFERROR(C832*IFERROR(INDEX(Ingredients!$H$5:$H$304,MATCH(B832,Ingredients!$A$5:$A$304,0)),""),""))</f>
        <v>0</v>
      </c>
      <c r="L832" s="8">
        <f>IF(OR(B832="",C832=""),"",IFERROR(C832*IFERROR(INDEX(Ingredients!$I$5:$I$304,MATCH(B832,Ingredients!$A$5:$A$304,0)),""),""))</f>
        <v>0</v>
      </c>
      <c r="M832" s="8">
        <f>IF(OR(B832="",C832=""),"",IFERROR(C832*IFERROR(INDEX(Ingredients!$J$5:$J$304,MATCH(B832,Ingredients!$A$5:$A$304,0)),""),""))</f>
        <v>0</v>
      </c>
      <c r="N832" s="8">
        <f>IF(OR(B832="",C832=""),"",IFERROR(C832*IFERROR(INDEX(Ingredients!$K$5:$K$304,MATCH(B832,Ingredients!$A$5:$A$304,0)),""),""))</f>
        <v>0</v>
      </c>
      <c r="O832" s="8">
        <f>IF(OR(B832="",C832=""),"",IFERROR(C832*IFERROR(INDEX(Ingredients!$L$5:$L$304,MATCH(B832,Ingredients!$A$5:$A$304,0)),""),""))</f>
        <v>0</v>
      </c>
      <c r="P832" s="8">
        <f>IF(OR(H832="",A832=""),"",IFERROR(H832/SUMIFS('Recipe Ingredients'!$H$5:$H$1204,'Recipe Ingredients'!$A$5:$A$1204,A832),""))</f>
        <v>0</v>
      </c>
      <c r="Q832" s="8">
        <f>IF(H832="","",COUNTIFS($H$5:$H$1204,"&gt;"&amp;H832)+1)</f>
        <v>0</v>
      </c>
      <c r="R832" s="8">
        <f>IF(B832="","",SUMIFS(Pantry!$C$5:$C$304,Pantry!$A$5:$A$304,B832))</f>
        <v>0</v>
      </c>
      <c r="S832" s="8">
        <f>IF(OR(B832="",C832=""),"",MAX(0,C832-R832))</f>
        <v>0</v>
      </c>
      <c r="T832" s="26"/>
      <c r="U832" s="8">
        <f>IF(OR(T832="",T832=0,G832=""),"",T832*G832)</f>
        <v>0</v>
      </c>
      <c r="V832" s="8">
        <f>IF(OR(S832="",T832="",T832=0),"",CEILING(S832/T832,1))</f>
        <v>0</v>
      </c>
      <c r="W832" s="27"/>
      <c r="X832" s="29"/>
      <c r="Y832" s="8">
        <f>IF(OR(C832="",X832=""),"",C832*(1+X832))</f>
        <v>0</v>
      </c>
      <c r="Z832" s="8">
        <f>IF(B832="","",IFERROR(INDEX(Ingredients!$O$5:$O$304,MATCH(B832,Ingredients!$A$5:$A$304,0)),""))</f>
        <v>0</v>
      </c>
      <c r="AA832" s="8">
        <f>IF(B832="","",IF(R832&gt;=C832,"In pantry","To buy"))</f>
        <v>0</v>
      </c>
      <c r="AB832" s="8">
        <f>IF(A832="","",COUNTIFS($A$5:A832,A832))</f>
        <v>0</v>
      </c>
      <c r="AC832" s="8">
        <f>IF(B832="","",IF(COUNTIFS('Dietary Filters'!$C$5:$C$104,B832)&gt;0,"Check","OK"))</f>
        <v>0</v>
      </c>
      <c r="AD832" s="25"/>
    </row>
    <row r="833" spans="1:30">
      <c r="A833" s="7"/>
      <c r="B833" s="7"/>
      <c r="C833" s="26"/>
      <c r="D833" s="27"/>
      <c r="E833" s="8">
        <f>IF(B833="","",IFERROR(INDEX(Ingredients!$B$5:$B$304,MATCH(B833,Ingredients!$A$5:$A$304,0)),""))</f>
        <v>0</v>
      </c>
      <c r="F833" s="8">
        <f>IF(B833="","",IFERROR(INDEX(Ingredients!$E$5:$E$304,MATCH(B833,Ingredients!$A$5:$A$304,0)),""))</f>
        <v>0</v>
      </c>
      <c r="G833" s="8">
        <f>IF(B833="","",IFERROR(INDEX(Ingredients!$D$5:$D$304,MATCH(B833,Ingredients!$A$5:$A$304,0)),""))</f>
        <v>0</v>
      </c>
      <c r="H833" s="8">
        <f>IF(OR(B833="",C833=""),"",IFERROR(C833*G833,""))</f>
        <v>0</v>
      </c>
      <c r="I833" s="8">
        <f>IF(A833="","",IFERROR(INDEX(Recipes!$D$5:$D$204,MATCH(A833,Recipes!$A$5:$A$204,0)),""))</f>
        <v>0</v>
      </c>
      <c r="J833" s="8">
        <f>IF(OR(H833="",I833="",I833=0),"",IFERROR(H833/I833,""))</f>
        <v>0</v>
      </c>
      <c r="K833" s="8">
        <f>IF(OR(B833="",C833=""),"",IFERROR(C833*IFERROR(INDEX(Ingredients!$H$5:$H$304,MATCH(B833,Ingredients!$A$5:$A$304,0)),""),""))</f>
        <v>0</v>
      </c>
      <c r="L833" s="8">
        <f>IF(OR(B833="",C833=""),"",IFERROR(C833*IFERROR(INDEX(Ingredients!$I$5:$I$304,MATCH(B833,Ingredients!$A$5:$A$304,0)),""),""))</f>
        <v>0</v>
      </c>
      <c r="M833" s="8">
        <f>IF(OR(B833="",C833=""),"",IFERROR(C833*IFERROR(INDEX(Ingredients!$J$5:$J$304,MATCH(B833,Ingredients!$A$5:$A$304,0)),""),""))</f>
        <v>0</v>
      </c>
      <c r="N833" s="8">
        <f>IF(OR(B833="",C833=""),"",IFERROR(C833*IFERROR(INDEX(Ingredients!$K$5:$K$304,MATCH(B833,Ingredients!$A$5:$A$304,0)),""),""))</f>
        <v>0</v>
      </c>
      <c r="O833" s="8">
        <f>IF(OR(B833="",C833=""),"",IFERROR(C833*IFERROR(INDEX(Ingredients!$L$5:$L$304,MATCH(B833,Ingredients!$A$5:$A$304,0)),""),""))</f>
        <v>0</v>
      </c>
      <c r="P833" s="8">
        <f>IF(OR(H833="",A833=""),"",IFERROR(H833/SUMIFS('Recipe Ingredients'!$H$5:$H$1204,'Recipe Ingredients'!$A$5:$A$1204,A833),""))</f>
        <v>0</v>
      </c>
      <c r="Q833" s="8">
        <f>IF(H833="","",COUNTIFS($H$5:$H$1204,"&gt;"&amp;H833)+1)</f>
        <v>0</v>
      </c>
      <c r="R833" s="8">
        <f>IF(B833="","",SUMIFS(Pantry!$C$5:$C$304,Pantry!$A$5:$A$304,B833))</f>
        <v>0</v>
      </c>
      <c r="S833" s="8">
        <f>IF(OR(B833="",C833=""),"",MAX(0,C833-R833))</f>
        <v>0</v>
      </c>
      <c r="T833" s="26"/>
      <c r="U833" s="8">
        <f>IF(OR(T833="",T833=0,G833=""),"",T833*G833)</f>
        <v>0</v>
      </c>
      <c r="V833" s="8">
        <f>IF(OR(S833="",T833="",T833=0),"",CEILING(S833/T833,1))</f>
        <v>0</v>
      </c>
      <c r="W833" s="27"/>
      <c r="X833" s="29"/>
      <c r="Y833" s="8">
        <f>IF(OR(C833="",X833=""),"",C833*(1+X833))</f>
        <v>0</v>
      </c>
      <c r="Z833" s="8">
        <f>IF(B833="","",IFERROR(INDEX(Ingredients!$O$5:$O$304,MATCH(B833,Ingredients!$A$5:$A$304,0)),""))</f>
        <v>0</v>
      </c>
      <c r="AA833" s="8">
        <f>IF(B833="","",IF(R833&gt;=C833,"In pantry","To buy"))</f>
        <v>0</v>
      </c>
      <c r="AB833" s="8">
        <f>IF(A833="","",COUNTIFS($A$5:A833,A833))</f>
        <v>0</v>
      </c>
      <c r="AC833" s="8">
        <f>IF(B833="","",IF(COUNTIFS('Dietary Filters'!$C$5:$C$104,B833)&gt;0,"Check","OK"))</f>
        <v>0</v>
      </c>
      <c r="AD833" s="25"/>
    </row>
    <row r="834" spans="1:30">
      <c r="A834" s="7"/>
      <c r="B834" s="7"/>
      <c r="C834" s="26"/>
      <c r="D834" s="27"/>
      <c r="E834" s="8">
        <f>IF(B834="","",IFERROR(INDEX(Ingredients!$B$5:$B$304,MATCH(B834,Ingredients!$A$5:$A$304,0)),""))</f>
        <v>0</v>
      </c>
      <c r="F834" s="8">
        <f>IF(B834="","",IFERROR(INDEX(Ingredients!$E$5:$E$304,MATCH(B834,Ingredients!$A$5:$A$304,0)),""))</f>
        <v>0</v>
      </c>
      <c r="G834" s="8">
        <f>IF(B834="","",IFERROR(INDEX(Ingredients!$D$5:$D$304,MATCH(B834,Ingredients!$A$5:$A$304,0)),""))</f>
        <v>0</v>
      </c>
      <c r="H834" s="8">
        <f>IF(OR(B834="",C834=""),"",IFERROR(C834*G834,""))</f>
        <v>0</v>
      </c>
      <c r="I834" s="8">
        <f>IF(A834="","",IFERROR(INDEX(Recipes!$D$5:$D$204,MATCH(A834,Recipes!$A$5:$A$204,0)),""))</f>
        <v>0</v>
      </c>
      <c r="J834" s="8">
        <f>IF(OR(H834="",I834="",I834=0),"",IFERROR(H834/I834,""))</f>
        <v>0</v>
      </c>
      <c r="K834" s="8">
        <f>IF(OR(B834="",C834=""),"",IFERROR(C834*IFERROR(INDEX(Ingredients!$H$5:$H$304,MATCH(B834,Ingredients!$A$5:$A$304,0)),""),""))</f>
        <v>0</v>
      </c>
      <c r="L834" s="8">
        <f>IF(OR(B834="",C834=""),"",IFERROR(C834*IFERROR(INDEX(Ingredients!$I$5:$I$304,MATCH(B834,Ingredients!$A$5:$A$304,0)),""),""))</f>
        <v>0</v>
      </c>
      <c r="M834" s="8">
        <f>IF(OR(B834="",C834=""),"",IFERROR(C834*IFERROR(INDEX(Ingredients!$J$5:$J$304,MATCH(B834,Ingredients!$A$5:$A$304,0)),""),""))</f>
        <v>0</v>
      </c>
      <c r="N834" s="8">
        <f>IF(OR(B834="",C834=""),"",IFERROR(C834*IFERROR(INDEX(Ingredients!$K$5:$K$304,MATCH(B834,Ingredients!$A$5:$A$304,0)),""),""))</f>
        <v>0</v>
      </c>
      <c r="O834" s="8">
        <f>IF(OR(B834="",C834=""),"",IFERROR(C834*IFERROR(INDEX(Ingredients!$L$5:$L$304,MATCH(B834,Ingredients!$A$5:$A$304,0)),""),""))</f>
        <v>0</v>
      </c>
      <c r="P834" s="8">
        <f>IF(OR(H834="",A834=""),"",IFERROR(H834/SUMIFS('Recipe Ingredients'!$H$5:$H$1204,'Recipe Ingredients'!$A$5:$A$1204,A834),""))</f>
        <v>0</v>
      </c>
      <c r="Q834" s="8">
        <f>IF(H834="","",COUNTIFS($H$5:$H$1204,"&gt;"&amp;H834)+1)</f>
        <v>0</v>
      </c>
      <c r="R834" s="8">
        <f>IF(B834="","",SUMIFS(Pantry!$C$5:$C$304,Pantry!$A$5:$A$304,B834))</f>
        <v>0</v>
      </c>
      <c r="S834" s="8">
        <f>IF(OR(B834="",C834=""),"",MAX(0,C834-R834))</f>
        <v>0</v>
      </c>
      <c r="T834" s="26"/>
      <c r="U834" s="8">
        <f>IF(OR(T834="",T834=0,G834=""),"",T834*G834)</f>
        <v>0</v>
      </c>
      <c r="V834" s="8">
        <f>IF(OR(S834="",T834="",T834=0),"",CEILING(S834/T834,1))</f>
        <v>0</v>
      </c>
      <c r="W834" s="27"/>
      <c r="X834" s="29"/>
      <c r="Y834" s="8">
        <f>IF(OR(C834="",X834=""),"",C834*(1+X834))</f>
        <v>0</v>
      </c>
      <c r="Z834" s="8">
        <f>IF(B834="","",IFERROR(INDEX(Ingredients!$O$5:$O$304,MATCH(B834,Ingredients!$A$5:$A$304,0)),""))</f>
        <v>0</v>
      </c>
      <c r="AA834" s="8">
        <f>IF(B834="","",IF(R834&gt;=C834,"In pantry","To buy"))</f>
        <v>0</v>
      </c>
      <c r="AB834" s="8">
        <f>IF(A834="","",COUNTIFS($A$5:A834,A834))</f>
        <v>0</v>
      </c>
      <c r="AC834" s="8">
        <f>IF(B834="","",IF(COUNTIFS('Dietary Filters'!$C$5:$C$104,B834)&gt;0,"Check","OK"))</f>
        <v>0</v>
      </c>
      <c r="AD834" s="25"/>
    </row>
    <row r="835" spans="1:30">
      <c r="A835" s="7"/>
      <c r="B835" s="7"/>
      <c r="C835" s="26"/>
      <c r="D835" s="27"/>
      <c r="E835" s="8">
        <f>IF(B835="","",IFERROR(INDEX(Ingredients!$B$5:$B$304,MATCH(B835,Ingredients!$A$5:$A$304,0)),""))</f>
        <v>0</v>
      </c>
      <c r="F835" s="8">
        <f>IF(B835="","",IFERROR(INDEX(Ingredients!$E$5:$E$304,MATCH(B835,Ingredients!$A$5:$A$304,0)),""))</f>
        <v>0</v>
      </c>
      <c r="G835" s="8">
        <f>IF(B835="","",IFERROR(INDEX(Ingredients!$D$5:$D$304,MATCH(B835,Ingredients!$A$5:$A$304,0)),""))</f>
        <v>0</v>
      </c>
      <c r="H835" s="8">
        <f>IF(OR(B835="",C835=""),"",IFERROR(C835*G835,""))</f>
        <v>0</v>
      </c>
      <c r="I835" s="8">
        <f>IF(A835="","",IFERROR(INDEX(Recipes!$D$5:$D$204,MATCH(A835,Recipes!$A$5:$A$204,0)),""))</f>
        <v>0</v>
      </c>
      <c r="J835" s="8">
        <f>IF(OR(H835="",I835="",I835=0),"",IFERROR(H835/I835,""))</f>
        <v>0</v>
      </c>
      <c r="K835" s="8">
        <f>IF(OR(B835="",C835=""),"",IFERROR(C835*IFERROR(INDEX(Ingredients!$H$5:$H$304,MATCH(B835,Ingredients!$A$5:$A$304,0)),""),""))</f>
        <v>0</v>
      </c>
      <c r="L835" s="8">
        <f>IF(OR(B835="",C835=""),"",IFERROR(C835*IFERROR(INDEX(Ingredients!$I$5:$I$304,MATCH(B835,Ingredients!$A$5:$A$304,0)),""),""))</f>
        <v>0</v>
      </c>
      <c r="M835" s="8">
        <f>IF(OR(B835="",C835=""),"",IFERROR(C835*IFERROR(INDEX(Ingredients!$J$5:$J$304,MATCH(B835,Ingredients!$A$5:$A$304,0)),""),""))</f>
        <v>0</v>
      </c>
      <c r="N835" s="8">
        <f>IF(OR(B835="",C835=""),"",IFERROR(C835*IFERROR(INDEX(Ingredients!$K$5:$K$304,MATCH(B835,Ingredients!$A$5:$A$304,0)),""),""))</f>
        <v>0</v>
      </c>
      <c r="O835" s="8">
        <f>IF(OR(B835="",C835=""),"",IFERROR(C835*IFERROR(INDEX(Ingredients!$L$5:$L$304,MATCH(B835,Ingredients!$A$5:$A$304,0)),""),""))</f>
        <v>0</v>
      </c>
      <c r="P835" s="8">
        <f>IF(OR(H835="",A835=""),"",IFERROR(H835/SUMIFS('Recipe Ingredients'!$H$5:$H$1204,'Recipe Ingredients'!$A$5:$A$1204,A835),""))</f>
        <v>0</v>
      </c>
      <c r="Q835" s="8">
        <f>IF(H835="","",COUNTIFS($H$5:$H$1204,"&gt;"&amp;H835)+1)</f>
        <v>0</v>
      </c>
      <c r="R835" s="8">
        <f>IF(B835="","",SUMIFS(Pantry!$C$5:$C$304,Pantry!$A$5:$A$304,B835))</f>
        <v>0</v>
      </c>
      <c r="S835" s="8">
        <f>IF(OR(B835="",C835=""),"",MAX(0,C835-R835))</f>
        <v>0</v>
      </c>
      <c r="T835" s="26"/>
      <c r="U835" s="8">
        <f>IF(OR(T835="",T835=0,G835=""),"",T835*G835)</f>
        <v>0</v>
      </c>
      <c r="V835" s="8">
        <f>IF(OR(S835="",T835="",T835=0),"",CEILING(S835/T835,1))</f>
        <v>0</v>
      </c>
      <c r="W835" s="27"/>
      <c r="X835" s="29"/>
      <c r="Y835" s="8">
        <f>IF(OR(C835="",X835=""),"",C835*(1+X835))</f>
        <v>0</v>
      </c>
      <c r="Z835" s="8">
        <f>IF(B835="","",IFERROR(INDEX(Ingredients!$O$5:$O$304,MATCH(B835,Ingredients!$A$5:$A$304,0)),""))</f>
        <v>0</v>
      </c>
      <c r="AA835" s="8">
        <f>IF(B835="","",IF(R835&gt;=C835,"In pantry","To buy"))</f>
        <v>0</v>
      </c>
      <c r="AB835" s="8">
        <f>IF(A835="","",COUNTIFS($A$5:A835,A835))</f>
        <v>0</v>
      </c>
      <c r="AC835" s="8">
        <f>IF(B835="","",IF(COUNTIFS('Dietary Filters'!$C$5:$C$104,B835)&gt;0,"Check","OK"))</f>
        <v>0</v>
      </c>
      <c r="AD835" s="25"/>
    </row>
    <row r="836" spans="1:30">
      <c r="A836" s="7"/>
      <c r="B836" s="7"/>
      <c r="C836" s="26"/>
      <c r="D836" s="27"/>
      <c r="E836" s="8">
        <f>IF(B836="","",IFERROR(INDEX(Ingredients!$B$5:$B$304,MATCH(B836,Ingredients!$A$5:$A$304,0)),""))</f>
        <v>0</v>
      </c>
      <c r="F836" s="8">
        <f>IF(B836="","",IFERROR(INDEX(Ingredients!$E$5:$E$304,MATCH(B836,Ingredients!$A$5:$A$304,0)),""))</f>
        <v>0</v>
      </c>
      <c r="G836" s="8">
        <f>IF(B836="","",IFERROR(INDEX(Ingredients!$D$5:$D$304,MATCH(B836,Ingredients!$A$5:$A$304,0)),""))</f>
        <v>0</v>
      </c>
      <c r="H836" s="8">
        <f>IF(OR(B836="",C836=""),"",IFERROR(C836*G836,""))</f>
        <v>0</v>
      </c>
      <c r="I836" s="8">
        <f>IF(A836="","",IFERROR(INDEX(Recipes!$D$5:$D$204,MATCH(A836,Recipes!$A$5:$A$204,0)),""))</f>
        <v>0</v>
      </c>
      <c r="J836" s="8">
        <f>IF(OR(H836="",I836="",I836=0),"",IFERROR(H836/I836,""))</f>
        <v>0</v>
      </c>
      <c r="K836" s="8">
        <f>IF(OR(B836="",C836=""),"",IFERROR(C836*IFERROR(INDEX(Ingredients!$H$5:$H$304,MATCH(B836,Ingredients!$A$5:$A$304,0)),""),""))</f>
        <v>0</v>
      </c>
      <c r="L836" s="8">
        <f>IF(OR(B836="",C836=""),"",IFERROR(C836*IFERROR(INDEX(Ingredients!$I$5:$I$304,MATCH(B836,Ingredients!$A$5:$A$304,0)),""),""))</f>
        <v>0</v>
      </c>
      <c r="M836" s="8">
        <f>IF(OR(B836="",C836=""),"",IFERROR(C836*IFERROR(INDEX(Ingredients!$J$5:$J$304,MATCH(B836,Ingredients!$A$5:$A$304,0)),""),""))</f>
        <v>0</v>
      </c>
      <c r="N836" s="8">
        <f>IF(OR(B836="",C836=""),"",IFERROR(C836*IFERROR(INDEX(Ingredients!$K$5:$K$304,MATCH(B836,Ingredients!$A$5:$A$304,0)),""),""))</f>
        <v>0</v>
      </c>
      <c r="O836" s="8">
        <f>IF(OR(B836="",C836=""),"",IFERROR(C836*IFERROR(INDEX(Ingredients!$L$5:$L$304,MATCH(B836,Ingredients!$A$5:$A$304,0)),""),""))</f>
        <v>0</v>
      </c>
      <c r="P836" s="8">
        <f>IF(OR(H836="",A836=""),"",IFERROR(H836/SUMIFS('Recipe Ingredients'!$H$5:$H$1204,'Recipe Ingredients'!$A$5:$A$1204,A836),""))</f>
        <v>0</v>
      </c>
      <c r="Q836" s="8">
        <f>IF(H836="","",COUNTIFS($H$5:$H$1204,"&gt;"&amp;H836)+1)</f>
        <v>0</v>
      </c>
      <c r="R836" s="8">
        <f>IF(B836="","",SUMIFS(Pantry!$C$5:$C$304,Pantry!$A$5:$A$304,B836))</f>
        <v>0</v>
      </c>
      <c r="S836" s="8">
        <f>IF(OR(B836="",C836=""),"",MAX(0,C836-R836))</f>
        <v>0</v>
      </c>
      <c r="T836" s="26"/>
      <c r="U836" s="8">
        <f>IF(OR(T836="",T836=0,G836=""),"",T836*G836)</f>
        <v>0</v>
      </c>
      <c r="V836" s="8">
        <f>IF(OR(S836="",T836="",T836=0),"",CEILING(S836/T836,1))</f>
        <v>0</v>
      </c>
      <c r="W836" s="27"/>
      <c r="X836" s="29"/>
      <c r="Y836" s="8">
        <f>IF(OR(C836="",X836=""),"",C836*(1+X836))</f>
        <v>0</v>
      </c>
      <c r="Z836" s="8">
        <f>IF(B836="","",IFERROR(INDEX(Ingredients!$O$5:$O$304,MATCH(B836,Ingredients!$A$5:$A$304,0)),""))</f>
        <v>0</v>
      </c>
      <c r="AA836" s="8">
        <f>IF(B836="","",IF(R836&gt;=C836,"In pantry","To buy"))</f>
        <v>0</v>
      </c>
      <c r="AB836" s="8">
        <f>IF(A836="","",COUNTIFS($A$5:A836,A836))</f>
        <v>0</v>
      </c>
      <c r="AC836" s="8">
        <f>IF(B836="","",IF(COUNTIFS('Dietary Filters'!$C$5:$C$104,B836)&gt;0,"Check","OK"))</f>
        <v>0</v>
      </c>
      <c r="AD836" s="25"/>
    </row>
    <row r="837" spans="1:30">
      <c r="A837" s="7"/>
      <c r="B837" s="7"/>
      <c r="C837" s="26"/>
      <c r="D837" s="27"/>
      <c r="E837" s="8">
        <f>IF(B837="","",IFERROR(INDEX(Ingredients!$B$5:$B$304,MATCH(B837,Ingredients!$A$5:$A$304,0)),""))</f>
        <v>0</v>
      </c>
      <c r="F837" s="8">
        <f>IF(B837="","",IFERROR(INDEX(Ingredients!$E$5:$E$304,MATCH(B837,Ingredients!$A$5:$A$304,0)),""))</f>
        <v>0</v>
      </c>
      <c r="G837" s="8">
        <f>IF(B837="","",IFERROR(INDEX(Ingredients!$D$5:$D$304,MATCH(B837,Ingredients!$A$5:$A$304,0)),""))</f>
        <v>0</v>
      </c>
      <c r="H837" s="8">
        <f>IF(OR(B837="",C837=""),"",IFERROR(C837*G837,""))</f>
        <v>0</v>
      </c>
      <c r="I837" s="8">
        <f>IF(A837="","",IFERROR(INDEX(Recipes!$D$5:$D$204,MATCH(A837,Recipes!$A$5:$A$204,0)),""))</f>
        <v>0</v>
      </c>
      <c r="J837" s="8">
        <f>IF(OR(H837="",I837="",I837=0),"",IFERROR(H837/I837,""))</f>
        <v>0</v>
      </c>
      <c r="K837" s="8">
        <f>IF(OR(B837="",C837=""),"",IFERROR(C837*IFERROR(INDEX(Ingredients!$H$5:$H$304,MATCH(B837,Ingredients!$A$5:$A$304,0)),""),""))</f>
        <v>0</v>
      </c>
      <c r="L837" s="8">
        <f>IF(OR(B837="",C837=""),"",IFERROR(C837*IFERROR(INDEX(Ingredients!$I$5:$I$304,MATCH(B837,Ingredients!$A$5:$A$304,0)),""),""))</f>
        <v>0</v>
      </c>
      <c r="M837" s="8">
        <f>IF(OR(B837="",C837=""),"",IFERROR(C837*IFERROR(INDEX(Ingredients!$J$5:$J$304,MATCH(B837,Ingredients!$A$5:$A$304,0)),""),""))</f>
        <v>0</v>
      </c>
      <c r="N837" s="8">
        <f>IF(OR(B837="",C837=""),"",IFERROR(C837*IFERROR(INDEX(Ingredients!$K$5:$K$304,MATCH(B837,Ingredients!$A$5:$A$304,0)),""),""))</f>
        <v>0</v>
      </c>
      <c r="O837" s="8">
        <f>IF(OR(B837="",C837=""),"",IFERROR(C837*IFERROR(INDEX(Ingredients!$L$5:$L$304,MATCH(B837,Ingredients!$A$5:$A$304,0)),""),""))</f>
        <v>0</v>
      </c>
      <c r="P837" s="8">
        <f>IF(OR(H837="",A837=""),"",IFERROR(H837/SUMIFS('Recipe Ingredients'!$H$5:$H$1204,'Recipe Ingredients'!$A$5:$A$1204,A837),""))</f>
        <v>0</v>
      </c>
      <c r="Q837" s="8">
        <f>IF(H837="","",COUNTIFS($H$5:$H$1204,"&gt;"&amp;H837)+1)</f>
        <v>0</v>
      </c>
      <c r="R837" s="8">
        <f>IF(B837="","",SUMIFS(Pantry!$C$5:$C$304,Pantry!$A$5:$A$304,B837))</f>
        <v>0</v>
      </c>
      <c r="S837" s="8">
        <f>IF(OR(B837="",C837=""),"",MAX(0,C837-R837))</f>
        <v>0</v>
      </c>
      <c r="T837" s="26"/>
      <c r="U837" s="8">
        <f>IF(OR(T837="",T837=0,G837=""),"",T837*G837)</f>
        <v>0</v>
      </c>
      <c r="V837" s="8">
        <f>IF(OR(S837="",T837="",T837=0),"",CEILING(S837/T837,1))</f>
        <v>0</v>
      </c>
      <c r="W837" s="27"/>
      <c r="X837" s="29"/>
      <c r="Y837" s="8">
        <f>IF(OR(C837="",X837=""),"",C837*(1+X837))</f>
        <v>0</v>
      </c>
      <c r="Z837" s="8">
        <f>IF(B837="","",IFERROR(INDEX(Ingredients!$O$5:$O$304,MATCH(B837,Ingredients!$A$5:$A$304,0)),""))</f>
        <v>0</v>
      </c>
      <c r="AA837" s="8">
        <f>IF(B837="","",IF(R837&gt;=C837,"In pantry","To buy"))</f>
        <v>0</v>
      </c>
      <c r="AB837" s="8">
        <f>IF(A837="","",COUNTIFS($A$5:A837,A837))</f>
        <v>0</v>
      </c>
      <c r="AC837" s="8">
        <f>IF(B837="","",IF(COUNTIFS('Dietary Filters'!$C$5:$C$104,B837)&gt;0,"Check","OK"))</f>
        <v>0</v>
      </c>
      <c r="AD837" s="25"/>
    </row>
    <row r="838" spans="1:30">
      <c r="A838" s="7"/>
      <c r="B838" s="7"/>
      <c r="C838" s="26"/>
      <c r="D838" s="27"/>
      <c r="E838" s="8">
        <f>IF(B838="","",IFERROR(INDEX(Ingredients!$B$5:$B$304,MATCH(B838,Ingredients!$A$5:$A$304,0)),""))</f>
        <v>0</v>
      </c>
      <c r="F838" s="8">
        <f>IF(B838="","",IFERROR(INDEX(Ingredients!$E$5:$E$304,MATCH(B838,Ingredients!$A$5:$A$304,0)),""))</f>
        <v>0</v>
      </c>
      <c r="G838" s="8">
        <f>IF(B838="","",IFERROR(INDEX(Ingredients!$D$5:$D$304,MATCH(B838,Ingredients!$A$5:$A$304,0)),""))</f>
        <v>0</v>
      </c>
      <c r="H838" s="8">
        <f>IF(OR(B838="",C838=""),"",IFERROR(C838*G838,""))</f>
        <v>0</v>
      </c>
      <c r="I838" s="8">
        <f>IF(A838="","",IFERROR(INDEX(Recipes!$D$5:$D$204,MATCH(A838,Recipes!$A$5:$A$204,0)),""))</f>
        <v>0</v>
      </c>
      <c r="J838" s="8">
        <f>IF(OR(H838="",I838="",I838=0),"",IFERROR(H838/I838,""))</f>
        <v>0</v>
      </c>
      <c r="K838" s="8">
        <f>IF(OR(B838="",C838=""),"",IFERROR(C838*IFERROR(INDEX(Ingredients!$H$5:$H$304,MATCH(B838,Ingredients!$A$5:$A$304,0)),""),""))</f>
        <v>0</v>
      </c>
      <c r="L838" s="8">
        <f>IF(OR(B838="",C838=""),"",IFERROR(C838*IFERROR(INDEX(Ingredients!$I$5:$I$304,MATCH(B838,Ingredients!$A$5:$A$304,0)),""),""))</f>
        <v>0</v>
      </c>
      <c r="M838" s="8">
        <f>IF(OR(B838="",C838=""),"",IFERROR(C838*IFERROR(INDEX(Ingredients!$J$5:$J$304,MATCH(B838,Ingredients!$A$5:$A$304,0)),""),""))</f>
        <v>0</v>
      </c>
      <c r="N838" s="8">
        <f>IF(OR(B838="",C838=""),"",IFERROR(C838*IFERROR(INDEX(Ingredients!$K$5:$K$304,MATCH(B838,Ingredients!$A$5:$A$304,0)),""),""))</f>
        <v>0</v>
      </c>
      <c r="O838" s="8">
        <f>IF(OR(B838="",C838=""),"",IFERROR(C838*IFERROR(INDEX(Ingredients!$L$5:$L$304,MATCH(B838,Ingredients!$A$5:$A$304,0)),""),""))</f>
        <v>0</v>
      </c>
      <c r="P838" s="8">
        <f>IF(OR(H838="",A838=""),"",IFERROR(H838/SUMIFS('Recipe Ingredients'!$H$5:$H$1204,'Recipe Ingredients'!$A$5:$A$1204,A838),""))</f>
        <v>0</v>
      </c>
      <c r="Q838" s="8">
        <f>IF(H838="","",COUNTIFS($H$5:$H$1204,"&gt;"&amp;H838)+1)</f>
        <v>0</v>
      </c>
      <c r="R838" s="8">
        <f>IF(B838="","",SUMIFS(Pantry!$C$5:$C$304,Pantry!$A$5:$A$304,B838))</f>
        <v>0</v>
      </c>
      <c r="S838" s="8">
        <f>IF(OR(B838="",C838=""),"",MAX(0,C838-R838))</f>
        <v>0</v>
      </c>
      <c r="T838" s="26"/>
      <c r="U838" s="8">
        <f>IF(OR(T838="",T838=0,G838=""),"",T838*G838)</f>
        <v>0</v>
      </c>
      <c r="V838" s="8">
        <f>IF(OR(S838="",T838="",T838=0),"",CEILING(S838/T838,1))</f>
        <v>0</v>
      </c>
      <c r="W838" s="27"/>
      <c r="X838" s="29"/>
      <c r="Y838" s="8">
        <f>IF(OR(C838="",X838=""),"",C838*(1+X838))</f>
        <v>0</v>
      </c>
      <c r="Z838" s="8">
        <f>IF(B838="","",IFERROR(INDEX(Ingredients!$O$5:$O$304,MATCH(B838,Ingredients!$A$5:$A$304,0)),""))</f>
        <v>0</v>
      </c>
      <c r="AA838" s="8">
        <f>IF(B838="","",IF(R838&gt;=C838,"In pantry","To buy"))</f>
        <v>0</v>
      </c>
      <c r="AB838" s="8">
        <f>IF(A838="","",COUNTIFS($A$5:A838,A838))</f>
        <v>0</v>
      </c>
      <c r="AC838" s="8">
        <f>IF(B838="","",IF(COUNTIFS('Dietary Filters'!$C$5:$C$104,B838)&gt;0,"Check","OK"))</f>
        <v>0</v>
      </c>
      <c r="AD838" s="25"/>
    </row>
    <row r="839" spans="1:30">
      <c r="A839" s="7"/>
      <c r="B839" s="7"/>
      <c r="C839" s="26"/>
      <c r="D839" s="27"/>
      <c r="E839" s="8">
        <f>IF(B839="","",IFERROR(INDEX(Ingredients!$B$5:$B$304,MATCH(B839,Ingredients!$A$5:$A$304,0)),""))</f>
        <v>0</v>
      </c>
      <c r="F839" s="8">
        <f>IF(B839="","",IFERROR(INDEX(Ingredients!$E$5:$E$304,MATCH(B839,Ingredients!$A$5:$A$304,0)),""))</f>
        <v>0</v>
      </c>
      <c r="G839" s="8">
        <f>IF(B839="","",IFERROR(INDEX(Ingredients!$D$5:$D$304,MATCH(B839,Ingredients!$A$5:$A$304,0)),""))</f>
        <v>0</v>
      </c>
      <c r="H839" s="8">
        <f>IF(OR(B839="",C839=""),"",IFERROR(C839*G839,""))</f>
        <v>0</v>
      </c>
      <c r="I839" s="8">
        <f>IF(A839="","",IFERROR(INDEX(Recipes!$D$5:$D$204,MATCH(A839,Recipes!$A$5:$A$204,0)),""))</f>
        <v>0</v>
      </c>
      <c r="J839" s="8">
        <f>IF(OR(H839="",I839="",I839=0),"",IFERROR(H839/I839,""))</f>
        <v>0</v>
      </c>
      <c r="K839" s="8">
        <f>IF(OR(B839="",C839=""),"",IFERROR(C839*IFERROR(INDEX(Ingredients!$H$5:$H$304,MATCH(B839,Ingredients!$A$5:$A$304,0)),""),""))</f>
        <v>0</v>
      </c>
      <c r="L839" s="8">
        <f>IF(OR(B839="",C839=""),"",IFERROR(C839*IFERROR(INDEX(Ingredients!$I$5:$I$304,MATCH(B839,Ingredients!$A$5:$A$304,0)),""),""))</f>
        <v>0</v>
      </c>
      <c r="M839" s="8">
        <f>IF(OR(B839="",C839=""),"",IFERROR(C839*IFERROR(INDEX(Ingredients!$J$5:$J$304,MATCH(B839,Ingredients!$A$5:$A$304,0)),""),""))</f>
        <v>0</v>
      </c>
      <c r="N839" s="8">
        <f>IF(OR(B839="",C839=""),"",IFERROR(C839*IFERROR(INDEX(Ingredients!$K$5:$K$304,MATCH(B839,Ingredients!$A$5:$A$304,0)),""),""))</f>
        <v>0</v>
      </c>
      <c r="O839" s="8">
        <f>IF(OR(B839="",C839=""),"",IFERROR(C839*IFERROR(INDEX(Ingredients!$L$5:$L$304,MATCH(B839,Ingredients!$A$5:$A$304,0)),""),""))</f>
        <v>0</v>
      </c>
      <c r="P839" s="8">
        <f>IF(OR(H839="",A839=""),"",IFERROR(H839/SUMIFS('Recipe Ingredients'!$H$5:$H$1204,'Recipe Ingredients'!$A$5:$A$1204,A839),""))</f>
        <v>0</v>
      </c>
      <c r="Q839" s="8">
        <f>IF(H839="","",COUNTIFS($H$5:$H$1204,"&gt;"&amp;H839)+1)</f>
        <v>0</v>
      </c>
      <c r="R839" s="8">
        <f>IF(B839="","",SUMIFS(Pantry!$C$5:$C$304,Pantry!$A$5:$A$304,B839))</f>
        <v>0</v>
      </c>
      <c r="S839" s="8">
        <f>IF(OR(B839="",C839=""),"",MAX(0,C839-R839))</f>
        <v>0</v>
      </c>
      <c r="T839" s="26"/>
      <c r="U839" s="8">
        <f>IF(OR(T839="",T839=0,G839=""),"",T839*G839)</f>
        <v>0</v>
      </c>
      <c r="V839" s="8">
        <f>IF(OR(S839="",T839="",T839=0),"",CEILING(S839/T839,1))</f>
        <v>0</v>
      </c>
      <c r="W839" s="27"/>
      <c r="X839" s="29"/>
      <c r="Y839" s="8">
        <f>IF(OR(C839="",X839=""),"",C839*(1+X839))</f>
        <v>0</v>
      </c>
      <c r="Z839" s="8">
        <f>IF(B839="","",IFERROR(INDEX(Ingredients!$O$5:$O$304,MATCH(B839,Ingredients!$A$5:$A$304,0)),""))</f>
        <v>0</v>
      </c>
      <c r="AA839" s="8">
        <f>IF(B839="","",IF(R839&gt;=C839,"In pantry","To buy"))</f>
        <v>0</v>
      </c>
      <c r="AB839" s="8">
        <f>IF(A839="","",COUNTIFS($A$5:A839,A839))</f>
        <v>0</v>
      </c>
      <c r="AC839" s="8">
        <f>IF(B839="","",IF(COUNTIFS('Dietary Filters'!$C$5:$C$104,B839)&gt;0,"Check","OK"))</f>
        <v>0</v>
      </c>
      <c r="AD839" s="25"/>
    </row>
    <row r="840" spans="1:30">
      <c r="A840" s="7"/>
      <c r="B840" s="7"/>
      <c r="C840" s="26"/>
      <c r="D840" s="27"/>
      <c r="E840" s="8">
        <f>IF(B840="","",IFERROR(INDEX(Ingredients!$B$5:$B$304,MATCH(B840,Ingredients!$A$5:$A$304,0)),""))</f>
        <v>0</v>
      </c>
      <c r="F840" s="8">
        <f>IF(B840="","",IFERROR(INDEX(Ingredients!$E$5:$E$304,MATCH(B840,Ingredients!$A$5:$A$304,0)),""))</f>
        <v>0</v>
      </c>
      <c r="G840" s="8">
        <f>IF(B840="","",IFERROR(INDEX(Ingredients!$D$5:$D$304,MATCH(B840,Ingredients!$A$5:$A$304,0)),""))</f>
        <v>0</v>
      </c>
      <c r="H840" s="8">
        <f>IF(OR(B840="",C840=""),"",IFERROR(C840*G840,""))</f>
        <v>0</v>
      </c>
      <c r="I840" s="8">
        <f>IF(A840="","",IFERROR(INDEX(Recipes!$D$5:$D$204,MATCH(A840,Recipes!$A$5:$A$204,0)),""))</f>
        <v>0</v>
      </c>
      <c r="J840" s="8">
        <f>IF(OR(H840="",I840="",I840=0),"",IFERROR(H840/I840,""))</f>
        <v>0</v>
      </c>
      <c r="K840" s="8">
        <f>IF(OR(B840="",C840=""),"",IFERROR(C840*IFERROR(INDEX(Ingredients!$H$5:$H$304,MATCH(B840,Ingredients!$A$5:$A$304,0)),""),""))</f>
        <v>0</v>
      </c>
      <c r="L840" s="8">
        <f>IF(OR(B840="",C840=""),"",IFERROR(C840*IFERROR(INDEX(Ingredients!$I$5:$I$304,MATCH(B840,Ingredients!$A$5:$A$304,0)),""),""))</f>
        <v>0</v>
      </c>
      <c r="M840" s="8">
        <f>IF(OR(B840="",C840=""),"",IFERROR(C840*IFERROR(INDEX(Ingredients!$J$5:$J$304,MATCH(B840,Ingredients!$A$5:$A$304,0)),""),""))</f>
        <v>0</v>
      </c>
      <c r="N840" s="8">
        <f>IF(OR(B840="",C840=""),"",IFERROR(C840*IFERROR(INDEX(Ingredients!$K$5:$K$304,MATCH(B840,Ingredients!$A$5:$A$304,0)),""),""))</f>
        <v>0</v>
      </c>
      <c r="O840" s="8">
        <f>IF(OR(B840="",C840=""),"",IFERROR(C840*IFERROR(INDEX(Ingredients!$L$5:$L$304,MATCH(B840,Ingredients!$A$5:$A$304,0)),""),""))</f>
        <v>0</v>
      </c>
      <c r="P840" s="8">
        <f>IF(OR(H840="",A840=""),"",IFERROR(H840/SUMIFS('Recipe Ingredients'!$H$5:$H$1204,'Recipe Ingredients'!$A$5:$A$1204,A840),""))</f>
        <v>0</v>
      </c>
      <c r="Q840" s="8">
        <f>IF(H840="","",COUNTIFS($H$5:$H$1204,"&gt;"&amp;H840)+1)</f>
        <v>0</v>
      </c>
      <c r="R840" s="8">
        <f>IF(B840="","",SUMIFS(Pantry!$C$5:$C$304,Pantry!$A$5:$A$304,B840))</f>
        <v>0</v>
      </c>
      <c r="S840" s="8">
        <f>IF(OR(B840="",C840=""),"",MAX(0,C840-R840))</f>
        <v>0</v>
      </c>
      <c r="T840" s="26"/>
      <c r="U840" s="8">
        <f>IF(OR(T840="",T840=0,G840=""),"",T840*G840)</f>
        <v>0</v>
      </c>
      <c r="V840" s="8">
        <f>IF(OR(S840="",T840="",T840=0),"",CEILING(S840/T840,1))</f>
        <v>0</v>
      </c>
      <c r="W840" s="27"/>
      <c r="X840" s="29"/>
      <c r="Y840" s="8">
        <f>IF(OR(C840="",X840=""),"",C840*(1+X840))</f>
        <v>0</v>
      </c>
      <c r="Z840" s="8">
        <f>IF(B840="","",IFERROR(INDEX(Ingredients!$O$5:$O$304,MATCH(B840,Ingredients!$A$5:$A$304,0)),""))</f>
        <v>0</v>
      </c>
      <c r="AA840" s="8">
        <f>IF(B840="","",IF(R840&gt;=C840,"In pantry","To buy"))</f>
        <v>0</v>
      </c>
      <c r="AB840" s="8">
        <f>IF(A840="","",COUNTIFS($A$5:A840,A840))</f>
        <v>0</v>
      </c>
      <c r="AC840" s="8">
        <f>IF(B840="","",IF(COUNTIFS('Dietary Filters'!$C$5:$C$104,B840)&gt;0,"Check","OK"))</f>
        <v>0</v>
      </c>
      <c r="AD840" s="25"/>
    </row>
    <row r="841" spans="1:30">
      <c r="A841" s="7"/>
      <c r="B841" s="7"/>
      <c r="C841" s="26"/>
      <c r="D841" s="27"/>
      <c r="E841" s="8">
        <f>IF(B841="","",IFERROR(INDEX(Ingredients!$B$5:$B$304,MATCH(B841,Ingredients!$A$5:$A$304,0)),""))</f>
        <v>0</v>
      </c>
      <c r="F841" s="8">
        <f>IF(B841="","",IFERROR(INDEX(Ingredients!$E$5:$E$304,MATCH(B841,Ingredients!$A$5:$A$304,0)),""))</f>
        <v>0</v>
      </c>
      <c r="G841" s="8">
        <f>IF(B841="","",IFERROR(INDEX(Ingredients!$D$5:$D$304,MATCH(B841,Ingredients!$A$5:$A$304,0)),""))</f>
        <v>0</v>
      </c>
      <c r="H841" s="8">
        <f>IF(OR(B841="",C841=""),"",IFERROR(C841*G841,""))</f>
        <v>0</v>
      </c>
      <c r="I841" s="8">
        <f>IF(A841="","",IFERROR(INDEX(Recipes!$D$5:$D$204,MATCH(A841,Recipes!$A$5:$A$204,0)),""))</f>
        <v>0</v>
      </c>
      <c r="J841" s="8">
        <f>IF(OR(H841="",I841="",I841=0),"",IFERROR(H841/I841,""))</f>
        <v>0</v>
      </c>
      <c r="K841" s="8">
        <f>IF(OR(B841="",C841=""),"",IFERROR(C841*IFERROR(INDEX(Ingredients!$H$5:$H$304,MATCH(B841,Ingredients!$A$5:$A$304,0)),""),""))</f>
        <v>0</v>
      </c>
      <c r="L841" s="8">
        <f>IF(OR(B841="",C841=""),"",IFERROR(C841*IFERROR(INDEX(Ingredients!$I$5:$I$304,MATCH(B841,Ingredients!$A$5:$A$304,0)),""),""))</f>
        <v>0</v>
      </c>
      <c r="M841" s="8">
        <f>IF(OR(B841="",C841=""),"",IFERROR(C841*IFERROR(INDEX(Ingredients!$J$5:$J$304,MATCH(B841,Ingredients!$A$5:$A$304,0)),""),""))</f>
        <v>0</v>
      </c>
      <c r="N841" s="8">
        <f>IF(OR(B841="",C841=""),"",IFERROR(C841*IFERROR(INDEX(Ingredients!$K$5:$K$304,MATCH(B841,Ingredients!$A$5:$A$304,0)),""),""))</f>
        <v>0</v>
      </c>
      <c r="O841" s="8">
        <f>IF(OR(B841="",C841=""),"",IFERROR(C841*IFERROR(INDEX(Ingredients!$L$5:$L$304,MATCH(B841,Ingredients!$A$5:$A$304,0)),""),""))</f>
        <v>0</v>
      </c>
      <c r="P841" s="8">
        <f>IF(OR(H841="",A841=""),"",IFERROR(H841/SUMIFS('Recipe Ingredients'!$H$5:$H$1204,'Recipe Ingredients'!$A$5:$A$1204,A841),""))</f>
        <v>0</v>
      </c>
      <c r="Q841" s="8">
        <f>IF(H841="","",COUNTIFS($H$5:$H$1204,"&gt;"&amp;H841)+1)</f>
        <v>0</v>
      </c>
      <c r="R841" s="8">
        <f>IF(B841="","",SUMIFS(Pantry!$C$5:$C$304,Pantry!$A$5:$A$304,B841))</f>
        <v>0</v>
      </c>
      <c r="S841" s="8">
        <f>IF(OR(B841="",C841=""),"",MAX(0,C841-R841))</f>
        <v>0</v>
      </c>
      <c r="T841" s="26"/>
      <c r="U841" s="8">
        <f>IF(OR(T841="",T841=0,G841=""),"",T841*G841)</f>
        <v>0</v>
      </c>
      <c r="V841" s="8">
        <f>IF(OR(S841="",T841="",T841=0),"",CEILING(S841/T841,1))</f>
        <v>0</v>
      </c>
      <c r="W841" s="27"/>
      <c r="X841" s="29"/>
      <c r="Y841" s="8">
        <f>IF(OR(C841="",X841=""),"",C841*(1+X841))</f>
        <v>0</v>
      </c>
      <c r="Z841" s="8">
        <f>IF(B841="","",IFERROR(INDEX(Ingredients!$O$5:$O$304,MATCH(B841,Ingredients!$A$5:$A$304,0)),""))</f>
        <v>0</v>
      </c>
      <c r="AA841" s="8">
        <f>IF(B841="","",IF(R841&gt;=C841,"In pantry","To buy"))</f>
        <v>0</v>
      </c>
      <c r="AB841" s="8">
        <f>IF(A841="","",COUNTIFS($A$5:A841,A841))</f>
        <v>0</v>
      </c>
      <c r="AC841" s="8">
        <f>IF(B841="","",IF(COUNTIFS('Dietary Filters'!$C$5:$C$104,B841)&gt;0,"Check","OK"))</f>
        <v>0</v>
      </c>
      <c r="AD841" s="25"/>
    </row>
    <row r="842" spans="1:30">
      <c r="A842" s="7"/>
      <c r="B842" s="7"/>
      <c r="C842" s="26"/>
      <c r="D842" s="27"/>
      <c r="E842" s="8">
        <f>IF(B842="","",IFERROR(INDEX(Ingredients!$B$5:$B$304,MATCH(B842,Ingredients!$A$5:$A$304,0)),""))</f>
        <v>0</v>
      </c>
      <c r="F842" s="8">
        <f>IF(B842="","",IFERROR(INDEX(Ingredients!$E$5:$E$304,MATCH(B842,Ingredients!$A$5:$A$304,0)),""))</f>
        <v>0</v>
      </c>
      <c r="G842" s="8">
        <f>IF(B842="","",IFERROR(INDEX(Ingredients!$D$5:$D$304,MATCH(B842,Ingredients!$A$5:$A$304,0)),""))</f>
        <v>0</v>
      </c>
      <c r="H842" s="8">
        <f>IF(OR(B842="",C842=""),"",IFERROR(C842*G842,""))</f>
        <v>0</v>
      </c>
      <c r="I842" s="8">
        <f>IF(A842="","",IFERROR(INDEX(Recipes!$D$5:$D$204,MATCH(A842,Recipes!$A$5:$A$204,0)),""))</f>
        <v>0</v>
      </c>
      <c r="J842" s="8">
        <f>IF(OR(H842="",I842="",I842=0),"",IFERROR(H842/I842,""))</f>
        <v>0</v>
      </c>
      <c r="K842" s="8">
        <f>IF(OR(B842="",C842=""),"",IFERROR(C842*IFERROR(INDEX(Ingredients!$H$5:$H$304,MATCH(B842,Ingredients!$A$5:$A$304,0)),""),""))</f>
        <v>0</v>
      </c>
      <c r="L842" s="8">
        <f>IF(OR(B842="",C842=""),"",IFERROR(C842*IFERROR(INDEX(Ingredients!$I$5:$I$304,MATCH(B842,Ingredients!$A$5:$A$304,0)),""),""))</f>
        <v>0</v>
      </c>
      <c r="M842" s="8">
        <f>IF(OR(B842="",C842=""),"",IFERROR(C842*IFERROR(INDEX(Ingredients!$J$5:$J$304,MATCH(B842,Ingredients!$A$5:$A$304,0)),""),""))</f>
        <v>0</v>
      </c>
      <c r="N842" s="8">
        <f>IF(OR(B842="",C842=""),"",IFERROR(C842*IFERROR(INDEX(Ingredients!$K$5:$K$304,MATCH(B842,Ingredients!$A$5:$A$304,0)),""),""))</f>
        <v>0</v>
      </c>
      <c r="O842" s="8">
        <f>IF(OR(B842="",C842=""),"",IFERROR(C842*IFERROR(INDEX(Ingredients!$L$5:$L$304,MATCH(B842,Ingredients!$A$5:$A$304,0)),""),""))</f>
        <v>0</v>
      </c>
      <c r="P842" s="8">
        <f>IF(OR(H842="",A842=""),"",IFERROR(H842/SUMIFS('Recipe Ingredients'!$H$5:$H$1204,'Recipe Ingredients'!$A$5:$A$1204,A842),""))</f>
        <v>0</v>
      </c>
      <c r="Q842" s="8">
        <f>IF(H842="","",COUNTIFS($H$5:$H$1204,"&gt;"&amp;H842)+1)</f>
        <v>0</v>
      </c>
      <c r="R842" s="8">
        <f>IF(B842="","",SUMIFS(Pantry!$C$5:$C$304,Pantry!$A$5:$A$304,B842))</f>
        <v>0</v>
      </c>
      <c r="S842" s="8">
        <f>IF(OR(B842="",C842=""),"",MAX(0,C842-R842))</f>
        <v>0</v>
      </c>
      <c r="T842" s="26"/>
      <c r="U842" s="8">
        <f>IF(OR(T842="",T842=0,G842=""),"",T842*G842)</f>
        <v>0</v>
      </c>
      <c r="V842" s="8">
        <f>IF(OR(S842="",T842="",T842=0),"",CEILING(S842/T842,1))</f>
        <v>0</v>
      </c>
      <c r="W842" s="27"/>
      <c r="X842" s="29"/>
      <c r="Y842" s="8">
        <f>IF(OR(C842="",X842=""),"",C842*(1+X842))</f>
        <v>0</v>
      </c>
      <c r="Z842" s="8">
        <f>IF(B842="","",IFERROR(INDEX(Ingredients!$O$5:$O$304,MATCH(B842,Ingredients!$A$5:$A$304,0)),""))</f>
        <v>0</v>
      </c>
      <c r="AA842" s="8">
        <f>IF(B842="","",IF(R842&gt;=C842,"In pantry","To buy"))</f>
        <v>0</v>
      </c>
      <c r="AB842" s="8">
        <f>IF(A842="","",COUNTIFS($A$5:A842,A842))</f>
        <v>0</v>
      </c>
      <c r="AC842" s="8">
        <f>IF(B842="","",IF(COUNTIFS('Dietary Filters'!$C$5:$C$104,B842)&gt;0,"Check","OK"))</f>
        <v>0</v>
      </c>
      <c r="AD842" s="25"/>
    </row>
    <row r="843" spans="1:30">
      <c r="A843" s="7"/>
      <c r="B843" s="7"/>
      <c r="C843" s="26"/>
      <c r="D843" s="27"/>
      <c r="E843" s="8">
        <f>IF(B843="","",IFERROR(INDEX(Ingredients!$B$5:$B$304,MATCH(B843,Ingredients!$A$5:$A$304,0)),""))</f>
        <v>0</v>
      </c>
      <c r="F843" s="8">
        <f>IF(B843="","",IFERROR(INDEX(Ingredients!$E$5:$E$304,MATCH(B843,Ingredients!$A$5:$A$304,0)),""))</f>
        <v>0</v>
      </c>
      <c r="G843" s="8">
        <f>IF(B843="","",IFERROR(INDEX(Ingredients!$D$5:$D$304,MATCH(B843,Ingredients!$A$5:$A$304,0)),""))</f>
        <v>0</v>
      </c>
      <c r="H843" s="8">
        <f>IF(OR(B843="",C843=""),"",IFERROR(C843*G843,""))</f>
        <v>0</v>
      </c>
      <c r="I843" s="8">
        <f>IF(A843="","",IFERROR(INDEX(Recipes!$D$5:$D$204,MATCH(A843,Recipes!$A$5:$A$204,0)),""))</f>
        <v>0</v>
      </c>
      <c r="J843" s="8">
        <f>IF(OR(H843="",I843="",I843=0),"",IFERROR(H843/I843,""))</f>
        <v>0</v>
      </c>
      <c r="K843" s="8">
        <f>IF(OR(B843="",C843=""),"",IFERROR(C843*IFERROR(INDEX(Ingredients!$H$5:$H$304,MATCH(B843,Ingredients!$A$5:$A$304,0)),""),""))</f>
        <v>0</v>
      </c>
      <c r="L843" s="8">
        <f>IF(OR(B843="",C843=""),"",IFERROR(C843*IFERROR(INDEX(Ingredients!$I$5:$I$304,MATCH(B843,Ingredients!$A$5:$A$304,0)),""),""))</f>
        <v>0</v>
      </c>
      <c r="M843" s="8">
        <f>IF(OR(B843="",C843=""),"",IFERROR(C843*IFERROR(INDEX(Ingredients!$J$5:$J$304,MATCH(B843,Ingredients!$A$5:$A$304,0)),""),""))</f>
        <v>0</v>
      </c>
      <c r="N843" s="8">
        <f>IF(OR(B843="",C843=""),"",IFERROR(C843*IFERROR(INDEX(Ingredients!$K$5:$K$304,MATCH(B843,Ingredients!$A$5:$A$304,0)),""),""))</f>
        <v>0</v>
      </c>
      <c r="O843" s="8">
        <f>IF(OR(B843="",C843=""),"",IFERROR(C843*IFERROR(INDEX(Ingredients!$L$5:$L$304,MATCH(B843,Ingredients!$A$5:$A$304,0)),""),""))</f>
        <v>0</v>
      </c>
      <c r="P843" s="8">
        <f>IF(OR(H843="",A843=""),"",IFERROR(H843/SUMIFS('Recipe Ingredients'!$H$5:$H$1204,'Recipe Ingredients'!$A$5:$A$1204,A843),""))</f>
        <v>0</v>
      </c>
      <c r="Q843" s="8">
        <f>IF(H843="","",COUNTIFS($H$5:$H$1204,"&gt;"&amp;H843)+1)</f>
        <v>0</v>
      </c>
      <c r="R843" s="8">
        <f>IF(B843="","",SUMIFS(Pantry!$C$5:$C$304,Pantry!$A$5:$A$304,B843))</f>
        <v>0</v>
      </c>
      <c r="S843" s="8">
        <f>IF(OR(B843="",C843=""),"",MAX(0,C843-R843))</f>
        <v>0</v>
      </c>
      <c r="T843" s="26"/>
      <c r="U843" s="8">
        <f>IF(OR(T843="",T843=0,G843=""),"",T843*G843)</f>
        <v>0</v>
      </c>
      <c r="V843" s="8">
        <f>IF(OR(S843="",T843="",T843=0),"",CEILING(S843/T843,1))</f>
        <v>0</v>
      </c>
      <c r="W843" s="27"/>
      <c r="X843" s="29"/>
      <c r="Y843" s="8">
        <f>IF(OR(C843="",X843=""),"",C843*(1+X843))</f>
        <v>0</v>
      </c>
      <c r="Z843" s="8">
        <f>IF(B843="","",IFERROR(INDEX(Ingredients!$O$5:$O$304,MATCH(B843,Ingredients!$A$5:$A$304,0)),""))</f>
        <v>0</v>
      </c>
      <c r="AA843" s="8">
        <f>IF(B843="","",IF(R843&gt;=C843,"In pantry","To buy"))</f>
        <v>0</v>
      </c>
      <c r="AB843" s="8">
        <f>IF(A843="","",COUNTIFS($A$5:A843,A843))</f>
        <v>0</v>
      </c>
      <c r="AC843" s="8">
        <f>IF(B843="","",IF(COUNTIFS('Dietary Filters'!$C$5:$C$104,B843)&gt;0,"Check","OK"))</f>
        <v>0</v>
      </c>
      <c r="AD843" s="25"/>
    </row>
    <row r="844" spans="1:30">
      <c r="A844" s="7"/>
      <c r="B844" s="7"/>
      <c r="C844" s="26"/>
      <c r="D844" s="27"/>
      <c r="E844" s="8">
        <f>IF(B844="","",IFERROR(INDEX(Ingredients!$B$5:$B$304,MATCH(B844,Ingredients!$A$5:$A$304,0)),""))</f>
        <v>0</v>
      </c>
      <c r="F844" s="8">
        <f>IF(B844="","",IFERROR(INDEX(Ingredients!$E$5:$E$304,MATCH(B844,Ingredients!$A$5:$A$304,0)),""))</f>
        <v>0</v>
      </c>
      <c r="G844" s="8">
        <f>IF(B844="","",IFERROR(INDEX(Ingredients!$D$5:$D$304,MATCH(B844,Ingredients!$A$5:$A$304,0)),""))</f>
        <v>0</v>
      </c>
      <c r="H844" s="8">
        <f>IF(OR(B844="",C844=""),"",IFERROR(C844*G844,""))</f>
        <v>0</v>
      </c>
      <c r="I844" s="8">
        <f>IF(A844="","",IFERROR(INDEX(Recipes!$D$5:$D$204,MATCH(A844,Recipes!$A$5:$A$204,0)),""))</f>
        <v>0</v>
      </c>
      <c r="J844" s="8">
        <f>IF(OR(H844="",I844="",I844=0),"",IFERROR(H844/I844,""))</f>
        <v>0</v>
      </c>
      <c r="K844" s="8">
        <f>IF(OR(B844="",C844=""),"",IFERROR(C844*IFERROR(INDEX(Ingredients!$H$5:$H$304,MATCH(B844,Ingredients!$A$5:$A$304,0)),""),""))</f>
        <v>0</v>
      </c>
      <c r="L844" s="8">
        <f>IF(OR(B844="",C844=""),"",IFERROR(C844*IFERROR(INDEX(Ingredients!$I$5:$I$304,MATCH(B844,Ingredients!$A$5:$A$304,0)),""),""))</f>
        <v>0</v>
      </c>
      <c r="M844" s="8">
        <f>IF(OR(B844="",C844=""),"",IFERROR(C844*IFERROR(INDEX(Ingredients!$J$5:$J$304,MATCH(B844,Ingredients!$A$5:$A$304,0)),""),""))</f>
        <v>0</v>
      </c>
      <c r="N844" s="8">
        <f>IF(OR(B844="",C844=""),"",IFERROR(C844*IFERROR(INDEX(Ingredients!$K$5:$K$304,MATCH(B844,Ingredients!$A$5:$A$304,0)),""),""))</f>
        <v>0</v>
      </c>
      <c r="O844" s="8">
        <f>IF(OR(B844="",C844=""),"",IFERROR(C844*IFERROR(INDEX(Ingredients!$L$5:$L$304,MATCH(B844,Ingredients!$A$5:$A$304,0)),""),""))</f>
        <v>0</v>
      </c>
      <c r="P844" s="8">
        <f>IF(OR(H844="",A844=""),"",IFERROR(H844/SUMIFS('Recipe Ingredients'!$H$5:$H$1204,'Recipe Ingredients'!$A$5:$A$1204,A844),""))</f>
        <v>0</v>
      </c>
      <c r="Q844" s="8">
        <f>IF(H844="","",COUNTIFS($H$5:$H$1204,"&gt;"&amp;H844)+1)</f>
        <v>0</v>
      </c>
      <c r="R844" s="8">
        <f>IF(B844="","",SUMIFS(Pantry!$C$5:$C$304,Pantry!$A$5:$A$304,B844))</f>
        <v>0</v>
      </c>
      <c r="S844" s="8">
        <f>IF(OR(B844="",C844=""),"",MAX(0,C844-R844))</f>
        <v>0</v>
      </c>
      <c r="T844" s="26"/>
      <c r="U844" s="8">
        <f>IF(OR(T844="",T844=0,G844=""),"",T844*G844)</f>
        <v>0</v>
      </c>
      <c r="V844" s="8">
        <f>IF(OR(S844="",T844="",T844=0),"",CEILING(S844/T844,1))</f>
        <v>0</v>
      </c>
      <c r="W844" s="27"/>
      <c r="X844" s="29"/>
      <c r="Y844" s="8">
        <f>IF(OR(C844="",X844=""),"",C844*(1+X844))</f>
        <v>0</v>
      </c>
      <c r="Z844" s="8">
        <f>IF(B844="","",IFERROR(INDEX(Ingredients!$O$5:$O$304,MATCH(B844,Ingredients!$A$5:$A$304,0)),""))</f>
        <v>0</v>
      </c>
      <c r="AA844" s="8">
        <f>IF(B844="","",IF(R844&gt;=C844,"In pantry","To buy"))</f>
        <v>0</v>
      </c>
      <c r="AB844" s="8">
        <f>IF(A844="","",COUNTIFS($A$5:A844,A844))</f>
        <v>0</v>
      </c>
      <c r="AC844" s="8">
        <f>IF(B844="","",IF(COUNTIFS('Dietary Filters'!$C$5:$C$104,B844)&gt;0,"Check","OK"))</f>
        <v>0</v>
      </c>
      <c r="AD844" s="25"/>
    </row>
    <row r="845" spans="1:30">
      <c r="A845" s="7"/>
      <c r="B845" s="7"/>
      <c r="C845" s="26"/>
      <c r="D845" s="27"/>
      <c r="E845" s="8">
        <f>IF(B845="","",IFERROR(INDEX(Ingredients!$B$5:$B$304,MATCH(B845,Ingredients!$A$5:$A$304,0)),""))</f>
        <v>0</v>
      </c>
      <c r="F845" s="8">
        <f>IF(B845="","",IFERROR(INDEX(Ingredients!$E$5:$E$304,MATCH(B845,Ingredients!$A$5:$A$304,0)),""))</f>
        <v>0</v>
      </c>
      <c r="G845" s="8">
        <f>IF(B845="","",IFERROR(INDEX(Ingredients!$D$5:$D$304,MATCH(B845,Ingredients!$A$5:$A$304,0)),""))</f>
        <v>0</v>
      </c>
      <c r="H845" s="8">
        <f>IF(OR(B845="",C845=""),"",IFERROR(C845*G845,""))</f>
        <v>0</v>
      </c>
      <c r="I845" s="8">
        <f>IF(A845="","",IFERROR(INDEX(Recipes!$D$5:$D$204,MATCH(A845,Recipes!$A$5:$A$204,0)),""))</f>
        <v>0</v>
      </c>
      <c r="J845" s="8">
        <f>IF(OR(H845="",I845="",I845=0),"",IFERROR(H845/I845,""))</f>
        <v>0</v>
      </c>
      <c r="K845" s="8">
        <f>IF(OR(B845="",C845=""),"",IFERROR(C845*IFERROR(INDEX(Ingredients!$H$5:$H$304,MATCH(B845,Ingredients!$A$5:$A$304,0)),""),""))</f>
        <v>0</v>
      </c>
      <c r="L845" s="8">
        <f>IF(OR(B845="",C845=""),"",IFERROR(C845*IFERROR(INDEX(Ingredients!$I$5:$I$304,MATCH(B845,Ingredients!$A$5:$A$304,0)),""),""))</f>
        <v>0</v>
      </c>
      <c r="M845" s="8">
        <f>IF(OR(B845="",C845=""),"",IFERROR(C845*IFERROR(INDEX(Ingredients!$J$5:$J$304,MATCH(B845,Ingredients!$A$5:$A$304,0)),""),""))</f>
        <v>0</v>
      </c>
      <c r="N845" s="8">
        <f>IF(OR(B845="",C845=""),"",IFERROR(C845*IFERROR(INDEX(Ingredients!$K$5:$K$304,MATCH(B845,Ingredients!$A$5:$A$304,0)),""),""))</f>
        <v>0</v>
      </c>
      <c r="O845" s="8">
        <f>IF(OR(B845="",C845=""),"",IFERROR(C845*IFERROR(INDEX(Ingredients!$L$5:$L$304,MATCH(B845,Ingredients!$A$5:$A$304,0)),""),""))</f>
        <v>0</v>
      </c>
      <c r="P845" s="8">
        <f>IF(OR(H845="",A845=""),"",IFERROR(H845/SUMIFS('Recipe Ingredients'!$H$5:$H$1204,'Recipe Ingredients'!$A$5:$A$1204,A845),""))</f>
        <v>0</v>
      </c>
      <c r="Q845" s="8">
        <f>IF(H845="","",COUNTIFS($H$5:$H$1204,"&gt;"&amp;H845)+1)</f>
        <v>0</v>
      </c>
      <c r="R845" s="8">
        <f>IF(B845="","",SUMIFS(Pantry!$C$5:$C$304,Pantry!$A$5:$A$304,B845))</f>
        <v>0</v>
      </c>
      <c r="S845" s="8">
        <f>IF(OR(B845="",C845=""),"",MAX(0,C845-R845))</f>
        <v>0</v>
      </c>
      <c r="T845" s="26"/>
      <c r="U845" s="8">
        <f>IF(OR(T845="",T845=0,G845=""),"",T845*G845)</f>
        <v>0</v>
      </c>
      <c r="V845" s="8">
        <f>IF(OR(S845="",T845="",T845=0),"",CEILING(S845/T845,1))</f>
        <v>0</v>
      </c>
      <c r="W845" s="27"/>
      <c r="X845" s="29"/>
      <c r="Y845" s="8">
        <f>IF(OR(C845="",X845=""),"",C845*(1+X845))</f>
        <v>0</v>
      </c>
      <c r="Z845" s="8">
        <f>IF(B845="","",IFERROR(INDEX(Ingredients!$O$5:$O$304,MATCH(B845,Ingredients!$A$5:$A$304,0)),""))</f>
        <v>0</v>
      </c>
      <c r="AA845" s="8">
        <f>IF(B845="","",IF(R845&gt;=C845,"In pantry","To buy"))</f>
        <v>0</v>
      </c>
      <c r="AB845" s="8">
        <f>IF(A845="","",COUNTIFS($A$5:A845,A845))</f>
        <v>0</v>
      </c>
      <c r="AC845" s="8">
        <f>IF(B845="","",IF(COUNTIFS('Dietary Filters'!$C$5:$C$104,B845)&gt;0,"Check","OK"))</f>
        <v>0</v>
      </c>
      <c r="AD845" s="25"/>
    </row>
    <row r="846" spans="1:30">
      <c r="A846" s="7"/>
      <c r="B846" s="7"/>
      <c r="C846" s="26"/>
      <c r="D846" s="27"/>
      <c r="E846" s="8">
        <f>IF(B846="","",IFERROR(INDEX(Ingredients!$B$5:$B$304,MATCH(B846,Ingredients!$A$5:$A$304,0)),""))</f>
        <v>0</v>
      </c>
      <c r="F846" s="8">
        <f>IF(B846="","",IFERROR(INDEX(Ingredients!$E$5:$E$304,MATCH(B846,Ingredients!$A$5:$A$304,0)),""))</f>
        <v>0</v>
      </c>
      <c r="G846" s="8">
        <f>IF(B846="","",IFERROR(INDEX(Ingredients!$D$5:$D$304,MATCH(B846,Ingredients!$A$5:$A$304,0)),""))</f>
        <v>0</v>
      </c>
      <c r="H846" s="8">
        <f>IF(OR(B846="",C846=""),"",IFERROR(C846*G846,""))</f>
        <v>0</v>
      </c>
      <c r="I846" s="8">
        <f>IF(A846="","",IFERROR(INDEX(Recipes!$D$5:$D$204,MATCH(A846,Recipes!$A$5:$A$204,0)),""))</f>
        <v>0</v>
      </c>
      <c r="J846" s="8">
        <f>IF(OR(H846="",I846="",I846=0),"",IFERROR(H846/I846,""))</f>
        <v>0</v>
      </c>
      <c r="K846" s="8">
        <f>IF(OR(B846="",C846=""),"",IFERROR(C846*IFERROR(INDEX(Ingredients!$H$5:$H$304,MATCH(B846,Ingredients!$A$5:$A$304,0)),""),""))</f>
        <v>0</v>
      </c>
      <c r="L846" s="8">
        <f>IF(OR(B846="",C846=""),"",IFERROR(C846*IFERROR(INDEX(Ingredients!$I$5:$I$304,MATCH(B846,Ingredients!$A$5:$A$304,0)),""),""))</f>
        <v>0</v>
      </c>
      <c r="M846" s="8">
        <f>IF(OR(B846="",C846=""),"",IFERROR(C846*IFERROR(INDEX(Ingredients!$J$5:$J$304,MATCH(B846,Ingredients!$A$5:$A$304,0)),""),""))</f>
        <v>0</v>
      </c>
      <c r="N846" s="8">
        <f>IF(OR(B846="",C846=""),"",IFERROR(C846*IFERROR(INDEX(Ingredients!$K$5:$K$304,MATCH(B846,Ingredients!$A$5:$A$304,0)),""),""))</f>
        <v>0</v>
      </c>
      <c r="O846" s="8">
        <f>IF(OR(B846="",C846=""),"",IFERROR(C846*IFERROR(INDEX(Ingredients!$L$5:$L$304,MATCH(B846,Ingredients!$A$5:$A$304,0)),""),""))</f>
        <v>0</v>
      </c>
      <c r="P846" s="8">
        <f>IF(OR(H846="",A846=""),"",IFERROR(H846/SUMIFS('Recipe Ingredients'!$H$5:$H$1204,'Recipe Ingredients'!$A$5:$A$1204,A846),""))</f>
        <v>0</v>
      </c>
      <c r="Q846" s="8">
        <f>IF(H846="","",COUNTIFS($H$5:$H$1204,"&gt;"&amp;H846)+1)</f>
        <v>0</v>
      </c>
      <c r="R846" s="8">
        <f>IF(B846="","",SUMIFS(Pantry!$C$5:$C$304,Pantry!$A$5:$A$304,B846))</f>
        <v>0</v>
      </c>
      <c r="S846" s="8">
        <f>IF(OR(B846="",C846=""),"",MAX(0,C846-R846))</f>
        <v>0</v>
      </c>
      <c r="T846" s="26"/>
      <c r="U846" s="8">
        <f>IF(OR(T846="",T846=0,G846=""),"",T846*G846)</f>
        <v>0</v>
      </c>
      <c r="V846" s="8">
        <f>IF(OR(S846="",T846="",T846=0),"",CEILING(S846/T846,1))</f>
        <v>0</v>
      </c>
      <c r="W846" s="27"/>
      <c r="X846" s="29"/>
      <c r="Y846" s="8">
        <f>IF(OR(C846="",X846=""),"",C846*(1+X846))</f>
        <v>0</v>
      </c>
      <c r="Z846" s="8">
        <f>IF(B846="","",IFERROR(INDEX(Ingredients!$O$5:$O$304,MATCH(B846,Ingredients!$A$5:$A$304,0)),""))</f>
        <v>0</v>
      </c>
      <c r="AA846" s="8">
        <f>IF(B846="","",IF(R846&gt;=C846,"In pantry","To buy"))</f>
        <v>0</v>
      </c>
      <c r="AB846" s="8">
        <f>IF(A846="","",COUNTIFS($A$5:A846,A846))</f>
        <v>0</v>
      </c>
      <c r="AC846" s="8">
        <f>IF(B846="","",IF(COUNTIFS('Dietary Filters'!$C$5:$C$104,B846)&gt;0,"Check","OK"))</f>
        <v>0</v>
      </c>
      <c r="AD846" s="25"/>
    </row>
    <row r="847" spans="1:30">
      <c r="A847" s="7"/>
      <c r="B847" s="7"/>
      <c r="C847" s="26"/>
      <c r="D847" s="27"/>
      <c r="E847" s="8">
        <f>IF(B847="","",IFERROR(INDEX(Ingredients!$B$5:$B$304,MATCH(B847,Ingredients!$A$5:$A$304,0)),""))</f>
        <v>0</v>
      </c>
      <c r="F847" s="8">
        <f>IF(B847="","",IFERROR(INDEX(Ingredients!$E$5:$E$304,MATCH(B847,Ingredients!$A$5:$A$304,0)),""))</f>
        <v>0</v>
      </c>
      <c r="G847" s="8">
        <f>IF(B847="","",IFERROR(INDEX(Ingredients!$D$5:$D$304,MATCH(B847,Ingredients!$A$5:$A$304,0)),""))</f>
        <v>0</v>
      </c>
      <c r="H847" s="8">
        <f>IF(OR(B847="",C847=""),"",IFERROR(C847*G847,""))</f>
        <v>0</v>
      </c>
      <c r="I847" s="8">
        <f>IF(A847="","",IFERROR(INDEX(Recipes!$D$5:$D$204,MATCH(A847,Recipes!$A$5:$A$204,0)),""))</f>
        <v>0</v>
      </c>
      <c r="J847" s="8">
        <f>IF(OR(H847="",I847="",I847=0),"",IFERROR(H847/I847,""))</f>
        <v>0</v>
      </c>
      <c r="K847" s="8">
        <f>IF(OR(B847="",C847=""),"",IFERROR(C847*IFERROR(INDEX(Ingredients!$H$5:$H$304,MATCH(B847,Ingredients!$A$5:$A$304,0)),""),""))</f>
        <v>0</v>
      </c>
      <c r="L847" s="8">
        <f>IF(OR(B847="",C847=""),"",IFERROR(C847*IFERROR(INDEX(Ingredients!$I$5:$I$304,MATCH(B847,Ingredients!$A$5:$A$304,0)),""),""))</f>
        <v>0</v>
      </c>
      <c r="M847" s="8">
        <f>IF(OR(B847="",C847=""),"",IFERROR(C847*IFERROR(INDEX(Ingredients!$J$5:$J$304,MATCH(B847,Ingredients!$A$5:$A$304,0)),""),""))</f>
        <v>0</v>
      </c>
      <c r="N847" s="8">
        <f>IF(OR(B847="",C847=""),"",IFERROR(C847*IFERROR(INDEX(Ingredients!$K$5:$K$304,MATCH(B847,Ingredients!$A$5:$A$304,0)),""),""))</f>
        <v>0</v>
      </c>
      <c r="O847" s="8">
        <f>IF(OR(B847="",C847=""),"",IFERROR(C847*IFERROR(INDEX(Ingredients!$L$5:$L$304,MATCH(B847,Ingredients!$A$5:$A$304,0)),""),""))</f>
        <v>0</v>
      </c>
      <c r="P847" s="8">
        <f>IF(OR(H847="",A847=""),"",IFERROR(H847/SUMIFS('Recipe Ingredients'!$H$5:$H$1204,'Recipe Ingredients'!$A$5:$A$1204,A847),""))</f>
        <v>0</v>
      </c>
      <c r="Q847" s="8">
        <f>IF(H847="","",COUNTIFS($H$5:$H$1204,"&gt;"&amp;H847)+1)</f>
        <v>0</v>
      </c>
      <c r="R847" s="8">
        <f>IF(B847="","",SUMIFS(Pantry!$C$5:$C$304,Pantry!$A$5:$A$304,B847))</f>
        <v>0</v>
      </c>
      <c r="S847" s="8">
        <f>IF(OR(B847="",C847=""),"",MAX(0,C847-R847))</f>
        <v>0</v>
      </c>
      <c r="T847" s="26"/>
      <c r="U847" s="8">
        <f>IF(OR(T847="",T847=0,G847=""),"",T847*G847)</f>
        <v>0</v>
      </c>
      <c r="V847" s="8">
        <f>IF(OR(S847="",T847="",T847=0),"",CEILING(S847/T847,1))</f>
        <v>0</v>
      </c>
      <c r="W847" s="27"/>
      <c r="X847" s="29"/>
      <c r="Y847" s="8">
        <f>IF(OR(C847="",X847=""),"",C847*(1+X847))</f>
        <v>0</v>
      </c>
      <c r="Z847" s="8">
        <f>IF(B847="","",IFERROR(INDEX(Ingredients!$O$5:$O$304,MATCH(B847,Ingredients!$A$5:$A$304,0)),""))</f>
        <v>0</v>
      </c>
      <c r="AA847" s="8">
        <f>IF(B847="","",IF(R847&gt;=C847,"In pantry","To buy"))</f>
        <v>0</v>
      </c>
      <c r="AB847" s="8">
        <f>IF(A847="","",COUNTIFS($A$5:A847,A847))</f>
        <v>0</v>
      </c>
      <c r="AC847" s="8">
        <f>IF(B847="","",IF(COUNTIFS('Dietary Filters'!$C$5:$C$104,B847)&gt;0,"Check","OK"))</f>
        <v>0</v>
      </c>
      <c r="AD847" s="25"/>
    </row>
    <row r="848" spans="1:30">
      <c r="A848" s="7"/>
      <c r="B848" s="7"/>
      <c r="C848" s="26"/>
      <c r="D848" s="27"/>
      <c r="E848" s="8">
        <f>IF(B848="","",IFERROR(INDEX(Ingredients!$B$5:$B$304,MATCH(B848,Ingredients!$A$5:$A$304,0)),""))</f>
        <v>0</v>
      </c>
      <c r="F848" s="8">
        <f>IF(B848="","",IFERROR(INDEX(Ingredients!$E$5:$E$304,MATCH(B848,Ingredients!$A$5:$A$304,0)),""))</f>
        <v>0</v>
      </c>
      <c r="G848" s="8">
        <f>IF(B848="","",IFERROR(INDEX(Ingredients!$D$5:$D$304,MATCH(B848,Ingredients!$A$5:$A$304,0)),""))</f>
        <v>0</v>
      </c>
      <c r="H848" s="8">
        <f>IF(OR(B848="",C848=""),"",IFERROR(C848*G848,""))</f>
        <v>0</v>
      </c>
      <c r="I848" s="8">
        <f>IF(A848="","",IFERROR(INDEX(Recipes!$D$5:$D$204,MATCH(A848,Recipes!$A$5:$A$204,0)),""))</f>
        <v>0</v>
      </c>
      <c r="J848" s="8">
        <f>IF(OR(H848="",I848="",I848=0),"",IFERROR(H848/I848,""))</f>
        <v>0</v>
      </c>
      <c r="K848" s="8">
        <f>IF(OR(B848="",C848=""),"",IFERROR(C848*IFERROR(INDEX(Ingredients!$H$5:$H$304,MATCH(B848,Ingredients!$A$5:$A$304,0)),""),""))</f>
        <v>0</v>
      </c>
      <c r="L848" s="8">
        <f>IF(OR(B848="",C848=""),"",IFERROR(C848*IFERROR(INDEX(Ingredients!$I$5:$I$304,MATCH(B848,Ingredients!$A$5:$A$304,0)),""),""))</f>
        <v>0</v>
      </c>
      <c r="M848" s="8">
        <f>IF(OR(B848="",C848=""),"",IFERROR(C848*IFERROR(INDEX(Ingredients!$J$5:$J$304,MATCH(B848,Ingredients!$A$5:$A$304,0)),""),""))</f>
        <v>0</v>
      </c>
      <c r="N848" s="8">
        <f>IF(OR(B848="",C848=""),"",IFERROR(C848*IFERROR(INDEX(Ingredients!$K$5:$K$304,MATCH(B848,Ingredients!$A$5:$A$304,0)),""),""))</f>
        <v>0</v>
      </c>
      <c r="O848" s="8">
        <f>IF(OR(B848="",C848=""),"",IFERROR(C848*IFERROR(INDEX(Ingredients!$L$5:$L$304,MATCH(B848,Ingredients!$A$5:$A$304,0)),""),""))</f>
        <v>0</v>
      </c>
      <c r="P848" s="8">
        <f>IF(OR(H848="",A848=""),"",IFERROR(H848/SUMIFS('Recipe Ingredients'!$H$5:$H$1204,'Recipe Ingredients'!$A$5:$A$1204,A848),""))</f>
        <v>0</v>
      </c>
      <c r="Q848" s="8">
        <f>IF(H848="","",COUNTIFS($H$5:$H$1204,"&gt;"&amp;H848)+1)</f>
        <v>0</v>
      </c>
      <c r="R848" s="8">
        <f>IF(B848="","",SUMIFS(Pantry!$C$5:$C$304,Pantry!$A$5:$A$304,B848))</f>
        <v>0</v>
      </c>
      <c r="S848" s="8">
        <f>IF(OR(B848="",C848=""),"",MAX(0,C848-R848))</f>
        <v>0</v>
      </c>
      <c r="T848" s="26"/>
      <c r="U848" s="8">
        <f>IF(OR(T848="",T848=0,G848=""),"",T848*G848)</f>
        <v>0</v>
      </c>
      <c r="V848" s="8">
        <f>IF(OR(S848="",T848="",T848=0),"",CEILING(S848/T848,1))</f>
        <v>0</v>
      </c>
      <c r="W848" s="27"/>
      <c r="X848" s="29"/>
      <c r="Y848" s="8">
        <f>IF(OR(C848="",X848=""),"",C848*(1+X848))</f>
        <v>0</v>
      </c>
      <c r="Z848" s="8">
        <f>IF(B848="","",IFERROR(INDEX(Ingredients!$O$5:$O$304,MATCH(B848,Ingredients!$A$5:$A$304,0)),""))</f>
        <v>0</v>
      </c>
      <c r="AA848" s="8">
        <f>IF(B848="","",IF(R848&gt;=C848,"In pantry","To buy"))</f>
        <v>0</v>
      </c>
      <c r="AB848" s="8">
        <f>IF(A848="","",COUNTIFS($A$5:A848,A848))</f>
        <v>0</v>
      </c>
      <c r="AC848" s="8">
        <f>IF(B848="","",IF(COUNTIFS('Dietary Filters'!$C$5:$C$104,B848)&gt;0,"Check","OK"))</f>
        <v>0</v>
      </c>
      <c r="AD848" s="25"/>
    </row>
    <row r="849" spans="1:30">
      <c r="A849" s="7"/>
      <c r="B849" s="7"/>
      <c r="C849" s="26"/>
      <c r="D849" s="27"/>
      <c r="E849" s="8">
        <f>IF(B849="","",IFERROR(INDEX(Ingredients!$B$5:$B$304,MATCH(B849,Ingredients!$A$5:$A$304,0)),""))</f>
        <v>0</v>
      </c>
      <c r="F849" s="8">
        <f>IF(B849="","",IFERROR(INDEX(Ingredients!$E$5:$E$304,MATCH(B849,Ingredients!$A$5:$A$304,0)),""))</f>
        <v>0</v>
      </c>
      <c r="G849" s="8">
        <f>IF(B849="","",IFERROR(INDEX(Ingredients!$D$5:$D$304,MATCH(B849,Ingredients!$A$5:$A$304,0)),""))</f>
        <v>0</v>
      </c>
      <c r="H849" s="8">
        <f>IF(OR(B849="",C849=""),"",IFERROR(C849*G849,""))</f>
        <v>0</v>
      </c>
      <c r="I849" s="8">
        <f>IF(A849="","",IFERROR(INDEX(Recipes!$D$5:$D$204,MATCH(A849,Recipes!$A$5:$A$204,0)),""))</f>
        <v>0</v>
      </c>
      <c r="J849" s="8">
        <f>IF(OR(H849="",I849="",I849=0),"",IFERROR(H849/I849,""))</f>
        <v>0</v>
      </c>
      <c r="K849" s="8">
        <f>IF(OR(B849="",C849=""),"",IFERROR(C849*IFERROR(INDEX(Ingredients!$H$5:$H$304,MATCH(B849,Ingredients!$A$5:$A$304,0)),""),""))</f>
        <v>0</v>
      </c>
      <c r="L849" s="8">
        <f>IF(OR(B849="",C849=""),"",IFERROR(C849*IFERROR(INDEX(Ingredients!$I$5:$I$304,MATCH(B849,Ingredients!$A$5:$A$304,0)),""),""))</f>
        <v>0</v>
      </c>
      <c r="M849" s="8">
        <f>IF(OR(B849="",C849=""),"",IFERROR(C849*IFERROR(INDEX(Ingredients!$J$5:$J$304,MATCH(B849,Ingredients!$A$5:$A$304,0)),""),""))</f>
        <v>0</v>
      </c>
      <c r="N849" s="8">
        <f>IF(OR(B849="",C849=""),"",IFERROR(C849*IFERROR(INDEX(Ingredients!$K$5:$K$304,MATCH(B849,Ingredients!$A$5:$A$304,0)),""),""))</f>
        <v>0</v>
      </c>
      <c r="O849" s="8">
        <f>IF(OR(B849="",C849=""),"",IFERROR(C849*IFERROR(INDEX(Ingredients!$L$5:$L$304,MATCH(B849,Ingredients!$A$5:$A$304,0)),""),""))</f>
        <v>0</v>
      </c>
      <c r="P849" s="8">
        <f>IF(OR(H849="",A849=""),"",IFERROR(H849/SUMIFS('Recipe Ingredients'!$H$5:$H$1204,'Recipe Ingredients'!$A$5:$A$1204,A849),""))</f>
        <v>0</v>
      </c>
      <c r="Q849" s="8">
        <f>IF(H849="","",COUNTIFS($H$5:$H$1204,"&gt;"&amp;H849)+1)</f>
        <v>0</v>
      </c>
      <c r="R849" s="8">
        <f>IF(B849="","",SUMIFS(Pantry!$C$5:$C$304,Pantry!$A$5:$A$304,B849))</f>
        <v>0</v>
      </c>
      <c r="S849" s="8">
        <f>IF(OR(B849="",C849=""),"",MAX(0,C849-R849))</f>
        <v>0</v>
      </c>
      <c r="T849" s="26"/>
      <c r="U849" s="8">
        <f>IF(OR(T849="",T849=0,G849=""),"",T849*G849)</f>
        <v>0</v>
      </c>
      <c r="V849" s="8">
        <f>IF(OR(S849="",T849="",T849=0),"",CEILING(S849/T849,1))</f>
        <v>0</v>
      </c>
      <c r="W849" s="27"/>
      <c r="X849" s="29"/>
      <c r="Y849" s="8">
        <f>IF(OR(C849="",X849=""),"",C849*(1+X849))</f>
        <v>0</v>
      </c>
      <c r="Z849" s="8">
        <f>IF(B849="","",IFERROR(INDEX(Ingredients!$O$5:$O$304,MATCH(B849,Ingredients!$A$5:$A$304,0)),""))</f>
        <v>0</v>
      </c>
      <c r="AA849" s="8">
        <f>IF(B849="","",IF(R849&gt;=C849,"In pantry","To buy"))</f>
        <v>0</v>
      </c>
      <c r="AB849" s="8">
        <f>IF(A849="","",COUNTIFS($A$5:A849,A849))</f>
        <v>0</v>
      </c>
      <c r="AC849" s="8">
        <f>IF(B849="","",IF(COUNTIFS('Dietary Filters'!$C$5:$C$104,B849)&gt;0,"Check","OK"))</f>
        <v>0</v>
      </c>
      <c r="AD849" s="25"/>
    </row>
    <row r="850" spans="1:30">
      <c r="A850" s="7"/>
      <c r="B850" s="7"/>
      <c r="C850" s="26"/>
      <c r="D850" s="27"/>
      <c r="E850" s="8">
        <f>IF(B850="","",IFERROR(INDEX(Ingredients!$B$5:$B$304,MATCH(B850,Ingredients!$A$5:$A$304,0)),""))</f>
        <v>0</v>
      </c>
      <c r="F850" s="8">
        <f>IF(B850="","",IFERROR(INDEX(Ingredients!$E$5:$E$304,MATCH(B850,Ingredients!$A$5:$A$304,0)),""))</f>
        <v>0</v>
      </c>
      <c r="G850" s="8">
        <f>IF(B850="","",IFERROR(INDEX(Ingredients!$D$5:$D$304,MATCH(B850,Ingredients!$A$5:$A$304,0)),""))</f>
        <v>0</v>
      </c>
      <c r="H850" s="8">
        <f>IF(OR(B850="",C850=""),"",IFERROR(C850*G850,""))</f>
        <v>0</v>
      </c>
      <c r="I850" s="8">
        <f>IF(A850="","",IFERROR(INDEX(Recipes!$D$5:$D$204,MATCH(A850,Recipes!$A$5:$A$204,0)),""))</f>
        <v>0</v>
      </c>
      <c r="J850" s="8">
        <f>IF(OR(H850="",I850="",I850=0),"",IFERROR(H850/I850,""))</f>
        <v>0</v>
      </c>
      <c r="K850" s="8">
        <f>IF(OR(B850="",C850=""),"",IFERROR(C850*IFERROR(INDEX(Ingredients!$H$5:$H$304,MATCH(B850,Ingredients!$A$5:$A$304,0)),""),""))</f>
        <v>0</v>
      </c>
      <c r="L850" s="8">
        <f>IF(OR(B850="",C850=""),"",IFERROR(C850*IFERROR(INDEX(Ingredients!$I$5:$I$304,MATCH(B850,Ingredients!$A$5:$A$304,0)),""),""))</f>
        <v>0</v>
      </c>
      <c r="M850" s="8">
        <f>IF(OR(B850="",C850=""),"",IFERROR(C850*IFERROR(INDEX(Ingredients!$J$5:$J$304,MATCH(B850,Ingredients!$A$5:$A$304,0)),""),""))</f>
        <v>0</v>
      </c>
      <c r="N850" s="8">
        <f>IF(OR(B850="",C850=""),"",IFERROR(C850*IFERROR(INDEX(Ingredients!$K$5:$K$304,MATCH(B850,Ingredients!$A$5:$A$304,0)),""),""))</f>
        <v>0</v>
      </c>
      <c r="O850" s="8">
        <f>IF(OR(B850="",C850=""),"",IFERROR(C850*IFERROR(INDEX(Ingredients!$L$5:$L$304,MATCH(B850,Ingredients!$A$5:$A$304,0)),""),""))</f>
        <v>0</v>
      </c>
      <c r="P850" s="8">
        <f>IF(OR(H850="",A850=""),"",IFERROR(H850/SUMIFS('Recipe Ingredients'!$H$5:$H$1204,'Recipe Ingredients'!$A$5:$A$1204,A850),""))</f>
        <v>0</v>
      </c>
      <c r="Q850" s="8">
        <f>IF(H850="","",COUNTIFS($H$5:$H$1204,"&gt;"&amp;H850)+1)</f>
        <v>0</v>
      </c>
      <c r="R850" s="8">
        <f>IF(B850="","",SUMIFS(Pantry!$C$5:$C$304,Pantry!$A$5:$A$304,B850))</f>
        <v>0</v>
      </c>
      <c r="S850" s="8">
        <f>IF(OR(B850="",C850=""),"",MAX(0,C850-R850))</f>
        <v>0</v>
      </c>
      <c r="T850" s="26"/>
      <c r="U850" s="8">
        <f>IF(OR(T850="",T850=0,G850=""),"",T850*G850)</f>
        <v>0</v>
      </c>
      <c r="V850" s="8">
        <f>IF(OR(S850="",T850="",T850=0),"",CEILING(S850/T850,1))</f>
        <v>0</v>
      </c>
      <c r="W850" s="27"/>
      <c r="X850" s="29"/>
      <c r="Y850" s="8">
        <f>IF(OR(C850="",X850=""),"",C850*(1+X850))</f>
        <v>0</v>
      </c>
      <c r="Z850" s="8">
        <f>IF(B850="","",IFERROR(INDEX(Ingredients!$O$5:$O$304,MATCH(B850,Ingredients!$A$5:$A$304,0)),""))</f>
        <v>0</v>
      </c>
      <c r="AA850" s="8">
        <f>IF(B850="","",IF(R850&gt;=C850,"In pantry","To buy"))</f>
        <v>0</v>
      </c>
      <c r="AB850" s="8">
        <f>IF(A850="","",COUNTIFS($A$5:A850,A850))</f>
        <v>0</v>
      </c>
      <c r="AC850" s="8">
        <f>IF(B850="","",IF(COUNTIFS('Dietary Filters'!$C$5:$C$104,B850)&gt;0,"Check","OK"))</f>
        <v>0</v>
      </c>
      <c r="AD850" s="25"/>
    </row>
    <row r="851" spans="1:30">
      <c r="A851" s="7"/>
      <c r="B851" s="7"/>
      <c r="C851" s="26"/>
      <c r="D851" s="27"/>
      <c r="E851" s="8">
        <f>IF(B851="","",IFERROR(INDEX(Ingredients!$B$5:$B$304,MATCH(B851,Ingredients!$A$5:$A$304,0)),""))</f>
        <v>0</v>
      </c>
      <c r="F851" s="8">
        <f>IF(B851="","",IFERROR(INDEX(Ingredients!$E$5:$E$304,MATCH(B851,Ingredients!$A$5:$A$304,0)),""))</f>
        <v>0</v>
      </c>
      <c r="G851" s="8">
        <f>IF(B851="","",IFERROR(INDEX(Ingredients!$D$5:$D$304,MATCH(B851,Ingredients!$A$5:$A$304,0)),""))</f>
        <v>0</v>
      </c>
      <c r="H851" s="8">
        <f>IF(OR(B851="",C851=""),"",IFERROR(C851*G851,""))</f>
        <v>0</v>
      </c>
      <c r="I851" s="8">
        <f>IF(A851="","",IFERROR(INDEX(Recipes!$D$5:$D$204,MATCH(A851,Recipes!$A$5:$A$204,0)),""))</f>
        <v>0</v>
      </c>
      <c r="J851" s="8">
        <f>IF(OR(H851="",I851="",I851=0),"",IFERROR(H851/I851,""))</f>
        <v>0</v>
      </c>
      <c r="K851" s="8">
        <f>IF(OR(B851="",C851=""),"",IFERROR(C851*IFERROR(INDEX(Ingredients!$H$5:$H$304,MATCH(B851,Ingredients!$A$5:$A$304,0)),""),""))</f>
        <v>0</v>
      </c>
      <c r="L851" s="8">
        <f>IF(OR(B851="",C851=""),"",IFERROR(C851*IFERROR(INDEX(Ingredients!$I$5:$I$304,MATCH(B851,Ingredients!$A$5:$A$304,0)),""),""))</f>
        <v>0</v>
      </c>
      <c r="M851" s="8">
        <f>IF(OR(B851="",C851=""),"",IFERROR(C851*IFERROR(INDEX(Ingredients!$J$5:$J$304,MATCH(B851,Ingredients!$A$5:$A$304,0)),""),""))</f>
        <v>0</v>
      </c>
      <c r="N851" s="8">
        <f>IF(OR(B851="",C851=""),"",IFERROR(C851*IFERROR(INDEX(Ingredients!$K$5:$K$304,MATCH(B851,Ingredients!$A$5:$A$304,0)),""),""))</f>
        <v>0</v>
      </c>
      <c r="O851" s="8">
        <f>IF(OR(B851="",C851=""),"",IFERROR(C851*IFERROR(INDEX(Ingredients!$L$5:$L$304,MATCH(B851,Ingredients!$A$5:$A$304,0)),""),""))</f>
        <v>0</v>
      </c>
      <c r="P851" s="8">
        <f>IF(OR(H851="",A851=""),"",IFERROR(H851/SUMIFS('Recipe Ingredients'!$H$5:$H$1204,'Recipe Ingredients'!$A$5:$A$1204,A851),""))</f>
        <v>0</v>
      </c>
      <c r="Q851" s="8">
        <f>IF(H851="","",COUNTIFS($H$5:$H$1204,"&gt;"&amp;H851)+1)</f>
        <v>0</v>
      </c>
      <c r="R851" s="8">
        <f>IF(B851="","",SUMIFS(Pantry!$C$5:$C$304,Pantry!$A$5:$A$304,B851))</f>
        <v>0</v>
      </c>
      <c r="S851" s="8">
        <f>IF(OR(B851="",C851=""),"",MAX(0,C851-R851))</f>
        <v>0</v>
      </c>
      <c r="T851" s="26"/>
      <c r="U851" s="8">
        <f>IF(OR(T851="",T851=0,G851=""),"",T851*G851)</f>
        <v>0</v>
      </c>
      <c r="V851" s="8">
        <f>IF(OR(S851="",T851="",T851=0),"",CEILING(S851/T851,1))</f>
        <v>0</v>
      </c>
      <c r="W851" s="27"/>
      <c r="X851" s="29"/>
      <c r="Y851" s="8">
        <f>IF(OR(C851="",X851=""),"",C851*(1+X851))</f>
        <v>0</v>
      </c>
      <c r="Z851" s="8">
        <f>IF(B851="","",IFERROR(INDEX(Ingredients!$O$5:$O$304,MATCH(B851,Ingredients!$A$5:$A$304,0)),""))</f>
        <v>0</v>
      </c>
      <c r="AA851" s="8">
        <f>IF(B851="","",IF(R851&gt;=C851,"In pantry","To buy"))</f>
        <v>0</v>
      </c>
      <c r="AB851" s="8">
        <f>IF(A851="","",COUNTIFS($A$5:A851,A851))</f>
        <v>0</v>
      </c>
      <c r="AC851" s="8">
        <f>IF(B851="","",IF(COUNTIFS('Dietary Filters'!$C$5:$C$104,B851)&gt;0,"Check","OK"))</f>
        <v>0</v>
      </c>
      <c r="AD851" s="25"/>
    </row>
    <row r="852" spans="1:30">
      <c r="A852" s="7"/>
      <c r="B852" s="7"/>
      <c r="C852" s="26"/>
      <c r="D852" s="27"/>
      <c r="E852" s="8">
        <f>IF(B852="","",IFERROR(INDEX(Ingredients!$B$5:$B$304,MATCH(B852,Ingredients!$A$5:$A$304,0)),""))</f>
        <v>0</v>
      </c>
      <c r="F852" s="8">
        <f>IF(B852="","",IFERROR(INDEX(Ingredients!$E$5:$E$304,MATCH(B852,Ingredients!$A$5:$A$304,0)),""))</f>
        <v>0</v>
      </c>
      <c r="G852" s="8">
        <f>IF(B852="","",IFERROR(INDEX(Ingredients!$D$5:$D$304,MATCH(B852,Ingredients!$A$5:$A$304,0)),""))</f>
        <v>0</v>
      </c>
      <c r="H852" s="8">
        <f>IF(OR(B852="",C852=""),"",IFERROR(C852*G852,""))</f>
        <v>0</v>
      </c>
      <c r="I852" s="8">
        <f>IF(A852="","",IFERROR(INDEX(Recipes!$D$5:$D$204,MATCH(A852,Recipes!$A$5:$A$204,0)),""))</f>
        <v>0</v>
      </c>
      <c r="J852" s="8">
        <f>IF(OR(H852="",I852="",I852=0),"",IFERROR(H852/I852,""))</f>
        <v>0</v>
      </c>
      <c r="K852" s="8">
        <f>IF(OR(B852="",C852=""),"",IFERROR(C852*IFERROR(INDEX(Ingredients!$H$5:$H$304,MATCH(B852,Ingredients!$A$5:$A$304,0)),""),""))</f>
        <v>0</v>
      </c>
      <c r="L852" s="8">
        <f>IF(OR(B852="",C852=""),"",IFERROR(C852*IFERROR(INDEX(Ingredients!$I$5:$I$304,MATCH(B852,Ingredients!$A$5:$A$304,0)),""),""))</f>
        <v>0</v>
      </c>
      <c r="M852" s="8">
        <f>IF(OR(B852="",C852=""),"",IFERROR(C852*IFERROR(INDEX(Ingredients!$J$5:$J$304,MATCH(B852,Ingredients!$A$5:$A$304,0)),""),""))</f>
        <v>0</v>
      </c>
      <c r="N852" s="8">
        <f>IF(OR(B852="",C852=""),"",IFERROR(C852*IFERROR(INDEX(Ingredients!$K$5:$K$304,MATCH(B852,Ingredients!$A$5:$A$304,0)),""),""))</f>
        <v>0</v>
      </c>
      <c r="O852" s="8">
        <f>IF(OR(B852="",C852=""),"",IFERROR(C852*IFERROR(INDEX(Ingredients!$L$5:$L$304,MATCH(B852,Ingredients!$A$5:$A$304,0)),""),""))</f>
        <v>0</v>
      </c>
      <c r="P852" s="8">
        <f>IF(OR(H852="",A852=""),"",IFERROR(H852/SUMIFS('Recipe Ingredients'!$H$5:$H$1204,'Recipe Ingredients'!$A$5:$A$1204,A852),""))</f>
        <v>0</v>
      </c>
      <c r="Q852" s="8">
        <f>IF(H852="","",COUNTIFS($H$5:$H$1204,"&gt;"&amp;H852)+1)</f>
        <v>0</v>
      </c>
      <c r="R852" s="8">
        <f>IF(B852="","",SUMIFS(Pantry!$C$5:$C$304,Pantry!$A$5:$A$304,B852))</f>
        <v>0</v>
      </c>
      <c r="S852" s="8">
        <f>IF(OR(B852="",C852=""),"",MAX(0,C852-R852))</f>
        <v>0</v>
      </c>
      <c r="T852" s="26"/>
      <c r="U852" s="8">
        <f>IF(OR(T852="",T852=0,G852=""),"",T852*G852)</f>
        <v>0</v>
      </c>
      <c r="V852" s="8">
        <f>IF(OR(S852="",T852="",T852=0),"",CEILING(S852/T852,1))</f>
        <v>0</v>
      </c>
      <c r="W852" s="27"/>
      <c r="X852" s="29"/>
      <c r="Y852" s="8">
        <f>IF(OR(C852="",X852=""),"",C852*(1+X852))</f>
        <v>0</v>
      </c>
      <c r="Z852" s="8">
        <f>IF(B852="","",IFERROR(INDEX(Ingredients!$O$5:$O$304,MATCH(B852,Ingredients!$A$5:$A$304,0)),""))</f>
        <v>0</v>
      </c>
      <c r="AA852" s="8">
        <f>IF(B852="","",IF(R852&gt;=C852,"In pantry","To buy"))</f>
        <v>0</v>
      </c>
      <c r="AB852" s="8">
        <f>IF(A852="","",COUNTIFS($A$5:A852,A852))</f>
        <v>0</v>
      </c>
      <c r="AC852" s="8">
        <f>IF(B852="","",IF(COUNTIFS('Dietary Filters'!$C$5:$C$104,B852)&gt;0,"Check","OK"))</f>
        <v>0</v>
      </c>
      <c r="AD852" s="25"/>
    </row>
    <row r="853" spans="1:30">
      <c r="A853" s="7"/>
      <c r="B853" s="7"/>
      <c r="C853" s="26"/>
      <c r="D853" s="27"/>
      <c r="E853" s="8">
        <f>IF(B853="","",IFERROR(INDEX(Ingredients!$B$5:$B$304,MATCH(B853,Ingredients!$A$5:$A$304,0)),""))</f>
        <v>0</v>
      </c>
      <c r="F853" s="8">
        <f>IF(B853="","",IFERROR(INDEX(Ingredients!$E$5:$E$304,MATCH(B853,Ingredients!$A$5:$A$304,0)),""))</f>
        <v>0</v>
      </c>
      <c r="G853" s="8">
        <f>IF(B853="","",IFERROR(INDEX(Ingredients!$D$5:$D$304,MATCH(B853,Ingredients!$A$5:$A$304,0)),""))</f>
        <v>0</v>
      </c>
      <c r="H853" s="8">
        <f>IF(OR(B853="",C853=""),"",IFERROR(C853*G853,""))</f>
        <v>0</v>
      </c>
      <c r="I853" s="8">
        <f>IF(A853="","",IFERROR(INDEX(Recipes!$D$5:$D$204,MATCH(A853,Recipes!$A$5:$A$204,0)),""))</f>
        <v>0</v>
      </c>
      <c r="J853" s="8">
        <f>IF(OR(H853="",I853="",I853=0),"",IFERROR(H853/I853,""))</f>
        <v>0</v>
      </c>
      <c r="K853" s="8">
        <f>IF(OR(B853="",C853=""),"",IFERROR(C853*IFERROR(INDEX(Ingredients!$H$5:$H$304,MATCH(B853,Ingredients!$A$5:$A$304,0)),""),""))</f>
        <v>0</v>
      </c>
      <c r="L853" s="8">
        <f>IF(OR(B853="",C853=""),"",IFERROR(C853*IFERROR(INDEX(Ingredients!$I$5:$I$304,MATCH(B853,Ingredients!$A$5:$A$304,0)),""),""))</f>
        <v>0</v>
      </c>
      <c r="M853" s="8">
        <f>IF(OR(B853="",C853=""),"",IFERROR(C853*IFERROR(INDEX(Ingredients!$J$5:$J$304,MATCH(B853,Ingredients!$A$5:$A$304,0)),""),""))</f>
        <v>0</v>
      </c>
      <c r="N853" s="8">
        <f>IF(OR(B853="",C853=""),"",IFERROR(C853*IFERROR(INDEX(Ingredients!$K$5:$K$304,MATCH(B853,Ingredients!$A$5:$A$304,0)),""),""))</f>
        <v>0</v>
      </c>
      <c r="O853" s="8">
        <f>IF(OR(B853="",C853=""),"",IFERROR(C853*IFERROR(INDEX(Ingredients!$L$5:$L$304,MATCH(B853,Ingredients!$A$5:$A$304,0)),""),""))</f>
        <v>0</v>
      </c>
      <c r="P853" s="8">
        <f>IF(OR(H853="",A853=""),"",IFERROR(H853/SUMIFS('Recipe Ingredients'!$H$5:$H$1204,'Recipe Ingredients'!$A$5:$A$1204,A853),""))</f>
        <v>0</v>
      </c>
      <c r="Q853" s="8">
        <f>IF(H853="","",COUNTIFS($H$5:$H$1204,"&gt;"&amp;H853)+1)</f>
        <v>0</v>
      </c>
      <c r="R853" s="8">
        <f>IF(B853="","",SUMIFS(Pantry!$C$5:$C$304,Pantry!$A$5:$A$304,B853))</f>
        <v>0</v>
      </c>
      <c r="S853" s="8">
        <f>IF(OR(B853="",C853=""),"",MAX(0,C853-R853))</f>
        <v>0</v>
      </c>
      <c r="T853" s="26"/>
      <c r="U853" s="8">
        <f>IF(OR(T853="",T853=0,G853=""),"",T853*G853)</f>
        <v>0</v>
      </c>
      <c r="V853" s="8">
        <f>IF(OR(S853="",T853="",T853=0),"",CEILING(S853/T853,1))</f>
        <v>0</v>
      </c>
      <c r="W853" s="27"/>
      <c r="X853" s="29"/>
      <c r="Y853" s="8">
        <f>IF(OR(C853="",X853=""),"",C853*(1+X853))</f>
        <v>0</v>
      </c>
      <c r="Z853" s="8">
        <f>IF(B853="","",IFERROR(INDEX(Ingredients!$O$5:$O$304,MATCH(B853,Ingredients!$A$5:$A$304,0)),""))</f>
        <v>0</v>
      </c>
      <c r="AA853" s="8">
        <f>IF(B853="","",IF(R853&gt;=C853,"In pantry","To buy"))</f>
        <v>0</v>
      </c>
      <c r="AB853" s="8">
        <f>IF(A853="","",COUNTIFS($A$5:A853,A853))</f>
        <v>0</v>
      </c>
      <c r="AC853" s="8">
        <f>IF(B853="","",IF(COUNTIFS('Dietary Filters'!$C$5:$C$104,B853)&gt;0,"Check","OK"))</f>
        <v>0</v>
      </c>
      <c r="AD853" s="25"/>
    </row>
    <row r="854" spans="1:30">
      <c r="A854" s="7"/>
      <c r="B854" s="7"/>
      <c r="C854" s="26"/>
      <c r="D854" s="27"/>
      <c r="E854" s="8">
        <f>IF(B854="","",IFERROR(INDEX(Ingredients!$B$5:$B$304,MATCH(B854,Ingredients!$A$5:$A$304,0)),""))</f>
        <v>0</v>
      </c>
      <c r="F854" s="8">
        <f>IF(B854="","",IFERROR(INDEX(Ingredients!$E$5:$E$304,MATCH(B854,Ingredients!$A$5:$A$304,0)),""))</f>
        <v>0</v>
      </c>
      <c r="G854" s="8">
        <f>IF(B854="","",IFERROR(INDEX(Ingredients!$D$5:$D$304,MATCH(B854,Ingredients!$A$5:$A$304,0)),""))</f>
        <v>0</v>
      </c>
      <c r="H854" s="8">
        <f>IF(OR(B854="",C854=""),"",IFERROR(C854*G854,""))</f>
        <v>0</v>
      </c>
      <c r="I854" s="8">
        <f>IF(A854="","",IFERROR(INDEX(Recipes!$D$5:$D$204,MATCH(A854,Recipes!$A$5:$A$204,0)),""))</f>
        <v>0</v>
      </c>
      <c r="J854" s="8">
        <f>IF(OR(H854="",I854="",I854=0),"",IFERROR(H854/I854,""))</f>
        <v>0</v>
      </c>
      <c r="K854" s="8">
        <f>IF(OR(B854="",C854=""),"",IFERROR(C854*IFERROR(INDEX(Ingredients!$H$5:$H$304,MATCH(B854,Ingredients!$A$5:$A$304,0)),""),""))</f>
        <v>0</v>
      </c>
      <c r="L854" s="8">
        <f>IF(OR(B854="",C854=""),"",IFERROR(C854*IFERROR(INDEX(Ingredients!$I$5:$I$304,MATCH(B854,Ingredients!$A$5:$A$304,0)),""),""))</f>
        <v>0</v>
      </c>
      <c r="M854" s="8">
        <f>IF(OR(B854="",C854=""),"",IFERROR(C854*IFERROR(INDEX(Ingredients!$J$5:$J$304,MATCH(B854,Ingredients!$A$5:$A$304,0)),""),""))</f>
        <v>0</v>
      </c>
      <c r="N854" s="8">
        <f>IF(OR(B854="",C854=""),"",IFERROR(C854*IFERROR(INDEX(Ingredients!$K$5:$K$304,MATCH(B854,Ingredients!$A$5:$A$304,0)),""),""))</f>
        <v>0</v>
      </c>
      <c r="O854" s="8">
        <f>IF(OR(B854="",C854=""),"",IFERROR(C854*IFERROR(INDEX(Ingredients!$L$5:$L$304,MATCH(B854,Ingredients!$A$5:$A$304,0)),""),""))</f>
        <v>0</v>
      </c>
      <c r="P854" s="8">
        <f>IF(OR(H854="",A854=""),"",IFERROR(H854/SUMIFS('Recipe Ingredients'!$H$5:$H$1204,'Recipe Ingredients'!$A$5:$A$1204,A854),""))</f>
        <v>0</v>
      </c>
      <c r="Q854" s="8">
        <f>IF(H854="","",COUNTIFS($H$5:$H$1204,"&gt;"&amp;H854)+1)</f>
        <v>0</v>
      </c>
      <c r="R854" s="8">
        <f>IF(B854="","",SUMIFS(Pantry!$C$5:$C$304,Pantry!$A$5:$A$304,B854))</f>
        <v>0</v>
      </c>
      <c r="S854" s="8">
        <f>IF(OR(B854="",C854=""),"",MAX(0,C854-R854))</f>
        <v>0</v>
      </c>
      <c r="T854" s="26"/>
      <c r="U854" s="8">
        <f>IF(OR(T854="",T854=0,G854=""),"",T854*G854)</f>
        <v>0</v>
      </c>
      <c r="V854" s="8">
        <f>IF(OR(S854="",T854="",T854=0),"",CEILING(S854/T854,1))</f>
        <v>0</v>
      </c>
      <c r="W854" s="27"/>
      <c r="X854" s="29"/>
      <c r="Y854" s="8">
        <f>IF(OR(C854="",X854=""),"",C854*(1+X854))</f>
        <v>0</v>
      </c>
      <c r="Z854" s="8">
        <f>IF(B854="","",IFERROR(INDEX(Ingredients!$O$5:$O$304,MATCH(B854,Ingredients!$A$5:$A$304,0)),""))</f>
        <v>0</v>
      </c>
      <c r="AA854" s="8">
        <f>IF(B854="","",IF(R854&gt;=C854,"In pantry","To buy"))</f>
        <v>0</v>
      </c>
      <c r="AB854" s="8">
        <f>IF(A854="","",COUNTIFS($A$5:A854,A854))</f>
        <v>0</v>
      </c>
      <c r="AC854" s="8">
        <f>IF(B854="","",IF(COUNTIFS('Dietary Filters'!$C$5:$C$104,B854)&gt;0,"Check","OK"))</f>
        <v>0</v>
      </c>
      <c r="AD854" s="25"/>
    </row>
    <row r="855" spans="1:30">
      <c r="A855" s="7"/>
      <c r="B855" s="7"/>
      <c r="C855" s="26"/>
      <c r="D855" s="27"/>
      <c r="E855" s="8">
        <f>IF(B855="","",IFERROR(INDEX(Ingredients!$B$5:$B$304,MATCH(B855,Ingredients!$A$5:$A$304,0)),""))</f>
        <v>0</v>
      </c>
      <c r="F855" s="8">
        <f>IF(B855="","",IFERROR(INDEX(Ingredients!$E$5:$E$304,MATCH(B855,Ingredients!$A$5:$A$304,0)),""))</f>
        <v>0</v>
      </c>
      <c r="G855" s="8">
        <f>IF(B855="","",IFERROR(INDEX(Ingredients!$D$5:$D$304,MATCH(B855,Ingredients!$A$5:$A$304,0)),""))</f>
        <v>0</v>
      </c>
      <c r="H855" s="8">
        <f>IF(OR(B855="",C855=""),"",IFERROR(C855*G855,""))</f>
        <v>0</v>
      </c>
      <c r="I855" s="8">
        <f>IF(A855="","",IFERROR(INDEX(Recipes!$D$5:$D$204,MATCH(A855,Recipes!$A$5:$A$204,0)),""))</f>
        <v>0</v>
      </c>
      <c r="J855" s="8">
        <f>IF(OR(H855="",I855="",I855=0),"",IFERROR(H855/I855,""))</f>
        <v>0</v>
      </c>
      <c r="K855" s="8">
        <f>IF(OR(B855="",C855=""),"",IFERROR(C855*IFERROR(INDEX(Ingredients!$H$5:$H$304,MATCH(B855,Ingredients!$A$5:$A$304,0)),""),""))</f>
        <v>0</v>
      </c>
      <c r="L855" s="8">
        <f>IF(OR(B855="",C855=""),"",IFERROR(C855*IFERROR(INDEX(Ingredients!$I$5:$I$304,MATCH(B855,Ingredients!$A$5:$A$304,0)),""),""))</f>
        <v>0</v>
      </c>
      <c r="M855" s="8">
        <f>IF(OR(B855="",C855=""),"",IFERROR(C855*IFERROR(INDEX(Ingredients!$J$5:$J$304,MATCH(B855,Ingredients!$A$5:$A$304,0)),""),""))</f>
        <v>0</v>
      </c>
      <c r="N855" s="8">
        <f>IF(OR(B855="",C855=""),"",IFERROR(C855*IFERROR(INDEX(Ingredients!$K$5:$K$304,MATCH(B855,Ingredients!$A$5:$A$304,0)),""),""))</f>
        <v>0</v>
      </c>
      <c r="O855" s="8">
        <f>IF(OR(B855="",C855=""),"",IFERROR(C855*IFERROR(INDEX(Ingredients!$L$5:$L$304,MATCH(B855,Ingredients!$A$5:$A$304,0)),""),""))</f>
        <v>0</v>
      </c>
      <c r="P855" s="8">
        <f>IF(OR(H855="",A855=""),"",IFERROR(H855/SUMIFS('Recipe Ingredients'!$H$5:$H$1204,'Recipe Ingredients'!$A$5:$A$1204,A855),""))</f>
        <v>0</v>
      </c>
      <c r="Q855" s="8">
        <f>IF(H855="","",COUNTIFS($H$5:$H$1204,"&gt;"&amp;H855)+1)</f>
        <v>0</v>
      </c>
      <c r="R855" s="8">
        <f>IF(B855="","",SUMIFS(Pantry!$C$5:$C$304,Pantry!$A$5:$A$304,B855))</f>
        <v>0</v>
      </c>
      <c r="S855" s="8">
        <f>IF(OR(B855="",C855=""),"",MAX(0,C855-R855))</f>
        <v>0</v>
      </c>
      <c r="T855" s="26"/>
      <c r="U855" s="8">
        <f>IF(OR(T855="",T855=0,G855=""),"",T855*G855)</f>
        <v>0</v>
      </c>
      <c r="V855" s="8">
        <f>IF(OR(S855="",T855="",T855=0),"",CEILING(S855/T855,1))</f>
        <v>0</v>
      </c>
      <c r="W855" s="27"/>
      <c r="X855" s="29"/>
      <c r="Y855" s="8">
        <f>IF(OR(C855="",X855=""),"",C855*(1+X855))</f>
        <v>0</v>
      </c>
      <c r="Z855" s="8">
        <f>IF(B855="","",IFERROR(INDEX(Ingredients!$O$5:$O$304,MATCH(B855,Ingredients!$A$5:$A$304,0)),""))</f>
        <v>0</v>
      </c>
      <c r="AA855" s="8">
        <f>IF(B855="","",IF(R855&gt;=C855,"In pantry","To buy"))</f>
        <v>0</v>
      </c>
      <c r="AB855" s="8">
        <f>IF(A855="","",COUNTIFS($A$5:A855,A855))</f>
        <v>0</v>
      </c>
      <c r="AC855" s="8">
        <f>IF(B855="","",IF(COUNTIFS('Dietary Filters'!$C$5:$C$104,B855)&gt;0,"Check","OK"))</f>
        <v>0</v>
      </c>
      <c r="AD855" s="25"/>
    </row>
    <row r="856" spans="1:30">
      <c r="A856" s="7"/>
      <c r="B856" s="7"/>
      <c r="C856" s="26"/>
      <c r="D856" s="27"/>
      <c r="E856" s="8">
        <f>IF(B856="","",IFERROR(INDEX(Ingredients!$B$5:$B$304,MATCH(B856,Ingredients!$A$5:$A$304,0)),""))</f>
        <v>0</v>
      </c>
      <c r="F856" s="8">
        <f>IF(B856="","",IFERROR(INDEX(Ingredients!$E$5:$E$304,MATCH(B856,Ingredients!$A$5:$A$304,0)),""))</f>
        <v>0</v>
      </c>
      <c r="G856" s="8">
        <f>IF(B856="","",IFERROR(INDEX(Ingredients!$D$5:$D$304,MATCH(B856,Ingredients!$A$5:$A$304,0)),""))</f>
        <v>0</v>
      </c>
      <c r="H856" s="8">
        <f>IF(OR(B856="",C856=""),"",IFERROR(C856*G856,""))</f>
        <v>0</v>
      </c>
      <c r="I856" s="8">
        <f>IF(A856="","",IFERROR(INDEX(Recipes!$D$5:$D$204,MATCH(A856,Recipes!$A$5:$A$204,0)),""))</f>
        <v>0</v>
      </c>
      <c r="J856" s="8">
        <f>IF(OR(H856="",I856="",I856=0),"",IFERROR(H856/I856,""))</f>
        <v>0</v>
      </c>
      <c r="K856" s="8">
        <f>IF(OR(B856="",C856=""),"",IFERROR(C856*IFERROR(INDEX(Ingredients!$H$5:$H$304,MATCH(B856,Ingredients!$A$5:$A$304,0)),""),""))</f>
        <v>0</v>
      </c>
      <c r="L856" s="8">
        <f>IF(OR(B856="",C856=""),"",IFERROR(C856*IFERROR(INDEX(Ingredients!$I$5:$I$304,MATCH(B856,Ingredients!$A$5:$A$304,0)),""),""))</f>
        <v>0</v>
      </c>
      <c r="M856" s="8">
        <f>IF(OR(B856="",C856=""),"",IFERROR(C856*IFERROR(INDEX(Ingredients!$J$5:$J$304,MATCH(B856,Ingredients!$A$5:$A$304,0)),""),""))</f>
        <v>0</v>
      </c>
      <c r="N856" s="8">
        <f>IF(OR(B856="",C856=""),"",IFERROR(C856*IFERROR(INDEX(Ingredients!$K$5:$K$304,MATCH(B856,Ingredients!$A$5:$A$304,0)),""),""))</f>
        <v>0</v>
      </c>
      <c r="O856" s="8">
        <f>IF(OR(B856="",C856=""),"",IFERROR(C856*IFERROR(INDEX(Ingredients!$L$5:$L$304,MATCH(B856,Ingredients!$A$5:$A$304,0)),""),""))</f>
        <v>0</v>
      </c>
      <c r="P856" s="8">
        <f>IF(OR(H856="",A856=""),"",IFERROR(H856/SUMIFS('Recipe Ingredients'!$H$5:$H$1204,'Recipe Ingredients'!$A$5:$A$1204,A856),""))</f>
        <v>0</v>
      </c>
      <c r="Q856" s="8">
        <f>IF(H856="","",COUNTIFS($H$5:$H$1204,"&gt;"&amp;H856)+1)</f>
        <v>0</v>
      </c>
      <c r="R856" s="8">
        <f>IF(B856="","",SUMIFS(Pantry!$C$5:$C$304,Pantry!$A$5:$A$304,B856))</f>
        <v>0</v>
      </c>
      <c r="S856" s="8">
        <f>IF(OR(B856="",C856=""),"",MAX(0,C856-R856))</f>
        <v>0</v>
      </c>
      <c r="T856" s="26"/>
      <c r="U856" s="8">
        <f>IF(OR(T856="",T856=0,G856=""),"",T856*G856)</f>
        <v>0</v>
      </c>
      <c r="V856" s="8">
        <f>IF(OR(S856="",T856="",T856=0),"",CEILING(S856/T856,1))</f>
        <v>0</v>
      </c>
      <c r="W856" s="27"/>
      <c r="X856" s="29"/>
      <c r="Y856" s="8">
        <f>IF(OR(C856="",X856=""),"",C856*(1+X856))</f>
        <v>0</v>
      </c>
      <c r="Z856" s="8">
        <f>IF(B856="","",IFERROR(INDEX(Ingredients!$O$5:$O$304,MATCH(B856,Ingredients!$A$5:$A$304,0)),""))</f>
        <v>0</v>
      </c>
      <c r="AA856" s="8">
        <f>IF(B856="","",IF(R856&gt;=C856,"In pantry","To buy"))</f>
        <v>0</v>
      </c>
      <c r="AB856" s="8">
        <f>IF(A856="","",COUNTIFS($A$5:A856,A856))</f>
        <v>0</v>
      </c>
      <c r="AC856" s="8">
        <f>IF(B856="","",IF(COUNTIFS('Dietary Filters'!$C$5:$C$104,B856)&gt;0,"Check","OK"))</f>
        <v>0</v>
      </c>
      <c r="AD856" s="25"/>
    </row>
    <row r="857" spans="1:30">
      <c r="A857" s="7"/>
      <c r="B857" s="7"/>
      <c r="C857" s="26"/>
      <c r="D857" s="27"/>
      <c r="E857" s="8">
        <f>IF(B857="","",IFERROR(INDEX(Ingredients!$B$5:$B$304,MATCH(B857,Ingredients!$A$5:$A$304,0)),""))</f>
        <v>0</v>
      </c>
      <c r="F857" s="8">
        <f>IF(B857="","",IFERROR(INDEX(Ingredients!$E$5:$E$304,MATCH(B857,Ingredients!$A$5:$A$304,0)),""))</f>
        <v>0</v>
      </c>
      <c r="G857" s="8">
        <f>IF(B857="","",IFERROR(INDEX(Ingredients!$D$5:$D$304,MATCH(B857,Ingredients!$A$5:$A$304,0)),""))</f>
        <v>0</v>
      </c>
      <c r="H857" s="8">
        <f>IF(OR(B857="",C857=""),"",IFERROR(C857*G857,""))</f>
        <v>0</v>
      </c>
      <c r="I857" s="8">
        <f>IF(A857="","",IFERROR(INDEX(Recipes!$D$5:$D$204,MATCH(A857,Recipes!$A$5:$A$204,0)),""))</f>
        <v>0</v>
      </c>
      <c r="J857" s="8">
        <f>IF(OR(H857="",I857="",I857=0),"",IFERROR(H857/I857,""))</f>
        <v>0</v>
      </c>
      <c r="K857" s="8">
        <f>IF(OR(B857="",C857=""),"",IFERROR(C857*IFERROR(INDEX(Ingredients!$H$5:$H$304,MATCH(B857,Ingredients!$A$5:$A$304,0)),""),""))</f>
        <v>0</v>
      </c>
      <c r="L857" s="8">
        <f>IF(OR(B857="",C857=""),"",IFERROR(C857*IFERROR(INDEX(Ingredients!$I$5:$I$304,MATCH(B857,Ingredients!$A$5:$A$304,0)),""),""))</f>
        <v>0</v>
      </c>
      <c r="M857" s="8">
        <f>IF(OR(B857="",C857=""),"",IFERROR(C857*IFERROR(INDEX(Ingredients!$J$5:$J$304,MATCH(B857,Ingredients!$A$5:$A$304,0)),""),""))</f>
        <v>0</v>
      </c>
      <c r="N857" s="8">
        <f>IF(OR(B857="",C857=""),"",IFERROR(C857*IFERROR(INDEX(Ingredients!$K$5:$K$304,MATCH(B857,Ingredients!$A$5:$A$304,0)),""),""))</f>
        <v>0</v>
      </c>
      <c r="O857" s="8">
        <f>IF(OR(B857="",C857=""),"",IFERROR(C857*IFERROR(INDEX(Ingredients!$L$5:$L$304,MATCH(B857,Ingredients!$A$5:$A$304,0)),""),""))</f>
        <v>0</v>
      </c>
      <c r="P857" s="8">
        <f>IF(OR(H857="",A857=""),"",IFERROR(H857/SUMIFS('Recipe Ingredients'!$H$5:$H$1204,'Recipe Ingredients'!$A$5:$A$1204,A857),""))</f>
        <v>0</v>
      </c>
      <c r="Q857" s="8">
        <f>IF(H857="","",COUNTIFS($H$5:$H$1204,"&gt;"&amp;H857)+1)</f>
        <v>0</v>
      </c>
      <c r="R857" s="8">
        <f>IF(B857="","",SUMIFS(Pantry!$C$5:$C$304,Pantry!$A$5:$A$304,B857))</f>
        <v>0</v>
      </c>
      <c r="S857" s="8">
        <f>IF(OR(B857="",C857=""),"",MAX(0,C857-R857))</f>
        <v>0</v>
      </c>
      <c r="T857" s="26"/>
      <c r="U857" s="8">
        <f>IF(OR(T857="",T857=0,G857=""),"",T857*G857)</f>
        <v>0</v>
      </c>
      <c r="V857" s="8">
        <f>IF(OR(S857="",T857="",T857=0),"",CEILING(S857/T857,1))</f>
        <v>0</v>
      </c>
      <c r="W857" s="27"/>
      <c r="X857" s="29"/>
      <c r="Y857" s="8">
        <f>IF(OR(C857="",X857=""),"",C857*(1+X857))</f>
        <v>0</v>
      </c>
      <c r="Z857" s="8">
        <f>IF(B857="","",IFERROR(INDEX(Ingredients!$O$5:$O$304,MATCH(B857,Ingredients!$A$5:$A$304,0)),""))</f>
        <v>0</v>
      </c>
      <c r="AA857" s="8">
        <f>IF(B857="","",IF(R857&gt;=C857,"In pantry","To buy"))</f>
        <v>0</v>
      </c>
      <c r="AB857" s="8">
        <f>IF(A857="","",COUNTIFS($A$5:A857,A857))</f>
        <v>0</v>
      </c>
      <c r="AC857" s="8">
        <f>IF(B857="","",IF(COUNTIFS('Dietary Filters'!$C$5:$C$104,B857)&gt;0,"Check","OK"))</f>
        <v>0</v>
      </c>
      <c r="AD857" s="25"/>
    </row>
    <row r="858" spans="1:30">
      <c r="A858" s="7"/>
      <c r="B858" s="7"/>
      <c r="C858" s="26"/>
      <c r="D858" s="27"/>
      <c r="E858" s="8">
        <f>IF(B858="","",IFERROR(INDEX(Ingredients!$B$5:$B$304,MATCH(B858,Ingredients!$A$5:$A$304,0)),""))</f>
        <v>0</v>
      </c>
      <c r="F858" s="8">
        <f>IF(B858="","",IFERROR(INDEX(Ingredients!$E$5:$E$304,MATCH(B858,Ingredients!$A$5:$A$304,0)),""))</f>
        <v>0</v>
      </c>
      <c r="G858" s="8">
        <f>IF(B858="","",IFERROR(INDEX(Ingredients!$D$5:$D$304,MATCH(B858,Ingredients!$A$5:$A$304,0)),""))</f>
        <v>0</v>
      </c>
      <c r="H858" s="8">
        <f>IF(OR(B858="",C858=""),"",IFERROR(C858*G858,""))</f>
        <v>0</v>
      </c>
      <c r="I858" s="8">
        <f>IF(A858="","",IFERROR(INDEX(Recipes!$D$5:$D$204,MATCH(A858,Recipes!$A$5:$A$204,0)),""))</f>
        <v>0</v>
      </c>
      <c r="J858" s="8">
        <f>IF(OR(H858="",I858="",I858=0),"",IFERROR(H858/I858,""))</f>
        <v>0</v>
      </c>
      <c r="K858" s="8">
        <f>IF(OR(B858="",C858=""),"",IFERROR(C858*IFERROR(INDEX(Ingredients!$H$5:$H$304,MATCH(B858,Ingredients!$A$5:$A$304,0)),""),""))</f>
        <v>0</v>
      </c>
      <c r="L858" s="8">
        <f>IF(OR(B858="",C858=""),"",IFERROR(C858*IFERROR(INDEX(Ingredients!$I$5:$I$304,MATCH(B858,Ingredients!$A$5:$A$304,0)),""),""))</f>
        <v>0</v>
      </c>
      <c r="M858" s="8">
        <f>IF(OR(B858="",C858=""),"",IFERROR(C858*IFERROR(INDEX(Ingredients!$J$5:$J$304,MATCH(B858,Ingredients!$A$5:$A$304,0)),""),""))</f>
        <v>0</v>
      </c>
      <c r="N858" s="8">
        <f>IF(OR(B858="",C858=""),"",IFERROR(C858*IFERROR(INDEX(Ingredients!$K$5:$K$304,MATCH(B858,Ingredients!$A$5:$A$304,0)),""),""))</f>
        <v>0</v>
      </c>
      <c r="O858" s="8">
        <f>IF(OR(B858="",C858=""),"",IFERROR(C858*IFERROR(INDEX(Ingredients!$L$5:$L$304,MATCH(B858,Ingredients!$A$5:$A$304,0)),""),""))</f>
        <v>0</v>
      </c>
      <c r="P858" s="8">
        <f>IF(OR(H858="",A858=""),"",IFERROR(H858/SUMIFS('Recipe Ingredients'!$H$5:$H$1204,'Recipe Ingredients'!$A$5:$A$1204,A858),""))</f>
        <v>0</v>
      </c>
      <c r="Q858" s="8">
        <f>IF(H858="","",COUNTIFS($H$5:$H$1204,"&gt;"&amp;H858)+1)</f>
        <v>0</v>
      </c>
      <c r="R858" s="8">
        <f>IF(B858="","",SUMIFS(Pantry!$C$5:$C$304,Pantry!$A$5:$A$304,B858))</f>
        <v>0</v>
      </c>
      <c r="S858" s="8">
        <f>IF(OR(B858="",C858=""),"",MAX(0,C858-R858))</f>
        <v>0</v>
      </c>
      <c r="T858" s="26"/>
      <c r="U858" s="8">
        <f>IF(OR(T858="",T858=0,G858=""),"",T858*G858)</f>
        <v>0</v>
      </c>
      <c r="V858" s="8">
        <f>IF(OR(S858="",T858="",T858=0),"",CEILING(S858/T858,1))</f>
        <v>0</v>
      </c>
      <c r="W858" s="27"/>
      <c r="X858" s="29"/>
      <c r="Y858" s="8">
        <f>IF(OR(C858="",X858=""),"",C858*(1+X858))</f>
        <v>0</v>
      </c>
      <c r="Z858" s="8">
        <f>IF(B858="","",IFERROR(INDEX(Ingredients!$O$5:$O$304,MATCH(B858,Ingredients!$A$5:$A$304,0)),""))</f>
        <v>0</v>
      </c>
      <c r="AA858" s="8">
        <f>IF(B858="","",IF(R858&gt;=C858,"In pantry","To buy"))</f>
        <v>0</v>
      </c>
      <c r="AB858" s="8">
        <f>IF(A858="","",COUNTIFS($A$5:A858,A858))</f>
        <v>0</v>
      </c>
      <c r="AC858" s="8">
        <f>IF(B858="","",IF(COUNTIFS('Dietary Filters'!$C$5:$C$104,B858)&gt;0,"Check","OK"))</f>
        <v>0</v>
      </c>
      <c r="AD858" s="25"/>
    </row>
    <row r="859" spans="1:30">
      <c r="A859" s="7"/>
      <c r="B859" s="7"/>
      <c r="C859" s="26"/>
      <c r="D859" s="27"/>
      <c r="E859" s="8">
        <f>IF(B859="","",IFERROR(INDEX(Ingredients!$B$5:$B$304,MATCH(B859,Ingredients!$A$5:$A$304,0)),""))</f>
        <v>0</v>
      </c>
      <c r="F859" s="8">
        <f>IF(B859="","",IFERROR(INDEX(Ingredients!$E$5:$E$304,MATCH(B859,Ingredients!$A$5:$A$304,0)),""))</f>
        <v>0</v>
      </c>
      <c r="G859" s="8">
        <f>IF(B859="","",IFERROR(INDEX(Ingredients!$D$5:$D$304,MATCH(B859,Ingredients!$A$5:$A$304,0)),""))</f>
        <v>0</v>
      </c>
      <c r="H859" s="8">
        <f>IF(OR(B859="",C859=""),"",IFERROR(C859*G859,""))</f>
        <v>0</v>
      </c>
      <c r="I859" s="8">
        <f>IF(A859="","",IFERROR(INDEX(Recipes!$D$5:$D$204,MATCH(A859,Recipes!$A$5:$A$204,0)),""))</f>
        <v>0</v>
      </c>
      <c r="J859" s="8">
        <f>IF(OR(H859="",I859="",I859=0),"",IFERROR(H859/I859,""))</f>
        <v>0</v>
      </c>
      <c r="K859" s="8">
        <f>IF(OR(B859="",C859=""),"",IFERROR(C859*IFERROR(INDEX(Ingredients!$H$5:$H$304,MATCH(B859,Ingredients!$A$5:$A$304,0)),""),""))</f>
        <v>0</v>
      </c>
      <c r="L859" s="8">
        <f>IF(OR(B859="",C859=""),"",IFERROR(C859*IFERROR(INDEX(Ingredients!$I$5:$I$304,MATCH(B859,Ingredients!$A$5:$A$304,0)),""),""))</f>
        <v>0</v>
      </c>
      <c r="M859" s="8">
        <f>IF(OR(B859="",C859=""),"",IFERROR(C859*IFERROR(INDEX(Ingredients!$J$5:$J$304,MATCH(B859,Ingredients!$A$5:$A$304,0)),""),""))</f>
        <v>0</v>
      </c>
      <c r="N859" s="8">
        <f>IF(OR(B859="",C859=""),"",IFERROR(C859*IFERROR(INDEX(Ingredients!$K$5:$K$304,MATCH(B859,Ingredients!$A$5:$A$304,0)),""),""))</f>
        <v>0</v>
      </c>
      <c r="O859" s="8">
        <f>IF(OR(B859="",C859=""),"",IFERROR(C859*IFERROR(INDEX(Ingredients!$L$5:$L$304,MATCH(B859,Ingredients!$A$5:$A$304,0)),""),""))</f>
        <v>0</v>
      </c>
      <c r="P859" s="8">
        <f>IF(OR(H859="",A859=""),"",IFERROR(H859/SUMIFS('Recipe Ingredients'!$H$5:$H$1204,'Recipe Ingredients'!$A$5:$A$1204,A859),""))</f>
        <v>0</v>
      </c>
      <c r="Q859" s="8">
        <f>IF(H859="","",COUNTIFS($H$5:$H$1204,"&gt;"&amp;H859)+1)</f>
        <v>0</v>
      </c>
      <c r="R859" s="8">
        <f>IF(B859="","",SUMIFS(Pantry!$C$5:$C$304,Pantry!$A$5:$A$304,B859))</f>
        <v>0</v>
      </c>
      <c r="S859" s="8">
        <f>IF(OR(B859="",C859=""),"",MAX(0,C859-R859))</f>
        <v>0</v>
      </c>
      <c r="T859" s="26"/>
      <c r="U859" s="8">
        <f>IF(OR(T859="",T859=0,G859=""),"",T859*G859)</f>
        <v>0</v>
      </c>
      <c r="V859" s="8">
        <f>IF(OR(S859="",T859="",T859=0),"",CEILING(S859/T859,1))</f>
        <v>0</v>
      </c>
      <c r="W859" s="27"/>
      <c r="X859" s="29"/>
      <c r="Y859" s="8">
        <f>IF(OR(C859="",X859=""),"",C859*(1+X859))</f>
        <v>0</v>
      </c>
      <c r="Z859" s="8">
        <f>IF(B859="","",IFERROR(INDEX(Ingredients!$O$5:$O$304,MATCH(B859,Ingredients!$A$5:$A$304,0)),""))</f>
        <v>0</v>
      </c>
      <c r="AA859" s="8">
        <f>IF(B859="","",IF(R859&gt;=C859,"In pantry","To buy"))</f>
        <v>0</v>
      </c>
      <c r="AB859" s="8">
        <f>IF(A859="","",COUNTIFS($A$5:A859,A859))</f>
        <v>0</v>
      </c>
      <c r="AC859" s="8">
        <f>IF(B859="","",IF(COUNTIFS('Dietary Filters'!$C$5:$C$104,B859)&gt;0,"Check","OK"))</f>
        <v>0</v>
      </c>
      <c r="AD859" s="25"/>
    </row>
    <row r="860" spans="1:30">
      <c r="A860" s="7"/>
      <c r="B860" s="7"/>
      <c r="C860" s="26"/>
      <c r="D860" s="27"/>
      <c r="E860" s="8">
        <f>IF(B860="","",IFERROR(INDEX(Ingredients!$B$5:$B$304,MATCH(B860,Ingredients!$A$5:$A$304,0)),""))</f>
        <v>0</v>
      </c>
      <c r="F860" s="8">
        <f>IF(B860="","",IFERROR(INDEX(Ingredients!$E$5:$E$304,MATCH(B860,Ingredients!$A$5:$A$304,0)),""))</f>
        <v>0</v>
      </c>
      <c r="G860" s="8">
        <f>IF(B860="","",IFERROR(INDEX(Ingredients!$D$5:$D$304,MATCH(B860,Ingredients!$A$5:$A$304,0)),""))</f>
        <v>0</v>
      </c>
      <c r="H860" s="8">
        <f>IF(OR(B860="",C860=""),"",IFERROR(C860*G860,""))</f>
        <v>0</v>
      </c>
      <c r="I860" s="8">
        <f>IF(A860="","",IFERROR(INDEX(Recipes!$D$5:$D$204,MATCH(A860,Recipes!$A$5:$A$204,0)),""))</f>
        <v>0</v>
      </c>
      <c r="J860" s="8">
        <f>IF(OR(H860="",I860="",I860=0),"",IFERROR(H860/I860,""))</f>
        <v>0</v>
      </c>
      <c r="K860" s="8">
        <f>IF(OR(B860="",C860=""),"",IFERROR(C860*IFERROR(INDEX(Ingredients!$H$5:$H$304,MATCH(B860,Ingredients!$A$5:$A$304,0)),""),""))</f>
        <v>0</v>
      </c>
      <c r="L860" s="8">
        <f>IF(OR(B860="",C860=""),"",IFERROR(C860*IFERROR(INDEX(Ingredients!$I$5:$I$304,MATCH(B860,Ingredients!$A$5:$A$304,0)),""),""))</f>
        <v>0</v>
      </c>
      <c r="M860" s="8">
        <f>IF(OR(B860="",C860=""),"",IFERROR(C860*IFERROR(INDEX(Ingredients!$J$5:$J$304,MATCH(B860,Ingredients!$A$5:$A$304,0)),""),""))</f>
        <v>0</v>
      </c>
      <c r="N860" s="8">
        <f>IF(OR(B860="",C860=""),"",IFERROR(C860*IFERROR(INDEX(Ingredients!$K$5:$K$304,MATCH(B860,Ingredients!$A$5:$A$304,0)),""),""))</f>
        <v>0</v>
      </c>
      <c r="O860" s="8">
        <f>IF(OR(B860="",C860=""),"",IFERROR(C860*IFERROR(INDEX(Ingredients!$L$5:$L$304,MATCH(B860,Ingredients!$A$5:$A$304,0)),""),""))</f>
        <v>0</v>
      </c>
      <c r="P860" s="8">
        <f>IF(OR(H860="",A860=""),"",IFERROR(H860/SUMIFS('Recipe Ingredients'!$H$5:$H$1204,'Recipe Ingredients'!$A$5:$A$1204,A860),""))</f>
        <v>0</v>
      </c>
      <c r="Q860" s="8">
        <f>IF(H860="","",COUNTIFS($H$5:$H$1204,"&gt;"&amp;H860)+1)</f>
        <v>0</v>
      </c>
      <c r="R860" s="8">
        <f>IF(B860="","",SUMIFS(Pantry!$C$5:$C$304,Pantry!$A$5:$A$304,B860))</f>
        <v>0</v>
      </c>
      <c r="S860" s="8">
        <f>IF(OR(B860="",C860=""),"",MAX(0,C860-R860))</f>
        <v>0</v>
      </c>
      <c r="T860" s="26"/>
      <c r="U860" s="8">
        <f>IF(OR(T860="",T860=0,G860=""),"",T860*G860)</f>
        <v>0</v>
      </c>
      <c r="V860" s="8">
        <f>IF(OR(S860="",T860="",T860=0),"",CEILING(S860/T860,1))</f>
        <v>0</v>
      </c>
      <c r="W860" s="27"/>
      <c r="X860" s="29"/>
      <c r="Y860" s="8">
        <f>IF(OR(C860="",X860=""),"",C860*(1+X860))</f>
        <v>0</v>
      </c>
      <c r="Z860" s="8">
        <f>IF(B860="","",IFERROR(INDEX(Ingredients!$O$5:$O$304,MATCH(B860,Ingredients!$A$5:$A$304,0)),""))</f>
        <v>0</v>
      </c>
      <c r="AA860" s="8">
        <f>IF(B860="","",IF(R860&gt;=C860,"In pantry","To buy"))</f>
        <v>0</v>
      </c>
      <c r="AB860" s="8">
        <f>IF(A860="","",COUNTIFS($A$5:A860,A860))</f>
        <v>0</v>
      </c>
      <c r="AC860" s="8">
        <f>IF(B860="","",IF(COUNTIFS('Dietary Filters'!$C$5:$C$104,B860)&gt;0,"Check","OK"))</f>
        <v>0</v>
      </c>
      <c r="AD860" s="25"/>
    </row>
    <row r="861" spans="1:30">
      <c r="A861" s="7"/>
      <c r="B861" s="7"/>
      <c r="C861" s="26"/>
      <c r="D861" s="27"/>
      <c r="E861" s="8">
        <f>IF(B861="","",IFERROR(INDEX(Ingredients!$B$5:$B$304,MATCH(B861,Ingredients!$A$5:$A$304,0)),""))</f>
        <v>0</v>
      </c>
      <c r="F861" s="8">
        <f>IF(B861="","",IFERROR(INDEX(Ingredients!$E$5:$E$304,MATCH(B861,Ingredients!$A$5:$A$304,0)),""))</f>
        <v>0</v>
      </c>
      <c r="G861" s="8">
        <f>IF(B861="","",IFERROR(INDEX(Ingredients!$D$5:$D$304,MATCH(B861,Ingredients!$A$5:$A$304,0)),""))</f>
        <v>0</v>
      </c>
      <c r="H861" s="8">
        <f>IF(OR(B861="",C861=""),"",IFERROR(C861*G861,""))</f>
        <v>0</v>
      </c>
      <c r="I861" s="8">
        <f>IF(A861="","",IFERROR(INDEX(Recipes!$D$5:$D$204,MATCH(A861,Recipes!$A$5:$A$204,0)),""))</f>
        <v>0</v>
      </c>
      <c r="J861" s="8">
        <f>IF(OR(H861="",I861="",I861=0),"",IFERROR(H861/I861,""))</f>
        <v>0</v>
      </c>
      <c r="K861" s="8">
        <f>IF(OR(B861="",C861=""),"",IFERROR(C861*IFERROR(INDEX(Ingredients!$H$5:$H$304,MATCH(B861,Ingredients!$A$5:$A$304,0)),""),""))</f>
        <v>0</v>
      </c>
      <c r="L861" s="8">
        <f>IF(OR(B861="",C861=""),"",IFERROR(C861*IFERROR(INDEX(Ingredients!$I$5:$I$304,MATCH(B861,Ingredients!$A$5:$A$304,0)),""),""))</f>
        <v>0</v>
      </c>
      <c r="M861" s="8">
        <f>IF(OR(B861="",C861=""),"",IFERROR(C861*IFERROR(INDEX(Ingredients!$J$5:$J$304,MATCH(B861,Ingredients!$A$5:$A$304,0)),""),""))</f>
        <v>0</v>
      </c>
      <c r="N861" s="8">
        <f>IF(OR(B861="",C861=""),"",IFERROR(C861*IFERROR(INDEX(Ingredients!$K$5:$K$304,MATCH(B861,Ingredients!$A$5:$A$304,0)),""),""))</f>
        <v>0</v>
      </c>
      <c r="O861" s="8">
        <f>IF(OR(B861="",C861=""),"",IFERROR(C861*IFERROR(INDEX(Ingredients!$L$5:$L$304,MATCH(B861,Ingredients!$A$5:$A$304,0)),""),""))</f>
        <v>0</v>
      </c>
      <c r="P861" s="8">
        <f>IF(OR(H861="",A861=""),"",IFERROR(H861/SUMIFS('Recipe Ingredients'!$H$5:$H$1204,'Recipe Ingredients'!$A$5:$A$1204,A861),""))</f>
        <v>0</v>
      </c>
      <c r="Q861" s="8">
        <f>IF(H861="","",COUNTIFS($H$5:$H$1204,"&gt;"&amp;H861)+1)</f>
        <v>0</v>
      </c>
      <c r="R861" s="8">
        <f>IF(B861="","",SUMIFS(Pantry!$C$5:$C$304,Pantry!$A$5:$A$304,B861))</f>
        <v>0</v>
      </c>
      <c r="S861" s="8">
        <f>IF(OR(B861="",C861=""),"",MAX(0,C861-R861))</f>
        <v>0</v>
      </c>
      <c r="T861" s="26"/>
      <c r="U861" s="8">
        <f>IF(OR(T861="",T861=0,G861=""),"",T861*G861)</f>
        <v>0</v>
      </c>
      <c r="V861" s="8">
        <f>IF(OR(S861="",T861="",T861=0),"",CEILING(S861/T861,1))</f>
        <v>0</v>
      </c>
      <c r="W861" s="27"/>
      <c r="X861" s="29"/>
      <c r="Y861" s="8">
        <f>IF(OR(C861="",X861=""),"",C861*(1+X861))</f>
        <v>0</v>
      </c>
      <c r="Z861" s="8">
        <f>IF(B861="","",IFERROR(INDEX(Ingredients!$O$5:$O$304,MATCH(B861,Ingredients!$A$5:$A$304,0)),""))</f>
        <v>0</v>
      </c>
      <c r="AA861" s="8">
        <f>IF(B861="","",IF(R861&gt;=C861,"In pantry","To buy"))</f>
        <v>0</v>
      </c>
      <c r="AB861" s="8">
        <f>IF(A861="","",COUNTIFS($A$5:A861,A861))</f>
        <v>0</v>
      </c>
      <c r="AC861" s="8">
        <f>IF(B861="","",IF(COUNTIFS('Dietary Filters'!$C$5:$C$104,B861)&gt;0,"Check","OK"))</f>
        <v>0</v>
      </c>
      <c r="AD861" s="25"/>
    </row>
    <row r="862" spans="1:30">
      <c r="A862" s="7"/>
      <c r="B862" s="7"/>
      <c r="C862" s="26"/>
      <c r="D862" s="27"/>
      <c r="E862" s="8">
        <f>IF(B862="","",IFERROR(INDEX(Ingredients!$B$5:$B$304,MATCH(B862,Ingredients!$A$5:$A$304,0)),""))</f>
        <v>0</v>
      </c>
      <c r="F862" s="8">
        <f>IF(B862="","",IFERROR(INDEX(Ingredients!$E$5:$E$304,MATCH(B862,Ingredients!$A$5:$A$304,0)),""))</f>
        <v>0</v>
      </c>
      <c r="G862" s="8">
        <f>IF(B862="","",IFERROR(INDEX(Ingredients!$D$5:$D$304,MATCH(B862,Ingredients!$A$5:$A$304,0)),""))</f>
        <v>0</v>
      </c>
      <c r="H862" s="8">
        <f>IF(OR(B862="",C862=""),"",IFERROR(C862*G862,""))</f>
        <v>0</v>
      </c>
      <c r="I862" s="8">
        <f>IF(A862="","",IFERROR(INDEX(Recipes!$D$5:$D$204,MATCH(A862,Recipes!$A$5:$A$204,0)),""))</f>
        <v>0</v>
      </c>
      <c r="J862" s="8">
        <f>IF(OR(H862="",I862="",I862=0),"",IFERROR(H862/I862,""))</f>
        <v>0</v>
      </c>
      <c r="K862" s="8">
        <f>IF(OR(B862="",C862=""),"",IFERROR(C862*IFERROR(INDEX(Ingredients!$H$5:$H$304,MATCH(B862,Ingredients!$A$5:$A$304,0)),""),""))</f>
        <v>0</v>
      </c>
      <c r="L862" s="8">
        <f>IF(OR(B862="",C862=""),"",IFERROR(C862*IFERROR(INDEX(Ingredients!$I$5:$I$304,MATCH(B862,Ingredients!$A$5:$A$304,0)),""),""))</f>
        <v>0</v>
      </c>
      <c r="M862" s="8">
        <f>IF(OR(B862="",C862=""),"",IFERROR(C862*IFERROR(INDEX(Ingredients!$J$5:$J$304,MATCH(B862,Ingredients!$A$5:$A$304,0)),""),""))</f>
        <v>0</v>
      </c>
      <c r="N862" s="8">
        <f>IF(OR(B862="",C862=""),"",IFERROR(C862*IFERROR(INDEX(Ingredients!$K$5:$K$304,MATCH(B862,Ingredients!$A$5:$A$304,0)),""),""))</f>
        <v>0</v>
      </c>
      <c r="O862" s="8">
        <f>IF(OR(B862="",C862=""),"",IFERROR(C862*IFERROR(INDEX(Ingredients!$L$5:$L$304,MATCH(B862,Ingredients!$A$5:$A$304,0)),""),""))</f>
        <v>0</v>
      </c>
      <c r="P862" s="8">
        <f>IF(OR(H862="",A862=""),"",IFERROR(H862/SUMIFS('Recipe Ingredients'!$H$5:$H$1204,'Recipe Ingredients'!$A$5:$A$1204,A862),""))</f>
        <v>0</v>
      </c>
      <c r="Q862" s="8">
        <f>IF(H862="","",COUNTIFS($H$5:$H$1204,"&gt;"&amp;H862)+1)</f>
        <v>0</v>
      </c>
      <c r="R862" s="8">
        <f>IF(B862="","",SUMIFS(Pantry!$C$5:$C$304,Pantry!$A$5:$A$304,B862))</f>
        <v>0</v>
      </c>
      <c r="S862" s="8">
        <f>IF(OR(B862="",C862=""),"",MAX(0,C862-R862))</f>
        <v>0</v>
      </c>
      <c r="T862" s="26"/>
      <c r="U862" s="8">
        <f>IF(OR(T862="",T862=0,G862=""),"",T862*G862)</f>
        <v>0</v>
      </c>
      <c r="V862" s="8">
        <f>IF(OR(S862="",T862="",T862=0),"",CEILING(S862/T862,1))</f>
        <v>0</v>
      </c>
      <c r="W862" s="27"/>
      <c r="X862" s="29"/>
      <c r="Y862" s="8">
        <f>IF(OR(C862="",X862=""),"",C862*(1+X862))</f>
        <v>0</v>
      </c>
      <c r="Z862" s="8">
        <f>IF(B862="","",IFERROR(INDEX(Ingredients!$O$5:$O$304,MATCH(B862,Ingredients!$A$5:$A$304,0)),""))</f>
        <v>0</v>
      </c>
      <c r="AA862" s="8">
        <f>IF(B862="","",IF(R862&gt;=C862,"In pantry","To buy"))</f>
        <v>0</v>
      </c>
      <c r="AB862" s="8">
        <f>IF(A862="","",COUNTIFS($A$5:A862,A862))</f>
        <v>0</v>
      </c>
      <c r="AC862" s="8">
        <f>IF(B862="","",IF(COUNTIFS('Dietary Filters'!$C$5:$C$104,B862)&gt;0,"Check","OK"))</f>
        <v>0</v>
      </c>
      <c r="AD862" s="25"/>
    </row>
    <row r="863" spans="1:30">
      <c r="A863" s="7"/>
      <c r="B863" s="7"/>
      <c r="C863" s="26"/>
      <c r="D863" s="27"/>
      <c r="E863" s="8">
        <f>IF(B863="","",IFERROR(INDEX(Ingredients!$B$5:$B$304,MATCH(B863,Ingredients!$A$5:$A$304,0)),""))</f>
        <v>0</v>
      </c>
      <c r="F863" s="8">
        <f>IF(B863="","",IFERROR(INDEX(Ingredients!$E$5:$E$304,MATCH(B863,Ingredients!$A$5:$A$304,0)),""))</f>
        <v>0</v>
      </c>
      <c r="G863" s="8">
        <f>IF(B863="","",IFERROR(INDEX(Ingredients!$D$5:$D$304,MATCH(B863,Ingredients!$A$5:$A$304,0)),""))</f>
        <v>0</v>
      </c>
      <c r="H863" s="8">
        <f>IF(OR(B863="",C863=""),"",IFERROR(C863*G863,""))</f>
        <v>0</v>
      </c>
      <c r="I863" s="8">
        <f>IF(A863="","",IFERROR(INDEX(Recipes!$D$5:$D$204,MATCH(A863,Recipes!$A$5:$A$204,0)),""))</f>
        <v>0</v>
      </c>
      <c r="J863" s="8">
        <f>IF(OR(H863="",I863="",I863=0),"",IFERROR(H863/I863,""))</f>
        <v>0</v>
      </c>
      <c r="K863" s="8">
        <f>IF(OR(B863="",C863=""),"",IFERROR(C863*IFERROR(INDEX(Ingredients!$H$5:$H$304,MATCH(B863,Ingredients!$A$5:$A$304,0)),""),""))</f>
        <v>0</v>
      </c>
      <c r="L863" s="8">
        <f>IF(OR(B863="",C863=""),"",IFERROR(C863*IFERROR(INDEX(Ingredients!$I$5:$I$304,MATCH(B863,Ingredients!$A$5:$A$304,0)),""),""))</f>
        <v>0</v>
      </c>
      <c r="M863" s="8">
        <f>IF(OR(B863="",C863=""),"",IFERROR(C863*IFERROR(INDEX(Ingredients!$J$5:$J$304,MATCH(B863,Ingredients!$A$5:$A$304,0)),""),""))</f>
        <v>0</v>
      </c>
      <c r="N863" s="8">
        <f>IF(OR(B863="",C863=""),"",IFERROR(C863*IFERROR(INDEX(Ingredients!$K$5:$K$304,MATCH(B863,Ingredients!$A$5:$A$304,0)),""),""))</f>
        <v>0</v>
      </c>
      <c r="O863" s="8">
        <f>IF(OR(B863="",C863=""),"",IFERROR(C863*IFERROR(INDEX(Ingredients!$L$5:$L$304,MATCH(B863,Ingredients!$A$5:$A$304,0)),""),""))</f>
        <v>0</v>
      </c>
      <c r="P863" s="8">
        <f>IF(OR(H863="",A863=""),"",IFERROR(H863/SUMIFS('Recipe Ingredients'!$H$5:$H$1204,'Recipe Ingredients'!$A$5:$A$1204,A863),""))</f>
        <v>0</v>
      </c>
      <c r="Q863" s="8">
        <f>IF(H863="","",COUNTIFS($H$5:$H$1204,"&gt;"&amp;H863)+1)</f>
        <v>0</v>
      </c>
      <c r="R863" s="8">
        <f>IF(B863="","",SUMIFS(Pantry!$C$5:$C$304,Pantry!$A$5:$A$304,B863))</f>
        <v>0</v>
      </c>
      <c r="S863" s="8">
        <f>IF(OR(B863="",C863=""),"",MAX(0,C863-R863))</f>
        <v>0</v>
      </c>
      <c r="T863" s="26"/>
      <c r="U863" s="8">
        <f>IF(OR(T863="",T863=0,G863=""),"",T863*G863)</f>
        <v>0</v>
      </c>
      <c r="V863" s="8">
        <f>IF(OR(S863="",T863="",T863=0),"",CEILING(S863/T863,1))</f>
        <v>0</v>
      </c>
      <c r="W863" s="27"/>
      <c r="X863" s="29"/>
      <c r="Y863" s="8">
        <f>IF(OR(C863="",X863=""),"",C863*(1+X863))</f>
        <v>0</v>
      </c>
      <c r="Z863" s="8">
        <f>IF(B863="","",IFERROR(INDEX(Ingredients!$O$5:$O$304,MATCH(B863,Ingredients!$A$5:$A$304,0)),""))</f>
        <v>0</v>
      </c>
      <c r="AA863" s="8">
        <f>IF(B863="","",IF(R863&gt;=C863,"In pantry","To buy"))</f>
        <v>0</v>
      </c>
      <c r="AB863" s="8">
        <f>IF(A863="","",COUNTIFS($A$5:A863,A863))</f>
        <v>0</v>
      </c>
      <c r="AC863" s="8">
        <f>IF(B863="","",IF(COUNTIFS('Dietary Filters'!$C$5:$C$104,B863)&gt;0,"Check","OK"))</f>
        <v>0</v>
      </c>
      <c r="AD863" s="25"/>
    </row>
    <row r="864" spans="1:30">
      <c r="A864" s="7"/>
      <c r="B864" s="7"/>
      <c r="C864" s="26"/>
      <c r="D864" s="27"/>
      <c r="E864" s="8">
        <f>IF(B864="","",IFERROR(INDEX(Ingredients!$B$5:$B$304,MATCH(B864,Ingredients!$A$5:$A$304,0)),""))</f>
        <v>0</v>
      </c>
      <c r="F864" s="8">
        <f>IF(B864="","",IFERROR(INDEX(Ingredients!$E$5:$E$304,MATCH(B864,Ingredients!$A$5:$A$304,0)),""))</f>
        <v>0</v>
      </c>
      <c r="G864" s="8">
        <f>IF(B864="","",IFERROR(INDEX(Ingredients!$D$5:$D$304,MATCH(B864,Ingredients!$A$5:$A$304,0)),""))</f>
        <v>0</v>
      </c>
      <c r="H864" s="8">
        <f>IF(OR(B864="",C864=""),"",IFERROR(C864*G864,""))</f>
        <v>0</v>
      </c>
      <c r="I864" s="8">
        <f>IF(A864="","",IFERROR(INDEX(Recipes!$D$5:$D$204,MATCH(A864,Recipes!$A$5:$A$204,0)),""))</f>
        <v>0</v>
      </c>
      <c r="J864" s="8">
        <f>IF(OR(H864="",I864="",I864=0),"",IFERROR(H864/I864,""))</f>
        <v>0</v>
      </c>
      <c r="K864" s="8">
        <f>IF(OR(B864="",C864=""),"",IFERROR(C864*IFERROR(INDEX(Ingredients!$H$5:$H$304,MATCH(B864,Ingredients!$A$5:$A$304,0)),""),""))</f>
        <v>0</v>
      </c>
      <c r="L864" s="8">
        <f>IF(OR(B864="",C864=""),"",IFERROR(C864*IFERROR(INDEX(Ingredients!$I$5:$I$304,MATCH(B864,Ingredients!$A$5:$A$304,0)),""),""))</f>
        <v>0</v>
      </c>
      <c r="M864" s="8">
        <f>IF(OR(B864="",C864=""),"",IFERROR(C864*IFERROR(INDEX(Ingredients!$J$5:$J$304,MATCH(B864,Ingredients!$A$5:$A$304,0)),""),""))</f>
        <v>0</v>
      </c>
      <c r="N864" s="8">
        <f>IF(OR(B864="",C864=""),"",IFERROR(C864*IFERROR(INDEX(Ingredients!$K$5:$K$304,MATCH(B864,Ingredients!$A$5:$A$304,0)),""),""))</f>
        <v>0</v>
      </c>
      <c r="O864" s="8">
        <f>IF(OR(B864="",C864=""),"",IFERROR(C864*IFERROR(INDEX(Ingredients!$L$5:$L$304,MATCH(B864,Ingredients!$A$5:$A$304,0)),""),""))</f>
        <v>0</v>
      </c>
      <c r="P864" s="8">
        <f>IF(OR(H864="",A864=""),"",IFERROR(H864/SUMIFS('Recipe Ingredients'!$H$5:$H$1204,'Recipe Ingredients'!$A$5:$A$1204,A864),""))</f>
        <v>0</v>
      </c>
      <c r="Q864" s="8">
        <f>IF(H864="","",COUNTIFS($H$5:$H$1204,"&gt;"&amp;H864)+1)</f>
        <v>0</v>
      </c>
      <c r="R864" s="8">
        <f>IF(B864="","",SUMIFS(Pantry!$C$5:$C$304,Pantry!$A$5:$A$304,B864))</f>
        <v>0</v>
      </c>
      <c r="S864" s="8">
        <f>IF(OR(B864="",C864=""),"",MAX(0,C864-R864))</f>
        <v>0</v>
      </c>
      <c r="T864" s="26"/>
      <c r="U864" s="8">
        <f>IF(OR(T864="",T864=0,G864=""),"",T864*G864)</f>
        <v>0</v>
      </c>
      <c r="V864" s="8">
        <f>IF(OR(S864="",T864="",T864=0),"",CEILING(S864/T864,1))</f>
        <v>0</v>
      </c>
      <c r="W864" s="27"/>
      <c r="X864" s="29"/>
      <c r="Y864" s="8">
        <f>IF(OR(C864="",X864=""),"",C864*(1+X864))</f>
        <v>0</v>
      </c>
      <c r="Z864" s="8">
        <f>IF(B864="","",IFERROR(INDEX(Ingredients!$O$5:$O$304,MATCH(B864,Ingredients!$A$5:$A$304,0)),""))</f>
        <v>0</v>
      </c>
      <c r="AA864" s="8">
        <f>IF(B864="","",IF(R864&gt;=C864,"In pantry","To buy"))</f>
        <v>0</v>
      </c>
      <c r="AB864" s="8">
        <f>IF(A864="","",COUNTIFS($A$5:A864,A864))</f>
        <v>0</v>
      </c>
      <c r="AC864" s="8">
        <f>IF(B864="","",IF(COUNTIFS('Dietary Filters'!$C$5:$C$104,B864)&gt;0,"Check","OK"))</f>
        <v>0</v>
      </c>
      <c r="AD864" s="25"/>
    </row>
    <row r="865" spans="1:30">
      <c r="A865" s="7"/>
      <c r="B865" s="7"/>
      <c r="C865" s="26"/>
      <c r="D865" s="27"/>
      <c r="E865" s="8">
        <f>IF(B865="","",IFERROR(INDEX(Ingredients!$B$5:$B$304,MATCH(B865,Ingredients!$A$5:$A$304,0)),""))</f>
        <v>0</v>
      </c>
      <c r="F865" s="8">
        <f>IF(B865="","",IFERROR(INDEX(Ingredients!$E$5:$E$304,MATCH(B865,Ingredients!$A$5:$A$304,0)),""))</f>
        <v>0</v>
      </c>
      <c r="G865" s="8">
        <f>IF(B865="","",IFERROR(INDEX(Ingredients!$D$5:$D$304,MATCH(B865,Ingredients!$A$5:$A$304,0)),""))</f>
        <v>0</v>
      </c>
      <c r="H865" s="8">
        <f>IF(OR(B865="",C865=""),"",IFERROR(C865*G865,""))</f>
        <v>0</v>
      </c>
      <c r="I865" s="8">
        <f>IF(A865="","",IFERROR(INDEX(Recipes!$D$5:$D$204,MATCH(A865,Recipes!$A$5:$A$204,0)),""))</f>
        <v>0</v>
      </c>
      <c r="J865" s="8">
        <f>IF(OR(H865="",I865="",I865=0),"",IFERROR(H865/I865,""))</f>
        <v>0</v>
      </c>
      <c r="K865" s="8">
        <f>IF(OR(B865="",C865=""),"",IFERROR(C865*IFERROR(INDEX(Ingredients!$H$5:$H$304,MATCH(B865,Ingredients!$A$5:$A$304,0)),""),""))</f>
        <v>0</v>
      </c>
      <c r="L865" s="8">
        <f>IF(OR(B865="",C865=""),"",IFERROR(C865*IFERROR(INDEX(Ingredients!$I$5:$I$304,MATCH(B865,Ingredients!$A$5:$A$304,0)),""),""))</f>
        <v>0</v>
      </c>
      <c r="M865" s="8">
        <f>IF(OR(B865="",C865=""),"",IFERROR(C865*IFERROR(INDEX(Ingredients!$J$5:$J$304,MATCH(B865,Ingredients!$A$5:$A$304,0)),""),""))</f>
        <v>0</v>
      </c>
      <c r="N865" s="8">
        <f>IF(OR(B865="",C865=""),"",IFERROR(C865*IFERROR(INDEX(Ingredients!$K$5:$K$304,MATCH(B865,Ingredients!$A$5:$A$304,0)),""),""))</f>
        <v>0</v>
      </c>
      <c r="O865" s="8">
        <f>IF(OR(B865="",C865=""),"",IFERROR(C865*IFERROR(INDEX(Ingredients!$L$5:$L$304,MATCH(B865,Ingredients!$A$5:$A$304,0)),""),""))</f>
        <v>0</v>
      </c>
      <c r="P865" s="8">
        <f>IF(OR(H865="",A865=""),"",IFERROR(H865/SUMIFS('Recipe Ingredients'!$H$5:$H$1204,'Recipe Ingredients'!$A$5:$A$1204,A865),""))</f>
        <v>0</v>
      </c>
      <c r="Q865" s="8">
        <f>IF(H865="","",COUNTIFS($H$5:$H$1204,"&gt;"&amp;H865)+1)</f>
        <v>0</v>
      </c>
      <c r="R865" s="8">
        <f>IF(B865="","",SUMIFS(Pantry!$C$5:$C$304,Pantry!$A$5:$A$304,B865))</f>
        <v>0</v>
      </c>
      <c r="S865" s="8">
        <f>IF(OR(B865="",C865=""),"",MAX(0,C865-R865))</f>
        <v>0</v>
      </c>
      <c r="T865" s="26"/>
      <c r="U865" s="8">
        <f>IF(OR(T865="",T865=0,G865=""),"",T865*G865)</f>
        <v>0</v>
      </c>
      <c r="V865" s="8">
        <f>IF(OR(S865="",T865="",T865=0),"",CEILING(S865/T865,1))</f>
        <v>0</v>
      </c>
      <c r="W865" s="27"/>
      <c r="X865" s="29"/>
      <c r="Y865" s="8">
        <f>IF(OR(C865="",X865=""),"",C865*(1+X865))</f>
        <v>0</v>
      </c>
      <c r="Z865" s="8">
        <f>IF(B865="","",IFERROR(INDEX(Ingredients!$O$5:$O$304,MATCH(B865,Ingredients!$A$5:$A$304,0)),""))</f>
        <v>0</v>
      </c>
      <c r="AA865" s="8">
        <f>IF(B865="","",IF(R865&gt;=C865,"In pantry","To buy"))</f>
        <v>0</v>
      </c>
      <c r="AB865" s="8">
        <f>IF(A865="","",COUNTIFS($A$5:A865,A865))</f>
        <v>0</v>
      </c>
      <c r="AC865" s="8">
        <f>IF(B865="","",IF(COUNTIFS('Dietary Filters'!$C$5:$C$104,B865)&gt;0,"Check","OK"))</f>
        <v>0</v>
      </c>
      <c r="AD865" s="25"/>
    </row>
    <row r="866" spans="1:30">
      <c r="A866" s="7"/>
      <c r="B866" s="7"/>
      <c r="C866" s="26"/>
      <c r="D866" s="27"/>
      <c r="E866" s="8">
        <f>IF(B866="","",IFERROR(INDEX(Ingredients!$B$5:$B$304,MATCH(B866,Ingredients!$A$5:$A$304,0)),""))</f>
        <v>0</v>
      </c>
      <c r="F866" s="8">
        <f>IF(B866="","",IFERROR(INDEX(Ingredients!$E$5:$E$304,MATCH(B866,Ingredients!$A$5:$A$304,0)),""))</f>
        <v>0</v>
      </c>
      <c r="G866" s="8">
        <f>IF(B866="","",IFERROR(INDEX(Ingredients!$D$5:$D$304,MATCH(B866,Ingredients!$A$5:$A$304,0)),""))</f>
        <v>0</v>
      </c>
      <c r="H866" s="8">
        <f>IF(OR(B866="",C866=""),"",IFERROR(C866*G866,""))</f>
        <v>0</v>
      </c>
      <c r="I866" s="8">
        <f>IF(A866="","",IFERROR(INDEX(Recipes!$D$5:$D$204,MATCH(A866,Recipes!$A$5:$A$204,0)),""))</f>
        <v>0</v>
      </c>
      <c r="J866" s="8">
        <f>IF(OR(H866="",I866="",I866=0),"",IFERROR(H866/I866,""))</f>
        <v>0</v>
      </c>
      <c r="K866" s="8">
        <f>IF(OR(B866="",C866=""),"",IFERROR(C866*IFERROR(INDEX(Ingredients!$H$5:$H$304,MATCH(B866,Ingredients!$A$5:$A$304,0)),""),""))</f>
        <v>0</v>
      </c>
      <c r="L866" s="8">
        <f>IF(OR(B866="",C866=""),"",IFERROR(C866*IFERROR(INDEX(Ingredients!$I$5:$I$304,MATCH(B866,Ingredients!$A$5:$A$304,0)),""),""))</f>
        <v>0</v>
      </c>
      <c r="M866" s="8">
        <f>IF(OR(B866="",C866=""),"",IFERROR(C866*IFERROR(INDEX(Ingredients!$J$5:$J$304,MATCH(B866,Ingredients!$A$5:$A$304,0)),""),""))</f>
        <v>0</v>
      </c>
      <c r="N866" s="8">
        <f>IF(OR(B866="",C866=""),"",IFERROR(C866*IFERROR(INDEX(Ingredients!$K$5:$K$304,MATCH(B866,Ingredients!$A$5:$A$304,0)),""),""))</f>
        <v>0</v>
      </c>
      <c r="O866" s="8">
        <f>IF(OR(B866="",C866=""),"",IFERROR(C866*IFERROR(INDEX(Ingredients!$L$5:$L$304,MATCH(B866,Ingredients!$A$5:$A$304,0)),""),""))</f>
        <v>0</v>
      </c>
      <c r="P866" s="8">
        <f>IF(OR(H866="",A866=""),"",IFERROR(H866/SUMIFS('Recipe Ingredients'!$H$5:$H$1204,'Recipe Ingredients'!$A$5:$A$1204,A866),""))</f>
        <v>0</v>
      </c>
      <c r="Q866" s="8">
        <f>IF(H866="","",COUNTIFS($H$5:$H$1204,"&gt;"&amp;H866)+1)</f>
        <v>0</v>
      </c>
      <c r="R866" s="8">
        <f>IF(B866="","",SUMIFS(Pantry!$C$5:$C$304,Pantry!$A$5:$A$304,B866))</f>
        <v>0</v>
      </c>
      <c r="S866" s="8">
        <f>IF(OR(B866="",C866=""),"",MAX(0,C866-R866))</f>
        <v>0</v>
      </c>
      <c r="T866" s="26"/>
      <c r="U866" s="8">
        <f>IF(OR(T866="",T866=0,G866=""),"",T866*G866)</f>
        <v>0</v>
      </c>
      <c r="V866" s="8">
        <f>IF(OR(S866="",T866="",T866=0),"",CEILING(S866/T866,1))</f>
        <v>0</v>
      </c>
      <c r="W866" s="27"/>
      <c r="X866" s="29"/>
      <c r="Y866" s="8">
        <f>IF(OR(C866="",X866=""),"",C866*(1+X866))</f>
        <v>0</v>
      </c>
      <c r="Z866" s="8">
        <f>IF(B866="","",IFERROR(INDEX(Ingredients!$O$5:$O$304,MATCH(B866,Ingredients!$A$5:$A$304,0)),""))</f>
        <v>0</v>
      </c>
      <c r="AA866" s="8">
        <f>IF(B866="","",IF(R866&gt;=C866,"In pantry","To buy"))</f>
        <v>0</v>
      </c>
      <c r="AB866" s="8">
        <f>IF(A866="","",COUNTIFS($A$5:A866,A866))</f>
        <v>0</v>
      </c>
      <c r="AC866" s="8">
        <f>IF(B866="","",IF(COUNTIFS('Dietary Filters'!$C$5:$C$104,B866)&gt;0,"Check","OK"))</f>
        <v>0</v>
      </c>
      <c r="AD866" s="25"/>
    </row>
    <row r="867" spans="1:30">
      <c r="A867" s="7"/>
      <c r="B867" s="7"/>
      <c r="C867" s="26"/>
      <c r="D867" s="27"/>
      <c r="E867" s="8">
        <f>IF(B867="","",IFERROR(INDEX(Ingredients!$B$5:$B$304,MATCH(B867,Ingredients!$A$5:$A$304,0)),""))</f>
        <v>0</v>
      </c>
      <c r="F867" s="8">
        <f>IF(B867="","",IFERROR(INDEX(Ingredients!$E$5:$E$304,MATCH(B867,Ingredients!$A$5:$A$304,0)),""))</f>
        <v>0</v>
      </c>
      <c r="G867" s="8">
        <f>IF(B867="","",IFERROR(INDEX(Ingredients!$D$5:$D$304,MATCH(B867,Ingredients!$A$5:$A$304,0)),""))</f>
        <v>0</v>
      </c>
      <c r="H867" s="8">
        <f>IF(OR(B867="",C867=""),"",IFERROR(C867*G867,""))</f>
        <v>0</v>
      </c>
      <c r="I867" s="8">
        <f>IF(A867="","",IFERROR(INDEX(Recipes!$D$5:$D$204,MATCH(A867,Recipes!$A$5:$A$204,0)),""))</f>
        <v>0</v>
      </c>
      <c r="J867" s="8">
        <f>IF(OR(H867="",I867="",I867=0),"",IFERROR(H867/I867,""))</f>
        <v>0</v>
      </c>
      <c r="K867" s="8">
        <f>IF(OR(B867="",C867=""),"",IFERROR(C867*IFERROR(INDEX(Ingredients!$H$5:$H$304,MATCH(B867,Ingredients!$A$5:$A$304,0)),""),""))</f>
        <v>0</v>
      </c>
      <c r="L867" s="8">
        <f>IF(OR(B867="",C867=""),"",IFERROR(C867*IFERROR(INDEX(Ingredients!$I$5:$I$304,MATCH(B867,Ingredients!$A$5:$A$304,0)),""),""))</f>
        <v>0</v>
      </c>
      <c r="M867" s="8">
        <f>IF(OR(B867="",C867=""),"",IFERROR(C867*IFERROR(INDEX(Ingredients!$J$5:$J$304,MATCH(B867,Ingredients!$A$5:$A$304,0)),""),""))</f>
        <v>0</v>
      </c>
      <c r="N867" s="8">
        <f>IF(OR(B867="",C867=""),"",IFERROR(C867*IFERROR(INDEX(Ingredients!$K$5:$K$304,MATCH(B867,Ingredients!$A$5:$A$304,0)),""),""))</f>
        <v>0</v>
      </c>
      <c r="O867" s="8">
        <f>IF(OR(B867="",C867=""),"",IFERROR(C867*IFERROR(INDEX(Ingredients!$L$5:$L$304,MATCH(B867,Ingredients!$A$5:$A$304,0)),""),""))</f>
        <v>0</v>
      </c>
      <c r="P867" s="8">
        <f>IF(OR(H867="",A867=""),"",IFERROR(H867/SUMIFS('Recipe Ingredients'!$H$5:$H$1204,'Recipe Ingredients'!$A$5:$A$1204,A867),""))</f>
        <v>0</v>
      </c>
      <c r="Q867" s="8">
        <f>IF(H867="","",COUNTIFS($H$5:$H$1204,"&gt;"&amp;H867)+1)</f>
        <v>0</v>
      </c>
      <c r="R867" s="8">
        <f>IF(B867="","",SUMIFS(Pantry!$C$5:$C$304,Pantry!$A$5:$A$304,B867))</f>
        <v>0</v>
      </c>
      <c r="S867" s="8">
        <f>IF(OR(B867="",C867=""),"",MAX(0,C867-R867))</f>
        <v>0</v>
      </c>
      <c r="T867" s="26"/>
      <c r="U867" s="8">
        <f>IF(OR(T867="",T867=0,G867=""),"",T867*G867)</f>
        <v>0</v>
      </c>
      <c r="V867" s="8">
        <f>IF(OR(S867="",T867="",T867=0),"",CEILING(S867/T867,1))</f>
        <v>0</v>
      </c>
      <c r="W867" s="27"/>
      <c r="X867" s="29"/>
      <c r="Y867" s="8">
        <f>IF(OR(C867="",X867=""),"",C867*(1+X867))</f>
        <v>0</v>
      </c>
      <c r="Z867" s="8">
        <f>IF(B867="","",IFERROR(INDEX(Ingredients!$O$5:$O$304,MATCH(B867,Ingredients!$A$5:$A$304,0)),""))</f>
        <v>0</v>
      </c>
      <c r="AA867" s="8">
        <f>IF(B867="","",IF(R867&gt;=C867,"In pantry","To buy"))</f>
        <v>0</v>
      </c>
      <c r="AB867" s="8">
        <f>IF(A867="","",COUNTIFS($A$5:A867,A867))</f>
        <v>0</v>
      </c>
      <c r="AC867" s="8">
        <f>IF(B867="","",IF(COUNTIFS('Dietary Filters'!$C$5:$C$104,B867)&gt;0,"Check","OK"))</f>
        <v>0</v>
      </c>
      <c r="AD867" s="25"/>
    </row>
    <row r="868" spans="1:30">
      <c r="A868" s="7"/>
      <c r="B868" s="7"/>
      <c r="C868" s="26"/>
      <c r="D868" s="27"/>
      <c r="E868" s="8">
        <f>IF(B868="","",IFERROR(INDEX(Ingredients!$B$5:$B$304,MATCH(B868,Ingredients!$A$5:$A$304,0)),""))</f>
        <v>0</v>
      </c>
      <c r="F868" s="8">
        <f>IF(B868="","",IFERROR(INDEX(Ingredients!$E$5:$E$304,MATCH(B868,Ingredients!$A$5:$A$304,0)),""))</f>
        <v>0</v>
      </c>
      <c r="G868" s="8">
        <f>IF(B868="","",IFERROR(INDEX(Ingredients!$D$5:$D$304,MATCH(B868,Ingredients!$A$5:$A$304,0)),""))</f>
        <v>0</v>
      </c>
      <c r="H868" s="8">
        <f>IF(OR(B868="",C868=""),"",IFERROR(C868*G868,""))</f>
        <v>0</v>
      </c>
      <c r="I868" s="8">
        <f>IF(A868="","",IFERROR(INDEX(Recipes!$D$5:$D$204,MATCH(A868,Recipes!$A$5:$A$204,0)),""))</f>
        <v>0</v>
      </c>
      <c r="J868" s="8">
        <f>IF(OR(H868="",I868="",I868=0),"",IFERROR(H868/I868,""))</f>
        <v>0</v>
      </c>
      <c r="K868" s="8">
        <f>IF(OR(B868="",C868=""),"",IFERROR(C868*IFERROR(INDEX(Ingredients!$H$5:$H$304,MATCH(B868,Ingredients!$A$5:$A$304,0)),""),""))</f>
        <v>0</v>
      </c>
      <c r="L868" s="8">
        <f>IF(OR(B868="",C868=""),"",IFERROR(C868*IFERROR(INDEX(Ingredients!$I$5:$I$304,MATCH(B868,Ingredients!$A$5:$A$304,0)),""),""))</f>
        <v>0</v>
      </c>
      <c r="M868" s="8">
        <f>IF(OR(B868="",C868=""),"",IFERROR(C868*IFERROR(INDEX(Ingredients!$J$5:$J$304,MATCH(B868,Ingredients!$A$5:$A$304,0)),""),""))</f>
        <v>0</v>
      </c>
      <c r="N868" s="8">
        <f>IF(OR(B868="",C868=""),"",IFERROR(C868*IFERROR(INDEX(Ingredients!$K$5:$K$304,MATCH(B868,Ingredients!$A$5:$A$304,0)),""),""))</f>
        <v>0</v>
      </c>
      <c r="O868" s="8">
        <f>IF(OR(B868="",C868=""),"",IFERROR(C868*IFERROR(INDEX(Ingredients!$L$5:$L$304,MATCH(B868,Ingredients!$A$5:$A$304,0)),""),""))</f>
        <v>0</v>
      </c>
      <c r="P868" s="8">
        <f>IF(OR(H868="",A868=""),"",IFERROR(H868/SUMIFS('Recipe Ingredients'!$H$5:$H$1204,'Recipe Ingredients'!$A$5:$A$1204,A868),""))</f>
        <v>0</v>
      </c>
      <c r="Q868" s="8">
        <f>IF(H868="","",COUNTIFS($H$5:$H$1204,"&gt;"&amp;H868)+1)</f>
        <v>0</v>
      </c>
      <c r="R868" s="8">
        <f>IF(B868="","",SUMIFS(Pantry!$C$5:$C$304,Pantry!$A$5:$A$304,B868))</f>
        <v>0</v>
      </c>
      <c r="S868" s="8">
        <f>IF(OR(B868="",C868=""),"",MAX(0,C868-R868))</f>
        <v>0</v>
      </c>
      <c r="T868" s="26"/>
      <c r="U868" s="8">
        <f>IF(OR(T868="",T868=0,G868=""),"",T868*G868)</f>
        <v>0</v>
      </c>
      <c r="V868" s="8">
        <f>IF(OR(S868="",T868="",T868=0),"",CEILING(S868/T868,1))</f>
        <v>0</v>
      </c>
      <c r="W868" s="27"/>
      <c r="X868" s="29"/>
      <c r="Y868" s="8">
        <f>IF(OR(C868="",X868=""),"",C868*(1+X868))</f>
        <v>0</v>
      </c>
      <c r="Z868" s="8">
        <f>IF(B868="","",IFERROR(INDEX(Ingredients!$O$5:$O$304,MATCH(B868,Ingredients!$A$5:$A$304,0)),""))</f>
        <v>0</v>
      </c>
      <c r="AA868" s="8">
        <f>IF(B868="","",IF(R868&gt;=C868,"In pantry","To buy"))</f>
        <v>0</v>
      </c>
      <c r="AB868" s="8">
        <f>IF(A868="","",COUNTIFS($A$5:A868,A868))</f>
        <v>0</v>
      </c>
      <c r="AC868" s="8">
        <f>IF(B868="","",IF(COUNTIFS('Dietary Filters'!$C$5:$C$104,B868)&gt;0,"Check","OK"))</f>
        <v>0</v>
      </c>
      <c r="AD868" s="25"/>
    </row>
    <row r="869" spans="1:30">
      <c r="A869" s="7"/>
      <c r="B869" s="7"/>
      <c r="C869" s="26"/>
      <c r="D869" s="27"/>
      <c r="E869" s="8">
        <f>IF(B869="","",IFERROR(INDEX(Ingredients!$B$5:$B$304,MATCH(B869,Ingredients!$A$5:$A$304,0)),""))</f>
        <v>0</v>
      </c>
      <c r="F869" s="8">
        <f>IF(B869="","",IFERROR(INDEX(Ingredients!$E$5:$E$304,MATCH(B869,Ingredients!$A$5:$A$304,0)),""))</f>
        <v>0</v>
      </c>
      <c r="G869" s="8">
        <f>IF(B869="","",IFERROR(INDEX(Ingredients!$D$5:$D$304,MATCH(B869,Ingredients!$A$5:$A$304,0)),""))</f>
        <v>0</v>
      </c>
      <c r="H869" s="8">
        <f>IF(OR(B869="",C869=""),"",IFERROR(C869*G869,""))</f>
        <v>0</v>
      </c>
      <c r="I869" s="8">
        <f>IF(A869="","",IFERROR(INDEX(Recipes!$D$5:$D$204,MATCH(A869,Recipes!$A$5:$A$204,0)),""))</f>
        <v>0</v>
      </c>
      <c r="J869" s="8">
        <f>IF(OR(H869="",I869="",I869=0),"",IFERROR(H869/I869,""))</f>
        <v>0</v>
      </c>
      <c r="K869" s="8">
        <f>IF(OR(B869="",C869=""),"",IFERROR(C869*IFERROR(INDEX(Ingredients!$H$5:$H$304,MATCH(B869,Ingredients!$A$5:$A$304,0)),""),""))</f>
        <v>0</v>
      </c>
      <c r="L869" s="8">
        <f>IF(OR(B869="",C869=""),"",IFERROR(C869*IFERROR(INDEX(Ingredients!$I$5:$I$304,MATCH(B869,Ingredients!$A$5:$A$304,0)),""),""))</f>
        <v>0</v>
      </c>
      <c r="M869" s="8">
        <f>IF(OR(B869="",C869=""),"",IFERROR(C869*IFERROR(INDEX(Ingredients!$J$5:$J$304,MATCH(B869,Ingredients!$A$5:$A$304,0)),""),""))</f>
        <v>0</v>
      </c>
      <c r="N869" s="8">
        <f>IF(OR(B869="",C869=""),"",IFERROR(C869*IFERROR(INDEX(Ingredients!$K$5:$K$304,MATCH(B869,Ingredients!$A$5:$A$304,0)),""),""))</f>
        <v>0</v>
      </c>
      <c r="O869" s="8">
        <f>IF(OR(B869="",C869=""),"",IFERROR(C869*IFERROR(INDEX(Ingredients!$L$5:$L$304,MATCH(B869,Ingredients!$A$5:$A$304,0)),""),""))</f>
        <v>0</v>
      </c>
      <c r="P869" s="8">
        <f>IF(OR(H869="",A869=""),"",IFERROR(H869/SUMIFS('Recipe Ingredients'!$H$5:$H$1204,'Recipe Ingredients'!$A$5:$A$1204,A869),""))</f>
        <v>0</v>
      </c>
      <c r="Q869" s="8">
        <f>IF(H869="","",COUNTIFS($H$5:$H$1204,"&gt;"&amp;H869)+1)</f>
        <v>0</v>
      </c>
      <c r="R869" s="8">
        <f>IF(B869="","",SUMIFS(Pantry!$C$5:$C$304,Pantry!$A$5:$A$304,B869))</f>
        <v>0</v>
      </c>
      <c r="S869" s="8">
        <f>IF(OR(B869="",C869=""),"",MAX(0,C869-R869))</f>
        <v>0</v>
      </c>
      <c r="T869" s="26"/>
      <c r="U869" s="8">
        <f>IF(OR(T869="",T869=0,G869=""),"",T869*G869)</f>
        <v>0</v>
      </c>
      <c r="V869" s="8">
        <f>IF(OR(S869="",T869="",T869=0),"",CEILING(S869/T869,1))</f>
        <v>0</v>
      </c>
      <c r="W869" s="27"/>
      <c r="X869" s="29"/>
      <c r="Y869" s="8">
        <f>IF(OR(C869="",X869=""),"",C869*(1+X869))</f>
        <v>0</v>
      </c>
      <c r="Z869" s="8">
        <f>IF(B869="","",IFERROR(INDEX(Ingredients!$O$5:$O$304,MATCH(B869,Ingredients!$A$5:$A$304,0)),""))</f>
        <v>0</v>
      </c>
      <c r="AA869" s="8">
        <f>IF(B869="","",IF(R869&gt;=C869,"In pantry","To buy"))</f>
        <v>0</v>
      </c>
      <c r="AB869" s="8">
        <f>IF(A869="","",COUNTIFS($A$5:A869,A869))</f>
        <v>0</v>
      </c>
      <c r="AC869" s="8">
        <f>IF(B869="","",IF(COUNTIFS('Dietary Filters'!$C$5:$C$104,B869)&gt;0,"Check","OK"))</f>
        <v>0</v>
      </c>
      <c r="AD869" s="25"/>
    </row>
    <row r="870" spans="1:30">
      <c r="A870" s="7"/>
      <c r="B870" s="7"/>
      <c r="C870" s="26"/>
      <c r="D870" s="27"/>
      <c r="E870" s="8">
        <f>IF(B870="","",IFERROR(INDEX(Ingredients!$B$5:$B$304,MATCH(B870,Ingredients!$A$5:$A$304,0)),""))</f>
        <v>0</v>
      </c>
      <c r="F870" s="8">
        <f>IF(B870="","",IFERROR(INDEX(Ingredients!$E$5:$E$304,MATCH(B870,Ingredients!$A$5:$A$304,0)),""))</f>
        <v>0</v>
      </c>
      <c r="G870" s="8">
        <f>IF(B870="","",IFERROR(INDEX(Ingredients!$D$5:$D$304,MATCH(B870,Ingredients!$A$5:$A$304,0)),""))</f>
        <v>0</v>
      </c>
      <c r="H870" s="8">
        <f>IF(OR(B870="",C870=""),"",IFERROR(C870*G870,""))</f>
        <v>0</v>
      </c>
      <c r="I870" s="8">
        <f>IF(A870="","",IFERROR(INDEX(Recipes!$D$5:$D$204,MATCH(A870,Recipes!$A$5:$A$204,0)),""))</f>
        <v>0</v>
      </c>
      <c r="J870" s="8">
        <f>IF(OR(H870="",I870="",I870=0),"",IFERROR(H870/I870,""))</f>
        <v>0</v>
      </c>
      <c r="K870" s="8">
        <f>IF(OR(B870="",C870=""),"",IFERROR(C870*IFERROR(INDEX(Ingredients!$H$5:$H$304,MATCH(B870,Ingredients!$A$5:$A$304,0)),""),""))</f>
        <v>0</v>
      </c>
      <c r="L870" s="8">
        <f>IF(OR(B870="",C870=""),"",IFERROR(C870*IFERROR(INDEX(Ingredients!$I$5:$I$304,MATCH(B870,Ingredients!$A$5:$A$304,0)),""),""))</f>
        <v>0</v>
      </c>
      <c r="M870" s="8">
        <f>IF(OR(B870="",C870=""),"",IFERROR(C870*IFERROR(INDEX(Ingredients!$J$5:$J$304,MATCH(B870,Ingredients!$A$5:$A$304,0)),""),""))</f>
        <v>0</v>
      </c>
      <c r="N870" s="8">
        <f>IF(OR(B870="",C870=""),"",IFERROR(C870*IFERROR(INDEX(Ingredients!$K$5:$K$304,MATCH(B870,Ingredients!$A$5:$A$304,0)),""),""))</f>
        <v>0</v>
      </c>
      <c r="O870" s="8">
        <f>IF(OR(B870="",C870=""),"",IFERROR(C870*IFERROR(INDEX(Ingredients!$L$5:$L$304,MATCH(B870,Ingredients!$A$5:$A$304,0)),""),""))</f>
        <v>0</v>
      </c>
      <c r="P870" s="8">
        <f>IF(OR(H870="",A870=""),"",IFERROR(H870/SUMIFS('Recipe Ingredients'!$H$5:$H$1204,'Recipe Ingredients'!$A$5:$A$1204,A870),""))</f>
        <v>0</v>
      </c>
      <c r="Q870" s="8">
        <f>IF(H870="","",COUNTIFS($H$5:$H$1204,"&gt;"&amp;H870)+1)</f>
        <v>0</v>
      </c>
      <c r="R870" s="8">
        <f>IF(B870="","",SUMIFS(Pantry!$C$5:$C$304,Pantry!$A$5:$A$304,B870))</f>
        <v>0</v>
      </c>
      <c r="S870" s="8">
        <f>IF(OR(B870="",C870=""),"",MAX(0,C870-R870))</f>
        <v>0</v>
      </c>
      <c r="T870" s="26"/>
      <c r="U870" s="8">
        <f>IF(OR(T870="",T870=0,G870=""),"",T870*G870)</f>
        <v>0</v>
      </c>
      <c r="V870" s="8">
        <f>IF(OR(S870="",T870="",T870=0),"",CEILING(S870/T870,1))</f>
        <v>0</v>
      </c>
      <c r="W870" s="27"/>
      <c r="X870" s="29"/>
      <c r="Y870" s="8">
        <f>IF(OR(C870="",X870=""),"",C870*(1+X870))</f>
        <v>0</v>
      </c>
      <c r="Z870" s="8">
        <f>IF(B870="","",IFERROR(INDEX(Ingredients!$O$5:$O$304,MATCH(B870,Ingredients!$A$5:$A$304,0)),""))</f>
        <v>0</v>
      </c>
      <c r="AA870" s="8">
        <f>IF(B870="","",IF(R870&gt;=C870,"In pantry","To buy"))</f>
        <v>0</v>
      </c>
      <c r="AB870" s="8">
        <f>IF(A870="","",COUNTIFS($A$5:A870,A870))</f>
        <v>0</v>
      </c>
      <c r="AC870" s="8">
        <f>IF(B870="","",IF(COUNTIFS('Dietary Filters'!$C$5:$C$104,B870)&gt;0,"Check","OK"))</f>
        <v>0</v>
      </c>
      <c r="AD870" s="25"/>
    </row>
    <row r="871" spans="1:30">
      <c r="A871" s="7"/>
      <c r="B871" s="7"/>
      <c r="C871" s="26"/>
      <c r="D871" s="27"/>
      <c r="E871" s="8">
        <f>IF(B871="","",IFERROR(INDEX(Ingredients!$B$5:$B$304,MATCH(B871,Ingredients!$A$5:$A$304,0)),""))</f>
        <v>0</v>
      </c>
      <c r="F871" s="8">
        <f>IF(B871="","",IFERROR(INDEX(Ingredients!$E$5:$E$304,MATCH(B871,Ingredients!$A$5:$A$304,0)),""))</f>
        <v>0</v>
      </c>
      <c r="G871" s="8">
        <f>IF(B871="","",IFERROR(INDEX(Ingredients!$D$5:$D$304,MATCH(B871,Ingredients!$A$5:$A$304,0)),""))</f>
        <v>0</v>
      </c>
      <c r="H871" s="8">
        <f>IF(OR(B871="",C871=""),"",IFERROR(C871*G871,""))</f>
        <v>0</v>
      </c>
      <c r="I871" s="8">
        <f>IF(A871="","",IFERROR(INDEX(Recipes!$D$5:$D$204,MATCH(A871,Recipes!$A$5:$A$204,0)),""))</f>
        <v>0</v>
      </c>
      <c r="J871" s="8">
        <f>IF(OR(H871="",I871="",I871=0),"",IFERROR(H871/I871,""))</f>
        <v>0</v>
      </c>
      <c r="K871" s="8">
        <f>IF(OR(B871="",C871=""),"",IFERROR(C871*IFERROR(INDEX(Ingredients!$H$5:$H$304,MATCH(B871,Ingredients!$A$5:$A$304,0)),""),""))</f>
        <v>0</v>
      </c>
      <c r="L871" s="8">
        <f>IF(OR(B871="",C871=""),"",IFERROR(C871*IFERROR(INDEX(Ingredients!$I$5:$I$304,MATCH(B871,Ingredients!$A$5:$A$304,0)),""),""))</f>
        <v>0</v>
      </c>
      <c r="M871" s="8">
        <f>IF(OR(B871="",C871=""),"",IFERROR(C871*IFERROR(INDEX(Ingredients!$J$5:$J$304,MATCH(B871,Ingredients!$A$5:$A$304,0)),""),""))</f>
        <v>0</v>
      </c>
      <c r="N871" s="8">
        <f>IF(OR(B871="",C871=""),"",IFERROR(C871*IFERROR(INDEX(Ingredients!$K$5:$K$304,MATCH(B871,Ingredients!$A$5:$A$304,0)),""),""))</f>
        <v>0</v>
      </c>
      <c r="O871" s="8">
        <f>IF(OR(B871="",C871=""),"",IFERROR(C871*IFERROR(INDEX(Ingredients!$L$5:$L$304,MATCH(B871,Ingredients!$A$5:$A$304,0)),""),""))</f>
        <v>0</v>
      </c>
      <c r="P871" s="8">
        <f>IF(OR(H871="",A871=""),"",IFERROR(H871/SUMIFS('Recipe Ingredients'!$H$5:$H$1204,'Recipe Ingredients'!$A$5:$A$1204,A871),""))</f>
        <v>0</v>
      </c>
      <c r="Q871" s="8">
        <f>IF(H871="","",COUNTIFS($H$5:$H$1204,"&gt;"&amp;H871)+1)</f>
        <v>0</v>
      </c>
      <c r="R871" s="8">
        <f>IF(B871="","",SUMIFS(Pantry!$C$5:$C$304,Pantry!$A$5:$A$304,B871))</f>
        <v>0</v>
      </c>
      <c r="S871" s="8">
        <f>IF(OR(B871="",C871=""),"",MAX(0,C871-R871))</f>
        <v>0</v>
      </c>
      <c r="T871" s="26"/>
      <c r="U871" s="8">
        <f>IF(OR(T871="",T871=0,G871=""),"",T871*G871)</f>
        <v>0</v>
      </c>
      <c r="V871" s="8">
        <f>IF(OR(S871="",T871="",T871=0),"",CEILING(S871/T871,1))</f>
        <v>0</v>
      </c>
      <c r="W871" s="27"/>
      <c r="X871" s="29"/>
      <c r="Y871" s="8">
        <f>IF(OR(C871="",X871=""),"",C871*(1+X871))</f>
        <v>0</v>
      </c>
      <c r="Z871" s="8">
        <f>IF(B871="","",IFERROR(INDEX(Ingredients!$O$5:$O$304,MATCH(B871,Ingredients!$A$5:$A$304,0)),""))</f>
        <v>0</v>
      </c>
      <c r="AA871" s="8">
        <f>IF(B871="","",IF(R871&gt;=C871,"In pantry","To buy"))</f>
        <v>0</v>
      </c>
      <c r="AB871" s="8">
        <f>IF(A871="","",COUNTIFS($A$5:A871,A871))</f>
        <v>0</v>
      </c>
      <c r="AC871" s="8">
        <f>IF(B871="","",IF(COUNTIFS('Dietary Filters'!$C$5:$C$104,B871)&gt;0,"Check","OK"))</f>
        <v>0</v>
      </c>
      <c r="AD871" s="25"/>
    </row>
    <row r="872" spans="1:30">
      <c r="A872" s="7"/>
      <c r="B872" s="7"/>
      <c r="C872" s="26"/>
      <c r="D872" s="27"/>
      <c r="E872" s="8">
        <f>IF(B872="","",IFERROR(INDEX(Ingredients!$B$5:$B$304,MATCH(B872,Ingredients!$A$5:$A$304,0)),""))</f>
        <v>0</v>
      </c>
      <c r="F872" s="8">
        <f>IF(B872="","",IFERROR(INDEX(Ingredients!$E$5:$E$304,MATCH(B872,Ingredients!$A$5:$A$304,0)),""))</f>
        <v>0</v>
      </c>
      <c r="G872" s="8">
        <f>IF(B872="","",IFERROR(INDEX(Ingredients!$D$5:$D$304,MATCH(B872,Ingredients!$A$5:$A$304,0)),""))</f>
        <v>0</v>
      </c>
      <c r="H872" s="8">
        <f>IF(OR(B872="",C872=""),"",IFERROR(C872*G872,""))</f>
        <v>0</v>
      </c>
      <c r="I872" s="8">
        <f>IF(A872="","",IFERROR(INDEX(Recipes!$D$5:$D$204,MATCH(A872,Recipes!$A$5:$A$204,0)),""))</f>
        <v>0</v>
      </c>
      <c r="J872" s="8">
        <f>IF(OR(H872="",I872="",I872=0),"",IFERROR(H872/I872,""))</f>
        <v>0</v>
      </c>
      <c r="K872" s="8">
        <f>IF(OR(B872="",C872=""),"",IFERROR(C872*IFERROR(INDEX(Ingredients!$H$5:$H$304,MATCH(B872,Ingredients!$A$5:$A$304,0)),""),""))</f>
        <v>0</v>
      </c>
      <c r="L872" s="8">
        <f>IF(OR(B872="",C872=""),"",IFERROR(C872*IFERROR(INDEX(Ingredients!$I$5:$I$304,MATCH(B872,Ingredients!$A$5:$A$304,0)),""),""))</f>
        <v>0</v>
      </c>
      <c r="M872" s="8">
        <f>IF(OR(B872="",C872=""),"",IFERROR(C872*IFERROR(INDEX(Ingredients!$J$5:$J$304,MATCH(B872,Ingredients!$A$5:$A$304,0)),""),""))</f>
        <v>0</v>
      </c>
      <c r="N872" s="8">
        <f>IF(OR(B872="",C872=""),"",IFERROR(C872*IFERROR(INDEX(Ingredients!$K$5:$K$304,MATCH(B872,Ingredients!$A$5:$A$304,0)),""),""))</f>
        <v>0</v>
      </c>
      <c r="O872" s="8">
        <f>IF(OR(B872="",C872=""),"",IFERROR(C872*IFERROR(INDEX(Ingredients!$L$5:$L$304,MATCH(B872,Ingredients!$A$5:$A$304,0)),""),""))</f>
        <v>0</v>
      </c>
      <c r="P872" s="8">
        <f>IF(OR(H872="",A872=""),"",IFERROR(H872/SUMIFS('Recipe Ingredients'!$H$5:$H$1204,'Recipe Ingredients'!$A$5:$A$1204,A872),""))</f>
        <v>0</v>
      </c>
      <c r="Q872" s="8">
        <f>IF(H872="","",COUNTIFS($H$5:$H$1204,"&gt;"&amp;H872)+1)</f>
        <v>0</v>
      </c>
      <c r="R872" s="8">
        <f>IF(B872="","",SUMIFS(Pantry!$C$5:$C$304,Pantry!$A$5:$A$304,B872))</f>
        <v>0</v>
      </c>
      <c r="S872" s="8">
        <f>IF(OR(B872="",C872=""),"",MAX(0,C872-R872))</f>
        <v>0</v>
      </c>
      <c r="T872" s="26"/>
      <c r="U872" s="8">
        <f>IF(OR(T872="",T872=0,G872=""),"",T872*G872)</f>
        <v>0</v>
      </c>
      <c r="V872" s="8">
        <f>IF(OR(S872="",T872="",T872=0),"",CEILING(S872/T872,1))</f>
        <v>0</v>
      </c>
      <c r="W872" s="27"/>
      <c r="X872" s="29"/>
      <c r="Y872" s="8">
        <f>IF(OR(C872="",X872=""),"",C872*(1+X872))</f>
        <v>0</v>
      </c>
      <c r="Z872" s="8">
        <f>IF(B872="","",IFERROR(INDEX(Ingredients!$O$5:$O$304,MATCH(B872,Ingredients!$A$5:$A$304,0)),""))</f>
        <v>0</v>
      </c>
      <c r="AA872" s="8">
        <f>IF(B872="","",IF(R872&gt;=C872,"In pantry","To buy"))</f>
        <v>0</v>
      </c>
      <c r="AB872" s="8">
        <f>IF(A872="","",COUNTIFS($A$5:A872,A872))</f>
        <v>0</v>
      </c>
      <c r="AC872" s="8">
        <f>IF(B872="","",IF(COUNTIFS('Dietary Filters'!$C$5:$C$104,B872)&gt;0,"Check","OK"))</f>
        <v>0</v>
      </c>
      <c r="AD872" s="25"/>
    </row>
    <row r="873" spans="1:30">
      <c r="A873" s="7"/>
      <c r="B873" s="7"/>
      <c r="C873" s="26"/>
      <c r="D873" s="27"/>
      <c r="E873" s="8">
        <f>IF(B873="","",IFERROR(INDEX(Ingredients!$B$5:$B$304,MATCH(B873,Ingredients!$A$5:$A$304,0)),""))</f>
        <v>0</v>
      </c>
      <c r="F873" s="8">
        <f>IF(B873="","",IFERROR(INDEX(Ingredients!$E$5:$E$304,MATCH(B873,Ingredients!$A$5:$A$304,0)),""))</f>
        <v>0</v>
      </c>
      <c r="G873" s="8">
        <f>IF(B873="","",IFERROR(INDEX(Ingredients!$D$5:$D$304,MATCH(B873,Ingredients!$A$5:$A$304,0)),""))</f>
        <v>0</v>
      </c>
      <c r="H873" s="8">
        <f>IF(OR(B873="",C873=""),"",IFERROR(C873*G873,""))</f>
        <v>0</v>
      </c>
      <c r="I873" s="8">
        <f>IF(A873="","",IFERROR(INDEX(Recipes!$D$5:$D$204,MATCH(A873,Recipes!$A$5:$A$204,0)),""))</f>
        <v>0</v>
      </c>
      <c r="J873" s="8">
        <f>IF(OR(H873="",I873="",I873=0),"",IFERROR(H873/I873,""))</f>
        <v>0</v>
      </c>
      <c r="K873" s="8">
        <f>IF(OR(B873="",C873=""),"",IFERROR(C873*IFERROR(INDEX(Ingredients!$H$5:$H$304,MATCH(B873,Ingredients!$A$5:$A$304,0)),""),""))</f>
        <v>0</v>
      </c>
      <c r="L873" s="8">
        <f>IF(OR(B873="",C873=""),"",IFERROR(C873*IFERROR(INDEX(Ingredients!$I$5:$I$304,MATCH(B873,Ingredients!$A$5:$A$304,0)),""),""))</f>
        <v>0</v>
      </c>
      <c r="M873" s="8">
        <f>IF(OR(B873="",C873=""),"",IFERROR(C873*IFERROR(INDEX(Ingredients!$J$5:$J$304,MATCH(B873,Ingredients!$A$5:$A$304,0)),""),""))</f>
        <v>0</v>
      </c>
      <c r="N873" s="8">
        <f>IF(OR(B873="",C873=""),"",IFERROR(C873*IFERROR(INDEX(Ingredients!$K$5:$K$304,MATCH(B873,Ingredients!$A$5:$A$304,0)),""),""))</f>
        <v>0</v>
      </c>
      <c r="O873" s="8">
        <f>IF(OR(B873="",C873=""),"",IFERROR(C873*IFERROR(INDEX(Ingredients!$L$5:$L$304,MATCH(B873,Ingredients!$A$5:$A$304,0)),""),""))</f>
        <v>0</v>
      </c>
      <c r="P873" s="8">
        <f>IF(OR(H873="",A873=""),"",IFERROR(H873/SUMIFS('Recipe Ingredients'!$H$5:$H$1204,'Recipe Ingredients'!$A$5:$A$1204,A873),""))</f>
        <v>0</v>
      </c>
      <c r="Q873" s="8">
        <f>IF(H873="","",COUNTIFS($H$5:$H$1204,"&gt;"&amp;H873)+1)</f>
        <v>0</v>
      </c>
      <c r="R873" s="8">
        <f>IF(B873="","",SUMIFS(Pantry!$C$5:$C$304,Pantry!$A$5:$A$304,B873))</f>
        <v>0</v>
      </c>
      <c r="S873" s="8">
        <f>IF(OR(B873="",C873=""),"",MAX(0,C873-R873))</f>
        <v>0</v>
      </c>
      <c r="T873" s="26"/>
      <c r="U873" s="8">
        <f>IF(OR(T873="",T873=0,G873=""),"",T873*G873)</f>
        <v>0</v>
      </c>
      <c r="V873" s="8">
        <f>IF(OR(S873="",T873="",T873=0),"",CEILING(S873/T873,1))</f>
        <v>0</v>
      </c>
      <c r="W873" s="27"/>
      <c r="X873" s="29"/>
      <c r="Y873" s="8">
        <f>IF(OR(C873="",X873=""),"",C873*(1+X873))</f>
        <v>0</v>
      </c>
      <c r="Z873" s="8">
        <f>IF(B873="","",IFERROR(INDEX(Ingredients!$O$5:$O$304,MATCH(B873,Ingredients!$A$5:$A$304,0)),""))</f>
        <v>0</v>
      </c>
      <c r="AA873" s="8">
        <f>IF(B873="","",IF(R873&gt;=C873,"In pantry","To buy"))</f>
        <v>0</v>
      </c>
      <c r="AB873" s="8">
        <f>IF(A873="","",COUNTIFS($A$5:A873,A873))</f>
        <v>0</v>
      </c>
      <c r="AC873" s="8">
        <f>IF(B873="","",IF(COUNTIFS('Dietary Filters'!$C$5:$C$104,B873)&gt;0,"Check","OK"))</f>
        <v>0</v>
      </c>
      <c r="AD873" s="25"/>
    </row>
    <row r="874" spans="1:30">
      <c r="A874" s="7"/>
      <c r="B874" s="7"/>
      <c r="C874" s="26"/>
      <c r="D874" s="27"/>
      <c r="E874" s="8">
        <f>IF(B874="","",IFERROR(INDEX(Ingredients!$B$5:$B$304,MATCH(B874,Ingredients!$A$5:$A$304,0)),""))</f>
        <v>0</v>
      </c>
      <c r="F874" s="8">
        <f>IF(B874="","",IFERROR(INDEX(Ingredients!$E$5:$E$304,MATCH(B874,Ingredients!$A$5:$A$304,0)),""))</f>
        <v>0</v>
      </c>
      <c r="G874" s="8">
        <f>IF(B874="","",IFERROR(INDEX(Ingredients!$D$5:$D$304,MATCH(B874,Ingredients!$A$5:$A$304,0)),""))</f>
        <v>0</v>
      </c>
      <c r="H874" s="8">
        <f>IF(OR(B874="",C874=""),"",IFERROR(C874*G874,""))</f>
        <v>0</v>
      </c>
      <c r="I874" s="8">
        <f>IF(A874="","",IFERROR(INDEX(Recipes!$D$5:$D$204,MATCH(A874,Recipes!$A$5:$A$204,0)),""))</f>
        <v>0</v>
      </c>
      <c r="J874" s="8">
        <f>IF(OR(H874="",I874="",I874=0),"",IFERROR(H874/I874,""))</f>
        <v>0</v>
      </c>
      <c r="K874" s="8">
        <f>IF(OR(B874="",C874=""),"",IFERROR(C874*IFERROR(INDEX(Ingredients!$H$5:$H$304,MATCH(B874,Ingredients!$A$5:$A$304,0)),""),""))</f>
        <v>0</v>
      </c>
      <c r="L874" s="8">
        <f>IF(OR(B874="",C874=""),"",IFERROR(C874*IFERROR(INDEX(Ingredients!$I$5:$I$304,MATCH(B874,Ingredients!$A$5:$A$304,0)),""),""))</f>
        <v>0</v>
      </c>
      <c r="M874" s="8">
        <f>IF(OR(B874="",C874=""),"",IFERROR(C874*IFERROR(INDEX(Ingredients!$J$5:$J$304,MATCH(B874,Ingredients!$A$5:$A$304,0)),""),""))</f>
        <v>0</v>
      </c>
      <c r="N874" s="8">
        <f>IF(OR(B874="",C874=""),"",IFERROR(C874*IFERROR(INDEX(Ingredients!$K$5:$K$304,MATCH(B874,Ingredients!$A$5:$A$304,0)),""),""))</f>
        <v>0</v>
      </c>
      <c r="O874" s="8">
        <f>IF(OR(B874="",C874=""),"",IFERROR(C874*IFERROR(INDEX(Ingredients!$L$5:$L$304,MATCH(B874,Ingredients!$A$5:$A$304,0)),""),""))</f>
        <v>0</v>
      </c>
      <c r="P874" s="8">
        <f>IF(OR(H874="",A874=""),"",IFERROR(H874/SUMIFS('Recipe Ingredients'!$H$5:$H$1204,'Recipe Ingredients'!$A$5:$A$1204,A874),""))</f>
        <v>0</v>
      </c>
      <c r="Q874" s="8">
        <f>IF(H874="","",COUNTIFS($H$5:$H$1204,"&gt;"&amp;H874)+1)</f>
        <v>0</v>
      </c>
      <c r="R874" s="8">
        <f>IF(B874="","",SUMIFS(Pantry!$C$5:$C$304,Pantry!$A$5:$A$304,B874))</f>
        <v>0</v>
      </c>
      <c r="S874" s="8">
        <f>IF(OR(B874="",C874=""),"",MAX(0,C874-R874))</f>
        <v>0</v>
      </c>
      <c r="T874" s="26"/>
      <c r="U874" s="8">
        <f>IF(OR(T874="",T874=0,G874=""),"",T874*G874)</f>
        <v>0</v>
      </c>
      <c r="V874" s="8">
        <f>IF(OR(S874="",T874="",T874=0),"",CEILING(S874/T874,1))</f>
        <v>0</v>
      </c>
      <c r="W874" s="27"/>
      <c r="X874" s="29"/>
      <c r="Y874" s="8">
        <f>IF(OR(C874="",X874=""),"",C874*(1+X874))</f>
        <v>0</v>
      </c>
      <c r="Z874" s="8">
        <f>IF(B874="","",IFERROR(INDEX(Ingredients!$O$5:$O$304,MATCH(B874,Ingredients!$A$5:$A$304,0)),""))</f>
        <v>0</v>
      </c>
      <c r="AA874" s="8">
        <f>IF(B874="","",IF(R874&gt;=C874,"In pantry","To buy"))</f>
        <v>0</v>
      </c>
      <c r="AB874" s="8">
        <f>IF(A874="","",COUNTIFS($A$5:A874,A874))</f>
        <v>0</v>
      </c>
      <c r="AC874" s="8">
        <f>IF(B874="","",IF(COUNTIFS('Dietary Filters'!$C$5:$C$104,B874)&gt;0,"Check","OK"))</f>
        <v>0</v>
      </c>
      <c r="AD874" s="25"/>
    </row>
    <row r="875" spans="1:30">
      <c r="A875" s="7"/>
      <c r="B875" s="7"/>
      <c r="C875" s="26"/>
      <c r="D875" s="27"/>
      <c r="E875" s="8">
        <f>IF(B875="","",IFERROR(INDEX(Ingredients!$B$5:$B$304,MATCH(B875,Ingredients!$A$5:$A$304,0)),""))</f>
        <v>0</v>
      </c>
      <c r="F875" s="8">
        <f>IF(B875="","",IFERROR(INDEX(Ingredients!$E$5:$E$304,MATCH(B875,Ingredients!$A$5:$A$304,0)),""))</f>
        <v>0</v>
      </c>
      <c r="G875" s="8">
        <f>IF(B875="","",IFERROR(INDEX(Ingredients!$D$5:$D$304,MATCH(B875,Ingredients!$A$5:$A$304,0)),""))</f>
        <v>0</v>
      </c>
      <c r="H875" s="8">
        <f>IF(OR(B875="",C875=""),"",IFERROR(C875*G875,""))</f>
        <v>0</v>
      </c>
      <c r="I875" s="8">
        <f>IF(A875="","",IFERROR(INDEX(Recipes!$D$5:$D$204,MATCH(A875,Recipes!$A$5:$A$204,0)),""))</f>
        <v>0</v>
      </c>
      <c r="J875" s="8">
        <f>IF(OR(H875="",I875="",I875=0),"",IFERROR(H875/I875,""))</f>
        <v>0</v>
      </c>
      <c r="K875" s="8">
        <f>IF(OR(B875="",C875=""),"",IFERROR(C875*IFERROR(INDEX(Ingredients!$H$5:$H$304,MATCH(B875,Ingredients!$A$5:$A$304,0)),""),""))</f>
        <v>0</v>
      </c>
      <c r="L875" s="8">
        <f>IF(OR(B875="",C875=""),"",IFERROR(C875*IFERROR(INDEX(Ingredients!$I$5:$I$304,MATCH(B875,Ingredients!$A$5:$A$304,0)),""),""))</f>
        <v>0</v>
      </c>
      <c r="M875" s="8">
        <f>IF(OR(B875="",C875=""),"",IFERROR(C875*IFERROR(INDEX(Ingredients!$J$5:$J$304,MATCH(B875,Ingredients!$A$5:$A$304,0)),""),""))</f>
        <v>0</v>
      </c>
      <c r="N875" s="8">
        <f>IF(OR(B875="",C875=""),"",IFERROR(C875*IFERROR(INDEX(Ingredients!$K$5:$K$304,MATCH(B875,Ingredients!$A$5:$A$304,0)),""),""))</f>
        <v>0</v>
      </c>
      <c r="O875" s="8">
        <f>IF(OR(B875="",C875=""),"",IFERROR(C875*IFERROR(INDEX(Ingredients!$L$5:$L$304,MATCH(B875,Ingredients!$A$5:$A$304,0)),""),""))</f>
        <v>0</v>
      </c>
      <c r="P875" s="8">
        <f>IF(OR(H875="",A875=""),"",IFERROR(H875/SUMIFS('Recipe Ingredients'!$H$5:$H$1204,'Recipe Ingredients'!$A$5:$A$1204,A875),""))</f>
        <v>0</v>
      </c>
      <c r="Q875" s="8">
        <f>IF(H875="","",COUNTIFS($H$5:$H$1204,"&gt;"&amp;H875)+1)</f>
        <v>0</v>
      </c>
      <c r="R875" s="8">
        <f>IF(B875="","",SUMIFS(Pantry!$C$5:$C$304,Pantry!$A$5:$A$304,B875))</f>
        <v>0</v>
      </c>
      <c r="S875" s="8">
        <f>IF(OR(B875="",C875=""),"",MAX(0,C875-R875))</f>
        <v>0</v>
      </c>
      <c r="T875" s="26"/>
      <c r="U875" s="8">
        <f>IF(OR(T875="",T875=0,G875=""),"",T875*G875)</f>
        <v>0</v>
      </c>
      <c r="V875" s="8">
        <f>IF(OR(S875="",T875="",T875=0),"",CEILING(S875/T875,1))</f>
        <v>0</v>
      </c>
      <c r="W875" s="27"/>
      <c r="X875" s="29"/>
      <c r="Y875" s="8">
        <f>IF(OR(C875="",X875=""),"",C875*(1+X875))</f>
        <v>0</v>
      </c>
      <c r="Z875" s="8">
        <f>IF(B875="","",IFERROR(INDEX(Ingredients!$O$5:$O$304,MATCH(B875,Ingredients!$A$5:$A$304,0)),""))</f>
        <v>0</v>
      </c>
      <c r="AA875" s="8">
        <f>IF(B875="","",IF(R875&gt;=C875,"In pantry","To buy"))</f>
        <v>0</v>
      </c>
      <c r="AB875" s="8">
        <f>IF(A875="","",COUNTIFS($A$5:A875,A875))</f>
        <v>0</v>
      </c>
      <c r="AC875" s="8">
        <f>IF(B875="","",IF(COUNTIFS('Dietary Filters'!$C$5:$C$104,B875)&gt;0,"Check","OK"))</f>
        <v>0</v>
      </c>
      <c r="AD875" s="25"/>
    </row>
    <row r="876" spans="1:30">
      <c r="A876" s="7"/>
      <c r="B876" s="7"/>
      <c r="C876" s="26"/>
      <c r="D876" s="27"/>
      <c r="E876" s="8">
        <f>IF(B876="","",IFERROR(INDEX(Ingredients!$B$5:$B$304,MATCH(B876,Ingredients!$A$5:$A$304,0)),""))</f>
        <v>0</v>
      </c>
      <c r="F876" s="8">
        <f>IF(B876="","",IFERROR(INDEX(Ingredients!$E$5:$E$304,MATCH(B876,Ingredients!$A$5:$A$304,0)),""))</f>
        <v>0</v>
      </c>
      <c r="G876" s="8">
        <f>IF(B876="","",IFERROR(INDEX(Ingredients!$D$5:$D$304,MATCH(B876,Ingredients!$A$5:$A$304,0)),""))</f>
        <v>0</v>
      </c>
      <c r="H876" s="8">
        <f>IF(OR(B876="",C876=""),"",IFERROR(C876*G876,""))</f>
        <v>0</v>
      </c>
      <c r="I876" s="8">
        <f>IF(A876="","",IFERROR(INDEX(Recipes!$D$5:$D$204,MATCH(A876,Recipes!$A$5:$A$204,0)),""))</f>
        <v>0</v>
      </c>
      <c r="J876" s="8">
        <f>IF(OR(H876="",I876="",I876=0),"",IFERROR(H876/I876,""))</f>
        <v>0</v>
      </c>
      <c r="K876" s="8">
        <f>IF(OR(B876="",C876=""),"",IFERROR(C876*IFERROR(INDEX(Ingredients!$H$5:$H$304,MATCH(B876,Ingredients!$A$5:$A$304,0)),""),""))</f>
        <v>0</v>
      </c>
      <c r="L876" s="8">
        <f>IF(OR(B876="",C876=""),"",IFERROR(C876*IFERROR(INDEX(Ingredients!$I$5:$I$304,MATCH(B876,Ingredients!$A$5:$A$304,0)),""),""))</f>
        <v>0</v>
      </c>
      <c r="M876" s="8">
        <f>IF(OR(B876="",C876=""),"",IFERROR(C876*IFERROR(INDEX(Ingredients!$J$5:$J$304,MATCH(B876,Ingredients!$A$5:$A$304,0)),""),""))</f>
        <v>0</v>
      </c>
      <c r="N876" s="8">
        <f>IF(OR(B876="",C876=""),"",IFERROR(C876*IFERROR(INDEX(Ingredients!$K$5:$K$304,MATCH(B876,Ingredients!$A$5:$A$304,0)),""),""))</f>
        <v>0</v>
      </c>
      <c r="O876" s="8">
        <f>IF(OR(B876="",C876=""),"",IFERROR(C876*IFERROR(INDEX(Ingredients!$L$5:$L$304,MATCH(B876,Ingredients!$A$5:$A$304,0)),""),""))</f>
        <v>0</v>
      </c>
      <c r="P876" s="8">
        <f>IF(OR(H876="",A876=""),"",IFERROR(H876/SUMIFS('Recipe Ingredients'!$H$5:$H$1204,'Recipe Ingredients'!$A$5:$A$1204,A876),""))</f>
        <v>0</v>
      </c>
      <c r="Q876" s="8">
        <f>IF(H876="","",COUNTIFS($H$5:$H$1204,"&gt;"&amp;H876)+1)</f>
        <v>0</v>
      </c>
      <c r="R876" s="8">
        <f>IF(B876="","",SUMIFS(Pantry!$C$5:$C$304,Pantry!$A$5:$A$304,B876))</f>
        <v>0</v>
      </c>
      <c r="S876" s="8">
        <f>IF(OR(B876="",C876=""),"",MAX(0,C876-R876))</f>
        <v>0</v>
      </c>
      <c r="T876" s="26"/>
      <c r="U876" s="8">
        <f>IF(OR(T876="",T876=0,G876=""),"",T876*G876)</f>
        <v>0</v>
      </c>
      <c r="V876" s="8">
        <f>IF(OR(S876="",T876="",T876=0),"",CEILING(S876/T876,1))</f>
        <v>0</v>
      </c>
      <c r="W876" s="27"/>
      <c r="X876" s="29"/>
      <c r="Y876" s="8">
        <f>IF(OR(C876="",X876=""),"",C876*(1+X876))</f>
        <v>0</v>
      </c>
      <c r="Z876" s="8">
        <f>IF(B876="","",IFERROR(INDEX(Ingredients!$O$5:$O$304,MATCH(B876,Ingredients!$A$5:$A$304,0)),""))</f>
        <v>0</v>
      </c>
      <c r="AA876" s="8">
        <f>IF(B876="","",IF(R876&gt;=C876,"In pantry","To buy"))</f>
        <v>0</v>
      </c>
      <c r="AB876" s="8">
        <f>IF(A876="","",COUNTIFS($A$5:A876,A876))</f>
        <v>0</v>
      </c>
      <c r="AC876" s="8">
        <f>IF(B876="","",IF(COUNTIFS('Dietary Filters'!$C$5:$C$104,B876)&gt;0,"Check","OK"))</f>
        <v>0</v>
      </c>
      <c r="AD876" s="25"/>
    </row>
    <row r="877" spans="1:30">
      <c r="A877" s="7"/>
      <c r="B877" s="7"/>
      <c r="C877" s="26"/>
      <c r="D877" s="27"/>
      <c r="E877" s="8">
        <f>IF(B877="","",IFERROR(INDEX(Ingredients!$B$5:$B$304,MATCH(B877,Ingredients!$A$5:$A$304,0)),""))</f>
        <v>0</v>
      </c>
      <c r="F877" s="8">
        <f>IF(B877="","",IFERROR(INDEX(Ingredients!$E$5:$E$304,MATCH(B877,Ingredients!$A$5:$A$304,0)),""))</f>
        <v>0</v>
      </c>
      <c r="G877" s="8">
        <f>IF(B877="","",IFERROR(INDEX(Ingredients!$D$5:$D$304,MATCH(B877,Ingredients!$A$5:$A$304,0)),""))</f>
        <v>0</v>
      </c>
      <c r="H877" s="8">
        <f>IF(OR(B877="",C877=""),"",IFERROR(C877*G877,""))</f>
        <v>0</v>
      </c>
      <c r="I877" s="8">
        <f>IF(A877="","",IFERROR(INDEX(Recipes!$D$5:$D$204,MATCH(A877,Recipes!$A$5:$A$204,0)),""))</f>
        <v>0</v>
      </c>
      <c r="J877" s="8">
        <f>IF(OR(H877="",I877="",I877=0),"",IFERROR(H877/I877,""))</f>
        <v>0</v>
      </c>
      <c r="K877" s="8">
        <f>IF(OR(B877="",C877=""),"",IFERROR(C877*IFERROR(INDEX(Ingredients!$H$5:$H$304,MATCH(B877,Ingredients!$A$5:$A$304,0)),""),""))</f>
        <v>0</v>
      </c>
      <c r="L877" s="8">
        <f>IF(OR(B877="",C877=""),"",IFERROR(C877*IFERROR(INDEX(Ingredients!$I$5:$I$304,MATCH(B877,Ingredients!$A$5:$A$304,0)),""),""))</f>
        <v>0</v>
      </c>
      <c r="M877" s="8">
        <f>IF(OR(B877="",C877=""),"",IFERROR(C877*IFERROR(INDEX(Ingredients!$J$5:$J$304,MATCH(B877,Ingredients!$A$5:$A$304,0)),""),""))</f>
        <v>0</v>
      </c>
      <c r="N877" s="8">
        <f>IF(OR(B877="",C877=""),"",IFERROR(C877*IFERROR(INDEX(Ingredients!$K$5:$K$304,MATCH(B877,Ingredients!$A$5:$A$304,0)),""),""))</f>
        <v>0</v>
      </c>
      <c r="O877" s="8">
        <f>IF(OR(B877="",C877=""),"",IFERROR(C877*IFERROR(INDEX(Ingredients!$L$5:$L$304,MATCH(B877,Ingredients!$A$5:$A$304,0)),""),""))</f>
        <v>0</v>
      </c>
      <c r="P877" s="8">
        <f>IF(OR(H877="",A877=""),"",IFERROR(H877/SUMIFS('Recipe Ingredients'!$H$5:$H$1204,'Recipe Ingredients'!$A$5:$A$1204,A877),""))</f>
        <v>0</v>
      </c>
      <c r="Q877" s="8">
        <f>IF(H877="","",COUNTIFS($H$5:$H$1204,"&gt;"&amp;H877)+1)</f>
        <v>0</v>
      </c>
      <c r="R877" s="8">
        <f>IF(B877="","",SUMIFS(Pantry!$C$5:$C$304,Pantry!$A$5:$A$304,B877))</f>
        <v>0</v>
      </c>
      <c r="S877" s="8">
        <f>IF(OR(B877="",C877=""),"",MAX(0,C877-R877))</f>
        <v>0</v>
      </c>
      <c r="T877" s="26"/>
      <c r="U877" s="8">
        <f>IF(OR(T877="",T877=0,G877=""),"",T877*G877)</f>
        <v>0</v>
      </c>
      <c r="V877" s="8">
        <f>IF(OR(S877="",T877="",T877=0),"",CEILING(S877/T877,1))</f>
        <v>0</v>
      </c>
      <c r="W877" s="27"/>
      <c r="X877" s="29"/>
      <c r="Y877" s="8">
        <f>IF(OR(C877="",X877=""),"",C877*(1+X877))</f>
        <v>0</v>
      </c>
      <c r="Z877" s="8">
        <f>IF(B877="","",IFERROR(INDEX(Ingredients!$O$5:$O$304,MATCH(B877,Ingredients!$A$5:$A$304,0)),""))</f>
        <v>0</v>
      </c>
      <c r="AA877" s="8">
        <f>IF(B877="","",IF(R877&gt;=C877,"In pantry","To buy"))</f>
        <v>0</v>
      </c>
      <c r="AB877" s="8">
        <f>IF(A877="","",COUNTIFS($A$5:A877,A877))</f>
        <v>0</v>
      </c>
      <c r="AC877" s="8">
        <f>IF(B877="","",IF(COUNTIFS('Dietary Filters'!$C$5:$C$104,B877)&gt;0,"Check","OK"))</f>
        <v>0</v>
      </c>
      <c r="AD877" s="25"/>
    </row>
    <row r="878" spans="1:30">
      <c r="A878" s="7"/>
      <c r="B878" s="7"/>
      <c r="C878" s="26"/>
      <c r="D878" s="27"/>
      <c r="E878" s="8">
        <f>IF(B878="","",IFERROR(INDEX(Ingredients!$B$5:$B$304,MATCH(B878,Ingredients!$A$5:$A$304,0)),""))</f>
        <v>0</v>
      </c>
      <c r="F878" s="8">
        <f>IF(B878="","",IFERROR(INDEX(Ingredients!$E$5:$E$304,MATCH(B878,Ingredients!$A$5:$A$304,0)),""))</f>
        <v>0</v>
      </c>
      <c r="G878" s="8">
        <f>IF(B878="","",IFERROR(INDEX(Ingredients!$D$5:$D$304,MATCH(B878,Ingredients!$A$5:$A$304,0)),""))</f>
        <v>0</v>
      </c>
      <c r="H878" s="8">
        <f>IF(OR(B878="",C878=""),"",IFERROR(C878*G878,""))</f>
        <v>0</v>
      </c>
      <c r="I878" s="8">
        <f>IF(A878="","",IFERROR(INDEX(Recipes!$D$5:$D$204,MATCH(A878,Recipes!$A$5:$A$204,0)),""))</f>
        <v>0</v>
      </c>
      <c r="J878" s="8">
        <f>IF(OR(H878="",I878="",I878=0),"",IFERROR(H878/I878,""))</f>
        <v>0</v>
      </c>
      <c r="K878" s="8">
        <f>IF(OR(B878="",C878=""),"",IFERROR(C878*IFERROR(INDEX(Ingredients!$H$5:$H$304,MATCH(B878,Ingredients!$A$5:$A$304,0)),""),""))</f>
        <v>0</v>
      </c>
      <c r="L878" s="8">
        <f>IF(OR(B878="",C878=""),"",IFERROR(C878*IFERROR(INDEX(Ingredients!$I$5:$I$304,MATCH(B878,Ingredients!$A$5:$A$304,0)),""),""))</f>
        <v>0</v>
      </c>
      <c r="M878" s="8">
        <f>IF(OR(B878="",C878=""),"",IFERROR(C878*IFERROR(INDEX(Ingredients!$J$5:$J$304,MATCH(B878,Ingredients!$A$5:$A$304,0)),""),""))</f>
        <v>0</v>
      </c>
      <c r="N878" s="8">
        <f>IF(OR(B878="",C878=""),"",IFERROR(C878*IFERROR(INDEX(Ingredients!$K$5:$K$304,MATCH(B878,Ingredients!$A$5:$A$304,0)),""),""))</f>
        <v>0</v>
      </c>
      <c r="O878" s="8">
        <f>IF(OR(B878="",C878=""),"",IFERROR(C878*IFERROR(INDEX(Ingredients!$L$5:$L$304,MATCH(B878,Ingredients!$A$5:$A$304,0)),""),""))</f>
        <v>0</v>
      </c>
      <c r="P878" s="8">
        <f>IF(OR(H878="",A878=""),"",IFERROR(H878/SUMIFS('Recipe Ingredients'!$H$5:$H$1204,'Recipe Ingredients'!$A$5:$A$1204,A878),""))</f>
        <v>0</v>
      </c>
      <c r="Q878" s="8">
        <f>IF(H878="","",COUNTIFS($H$5:$H$1204,"&gt;"&amp;H878)+1)</f>
        <v>0</v>
      </c>
      <c r="R878" s="8">
        <f>IF(B878="","",SUMIFS(Pantry!$C$5:$C$304,Pantry!$A$5:$A$304,B878))</f>
        <v>0</v>
      </c>
      <c r="S878" s="8">
        <f>IF(OR(B878="",C878=""),"",MAX(0,C878-R878))</f>
        <v>0</v>
      </c>
      <c r="T878" s="26"/>
      <c r="U878" s="8">
        <f>IF(OR(T878="",T878=0,G878=""),"",T878*G878)</f>
        <v>0</v>
      </c>
      <c r="V878" s="8">
        <f>IF(OR(S878="",T878="",T878=0),"",CEILING(S878/T878,1))</f>
        <v>0</v>
      </c>
      <c r="W878" s="27"/>
      <c r="X878" s="29"/>
      <c r="Y878" s="8">
        <f>IF(OR(C878="",X878=""),"",C878*(1+X878))</f>
        <v>0</v>
      </c>
      <c r="Z878" s="8">
        <f>IF(B878="","",IFERROR(INDEX(Ingredients!$O$5:$O$304,MATCH(B878,Ingredients!$A$5:$A$304,0)),""))</f>
        <v>0</v>
      </c>
      <c r="AA878" s="8">
        <f>IF(B878="","",IF(R878&gt;=C878,"In pantry","To buy"))</f>
        <v>0</v>
      </c>
      <c r="AB878" s="8">
        <f>IF(A878="","",COUNTIFS($A$5:A878,A878))</f>
        <v>0</v>
      </c>
      <c r="AC878" s="8">
        <f>IF(B878="","",IF(COUNTIFS('Dietary Filters'!$C$5:$C$104,B878)&gt;0,"Check","OK"))</f>
        <v>0</v>
      </c>
      <c r="AD878" s="25"/>
    </row>
    <row r="879" spans="1:30">
      <c r="A879" s="7"/>
      <c r="B879" s="7"/>
      <c r="C879" s="26"/>
      <c r="D879" s="27"/>
      <c r="E879" s="8">
        <f>IF(B879="","",IFERROR(INDEX(Ingredients!$B$5:$B$304,MATCH(B879,Ingredients!$A$5:$A$304,0)),""))</f>
        <v>0</v>
      </c>
      <c r="F879" s="8">
        <f>IF(B879="","",IFERROR(INDEX(Ingredients!$E$5:$E$304,MATCH(B879,Ingredients!$A$5:$A$304,0)),""))</f>
        <v>0</v>
      </c>
      <c r="G879" s="8">
        <f>IF(B879="","",IFERROR(INDEX(Ingredients!$D$5:$D$304,MATCH(B879,Ingredients!$A$5:$A$304,0)),""))</f>
        <v>0</v>
      </c>
      <c r="H879" s="8">
        <f>IF(OR(B879="",C879=""),"",IFERROR(C879*G879,""))</f>
        <v>0</v>
      </c>
      <c r="I879" s="8">
        <f>IF(A879="","",IFERROR(INDEX(Recipes!$D$5:$D$204,MATCH(A879,Recipes!$A$5:$A$204,0)),""))</f>
        <v>0</v>
      </c>
      <c r="J879" s="8">
        <f>IF(OR(H879="",I879="",I879=0),"",IFERROR(H879/I879,""))</f>
        <v>0</v>
      </c>
      <c r="K879" s="8">
        <f>IF(OR(B879="",C879=""),"",IFERROR(C879*IFERROR(INDEX(Ingredients!$H$5:$H$304,MATCH(B879,Ingredients!$A$5:$A$304,0)),""),""))</f>
        <v>0</v>
      </c>
      <c r="L879" s="8">
        <f>IF(OR(B879="",C879=""),"",IFERROR(C879*IFERROR(INDEX(Ingredients!$I$5:$I$304,MATCH(B879,Ingredients!$A$5:$A$304,0)),""),""))</f>
        <v>0</v>
      </c>
      <c r="M879" s="8">
        <f>IF(OR(B879="",C879=""),"",IFERROR(C879*IFERROR(INDEX(Ingredients!$J$5:$J$304,MATCH(B879,Ingredients!$A$5:$A$304,0)),""),""))</f>
        <v>0</v>
      </c>
      <c r="N879" s="8">
        <f>IF(OR(B879="",C879=""),"",IFERROR(C879*IFERROR(INDEX(Ingredients!$K$5:$K$304,MATCH(B879,Ingredients!$A$5:$A$304,0)),""),""))</f>
        <v>0</v>
      </c>
      <c r="O879" s="8">
        <f>IF(OR(B879="",C879=""),"",IFERROR(C879*IFERROR(INDEX(Ingredients!$L$5:$L$304,MATCH(B879,Ingredients!$A$5:$A$304,0)),""),""))</f>
        <v>0</v>
      </c>
      <c r="P879" s="8">
        <f>IF(OR(H879="",A879=""),"",IFERROR(H879/SUMIFS('Recipe Ingredients'!$H$5:$H$1204,'Recipe Ingredients'!$A$5:$A$1204,A879),""))</f>
        <v>0</v>
      </c>
      <c r="Q879" s="8">
        <f>IF(H879="","",COUNTIFS($H$5:$H$1204,"&gt;"&amp;H879)+1)</f>
        <v>0</v>
      </c>
      <c r="R879" s="8">
        <f>IF(B879="","",SUMIFS(Pantry!$C$5:$C$304,Pantry!$A$5:$A$304,B879))</f>
        <v>0</v>
      </c>
      <c r="S879" s="8">
        <f>IF(OR(B879="",C879=""),"",MAX(0,C879-R879))</f>
        <v>0</v>
      </c>
      <c r="T879" s="26"/>
      <c r="U879" s="8">
        <f>IF(OR(T879="",T879=0,G879=""),"",T879*G879)</f>
        <v>0</v>
      </c>
      <c r="V879" s="8">
        <f>IF(OR(S879="",T879="",T879=0),"",CEILING(S879/T879,1))</f>
        <v>0</v>
      </c>
      <c r="W879" s="27"/>
      <c r="X879" s="29"/>
      <c r="Y879" s="8">
        <f>IF(OR(C879="",X879=""),"",C879*(1+X879))</f>
        <v>0</v>
      </c>
      <c r="Z879" s="8">
        <f>IF(B879="","",IFERROR(INDEX(Ingredients!$O$5:$O$304,MATCH(B879,Ingredients!$A$5:$A$304,0)),""))</f>
        <v>0</v>
      </c>
      <c r="AA879" s="8">
        <f>IF(B879="","",IF(R879&gt;=C879,"In pantry","To buy"))</f>
        <v>0</v>
      </c>
      <c r="AB879" s="8">
        <f>IF(A879="","",COUNTIFS($A$5:A879,A879))</f>
        <v>0</v>
      </c>
      <c r="AC879" s="8">
        <f>IF(B879="","",IF(COUNTIFS('Dietary Filters'!$C$5:$C$104,B879)&gt;0,"Check","OK"))</f>
        <v>0</v>
      </c>
      <c r="AD879" s="25"/>
    </row>
    <row r="880" spans="1:30">
      <c r="A880" s="7"/>
      <c r="B880" s="7"/>
      <c r="C880" s="26"/>
      <c r="D880" s="27"/>
      <c r="E880" s="8">
        <f>IF(B880="","",IFERROR(INDEX(Ingredients!$B$5:$B$304,MATCH(B880,Ingredients!$A$5:$A$304,0)),""))</f>
        <v>0</v>
      </c>
      <c r="F880" s="8">
        <f>IF(B880="","",IFERROR(INDEX(Ingredients!$E$5:$E$304,MATCH(B880,Ingredients!$A$5:$A$304,0)),""))</f>
        <v>0</v>
      </c>
      <c r="G880" s="8">
        <f>IF(B880="","",IFERROR(INDEX(Ingredients!$D$5:$D$304,MATCH(B880,Ingredients!$A$5:$A$304,0)),""))</f>
        <v>0</v>
      </c>
      <c r="H880" s="8">
        <f>IF(OR(B880="",C880=""),"",IFERROR(C880*G880,""))</f>
        <v>0</v>
      </c>
      <c r="I880" s="8">
        <f>IF(A880="","",IFERROR(INDEX(Recipes!$D$5:$D$204,MATCH(A880,Recipes!$A$5:$A$204,0)),""))</f>
        <v>0</v>
      </c>
      <c r="J880" s="8">
        <f>IF(OR(H880="",I880="",I880=0),"",IFERROR(H880/I880,""))</f>
        <v>0</v>
      </c>
      <c r="K880" s="8">
        <f>IF(OR(B880="",C880=""),"",IFERROR(C880*IFERROR(INDEX(Ingredients!$H$5:$H$304,MATCH(B880,Ingredients!$A$5:$A$304,0)),""),""))</f>
        <v>0</v>
      </c>
      <c r="L880" s="8">
        <f>IF(OR(B880="",C880=""),"",IFERROR(C880*IFERROR(INDEX(Ingredients!$I$5:$I$304,MATCH(B880,Ingredients!$A$5:$A$304,0)),""),""))</f>
        <v>0</v>
      </c>
      <c r="M880" s="8">
        <f>IF(OR(B880="",C880=""),"",IFERROR(C880*IFERROR(INDEX(Ingredients!$J$5:$J$304,MATCH(B880,Ingredients!$A$5:$A$304,0)),""),""))</f>
        <v>0</v>
      </c>
      <c r="N880" s="8">
        <f>IF(OR(B880="",C880=""),"",IFERROR(C880*IFERROR(INDEX(Ingredients!$K$5:$K$304,MATCH(B880,Ingredients!$A$5:$A$304,0)),""),""))</f>
        <v>0</v>
      </c>
      <c r="O880" s="8">
        <f>IF(OR(B880="",C880=""),"",IFERROR(C880*IFERROR(INDEX(Ingredients!$L$5:$L$304,MATCH(B880,Ingredients!$A$5:$A$304,0)),""),""))</f>
        <v>0</v>
      </c>
      <c r="P880" s="8">
        <f>IF(OR(H880="",A880=""),"",IFERROR(H880/SUMIFS('Recipe Ingredients'!$H$5:$H$1204,'Recipe Ingredients'!$A$5:$A$1204,A880),""))</f>
        <v>0</v>
      </c>
      <c r="Q880" s="8">
        <f>IF(H880="","",COUNTIFS($H$5:$H$1204,"&gt;"&amp;H880)+1)</f>
        <v>0</v>
      </c>
      <c r="R880" s="8">
        <f>IF(B880="","",SUMIFS(Pantry!$C$5:$C$304,Pantry!$A$5:$A$304,B880))</f>
        <v>0</v>
      </c>
      <c r="S880" s="8">
        <f>IF(OR(B880="",C880=""),"",MAX(0,C880-R880))</f>
        <v>0</v>
      </c>
      <c r="T880" s="26"/>
      <c r="U880" s="8">
        <f>IF(OR(T880="",T880=0,G880=""),"",T880*G880)</f>
        <v>0</v>
      </c>
      <c r="V880" s="8">
        <f>IF(OR(S880="",T880="",T880=0),"",CEILING(S880/T880,1))</f>
        <v>0</v>
      </c>
      <c r="W880" s="27"/>
      <c r="X880" s="29"/>
      <c r="Y880" s="8">
        <f>IF(OR(C880="",X880=""),"",C880*(1+X880))</f>
        <v>0</v>
      </c>
      <c r="Z880" s="8">
        <f>IF(B880="","",IFERROR(INDEX(Ingredients!$O$5:$O$304,MATCH(B880,Ingredients!$A$5:$A$304,0)),""))</f>
        <v>0</v>
      </c>
      <c r="AA880" s="8">
        <f>IF(B880="","",IF(R880&gt;=C880,"In pantry","To buy"))</f>
        <v>0</v>
      </c>
      <c r="AB880" s="8">
        <f>IF(A880="","",COUNTIFS($A$5:A880,A880))</f>
        <v>0</v>
      </c>
      <c r="AC880" s="8">
        <f>IF(B880="","",IF(COUNTIFS('Dietary Filters'!$C$5:$C$104,B880)&gt;0,"Check","OK"))</f>
        <v>0</v>
      </c>
      <c r="AD880" s="25"/>
    </row>
    <row r="881" spans="1:30">
      <c r="A881" s="7"/>
      <c r="B881" s="7"/>
      <c r="C881" s="26"/>
      <c r="D881" s="27"/>
      <c r="E881" s="8">
        <f>IF(B881="","",IFERROR(INDEX(Ingredients!$B$5:$B$304,MATCH(B881,Ingredients!$A$5:$A$304,0)),""))</f>
        <v>0</v>
      </c>
      <c r="F881" s="8">
        <f>IF(B881="","",IFERROR(INDEX(Ingredients!$E$5:$E$304,MATCH(B881,Ingredients!$A$5:$A$304,0)),""))</f>
        <v>0</v>
      </c>
      <c r="G881" s="8">
        <f>IF(B881="","",IFERROR(INDEX(Ingredients!$D$5:$D$304,MATCH(B881,Ingredients!$A$5:$A$304,0)),""))</f>
        <v>0</v>
      </c>
      <c r="H881" s="8">
        <f>IF(OR(B881="",C881=""),"",IFERROR(C881*G881,""))</f>
        <v>0</v>
      </c>
      <c r="I881" s="8">
        <f>IF(A881="","",IFERROR(INDEX(Recipes!$D$5:$D$204,MATCH(A881,Recipes!$A$5:$A$204,0)),""))</f>
        <v>0</v>
      </c>
      <c r="J881" s="8">
        <f>IF(OR(H881="",I881="",I881=0),"",IFERROR(H881/I881,""))</f>
        <v>0</v>
      </c>
      <c r="K881" s="8">
        <f>IF(OR(B881="",C881=""),"",IFERROR(C881*IFERROR(INDEX(Ingredients!$H$5:$H$304,MATCH(B881,Ingredients!$A$5:$A$304,0)),""),""))</f>
        <v>0</v>
      </c>
      <c r="L881" s="8">
        <f>IF(OR(B881="",C881=""),"",IFERROR(C881*IFERROR(INDEX(Ingredients!$I$5:$I$304,MATCH(B881,Ingredients!$A$5:$A$304,0)),""),""))</f>
        <v>0</v>
      </c>
      <c r="M881" s="8">
        <f>IF(OR(B881="",C881=""),"",IFERROR(C881*IFERROR(INDEX(Ingredients!$J$5:$J$304,MATCH(B881,Ingredients!$A$5:$A$304,0)),""),""))</f>
        <v>0</v>
      </c>
      <c r="N881" s="8">
        <f>IF(OR(B881="",C881=""),"",IFERROR(C881*IFERROR(INDEX(Ingredients!$K$5:$K$304,MATCH(B881,Ingredients!$A$5:$A$304,0)),""),""))</f>
        <v>0</v>
      </c>
      <c r="O881" s="8">
        <f>IF(OR(B881="",C881=""),"",IFERROR(C881*IFERROR(INDEX(Ingredients!$L$5:$L$304,MATCH(B881,Ingredients!$A$5:$A$304,0)),""),""))</f>
        <v>0</v>
      </c>
      <c r="P881" s="8">
        <f>IF(OR(H881="",A881=""),"",IFERROR(H881/SUMIFS('Recipe Ingredients'!$H$5:$H$1204,'Recipe Ingredients'!$A$5:$A$1204,A881),""))</f>
        <v>0</v>
      </c>
      <c r="Q881" s="8">
        <f>IF(H881="","",COUNTIFS($H$5:$H$1204,"&gt;"&amp;H881)+1)</f>
        <v>0</v>
      </c>
      <c r="R881" s="8">
        <f>IF(B881="","",SUMIFS(Pantry!$C$5:$C$304,Pantry!$A$5:$A$304,B881))</f>
        <v>0</v>
      </c>
      <c r="S881" s="8">
        <f>IF(OR(B881="",C881=""),"",MAX(0,C881-R881))</f>
        <v>0</v>
      </c>
      <c r="T881" s="26"/>
      <c r="U881" s="8">
        <f>IF(OR(T881="",T881=0,G881=""),"",T881*G881)</f>
        <v>0</v>
      </c>
      <c r="V881" s="8">
        <f>IF(OR(S881="",T881="",T881=0),"",CEILING(S881/T881,1))</f>
        <v>0</v>
      </c>
      <c r="W881" s="27"/>
      <c r="X881" s="29"/>
      <c r="Y881" s="8">
        <f>IF(OR(C881="",X881=""),"",C881*(1+X881))</f>
        <v>0</v>
      </c>
      <c r="Z881" s="8">
        <f>IF(B881="","",IFERROR(INDEX(Ingredients!$O$5:$O$304,MATCH(B881,Ingredients!$A$5:$A$304,0)),""))</f>
        <v>0</v>
      </c>
      <c r="AA881" s="8">
        <f>IF(B881="","",IF(R881&gt;=C881,"In pantry","To buy"))</f>
        <v>0</v>
      </c>
      <c r="AB881" s="8">
        <f>IF(A881="","",COUNTIFS($A$5:A881,A881))</f>
        <v>0</v>
      </c>
      <c r="AC881" s="8">
        <f>IF(B881="","",IF(COUNTIFS('Dietary Filters'!$C$5:$C$104,B881)&gt;0,"Check","OK"))</f>
        <v>0</v>
      </c>
      <c r="AD881" s="25"/>
    </row>
    <row r="882" spans="1:30">
      <c r="A882" s="7"/>
      <c r="B882" s="7"/>
      <c r="C882" s="26"/>
      <c r="D882" s="27"/>
      <c r="E882" s="8">
        <f>IF(B882="","",IFERROR(INDEX(Ingredients!$B$5:$B$304,MATCH(B882,Ingredients!$A$5:$A$304,0)),""))</f>
        <v>0</v>
      </c>
      <c r="F882" s="8">
        <f>IF(B882="","",IFERROR(INDEX(Ingredients!$E$5:$E$304,MATCH(B882,Ingredients!$A$5:$A$304,0)),""))</f>
        <v>0</v>
      </c>
      <c r="G882" s="8">
        <f>IF(B882="","",IFERROR(INDEX(Ingredients!$D$5:$D$304,MATCH(B882,Ingredients!$A$5:$A$304,0)),""))</f>
        <v>0</v>
      </c>
      <c r="H882" s="8">
        <f>IF(OR(B882="",C882=""),"",IFERROR(C882*G882,""))</f>
        <v>0</v>
      </c>
      <c r="I882" s="8">
        <f>IF(A882="","",IFERROR(INDEX(Recipes!$D$5:$D$204,MATCH(A882,Recipes!$A$5:$A$204,0)),""))</f>
        <v>0</v>
      </c>
      <c r="J882" s="8">
        <f>IF(OR(H882="",I882="",I882=0),"",IFERROR(H882/I882,""))</f>
        <v>0</v>
      </c>
      <c r="K882" s="8">
        <f>IF(OR(B882="",C882=""),"",IFERROR(C882*IFERROR(INDEX(Ingredients!$H$5:$H$304,MATCH(B882,Ingredients!$A$5:$A$304,0)),""),""))</f>
        <v>0</v>
      </c>
      <c r="L882" s="8">
        <f>IF(OR(B882="",C882=""),"",IFERROR(C882*IFERROR(INDEX(Ingredients!$I$5:$I$304,MATCH(B882,Ingredients!$A$5:$A$304,0)),""),""))</f>
        <v>0</v>
      </c>
      <c r="M882" s="8">
        <f>IF(OR(B882="",C882=""),"",IFERROR(C882*IFERROR(INDEX(Ingredients!$J$5:$J$304,MATCH(B882,Ingredients!$A$5:$A$304,0)),""),""))</f>
        <v>0</v>
      </c>
      <c r="N882" s="8">
        <f>IF(OR(B882="",C882=""),"",IFERROR(C882*IFERROR(INDEX(Ingredients!$K$5:$K$304,MATCH(B882,Ingredients!$A$5:$A$304,0)),""),""))</f>
        <v>0</v>
      </c>
      <c r="O882" s="8">
        <f>IF(OR(B882="",C882=""),"",IFERROR(C882*IFERROR(INDEX(Ingredients!$L$5:$L$304,MATCH(B882,Ingredients!$A$5:$A$304,0)),""),""))</f>
        <v>0</v>
      </c>
      <c r="P882" s="8">
        <f>IF(OR(H882="",A882=""),"",IFERROR(H882/SUMIFS('Recipe Ingredients'!$H$5:$H$1204,'Recipe Ingredients'!$A$5:$A$1204,A882),""))</f>
        <v>0</v>
      </c>
      <c r="Q882" s="8">
        <f>IF(H882="","",COUNTIFS($H$5:$H$1204,"&gt;"&amp;H882)+1)</f>
        <v>0</v>
      </c>
      <c r="R882" s="8">
        <f>IF(B882="","",SUMIFS(Pantry!$C$5:$C$304,Pantry!$A$5:$A$304,B882))</f>
        <v>0</v>
      </c>
      <c r="S882" s="8">
        <f>IF(OR(B882="",C882=""),"",MAX(0,C882-R882))</f>
        <v>0</v>
      </c>
      <c r="T882" s="26"/>
      <c r="U882" s="8">
        <f>IF(OR(T882="",T882=0,G882=""),"",T882*G882)</f>
        <v>0</v>
      </c>
      <c r="V882" s="8">
        <f>IF(OR(S882="",T882="",T882=0),"",CEILING(S882/T882,1))</f>
        <v>0</v>
      </c>
      <c r="W882" s="27"/>
      <c r="X882" s="29"/>
      <c r="Y882" s="8">
        <f>IF(OR(C882="",X882=""),"",C882*(1+X882))</f>
        <v>0</v>
      </c>
      <c r="Z882" s="8">
        <f>IF(B882="","",IFERROR(INDEX(Ingredients!$O$5:$O$304,MATCH(B882,Ingredients!$A$5:$A$304,0)),""))</f>
        <v>0</v>
      </c>
      <c r="AA882" s="8">
        <f>IF(B882="","",IF(R882&gt;=C882,"In pantry","To buy"))</f>
        <v>0</v>
      </c>
      <c r="AB882" s="8">
        <f>IF(A882="","",COUNTIFS($A$5:A882,A882))</f>
        <v>0</v>
      </c>
      <c r="AC882" s="8">
        <f>IF(B882="","",IF(COUNTIFS('Dietary Filters'!$C$5:$C$104,B882)&gt;0,"Check","OK"))</f>
        <v>0</v>
      </c>
      <c r="AD882" s="25"/>
    </row>
    <row r="883" spans="1:30">
      <c r="A883" s="7"/>
      <c r="B883" s="7"/>
      <c r="C883" s="26"/>
      <c r="D883" s="27"/>
      <c r="E883" s="8">
        <f>IF(B883="","",IFERROR(INDEX(Ingredients!$B$5:$B$304,MATCH(B883,Ingredients!$A$5:$A$304,0)),""))</f>
        <v>0</v>
      </c>
      <c r="F883" s="8">
        <f>IF(B883="","",IFERROR(INDEX(Ingredients!$E$5:$E$304,MATCH(B883,Ingredients!$A$5:$A$304,0)),""))</f>
        <v>0</v>
      </c>
      <c r="G883" s="8">
        <f>IF(B883="","",IFERROR(INDEX(Ingredients!$D$5:$D$304,MATCH(B883,Ingredients!$A$5:$A$304,0)),""))</f>
        <v>0</v>
      </c>
      <c r="H883" s="8">
        <f>IF(OR(B883="",C883=""),"",IFERROR(C883*G883,""))</f>
        <v>0</v>
      </c>
      <c r="I883" s="8">
        <f>IF(A883="","",IFERROR(INDEX(Recipes!$D$5:$D$204,MATCH(A883,Recipes!$A$5:$A$204,0)),""))</f>
        <v>0</v>
      </c>
      <c r="J883" s="8">
        <f>IF(OR(H883="",I883="",I883=0),"",IFERROR(H883/I883,""))</f>
        <v>0</v>
      </c>
      <c r="K883" s="8">
        <f>IF(OR(B883="",C883=""),"",IFERROR(C883*IFERROR(INDEX(Ingredients!$H$5:$H$304,MATCH(B883,Ingredients!$A$5:$A$304,0)),""),""))</f>
        <v>0</v>
      </c>
      <c r="L883" s="8">
        <f>IF(OR(B883="",C883=""),"",IFERROR(C883*IFERROR(INDEX(Ingredients!$I$5:$I$304,MATCH(B883,Ingredients!$A$5:$A$304,0)),""),""))</f>
        <v>0</v>
      </c>
      <c r="M883" s="8">
        <f>IF(OR(B883="",C883=""),"",IFERROR(C883*IFERROR(INDEX(Ingredients!$J$5:$J$304,MATCH(B883,Ingredients!$A$5:$A$304,0)),""),""))</f>
        <v>0</v>
      </c>
      <c r="N883" s="8">
        <f>IF(OR(B883="",C883=""),"",IFERROR(C883*IFERROR(INDEX(Ingredients!$K$5:$K$304,MATCH(B883,Ingredients!$A$5:$A$304,0)),""),""))</f>
        <v>0</v>
      </c>
      <c r="O883" s="8">
        <f>IF(OR(B883="",C883=""),"",IFERROR(C883*IFERROR(INDEX(Ingredients!$L$5:$L$304,MATCH(B883,Ingredients!$A$5:$A$304,0)),""),""))</f>
        <v>0</v>
      </c>
      <c r="P883" s="8">
        <f>IF(OR(H883="",A883=""),"",IFERROR(H883/SUMIFS('Recipe Ingredients'!$H$5:$H$1204,'Recipe Ingredients'!$A$5:$A$1204,A883),""))</f>
        <v>0</v>
      </c>
      <c r="Q883" s="8">
        <f>IF(H883="","",COUNTIFS($H$5:$H$1204,"&gt;"&amp;H883)+1)</f>
        <v>0</v>
      </c>
      <c r="R883" s="8">
        <f>IF(B883="","",SUMIFS(Pantry!$C$5:$C$304,Pantry!$A$5:$A$304,B883))</f>
        <v>0</v>
      </c>
      <c r="S883" s="8">
        <f>IF(OR(B883="",C883=""),"",MAX(0,C883-R883))</f>
        <v>0</v>
      </c>
      <c r="T883" s="26"/>
      <c r="U883" s="8">
        <f>IF(OR(T883="",T883=0,G883=""),"",T883*G883)</f>
        <v>0</v>
      </c>
      <c r="V883" s="8">
        <f>IF(OR(S883="",T883="",T883=0),"",CEILING(S883/T883,1))</f>
        <v>0</v>
      </c>
      <c r="W883" s="27"/>
      <c r="X883" s="29"/>
      <c r="Y883" s="8">
        <f>IF(OR(C883="",X883=""),"",C883*(1+X883))</f>
        <v>0</v>
      </c>
      <c r="Z883" s="8">
        <f>IF(B883="","",IFERROR(INDEX(Ingredients!$O$5:$O$304,MATCH(B883,Ingredients!$A$5:$A$304,0)),""))</f>
        <v>0</v>
      </c>
      <c r="AA883" s="8">
        <f>IF(B883="","",IF(R883&gt;=C883,"In pantry","To buy"))</f>
        <v>0</v>
      </c>
      <c r="AB883" s="8">
        <f>IF(A883="","",COUNTIFS($A$5:A883,A883))</f>
        <v>0</v>
      </c>
      <c r="AC883" s="8">
        <f>IF(B883="","",IF(COUNTIFS('Dietary Filters'!$C$5:$C$104,B883)&gt;0,"Check","OK"))</f>
        <v>0</v>
      </c>
      <c r="AD883" s="25"/>
    </row>
    <row r="884" spans="1:30">
      <c r="A884" s="7"/>
      <c r="B884" s="7"/>
      <c r="C884" s="26"/>
      <c r="D884" s="27"/>
      <c r="E884" s="8">
        <f>IF(B884="","",IFERROR(INDEX(Ingredients!$B$5:$B$304,MATCH(B884,Ingredients!$A$5:$A$304,0)),""))</f>
        <v>0</v>
      </c>
      <c r="F884" s="8">
        <f>IF(B884="","",IFERROR(INDEX(Ingredients!$E$5:$E$304,MATCH(B884,Ingredients!$A$5:$A$304,0)),""))</f>
        <v>0</v>
      </c>
      <c r="G884" s="8">
        <f>IF(B884="","",IFERROR(INDEX(Ingredients!$D$5:$D$304,MATCH(B884,Ingredients!$A$5:$A$304,0)),""))</f>
        <v>0</v>
      </c>
      <c r="H884" s="8">
        <f>IF(OR(B884="",C884=""),"",IFERROR(C884*G884,""))</f>
        <v>0</v>
      </c>
      <c r="I884" s="8">
        <f>IF(A884="","",IFERROR(INDEX(Recipes!$D$5:$D$204,MATCH(A884,Recipes!$A$5:$A$204,0)),""))</f>
        <v>0</v>
      </c>
      <c r="J884" s="8">
        <f>IF(OR(H884="",I884="",I884=0),"",IFERROR(H884/I884,""))</f>
        <v>0</v>
      </c>
      <c r="K884" s="8">
        <f>IF(OR(B884="",C884=""),"",IFERROR(C884*IFERROR(INDEX(Ingredients!$H$5:$H$304,MATCH(B884,Ingredients!$A$5:$A$304,0)),""),""))</f>
        <v>0</v>
      </c>
      <c r="L884" s="8">
        <f>IF(OR(B884="",C884=""),"",IFERROR(C884*IFERROR(INDEX(Ingredients!$I$5:$I$304,MATCH(B884,Ingredients!$A$5:$A$304,0)),""),""))</f>
        <v>0</v>
      </c>
      <c r="M884" s="8">
        <f>IF(OR(B884="",C884=""),"",IFERROR(C884*IFERROR(INDEX(Ingredients!$J$5:$J$304,MATCH(B884,Ingredients!$A$5:$A$304,0)),""),""))</f>
        <v>0</v>
      </c>
      <c r="N884" s="8">
        <f>IF(OR(B884="",C884=""),"",IFERROR(C884*IFERROR(INDEX(Ingredients!$K$5:$K$304,MATCH(B884,Ingredients!$A$5:$A$304,0)),""),""))</f>
        <v>0</v>
      </c>
      <c r="O884" s="8">
        <f>IF(OR(B884="",C884=""),"",IFERROR(C884*IFERROR(INDEX(Ingredients!$L$5:$L$304,MATCH(B884,Ingredients!$A$5:$A$304,0)),""),""))</f>
        <v>0</v>
      </c>
      <c r="P884" s="8">
        <f>IF(OR(H884="",A884=""),"",IFERROR(H884/SUMIFS('Recipe Ingredients'!$H$5:$H$1204,'Recipe Ingredients'!$A$5:$A$1204,A884),""))</f>
        <v>0</v>
      </c>
      <c r="Q884" s="8">
        <f>IF(H884="","",COUNTIFS($H$5:$H$1204,"&gt;"&amp;H884)+1)</f>
        <v>0</v>
      </c>
      <c r="R884" s="8">
        <f>IF(B884="","",SUMIFS(Pantry!$C$5:$C$304,Pantry!$A$5:$A$304,B884))</f>
        <v>0</v>
      </c>
      <c r="S884" s="8">
        <f>IF(OR(B884="",C884=""),"",MAX(0,C884-R884))</f>
        <v>0</v>
      </c>
      <c r="T884" s="26"/>
      <c r="U884" s="8">
        <f>IF(OR(T884="",T884=0,G884=""),"",T884*G884)</f>
        <v>0</v>
      </c>
      <c r="V884" s="8">
        <f>IF(OR(S884="",T884="",T884=0),"",CEILING(S884/T884,1))</f>
        <v>0</v>
      </c>
      <c r="W884" s="27"/>
      <c r="X884" s="29"/>
      <c r="Y884" s="8">
        <f>IF(OR(C884="",X884=""),"",C884*(1+X884))</f>
        <v>0</v>
      </c>
      <c r="Z884" s="8">
        <f>IF(B884="","",IFERROR(INDEX(Ingredients!$O$5:$O$304,MATCH(B884,Ingredients!$A$5:$A$304,0)),""))</f>
        <v>0</v>
      </c>
      <c r="AA884" s="8">
        <f>IF(B884="","",IF(R884&gt;=C884,"In pantry","To buy"))</f>
        <v>0</v>
      </c>
      <c r="AB884" s="8">
        <f>IF(A884="","",COUNTIFS($A$5:A884,A884))</f>
        <v>0</v>
      </c>
      <c r="AC884" s="8">
        <f>IF(B884="","",IF(COUNTIFS('Dietary Filters'!$C$5:$C$104,B884)&gt;0,"Check","OK"))</f>
        <v>0</v>
      </c>
      <c r="AD884" s="25"/>
    </row>
    <row r="885" spans="1:30">
      <c r="A885" s="7"/>
      <c r="B885" s="7"/>
      <c r="C885" s="26"/>
      <c r="D885" s="27"/>
      <c r="E885" s="8">
        <f>IF(B885="","",IFERROR(INDEX(Ingredients!$B$5:$B$304,MATCH(B885,Ingredients!$A$5:$A$304,0)),""))</f>
        <v>0</v>
      </c>
      <c r="F885" s="8">
        <f>IF(B885="","",IFERROR(INDEX(Ingredients!$E$5:$E$304,MATCH(B885,Ingredients!$A$5:$A$304,0)),""))</f>
        <v>0</v>
      </c>
      <c r="G885" s="8">
        <f>IF(B885="","",IFERROR(INDEX(Ingredients!$D$5:$D$304,MATCH(B885,Ingredients!$A$5:$A$304,0)),""))</f>
        <v>0</v>
      </c>
      <c r="H885" s="8">
        <f>IF(OR(B885="",C885=""),"",IFERROR(C885*G885,""))</f>
        <v>0</v>
      </c>
      <c r="I885" s="8">
        <f>IF(A885="","",IFERROR(INDEX(Recipes!$D$5:$D$204,MATCH(A885,Recipes!$A$5:$A$204,0)),""))</f>
        <v>0</v>
      </c>
      <c r="J885" s="8">
        <f>IF(OR(H885="",I885="",I885=0),"",IFERROR(H885/I885,""))</f>
        <v>0</v>
      </c>
      <c r="K885" s="8">
        <f>IF(OR(B885="",C885=""),"",IFERROR(C885*IFERROR(INDEX(Ingredients!$H$5:$H$304,MATCH(B885,Ingredients!$A$5:$A$304,0)),""),""))</f>
        <v>0</v>
      </c>
      <c r="L885" s="8">
        <f>IF(OR(B885="",C885=""),"",IFERROR(C885*IFERROR(INDEX(Ingredients!$I$5:$I$304,MATCH(B885,Ingredients!$A$5:$A$304,0)),""),""))</f>
        <v>0</v>
      </c>
      <c r="M885" s="8">
        <f>IF(OR(B885="",C885=""),"",IFERROR(C885*IFERROR(INDEX(Ingredients!$J$5:$J$304,MATCH(B885,Ingredients!$A$5:$A$304,0)),""),""))</f>
        <v>0</v>
      </c>
      <c r="N885" s="8">
        <f>IF(OR(B885="",C885=""),"",IFERROR(C885*IFERROR(INDEX(Ingredients!$K$5:$K$304,MATCH(B885,Ingredients!$A$5:$A$304,0)),""),""))</f>
        <v>0</v>
      </c>
      <c r="O885" s="8">
        <f>IF(OR(B885="",C885=""),"",IFERROR(C885*IFERROR(INDEX(Ingredients!$L$5:$L$304,MATCH(B885,Ingredients!$A$5:$A$304,0)),""),""))</f>
        <v>0</v>
      </c>
      <c r="P885" s="8">
        <f>IF(OR(H885="",A885=""),"",IFERROR(H885/SUMIFS('Recipe Ingredients'!$H$5:$H$1204,'Recipe Ingredients'!$A$5:$A$1204,A885),""))</f>
        <v>0</v>
      </c>
      <c r="Q885" s="8">
        <f>IF(H885="","",COUNTIFS($H$5:$H$1204,"&gt;"&amp;H885)+1)</f>
        <v>0</v>
      </c>
      <c r="R885" s="8">
        <f>IF(B885="","",SUMIFS(Pantry!$C$5:$C$304,Pantry!$A$5:$A$304,B885))</f>
        <v>0</v>
      </c>
      <c r="S885" s="8">
        <f>IF(OR(B885="",C885=""),"",MAX(0,C885-R885))</f>
        <v>0</v>
      </c>
      <c r="T885" s="26"/>
      <c r="U885" s="8">
        <f>IF(OR(T885="",T885=0,G885=""),"",T885*G885)</f>
        <v>0</v>
      </c>
      <c r="V885" s="8">
        <f>IF(OR(S885="",T885="",T885=0),"",CEILING(S885/T885,1))</f>
        <v>0</v>
      </c>
      <c r="W885" s="27"/>
      <c r="X885" s="29"/>
      <c r="Y885" s="8">
        <f>IF(OR(C885="",X885=""),"",C885*(1+X885))</f>
        <v>0</v>
      </c>
      <c r="Z885" s="8">
        <f>IF(B885="","",IFERROR(INDEX(Ingredients!$O$5:$O$304,MATCH(B885,Ingredients!$A$5:$A$304,0)),""))</f>
        <v>0</v>
      </c>
      <c r="AA885" s="8">
        <f>IF(B885="","",IF(R885&gt;=C885,"In pantry","To buy"))</f>
        <v>0</v>
      </c>
      <c r="AB885" s="8">
        <f>IF(A885="","",COUNTIFS($A$5:A885,A885))</f>
        <v>0</v>
      </c>
      <c r="AC885" s="8">
        <f>IF(B885="","",IF(COUNTIFS('Dietary Filters'!$C$5:$C$104,B885)&gt;0,"Check","OK"))</f>
        <v>0</v>
      </c>
      <c r="AD885" s="25"/>
    </row>
    <row r="886" spans="1:30">
      <c r="A886" s="7"/>
      <c r="B886" s="7"/>
      <c r="C886" s="26"/>
      <c r="D886" s="27"/>
      <c r="E886" s="8">
        <f>IF(B886="","",IFERROR(INDEX(Ingredients!$B$5:$B$304,MATCH(B886,Ingredients!$A$5:$A$304,0)),""))</f>
        <v>0</v>
      </c>
      <c r="F886" s="8">
        <f>IF(B886="","",IFERROR(INDEX(Ingredients!$E$5:$E$304,MATCH(B886,Ingredients!$A$5:$A$304,0)),""))</f>
        <v>0</v>
      </c>
      <c r="G886" s="8">
        <f>IF(B886="","",IFERROR(INDEX(Ingredients!$D$5:$D$304,MATCH(B886,Ingredients!$A$5:$A$304,0)),""))</f>
        <v>0</v>
      </c>
      <c r="H886" s="8">
        <f>IF(OR(B886="",C886=""),"",IFERROR(C886*G886,""))</f>
        <v>0</v>
      </c>
      <c r="I886" s="8">
        <f>IF(A886="","",IFERROR(INDEX(Recipes!$D$5:$D$204,MATCH(A886,Recipes!$A$5:$A$204,0)),""))</f>
        <v>0</v>
      </c>
      <c r="J886" s="8">
        <f>IF(OR(H886="",I886="",I886=0),"",IFERROR(H886/I886,""))</f>
        <v>0</v>
      </c>
      <c r="K886" s="8">
        <f>IF(OR(B886="",C886=""),"",IFERROR(C886*IFERROR(INDEX(Ingredients!$H$5:$H$304,MATCH(B886,Ingredients!$A$5:$A$304,0)),""),""))</f>
        <v>0</v>
      </c>
      <c r="L886" s="8">
        <f>IF(OR(B886="",C886=""),"",IFERROR(C886*IFERROR(INDEX(Ingredients!$I$5:$I$304,MATCH(B886,Ingredients!$A$5:$A$304,0)),""),""))</f>
        <v>0</v>
      </c>
      <c r="M886" s="8">
        <f>IF(OR(B886="",C886=""),"",IFERROR(C886*IFERROR(INDEX(Ingredients!$J$5:$J$304,MATCH(B886,Ingredients!$A$5:$A$304,0)),""),""))</f>
        <v>0</v>
      </c>
      <c r="N886" s="8">
        <f>IF(OR(B886="",C886=""),"",IFERROR(C886*IFERROR(INDEX(Ingredients!$K$5:$K$304,MATCH(B886,Ingredients!$A$5:$A$304,0)),""),""))</f>
        <v>0</v>
      </c>
      <c r="O886" s="8">
        <f>IF(OR(B886="",C886=""),"",IFERROR(C886*IFERROR(INDEX(Ingredients!$L$5:$L$304,MATCH(B886,Ingredients!$A$5:$A$304,0)),""),""))</f>
        <v>0</v>
      </c>
      <c r="P886" s="8">
        <f>IF(OR(H886="",A886=""),"",IFERROR(H886/SUMIFS('Recipe Ingredients'!$H$5:$H$1204,'Recipe Ingredients'!$A$5:$A$1204,A886),""))</f>
        <v>0</v>
      </c>
      <c r="Q886" s="8">
        <f>IF(H886="","",COUNTIFS($H$5:$H$1204,"&gt;"&amp;H886)+1)</f>
        <v>0</v>
      </c>
      <c r="R886" s="8">
        <f>IF(B886="","",SUMIFS(Pantry!$C$5:$C$304,Pantry!$A$5:$A$304,B886))</f>
        <v>0</v>
      </c>
      <c r="S886" s="8">
        <f>IF(OR(B886="",C886=""),"",MAX(0,C886-R886))</f>
        <v>0</v>
      </c>
      <c r="T886" s="26"/>
      <c r="U886" s="8">
        <f>IF(OR(T886="",T886=0,G886=""),"",T886*G886)</f>
        <v>0</v>
      </c>
      <c r="V886" s="8">
        <f>IF(OR(S886="",T886="",T886=0),"",CEILING(S886/T886,1))</f>
        <v>0</v>
      </c>
      <c r="W886" s="27"/>
      <c r="X886" s="29"/>
      <c r="Y886" s="8">
        <f>IF(OR(C886="",X886=""),"",C886*(1+X886))</f>
        <v>0</v>
      </c>
      <c r="Z886" s="8">
        <f>IF(B886="","",IFERROR(INDEX(Ingredients!$O$5:$O$304,MATCH(B886,Ingredients!$A$5:$A$304,0)),""))</f>
        <v>0</v>
      </c>
      <c r="AA886" s="8">
        <f>IF(B886="","",IF(R886&gt;=C886,"In pantry","To buy"))</f>
        <v>0</v>
      </c>
      <c r="AB886" s="8">
        <f>IF(A886="","",COUNTIFS($A$5:A886,A886))</f>
        <v>0</v>
      </c>
      <c r="AC886" s="8">
        <f>IF(B886="","",IF(COUNTIFS('Dietary Filters'!$C$5:$C$104,B886)&gt;0,"Check","OK"))</f>
        <v>0</v>
      </c>
      <c r="AD886" s="25"/>
    </row>
    <row r="887" spans="1:30">
      <c r="A887" s="7"/>
      <c r="B887" s="7"/>
      <c r="C887" s="26"/>
      <c r="D887" s="27"/>
      <c r="E887" s="8">
        <f>IF(B887="","",IFERROR(INDEX(Ingredients!$B$5:$B$304,MATCH(B887,Ingredients!$A$5:$A$304,0)),""))</f>
        <v>0</v>
      </c>
      <c r="F887" s="8">
        <f>IF(B887="","",IFERROR(INDEX(Ingredients!$E$5:$E$304,MATCH(B887,Ingredients!$A$5:$A$304,0)),""))</f>
        <v>0</v>
      </c>
      <c r="G887" s="8">
        <f>IF(B887="","",IFERROR(INDEX(Ingredients!$D$5:$D$304,MATCH(B887,Ingredients!$A$5:$A$304,0)),""))</f>
        <v>0</v>
      </c>
      <c r="H887" s="8">
        <f>IF(OR(B887="",C887=""),"",IFERROR(C887*G887,""))</f>
        <v>0</v>
      </c>
      <c r="I887" s="8">
        <f>IF(A887="","",IFERROR(INDEX(Recipes!$D$5:$D$204,MATCH(A887,Recipes!$A$5:$A$204,0)),""))</f>
        <v>0</v>
      </c>
      <c r="J887" s="8">
        <f>IF(OR(H887="",I887="",I887=0),"",IFERROR(H887/I887,""))</f>
        <v>0</v>
      </c>
      <c r="K887" s="8">
        <f>IF(OR(B887="",C887=""),"",IFERROR(C887*IFERROR(INDEX(Ingredients!$H$5:$H$304,MATCH(B887,Ingredients!$A$5:$A$304,0)),""),""))</f>
        <v>0</v>
      </c>
      <c r="L887" s="8">
        <f>IF(OR(B887="",C887=""),"",IFERROR(C887*IFERROR(INDEX(Ingredients!$I$5:$I$304,MATCH(B887,Ingredients!$A$5:$A$304,0)),""),""))</f>
        <v>0</v>
      </c>
      <c r="M887" s="8">
        <f>IF(OR(B887="",C887=""),"",IFERROR(C887*IFERROR(INDEX(Ingredients!$J$5:$J$304,MATCH(B887,Ingredients!$A$5:$A$304,0)),""),""))</f>
        <v>0</v>
      </c>
      <c r="N887" s="8">
        <f>IF(OR(B887="",C887=""),"",IFERROR(C887*IFERROR(INDEX(Ingredients!$K$5:$K$304,MATCH(B887,Ingredients!$A$5:$A$304,0)),""),""))</f>
        <v>0</v>
      </c>
      <c r="O887" s="8">
        <f>IF(OR(B887="",C887=""),"",IFERROR(C887*IFERROR(INDEX(Ingredients!$L$5:$L$304,MATCH(B887,Ingredients!$A$5:$A$304,0)),""),""))</f>
        <v>0</v>
      </c>
      <c r="P887" s="8">
        <f>IF(OR(H887="",A887=""),"",IFERROR(H887/SUMIFS('Recipe Ingredients'!$H$5:$H$1204,'Recipe Ingredients'!$A$5:$A$1204,A887),""))</f>
        <v>0</v>
      </c>
      <c r="Q887" s="8">
        <f>IF(H887="","",COUNTIFS($H$5:$H$1204,"&gt;"&amp;H887)+1)</f>
        <v>0</v>
      </c>
      <c r="R887" s="8">
        <f>IF(B887="","",SUMIFS(Pantry!$C$5:$C$304,Pantry!$A$5:$A$304,B887))</f>
        <v>0</v>
      </c>
      <c r="S887" s="8">
        <f>IF(OR(B887="",C887=""),"",MAX(0,C887-R887))</f>
        <v>0</v>
      </c>
      <c r="T887" s="26"/>
      <c r="U887" s="8">
        <f>IF(OR(T887="",T887=0,G887=""),"",T887*G887)</f>
        <v>0</v>
      </c>
      <c r="V887" s="8">
        <f>IF(OR(S887="",T887="",T887=0),"",CEILING(S887/T887,1))</f>
        <v>0</v>
      </c>
      <c r="W887" s="27"/>
      <c r="X887" s="29"/>
      <c r="Y887" s="8">
        <f>IF(OR(C887="",X887=""),"",C887*(1+X887))</f>
        <v>0</v>
      </c>
      <c r="Z887" s="8">
        <f>IF(B887="","",IFERROR(INDEX(Ingredients!$O$5:$O$304,MATCH(B887,Ingredients!$A$5:$A$304,0)),""))</f>
        <v>0</v>
      </c>
      <c r="AA887" s="8">
        <f>IF(B887="","",IF(R887&gt;=C887,"In pantry","To buy"))</f>
        <v>0</v>
      </c>
      <c r="AB887" s="8">
        <f>IF(A887="","",COUNTIFS($A$5:A887,A887))</f>
        <v>0</v>
      </c>
      <c r="AC887" s="8">
        <f>IF(B887="","",IF(COUNTIFS('Dietary Filters'!$C$5:$C$104,B887)&gt;0,"Check","OK"))</f>
        <v>0</v>
      </c>
      <c r="AD887" s="25"/>
    </row>
    <row r="888" spans="1:30">
      <c r="A888" s="7"/>
      <c r="B888" s="7"/>
      <c r="C888" s="26"/>
      <c r="D888" s="27"/>
      <c r="E888" s="8">
        <f>IF(B888="","",IFERROR(INDEX(Ingredients!$B$5:$B$304,MATCH(B888,Ingredients!$A$5:$A$304,0)),""))</f>
        <v>0</v>
      </c>
      <c r="F888" s="8">
        <f>IF(B888="","",IFERROR(INDEX(Ingredients!$E$5:$E$304,MATCH(B888,Ingredients!$A$5:$A$304,0)),""))</f>
        <v>0</v>
      </c>
      <c r="G888" s="8">
        <f>IF(B888="","",IFERROR(INDEX(Ingredients!$D$5:$D$304,MATCH(B888,Ingredients!$A$5:$A$304,0)),""))</f>
        <v>0</v>
      </c>
      <c r="H888" s="8">
        <f>IF(OR(B888="",C888=""),"",IFERROR(C888*G888,""))</f>
        <v>0</v>
      </c>
      <c r="I888" s="8">
        <f>IF(A888="","",IFERROR(INDEX(Recipes!$D$5:$D$204,MATCH(A888,Recipes!$A$5:$A$204,0)),""))</f>
        <v>0</v>
      </c>
      <c r="J888" s="8">
        <f>IF(OR(H888="",I888="",I888=0),"",IFERROR(H888/I888,""))</f>
        <v>0</v>
      </c>
      <c r="K888" s="8">
        <f>IF(OR(B888="",C888=""),"",IFERROR(C888*IFERROR(INDEX(Ingredients!$H$5:$H$304,MATCH(B888,Ingredients!$A$5:$A$304,0)),""),""))</f>
        <v>0</v>
      </c>
      <c r="L888" s="8">
        <f>IF(OR(B888="",C888=""),"",IFERROR(C888*IFERROR(INDEX(Ingredients!$I$5:$I$304,MATCH(B888,Ingredients!$A$5:$A$304,0)),""),""))</f>
        <v>0</v>
      </c>
      <c r="M888" s="8">
        <f>IF(OR(B888="",C888=""),"",IFERROR(C888*IFERROR(INDEX(Ingredients!$J$5:$J$304,MATCH(B888,Ingredients!$A$5:$A$304,0)),""),""))</f>
        <v>0</v>
      </c>
      <c r="N888" s="8">
        <f>IF(OR(B888="",C888=""),"",IFERROR(C888*IFERROR(INDEX(Ingredients!$K$5:$K$304,MATCH(B888,Ingredients!$A$5:$A$304,0)),""),""))</f>
        <v>0</v>
      </c>
      <c r="O888" s="8">
        <f>IF(OR(B888="",C888=""),"",IFERROR(C888*IFERROR(INDEX(Ingredients!$L$5:$L$304,MATCH(B888,Ingredients!$A$5:$A$304,0)),""),""))</f>
        <v>0</v>
      </c>
      <c r="P888" s="8">
        <f>IF(OR(H888="",A888=""),"",IFERROR(H888/SUMIFS('Recipe Ingredients'!$H$5:$H$1204,'Recipe Ingredients'!$A$5:$A$1204,A888),""))</f>
        <v>0</v>
      </c>
      <c r="Q888" s="8">
        <f>IF(H888="","",COUNTIFS($H$5:$H$1204,"&gt;"&amp;H888)+1)</f>
        <v>0</v>
      </c>
      <c r="R888" s="8">
        <f>IF(B888="","",SUMIFS(Pantry!$C$5:$C$304,Pantry!$A$5:$A$304,B888))</f>
        <v>0</v>
      </c>
      <c r="S888" s="8">
        <f>IF(OR(B888="",C888=""),"",MAX(0,C888-R888))</f>
        <v>0</v>
      </c>
      <c r="T888" s="26"/>
      <c r="U888" s="8">
        <f>IF(OR(T888="",T888=0,G888=""),"",T888*G888)</f>
        <v>0</v>
      </c>
      <c r="V888" s="8">
        <f>IF(OR(S888="",T888="",T888=0),"",CEILING(S888/T888,1))</f>
        <v>0</v>
      </c>
      <c r="W888" s="27"/>
      <c r="X888" s="29"/>
      <c r="Y888" s="8">
        <f>IF(OR(C888="",X888=""),"",C888*(1+X888))</f>
        <v>0</v>
      </c>
      <c r="Z888" s="8">
        <f>IF(B888="","",IFERROR(INDEX(Ingredients!$O$5:$O$304,MATCH(B888,Ingredients!$A$5:$A$304,0)),""))</f>
        <v>0</v>
      </c>
      <c r="AA888" s="8">
        <f>IF(B888="","",IF(R888&gt;=C888,"In pantry","To buy"))</f>
        <v>0</v>
      </c>
      <c r="AB888" s="8">
        <f>IF(A888="","",COUNTIFS($A$5:A888,A888))</f>
        <v>0</v>
      </c>
      <c r="AC888" s="8">
        <f>IF(B888="","",IF(COUNTIFS('Dietary Filters'!$C$5:$C$104,B888)&gt;0,"Check","OK"))</f>
        <v>0</v>
      </c>
      <c r="AD888" s="25"/>
    </row>
    <row r="889" spans="1:30">
      <c r="A889" s="7"/>
      <c r="B889" s="7"/>
      <c r="C889" s="26"/>
      <c r="D889" s="27"/>
      <c r="E889" s="8">
        <f>IF(B889="","",IFERROR(INDEX(Ingredients!$B$5:$B$304,MATCH(B889,Ingredients!$A$5:$A$304,0)),""))</f>
        <v>0</v>
      </c>
      <c r="F889" s="8">
        <f>IF(B889="","",IFERROR(INDEX(Ingredients!$E$5:$E$304,MATCH(B889,Ingredients!$A$5:$A$304,0)),""))</f>
        <v>0</v>
      </c>
      <c r="G889" s="8">
        <f>IF(B889="","",IFERROR(INDEX(Ingredients!$D$5:$D$304,MATCH(B889,Ingredients!$A$5:$A$304,0)),""))</f>
        <v>0</v>
      </c>
      <c r="H889" s="8">
        <f>IF(OR(B889="",C889=""),"",IFERROR(C889*G889,""))</f>
        <v>0</v>
      </c>
      <c r="I889" s="8">
        <f>IF(A889="","",IFERROR(INDEX(Recipes!$D$5:$D$204,MATCH(A889,Recipes!$A$5:$A$204,0)),""))</f>
        <v>0</v>
      </c>
      <c r="J889" s="8">
        <f>IF(OR(H889="",I889="",I889=0),"",IFERROR(H889/I889,""))</f>
        <v>0</v>
      </c>
      <c r="K889" s="8">
        <f>IF(OR(B889="",C889=""),"",IFERROR(C889*IFERROR(INDEX(Ingredients!$H$5:$H$304,MATCH(B889,Ingredients!$A$5:$A$304,0)),""),""))</f>
        <v>0</v>
      </c>
      <c r="L889" s="8">
        <f>IF(OR(B889="",C889=""),"",IFERROR(C889*IFERROR(INDEX(Ingredients!$I$5:$I$304,MATCH(B889,Ingredients!$A$5:$A$304,0)),""),""))</f>
        <v>0</v>
      </c>
      <c r="M889" s="8">
        <f>IF(OR(B889="",C889=""),"",IFERROR(C889*IFERROR(INDEX(Ingredients!$J$5:$J$304,MATCH(B889,Ingredients!$A$5:$A$304,0)),""),""))</f>
        <v>0</v>
      </c>
      <c r="N889" s="8">
        <f>IF(OR(B889="",C889=""),"",IFERROR(C889*IFERROR(INDEX(Ingredients!$K$5:$K$304,MATCH(B889,Ingredients!$A$5:$A$304,0)),""),""))</f>
        <v>0</v>
      </c>
      <c r="O889" s="8">
        <f>IF(OR(B889="",C889=""),"",IFERROR(C889*IFERROR(INDEX(Ingredients!$L$5:$L$304,MATCH(B889,Ingredients!$A$5:$A$304,0)),""),""))</f>
        <v>0</v>
      </c>
      <c r="P889" s="8">
        <f>IF(OR(H889="",A889=""),"",IFERROR(H889/SUMIFS('Recipe Ingredients'!$H$5:$H$1204,'Recipe Ingredients'!$A$5:$A$1204,A889),""))</f>
        <v>0</v>
      </c>
      <c r="Q889" s="8">
        <f>IF(H889="","",COUNTIFS($H$5:$H$1204,"&gt;"&amp;H889)+1)</f>
        <v>0</v>
      </c>
      <c r="R889" s="8">
        <f>IF(B889="","",SUMIFS(Pantry!$C$5:$C$304,Pantry!$A$5:$A$304,B889))</f>
        <v>0</v>
      </c>
      <c r="S889" s="8">
        <f>IF(OR(B889="",C889=""),"",MAX(0,C889-R889))</f>
        <v>0</v>
      </c>
      <c r="T889" s="26"/>
      <c r="U889" s="8">
        <f>IF(OR(T889="",T889=0,G889=""),"",T889*G889)</f>
        <v>0</v>
      </c>
      <c r="V889" s="8">
        <f>IF(OR(S889="",T889="",T889=0),"",CEILING(S889/T889,1))</f>
        <v>0</v>
      </c>
      <c r="W889" s="27"/>
      <c r="X889" s="29"/>
      <c r="Y889" s="8">
        <f>IF(OR(C889="",X889=""),"",C889*(1+X889))</f>
        <v>0</v>
      </c>
      <c r="Z889" s="8">
        <f>IF(B889="","",IFERROR(INDEX(Ingredients!$O$5:$O$304,MATCH(B889,Ingredients!$A$5:$A$304,0)),""))</f>
        <v>0</v>
      </c>
      <c r="AA889" s="8">
        <f>IF(B889="","",IF(R889&gt;=C889,"In pantry","To buy"))</f>
        <v>0</v>
      </c>
      <c r="AB889" s="8">
        <f>IF(A889="","",COUNTIFS($A$5:A889,A889))</f>
        <v>0</v>
      </c>
      <c r="AC889" s="8">
        <f>IF(B889="","",IF(COUNTIFS('Dietary Filters'!$C$5:$C$104,B889)&gt;0,"Check","OK"))</f>
        <v>0</v>
      </c>
      <c r="AD889" s="25"/>
    </row>
    <row r="890" spans="1:30">
      <c r="A890" s="7"/>
      <c r="B890" s="7"/>
      <c r="C890" s="26"/>
      <c r="D890" s="27"/>
      <c r="E890" s="8">
        <f>IF(B890="","",IFERROR(INDEX(Ingredients!$B$5:$B$304,MATCH(B890,Ingredients!$A$5:$A$304,0)),""))</f>
        <v>0</v>
      </c>
      <c r="F890" s="8">
        <f>IF(B890="","",IFERROR(INDEX(Ingredients!$E$5:$E$304,MATCH(B890,Ingredients!$A$5:$A$304,0)),""))</f>
        <v>0</v>
      </c>
      <c r="G890" s="8">
        <f>IF(B890="","",IFERROR(INDEX(Ingredients!$D$5:$D$304,MATCH(B890,Ingredients!$A$5:$A$304,0)),""))</f>
        <v>0</v>
      </c>
      <c r="H890" s="8">
        <f>IF(OR(B890="",C890=""),"",IFERROR(C890*G890,""))</f>
        <v>0</v>
      </c>
      <c r="I890" s="8">
        <f>IF(A890="","",IFERROR(INDEX(Recipes!$D$5:$D$204,MATCH(A890,Recipes!$A$5:$A$204,0)),""))</f>
        <v>0</v>
      </c>
      <c r="J890" s="8">
        <f>IF(OR(H890="",I890="",I890=0),"",IFERROR(H890/I890,""))</f>
        <v>0</v>
      </c>
      <c r="K890" s="8">
        <f>IF(OR(B890="",C890=""),"",IFERROR(C890*IFERROR(INDEX(Ingredients!$H$5:$H$304,MATCH(B890,Ingredients!$A$5:$A$304,0)),""),""))</f>
        <v>0</v>
      </c>
      <c r="L890" s="8">
        <f>IF(OR(B890="",C890=""),"",IFERROR(C890*IFERROR(INDEX(Ingredients!$I$5:$I$304,MATCH(B890,Ingredients!$A$5:$A$304,0)),""),""))</f>
        <v>0</v>
      </c>
      <c r="M890" s="8">
        <f>IF(OR(B890="",C890=""),"",IFERROR(C890*IFERROR(INDEX(Ingredients!$J$5:$J$304,MATCH(B890,Ingredients!$A$5:$A$304,0)),""),""))</f>
        <v>0</v>
      </c>
      <c r="N890" s="8">
        <f>IF(OR(B890="",C890=""),"",IFERROR(C890*IFERROR(INDEX(Ingredients!$K$5:$K$304,MATCH(B890,Ingredients!$A$5:$A$304,0)),""),""))</f>
        <v>0</v>
      </c>
      <c r="O890" s="8">
        <f>IF(OR(B890="",C890=""),"",IFERROR(C890*IFERROR(INDEX(Ingredients!$L$5:$L$304,MATCH(B890,Ingredients!$A$5:$A$304,0)),""),""))</f>
        <v>0</v>
      </c>
      <c r="P890" s="8">
        <f>IF(OR(H890="",A890=""),"",IFERROR(H890/SUMIFS('Recipe Ingredients'!$H$5:$H$1204,'Recipe Ingredients'!$A$5:$A$1204,A890),""))</f>
        <v>0</v>
      </c>
      <c r="Q890" s="8">
        <f>IF(H890="","",COUNTIFS($H$5:$H$1204,"&gt;"&amp;H890)+1)</f>
        <v>0</v>
      </c>
      <c r="R890" s="8">
        <f>IF(B890="","",SUMIFS(Pantry!$C$5:$C$304,Pantry!$A$5:$A$304,B890))</f>
        <v>0</v>
      </c>
      <c r="S890" s="8">
        <f>IF(OR(B890="",C890=""),"",MAX(0,C890-R890))</f>
        <v>0</v>
      </c>
      <c r="T890" s="26"/>
      <c r="U890" s="8">
        <f>IF(OR(T890="",T890=0,G890=""),"",T890*G890)</f>
        <v>0</v>
      </c>
      <c r="V890" s="8">
        <f>IF(OR(S890="",T890="",T890=0),"",CEILING(S890/T890,1))</f>
        <v>0</v>
      </c>
      <c r="W890" s="27"/>
      <c r="X890" s="29"/>
      <c r="Y890" s="8">
        <f>IF(OR(C890="",X890=""),"",C890*(1+X890))</f>
        <v>0</v>
      </c>
      <c r="Z890" s="8">
        <f>IF(B890="","",IFERROR(INDEX(Ingredients!$O$5:$O$304,MATCH(B890,Ingredients!$A$5:$A$304,0)),""))</f>
        <v>0</v>
      </c>
      <c r="AA890" s="8">
        <f>IF(B890="","",IF(R890&gt;=C890,"In pantry","To buy"))</f>
        <v>0</v>
      </c>
      <c r="AB890" s="8">
        <f>IF(A890="","",COUNTIFS($A$5:A890,A890))</f>
        <v>0</v>
      </c>
      <c r="AC890" s="8">
        <f>IF(B890="","",IF(COUNTIFS('Dietary Filters'!$C$5:$C$104,B890)&gt;0,"Check","OK"))</f>
        <v>0</v>
      </c>
      <c r="AD890" s="25"/>
    </row>
    <row r="891" spans="1:30">
      <c r="A891" s="7"/>
      <c r="B891" s="7"/>
      <c r="C891" s="26"/>
      <c r="D891" s="27"/>
      <c r="E891" s="8">
        <f>IF(B891="","",IFERROR(INDEX(Ingredients!$B$5:$B$304,MATCH(B891,Ingredients!$A$5:$A$304,0)),""))</f>
        <v>0</v>
      </c>
      <c r="F891" s="8">
        <f>IF(B891="","",IFERROR(INDEX(Ingredients!$E$5:$E$304,MATCH(B891,Ingredients!$A$5:$A$304,0)),""))</f>
        <v>0</v>
      </c>
      <c r="G891" s="8">
        <f>IF(B891="","",IFERROR(INDEX(Ingredients!$D$5:$D$304,MATCH(B891,Ingredients!$A$5:$A$304,0)),""))</f>
        <v>0</v>
      </c>
      <c r="H891" s="8">
        <f>IF(OR(B891="",C891=""),"",IFERROR(C891*G891,""))</f>
        <v>0</v>
      </c>
      <c r="I891" s="8">
        <f>IF(A891="","",IFERROR(INDEX(Recipes!$D$5:$D$204,MATCH(A891,Recipes!$A$5:$A$204,0)),""))</f>
        <v>0</v>
      </c>
      <c r="J891" s="8">
        <f>IF(OR(H891="",I891="",I891=0),"",IFERROR(H891/I891,""))</f>
        <v>0</v>
      </c>
      <c r="K891" s="8">
        <f>IF(OR(B891="",C891=""),"",IFERROR(C891*IFERROR(INDEX(Ingredients!$H$5:$H$304,MATCH(B891,Ingredients!$A$5:$A$304,0)),""),""))</f>
        <v>0</v>
      </c>
      <c r="L891" s="8">
        <f>IF(OR(B891="",C891=""),"",IFERROR(C891*IFERROR(INDEX(Ingredients!$I$5:$I$304,MATCH(B891,Ingredients!$A$5:$A$304,0)),""),""))</f>
        <v>0</v>
      </c>
      <c r="M891" s="8">
        <f>IF(OR(B891="",C891=""),"",IFERROR(C891*IFERROR(INDEX(Ingredients!$J$5:$J$304,MATCH(B891,Ingredients!$A$5:$A$304,0)),""),""))</f>
        <v>0</v>
      </c>
      <c r="N891" s="8">
        <f>IF(OR(B891="",C891=""),"",IFERROR(C891*IFERROR(INDEX(Ingredients!$K$5:$K$304,MATCH(B891,Ingredients!$A$5:$A$304,0)),""),""))</f>
        <v>0</v>
      </c>
      <c r="O891" s="8">
        <f>IF(OR(B891="",C891=""),"",IFERROR(C891*IFERROR(INDEX(Ingredients!$L$5:$L$304,MATCH(B891,Ingredients!$A$5:$A$304,0)),""),""))</f>
        <v>0</v>
      </c>
      <c r="P891" s="8">
        <f>IF(OR(H891="",A891=""),"",IFERROR(H891/SUMIFS('Recipe Ingredients'!$H$5:$H$1204,'Recipe Ingredients'!$A$5:$A$1204,A891),""))</f>
        <v>0</v>
      </c>
      <c r="Q891" s="8">
        <f>IF(H891="","",COUNTIFS($H$5:$H$1204,"&gt;"&amp;H891)+1)</f>
        <v>0</v>
      </c>
      <c r="R891" s="8">
        <f>IF(B891="","",SUMIFS(Pantry!$C$5:$C$304,Pantry!$A$5:$A$304,B891))</f>
        <v>0</v>
      </c>
      <c r="S891" s="8">
        <f>IF(OR(B891="",C891=""),"",MAX(0,C891-R891))</f>
        <v>0</v>
      </c>
      <c r="T891" s="26"/>
      <c r="U891" s="8">
        <f>IF(OR(T891="",T891=0,G891=""),"",T891*G891)</f>
        <v>0</v>
      </c>
      <c r="V891" s="8">
        <f>IF(OR(S891="",T891="",T891=0),"",CEILING(S891/T891,1))</f>
        <v>0</v>
      </c>
      <c r="W891" s="27"/>
      <c r="X891" s="29"/>
      <c r="Y891" s="8">
        <f>IF(OR(C891="",X891=""),"",C891*(1+X891))</f>
        <v>0</v>
      </c>
      <c r="Z891" s="8">
        <f>IF(B891="","",IFERROR(INDEX(Ingredients!$O$5:$O$304,MATCH(B891,Ingredients!$A$5:$A$304,0)),""))</f>
        <v>0</v>
      </c>
      <c r="AA891" s="8">
        <f>IF(B891="","",IF(R891&gt;=C891,"In pantry","To buy"))</f>
        <v>0</v>
      </c>
      <c r="AB891" s="8">
        <f>IF(A891="","",COUNTIFS($A$5:A891,A891))</f>
        <v>0</v>
      </c>
      <c r="AC891" s="8">
        <f>IF(B891="","",IF(COUNTIFS('Dietary Filters'!$C$5:$C$104,B891)&gt;0,"Check","OK"))</f>
        <v>0</v>
      </c>
      <c r="AD891" s="25"/>
    </row>
    <row r="892" spans="1:30">
      <c r="A892" s="7"/>
      <c r="B892" s="7"/>
      <c r="C892" s="26"/>
      <c r="D892" s="27"/>
      <c r="E892" s="8">
        <f>IF(B892="","",IFERROR(INDEX(Ingredients!$B$5:$B$304,MATCH(B892,Ingredients!$A$5:$A$304,0)),""))</f>
        <v>0</v>
      </c>
      <c r="F892" s="8">
        <f>IF(B892="","",IFERROR(INDEX(Ingredients!$E$5:$E$304,MATCH(B892,Ingredients!$A$5:$A$304,0)),""))</f>
        <v>0</v>
      </c>
      <c r="G892" s="8">
        <f>IF(B892="","",IFERROR(INDEX(Ingredients!$D$5:$D$304,MATCH(B892,Ingredients!$A$5:$A$304,0)),""))</f>
        <v>0</v>
      </c>
      <c r="H892" s="8">
        <f>IF(OR(B892="",C892=""),"",IFERROR(C892*G892,""))</f>
        <v>0</v>
      </c>
      <c r="I892" s="8">
        <f>IF(A892="","",IFERROR(INDEX(Recipes!$D$5:$D$204,MATCH(A892,Recipes!$A$5:$A$204,0)),""))</f>
        <v>0</v>
      </c>
      <c r="J892" s="8">
        <f>IF(OR(H892="",I892="",I892=0),"",IFERROR(H892/I892,""))</f>
        <v>0</v>
      </c>
      <c r="K892" s="8">
        <f>IF(OR(B892="",C892=""),"",IFERROR(C892*IFERROR(INDEX(Ingredients!$H$5:$H$304,MATCH(B892,Ingredients!$A$5:$A$304,0)),""),""))</f>
        <v>0</v>
      </c>
      <c r="L892" s="8">
        <f>IF(OR(B892="",C892=""),"",IFERROR(C892*IFERROR(INDEX(Ingredients!$I$5:$I$304,MATCH(B892,Ingredients!$A$5:$A$304,0)),""),""))</f>
        <v>0</v>
      </c>
      <c r="M892" s="8">
        <f>IF(OR(B892="",C892=""),"",IFERROR(C892*IFERROR(INDEX(Ingredients!$J$5:$J$304,MATCH(B892,Ingredients!$A$5:$A$304,0)),""),""))</f>
        <v>0</v>
      </c>
      <c r="N892" s="8">
        <f>IF(OR(B892="",C892=""),"",IFERROR(C892*IFERROR(INDEX(Ingredients!$K$5:$K$304,MATCH(B892,Ingredients!$A$5:$A$304,0)),""),""))</f>
        <v>0</v>
      </c>
      <c r="O892" s="8">
        <f>IF(OR(B892="",C892=""),"",IFERROR(C892*IFERROR(INDEX(Ingredients!$L$5:$L$304,MATCH(B892,Ingredients!$A$5:$A$304,0)),""),""))</f>
        <v>0</v>
      </c>
      <c r="P892" s="8">
        <f>IF(OR(H892="",A892=""),"",IFERROR(H892/SUMIFS('Recipe Ingredients'!$H$5:$H$1204,'Recipe Ingredients'!$A$5:$A$1204,A892),""))</f>
        <v>0</v>
      </c>
      <c r="Q892" s="8">
        <f>IF(H892="","",COUNTIFS($H$5:$H$1204,"&gt;"&amp;H892)+1)</f>
        <v>0</v>
      </c>
      <c r="R892" s="8">
        <f>IF(B892="","",SUMIFS(Pantry!$C$5:$C$304,Pantry!$A$5:$A$304,B892))</f>
        <v>0</v>
      </c>
      <c r="S892" s="8">
        <f>IF(OR(B892="",C892=""),"",MAX(0,C892-R892))</f>
        <v>0</v>
      </c>
      <c r="T892" s="26"/>
      <c r="U892" s="8">
        <f>IF(OR(T892="",T892=0,G892=""),"",T892*G892)</f>
        <v>0</v>
      </c>
      <c r="V892" s="8">
        <f>IF(OR(S892="",T892="",T892=0),"",CEILING(S892/T892,1))</f>
        <v>0</v>
      </c>
      <c r="W892" s="27"/>
      <c r="X892" s="29"/>
      <c r="Y892" s="8">
        <f>IF(OR(C892="",X892=""),"",C892*(1+X892))</f>
        <v>0</v>
      </c>
      <c r="Z892" s="8">
        <f>IF(B892="","",IFERROR(INDEX(Ingredients!$O$5:$O$304,MATCH(B892,Ingredients!$A$5:$A$304,0)),""))</f>
        <v>0</v>
      </c>
      <c r="AA892" s="8">
        <f>IF(B892="","",IF(R892&gt;=C892,"In pantry","To buy"))</f>
        <v>0</v>
      </c>
      <c r="AB892" s="8">
        <f>IF(A892="","",COUNTIFS($A$5:A892,A892))</f>
        <v>0</v>
      </c>
      <c r="AC892" s="8">
        <f>IF(B892="","",IF(COUNTIFS('Dietary Filters'!$C$5:$C$104,B892)&gt;0,"Check","OK"))</f>
        <v>0</v>
      </c>
      <c r="AD892" s="25"/>
    </row>
    <row r="893" spans="1:30">
      <c r="A893" s="7"/>
      <c r="B893" s="7"/>
      <c r="C893" s="26"/>
      <c r="D893" s="27"/>
      <c r="E893" s="8">
        <f>IF(B893="","",IFERROR(INDEX(Ingredients!$B$5:$B$304,MATCH(B893,Ingredients!$A$5:$A$304,0)),""))</f>
        <v>0</v>
      </c>
      <c r="F893" s="8">
        <f>IF(B893="","",IFERROR(INDEX(Ingredients!$E$5:$E$304,MATCH(B893,Ingredients!$A$5:$A$304,0)),""))</f>
        <v>0</v>
      </c>
      <c r="G893" s="8">
        <f>IF(B893="","",IFERROR(INDEX(Ingredients!$D$5:$D$304,MATCH(B893,Ingredients!$A$5:$A$304,0)),""))</f>
        <v>0</v>
      </c>
      <c r="H893" s="8">
        <f>IF(OR(B893="",C893=""),"",IFERROR(C893*G893,""))</f>
        <v>0</v>
      </c>
      <c r="I893" s="8">
        <f>IF(A893="","",IFERROR(INDEX(Recipes!$D$5:$D$204,MATCH(A893,Recipes!$A$5:$A$204,0)),""))</f>
        <v>0</v>
      </c>
      <c r="J893" s="8">
        <f>IF(OR(H893="",I893="",I893=0),"",IFERROR(H893/I893,""))</f>
        <v>0</v>
      </c>
      <c r="K893" s="8">
        <f>IF(OR(B893="",C893=""),"",IFERROR(C893*IFERROR(INDEX(Ingredients!$H$5:$H$304,MATCH(B893,Ingredients!$A$5:$A$304,0)),""),""))</f>
        <v>0</v>
      </c>
      <c r="L893" s="8">
        <f>IF(OR(B893="",C893=""),"",IFERROR(C893*IFERROR(INDEX(Ingredients!$I$5:$I$304,MATCH(B893,Ingredients!$A$5:$A$304,0)),""),""))</f>
        <v>0</v>
      </c>
      <c r="M893" s="8">
        <f>IF(OR(B893="",C893=""),"",IFERROR(C893*IFERROR(INDEX(Ingredients!$J$5:$J$304,MATCH(B893,Ingredients!$A$5:$A$304,0)),""),""))</f>
        <v>0</v>
      </c>
      <c r="N893" s="8">
        <f>IF(OR(B893="",C893=""),"",IFERROR(C893*IFERROR(INDEX(Ingredients!$K$5:$K$304,MATCH(B893,Ingredients!$A$5:$A$304,0)),""),""))</f>
        <v>0</v>
      </c>
      <c r="O893" s="8">
        <f>IF(OR(B893="",C893=""),"",IFERROR(C893*IFERROR(INDEX(Ingredients!$L$5:$L$304,MATCH(B893,Ingredients!$A$5:$A$304,0)),""),""))</f>
        <v>0</v>
      </c>
      <c r="P893" s="8">
        <f>IF(OR(H893="",A893=""),"",IFERROR(H893/SUMIFS('Recipe Ingredients'!$H$5:$H$1204,'Recipe Ingredients'!$A$5:$A$1204,A893),""))</f>
        <v>0</v>
      </c>
      <c r="Q893" s="8">
        <f>IF(H893="","",COUNTIFS($H$5:$H$1204,"&gt;"&amp;H893)+1)</f>
        <v>0</v>
      </c>
      <c r="R893" s="8">
        <f>IF(B893="","",SUMIFS(Pantry!$C$5:$C$304,Pantry!$A$5:$A$304,B893))</f>
        <v>0</v>
      </c>
      <c r="S893" s="8">
        <f>IF(OR(B893="",C893=""),"",MAX(0,C893-R893))</f>
        <v>0</v>
      </c>
      <c r="T893" s="26"/>
      <c r="U893" s="8">
        <f>IF(OR(T893="",T893=0,G893=""),"",T893*G893)</f>
        <v>0</v>
      </c>
      <c r="V893" s="8">
        <f>IF(OR(S893="",T893="",T893=0),"",CEILING(S893/T893,1))</f>
        <v>0</v>
      </c>
      <c r="W893" s="27"/>
      <c r="X893" s="29"/>
      <c r="Y893" s="8">
        <f>IF(OR(C893="",X893=""),"",C893*(1+X893))</f>
        <v>0</v>
      </c>
      <c r="Z893" s="8">
        <f>IF(B893="","",IFERROR(INDEX(Ingredients!$O$5:$O$304,MATCH(B893,Ingredients!$A$5:$A$304,0)),""))</f>
        <v>0</v>
      </c>
      <c r="AA893" s="8">
        <f>IF(B893="","",IF(R893&gt;=C893,"In pantry","To buy"))</f>
        <v>0</v>
      </c>
      <c r="AB893" s="8">
        <f>IF(A893="","",COUNTIFS($A$5:A893,A893))</f>
        <v>0</v>
      </c>
      <c r="AC893" s="8">
        <f>IF(B893="","",IF(COUNTIFS('Dietary Filters'!$C$5:$C$104,B893)&gt;0,"Check","OK"))</f>
        <v>0</v>
      </c>
      <c r="AD893" s="25"/>
    </row>
    <row r="894" spans="1:30">
      <c r="A894" s="7"/>
      <c r="B894" s="7"/>
      <c r="C894" s="26"/>
      <c r="D894" s="27"/>
      <c r="E894" s="8">
        <f>IF(B894="","",IFERROR(INDEX(Ingredients!$B$5:$B$304,MATCH(B894,Ingredients!$A$5:$A$304,0)),""))</f>
        <v>0</v>
      </c>
      <c r="F894" s="8">
        <f>IF(B894="","",IFERROR(INDEX(Ingredients!$E$5:$E$304,MATCH(B894,Ingredients!$A$5:$A$304,0)),""))</f>
        <v>0</v>
      </c>
      <c r="G894" s="8">
        <f>IF(B894="","",IFERROR(INDEX(Ingredients!$D$5:$D$304,MATCH(B894,Ingredients!$A$5:$A$304,0)),""))</f>
        <v>0</v>
      </c>
      <c r="H894" s="8">
        <f>IF(OR(B894="",C894=""),"",IFERROR(C894*G894,""))</f>
        <v>0</v>
      </c>
      <c r="I894" s="8">
        <f>IF(A894="","",IFERROR(INDEX(Recipes!$D$5:$D$204,MATCH(A894,Recipes!$A$5:$A$204,0)),""))</f>
        <v>0</v>
      </c>
      <c r="J894" s="8">
        <f>IF(OR(H894="",I894="",I894=0),"",IFERROR(H894/I894,""))</f>
        <v>0</v>
      </c>
      <c r="K894" s="8">
        <f>IF(OR(B894="",C894=""),"",IFERROR(C894*IFERROR(INDEX(Ingredients!$H$5:$H$304,MATCH(B894,Ingredients!$A$5:$A$304,0)),""),""))</f>
        <v>0</v>
      </c>
      <c r="L894" s="8">
        <f>IF(OR(B894="",C894=""),"",IFERROR(C894*IFERROR(INDEX(Ingredients!$I$5:$I$304,MATCH(B894,Ingredients!$A$5:$A$304,0)),""),""))</f>
        <v>0</v>
      </c>
      <c r="M894" s="8">
        <f>IF(OR(B894="",C894=""),"",IFERROR(C894*IFERROR(INDEX(Ingredients!$J$5:$J$304,MATCH(B894,Ingredients!$A$5:$A$304,0)),""),""))</f>
        <v>0</v>
      </c>
      <c r="N894" s="8">
        <f>IF(OR(B894="",C894=""),"",IFERROR(C894*IFERROR(INDEX(Ingredients!$K$5:$K$304,MATCH(B894,Ingredients!$A$5:$A$304,0)),""),""))</f>
        <v>0</v>
      </c>
      <c r="O894" s="8">
        <f>IF(OR(B894="",C894=""),"",IFERROR(C894*IFERROR(INDEX(Ingredients!$L$5:$L$304,MATCH(B894,Ingredients!$A$5:$A$304,0)),""),""))</f>
        <v>0</v>
      </c>
      <c r="P894" s="8">
        <f>IF(OR(H894="",A894=""),"",IFERROR(H894/SUMIFS('Recipe Ingredients'!$H$5:$H$1204,'Recipe Ingredients'!$A$5:$A$1204,A894),""))</f>
        <v>0</v>
      </c>
      <c r="Q894" s="8">
        <f>IF(H894="","",COUNTIFS($H$5:$H$1204,"&gt;"&amp;H894)+1)</f>
        <v>0</v>
      </c>
      <c r="R894" s="8">
        <f>IF(B894="","",SUMIFS(Pantry!$C$5:$C$304,Pantry!$A$5:$A$304,B894))</f>
        <v>0</v>
      </c>
      <c r="S894" s="8">
        <f>IF(OR(B894="",C894=""),"",MAX(0,C894-R894))</f>
        <v>0</v>
      </c>
      <c r="T894" s="26"/>
      <c r="U894" s="8">
        <f>IF(OR(T894="",T894=0,G894=""),"",T894*G894)</f>
        <v>0</v>
      </c>
      <c r="V894" s="8">
        <f>IF(OR(S894="",T894="",T894=0),"",CEILING(S894/T894,1))</f>
        <v>0</v>
      </c>
      <c r="W894" s="27"/>
      <c r="X894" s="29"/>
      <c r="Y894" s="8">
        <f>IF(OR(C894="",X894=""),"",C894*(1+X894))</f>
        <v>0</v>
      </c>
      <c r="Z894" s="8">
        <f>IF(B894="","",IFERROR(INDEX(Ingredients!$O$5:$O$304,MATCH(B894,Ingredients!$A$5:$A$304,0)),""))</f>
        <v>0</v>
      </c>
      <c r="AA894" s="8">
        <f>IF(B894="","",IF(R894&gt;=C894,"In pantry","To buy"))</f>
        <v>0</v>
      </c>
      <c r="AB894" s="8">
        <f>IF(A894="","",COUNTIFS($A$5:A894,A894))</f>
        <v>0</v>
      </c>
      <c r="AC894" s="8">
        <f>IF(B894="","",IF(COUNTIFS('Dietary Filters'!$C$5:$C$104,B894)&gt;0,"Check","OK"))</f>
        <v>0</v>
      </c>
      <c r="AD894" s="25"/>
    </row>
    <row r="895" spans="1:30">
      <c r="A895" s="7"/>
      <c r="B895" s="7"/>
      <c r="C895" s="26"/>
      <c r="D895" s="27"/>
      <c r="E895" s="8">
        <f>IF(B895="","",IFERROR(INDEX(Ingredients!$B$5:$B$304,MATCH(B895,Ingredients!$A$5:$A$304,0)),""))</f>
        <v>0</v>
      </c>
      <c r="F895" s="8">
        <f>IF(B895="","",IFERROR(INDEX(Ingredients!$E$5:$E$304,MATCH(B895,Ingredients!$A$5:$A$304,0)),""))</f>
        <v>0</v>
      </c>
      <c r="G895" s="8">
        <f>IF(B895="","",IFERROR(INDEX(Ingredients!$D$5:$D$304,MATCH(B895,Ingredients!$A$5:$A$304,0)),""))</f>
        <v>0</v>
      </c>
      <c r="H895" s="8">
        <f>IF(OR(B895="",C895=""),"",IFERROR(C895*G895,""))</f>
        <v>0</v>
      </c>
      <c r="I895" s="8">
        <f>IF(A895="","",IFERROR(INDEX(Recipes!$D$5:$D$204,MATCH(A895,Recipes!$A$5:$A$204,0)),""))</f>
        <v>0</v>
      </c>
      <c r="J895" s="8">
        <f>IF(OR(H895="",I895="",I895=0),"",IFERROR(H895/I895,""))</f>
        <v>0</v>
      </c>
      <c r="K895" s="8">
        <f>IF(OR(B895="",C895=""),"",IFERROR(C895*IFERROR(INDEX(Ingredients!$H$5:$H$304,MATCH(B895,Ingredients!$A$5:$A$304,0)),""),""))</f>
        <v>0</v>
      </c>
      <c r="L895" s="8">
        <f>IF(OR(B895="",C895=""),"",IFERROR(C895*IFERROR(INDEX(Ingredients!$I$5:$I$304,MATCH(B895,Ingredients!$A$5:$A$304,0)),""),""))</f>
        <v>0</v>
      </c>
      <c r="M895" s="8">
        <f>IF(OR(B895="",C895=""),"",IFERROR(C895*IFERROR(INDEX(Ingredients!$J$5:$J$304,MATCH(B895,Ingredients!$A$5:$A$304,0)),""),""))</f>
        <v>0</v>
      </c>
      <c r="N895" s="8">
        <f>IF(OR(B895="",C895=""),"",IFERROR(C895*IFERROR(INDEX(Ingredients!$K$5:$K$304,MATCH(B895,Ingredients!$A$5:$A$304,0)),""),""))</f>
        <v>0</v>
      </c>
      <c r="O895" s="8">
        <f>IF(OR(B895="",C895=""),"",IFERROR(C895*IFERROR(INDEX(Ingredients!$L$5:$L$304,MATCH(B895,Ingredients!$A$5:$A$304,0)),""),""))</f>
        <v>0</v>
      </c>
      <c r="P895" s="8">
        <f>IF(OR(H895="",A895=""),"",IFERROR(H895/SUMIFS('Recipe Ingredients'!$H$5:$H$1204,'Recipe Ingredients'!$A$5:$A$1204,A895),""))</f>
        <v>0</v>
      </c>
      <c r="Q895" s="8">
        <f>IF(H895="","",COUNTIFS($H$5:$H$1204,"&gt;"&amp;H895)+1)</f>
        <v>0</v>
      </c>
      <c r="R895" s="8">
        <f>IF(B895="","",SUMIFS(Pantry!$C$5:$C$304,Pantry!$A$5:$A$304,B895))</f>
        <v>0</v>
      </c>
      <c r="S895" s="8">
        <f>IF(OR(B895="",C895=""),"",MAX(0,C895-R895))</f>
        <v>0</v>
      </c>
      <c r="T895" s="26"/>
      <c r="U895" s="8">
        <f>IF(OR(T895="",T895=0,G895=""),"",T895*G895)</f>
        <v>0</v>
      </c>
      <c r="V895" s="8">
        <f>IF(OR(S895="",T895="",T895=0),"",CEILING(S895/T895,1))</f>
        <v>0</v>
      </c>
      <c r="W895" s="27"/>
      <c r="X895" s="29"/>
      <c r="Y895" s="8">
        <f>IF(OR(C895="",X895=""),"",C895*(1+X895))</f>
        <v>0</v>
      </c>
      <c r="Z895" s="8">
        <f>IF(B895="","",IFERROR(INDEX(Ingredients!$O$5:$O$304,MATCH(B895,Ingredients!$A$5:$A$304,0)),""))</f>
        <v>0</v>
      </c>
      <c r="AA895" s="8">
        <f>IF(B895="","",IF(R895&gt;=C895,"In pantry","To buy"))</f>
        <v>0</v>
      </c>
      <c r="AB895" s="8">
        <f>IF(A895="","",COUNTIFS($A$5:A895,A895))</f>
        <v>0</v>
      </c>
      <c r="AC895" s="8">
        <f>IF(B895="","",IF(COUNTIFS('Dietary Filters'!$C$5:$C$104,B895)&gt;0,"Check","OK"))</f>
        <v>0</v>
      </c>
      <c r="AD895" s="25"/>
    </row>
    <row r="896" spans="1:30">
      <c r="A896" s="7"/>
      <c r="B896" s="7"/>
      <c r="C896" s="26"/>
      <c r="D896" s="27"/>
      <c r="E896" s="8">
        <f>IF(B896="","",IFERROR(INDEX(Ingredients!$B$5:$B$304,MATCH(B896,Ingredients!$A$5:$A$304,0)),""))</f>
        <v>0</v>
      </c>
      <c r="F896" s="8">
        <f>IF(B896="","",IFERROR(INDEX(Ingredients!$E$5:$E$304,MATCH(B896,Ingredients!$A$5:$A$304,0)),""))</f>
        <v>0</v>
      </c>
      <c r="G896" s="8">
        <f>IF(B896="","",IFERROR(INDEX(Ingredients!$D$5:$D$304,MATCH(B896,Ingredients!$A$5:$A$304,0)),""))</f>
        <v>0</v>
      </c>
      <c r="H896" s="8">
        <f>IF(OR(B896="",C896=""),"",IFERROR(C896*G896,""))</f>
        <v>0</v>
      </c>
      <c r="I896" s="8">
        <f>IF(A896="","",IFERROR(INDEX(Recipes!$D$5:$D$204,MATCH(A896,Recipes!$A$5:$A$204,0)),""))</f>
        <v>0</v>
      </c>
      <c r="J896" s="8">
        <f>IF(OR(H896="",I896="",I896=0),"",IFERROR(H896/I896,""))</f>
        <v>0</v>
      </c>
      <c r="K896" s="8">
        <f>IF(OR(B896="",C896=""),"",IFERROR(C896*IFERROR(INDEX(Ingredients!$H$5:$H$304,MATCH(B896,Ingredients!$A$5:$A$304,0)),""),""))</f>
        <v>0</v>
      </c>
      <c r="L896" s="8">
        <f>IF(OR(B896="",C896=""),"",IFERROR(C896*IFERROR(INDEX(Ingredients!$I$5:$I$304,MATCH(B896,Ingredients!$A$5:$A$304,0)),""),""))</f>
        <v>0</v>
      </c>
      <c r="M896" s="8">
        <f>IF(OR(B896="",C896=""),"",IFERROR(C896*IFERROR(INDEX(Ingredients!$J$5:$J$304,MATCH(B896,Ingredients!$A$5:$A$304,0)),""),""))</f>
        <v>0</v>
      </c>
      <c r="N896" s="8">
        <f>IF(OR(B896="",C896=""),"",IFERROR(C896*IFERROR(INDEX(Ingredients!$K$5:$K$304,MATCH(B896,Ingredients!$A$5:$A$304,0)),""),""))</f>
        <v>0</v>
      </c>
      <c r="O896" s="8">
        <f>IF(OR(B896="",C896=""),"",IFERROR(C896*IFERROR(INDEX(Ingredients!$L$5:$L$304,MATCH(B896,Ingredients!$A$5:$A$304,0)),""),""))</f>
        <v>0</v>
      </c>
      <c r="P896" s="8">
        <f>IF(OR(H896="",A896=""),"",IFERROR(H896/SUMIFS('Recipe Ingredients'!$H$5:$H$1204,'Recipe Ingredients'!$A$5:$A$1204,A896),""))</f>
        <v>0</v>
      </c>
      <c r="Q896" s="8">
        <f>IF(H896="","",COUNTIFS($H$5:$H$1204,"&gt;"&amp;H896)+1)</f>
        <v>0</v>
      </c>
      <c r="R896" s="8">
        <f>IF(B896="","",SUMIFS(Pantry!$C$5:$C$304,Pantry!$A$5:$A$304,B896))</f>
        <v>0</v>
      </c>
      <c r="S896" s="8">
        <f>IF(OR(B896="",C896=""),"",MAX(0,C896-R896))</f>
        <v>0</v>
      </c>
      <c r="T896" s="26"/>
      <c r="U896" s="8">
        <f>IF(OR(T896="",T896=0,G896=""),"",T896*G896)</f>
        <v>0</v>
      </c>
      <c r="V896" s="8">
        <f>IF(OR(S896="",T896="",T896=0),"",CEILING(S896/T896,1))</f>
        <v>0</v>
      </c>
      <c r="W896" s="27"/>
      <c r="X896" s="29"/>
      <c r="Y896" s="8">
        <f>IF(OR(C896="",X896=""),"",C896*(1+X896))</f>
        <v>0</v>
      </c>
      <c r="Z896" s="8">
        <f>IF(B896="","",IFERROR(INDEX(Ingredients!$O$5:$O$304,MATCH(B896,Ingredients!$A$5:$A$304,0)),""))</f>
        <v>0</v>
      </c>
      <c r="AA896" s="8">
        <f>IF(B896="","",IF(R896&gt;=C896,"In pantry","To buy"))</f>
        <v>0</v>
      </c>
      <c r="AB896" s="8">
        <f>IF(A896="","",COUNTIFS($A$5:A896,A896))</f>
        <v>0</v>
      </c>
      <c r="AC896" s="8">
        <f>IF(B896="","",IF(COUNTIFS('Dietary Filters'!$C$5:$C$104,B896)&gt;0,"Check","OK"))</f>
        <v>0</v>
      </c>
      <c r="AD896" s="25"/>
    </row>
    <row r="897" spans="1:30">
      <c r="A897" s="7"/>
      <c r="B897" s="7"/>
      <c r="C897" s="26"/>
      <c r="D897" s="27"/>
      <c r="E897" s="8">
        <f>IF(B897="","",IFERROR(INDEX(Ingredients!$B$5:$B$304,MATCH(B897,Ingredients!$A$5:$A$304,0)),""))</f>
        <v>0</v>
      </c>
      <c r="F897" s="8">
        <f>IF(B897="","",IFERROR(INDEX(Ingredients!$E$5:$E$304,MATCH(B897,Ingredients!$A$5:$A$304,0)),""))</f>
        <v>0</v>
      </c>
      <c r="G897" s="8">
        <f>IF(B897="","",IFERROR(INDEX(Ingredients!$D$5:$D$304,MATCH(B897,Ingredients!$A$5:$A$304,0)),""))</f>
        <v>0</v>
      </c>
      <c r="H897" s="8">
        <f>IF(OR(B897="",C897=""),"",IFERROR(C897*G897,""))</f>
        <v>0</v>
      </c>
      <c r="I897" s="8">
        <f>IF(A897="","",IFERROR(INDEX(Recipes!$D$5:$D$204,MATCH(A897,Recipes!$A$5:$A$204,0)),""))</f>
        <v>0</v>
      </c>
      <c r="J897" s="8">
        <f>IF(OR(H897="",I897="",I897=0),"",IFERROR(H897/I897,""))</f>
        <v>0</v>
      </c>
      <c r="K897" s="8">
        <f>IF(OR(B897="",C897=""),"",IFERROR(C897*IFERROR(INDEX(Ingredients!$H$5:$H$304,MATCH(B897,Ingredients!$A$5:$A$304,0)),""),""))</f>
        <v>0</v>
      </c>
      <c r="L897" s="8">
        <f>IF(OR(B897="",C897=""),"",IFERROR(C897*IFERROR(INDEX(Ingredients!$I$5:$I$304,MATCH(B897,Ingredients!$A$5:$A$304,0)),""),""))</f>
        <v>0</v>
      </c>
      <c r="M897" s="8">
        <f>IF(OR(B897="",C897=""),"",IFERROR(C897*IFERROR(INDEX(Ingredients!$J$5:$J$304,MATCH(B897,Ingredients!$A$5:$A$304,0)),""),""))</f>
        <v>0</v>
      </c>
      <c r="N897" s="8">
        <f>IF(OR(B897="",C897=""),"",IFERROR(C897*IFERROR(INDEX(Ingredients!$K$5:$K$304,MATCH(B897,Ingredients!$A$5:$A$304,0)),""),""))</f>
        <v>0</v>
      </c>
      <c r="O897" s="8">
        <f>IF(OR(B897="",C897=""),"",IFERROR(C897*IFERROR(INDEX(Ingredients!$L$5:$L$304,MATCH(B897,Ingredients!$A$5:$A$304,0)),""),""))</f>
        <v>0</v>
      </c>
      <c r="P897" s="8">
        <f>IF(OR(H897="",A897=""),"",IFERROR(H897/SUMIFS('Recipe Ingredients'!$H$5:$H$1204,'Recipe Ingredients'!$A$5:$A$1204,A897),""))</f>
        <v>0</v>
      </c>
      <c r="Q897" s="8">
        <f>IF(H897="","",COUNTIFS($H$5:$H$1204,"&gt;"&amp;H897)+1)</f>
        <v>0</v>
      </c>
      <c r="R897" s="8">
        <f>IF(B897="","",SUMIFS(Pantry!$C$5:$C$304,Pantry!$A$5:$A$304,B897))</f>
        <v>0</v>
      </c>
      <c r="S897" s="8">
        <f>IF(OR(B897="",C897=""),"",MAX(0,C897-R897))</f>
        <v>0</v>
      </c>
      <c r="T897" s="26"/>
      <c r="U897" s="8">
        <f>IF(OR(T897="",T897=0,G897=""),"",T897*G897)</f>
        <v>0</v>
      </c>
      <c r="V897" s="8">
        <f>IF(OR(S897="",T897="",T897=0),"",CEILING(S897/T897,1))</f>
        <v>0</v>
      </c>
      <c r="W897" s="27"/>
      <c r="X897" s="29"/>
      <c r="Y897" s="8">
        <f>IF(OR(C897="",X897=""),"",C897*(1+X897))</f>
        <v>0</v>
      </c>
      <c r="Z897" s="8">
        <f>IF(B897="","",IFERROR(INDEX(Ingredients!$O$5:$O$304,MATCH(B897,Ingredients!$A$5:$A$304,0)),""))</f>
        <v>0</v>
      </c>
      <c r="AA897" s="8">
        <f>IF(B897="","",IF(R897&gt;=C897,"In pantry","To buy"))</f>
        <v>0</v>
      </c>
      <c r="AB897" s="8">
        <f>IF(A897="","",COUNTIFS($A$5:A897,A897))</f>
        <v>0</v>
      </c>
      <c r="AC897" s="8">
        <f>IF(B897="","",IF(COUNTIFS('Dietary Filters'!$C$5:$C$104,B897)&gt;0,"Check","OK"))</f>
        <v>0</v>
      </c>
      <c r="AD897" s="25"/>
    </row>
    <row r="898" spans="1:30">
      <c r="A898" s="7"/>
      <c r="B898" s="7"/>
      <c r="C898" s="26"/>
      <c r="D898" s="27"/>
      <c r="E898" s="8">
        <f>IF(B898="","",IFERROR(INDEX(Ingredients!$B$5:$B$304,MATCH(B898,Ingredients!$A$5:$A$304,0)),""))</f>
        <v>0</v>
      </c>
      <c r="F898" s="8">
        <f>IF(B898="","",IFERROR(INDEX(Ingredients!$E$5:$E$304,MATCH(B898,Ingredients!$A$5:$A$304,0)),""))</f>
        <v>0</v>
      </c>
      <c r="G898" s="8">
        <f>IF(B898="","",IFERROR(INDEX(Ingredients!$D$5:$D$304,MATCH(B898,Ingredients!$A$5:$A$304,0)),""))</f>
        <v>0</v>
      </c>
      <c r="H898" s="8">
        <f>IF(OR(B898="",C898=""),"",IFERROR(C898*G898,""))</f>
        <v>0</v>
      </c>
      <c r="I898" s="8">
        <f>IF(A898="","",IFERROR(INDEX(Recipes!$D$5:$D$204,MATCH(A898,Recipes!$A$5:$A$204,0)),""))</f>
        <v>0</v>
      </c>
      <c r="J898" s="8">
        <f>IF(OR(H898="",I898="",I898=0),"",IFERROR(H898/I898,""))</f>
        <v>0</v>
      </c>
      <c r="K898" s="8">
        <f>IF(OR(B898="",C898=""),"",IFERROR(C898*IFERROR(INDEX(Ingredients!$H$5:$H$304,MATCH(B898,Ingredients!$A$5:$A$304,0)),""),""))</f>
        <v>0</v>
      </c>
      <c r="L898" s="8">
        <f>IF(OR(B898="",C898=""),"",IFERROR(C898*IFERROR(INDEX(Ingredients!$I$5:$I$304,MATCH(B898,Ingredients!$A$5:$A$304,0)),""),""))</f>
        <v>0</v>
      </c>
      <c r="M898" s="8">
        <f>IF(OR(B898="",C898=""),"",IFERROR(C898*IFERROR(INDEX(Ingredients!$J$5:$J$304,MATCH(B898,Ingredients!$A$5:$A$304,0)),""),""))</f>
        <v>0</v>
      </c>
      <c r="N898" s="8">
        <f>IF(OR(B898="",C898=""),"",IFERROR(C898*IFERROR(INDEX(Ingredients!$K$5:$K$304,MATCH(B898,Ingredients!$A$5:$A$304,0)),""),""))</f>
        <v>0</v>
      </c>
      <c r="O898" s="8">
        <f>IF(OR(B898="",C898=""),"",IFERROR(C898*IFERROR(INDEX(Ingredients!$L$5:$L$304,MATCH(B898,Ingredients!$A$5:$A$304,0)),""),""))</f>
        <v>0</v>
      </c>
      <c r="P898" s="8">
        <f>IF(OR(H898="",A898=""),"",IFERROR(H898/SUMIFS('Recipe Ingredients'!$H$5:$H$1204,'Recipe Ingredients'!$A$5:$A$1204,A898),""))</f>
        <v>0</v>
      </c>
      <c r="Q898" s="8">
        <f>IF(H898="","",COUNTIFS($H$5:$H$1204,"&gt;"&amp;H898)+1)</f>
        <v>0</v>
      </c>
      <c r="R898" s="8">
        <f>IF(B898="","",SUMIFS(Pantry!$C$5:$C$304,Pantry!$A$5:$A$304,B898))</f>
        <v>0</v>
      </c>
      <c r="S898" s="8">
        <f>IF(OR(B898="",C898=""),"",MAX(0,C898-R898))</f>
        <v>0</v>
      </c>
      <c r="T898" s="26"/>
      <c r="U898" s="8">
        <f>IF(OR(T898="",T898=0,G898=""),"",T898*G898)</f>
        <v>0</v>
      </c>
      <c r="V898" s="8">
        <f>IF(OR(S898="",T898="",T898=0),"",CEILING(S898/T898,1))</f>
        <v>0</v>
      </c>
      <c r="W898" s="27"/>
      <c r="X898" s="29"/>
      <c r="Y898" s="8">
        <f>IF(OR(C898="",X898=""),"",C898*(1+X898))</f>
        <v>0</v>
      </c>
      <c r="Z898" s="8">
        <f>IF(B898="","",IFERROR(INDEX(Ingredients!$O$5:$O$304,MATCH(B898,Ingredients!$A$5:$A$304,0)),""))</f>
        <v>0</v>
      </c>
      <c r="AA898" s="8">
        <f>IF(B898="","",IF(R898&gt;=C898,"In pantry","To buy"))</f>
        <v>0</v>
      </c>
      <c r="AB898" s="8">
        <f>IF(A898="","",COUNTIFS($A$5:A898,A898))</f>
        <v>0</v>
      </c>
      <c r="AC898" s="8">
        <f>IF(B898="","",IF(COUNTIFS('Dietary Filters'!$C$5:$C$104,B898)&gt;0,"Check","OK"))</f>
        <v>0</v>
      </c>
      <c r="AD898" s="25"/>
    </row>
    <row r="899" spans="1:30">
      <c r="A899" s="7"/>
      <c r="B899" s="7"/>
      <c r="C899" s="26"/>
      <c r="D899" s="27"/>
      <c r="E899" s="8">
        <f>IF(B899="","",IFERROR(INDEX(Ingredients!$B$5:$B$304,MATCH(B899,Ingredients!$A$5:$A$304,0)),""))</f>
        <v>0</v>
      </c>
      <c r="F899" s="8">
        <f>IF(B899="","",IFERROR(INDEX(Ingredients!$E$5:$E$304,MATCH(B899,Ingredients!$A$5:$A$304,0)),""))</f>
        <v>0</v>
      </c>
      <c r="G899" s="8">
        <f>IF(B899="","",IFERROR(INDEX(Ingredients!$D$5:$D$304,MATCH(B899,Ingredients!$A$5:$A$304,0)),""))</f>
        <v>0</v>
      </c>
      <c r="H899" s="8">
        <f>IF(OR(B899="",C899=""),"",IFERROR(C899*G899,""))</f>
        <v>0</v>
      </c>
      <c r="I899" s="8">
        <f>IF(A899="","",IFERROR(INDEX(Recipes!$D$5:$D$204,MATCH(A899,Recipes!$A$5:$A$204,0)),""))</f>
        <v>0</v>
      </c>
      <c r="J899" s="8">
        <f>IF(OR(H899="",I899="",I899=0),"",IFERROR(H899/I899,""))</f>
        <v>0</v>
      </c>
      <c r="K899" s="8">
        <f>IF(OR(B899="",C899=""),"",IFERROR(C899*IFERROR(INDEX(Ingredients!$H$5:$H$304,MATCH(B899,Ingredients!$A$5:$A$304,0)),""),""))</f>
        <v>0</v>
      </c>
      <c r="L899" s="8">
        <f>IF(OR(B899="",C899=""),"",IFERROR(C899*IFERROR(INDEX(Ingredients!$I$5:$I$304,MATCH(B899,Ingredients!$A$5:$A$304,0)),""),""))</f>
        <v>0</v>
      </c>
      <c r="M899" s="8">
        <f>IF(OR(B899="",C899=""),"",IFERROR(C899*IFERROR(INDEX(Ingredients!$J$5:$J$304,MATCH(B899,Ingredients!$A$5:$A$304,0)),""),""))</f>
        <v>0</v>
      </c>
      <c r="N899" s="8">
        <f>IF(OR(B899="",C899=""),"",IFERROR(C899*IFERROR(INDEX(Ingredients!$K$5:$K$304,MATCH(B899,Ingredients!$A$5:$A$304,0)),""),""))</f>
        <v>0</v>
      </c>
      <c r="O899" s="8">
        <f>IF(OR(B899="",C899=""),"",IFERROR(C899*IFERROR(INDEX(Ingredients!$L$5:$L$304,MATCH(B899,Ingredients!$A$5:$A$304,0)),""),""))</f>
        <v>0</v>
      </c>
      <c r="P899" s="8">
        <f>IF(OR(H899="",A899=""),"",IFERROR(H899/SUMIFS('Recipe Ingredients'!$H$5:$H$1204,'Recipe Ingredients'!$A$5:$A$1204,A899),""))</f>
        <v>0</v>
      </c>
      <c r="Q899" s="8">
        <f>IF(H899="","",COUNTIFS($H$5:$H$1204,"&gt;"&amp;H899)+1)</f>
        <v>0</v>
      </c>
      <c r="R899" s="8">
        <f>IF(B899="","",SUMIFS(Pantry!$C$5:$C$304,Pantry!$A$5:$A$304,B899))</f>
        <v>0</v>
      </c>
      <c r="S899" s="8">
        <f>IF(OR(B899="",C899=""),"",MAX(0,C899-R899))</f>
        <v>0</v>
      </c>
      <c r="T899" s="26"/>
      <c r="U899" s="8">
        <f>IF(OR(T899="",T899=0,G899=""),"",T899*G899)</f>
        <v>0</v>
      </c>
      <c r="V899" s="8">
        <f>IF(OR(S899="",T899="",T899=0),"",CEILING(S899/T899,1))</f>
        <v>0</v>
      </c>
      <c r="W899" s="27"/>
      <c r="X899" s="29"/>
      <c r="Y899" s="8">
        <f>IF(OR(C899="",X899=""),"",C899*(1+X899))</f>
        <v>0</v>
      </c>
      <c r="Z899" s="8">
        <f>IF(B899="","",IFERROR(INDEX(Ingredients!$O$5:$O$304,MATCH(B899,Ingredients!$A$5:$A$304,0)),""))</f>
        <v>0</v>
      </c>
      <c r="AA899" s="8">
        <f>IF(B899="","",IF(R899&gt;=C899,"In pantry","To buy"))</f>
        <v>0</v>
      </c>
      <c r="AB899" s="8">
        <f>IF(A899="","",COUNTIFS($A$5:A899,A899))</f>
        <v>0</v>
      </c>
      <c r="AC899" s="8">
        <f>IF(B899="","",IF(COUNTIFS('Dietary Filters'!$C$5:$C$104,B899)&gt;0,"Check","OK"))</f>
        <v>0</v>
      </c>
      <c r="AD899" s="25"/>
    </row>
    <row r="900" spans="1:30">
      <c r="A900" s="7"/>
      <c r="B900" s="7"/>
      <c r="C900" s="26"/>
      <c r="D900" s="27"/>
      <c r="E900" s="8">
        <f>IF(B900="","",IFERROR(INDEX(Ingredients!$B$5:$B$304,MATCH(B900,Ingredients!$A$5:$A$304,0)),""))</f>
        <v>0</v>
      </c>
      <c r="F900" s="8">
        <f>IF(B900="","",IFERROR(INDEX(Ingredients!$E$5:$E$304,MATCH(B900,Ingredients!$A$5:$A$304,0)),""))</f>
        <v>0</v>
      </c>
      <c r="G900" s="8">
        <f>IF(B900="","",IFERROR(INDEX(Ingredients!$D$5:$D$304,MATCH(B900,Ingredients!$A$5:$A$304,0)),""))</f>
        <v>0</v>
      </c>
      <c r="H900" s="8">
        <f>IF(OR(B900="",C900=""),"",IFERROR(C900*G900,""))</f>
        <v>0</v>
      </c>
      <c r="I900" s="8">
        <f>IF(A900="","",IFERROR(INDEX(Recipes!$D$5:$D$204,MATCH(A900,Recipes!$A$5:$A$204,0)),""))</f>
        <v>0</v>
      </c>
      <c r="J900" s="8">
        <f>IF(OR(H900="",I900="",I900=0),"",IFERROR(H900/I900,""))</f>
        <v>0</v>
      </c>
      <c r="K900" s="8">
        <f>IF(OR(B900="",C900=""),"",IFERROR(C900*IFERROR(INDEX(Ingredients!$H$5:$H$304,MATCH(B900,Ingredients!$A$5:$A$304,0)),""),""))</f>
        <v>0</v>
      </c>
      <c r="L900" s="8">
        <f>IF(OR(B900="",C900=""),"",IFERROR(C900*IFERROR(INDEX(Ingredients!$I$5:$I$304,MATCH(B900,Ingredients!$A$5:$A$304,0)),""),""))</f>
        <v>0</v>
      </c>
      <c r="M900" s="8">
        <f>IF(OR(B900="",C900=""),"",IFERROR(C900*IFERROR(INDEX(Ingredients!$J$5:$J$304,MATCH(B900,Ingredients!$A$5:$A$304,0)),""),""))</f>
        <v>0</v>
      </c>
      <c r="N900" s="8">
        <f>IF(OR(B900="",C900=""),"",IFERROR(C900*IFERROR(INDEX(Ingredients!$K$5:$K$304,MATCH(B900,Ingredients!$A$5:$A$304,0)),""),""))</f>
        <v>0</v>
      </c>
      <c r="O900" s="8">
        <f>IF(OR(B900="",C900=""),"",IFERROR(C900*IFERROR(INDEX(Ingredients!$L$5:$L$304,MATCH(B900,Ingredients!$A$5:$A$304,0)),""),""))</f>
        <v>0</v>
      </c>
      <c r="P900" s="8">
        <f>IF(OR(H900="",A900=""),"",IFERROR(H900/SUMIFS('Recipe Ingredients'!$H$5:$H$1204,'Recipe Ingredients'!$A$5:$A$1204,A900),""))</f>
        <v>0</v>
      </c>
      <c r="Q900" s="8">
        <f>IF(H900="","",COUNTIFS($H$5:$H$1204,"&gt;"&amp;H900)+1)</f>
        <v>0</v>
      </c>
      <c r="R900" s="8">
        <f>IF(B900="","",SUMIFS(Pantry!$C$5:$C$304,Pantry!$A$5:$A$304,B900))</f>
        <v>0</v>
      </c>
      <c r="S900" s="8">
        <f>IF(OR(B900="",C900=""),"",MAX(0,C900-R900))</f>
        <v>0</v>
      </c>
      <c r="T900" s="26"/>
      <c r="U900" s="8">
        <f>IF(OR(T900="",T900=0,G900=""),"",T900*G900)</f>
        <v>0</v>
      </c>
      <c r="V900" s="8">
        <f>IF(OR(S900="",T900="",T900=0),"",CEILING(S900/T900,1))</f>
        <v>0</v>
      </c>
      <c r="W900" s="27"/>
      <c r="X900" s="29"/>
      <c r="Y900" s="8">
        <f>IF(OR(C900="",X900=""),"",C900*(1+X900))</f>
        <v>0</v>
      </c>
      <c r="Z900" s="8">
        <f>IF(B900="","",IFERROR(INDEX(Ingredients!$O$5:$O$304,MATCH(B900,Ingredients!$A$5:$A$304,0)),""))</f>
        <v>0</v>
      </c>
      <c r="AA900" s="8">
        <f>IF(B900="","",IF(R900&gt;=C900,"In pantry","To buy"))</f>
        <v>0</v>
      </c>
      <c r="AB900" s="8">
        <f>IF(A900="","",COUNTIFS($A$5:A900,A900))</f>
        <v>0</v>
      </c>
      <c r="AC900" s="8">
        <f>IF(B900="","",IF(COUNTIFS('Dietary Filters'!$C$5:$C$104,B900)&gt;0,"Check","OK"))</f>
        <v>0</v>
      </c>
      <c r="AD900" s="25"/>
    </row>
    <row r="901" spans="1:30">
      <c r="A901" s="7"/>
      <c r="B901" s="7"/>
      <c r="C901" s="26"/>
      <c r="D901" s="27"/>
      <c r="E901" s="8">
        <f>IF(B901="","",IFERROR(INDEX(Ingredients!$B$5:$B$304,MATCH(B901,Ingredients!$A$5:$A$304,0)),""))</f>
        <v>0</v>
      </c>
      <c r="F901" s="8">
        <f>IF(B901="","",IFERROR(INDEX(Ingredients!$E$5:$E$304,MATCH(B901,Ingredients!$A$5:$A$304,0)),""))</f>
        <v>0</v>
      </c>
      <c r="G901" s="8">
        <f>IF(B901="","",IFERROR(INDEX(Ingredients!$D$5:$D$304,MATCH(B901,Ingredients!$A$5:$A$304,0)),""))</f>
        <v>0</v>
      </c>
      <c r="H901" s="8">
        <f>IF(OR(B901="",C901=""),"",IFERROR(C901*G901,""))</f>
        <v>0</v>
      </c>
      <c r="I901" s="8">
        <f>IF(A901="","",IFERROR(INDEX(Recipes!$D$5:$D$204,MATCH(A901,Recipes!$A$5:$A$204,0)),""))</f>
        <v>0</v>
      </c>
      <c r="J901" s="8">
        <f>IF(OR(H901="",I901="",I901=0),"",IFERROR(H901/I901,""))</f>
        <v>0</v>
      </c>
      <c r="K901" s="8">
        <f>IF(OR(B901="",C901=""),"",IFERROR(C901*IFERROR(INDEX(Ingredients!$H$5:$H$304,MATCH(B901,Ingredients!$A$5:$A$304,0)),""),""))</f>
        <v>0</v>
      </c>
      <c r="L901" s="8">
        <f>IF(OR(B901="",C901=""),"",IFERROR(C901*IFERROR(INDEX(Ingredients!$I$5:$I$304,MATCH(B901,Ingredients!$A$5:$A$304,0)),""),""))</f>
        <v>0</v>
      </c>
      <c r="M901" s="8">
        <f>IF(OR(B901="",C901=""),"",IFERROR(C901*IFERROR(INDEX(Ingredients!$J$5:$J$304,MATCH(B901,Ingredients!$A$5:$A$304,0)),""),""))</f>
        <v>0</v>
      </c>
      <c r="N901" s="8">
        <f>IF(OR(B901="",C901=""),"",IFERROR(C901*IFERROR(INDEX(Ingredients!$K$5:$K$304,MATCH(B901,Ingredients!$A$5:$A$304,0)),""),""))</f>
        <v>0</v>
      </c>
      <c r="O901" s="8">
        <f>IF(OR(B901="",C901=""),"",IFERROR(C901*IFERROR(INDEX(Ingredients!$L$5:$L$304,MATCH(B901,Ingredients!$A$5:$A$304,0)),""),""))</f>
        <v>0</v>
      </c>
      <c r="P901" s="8">
        <f>IF(OR(H901="",A901=""),"",IFERROR(H901/SUMIFS('Recipe Ingredients'!$H$5:$H$1204,'Recipe Ingredients'!$A$5:$A$1204,A901),""))</f>
        <v>0</v>
      </c>
      <c r="Q901" s="8">
        <f>IF(H901="","",COUNTIFS($H$5:$H$1204,"&gt;"&amp;H901)+1)</f>
        <v>0</v>
      </c>
      <c r="R901" s="8">
        <f>IF(B901="","",SUMIFS(Pantry!$C$5:$C$304,Pantry!$A$5:$A$304,B901))</f>
        <v>0</v>
      </c>
      <c r="S901" s="8">
        <f>IF(OR(B901="",C901=""),"",MAX(0,C901-R901))</f>
        <v>0</v>
      </c>
      <c r="T901" s="26"/>
      <c r="U901" s="8">
        <f>IF(OR(T901="",T901=0,G901=""),"",T901*G901)</f>
        <v>0</v>
      </c>
      <c r="V901" s="8">
        <f>IF(OR(S901="",T901="",T901=0),"",CEILING(S901/T901,1))</f>
        <v>0</v>
      </c>
      <c r="W901" s="27"/>
      <c r="X901" s="29"/>
      <c r="Y901" s="8">
        <f>IF(OR(C901="",X901=""),"",C901*(1+X901))</f>
        <v>0</v>
      </c>
      <c r="Z901" s="8">
        <f>IF(B901="","",IFERROR(INDEX(Ingredients!$O$5:$O$304,MATCH(B901,Ingredients!$A$5:$A$304,0)),""))</f>
        <v>0</v>
      </c>
      <c r="AA901" s="8">
        <f>IF(B901="","",IF(R901&gt;=C901,"In pantry","To buy"))</f>
        <v>0</v>
      </c>
      <c r="AB901" s="8">
        <f>IF(A901="","",COUNTIFS($A$5:A901,A901))</f>
        <v>0</v>
      </c>
      <c r="AC901" s="8">
        <f>IF(B901="","",IF(COUNTIFS('Dietary Filters'!$C$5:$C$104,B901)&gt;0,"Check","OK"))</f>
        <v>0</v>
      </c>
      <c r="AD901" s="25"/>
    </row>
    <row r="902" spans="1:30">
      <c r="A902" s="7"/>
      <c r="B902" s="7"/>
      <c r="C902" s="26"/>
      <c r="D902" s="27"/>
      <c r="E902" s="8">
        <f>IF(B902="","",IFERROR(INDEX(Ingredients!$B$5:$B$304,MATCH(B902,Ingredients!$A$5:$A$304,0)),""))</f>
        <v>0</v>
      </c>
      <c r="F902" s="8">
        <f>IF(B902="","",IFERROR(INDEX(Ingredients!$E$5:$E$304,MATCH(B902,Ingredients!$A$5:$A$304,0)),""))</f>
        <v>0</v>
      </c>
      <c r="G902" s="8">
        <f>IF(B902="","",IFERROR(INDEX(Ingredients!$D$5:$D$304,MATCH(B902,Ingredients!$A$5:$A$304,0)),""))</f>
        <v>0</v>
      </c>
      <c r="H902" s="8">
        <f>IF(OR(B902="",C902=""),"",IFERROR(C902*G902,""))</f>
        <v>0</v>
      </c>
      <c r="I902" s="8">
        <f>IF(A902="","",IFERROR(INDEX(Recipes!$D$5:$D$204,MATCH(A902,Recipes!$A$5:$A$204,0)),""))</f>
        <v>0</v>
      </c>
      <c r="J902" s="8">
        <f>IF(OR(H902="",I902="",I902=0),"",IFERROR(H902/I902,""))</f>
        <v>0</v>
      </c>
      <c r="K902" s="8">
        <f>IF(OR(B902="",C902=""),"",IFERROR(C902*IFERROR(INDEX(Ingredients!$H$5:$H$304,MATCH(B902,Ingredients!$A$5:$A$304,0)),""),""))</f>
        <v>0</v>
      </c>
      <c r="L902" s="8">
        <f>IF(OR(B902="",C902=""),"",IFERROR(C902*IFERROR(INDEX(Ingredients!$I$5:$I$304,MATCH(B902,Ingredients!$A$5:$A$304,0)),""),""))</f>
        <v>0</v>
      </c>
      <c r="M902" s="8">
        <f>IF(OR(B902="",C902=""),"",IFERROR(C902*IFERROR(INDEX(Ingredients!$J$5:$J$304,MATCH(B902,Ingredients!$A$5:$A$304,0)),""),""))</f>
        <v>0</v>
      </c>
      <c r="N902" s="8">
        <f>IF(OR(B902="",C902=""),"",IFERROR(C902*IFERROR(INDEX(Ingredients!$K$5:$K$304,MATCH(B902,Ingredients!$A$5:$A$304,0)),""),""))</f>
        <v>0</v>
      </c>
      <c r="O902" s="8">
        <f>IF(OR(B902="",C902=""),"",IFERROR(C902*IFERROR(INDEX(Ingredients!$L$5:$L$304,MATCH(B902,Ingredients!$A$5:$A$304,0)),""),""))</f>
        <v>0</v>
      </c>
      <c r="P902" s="8">
        <f>IF(OR(H902="",A902=""),"",IFERROR(H902/SUMIFS('Recipe Ingredients'!$H$5:$H$1204,'Recipe Ingredients'!$A$5:$A$1204,A902),""))</f>
        <v>0</v>
      </c>
      <c r="Q902" s="8">
        <f>IF(H902="","",COUNTIFS($H$5:$H$1204,"&gt;"&amp;H902)+1)</f>
        <v>0</v>
      </c>
      <c r="R902" s="8">
        <f>IF(B902="","",SUMIFS(Pantry!$C$5:$C$304,Pantry!$A$5:$A$304,B902))</f>
        <v>0</v>
      </c>
      <c r="S902" s="8">
        <f>IF(OR(B902="",C902=""),"",MAX(0,C902-R902))</f>
        <v>0</v>
      </c>
      <c r="T902" s="26"/>
      <c r="U902" s="8">
        <f>IF(OR(T902="",T902=0,G902=""),"",T902*G902)</f>
        <v>0</v>
      </c>
      <c r="V902" s="8">
        <f>IF(OR(S902="",T902="",T902=0),"",CEILING(S902/T902,1))</f>
        <v>0</v>
      </c>
      <c r="W902" s="27"/>
      <c r="X902" s="29"/>
      <c r="Y902" s="8">
        <f>IF(OR(C902="",X902=""),"",C902*(1+X902))</f>
        <v>0</v>
      </c>
      <c r="Z902" s="8">
        <f>IF(B902="","",IFERROR(INDEX(Ingredients!$O$5:$O$304,MATCH(B902,Ingredients!$A$5:$A$304,0)),""))</f>
        <v>0</v>
      </c>
      <c r="AA902" s="8">
        <f>IF(B902="","",IF(R902&gt;=C902,"In pantry","To buy"))</f>
        <v>0</v>
      </c>
      <c r="AB902" s="8">
        <f>IF(A902="","",COUNTIFS($A$5:A902,A902))</f>
        <v>0</v>
      </c>
      <c r="AC902" s="8">
        <f>IF(B902="","",IF(COUNTIFS('Dietary Filters'!$C$5:$C$104,B902)&gt;0,"Check","OK"))</f>
        <v>0</v>
      </c>
      <c r="AD902" s="25"/>
    </row>
    <row r="903" spans="1:30">
      <c r="A903" s="7"/>
      <c r="B903" s="7"/>
      <c r="C903" s="26"/>
      <c r="D903" s="27"/>
      <c r="E903" s="8">
        <f>IF(B903="","",IFERROR(INDEX(Ingredients!$B$5:$B$304,MATCH(B903,Ingredients!$A$5:$A$304,0)),""))</f>
        <v>0</v>
      </c>
      <c r="F903" s="8">
        <f>IF(B903="","",IFERROR(INDEX(Ingredients!$E$5:$E$304,MATCH(B903,Ingredients!$A$5:$A$304,0)),""))</f>
        <v>0</v>
      </c>
      <c r="G903" s="8">
        <f>IF(B903="","",IFERROR(INDEX(Ingredients!$D$5:$D$304,MATCH(B903,Ingredients!$A$5:$A$304,0)),""))</f>
        <v>0</v>
      </c>
      <c r="H903" s="8">
        <f>IF(OR(B903="",C903=""),"",IFERROR(C903*G903,""))</f>
        <v>0</v>
      </c>
      <c r="I903" s="8">
        <f>IF(A903="","",IFERROR(INDEX(Recipes!$D$5:$D$204,MATCH(A903,Recipes!$A$5:$A$204,0)),""))</f>
        <v>0</v>
      </c>
      <c r="J903" s="8">
        <f>IF(OR(H903="",I903="",I903=0),"",IFERROR(H903/I903,""))</f>
        <v>0</v>
      </c>
      <c r="K903" s="8">
        <f>IF(OR(B903="",C903=""),"",IFERROR(C903*IFERROR(INDEX(Ingredients!$H$5:$H$304,MATCH(B903,Ingredients!$A$5:$A$304,0)),""),""))</f>
        <v>0</v>
      </c>
      <c r="L903" s="8">
        <f>IF(OR(B903="",C903=""),"",IFERROR(C903*IFERROR(INDEX(Ingredients!$I$5:$I$304,MATCH(B903,Ingredients!$A$5:$A$304,0)),""),""))</f>
        <v>0</v>
      </c>
      <c r="M903" s="8">
        <f>IF(OR(B903="",C903=""),"",IFERROR(C903*IFERROR(INDEX(Ingredients!$J$5:$J$304,MATCH(B903,Ingredients!$A$5:$A$304,0)),""),""))</f>
        <v>0</v>
      </c>
      <c r="N903" s="8">
        <f>IF(OR(B903="",C903=""),"",IFERROR(C903*IFERROR(INDEX(Ingredients!$K$5:$K$304,MATCH(B903,Ingredients!$A$5:$A$304,0)),""),""))</f>
        <v>0</v>
      </c>
      <c r="O903" s="8">
        <f>IF(OR(B903="",C903=""),"",IFERROR(C903*IFERROR(INDEX(Ingredients!$L$5:$L$304,MATCH(B903,Ingredients!$A$5:$A$304,0)),""),""))</f>
        <v>0</v>
      </c>
      <c r="P903" s="8">
        <f>IF(OR(H903="",A903=""),"",IFERROR(H903/SUMIFS('Recipe Ingredients'!$H$5:$H$1204,'Recipe Ingredients'!$A$5:$A$1204,A903),""))</f>
        <v>0</v>
      </c>
      <c r="Q903" s="8">
        <f>IF(H903="","",COUNTIFS($H$5:$H$1204,"&gt;"&amp;H903)+1)</f>
        <v>0</v>
      </c>
      <c r="R903" s="8">
        <f>IF(B903="","",SUMIFS(Pantry!$C$5:$C$304,Pantry!$A$5:$A$304,B903))</f>
        <v>0</v>
      </c>
      <c r="S903" s="8">
        <f>IF(OR(B903="",C903=""),"",MAX(0,C903-R903))</f>
        <v>0</v>
      </c>
      <c r="T903" s="26"/>
      <c r="U903" s="8">
        <f>IF(OR(T903="",T903=0,G903=""),"",T903*G903)</f>
        <v>0</v>
      </c>
      <c r="V903" s="8">
        <f>IF(OR(S903="",T903="",T903=0),"",CEILING(S903/T903,1))</f>
        <v>0</v>
      </c>
      <c r="W903" s="27"/>
      <c r="X903" s="29"/>
      <c r="Y903" s="8">
        <f>IF(OR(C903="",X903=""),"",C903*(1+X903))</f>
        <v>0</v>
      </c>
      <c r="Z903" s="8">
        <f>IF(B903="","",IFERROR(INDEX(Ingredients!$O$5:$O$304,MATCH(B903,Ingredients!$A$5:$A$304,0)),""))</f>
        <v>0</v>
      </c>
      <c r="AA903" s="8">
        <f>IF(B903="","",IF(R903&gt;=C903,"In pantry","To buy"))</f>
        <v>0</v>
      </c>
      <c r="AB903" s="8">
        <f>IF(A903="","",COUNTIFS($A$5:A903,A903))</f>
        <v>0</v>
      </c>
      <c r="AC903" s="8">
        <f>IF(B903="","",IF(COUNTIFS('Dietary Filters'!$C$5:$C$104,B903)&gt;0,"Check","OK"))</f>
        <v>0</v>
      </c>
      <c r="AD903" s="25"/>
    </row>
    <row r="904" spans="1:30">
      <c r="A904" s="7"/>
      <c r="B904" s="7"/>
      <c r="C904" s="26"/>
      <c r="D904" s="27"/>
      <c r="E904" s="8">
        <f>IF(B904="","",IFERROR(INDEX(Ingredients!$B$5:$B$304,MATCH(B904,Ingredients!$A$5:$A$304,0)),""))</f>
        <v>0</v>
      </c>
      <c r="F904" s="8">
        <f>IF(B904="","",IFERROR(INDEX(Ingredients!$E$5:$E$304,MATCH(B904,Ingredients!$A$5:$A$304,0)),""))</f>
        <v>0</v>
      </c>
      <c r="G904" s="8">
        <f>IF(B904="","",IFERROR(INDEX(Ingredients!$D$5:$D$304,MATCH(B904,Ingredients!$A$5:$A$304,0)),""))</f>
        <v>0</v>
      </c>
      <c r="H904" s="8">
        <f>IF(OR(B904="",C904=""),"",IFERROR(C904*G904,""))</f>
        <v>0</v>
      </c>
      <c r="I904" s="8">
        <f>IF(A904="","",IFERROR(INDEX(Recipes!$D$5:$D$204,MATCH(A904,Recipes!$A$5:$A$204,0)),""))</f>
        <v>0</v>
      </c>
      <c r="J904" s="8">
        <f>IF(OR(H904="",I904="",I904=0),"",IFERROR(H904/I904,""))</f>
        <v>0</v>
      </c>
      <c r="K904" s="8">
        <f>IF(OR(B904="",C904=""),"",IFERROR(C904*IFERROR(INDEX(Ingredients!$H$5:$H$304,MATCH(B904,Ingredients!$A$5:$A$304,0)),""),""))</f>
        <v>0</v>
      </c>
      <c r="L904" s="8">
        <f>IF(OR(B904="",C904=""),"",IFERROR(C904*IFERROR(INDEX(Ingredients!$I$5:$I$304,MATCH(B904,Ingredients!$A$5:$A$304,0)),""),""))</f>
        <v>0</v>
      </c>
      <c r="M904" s="8">
        <f>IF(OR(B904="",C904=""),"",IFERROR(C904*IFERROR(INDEX(Ingredients!$J$5:$J$304,MATCH(B904,Ingredients!$A$5:$A$304,0)),""),""))</f>
        <v>0</v>
      </c>
      <c r="N904" s="8">
        <f>IF(OR(B904="",C904=""),"",IFERROR(C904*IFERROR(INDEX(Ingredients!$K$5:$K$304,MATCH(B904,Ingredients!$A$5:$A$304,0)),""),""))</f>
        <v>0</v>
      </c>
      <c r="O904" s="8">
        <f>IF(OR(B904="",C904=""),"",IFERROR(C904*IFERROR(INDEX(Ingredients!$L$5:$L$304,MATCH(B904,Ingredients!$A$5:$A$304,0)),""),""))</f>
        <v>0</v>
      </c>
      <c r="P904" s="8">
        <f>IF(OR(H904="",A904=""),"",IFERROR(H904/SUMIFS('Recipe Ingredients'!$H$5:$H$1204,'Recipe Ingredients'!$A$5:$A$1204,A904),""))</f>
        <v>0</v>
      </c>
      <c r="Q904" s="8">
        <f>IF(H904="","",COUNTIFS($H$5:$H$1204,"&gt;"&amp;H904)+1)</f>
        <v>0</v>
      </c>
      <c r="R904" s="8">
        <f>IF(B904="","",SUMIFS(Pantry!$C$5:$C$304,Pantry!$A$5:$A$304,B904))</f>
        <v>0</v>
      </c>
      <c r="S904" s="8">
        <f>IF(OR(B904="",C904=""),"",MAX(0,C904-R904))</f>
        <v>0</v>
      </c>
      <c r="T904" s="26"/>
      <c r="U904" s="8">
        <f>IF(OR(T904="",T904=0,G904=""),"",T904*G904)</f>
        <v>0</v>
      </c>
      <c r="V904" s="8">
        <f>IF(OR(S904="",T904="",T904=0),"",CEILING(S904/T904,1))</f>
        <v>0</v>
      </c>
      <c r="W904" s="27"/>
      <c r="X904" s="29"/>
      <c r="Y904" s="8">
        <f>IF(OR(C904="",X904=""),"",C904*(1+X904))</f>
        <v>0</v>
      </c>
      <c r="Z904" s="8">
        <f>IF(B904="","",IFERROR(INDEX(Ingredients!$O$5:$O$304,MATCH(B904,Ingredients!$A$5:$A$304,0)),""))</f>
        <v>0</v>
      </c>
      <c r="AA904" s="8">
        <f>IF(B904="","",IF(R904&gt;=C904,"In pantry","To buy"))</f>
        <v>0</v>
      </c>
      <c r="AB904" s="8">
        <f>IF(A904="","",COUNTIFS($A$5:A904,A904))</f>
        <v>0</v>
      </c>
      <c r="AC904" s="8">
        <f>IF(B904="","",IF(COUNTIFS('Dietary Filters'!$C$5:$C$104,B904)&gt;0,"Check","OK"))</f>
        <v>0</v>
      </c>
      <c r="AD904" s="25"/>
    </row>
    <row r="905" spans="1:30">
      <c r="A905" s="7"/>
      <c r="B905" s="7"/>
      <c r="C905" s="26"/>
      <c r="D905" s="27"/>
      <c r="E905" s="8">
        <f>IF(B905="","",IFERROR(INDEX(Ingredients!$B$5:$B$304,MATCH(B905,Ingredients!$A$5:$A$304,0)),""))</f>
        <v>0</v>
      </c>
      <c r="F905" s="8">
        <f>IF(B905="","",IFERROR(INDEX(Ingredients!$E$5:$E$304,MATCH(B905,Ingredients!$A$5:$A$304,0)),""))</f>
        <v>0</v>
      </c>
      <c r="G905" s="8">
        <f>IF(B905="","",IFERROR(INDEX(Ingredients!$D$5:$D$304,MATCH(B905,Ingredients!$A$5:$A$304,0)),""))</f>
        <v>0</v>
      </c>
      <c r="H905" s="8">
        <f>IF(OR(B905="",C905=""),"",IFERROR(C905*G905,""))</f>
        <v>0</v>
      </c>
      <c r="I905" s="8">
        <f>IF(A905="","",IFERROR(INDEX(Recipes!$D$5:$D$204,MATCH(A905,Recipes!$A$5:$A$204,0)),""))</f>
        <v>0</v>
      </c>
      <c r="J905" s="8">
        <f>IF(OR(H905="",I905="",I905=0),"",IFERROR(H905/I905,""))</f>
        <v>0</v>
      </c>
      <c r="K905" s="8">
        <f>IF(OR(B905="",C905=""),"",IFERROR(C905*IFERROR(INDEX(Ingredients!$H$5:$H$304,MATCH(B905,Ingredients!$A$5:$A$304,0)),""),""))</f>
        <v>0</v>
      </c>
      <c r="L905" s="8">
        <f>IF(OR(B905="",C905=""),"",IFERROR(C905*IFERROR(INDEX(Ingredients!$I$5:$I$304,MATCH(B905,Ingredients!$A$5:$A$304,0)),""),""))</f>
        <v>0</v>
      </c>
      <c r="M905" s="8">
        <f>IF(OR(B905="",C905=""),"",IFERROR(C905*IFERROR(INDEX(Ingredients!$J$5:$J$304,MATCH(B905,Ingredients!$A$5:$A$304,0)),""),""))</f>
        <v>0</v>
      </c>
      <c r="N905" s="8">
        <f>IF(OR(B905="",C905=""),"",IFERROR(C905*IFERROR(INDEX(Ingredients!$K$5:$K$304,MATCH(B905,Ingredients!$A$5:$A$304,0)),""),""))</f>
        <v>0</v>
      </c>
      <c r="O905" s="8">
        <f>IF(OR(B905="",C905=""),"",IFERROR(C905*IFERROR(INDEX(Ingredients!$L$5:$L$304,MATCH(B905,Ingredients!$A$5:$A$304,0)),""),""))</f>
        <v>0</v>
      </c>
      <c r="P905" s="8">
        <f>IF(OR(H905="",A905=""),"",IFERROR(H905/SUMIFS('Recipe Ingredients'!$H$5:$H$1204,'Recipe Ingredients'!$A$5:$A$1204,A905),""))</f>
        <v>0</v>
      </c>
      <c r="Q905" s="8">
        <f>IF(H905="","",COUNTIFS($H$5:$H$1204,"&gt;"&amp;H905)+1)</f>
        <v>0</v>
      </c>
      <c r="R905" s="8">
        <f>IF(B905="","",SUMIFS(Pantry!$C$5:$C$304,Pantry!$A$5:$A$304,B905))</f>
        <v>0</v>
      </c>
      <c r="S905" s="8">
        <f>IF(OR(B905="",C905=""),"",MAX(0,C905-R905))</f>
        <v>0</v>
      </c>
      <c r="T905" s="26"/>
      <c r="U905" s="8">
        <f>IF(OR(T905="",T905=0,G905=""),"",T905*G905)</f>
        <v>0</v>
      </c>
      <c r="V905" s="8">
        <f>IF(OR(S905="",T905="",T905=0),"",CEILING(S905/T905,1))</f>
        <v>0</v>
      </c>
      <c r="W905" s="27"/>
      <c r="X905" s="29"/>
      <c r="Y905" s="8">
        <f>IF(OR(C905="",X905=""),"",C905*(1+X905))</f>
        <v>0</v>
      </c>
      <c r="Z905" s="8">
        <f>IF(B905="","",IFERROR(INDEX(Ingredients!$O$5:$O$304,MATCH(B905,Ingredients!$A$5:$A$304,0)),""))</f>
        <v>0</v>
      </c>
      <c r="AA905" s="8">
        <f>IF(B905="","",IF(R905&gt;=C905,"In pantry","To buy"))</f>
        <v>0</v>
      </c>
      <c r="AB905" s="8">
        <f>IF(A905="","",COUNTIFS($A$5:A905,A905))</f>
        <v>0</v>
      </c>
      <c r="AC905" s="8">
        <f>IF(B905="","",IF(COUNTIFS('Dietary Filters'!$C$5:$C$104,B905)&gt;0,"Check","OK"))</f>
        <v>0</v>
      </c>
      <c r="AD905" s="25"/>
    </row>
    <row r="906" spans="1:30">
      <c r="A906" s="7"/>
      <c r="B906" s="7"/>
      <c r="C906" s="26"/>
      <c r="D906" s="27"/>
      <c r="E906" s="8">
        <f>IF(B906="","",IFERROR(INDEX(Ingredients!$B$5:$B$304,MATCH(B906,Ingredients!$A$5:$A$304,0)),""))</f>
        <v>0</v>
      </c>
      <c r="F906" s="8">
        <f>IF(B906="","",IFERROR(INDEX(Ingredients!$E$5:$E$304,MATCH(B906,Ingredients!$A$5:$A$304,0)),""))</f>
        <v>0</v>
      </c>
      <c r="G906" s="8">
        <f>IF(B906="","",IFERROR(INDEX(Ingredients!$D$5:$D$304,MATCH(B906,Ingredients!$A$5:$A$304,0)),""))</f>
        <v>0</v>
      </c>
      <c r="H906" s="8">
        <f>IF(OR(B906="",C906=""),"",IFERROR(C906*G906,""))</f>
        <v>0</v>
      </c>
      <c r="I906" s="8">
        <f>IF(A906="","",IFERROR(INDEX(Recipes!$D$5:$D$204,MATCH(A906,Recipes!$A$5:$A$204,0)),""))</f>
        <v>0</v>
      </c>
      <c r="J906" s="8">
        <f>IF(OR(H906="",I906="",I906=0),"",IFERROR(H906/I906,""))</f>
        <v>0</v>
      </c>
      <c r="K906" s="8">
        <f>IF(OR(B906="",C906=""),"",IFERROR(C906*IFERROR(INDEX(Ingredients!$H$5:$H$304,MATCH(B906,Ingredients!$A$5:$A$304,0)),""),""))</f>
        <v>0</v>
      </c>
      <c r="L906" s="8">
        <f>IF(OR(B906="",C906=""),"",IFERROR(C906*IFERROR(INDEX(Ingredients!$I$5:$I$304,MATCH(B906,Ingredients!$A$5:$A$304,0)),""),""))</f>
        <v>0</v>
      </c>
      <c r="M906" s="8">
        <f>IF(OR(B906="",C906=""),"",IFERROR(C906*IFERROR(INDEX(Ingredients!$J$5:$J$304,MATCH(B906,Ingredients!$A$5:$A$304,0)),""),""))</f>
        <v>0</v>
      </c>
      <c r="N906" s="8">
        <f>IF(OR(B906="",C906=""),"",IFERROR(C906*IFERROR(INDEX(Ingredients!$K$5:$K$304,MATCH(B906,Ingredients!$A$5:$A$304,0)),""),""))</f>
        <v>0</v>
      </c>
      <c r="O906" s="8">
        <f>IF(OR(B906="",C906=""),"",IFERROR(C906*IFERROR(INDEX(Ingredients!$L$5:$L$304,MATCH(B906,Ingredients!$A$5:$A$304,0)),""),""))</f>
        <v>0</v>
      </c>
      <c r="P906" s="8">
        <f>IF(OR(H906="",A906=""),"",IFERROR(H906/SUMIFS('Recipe Ingredients'!$H$5:$H$1204,'Recipe Ingredients'!$A$5:$A$1204,A906),""))</f>
        <v>0</v>
      </c>
      <c r="Q906" s="8">
        <f>IF(H906="","",COUNTIFS($H$5:$H$1204,"&gt;"&amp;H906)+1)</f>
        <v>0</v>
      </c>
      <c r="R906" s="8">
        <f>IF(B906="","",SUMIFS(Pantry!$C$5:$C$304,Pantry!$A$5:$A$304,B906))</f>
        <v>0</v>
      </c>
      <c r="S906" s="8">
        <f>IF(OR(B906="",C906=""),"",MAX(0,C906-R906))</f>
        <v>0</v>
      </c>
      <c r="T906" s="26"/>
      <c r="U906" s="8">
        <f>IF(OR(T906="",T906=0,G906=""),"",T906*G906)</f>
        <v>0</v>
      </c>
      <c r="V906" s="8">
        <f>IF(OR(S906="",T906="",T906=0),"",CEILING(S906/T906,1))</f>
        <v>0</v>
      </c>
      <c r="W906" s="27"/>
      <c r="X906" s="29"/>
      <c r="Y906" s="8">
        <f>IF(OR(C906="",X906=""),"",C906*(1+X906))</f>
        <v>0</v>
      </c>
      <c r="Z906" s="8">
        <f>IF(B906="","",IFERROR(INDEX(Ingredients!$O$5:$O$304,MATCH(B906,Ingredients!$A$5:$A$304,0)),""))</f>
        <v>0</v>
      </c>
      <c r="AA906" s="8">
        <f>IF(B906="","",IF(R906&gt;=C906,"In pantry","To buy"))</f>
        <v>0</v>
      </c>
      <c r="AB906" s="8">
        <f>IF(A906="","",COUNTIFS($A$5:A906,A906))</f>
        <v>0</v>
      </c>
      <c r="AC906" s="8">
        <f>IF(B906="","",IF(COUNTIFS('Dietary Filters'!$C$5:$C$104,B906)&gt;0,"Check","OK"))</f>
        <v>0</v>
      </c>
      <c r="AD906" s="25"/>
    </row>
    <row r="907" spans="1:30">
      <c r="A907" s="7"/>
      <c r="B907" s="7"/>
      <c r="C907" s="26"/>
      <c r="D907" s="27"/>
      <c r="E907" s="8">
        <f>IF(B907="","",IFERROR(INDEX(Ingredients!$B$5:$B$304,MATCH(B907,Ingredients!$A$5:$A$304,0)),""))</f>
        <v>0</v>
      </c>
      <c r="F907" s="8">
        <f>IF(B907="","",IFERROR(INDEX(Ingredients!$E$5:$E$304,MATCH(B907,Ingredients!$A$5:$A$304,0)),""))</f>
        <v>0</v>
      </c>
      <c r="G907" s="8">
        <f>IF(B907="","",IFERROR(INDEX(Ingredients!$D$5:$D$304,MATCH(B907,Ingredients!$A$5:$A$304,0)),""))</f>
        <v>0</v>
      </c>
      <c r="H907" s="8">
        <f>IF(OR(B907="",C907=""),"",IFERROR(C907*G907,""))</f>
        <v>0</v>
      </c>
      <c r="I907" s="8">
        <f>IF(A907="","",IFERROR(INDEX(Recipes!$D$5:$D$204,MATCH(A907,Recipes!$A$5:$A$204,0)),""))</f>
        <v>0</v>
      </c>
      <c r="J907" s="8">
        <f>IF(OR(H907="",I907="",I907=0),"",IFERROR(H907/I907,""))</f>
        <v>0</v>
      </c>
      <c r="K907" s="8">
        <f>IF(OR(B907="",C907=""),"",IFERROR(C907*IFERROR(INDEX(Ingredients!$H$5:$H$304,MATCH(B907,Ingredients!$A$5:$A$304,0)),""),""))</f>
        <v>0</v>
      </c>
      <c r="L907" s="8">
        <f>IF(OR(B907="",C907=""),"",IFERROR(C907*IFERROR(INDEX(Ingredients!$I$5:$I$304,MATCH(B907,Ingredients!$A$5:$A$304,0)),""),""))</f>
        <v>0</v>
      </c>
      <c r="M907" s="8">
        <f>IF(OR(B907="",C907=""),"",IFERROR(C907*IFERROR(INDEX(Ingredients!$J$5:$J$304,MATCH(B907,Ingredients!$A$5:$A$304,0)),""),""))</f>
        <v>0</v>
      </c>
      <c r="N907" s="8">
        <f>IF(OR(B907="",C907=""),"",IFERROR(C907*IFERROR(INDEX(Ingredients!$K$5:$K$304,MATCH(B907,Ingredients!$A$5:$A$304,0)),""),""))</f>
        <v>0</v>
      </c>
      <c r="O907" s="8">
        <f>IF(OR(B907="",C907=""),"",IFERROR(C907*IFERROR(INDEX(Ingredients!$L$5:$L$304,MATCH(B907,Ingredients!$A$5:$A$304,0)),""),""))</f>
        <v>0</v>
      </c>
      <c r="P907" s="8">
        <f>IF(OR(H907="",A907=""),"",IFERROR(H907/SUMIFS('Recipe Ingredients'!$H$5:$H$1204,'Recipe Ingredients'!$A$5:$A$1204,A907),""))</f>
        <v>0</v>
      </c>
      <c r="Q907" s="8">
        <f>IF(H907="","",COUNTIFS($H$5:$H$1204,"&gt;"&amp;H907)+1)</f>
        <v>0</v>
      </c>
      <c r="R907" s="8">
        <f>IF(B907="","",SUMIFS(Pantry!$C$5:$C$304,Pantry!$A$5:$A$304,B907))</f>
        <v>0</v>
      </c>
      <c r="S907" s="8">
        <f>IF(OR(B907="",C907=""),"",MAX(0,C907-R907))</f>
        <v>0</v>
      </c>
      <c r="T907" s="26"/>
      <c r="U907" s="8">
        <f>IF(OR(T907="",T907=0,G907=""),"",T907*G907)</f>
        <v>0</v>
      </c>
      <c r="V907" s="8">
        <f>IF(OR(S907="",T907="",T907=0),"",CEILING(S907/T907,1))</f>
        <v>0</v>
      </c>
      <c r="W907" s="27"/>
      <c r="X907" s="29"/>
      <c r="Y907" s="8">
        <f>IF(OR(C907="",X907=""),"",C907*(1+X907))</f>
        <v>0</v>
      </c>
      <c r="Z907" s="8">
        <f>IF(B907="","",IFERROR(INDEX(Ingredients!$O$5:$O$304,MATCH(B907,Ingredients!$A$5:$A$304,0)),""))</f>
        <v>0</v>
      </c>
      <c r="AA907" s="8">
        <f>IF(B907="","",IF(R907&gt;=C907,"In pantry","To buy"))</f>
        <v>0</v>
      </c>
      <c r="AB907" s="8">
        <f>IF(A907="","",COUNTIFS($A$5:A907,A907))</f>
        <v>0</v>
      </c>
      <c r="AC907" s="8">
        <f>IF(B907="","",IF(COUNTIFS('Dietary Filters'!$C$5:$C$104,B907)&gt;0,"Check","OK"))</f>
        <v>0</v>
      </c>
      <c r="AD907" s="25"/>
    </row>
    <row r="908" spans="1:30">
      <c r="A908" s="7"/>
      <c r="B908" s="7"/>
      <c r="C908" s="26"/>
      <c r="D908" s="27"/>
      <c r="E908" s="8">
        <f>IF(B908="","",IFERROR(INDEX(Ingredients!$B$5:$B$304,MATCH(B908,Ingredients!$A$5:$A$304,0)),""))</f>
        <v>0</v>
      </c>
      <c r="F908" s="8">
        <f>IF(B908="","",IFERROR(INDEX(Ingredients!$E$5:$E$304,MATCH(B908,Ingredients!$A$5:$A$304,0)),""))</f>
        <v>0</v>
      </c>
      <c r="G908" s="8">
        <f>IF(B908="","",IFERROR(INDEX(Ingredients!$D$5:$D$304,MATCH(B908,Ingredients!$A$5:$A$304,0)),""))</f>
        <v>0</v>
      </c>
      <c r="H908" s="8">
        <f>IF(OR(B908="",C908=""),"",IFERROR(C908*G908,""))</f>
        <v>0</v>
      </c>
      <c r="I908" s="8">
        <f>IF(A908="","",IFERROR(INDEX(Recipes!$D$5:$D$204,MATCH(A908,Recipes!$A$5:$A$204,0)),""))</f>
        <v>0</v>
      </c>
      <c r="J908" s="8">
        <f>IF(OR(H908="",I908="",I908=0),"",IFERROR(H908/I908,""))</f>
        <v>0</v>
      </c>
      <c r="K908" s="8">
        <f>IF(OR(B908="",C908=""),"",IFERROR(C908*IFERROR(INDEX(Ingredients!$H$5:$H$304,MATCH(B908,Ingredients!$A$5:$A$304,0)),""),""))</f>
        <v>0</v>
      </c>
      <c r="L908" s="8">
        <f>IF(OR(B908="",C908=""),"",IFERROR(C908*IFERROR(INDEX(Ingredients!$I$5:$I$304,MATCH(B908,Ingredients!$A$5:$A$304,0)),""),""))</f>
        <v>0</v>
      </c>
      <c r="M908" s="8">
        <f>IF(OR(B908="",C908=""),"",IFERROR(C908*IFERROR(INDEX(Ingredients!$J$5:$J$304,MATCH(B908,Ingredients!$A$5:$A$304,0)),""),""))</f>
        <v>0</v>
      </c>
      <c r="N908" s="8">
        <f>IF(OR(B908="",C908=""),"",IFERROR(C908*IFERROR(INDEX(Ingredients!$K$5:$K$304,MATCH(B908,Ingredients!$A$5:$A$304,0)),""),""))</f>
        <v>0</v>
      </c>
      <c r="O908" s="8">
        <f>IF(OR(B908="",C908=""),"",IFERROR(C908*IFERROR(INDEX(Ingredients!$L$5:$L$304,MATCH(B908,Ingredients!$A$5:$A$304,0)),""),""))</f>
        <v>0</v>
      </c>
      <c r="P908" s="8">
        <f>IF(OR(H908="",A908=""),"",IFERROR(H908/SUMIFS('Recipe Ingredients'!$H$5:$H$1204,'Recipe Ingredients'!$A$5:$A$1204,A908),""))</f>
        <v>0</v>
      </c>
      <c r="Q908" s="8">
        <f>IF(H908="","",COUNTIFS($H$5:$H$1204,"&gt;"&amp;H908)+1)</f>
        <v>0</v>
      </c>
      <c r="R908" s="8">
        <f>IF(B908="","",SUMIFS(Pantry!$C$5:$C$304,Pantry!$A$5:$A$304,B908))</f>
        <v>0</v>
      </c>
      <c r="S908" s="8">
        <f>IF(OR(B908="",C908=""),"",MAX(0,C908-R908))</f>
        <v>0</v>
      </c>
      <c r="T908" s="26"/>
      <c r="U908" s="8">
        <f>IF(OR(T908="",T908=0,G908=""),"",T908*G908)</f>
        <v>0</v>
      </c>
      <c r="V908" s="8">
        <f>IF(OR(S908="",T908="",T908=0),"",CEILING(S908/T908,1))</f>
        <v>0</v>
      </c>
      <c r="W908" s="27"/>
      <c r="X908" s="29"/>
      <c r="Y908" s="8">
        <f>IF(OR(C908="",X908=""),"",C908*(1+X908))</f>
        <v>0</v>
      </c>
      <c r="Z908" s="8">
        <f>IF(B908="","",IFERROR(INDEX(Ingredients!$O$5:$O$304,MATCH(B908,Ingredients!$A$5:$A$304,0)),""))</f>
        <v>0</v>
      </c>
      <c r="AA908" s="8">
        <f>IF(B908="","",IF(R908&gt;=C908,"In pantry","To buy"))</f>
        <v>0</v>
      </c>
      <c r="AB908" s="8">
        <f>IF(A908="","",COUNTIFS($A$5:A908,A908))</f>
        <v>0</v>
      </c>
      <c r="AC908" s="8">
        <f>IF(B908="","",IF(COUNTIFS('Dietary Filters'!$C$5:$C$104,B908)&gt;0,"Check","OK"))</f>
        <v>0</v>
      </c>
      <c r="AD908" s="25"/>
    </row>
    <row r="909" spans="1:30">
      <c r="A909" s="7"/>
      <c r="B909" s="7"/>
      <c r="C909" s="26"/>
      <c r="D909" s="27"/>
      <c r="E909" s="8">
        <f>IF(B909="","",IFERROR(INDEX(Ingredients!$B$5:$B$304,MATCH(B909,Ingredients!$A$5:$A$304,0)),""))</f>
        <v>0</v>
      </c>
      <c r="F909" s="8">
        <f>IF(B909="","",IFERROR(INDEX(Ingredients!$E$5:$E$304,MATCH(B909,Ingredients!$A$5:$A$304,0)),""))</f>
        <v>0</v>
      </c>
      <c r="G909" s="8">
        <f>IF(B909="","",IFERROR(INDEX(Ingredients!$D$5:$D$304,MATCH(B909,Ingredients!$A$5:$A$304,0)),""))</f>
        <v>0</v>
      </c>
      <c r="H909" s="8">
        <f>IF(OR(B909="",C909=""),"",IFERROR(C909*G909,""))</f>
        <v>0</v>
      </c>
      <c r="I909" s="8">
        <f>IF(A909="","",IFERROR(INDEX(Recipes!$D$5:$D$204,MATCH(A909,Recipes!$A$5:$A$204,0)),""))</f>
        <v>0</v>
      </c>
      <c r="J909" s="8">
        <f>IF(OR(H909="",I909="",I909=0),"",IFERROR(H909/I909,""))</f>
        <v>0</v>
      </c>
      <c r="K909" s="8">
        <f>IF(OR(B909="",C909=""),"",IFERROR(C909*IFERROR(INDEX(Ingredients!$H$5:$H$304,MATCH(B909,Ingredients!$A$5:$A$304,0)),""),""))</f>
        <v>0</v>
      </c>
      <c r="L909" s="8">
        <f>IF(OR(B909="",C909=""),"",IFERROR(C909*IFERROR(INDEX(Ingredients!$I$5:$I$304,MATCH(B909,Ingredients!$A$5:$A$304,0)),""),""))</f>
        <v>0</v>
      </c>
      <c r="M909" s="8">
        <f>IF(OR(B909="",C909=""),"",IFERROR(C909*IFERROR(INDEX(Ingredients!$J$5:$J$304,MATCH(B909,Ingredients!$A$5:$A$304,0)),""),""))</f>
        <v>0</v>
      </c>
      <c r="N909" s="8">
        <f>IF(OR(B909="",C909=""),"",IFERROR(C909*IFERROR(INDEX(Ingredients!$K$5:$K$304,MATCH(B909,Ingredients!$A$5:$A$304,0)),""),""))</f>
        <v>0</v>
      </c>
      <c r="O909" s="8">
        <f>IF(OR(B909="",C909=""),"",IFERROR(C909*IFERROR(INDEX(Ingredients!$L$5:$L$304,MATCH(B909,Ingredients!$A$5:$A$304,0)),""),""))</f>
        <v>0</v>
      </c>
      <c r="P909" s="8">
        <f>IF(OR(H909="",A909=""),"",IFERROR(H909/SUMIFS('Recipe Ingredients'!$H$5:$H$1204,'Recipe Ingredients'!$A$5:$A$1204,A909),""))</f>
        <v>0</v>
      </c>
      <c r="Q909" s="8">
        <f>IF(H909="","",COUNTIFS($H$5:$H$1204,"&gt;"&amp;H909)+1)</f>
        <v>0</v>
      </c>
      <c r="R909" s="8">
        <f>IF(B909="","",SUMIFS(Pantry!$C$5:$C$304,Pantry!$A$5:$A$304,B909))</f>
        <v>0</v>
      </c>
      <c r="S909" s="8">
        <f>IF(OR(B909="",C909=""),"",MAX(0,C909-R909))</f>
        <v>0</v>
      </c>
      <c r="T909" s="26"/>
      <c r="U909" s="8">
        <f>IF(OR(T909="",T909=0,G909=""),"",T909*G909)</f>
        <v>0</v>
      </c>
      <c r="V909" s="8">
        <f>IF(OR(S909="",T909="",T909=0),"",CEILING(S909/T909,1))</f>
        <v>0</v>
      </c>
      <c r="W909" s="27"/>
      <c r="X909" s="29"/>
      <c r="Y909" s="8">
        <f>IF(OR(C909="",X909=""),"",C909*(1+X909))</f>
        <v>0</v>
      </c>
      <c r="Z909" s="8">
        <f>IF(B909="","",IFERROR(INDEX(Ingredients!$O$5:$O$304,MATCH(B909,Ingredients!$A$5:$A$304,0)),""))</f>
        <v>0</v>
      </c>
      <c r="AA909" s="8">
        <f>IF(B909="","",IF(R909&gt;=C909,"In pantry","To buy"))</f>
        <v>0</v>
      </c>
      <c r="AB909" s="8">
        <f>IF(A909="","",COUNTIFS($A$5:A909,A909))</f>
        <v>0</v>
      </c>
      <c r="AC909" s="8">
        <f>IF(B909="","",IF(COUNTIFS('Dietary Filters'!$C$5:$C$104,B909)&gt;0,"Check","OK"))</f>
        <v>0</v>
      </c>
      <c r="AD909" s="25"/>
    </row>
    <row r="910" spans="1:30">
      <c r="A910" s="7"/>
      <c r="B910" s="7"/>
      <c r="C910" s="26"/>
      <c r="D910" s="27"/>
      <c r="E910" s="8">
        <f>IF(B910="","",IFERROR(INDEX(Ingredients!$B$5:$B$304,MATCH(B910,Ingredients!$A$5:$A$304,0)),""))</f>
        <v>0</v>
      </c>
      <c r="F910" s="8">
        <f>IF(B910="","",IFERROR(INDEX(Ingredients!$E$5:$E$304,MATCH(B910,Ingredients!$A$5:$A$304,0)),""))</f>
        <v>0</v>
      </c>
      <c r="G910" s="8">
        <f>IF(B910="","",IFERROR(INDEX(Ingredients!$D$5:$D$304,MATCH(B910,Ingredients!$A$5:$A$304,0)),""))</f>
        <v>0</v>
      </c>
      <c r="H910" s="8">
        <f>IF(OR(B910="",C910=""),"",IFERROR(C910*G910,""))</f>
        <v>0</v>
      </c>
      <c r="I910" s="8">
        <f>IF(A910="","",IFERROR(INDEX(Recipes!$D$5:$D$204,MATCH(A910,Recipes!$A$5:$A$204,0)),""))</f>
        <v>0</v>
      </c>
      <c r="J910" s="8">
        <f>IF(OR(H910="",I910="",I910=0),"",IFERROR(H910/I910,""))</f>
        <v>0</v>
      </c>
      <c r="K910" s="8">
        <f>IF(OR(B910="",C910=""),"",IFERROR(C910*IFERROR(INDEX(Ingredients!$H$5:$H$304,MATCH(B910,Ingredients!$A$5:$A$304,0)),""),""))</f>
        <v>0</v>
      </c>
      <c r="L910" s="8">
        <f>IF(OR(B910="",C910=""),"",IFERROR(C910*IFERROR(INDEX(Ingredients!$I$5:$I$304,MATCH(B910,Ingredients!$A$5:$A$304,0)),""),""))</f>
        <v>0</v>
      </c>
      <c r="M910" s="8">
        <f>IF(OR(B910="",C910=""),"",IFERROR(C910*IFERROR(INDEX(Ingredients!$J$5:$J$304,MATCH(B910,Ingredients!$A$5:$A$304,0)),""),""))</f>
        <v>0</v>
      </c>
      <c r="N910" s="8">
        <f>IF(OR(B910="",C910=""),"",IFERROR(C910*IFERROR(INDEX(Ingredients!$K$5:$K$304,MATCH(B910,Ingredients!$A$5:$A$304,0)),""),""))</f>
        <v>0</v>
      </c>
      <c r="O910" s="8">
        <f>IF(OR(B910="",C910=""),"",IFERROR(C910*IFERROR(INDEX(Ingredients!$L$5:$L$304,MATCH(B910,Ingredients!$A$5:$A$304,0)),""),""))</f>
        <v>0</v>
      </c>
      <c r="P910" s="8">
        <f>IF(OR(H910="",A910=""),"",IFERROR(H910/SUMIFS('Recipe Ingredients'!$H$5:$H$1204,'Recipe Ingredients'!$A$5:$A$1204,A910),""))</f>
        <v>0</v>
      </c>
      <c r="Q910" s="8">
        <f>IF(H910="","",COUNTIFS($H$5:$H$1204,"&gt;"&amp;H910)+1)</f>
        <v>0</v>
      </c>
      <c r="R910" s="8">
        <f>IF(B910="","",SUMIFS(Pantry!$C$5:$C$304,Pantry!$A$5:$A$304,B910))</f>
        <v>0</v>
      </c>
      <c r="S910" s="8">
        <f>IF(OR(B910="",C910=""),"",MAX(0,C910-R910))</f>
        <v>0</v>
      </c>
      <c r="T910" s="26"/>
      <c r="U910" s="8">
        <f>IF(OR(T910="",T910=0,G910=""),"",T910*G910)</f>
        <v>0</v>
      </c>
      <c r="V910" s="8">
        <f>IF(OR(S910="",T910="",T910=0),"",CEILING(S910/T910,1))</f>
        <v>0</v>
      </c>
      <c r="W910" s="27"/>
      <c r="X910" s="29"/>
      <c r="Y910" s="8">
        <f>IF(OR(C910="",X910=""),"",C910*(1+X910))</f>
        <v>0</v>
      </c>
      <c r="Z910" s="8">
        <f>IF(B910="","",IFERROR(INDEX(Ingredients!$O$5:$O$304,MATCH(B910,Ingredients!$A$5:$A$304,0)),""))</f>
        <v>0</v>
      </c>
      <c r="AA910" s="8">
        <f>IF(B910="","",IF(R910&gt;=C910,"In pantry","To buy"))</f>
        <v>0</v>
      </c>
      <c r="AB910" s="8">
        <f>IF(A910="","",COUNTIFS($A$5:A910,A910))</f>
        <v>0</v>
      </c>
      <c r="AC910" s="8">
        <f>IF(B910="","",IF(COUNTIFS('Dietary Filters'!$C$5:$C$104,B910)&gt;0,"Check","OK"))</f>
        <v>0</v>
      </c>
      <c r="AD910" s="25"/>
    </row>
    <row r="911" spans="1:30">
      <c r="A911" s="7"/>
      <c r="B911" s="7"/>
      <c r="C911" s="26"/>
      <c r="D911" s="27"/>
      <c r="E911" s="8">
        <f>IF(B911="","",IFERROR(INDEX(Ingredients!$B$5:$B$304,MATCH(B911,Ingredients!$A$5:$A$304,0)),""))</f>
        <v>0</v>
      </c>
      <c r="F911" s="8">
        <f>IF(B911="","",IFERROR(INDEX(Ingredients!$E$5:$E$304,MATCH(B911,Ingredients!$A$5:$A$304,0)),""))</f>
        <v>0</v>
      </c>
      <c r="G911" s="8">
        <f>IF(B911="","",IFERROR(INDEX(Ingredients!$D$5:$D$304,MATCH(B911,Ingredients!$A$5:$A$304,0)),""))</f>
        <v>0</v>
      </c>
      <c r="H911" s="8">
        <f>IF(OR(B911="",C911=""),"",IFERROR(C911*G911,""))</f>
        <v>0</v>
      </c>
      <c r="I911" s="8">
        <f>IF(A911="","",IFERROR(INDEX(Recipes!$D$5:$D$204,MATCH(A911,Recipes!$A$5:$A$204,0)),""))</f>
        <v>0</v>
      </c>
      <c r="J911" s="8">
        <f>IF(OR(H911="",I911="",I911=0),"",IFERROR(H911/I911,""))</f>
        <v>0</v>
      </c>
      <c r="K911" s="8">
        <f>IF(OR(B911="",C911=""),"",IFERROR(C911*IFERROR(INDEX(Ingredients!$H$5:$H$304,MATCH(B911,Ingredients!$A$5:$A$304,0)),""),""))</f>
        <v>0</v>
      </c>
      <c r="L911" s="8">
        <f>IF(OR(B911="",C911=""),"",IFERROR(C911*IFERROR(INDEX(Ingredients!$I$5:$I$304,MATCH(B911,Ingredients!$A$5:$A$304,0)),""),""))</f>
        <v>0</v>
      </c>
      <c r="M911" s="8">
        <f>IF(OR(B911="",C911=""),"",IFERROR(C911*IFERROR(INDEX(Ingredients!$J$5:$J$304,MATCH(B911,Ingredients!$A$5:$A$304,0)),""),""))</f>
        <v>0</v>
      </c>
      <c r="N911" s="8">
        <f>IF(OR(B911="",C911=""),"",IFERROR(C911*IFERROR(INDEX(Ingredients!$K$5:$K$304,MATCH(B911,Ingredients!$A$5:$A$304,0)),""),""))</f>
        <v>0</v>
      </c>
      <c r="O911" s="8">
        <f>IF(OR(B911="",C911=""),"",IFERROR(C911*IFERROR(INDEX(Ingredients!$L$5:$L$304,MATCH(B911,Ingredients!$A$5:$A$304,0)),""),""))</f>
        <v>0</v>
      </c>
      <c r="P911" s="8">
        <f>IF(OR(H911="",A911=""),"",IFERROR(H911/SUMIFS('Recipe Ingredients'!$H$5:$H$1204,'Recipe Ingredients'!$A$5:$A$1204,A911),""))</f>
        <v>0</v>
      </c>
      <c r="Q911" s="8">
        <f>IF(H911="","",COUNTIFS($H$5:$H$1204,"&gt;"&amp;H911)+1)</f>
        <v>0</v>
      </c>
      <c r="R911" s="8">
        <f>IF(B911="","",SUMIFS(Pantry!$C$5:$C$304,Pantry!$A$5:$A$304,B911))</f>
        <v>0</v>
      </c>
      <c r="S911" s="8">
        <f>IF(OR(B911="",C911=""),"",MAX(0,C911-R911))</f>
        <v>0</v>
      </c>
      <c r="T911" s="26"/>
      <c r="U911" s="8">
        <f>IF(OR(T911="",T911=0,G911=""),"",T911*G911)</f>
        <v>0</v>
      </c>
      <c r="V911" s="8">
        <f>IF(OR(S911="",T911="",T911=0),"",CEILING(S911/T911,1))</f>
        <v>0</v>
      </c>
      <c r="W911" s="27"/>
      <c r="X911" s="29"/>
      <c r="Y911" s="8">
        <f>IF(OR(C911="",X911=""),"",C911*(1+X911))</f>
        <v>0</v>
      </c>
      <c r="Z911" s="8">
        <f>IF(B911="","",IFERROR(INDEX(Ingredients!$O$5:$O$304,MATCH(B911,Ingredients!$A$5:$A$304,0)),""))</f>
        <v>0</v>
      </c>
      <c r="AA911" s="8">
        <f>IF(B911="","",IF(R911&gt;=C911,"In pantry","To buy"))</f>
        <v>0</v>
      </c>
      <c r="AB911" s="8">
        <f>IF(A911="","",COUNTIFS($A$5:A911,A911))</f>
        <v>0</v>
      </c>
      <c r="AC911" s="8">
        <f>IF(B911="","",IF(COUNTIFS('Dietary Filters'!$C$5:$C$104,B911)&gt;0,"Check","OK"))</f>
        <v>0</v>
      </c>
      <c r="AD911" s="25"/>
    </row>
    <row r="912" spans="1:30">
      <c r="A912" s="7"/>
      <c r="B912" s="7"/>
      <c r="C912" s="26"/>
      <c r="D912" s="27"/>
      <c r="E912" s="8">
        <f>IF(B912="","",IFERROR(INDEX(Ingredients!$B$5:$B$304,MATCH(B912,Ingredients!$A$5:$A$304,0)),""))</f>
        <v>0</v>
      </c>
      <c r="F912" s="8">
        <f>IF(B912="","",IFERROR(INDEX(Ingredients!$E$5:$E$304,MATCH(B912,Ingredients!$A$5:$A$304,0)),""))</f>
        <v>0</v>
      </c>
      <c r="G912" s="8">
        <f>IF(B912="","",IFERROR(INDEX(Ingredients!$D$5:$D$304,MATCH(B912,Ingredients!$A$5:$A$304,0)),""))</f>
        <v>0</v>
      </c>
      <c r="H912" s="8">
        <f>IF(OR(B912="",C912=""),"",IFERROR(C912*G912,""))</f>
        <v>0</v>
      </c>
      <c r="I912" s="8">
        <f>IF(A912="","",IFERROR(INDEX(Recipes!$D$5:$D$204,MATCH(A912,Recipes!$A$5:$A$204,0)),""))</f>
        <v>0</v>
      </c>
      <c r="J912" s="8">
        <f>IF(OR(H912="",I912="",I912=0),"",IFERROR(H912/I912,""))</f>
        <v>0</v>
      </c>
      <c r="K912" s="8">
        <f>IF(OR(B912="",C912=""),"",IFERROR(C912*IFERROR(INDEX(Ingredients!$H$5:$H$304,MATCH(B912,Ingredients!$A$5:$A$304,0)),""),""))</f>
        <v>0</v>
      </c>
      <c r="L912" s="8">
        <f>IF(OR(B912="",C912=""),"",IFERROR(C912*IFERROR(INDEX(Ingredients!$I$5:$I$304,MATCH(B912,Ingredients!$A$5:$A$304,0)),""),""))</f>
        <v>0</v>
      </c>
      <c r="M912" s="8">
        <f>IF(OR(B912="",C912=""),"",IFERROR(C912*IFERROR(INDEX(Ingredients!$J$5:$J$304,MATCH(B912,Ingredients!$A$5:$A$304,0)),""),""))</f>
        <v>0</v>
      </c>
      <c r="N912" s="8">
        <f>IF(OR(B912="",C912=""),"",IFERROR(C912*IFERROR(INDEX(Ingredients!$K$5:$K$304,MATCH(B912,Ingredients!$A$5:$A$304,0)),""),""))</f>
        <v>0</v>
      </c>
      <c r="O912" s="8">
        <f>IF(OR(B912="",C912=""),"",IFERROR(C912*IFERROR(INDEX(Ingredients!$L$5:$L$304,MATCH(B912,Ingredients!$A$5:$A$304,0)),""),""))</f>
        <v>0</v>
      </c>
      <c r="P912" s="8">
        <f>IF(OR(H912="",A912=""),"",IFERROR(H912/SUMIFS('Recipe Ingredients'!$H$5:$H$1204,'Recipe Ingredients'!$A$5:$A$1204,A912),""))</f>
        <v>0</v>
      </c>
      <c r="Q912" s="8">
        <f>IF(H912="","",COUNTIFS($H$5:$H$1204,"&gt;"&amp;H912)+1)</f>
        <v>0</v>
      </c>
      <c r="R912" s="8">
        <f>IF(B912="","",SUMIFS(Pantry!$C$5:$C$304,Pantry!$A$5:$A$304,B912))</f>
        <v>0</v>
      </c>
      <c r="S912" s="8">
        <f>IF(OR(B912="",C912=""),"",MAX(0,C912-R912))</f>
        <v>0</v>
      </c>
      <c r="T912" s="26"/>
      <c r="U912" s="8">
        <f>IF(OR(T912="",T912=0,G912=""),"",T912*G912)</f>
        <v>0</v>
      </c>
      <c r="V912" s="8">
        <f>IF(OR(S912="",T912="",T912=0),"",CEILING(S912/T912,1))</f>
        <v>0</v>
      </c>
      <c r="W912" s="27"/>
      <c r="X912" s="29"/>
      <c r="Y912" s="8">
        <f>IF(OR(C912="",X912=""),"",C912*(1+X912))</f>
        <v>0</v>
      </c>
      <c r="Z912" s="8">
        <f>IF(B912="","",IFERROR(INDEX(Ingredients!$O$5:$O$304,MATCH(B912,Ingredients!$A$5:$A$304,0)),""))</f>
        <v>0</v>
      </c>
      <c r="AA912" s="8">
        <f>IF(B912="","",IF(R912&gt;=C912,"In pantry","To buy"))</f>
        <v>0</v>
      </c>
      <c r="AB912" s="8">
        <f>IF(A912="","",COUNTIFS($A$5:A912,A912))</f>
        <v>0</v>
      </c>
      <c r="AC912" s="8">
        <f>IF(B912="","",IF(COUNTIFS('Dietary Filters'!$C$5:$C$104,B912)&gt;0,"Check","OK"))</f>
        <v>0</v>
      </c>
      <c r="AD912" s="25"/>
    </row>
    <row r="913" spans="1:30">
      <c r="A913" s="7"/>
      <c r="B913" s="7"/>
      <c r="C913" s="26"/>
      <c r="D913" s="27"/>
      <c r="E913" s="8">
        <f>IF(B913="","",IFERROR(INDEX(Ingredients!$B$5:$B$304,MATCH(B913,Ingredients!$A$5:$A$304,0)),""))</f>
        <v>0</v>
      </c>
      <c r="F913" s="8">
        <f>IF(B913="","",IFERROR(INDEX(Ingredients!$E$5:$E$304,MATCH(B913,Ingredients!$A$5:$A$304,0)),""))</f>
        <v>0</v>
      </c>
      <c r="G913" s="8">
        <f>IF(B913="","",IFERROR(INDEX(Ingredients!$D$5:$D$304,MATCH(B913,Ingredients!$A$5:$A$304,0)),""))</f>
        <v>0</v>
      </c>
      <c r="H913" s="8">
        <f>IF(OR(B913="",C913=""),"",IFERROR(C913*G913,""))</f>
        <v>0</v>
      </c>
      <c r="I913" s="8">
        <f>IF(A913="","",IFERROR(INDEX(Recipes!$D$5:$D$204,MATCH(A913,Recipes!$A$5:$A$204,0)),""))</f>
        <v>0</v>
      </c>
      <c r="J913" s="8">
        <f>IF(OR(H913="",I913="",I913=0),"",IFERROR(H913/I913,""))</f>
        <v>0</v>
      </c>
      <c r="K913" s="8">
        <f>IF(OR(B913="",C913=""),"",IFERROR(C913*IFERROR(INDEX(Ingredients!$H$5:$H$304,MATCH(B913,Ingredients!$A$5:$A$304,0)),""),""))</f>
        <v>0</v>
      </c>
      <c r="L913" s="8">
        <f>IF(OR(B913="",C913=""),"",IFERROR(C913*IFERROR(INDEX(Ingredients!$I$5:$I$304,MATCH(B913,Ingredients!$A$5:$A$304,0)),""),""))</f>
        <v>0</v>
      </c>
      <c r="M913" s="8">
        <f>IF(OR(B913="",C913=""),"",IFERROR(C913*IFERROR(INDEX(Ingredients!$J$5:$J$304,MATCH(B913,Ingredients!$A$5:$A$304,0)),""),""))</f>
        <v>0</v>
      </c>
      <c r="N913" s="8">
        <f>IF(OR(B913="",C913=""),"",IFERROR(C913*IFERROR(INDEX(Ingredients!$K$5:$K$304,MATCH(B913,Ingredients!$A$5:$A$304,0)),""),""))</f>
        <v>0</v>
      </c>
      <c r="O913" s="8">
        <f>IF(OR(B913="",C913=""),"",IFERROR(C913*IFERROR(INDEX(Ingredients!$L$5:$L$304,MATCH(B913,Ingredients!$A$5:$A$304,0)),""),""))</f>
        <v>0</v>
      </c>
      <c r="P913" s="8">
        <f>IF(OR(H913="",A913=""),"",IFERROR(H913/SUMIFS('Recipe Ingredients'!$H$5:$H$1204,'Recipe Ingredients'!$A$5:$A$1204,A913),""))</f>
        <v>0</v>
      </c>
      <c r="Q913" s="8">
        <f>IF(H913="","",COUNTIFS($H$5:$H$1204,"&gt;"&amp;H913)+1)</f>
        <v>0</v>
      </c>
      <c r="R913" s="8">
        <f>IF(B913="","",SUMIFS(Pantry!$C$5:$C$304,Pantry!$A$5:$A$304,B913))</f>
        <v>0</v>
      </c>
      <c r="S913" s="8">
        <f>IF(OR(B913="",C913=""),"",MAX(0,C913-R913))</f>
        <v>0</v>
      </c>
      <c r="T913" s="26"/>
      <c r="U913" s="8">
        <f>IF(OR(T913="",T913=0,G913=""),"",T913*G913)</f>
        <v>0</v>
      </c>
      <c r="V913" s="8">
        <f>IF(OR(S913="",T913="",T913=0),"",CEILING(S913/T913,1))</f>
        <v>0</v>
      </c>
      <c r="W913" s="27"/>
      <c r="X913" s="29"/>
      <c r="Y913" s="8">
        <f>IF(OR(C913="",X913=""),"",C913*(1+X913))</f>
        <v>0</v>
      </c>
      <c r="Z913" s="8">
        <f>IF(B913="","",IFERROR(INDEX(Ingredients!$O$5:$O$304,MATCH(B913,Ingredients!$A$5:$A$304,0)),""))</f>
        <v>0</v>
      </c>
      <c r="AA913" s="8">
        <f>IF(B913="","",IF(R913&gt;=C913,"In pantry","To buy"))</f>
        <v>0</v>
      </c>
      <c r="AB913" s="8">
        <f>IF(A913="","",COUNTIFS($A$5:A913,A913))</f>
        <v>0</v>
      </c>
      <c r="AC913" s="8">
        <f>IF(B913="","",IF(COUNTIFS('Dietary Filters'!$C$5:$C$104,B913)&gt;0,"Check","OK"))</f>
        <v>0</v>
      </c>
      <c r="AD913" s="25"/>
    </row>
    <row r="914" spans="1:30">
      <c r="A914" s="7"/>
      <c r="B914" s="7"/>
      <c r="C914" s="26"/>
      <c r="D914" s="27"/>
      <c r="E914" s="8">
        <f>IF(B914="","",IFERROR(INDEX(Ingredients!$B$5:$B$304,MATCH(B914,Ingredients!$A$5:$A$304,0)),""))</f>
        <v>0</v>
      </c>
      <c r="F914" s="8">
        <f>IF(B914="","",IFERROR(INDEX(Ingredients!$E$5:$E$304,MATCH(B914,Ingredients!$A$5:$A$304,0)),""))</f>
        <v>0</v>
      </c>
      <c r="G914" s="8">
        <f>IF(B914="","",IFERROR(INDEX(Ingredients!$D$5:$D$304,MATCH(B914,Ingredients!$A$5:$A$304,0)),""))</f>
        <v>0</v>
      </c>
      <c r="H914" s="8">
        <f>IF(OR(B914="",C914=""),"",IFERROR(C914*G914,""))</f>
        <v>0</v>
      </c>
      <c r="I914" s="8">
        <f>IF(A914="","",IFERROR(INDEX(Recipes!$D$5:$D$204,MATCH(A914,Recipes!$A$5:$A$204,0)),""))</f>
        <v>0</v>
      </c>
      <c r="J914" s="8">
        <f>IF(OR(H914="",I914="",I914=0),"",IFERROR(H914/I914,""))</f>
        <v>0</v>
      </c>
      <c r="K914" s="8">
        <f>IF(OR(B914="",C914=""),"",IFERROR(C914*IFERROR(INDEX(Ingredients!$H$5:$H$304,MATCH(B914,Ingredients!$A$5:$A$304,0)),""),""))</f>
        <v>0</v>
      </c>
      <c r="L914" s="8">
        <f>IF(OR(B914="",C914=""),"",IFERROR(C914*IFERROR(INDEX(Ingredients!$I$5:$I$304,MATCH(B914,Ingredients!$A$5:$A$304,0)),""),""))</f>
        <v>0</v>
      </c>
      <c r="M914" s="8">
        <f>IF(OR(B914="",C914=""),"",IFERROR(C914*IFERROR(INDEX(Ingredients!$J$5:$J$304,MATCH(B914,Ingredients!$A$5:$A$304,0)),""),""))</f>
        <v>0</v>
      </c>
      <c r="N914" s="8">
        <f>IF(OR(B914="",C914=""),"",IFERROR(C914*IFERROR(INDEX(Ingredients!$K$5:$K$304,MATCH(B914,Ingredients!$A$5:$A$304,0)),""),""))</f>
        <v>0</v>
      </c>
      <c r="O914" s="8">
        <f>IF(OR(B914="",C914=""),"",IFERROR(C914*IFERROR(INDEX(Ingredients!$L$5:$L$304,MATCH(B914,Ingredients!$A$5:$A$304,0)),""),""))</f>
        <v>0</v>
      </c>
      <c r="P914" s="8">
        <f>IF(OR(H914="",A914=""),"",IFERROR(H914/SUMIFS('Recipe Ingredients'!$H$5:$H$1204,'Recipe Ingredients'!$A$5:$A$1204,A914),""))</f>
        <v>0</v>
      </c>
      <c r="Q914" s="8">
        <f>IF(H914="","",COUNTIFS($H$5:$H$1204,"&gt;"&amp;H914)+1)</f>
        <v>0</v>
      </c>
      <c r="R914" s="8">
        <f>IF(B914="","",SUMIFS(Pantry!$C$5:$C$304,Pantry!$A$5:$A$304,B914))</f>
        <v>0</v>
      </c>
      <c r="S914" s="8">
        <f>IF(OR(B914="",C914=""),"",MAX(0,C914-R914))</f>
        <v>0</v>
      </c>
      <c r="T914" s="26"/>
      <c r="U914" s="8">
        <f>IF(OR(T914="",T914=0,G914=""),"",T914*G914)</f>
        <v>0</v>
      </c>
      <c r="V914" s="8">
        <f>IF(OR(S914="",T914="",T914=0),"",CEILING(S914/T914,1))</f>
        <v>0</v>
      </c>
      <c r="W914" s="27"/>
      <c r="X914" s="29"/>
      <c r="Y914" s="8">
        <f>IF(OR(C914="",X914=""),"",C914*(1+X914))</f>
        <v>0</v>
      </c>
      <c r="Z914" s="8">
        <f>IF(B914="","",IFERROR(INDEX(Ingredients!$O$5:$O$304,MATCH(B914,Ingredients!$A$5:$A$304,0)),""))</f>
        <v>0</v>
      </c>
      <c r="AA914" s="8">
        <f>IF(B914="","",IF(R914&gt;=C914,"In pantry","To buy"))</f>
        <v>0</v>
      </c>
      <c r="AB914" s="8">
        <f>IF(A914="","",COUNTIFS($A$5:A914,A914))</f>
        <v>0</v>
      </c>
      <c r="AC914" s="8">
        <f>IF(B914="","",IF(COUNTIFS('Dietary Filters'!$C$5:$C$104,B914)&gt;0,"Check","OK"))</f>
        <v>0</v>
      </c>
      <c r="AD914" s="25"/>
    </row>
    <row r="915" spans="1:30">
      <c r="A915" s="7"/>
      <c r="B915" s="7"/>
      <c r="C915" s="26"/>
      <c r="D915" s="27"/>
      <c r="E915" s="8">
        <f>IF(B915="","",IFERROR(INDEX(Ingredients!$B$5:$B$304,MATCH(B915,Ingredients!$A$5:$A$304,0)),""))</f>
        <v>0</v>
      </c>
      <c r="F915" s="8">
        <f>IF(B915="","",IFERROR(INDEX(Ingredients!$E$5:$E$304,MATCH(B915,Ingredients!$A$5:$A$304,0)),""))</f>
        <v>0</v>
      </c>
      <c r="G915" s="8">
        <f>IF(B915="","",IFERROR(INDEX(Ingredients!$D$5:$D$304,MATCH(B915,Ingredients!$A$5:$A$304,0)),""))</f>
        <v>0</v>
      </c>
      <c r="H915" s="8">
        <f>IF(OR(B915="",C915=""),"",IFERROR(C915*G915,""))</f>
        <v>0</v>
      </c>
      <c r="I915" s="8">
        <f>IF(A915="","",IFERROR(INDEX(Recipes!$D$5:$D$204,MATCH(A915,Recipes!$A$5:$A$204,0)),""))</f>
        <v>0</v>
      </c>
      <c r="J915" s="8">
        <f>IF(OR(H915="",I915="",I915=0),"",IFERROR(H915/I915,""))</f>
        <v>0</v>
      </c>
      <c r="K915" s="8">
        <f>IF(OR(B915="",C915=""),"",IFERROR(C915*IFERROR(INDEX(Ingredients!$H$5:$H$304,MATCH(B915,Ingredients!$A$5:$A$304,0)),""),""))</f>
        <v>0</v>
      </c>
      <c r="L915" s="8">
        <f>IF(OR(B915="",C915=""),"",IFERROR(C915*IFERROR(INDEX(Ingredients!$I$5:$I$304,MATCH(B915,Ingredients!$A$5:$A$304,0)),""),""))</f>
        <v>0</v>
      </c>
      <c r="M915" s="8">
        <f>IF(OR(B915="",C915=""),"",IFERROR(C915*IFERROR(INDEX(Ingredients!$J$5:$J$304,MATCH(B915,Ingredients!$A$5:$A$304,0)),""),""))</f>
        <v>0</v>
      </c>
      <c r="N915" s="8">
        <f>IF(OR(B915="",C915=""),"",IFERROR(C915*IFERROR(INDEX(Ingredients!$K$5:$K$304,MATCH(B915,Ingredients!$A$5:$A$304,0)),""),""))</f>
        <v>0</v>
      </c>
      <c r="O915" s="8">
        <f>IF(OR(B915="",C915=""),"",IFERROR(C915*IFERROR(INDEX(Ingredients!$L$5:$L$304,MATCH(B915,Ingredients!$A$5:$A$304,0)),""),""))</f>
        <v>0</v>
      </c>
      <c r="P915" s="8">
        <f>IF(OR(H915="",A915=""),"",IFERROR(H915/SUMIFS('Recipe Ingredients'!$H$5:$H$1204,'Recipe Ingredients'!$A$5:$A$1204,A915),""))</f>
        <v>0</v>
      </c>
      <c r="Q915" s="8">
        <f>IF(H915="","",COUNTIFS($H$5:$H$1204,"&gt;"&amp;H915)+1)</f>
        <v>0</v>
      </c>
      <c r="R915" s="8">
        <f>IF(B915="","",SUMIFS(Pantry!$C$5:$C$304,Pantry!$A$5:$A$304,B915))</f>
        <v>0</v>
      </c>
      <c r="S915" s="8">
        <f>IF(OR(B915="",C915=""),"",MAX(0,C915-R915))</f>
        <v>0</v>
      </c>
      <c r="T915" s="26"/>
      <c r="U915" s="8">
        <f>IF(OR(T915="",T915=0,G915=""),"",T915*G915)</f>
        <v>0</v>
      </c>
      <c r="V915" s="8">
        <f>IF(OR(S915="",T915="",T915=0),"",CEILING(S915/T915,1))</f>
        <v>0</v>
      </c>
      <c r="W915" s="27"/>
      <c r="X915" s="29"/>
      <c r="Y915" s="8">
        <f>IF(OR(C915="",X915=""),"",C915*(1+X915))</f>
        <v>0</v>
      </c>
      <c r="Z915" s="8">
        <f>IF(B915="","",IFERROR(INDEX(Ingredients!$O$5:$O$304,MATCH(B915,Ingredients!$A$5:$A$304,0)),""))</f>
        <v>0</v>
      </c>
      <c r="AA915" s="8">
        <f>IF(B915="","",IF(R915&gt;=C915,"In pantry","To buy"))</f>
        <v>0</v>
      </c>
      <c r="AB915" s="8">
        <f>IF(A915="","",COUNTIFS($A$5:A915,A915))</f>
        <v>0</v>
      </c>
      <c r="AC915" s="8">
        <f>IF(B915="","",IF(COUNTIFS('Dietary Filters'!$C$5:$C$104,B915)&gt;0,"Check","OK"))</f>
        <v>0</v>
      </c>
      <c r="AD915" s="25"/>
    </row>
    <row r="916" spans="1:30">
      <c r="A916" s="7"/>
      <c r="B916" s="7"/>
      <c r="C916" s="26"/>
      <c r="D916" s="27"/>
      <c r="E916" s="8">
        <f>IF(B916="","",IFERROR(INDEX(Ingredients!$B$5:$B$304,MATCH(B916,Ingredients!$A$5:$A$304,0)),""))</f>
        <v>0</v>
      </c>
      <c r="F916" s="8">
        <f>IF(B916="","",IFERROR(INDEX(Ingredients!$E$5:$E$304,MATCH(B916,Ingredients!$A$5:$A$304,0)),""))</f>
        <v>0</v>
      </c>
      <c r="G916" s="8">
        <f>IF(B916="","",IFERROR(INDEX(Ingredients!$D$5:$D$304,MATCH(B916,Ingredients!$A$5:$A$304,0)),""))</f>
        <v>0</v>
      </c>
      <c r="H916" s="8">
        <f>IF(OR(B916="",C916=""),"",IFERROR(C916*G916,""))</f>
        <v>0</v>
      </c>
      <c r="I916" s="8">
        <f>IF(A916="","",IFERROR(INDEX(Recipes!$D$5:$D$204,MATCH(A916,Recipes!$A$5:$A$204,0)),""))</f>
        <v>0</v>
      </c>
      <c r="J916" s="8">
        <f>IF(OR(H916="",I916="",I916=0),"",IFERROR(H916/I916,""))</f>
        <v>0</v>
      </c>
      <c r="K916" s="8">
        <f>IF(OR(B916="",C916=""),"",IFERROR(C916*IFERROR(INDEX(Ingredients!$H$5:$H$304,MATCH(B916,Ingredients!$A$5:$A$304,0)),""),""))</f>
        <v>0</v>
      </c>
      <c r="L916" s="8">
        <f>IF(OR(B916="",C916=""),"",IFERROR(C916*IFERROR(INDEX(Ingredients!$I$5:$I$304,MATCH(B916,Ingredients!$A$5:$A$304,0)),""),""))</f>
        <v>0</v>
      </c>
      <c r="M916" s="8">
        <f>IF(OR(B916="",C916=""),"",IFERROR(C916*IFERROR(INDEX(Ingredients!$J$5:$J$304,MATCH(B916,Ingredients!$A$5:$A$304,0)),""),""))</f>
        <v>0</v>
      </c>
      <c r="N916" s="8">
        <f>IF(OR(B916="",C916=""),"",IFERROR(C916*IFERROR(INDEX(Ingredients!$K$5:$K$304,MATCH(B916,Ingredients!$A$5:$A$304,0)),""),""))</f>
        <v>0</v>
      </c>
      <c r="O916" s="8">
        <f>IF(OR(B916="",C916=""),"",IFERROR(C916*IFERROR(INDEX(Ingredients!$L$5:$L$304,MATCH(B916,Ingredients!$A$5:$A$304,0)),""),""))</f>
        <v>0</v>
      </c>
      <c r="P916" s="8">
        <f>IF(OR(H916="",A916=""),"",IFERROR(H916/SUMIFS('Recipe Ingredients'!$H$5:$H$1204,'Recipe Ingredients'!$A$5:$A$1204,A916),""))</f>
        <v>0</v>
      </c>
      <c r="Q916" s="8">
        <f>IF(H916="","",COUNTIFS($H$5:$H$1204,"&gt;"&amp;H916)+1)</f>
        <v>0</v>
      </c>
      <c r="R916" s="8">
        <f>IF(B916="","",SUMIFS(Pantry!$C$5:$C$304,Pantry!$A$5:$A$304,B916))</f>
        <v>0</v>
      </c>
      <c r="S916" s="8">
        <f>IF(OR(B916="",C916=""),"",MAX(0,C916-R916))</f>
        <v>0</v>
      </c>
      <c r="T916" s="26"/>
      <c r="U916" s="8">
        <f>IF(OR(T916="",T916=0,G916=""),"",T916*G916)</f>
        <v>0</v>
      </c>
      <c r="V916" s="8">
        <f>IF(OR(S916="",T916="",T916=0),"",CEILING(S916/T916,1))</f>
        <v>0</v>
      </c>
      <c r="W916" s="27"/>
      <c r="X916" s="29"/>
      <c r="Y916" s="8">
        <f>IF(OR(C916="",X916=""),"",C916*(1+X916))</f>
        <v>0</v>
      </c>
      <c r="Z916" s="8">
        <f>IF(B916="","",IFERROR(INDEX(Ingredients!$O$5:$O$304,MATCH(B916,Ingredients!$A$5:$A$304,0)),""))</f>
        <v>0</v>
      </c>
      <c r="AA916" s="8">
        <f>IF(B916="","",IF(R916&gt;=C916,"In pantry","To buy"))</f>
        <v>0</v>
      </c>
      <c r="AB916" s="8">
        <f>IF(A916="","",COUNTIFS($A$5:A916,A916))</f>
        <v>0</v>
      </c>
      <c r="AC916" s="8">
        <f>IF(B916="","",IF(COUNTIFS('Dietary Filters'!$C$5:$C$104,B916)&gt;0,"Check","OK"))</f>
        <v>0</v>
      </c>
      <c r="AD916" s="25"/>
    </row>
    <row r="917" spans="1:30">
      <c r="A917" s="7"/>
      <c r="B917" s="7"/>
      <c r="C917" s="26"/>
      <c r="D917" s="27"/>
      <c r="E917" s="8">
        <f>IF(B917="","",IFERROR(INDEX(Ingredients!$B$5:$B$304,MATCH(B917,Ingredients!$A$5:$A$304,0)),""))</f>
        <v>0</v>
      </c>
      <c r="F917" s="8">
        <f>IF(B917="","",IFERROR(INDEX(Ingredients!$E$5:$E$304,MATCH(B917,Ingredients!$A$5:$A$304,0)),""))</f>
        <v>0</v>
      </c>
      <c r="G917" s="8">
        <f>IF(B917="","",IFERROR(INDEX(Ingredients!$D$5:$D$304,MATCH(B917,Ingredients!$A$5:$A$304,0)),""))</f>
        <v>0</v>
      </c>
      <c r="H917" s="8">
        <f>IF(OR(B917="",C917=""),"",IFERROR(C917*G917,""))</f>
        <v>0</v>
      </c>
      <c r="I917" s="8">
        <f>IF(A917="","",IFERROR(INDEX(Recipes!$D$5:$D$204,MATCH(A917,Recipes!$A$5:$A$204,0)),""))</f>
        <v>0</v>
      </c>
      <c r="J917" s="8">
        <f>IF(OR(H917="",I917="",I917=0),"",IFERROR(H917/I917,""))</f>
        <v>0</v>
      </c>
      <c r="K917" s="8">
        <f>IF(OR(B917="",C917=""),"",IFERROR(C917*IFERROR(INDEX(Ingredients!$H$5:$H$304,MATCH(B917,Ingredients!$A$5:$A$304,0)),""),""))</f>
        <v>0</v>
      </c>
      <c r="L917" s="8">
        <f>IF(OR(B917="",C917=""),"",IFERROR(C917*IFERROR(INDEX(Ingredients!$I$5:$I$304,MATCH(B917,Ingredients!$A$5:$A$304,0)),""),""))</f>
        <v>0</v>
      </c>
      <c r="M917" s="8">
        <f>IF(OR(B917="",C917=""),"",IFERROR(C917*IFERROR(INDEX(Ingredients!$J$5:$J$304,MATCH(B917,Ingredients!$A$5:$A$304,0)),""),""))</f>
        <v>0</v>
      </c>
      <c r="N917" s="8">
        <f>IF(OR(B917="",C917=""),"",IFERROR(C917*IFERROR(INDEX(Ingredients!$K$5:$K$304,MATCH(B917,Ingredients!$A$5:$A$304,0)),""),""))</f>
        <v>0</v>
      </c>
      <c r="O917" s="8">
        <f>IF(OR(B917="",C917=""),"",IFERROR(C917*IFERROR(INDEX(Ingredients!$L$5:$L$304,MATCH(B917,Ingredients!$A$5:$A$304,0)),""),""))</f>
        <v>0</v>
      </c>
      <c r="P917" s="8">
        <f>IF(OR(H917="",A917=""),"",IFERROR(H917/SUMIFS('Recipe Ingredients'!$H$5:$H$1204,'Recipe Ingredients'!$A$5:$A$1204,A917),""))</f>
        <v>0</v>
      </c>
      <c r="Q917" s="8">
        <f>IF(H917="","",COUNTIFS($H$5:$H$1204,"&gt;"&amp;H917)+1)</f>
        <v>0</v>
      </c>
      <c r="R917" s="8">
        <f>IF(B917="","",SUMIFS(Pantry!$C$5:$C$304,Pantry!$A$5:$A$304,B917))</f>
        <v>0</v>
      </c>
      <c r="S917" s="8">
        <f>IF(OR(B917="",C917=""),"",MAX(0,C917-R917))</f>
        <v>0</v>
      </c>
      <c r="T917" s="26"/>
      <c r="U917" s="8">
        <f>IF(OR(T917="",T917=0,G917=""),"",T917*G917)</f>
        <v>0</v>
      </c>
      <c r="V917" s="8">
        <f>IF(OR(S917="",T917="",T917=0),"",CEILING(S917/T917,1))</f>
        <v>0</v>
      </c>
      <c r="W917" s="27"/>
      <c r="X917" s="29"/>
      <c r="Y917" s="8">
        <f>IF(OR(C917="",X917=""),"",C917*(1+X917))</f>
        <v>0</v>
      </c>
      <c r="Z917" s="8">
        <f>IF(B917="","",IFERROR(INDEX(Ingredients!$O$5:$O$304,MATCH(B917,Ingredients!$A$5:$A$304,0)),""))</f>
        <v>0</v>
      </c>
      <c r="AA917" s="8">
        <f>IF(B917="","",IF(R917&gt;=C917,"In pantry","To buy"))</f>
        <v>0</v>
      </c>
      <c r="AB917" s="8">
        <f>IF(A917="","",COUNTIFS($A$5:A917,A917))</f>
        <v>0</v>
      </c>
      <c r="AC917" s="8">
        <f>IF(B917="","",IF(COUNTIFS('Dietary Filters'!$C$5:$C$104,B917)&gt;0,"Check","OK"))</f>
        <v>0</v>
      </c>
      <c r="AD917" s="25"/>
    </row>
    <row r="918" spans="1:30">
      <c r="A918" s="7"/>
      <c r="B918" s="7"/>
      <c r="C918" s="26"/>
      <c r="D918" s="27"/>
      <c r="E918" s="8">
        <f>IF(B918="","",IFERROR(INDEX(Ingredients!$B$5:$B$304,MATCH(B918,Ingredients!$A$5:$A$304,0)),""))</f>
        <v>0</v>
      </c>
      <c r="F918" s="8">
        <f>IF(B918="","",IFERROR(INDEX(Ingredients!$E$5:$E$304,MATCH(B918,Ingredients!$A$5:$A$304,0)),""))</f>
        <v>0</v>
      </c>
      <c r="G918" s="8">
        <f>IF(B918="","",IFERROR(INDEX(Ingredients!$D$5:$D$304,MATCH(B918,Ingredients!$A$5:$A$304,0)),""))</f>
        <v>0</v>
      </c>
      <c r="H918" s="8">
        <f>IF(OR(B918="",C918=""),"",IFERROR(C918*G918,""))</f>
        <v>0</v>
      </c>
      <c r="I918" s="8">
        <f>IF(A918="","",IFERROR(INDEX(Recipes!$D$5:$D$204,MATCH(A918,Recipes!$A$5:$A$204,0)),""))</f>
        <v>0</v>
      </c>
      <c r="J918" s="8">
        <f>IF(OR(H918="",I918="",I918=0),"",IFERROR(H918/I918,""))</f>
        <v>0</v>
      </c>
      <c r="K918" s="8">
        <f>IF(OR(B918="",C918=""),"",IFERROR(C918*IFERROR(INDEX(Ingredients!$H$5:$H$304,MATCH(B918,Ingredients!$A$5:$A$304,0)),""),""))</f>
        <v>0</v>
      </c>
      <c r="L918" s="8">
        <f>IF(OR(B918="",C918=""),"",IFERROR(C918*IFERROR(INDEX(Ingredients!$I$5:$I$304,MATCH(B918,Ingredients!$A$5:$A$304,0)),""),""))</f>
        <v>0</v>
      </c>
      <c r="M918" s="8">
        <f>IF(OR(B918="",C918=""),"",IFERROR(C918*IFERROR(INDEX(Ingredients!$J$5:$J$304,MATCH(B918,Ingredients!$A$5:$A$304,0)),""),""))</f>
        <v>0</v>
      </c>
      <c r="N918" s="8">
        <f>IF(OR(B918="",C918=""),"",IFERROR(C918*IFERROR(INDEX(Ingredients!$K$5:$K$304,MATCH(B918,Ingredients!$A$5:$A$304,0)),""),""))</f>
        <v>0</v>
      </c>
      <c r="O918" s="8">
        <f>IF(OR(B918="",C918=""),"",IFERROR(C918*IFERROR(INDEX(Ingredients!$L$5:$L$304,MATCH(B918,Ingredients!$A$5:$A$304,0)),""),""))</f>
        <v>0</v>
      </c>
      <c r="P918" s="8">
        <f>IF(OR(H918="",A918=""),"",IFERROR(H918/SUMIFS('Recipe Ingredients'!$H$5:$H$1204,'Recipe Ingredients'!$A$5:$A$1204,A918),""))</f>
        <v>0</v>
      </c>
      <c r="Q918" s="8">
        <f>IF(H918="","",COUNTIFS($H$5:$H$1204,"&gt;"&amp;H918)+1)</f>
        <v>0</v>
      </c>
      <c r="R918" s="8">
        <f>IF(B918="","",SUMIFS(Pantry!$C$5:$C$304,Pantry!$A$5:$A$304,B918))</f>
        <v>0</v>
      </c>
      <c r="S918" s="8">
        <f>IF(OR(B918="",C918=""),"",MAX(0,C918-R918))</f>
        <v>0</v>
      </c>
      <c r="T918" s="26"/>
      <c r="U918" s="8">
        <f>IF(OR(T918="",T918=0,G918=""),"",T918*G918)</f>
        <v>0</v>
      </c>
      <c r="V918" s="8">
        <f>IF(OR(S918="",T918="",T918=0),"",CEILING(S918/T918,1))</f>
        <v>0</v>
      </c>
      <c r="W918" s="27"/>
      <c r="X918" s="29"/>
      <c r="Y918" s="8">
        <f>IF(OR(C918="",X918=""),"",C918*(1+X918))</f>
        <v>0</v>
      </c>
      <c r="Z918" s="8">
        <f>IF(B918="","",IFERROR(INDEX(Ingredients!$O$5:$O$304,MATCH(B918,Ingredients!$A$5:$A$304,0)),""))</f>
        <v>0</v>
      </c>
      <c r="AA918" s="8">
        <f>IF(B918="","",IF(R918&gt;=C918,"In pantry","To buy"))</f>
        <v>0</v>
      </c>
      <c r="AB918" s="8">
        <f>IF(A918="","",COUNTIFS($A$5:A918,A918))</f>
        <v>0</v>
      </c>
      <c r="AC918" s="8">
        <f>IF(B918="","",IF(COUNTIFS('Dietary Filters'!$C$5:$C$104,B918)&gt;0,"Check","OK"))</f>
        <v>0</v>
      </c>
      <c r="AD918" s="25"/>
    </row>
    <row r="919" spans="1:30">
      <c r="A919" s="7"/>
      <c r="B919" s="7"/>
      <c r="C919" s="26"/>
      <c r="D919" s="27"/>
      <c r="E919" s="8">
        <f>IF(B919="","",IFERROR(INDEX(Ingredients!$B$5:$B$304,MATCH(B919,Ingredients!$A$5:$A$304,0)),""))</f>
        <v>0</v>
      </c>
      <c r="F919" s="8">
        <f>IF(B919="","",IFERROR(INDEX(Ingredients!$E$5:$E$304,MATCH(B919,Ingredients!$A$5:$A$304,0)),""))</f>
        <v>0</v>
      </c>
      <c r="G919" s="8">
        <f>IF(B919="","",IFERROR(INDEX(Ingredients!$D$5:$D$304,MATCH(B919,Ingredients!$A$5:$A$304,0)),""))</f>
        <v>0</v>
      </c>
      <c r="H919" s="8">
        <f>IF(OR(B919="",C919=""),"",IFERROR(C919*G919,""))</f>
        <v>0</v>
      </c>
      <c r="I919" s="8">
        <f>IF(A919="","",IFERROR(INDEX(Recipes!$D$5:$D$204,MATCH(A919,Recipes!$A$5:$A$204,0)),""))</f>
        <v>0</v>
      </c>
      <c r="J919" s="8">
        <f>IF(OR(H919="",I919="",I919=0),"",IFERROR(H919/I919,""))</f>
        <v>0</v>
      </c>
      <c r="K919" s="8">
        <f>IF(OR(B919="",C919=""),"",IFERROR(C919*IFERROR(INDEX(Ingredients!$H$5:$H$304,MATCH(B919,Ingredients!$A$5:$A$304,0)),""),""))</f>
        <v>0</v>
      </c>
      <c r="L919" s="8">
        <f>IF(OR(B919="",C919=""),"",IFERROR(C919*IFERROR(INDEX(Ingredients!$I$5:$I$304,MATCH(B919,Ingredients!$A$5:$A$304,0)),""),""))</f>
        <v>0</v>
      </c>
      <c r="M919" s="8">
        <f>IF(OR(B919="",C919=""),"",IFERROR(C919*IFERROR(INDEX(Ingredients!$J$5:$J$304,MATCH(B919,Ingredients!$A$5:$A$304,0)),""),""))</f>
        <v>0</v>
      </c>
      <c r="N919" s="8">
        <f>IF(OR(B919="",C919=""),"",IFERROR(C919*IFERROR(INDEX(Ingredients!$K$5:$K$304,MATCH(B919,Ingredients!$A$5:$A$304,0)),""),""))</f>
        <v>0</v>
      </c>
      <c r="O919" s="8">
        <f>IF(OR(B919="",C919=""),"",IFERROR(C919*IFERROR(INDEX(Ingredients!$L$5:$L$304,MATCH(B919,Ingredients!$A$5:$A$304,0)),""),""))</f>
        <v>0</v>
      </c>
      <c r="P919" s="8">
        <f>IF(OR(H919="",A919=""),"",IFERROR(H919/SUMIFS('Recipe Ingredients'!$H$5:$H$1204,'Recipe Ingredients'!$A$5:$A$1204,A919),""))</f>
        <v>0</v>
      </c>
      <c r="Q919" s="8">
        <f>IF(H919="","",COUNTIFS($H$5:$H$1204,"&gt;"&amp;H919)+1)</f>
        <v>0</v>
      </c>
      <c r="R919" s="8">
        <f>IF(B919="","",SUMIFS(Pantry!$C$5:$C$304,Pantry!$A$5:$A$304,B919))</f>
        <v>0</v>
      </c>
      <c r="S919" s="8">
        <f>IF(OR(B919="",C919=""),"",MAX(0,C919-R919))</f>
        <v>0</v>
      </c>
      <c r="T919" s="26"/>
      <c r="U919" s="8">
        <f>IF(OR(T919="",T919=0,G919=""),"",T919*G919)</f>
        <v>0</v>
      </c>
      <c r="V919" s="8">
        <f>IF(OR(S919="",T919="",T919=0),"",CEILING(S919/T919,1))</f>
        <v>0</v>
      </c>
      <c r="W919" s="27"/>
      <c r="X919" s="29"/>
      <c r="Y919" s="8">
        <f>IF(OR(C919="",X919=""),"",C919*(1+X919))</f>
        <v>0</v>
      </c>
      <c r="Z919" s="8">
        <f>IF(B919="","",IFERROR(INDEX(Ingredients!$O$5:$O$304,MATCH(B919,Ingredients!$A$5:$A$304,0)),""))</f>
        <v>0</v>
      </c>
      <c r="AA919" s="8">
        <f>IF(B919="","",IF(R919&gt;=C919,"In pantry","To buy"))</f>
        <v>0</v>
      </c>
      <c r="AB919" s="8">
        <f>IF(A919="","",COUNTIFS($A$5:A919,A919))</f>
        <v>0</v>
      </c>
      <c r="AC919" s="8">
        <f>IF(B919="","",IF(COUNTIFS('Dietary Filters'!$C$5:$C$104,B919)&gt;0,"Check","OK"))</f>
        <v>0</v>
      </c>
      <c r="AD919" s="25"/>
    </row>
    <row r="920" spans="1:30">
      <c r="A920" s="7"/>
      <c r="B920" s="7"/>
      <c r="C920" s="26"/>
      <c r="D920" s="27"/>
      <c r="E920" s="8">
        <f>IF(B920="","",IFERROR(INDEX(Ingredients!$B$5:$B$304,MATCH(B920,Ingredients!$A$5:$A$304,0)),""))</f>
        <v>0</v>
      </c>
      <c r="F920" s="8">
        <f>IF(B920="","",IFERROR(INDEX(Ingredients!$E$5:$E$304,MATCH(B920,Ingredients!$A$5:$A$304,0)),""))</f>
        <v>0</v>
      </c>
      <c r="G920" s="8">
        <f>IF(B920="","",IFERROR(INDEX(Ingredients!$D$5:$D$304,MATCH(B920,Ingredients!$A$5:$A$304,0)),""))</f>
        <v>0</v>
      </c>
      <c r="H920" s="8">
        <f>IF(OR(B920="",C920=""),"",IFERROR(C920*G920,""))</f>
        <v>0</v>
      </c>
      <c r="I920" s="8">
        <f>IF(A920="","",IFERROR(INDEX(Recipes!$D$5:$D$204,MATCH(A920,Recipes!$A$5:$A$204,0)),""))</f>
        <v>0</v>
      </c>
      <c r="J920" s="8">
        <f>IF(OR(H920="",I920="",I920=0),"",IFERROR(H920/I920,""))</f>
        <v>0</v>
      </c>
      <c r="K920" s="8">
        <f>IF(OR(B920="",C920=""),"",IFERROR(C920*IFERROR(INDEX(Ingredients!$H$5:$H$304,MATCH(B920,Ingredients!$A$5:$A$304,0)),""),""))</f>
        <v>0</v>
      </c>
      <c r="L920" s="8">
        <f>IF(OR(B920="",C920=""),"",IFERROR(C920*IFERROR(INDEX(Ingredients!$I$5:$I$304,MATCH(B920,Ingredients!$A$5:$A$304,0)),""),""))</f>
        <v>0</v>
      </c>
      <c r="M920" s="8">
        <f>IF(OR(B920="",C920=""),"",IFERROR(C920*IFERROR(INDEX(Ingredients!$J$5:$J$304,MATCH(B920,Ingredients!$A$5:$A$304,0)),""),""))</f>
        <v>0</v>
      </c>
      <c r="N920" s="8">
        <f>IF(OR(B920="",C920=""),"",IFERROR(C920*IFERROR(INDEX(Ingredients!$K$5:$K$304,MATCH(B920,Ingredients!$A$5:$A$304,0)),""),""))</f>
        <v>0</v>
      </c>
      <c r="O920" s="8">
        <f>IF(OR(B920="",C920=""),"",IFERROR(C920*IFERROR(INDEX(Ingredients!$L$5:$L$304,MATCH(B920,Ingredients!$A$5:$A$304,0)),""),""))</f>
        <v>0</v>
      </c>
      <c r="P920" s="8">
        <f>IF(OR(H920="",A920=""),"",IFERROR(H920/SUMIFS('Recipe Ingredients'!$H$5:$H$1204,'Recipe Ingredients'!$A$5:$A$1204,A920),""))</f>
        <v>0</v>
      </c>
      <c r="Q920" s="8">
        <f>IF(H920="","",COUNTIFS($H$5:$H$1204,"&gt;"&amp;H920)+1)</f>
        <v>0</v>
      </c>
      <c r="R920" s="8">
        <f>IF(B920="","",SUMIFS(Pantry!$C$5:$C$304,Pantry!$A$5:$A$304,B920))</f>
        <v>0</v>
      </c>
      <c r="S920" s="8">
        <f>IF(OR(B920="",C920=""),"",MAX(0,C920-R920))</f>
        <v>0</v>
      </c>
      <c r="T920" s="26"/>
      <c r="U920" s="8">
        <f>IF(OR(T920="",T920=0,G920=""),"",T920*G920)</f>
        <v>0</v>
      </c>
      <c r="V920" s="8">
        <f>IF(OR(S920="",T920="",T920=0),"",CEILING(S920/T920,1))</f>
        <v>0</v>
      </c>
      <c r="W920" s="27"/>
      <c r="X920" s="29"/>
      <c r="Y920" s="8">
        <f>IF(OR(C920="",X920=""),"",C920*(1+X920))</f>
        <v>0</v>
      </c>
      <c r="Z920" s="8">
        <f>IF(B920="","",IFERROR(INDEX(Ingredients!$O$5:$O$304,MATCH(B920,Ingredients!$A$5:$A$304,0)),""))</f>
        <v>0</v>
      </c>
      <c r="AA920" s="8">
        <f>IF(B920="","",IF(R920&gt;=C920,"In pantry","To buy"))</f>
        <v>0</v>
      </c>
      <c r="AB920" s="8">
        <f>IF(A920="","",COUNTIFS($A$5:A920,A920))</f>
        <v>0</v>
      </c>
      <c r="AC920" s="8">
        <f>IF(B920="","",IF(COUNTIFS('Dietary Filters'!$C$5:$C$104,B920)&gt;0,"Check","OK"))</f>
        <v>0</v>
      </c>
      <c r="AD920" s="25"/>
    </row>
    <row r="921" spans="1:30">
      <c r="A921" s="7"/>
      <c r="B921" s="7"/>
      <c r="C921" s="26"/>
      <c r="D921" s="27"/>
      <c r="E921" s="8">
        <f>IF(B921="","",IFERROR(INDEX(Ingredients!$B$5:$B$304,MATCH(B921,Ingredients!$A$5:$A$304,0)),""))</f>
        <v>0</v>
      </c>
      <c r="F921" s="8">
        <f>IF(B921="","",IFERROR(INDEX(Ingredients!$E$5:$E$304,MATCH(B921,Ingredients!$A$5:$A$304,0)),""))</f>
        <v>0</v>
      </c>
      <c r="G921" s="8">
        <f>IF(B921="","",IFERROR(INDEX(Ingredients!$D$5:$D$304,MATCH(B921,Ingredients!$A$5:$A$304,0)),""))</f>
        <v>0</v>
      </c>
      <c r="H921" s="8">
        <f>IF(OR(B921="",C921=""),"",IFERROR(C921*G921,""))</f>
        <v>0</v>
      </c>
      <c r="I921" s="8">
        <f>IF(A921="","",IFERROR(INDEX(Recipes!$D$5:$D$204,MATCH(A921,Recipes!$A$5:$A$204,0)),""))</f>
        <v>0</v>
      </c>
      <c r="J921" s="8">
        <f>IF(OR(H921="",I921="",I921=0),"",IFERROR(H921/I921,""))</f>
        <v>0</v>
      </c>
      <c r="K921" s="8">
        <f>IF(OR(B921="",C921=""),"",IFERROR(C921*IFERROR(INDEX(Ingredients!$H$5:$H$304,MATCH(B921,Ingredients!$A$5:$A$304,0)),""),""))</f>
        <v>0</v>
      </c>
      <c r="L921" s="8">
        <f>IF(OR(B921="",C921=""),"",IFERROR(C921*IFERROR(INDEX(Ingredients!$I$5:$I$304,MATCH(B921,Ingredients!$A$5:$A$304,0)),""),""))</f>
        <v>0</v>
      </c>
      <c r="M921" s="8">
        <f>IF(OR(B921="",C921=""),"",IFERROR(C921*IFERROR(INDEX(Ingredients!$J$5:$J$304,MATCH(B921,Ingredients!$A$5:$A$304,0)),""),""))</f>
        <v>0</v>
      </c>
      <c r="N921" s="8">
        <f>IF(OR(B921="",C921=""),"",IFERROR(C921*IFERROR(INDEX(Ingredients!$K$5:$K$304,MATCH(B921,Ingredients!$A$5:$A$304,0)),""),""))</f>
        <v>0</v>
      </c>
      <c r="O921" s="8">
        <f>IF(OR(B921="",C921=""),"",IFERROR(C921*IFERROR(INDEX(Ingredients!$L$5:$L$304,MATCH(B921,Ingredients!$A$5:$A$304,0)),""),""))</f>
        <v>0</v>
      </c>
      <c r="P921" s="8">
        <f>IF(OR(H921="",A921=""),"",IFERROR(H921/SUMIFS('Recipe Ingredients'!$H$5:$H$1204,'Recipe Ingredients'!$A$5:$A$1204,A921),""))</f>
        <v>0</v>
      </c>
      <c r="Q921" s="8">
        <f>IF(H921="","",COUNTIFS($H$5:$H$1204,"&gt;"&amp;H921)+1)</f>
        <v>0</v>
      </c>
      <c r="R921" s="8">
        <f>IF(B921="","",SUMIFS(Pantry!$C$5:$C$304,Pantry!$A$5:$A$304,B921))</f>
        <v>0</v>
      </c>
      <c r="S921" s="8">
        <f>IF(OR(B921="",C921=""),"",MAX(0,C921-R921))</f>
        <v>0</v>
      </c>
      <c r="T921" s="26"/>
      <c r="U921" s="8">
        <f>IF(OR(T921="",T921=0,G921=""),"",T921*G921)</f>
        <v>0</v>
      </c>
      <c r="V921" s="8">
        <f>IF(OR(S921="",T921="",T921=0),"",CEILING(S921/T921,1))</f>
        <v>0</v>
      </c>
      <c r="W921" s="27"/>
      <c r="X921" s="29"/>
      <c r="Y921" s="8">
        <f>IF(OR(C921="",X921=""),"",C921*(1+X921))</f>
        <v>0</v>
      </c>
      <c r="Z921" s="8">
        <f>IF(B921="","",IFERROR(INDEX(Ingredients!$O$5:$O$304,MATCH(B921,Ingredients!$A$5:$A$304,0)),""))</f>
        <v>0</v>
      </c>
      <c r="AA921" s="8">
        <f>IF(B921="","",IF(R921&gt;=C921,"In pantry","To buy"))</f>
        <v>0</v>
      </c>
      <c r="AB921" s="8">
        <f>IF(A921="","",COUNTIFS($A$5:A921,A921))</f>
        <v>0</v>
      </c>
      <c r="AC921" s="8">
        <f>IF(B921="","",IF(COUNTIFS('Dietary Filters'!$C$5:$C$104,B921)&gt;0,"Check","OK"))</f>
        <v>0</v>
      </c>
      <c r="AD921" s="25"/>
    </row>
    <row r="922" spans="1:30">
      <c r="A922" s="7"/>
      <c r="B922" s="7"/>
      <c r="C922" s="26"/>
      <c r="D922" s="27"/>
      <c r="E922" s="8">
        <f>IF(B922="","",IFERROR(INDEX(Ingredients!$B$5:$B$304,MATCH(B922,Ingredients!$A$5:$A$304,0)),""))</f>
        <v>0</v>
      </c>
      <c r="F922" s="8">
        <f>IF(B922="","",IFERROR(INDEX(Ingredients!$E$5:$E$304,MATCH(B922,Ingredients!$A$5:$A$304,0)),""))</f>
        <v>0</v>
      </c>
      <c r="G922" s="8">
        <f>IF(B922="","",IFERROR(INDEX(Ingredients!$D$5:$D$304,MATCH(B922,Ingredients!$A$5:$A$304,0)),""))</f>
        <v>0</v>
      </c>
      <c r="H922" s="8">
        <f>IF(OR(B922="",C922=""),"",IFERROR(C922*G922,""))</f>
        <v>0</v>
      </c>
      <c r="I922" s="8">
        <f>IF(A922="","",IFERROR(INDEX(Recipes!$D$5:$D$204,MATCH(A922,Recipes!$A$5:$A$204,0)),""))</f>
        <v>0</v>
      </c>
      <c r="J922" s="8">
        <f>IF(OR(H922="",I922="",I922=0),"",IFERROR(H922/I922,""))</f>
        <v>0</v>
      </c>
      <c r="K922" s="8">
        <f>IF(OR(B922="",C922=""),"",IFERROR(C922*IFERROR(INDEX(Ingredients!$H$5:$H$304,MATCH(B922,Ingredients!$A$5:$A$304,0)),""),""))</f>
        <v>0</v>
      </c>
      <c r="L922" s="8">
        <f>IF(OR(B922="",C922=""),"",IFERROR(C922*IFERROR(INDEX(Ingredients!$I$5:$I$304,MATCH(B922,Ingredients!$A$5:$A$304,0)),""),""))</f>
        <v>0</v>
      </c>
      <c r="M922" s="8">
        <f>IF(OR(B922="",C922=""),"",IFERROR(C922*IFERROR(INDEX(Ingredients!$J$5:$J$304,MATCH(B922,Ingredients!$A$5:$A$304,0)),""),""))</f>
        <v>0</v>
      </c>
      <c r="N922" s="8">
        <f>IF(OR(B922="",C922=""),"",IFERROR(C922*IFERROR(INDEX(Ingredients!$K$5:$K$304,MATCH(B922,Ingredients!$A$5:$A$304,0)),""),""))</f>
        <v>0</v>
      </c>
      <c r="O922" s="8">
        <f>IF(OR(B922="",C922=""),"",IFERROR(C922*IFERROR(INDEX(Ingredients!$L$5:$L$304,MATCH(B922,Ingredients!$A$5:$A$304,0)),""),""))</f>
        <v>0</v>
      </c>
      <c r="P922" s="8">
        <f>IF(OR(H922="",A922=""),"",IFERROR(H922/SUMIFS('Recipe Ingredients'!$H$5:$H$1204,'Recipe Ingredients'!$A$5:$A$1204,A922),""))</f>
        <v>0</v>
      </c>
      <c r="Q922" s="8">
        <f>IF(H922="","",COUNTIFS($H$5:$H$1204,"&gt;"&amp;H922)+1)</f>
        <v>0</v>
      </c>
      <c r="R922" s="8">
        <f>IF(B922="","",SUMIFS(Pantry!$C$5:$C$304,Pantry!$A$5:$A$304,B922))</f>
        <v>0</v>
      </c>
      <c r="S922" s="8">
        <f>IF(OR(B922="",C922=""),"",MAX(0,C922-R922))</f>
        <v>0</v>
      </c>
      <c r="T922" s="26"/>
      <c r="U922" s="8">
        <f>IF(OR(T922="",T922=0,G922=""),"",T922*G922)</f>
        <v>0</v>
      </c>
      <c r="V922" s="8">
        <f>IF(OR(S922="",T922="",T922=0),"",CEILING(S922/T922,1))</f>
        <v>0</v>
      </c>
      <c r="W922" s="27"/>
      <c r="X922" s="29"/>
      <c r="Y922" s="8">
        <f>IF(OR(C922="",X922=""),"",C922*(1+X922))</f>
        <v>0</v>
      </c>
      <c r="Z922" s="8">
        <f>IF(B922="","",IFERROR(INDEX(Ingredients!$O$5:$O$304,MATCH(B922,Ingredients!$A$5:$A$304,0)),""))</f>
        <v>0</v>
      </c>
      <c r="AA922" s="8">
        <f>IF(B922="","",IF(R922&gt;=C922,"In pantry","To buy"))</f>
        <v>0</v>
      </c>
      <c r="AB922" s="8">
        <f>IF(A922="","",COUNTIFS($A$5:A922,A922))</f>
        <v>0</v>
      </c>
      <c r="AC922" s="8">
        <f>IF(B922="","",IF(COUNTIFS('Dietary Filters'!$C$5:$C$104,B922)&gt;0,"Check","OK"))</f>
        <v>0</v>
      </c>
      <c r="AD922" s="25"/>
    </row>
    <row r="923" spans="1:30">
      <c r="A923" s="7"/>
      <c r="B923" s="7"/>
      <c r="C923" s="26"/>
      <c r="D923" s="27"/>
      <c r="E923" s="8">
        <f>IF(B923="","",IFERROR(INDEX(Ingredients!$B$5:$B$304,MATCH(B923,Ingredients!$A$5:$A$304,0)),""))</f>
        <v>0</v>
      </c>
      <c r="F923" s="8">
        <f>IF(B923="","",IFERROR(INDEX(Ingredients!$E$5:$E$304,MATCH(B923,Ingredients!$A$5:$A$304,0)),""))</f>
        <v>0</v>
      </c>
      <c r="G923" s="8">
        <f>IF(B923="","",IFERROR(INDEX(Ingredients!$D$5:$D$304,MATCH(B923,Ingredients!$A$5:$A$304,0)),""))</f>
        <v>0</v>
      </c>
      <c r="H923" s="8">
        <f>IF(OR(B923="",C923=""),"",IFERROR(C923*G923,""))</f>
        <v>0</v>
      </c>
      <c r="I923" s="8">
        <f>IF(A923="","",IFERROR(INDEX(Recipes!$D$5:$D$204,MATCH(A923,Recipes!$A$5:$A$204,0)),""))</f>
        <v>0</v>
      </c>
      <c r="J923" s="8">
        <f>IF(OR(H923="",I923="",I923=0),"",IFERROR(H923/I923,""))</f>
        <v>0</v>
      </c>
      <c r="K923" s="8">
        <f>IF(OR(B923="",C923=""),"",IFERROR(C923*IFERROR(INDEX(Ingredients!$H$5:$H$304,MATCH(B923,Ingredients!$A$5:$A$304,0)),""),""))</f>
        <v>0</v>
      </c>
      <c r="L923" s="8">
        <f>IF(OR(B923="",C923=""),"",IFERROR(C923*IFERROR(INDEX(Ingredients!$I$5:$I$304,MATCH(B923,Ingredients!$A$5:$A$304,0)),""),""))</f>
        <v>0</v>
      </c>
      <c r="M923" s="8">
        <f>IF(OR(B923="",C923=""),"",IFERROR(C923*IFERROR(INDEX(Ingredients!$J$5:$J$304,MATCH(B923,Ingredients!$A$5:$A$304,0)),""),""))</f>
        <v>0</v>
      </c>
      <c r="N923" s="8">
        <f>IF(OR(B923="",C923=""),"",IFERROR(C923*IFERROR(INDEX(Ingredients!$K$5:$K$304,MATCH(B923,Ingredients!$A$5:$A$304,0)),""),""))</f>
        <v>0</v>
      </c>
      <c r="O923" s="8">
        <f>IF(OR(B923="",C923=""),"",IFERROR(C923*IFERROR(INDEX(Ingredients!$L$5:$L$304,MATCH(B923,Ingredients!$A$5:$A$304,0)),""),""))</f>
        <v>0</v>
      </c>
      <c r="P923" s="8">
        <f>IF(OR(H923="",A923=""),"",IFERROR(H923/SUMIFS('Recipe Ingredients'!$H$5:$H$1204,'Recipe Ingredients'!$A$5:$A$1204,A923),""))</f>
        <v>0</v>
      </c>
      <c r="Q923" s="8">
        <f>IF(H923="","",COUNTIFS($H$5:$H$1204,"&gt;"&amp;H923)+1)</f>
        <v>0</v>
      </c>
      <c r="R923" s="8">
        <f>IF(B923="","",SUMIFS(Pantry!$C$5:$C$304,Pantry!$A$5:$A$304,B923))</f>
        <v>0</v>
      </c>
      <c r="S923" s="8">
        <f>IF(OR(B923="",C923=""),"",MAX(0,C923-R923))</f>
        <v>0</v>
      </c>
      <c r="T923" s="26"/>
      <c r="U923" s="8">
        <f>IF(OR(T923="",T923=0,G923=""),"",T923*G923)</f>
        <v>0</v>
      </c>
      <c r="V923" s="8">
        <f>IF(OR(S923="",T923="",T923=0),"",CEILING(S923/T923,1))</f>
        <v>0</v>
      </c>
      <c r="W923" s="27"/>
      <c r="X923" s="29"/>
      <c r="Y923" s="8">
        <f>IF(OR(C923="",X923=""),"",C923*(1+X923))</f>
        <v>0</v>
      </c>
      <c r="Z923" s="8">
        <f>IF(B923="","",IFERROR(INDEX(Ingredients!$O$5:$O$304,MATCH(B923,Ingredients!$A$5:$A$304,0)),""))</f>
        <v>0</v>
      </c>
      <c r="AA923" s="8">
        <f>IF(B923="","",IF(R923&gt;=C923,"In pantry","To buy"))</f>
        <v>0</v>
      </c>
      <c r="AB923" s="8">
        <f>IF(A923="","",COUNTIFS($A$5:A923,A923))</f>
        <v>0</v>
      </c>
      <c r="AC923" s="8">
        <f>IF(B923="","",IF(COUNTIFS('Dietary Filters'!$C$5:$C$104,B923)&gt;0,"Check","OK"))</f>
        <v>0</v>
      </c>
      <c r="AD923" s="25"/>
    </row>
    <row r="924" spans="1:30">
      <c r="A924" s="7"/>
      <c r="B924" s="7"/>
      <c r="C924" s="26"/>
      <c r="D924" s="27"/>
      <c r="E924" s="8">
        <f>IF(B924="","",IFERROR(INDEX(Ingredients!$B$5:$B$304,MATCH(B924,Ingredients!$A$5:$A$304,0)),""))</f>
        <v>0</v>
      </c>
      <c r="F924" s="8">
        <f>IF(B924="","",IFERROR(INDEX(Ingredients!$E$5:$E$304,MATCH(B924,Ingredients!$A$5:$A$304,0)),""))</f>
        <v>0</v>
      </c>
      <c r="G924" s="8">
        <f>IF(B924="","",IFERROR(INDEX(Ingredients!$D$5:$D$304,MATCH(B924,Ingredients!$A$5:$A$304,0)),""))</f>
        <v>0</v>
      </c>
      <c r="H924" s="8">
        <f>IF(OR(B924="",C924=""),"",IFERROR(C924*G924,""))</f>
        <v>0</v>
      </c>
      <c r="I924" s="8">
        <f>IF(A924="","",IFERROR(INDEX(Recipes!$D$5:$D$204,MATCH(A924,Recipes!$A$5:$A$204,0)),""))</f>
        <v>0</v>
      </c>
      <c r="J924" s="8">
        <f>IF(OR(H924="",I924="",I924=0),"",IFERROR(H924/I924,""))</f>
        <v>0</v>
      </c>
      <c r="K924" s="8">
        <f>IF(OR(B924="",C924=""),"",IFERROR(C924*IFERROR(INDEX(Ingredients!$H$5:$H$304,MATCH(B924,Ingredients!$A$5:$A$304,0)),""),""))</f>
        <v>0</v>
      </c>
      <c r="L924" s="8">
        <f>IF(OR(B924="",C924=""),"",IFERROR(C924*IFERROR(INDEX(Ingredients!$I$5:$I$304,MATCH(B924,Ingredients!$A$5:$A$304,0)),""),""))</f>
        <v>0</v>
      </c>
      <c r="M924" s="8">
        <f>IF(OR(B924="",C924=""),"",IFERROR(C924*IFERROR(INDEX(Ingredients!$J$5:$J$304,MATCH(B924,Ingredients!$A$5:$A$304,0)),""),""))</f>
        <v>0</v>
      </c>
      <c r="N924" s="8">
        <f>IF(OR(B924="",C924=""),"",IFERROR(C924*IFERROR(INDEX(Ingredients!$K$5:$K$304,MATCH(B924,Ingredients!$A$5:$A$304,0)),""),""))</f>
        <v>0</v>
      </c>
      <c r="O924" s="8">
        <f>IF(OR(B924="",C924=""),"",IFERROR(C924*IFERROR(INDEX(Ingredients!$L$5:$L$304,MATCH(B924,Ingredients!$A$5:$A$304,0)),""),""))</f>
        <v>0</v>
      </c>
      <c r="P924" s="8">
        <f>IF(OR(H924="",A924=""),"",IFERROR(H924/SUMIFS('Recipe Ingredients'!$H$5:$H$1204,'Recipe Ingredients'!$A$5:$A$1204,A924),""))</f>
        <v>0</v>
      </c>
      <c r="Q924" s="8">
        <f>IF(H924="","",COUNTIFS($H$5:$H$1204,"&gt;"&amp;H924)+1)</f>
        <v>0</v>
      </c>
      <c r="R924" s="8">
        <f>IF(B924="","",SUMIFS(Pantry!$C$5:$C$304,Pantry!$A$5:$A$304,B924))</f>
        <v>0</v>
      </c>
      <c r="S924" s="8">
        <f>IF(OR(B924="",C924=""),"",MAX(0,C924-R924))</f>
        <v>0</v>
      </c>
      <c r="T924" s="26"/>
      <c r="U924" s="8">
        <f>IF(OR(T924="",T924=0,G924=""),"",T924*G924)</f>
        <v>0</v>
      </c>
      <c r="V924" s="8">
        <f>IF(OR(S924="",T924="",T924=0),"",CEILING(S924/T924,1))</f>
        <v>0</v>
      </c>
      <c r="W924" s="27"/>
      <c r="X924" s="29"/>
      <c r="Y924" s="8">
        <f>IF(OR(C924="",X924=""),"",C924*(1+X924))</f>
        <v>0</v>
      </c>
      <c r="Z924" s="8">
        <f>IF(B924="","",IFERROR(INDEX(Ingredients!$O$5:$O$304,MATCH(B924,Ingredients!$A$5:$A$304,0)),""))</f>
        <v>0</v>
      </c>
      <c r="AA924" s="8">
        <f>IF(B924="","",IF(R924&gt;=C924,"In pantry","To buy"))</f>
        <v>0</v>
      </c>
      <c r="AB924" s="8">
        <f>IF(A924="","",COUNTIFS($A$5:A924,A924))</f>
        <v>0</v>
      </c>
      <c r="AC924" s="8">
        <f>IF(B924="","",IF(COUNTIFS('Dietary Filters'!$C$5:$C$104,B924)&gt;0,"Check","OK"))</f>
        <v>0</v>
      </c>
      <c r="AD924" s="25"/>
    </row>
    <row r="925" spans="1:30">
      <c r="A925" s="7"/>
      <c r="B925" s="7"/>
      <c r="C925" s="26"/>
      <c r="D925" s="27"/>
      <c r="E925" s="8">
        <f>IF(B925="","",IFERROR(INDEX(Ingredients!$B$5:$B$304,MATCH(B925,Ingredients!$A$5:$A$304,0)),""))</f>
        <v>0</v>
      </c>
      <c r="F925" s="8">
        <f>IF(B925="","",IFERROR(INDEX(Ingredients!$E$5:$E$304,MATCH(B925,Ingredients!$A$5:$A$304,0)),""))</f>
        <v>0</v>
      </c>
      <c r="G925" s="8">
        <f>IF(B925="","",IFERROR(INDEX(Ingredients!$D$5:$D$304,MATCH(B925,Ingredients!$A$5:$A$304,0)),""))</f>
        <v>0</v>
      </c>
      <c r="H925" s="8">
        <f>IF(OR(B925="",C925=""),"",IFERROR(C925*G925,""))</f>
        <v>0</v>
      </c>
      <c r="I925" s="8">
        <f>IF(A925="","",IFERROR(INDEX(Recipes!$D$5:$D$204,MATCH(A925,Recipes!$A$5:$A$204,0)),""))</f>
        <v>0</v>
      </c>
      <c r="J925" s="8">
        <f>IF(OR(H925="",I925="",I925=0),"",IFERROR(H925/I925,""))</f>
        <v>0</v>
      </c>
      <c r="K925" s="8">
        <f>IF(OR(B925="",C925=""),"",IFERROR(C925*IFERROR(INDEX(Ingredients!$H$5:$H$304,MATCH(B925,Ingredients!$A$5:$A$304,0)),""),""))</f>
        <v>0</v>
      </c>
      <c r="L925" s="8">
        <f>IF(OR(B925="",C925=""),"",IFERROR(C925*IFERROR(INDEX(Ingredients!$I$5:$I$304,MATCH(B925,Ingredients!$A$5:$A$304,0)),""),""))</f>
        <v>0</v>
      </c>
      <c r="M925" s="8">
        <f>IF(OR(B925="",C925=""),"",IFERROR(C925*IFERROR(INDEX(Ingredients!$J$5:$J$304,MATCH(B925,Ingredients!$A$5:$A$304,0)),""),""))</f>
        <v>0</v>
      </c>
      <c r="N925" s="8">
        <f>IF(OR(B925="",C925=""),"",IFERROR(C925*IFERROR(INDEX(Ingredients!$K$5:$K$304,MATCH(B925,Ingredients!$A$5:$A$304,0)),""),""))</f>
        <v>0</v>
      </c>
      <c r="O925" s="8">
        <f>IF(OR(B925="",C925=""),"",IFERROR(C925*IFERROR(INDEX(Ingredients!$L$5:$L$304,MATCH(B925,Ingredients!$A$5:$A$304,0)),""),""))</f>
        <v>0</v>
      </c>
      <c r="P925" s="8">
        <f>IF(OR(H925="",A925=""),"",IFERROR(H925/SUMIFS('Recipe Ingredients'!$H$5:$H$1204,'Recipe Ingredients'!$A$5:$A$1204,A925),""))</f>
        <v>0</v>
      </c>
      <c r="Q925" s="8">
        <f>IF(H925="","",COUNTIFS($H$5:$H$1204,"&gt;"&amp;H925)+1)</f>
        <v>0</v>
      </c>
      <c r="R925" s="8">
        <f>IF(B925="","",SUMIFS(Pantry!$C$5:$C$304,Pantry!$A$5:$A$304,B925))</f>
        <v>0</v>
      </c>
      <c r="S925" s="8">
        <f>IF(OR(B925="",C925=""),"",MAX(0,C925-R925))</f>
        <v>0</v>
      </c>
      <c r="T925" s="26"/>
      <c r="U925" s="8">
        <f>IF(OR(T925="",T925=0,G925=""),"",T925*G925)</f>
        <v>0</v>
      </c>
      <c r="V925" s="8">
        <f>IF(OR(S925="",T925="",T925=0),"",CEILING(S925/T925,1))</f>
        <v>0</v>
      </c>
      <c r="W925" s="27"/>
      <c r="X925" s="29"/>
      <c r="Y925" s="8">
        <f>IF(OR(C925="",X925=""),"",C925*(1+X925))</f>
        <v>0</v>
      </c>
      <c r="Z925" s="8">
        <f>IF(B925="","",IFERROR(INDEX(Ingredients!$O$5:$O$304,MATCH(B925,Ingredients!$A$5:$A$304,0)),""))</f>
        <v>0</v>
      </c>
      <c r="AA925" s="8">
        <f>IF(B925="","",IF(R925&gt;=C925,"In pantry","To buy"))</f>
        <v>0</v>
      </c>
      <c r="AB925" s="8">
        <f>IF(A925="","",COUNTIFS($A$5:A925,A925))</f>
        <v>0</v>
      </c>
      <c r="AC925" s="8">
        <f>IF(B925="","",IF(COUNTIFS('Dietary Filters'!$C$5:$C$104,B925)&gt;0,"Check","OK"))</f>
        <v>0</v>
      </c>
      <c r="AD925" s="25"/>
    </row>
    <row r="926" spans="1:30">
      <c r="A926" s="7"/>
      <c r="B926" s="7"/>
      <c r="C926" s="26"/>
      <c r="D926" s="27"/>
      <c r="E926" s="8">
        <f>IF(B926="","",IFERROR(INDEX(Ingredients!$B$5:$B$304,MATCH(B926,Ingredients!$A$5:$A$304,0)),""))</f>
        <v>0</v>
      </c>
      <c r="F926" s="8">
        <f>IF(B926="","",IFERROR(INDEX(Ingredients!$E$5:$E$304,MATCH(B926,Ingredients!$A$5:$A$304,0)),""))</f>
        <v>0</v>
      </c>
      <c r="G926" s="8">
        <f>IF(B926="","",IFERROR(INDEX(Ingredients!$D$5:$D$304,MATCH(B926,Ingredients!$A$5:$A$304,0)),""))</f>
        <v>0</v>
      </c>
      <c r="H926" s="8">
        <f>IF(OR(B926="",C926=""),"",IFERROR(C926*G926,""))</f>
        <v>0</v>
      </c>
      <c r="I926" s="8">
        <f>IF(A926="","",IFERROR(INDEX(Recipes!$D$5:$D$204,MATCH(A926,Recipes!$A$5:$A$204,0)),""))</f>
        <v>0</v>
      </c>
      <c r="J926" s="8">
        <f>IF(OR(H926="",I926="",I926=0),"",IFERROR(H926/I926,""))</f>
        <v>0</v>
      </c>
      <c r="K926" s="8">
        <f>IF(OR(B926="",C926=""),"",IFERROR(C926*IFERROR(INDEX(Ingredients!$H$5:$H$304,MATCH(B926,Ingredients!$A$5:$A$304,0)),""),""))</f>
        <v>0</v>
      </c>
      <c r="L926" s="8">
        <f>IF(OR(B926="",C926=""),"",IFERROR(C926*IFERROR(INDEX(Ingredients!$I$5:$I$304,MATCH(B926,Ingredients!$A$5:$A$304,0)),""),""))</f>
        <v>0</v>
      </c>
      <c r="M926" s="8">
        <f>IF(OR(B926="",C926=""),"",IFERROR(C926*IFERROR(INDEX(Ingredients!$J$5:$J$304,MATCH(B926,Ingredients!$A$5:$A$304,0)),""),""))</f>
        <v>0</v>
      </c>
      <c r="N926" s="8">
        <f>IF(OR(B926="",C926=""),"",IFERROR(C926*IFERROR(INDEX(Ingredients!$K$5:$K$304,MATCH(B926,Ingredients!$A$5:$A$304,0)),""),""))</f>
        <v>0</v>
      </c>
      <c r="O926" s="8">
        <f>IF(OR(B926="",C926=""),"",IFERROR(C926*IFERROR(INDEX(Ingredients!$L$5:$L$304,MATCH(B926,Ingredients!$A$5:$A$304,0)),""),""))</f>
        <v>0</v>
      </c>
      <c r="P926" s="8">
        <f>IF(OR(H926="",A926=""),"",IFERROR(H926/SUMIFS('Recipe Ingredients'!$H$5:$H$1204,'Recipe Ingredients'!$A$5:$A$1204,A926),""))</f>
        <v>0</v>
      </c>
      <c r="Q926" s="8">
        <f>IF(H926="","",COUNTIFS($H$5:$H$1204,"&gt;"&amp;H926)+1)</f>
        <v>0</v>
      </c>
      <c r="R926" s="8">
        <f>IF(B926="","",SUMIFS(Pantry!$C$5:$C$304,Pantry!$A$5:$A$304,B926))</f>
        <v>0</v>
      </c>
      <c r="S926" s="8">
        <f>IF(OR(B926="",C926=""),"",MAX(0,C926-R926))</f>
        <v>0</v>
      </c>
      <c r="T926" s="26"/>
      <c r="U926" s="8">
        <f>IF(OR(T926="",T926=0,G926=""),"",T926*G926)</f>
        <v>0</v>
      </c>
      <c r="V926" s="8">
        <f>IF(OR(S926="",T926="",T926=0),"",CEILING(S926/T926,1))</f>
        <v>0</v>
      </c>
      <c r="W926" s="27"/>
      <c r="X926" s="29"/>
      <c r="Y926" s="8">
        <f>IF(OR(C926="",X926=""),"",C926*(1+X926))</f>
        <v>0</v>
      </c>
      <c r="Z926" s="8">
        <f>IF(B926="","",IFERROR(INDEX(Ingredients!$O$5:$O$304,MATCH(B926,Ingredients!$A$5:$A$304,0)),""))</f>
        <v>0</v>
      </c>
      <c r="AA926" s="8">
        <f>IF(B926="","",IF(R926&gt;=C926,"In pantry","To buy"))</f>
        <v>0</v>
      </c>
      <c r="AB926" s="8">
        <f>IF(A926="","",COUNTIFS($A$5:A926,A926))</f>
        <v>0</v>
      </c>
      <c r="AC926" s="8">
        <f>IF(B926="","",IF(COUNTIFS('Dietary Filters'!$C$5:$C$104,B926)&gt;0,"Check","OK"))</f>
        <v>0</v>
      </c>
      <c r="AD926" s="25"/>
    </row>
    <row r="927" spans="1:30">
      <c r="A927" s="7"/>
      <c r="B927" s="7"/>
      <c r="C927" s="26"/>
      <c r="D927" s="27"/>
      <c r="E927" s="8">
        <f>IF(B927="","",IFERROR(INDEX(Ingredients!$B$5:$B$304,MATCH(B927,Ingredients!$A$5:$A$304,0)),""))</f>
        <v>0</v>
      </c>
      <c r="F927" s="8">
        <f>IF(B927="","",IFERROR(INDEX(Ingredients!$E$5:$E$304,MATCH(B927,Ingredients!$A$5:$A$304,0)),""))</f>
        <v>0</v>
      </c>
      <c r="G927" s="8">
        <f>IF(B927="","",IFERROR(INDEX(Ingredients!$D$5:$D$304,MATCH(B927,Ingredients!$A$5:$A$304,0)),""))</f>
        <v>0</v>
      </c>
      <c r="H927" s="8">
        <f>IF(OR(B927="",C927=""),"",IFERROR(C927*G927,""))</f>
        <v>0</v>
      </c>
      <c r="I927" s="8">
        <f>IF(A927="","",IFERROR(INDEX(Recipes!$D$5:$D$204,MATCH(A927,Recipes!$A$5:$A$204,0)),""))</f>
        <v>0</v>
      </c>
      <c r="J927" s="8">
        <f>IF(OR(H927="",I927="",I927=0),"",IFERROR(H927/I927,""))</f>
        <v>0</v>
      </c>
      <c r="K927" s="8">
        <f>IF(OR(B927="",C927=""),"",IFERROR(C927*IFERROR(INDEX(Ingredients!$H$5:$H$304,MATCH(B927,Ingredients!$A$5:$A$304,0)),""),""))</f>
        <v>0</v>
      </c>
      <c r="L927" s="8">
        <f>IF(OR(B927="",C927=""),"",IFERROR(C927*IFERROR(INDEX(Ingredients!$I$5:$I$304,MATCH(B927,Ingredients!$A$5:$A$304,0)),""),""))</f>
        <v>0</v>
      </c>
      <c r="M927" s="8">
        <f>IF(OR(B927="",C927=""),"",IFERROR(C927*IFERROR(INDEX(Ingredients!$J$5:$J$304,MATCH(B927,Ingredients!$A$5:$A$304,0)),""),""))</f>
        <v>0</v>
      </c>
      <c r="N927" s="8">
        <f>IF(OR(B927="",C927=""),"",IFERROR(C927*IFERROR(INDEX(Ingredients!$K$5:$K$304,MATCH(B927,Ingredients!$A$5:$A$304,0)),""),""))</f>
        <v>0</v>
      </c>
      <c r="O927" s="8">
        <f>IF(OR(B927="",C927=""),"",IFERROR(C927*IFERROR(INDEX(Ingredients!$L$5:$L$304,MATCH(B927,Ingredients!$A$5:$A$304,0)),""),""))</f>
        <v>0</v>
      </c>
      <c r="P927" s="8">
        <f>IF(OR(H927="",A927=""),"",IFERROR(H927/SUMIFS('Recipe Ingredients'!$H$5:$H$1204,'Recipe Ingredients'!$A$5:$A$1204,A927),""))</f>
        <v>0</v>
      </c>
      <c r="Q927" s="8">
        <f>IF(H927="","",COUNTIFS($H$5:$H$1204,"&gt;"&amp;H927)+1)</f>
        <v>0</v>
      </c>
      <c r="R927" s="8">
        <f>IF(B927="","",SUMIFS(Pantry!$C$5:$C$304,Pantry!$A$5:$A$304,B927))</f>
        <v>0</v>
      </c>
      <c r="S927" s="8">
        <f>IF(OR(B927="",C927=""),"",MAX(0,C927-R927))</f>
        <v>0</v>
      </c>
      <c r="T927" s="26"/>
      <c r="U927" s="8">
        <f>IF(OR(T927="",T927=0,G927=""),"",T927*G927)</f>
        <v>0</v>
      </c>
      <c r="V927" s="8">
        <f>IF(OR(S927="",T927="",T927=0),"",CEILING(S927/T927,1))</f>
        <v>0</v>
      </c>
      <c r="W927" s="27"/>
      <c r="X927" s="29"/>
      <c r="Y927" s="8">
        <f>IF(OR(C927="",X927=""),"",C927*(1+X927))</f>
        <v>0</v>
      </c>
      <c r="Z927" s="8">
        <f>IF(B927="","",IFERROR(INDEX(Ingredients!$O$5:$O$304,MATCH(B927,Ingredients!$A$5:$A$304,0)),""))</f>
        <v>0</v>
      </c>
      <c r="AA927" s="8">
        <f>IF(B927="","",IF(R927&gt;=C927,"In pantry","To buy"))</f>
        <v>0</v>
      </c>
      <c r="AB927" s="8">
        <f>IF(A927="","",COUNTIFS($A$5:A927,A927))</f>
        <v>0</v>
      </c>
      <c r="AC927" s="8">
        <f>IF(B927="","",IF(COUNTIFS('Dietary Filters'!$C$5:$C$104,B927)&gt;0,"Check","OK"))</f>
        <v>0</v>
      </c>
      <c r="AD927" s="25"/>
    </row>
    <row r="928" spans="1:30">
      <c r="A928" s="7"/>
      <c r="B928" s="7"/>
      <c r="C928" s="26"/>
      <c r="D928" s="27"/>
      <c r="E928" s="8">
        <f>IF(B928="","",IFERROR(INDEX(Ingredients!$B$5:$B$304,MATCH(B928,Ingredients!$A$5:$A$304,0)),""))</f>
        <v>0</v>
      </c>
      <c r="F928" s="8">
        <f>IF(B928="","",IFERROR(INDEX(Ingredients!$E$5:$E$304,MATCH(B928,Ingredients!$A$5:$A$304,0)),""))</f>
        <v>0</v>
      </c>
      <c r="G928" s="8">
        <f>IF(B928="","",IFERROR(INDEX(Ingredients!$D$5:$D$304,MATCH(B928,Ingredients!$A$5:$A$304,0)),""))</f>
        <v>0</v>
      </c>
      <c r="H928" s="8">
        <f>IF(OR(B928="",C928=""),"",IFERROR(C928*G928,""))</f>
        <v>0</v>
      </c>
      <c r="I928" s="8">
        <f>IF(A928="","",IFERROR(INDEX(Recipes!$D$5:$D$204,MATCH(A928,Recipes!$A$5:$A$204,0)),""))</f>
        <v>0</v>
      </c>
      <c r="J928" s="8">
        <f>IF(OR(H928="",I928="",I928=0),"",IFERROR(H928/I928,""))</f>
        <v>0</v>
      </c>
      <c r="K928" s="8">
        <f>IF(OR(B928="",C928=""),"",IFERROR(C928*IFERROR(INDEX(Ingredients!$H$5:$H$304,MATCH(B928,Ingredients!$A$5:$A$304,0)),""),""))</f>
        <v>0</v>
      </c>
      <c r="L928" s="8">
        <f>IF(OR(B928="",C928=""),"",IFERROR(C928*IFERROR(INDEX(Ingredients!$I$5:$I$304,MATCH(B928,Ingredients!$A$5:$A$304,0)),""),""))</f>
        <v>0</v>
      </c>
      <c r="M928" s="8">
        <f>IF(OR(B928="",C928=""),"",IFERROR(C928*IFERROR(INDEX(Ingredients!$J$5:$J$304,MATCH(B928,Ingredients!$A$5:$A$304,0)),""),""))</f>
        <v>0</v>
      </c>
      <c r="N928" s="8">
        <f>IF(OR(B928="",C928=""),"",IFERROR(C928*IFERROR(INDEX(Ingredients!$K$5:$K$304,MATCH(B928,Ingredients!$A$5:$A$304,0)),""),""))</f>
        <v>0</v>
      </c>
      <c r="O928" s="8">
        <f>IF(OR(B928="",C928=""),"",IFERROR(C928*IFERROR(INDEX(Ingredients!$L$5:$L$304,MATCH(B928,Ingredients!$A$5:$A$304,0)),""),""))</f>
        <v>0</v>
      </c>
      <c r="P928" s="8">
        <f>IF(OR(H928="",A928=""),"",IFERROR(H928/SUMIFS('Recipe Ingredients'!$H$5:$H$1204,'Recipe Ingredients'!$A$5:$A$1204,A928),""))</f>
        <v>0</v>
      </c>
      <c r="Q928" s="8">
        <f>IF(H928="","",COUNTIFS($H$5:$H$1204,"&gt;"&amp;H928)+1)</f>
        <v>0</v>
      </c>
      <c r="R928" s="8">
        <f>IF(B928="","",SUMIFS(Pantry!$C$5:$C$304,Pantry!$A$5:$A$304,B928))</f>
        <v>0</v>
      </c>
      <c r="S928" s="8">
        <f>IF(OR(B928="",C928=""),"",MAX(0,C928-R928))</f>
        <v>0</v>
      </c>
      <c r="T928" s="26"/>
      <c r="U928" s="8">
        <f>IF(OR(T928="",T928=0,G928=""),"",T928*G928)</f>
        <v>0</v>
      </c>
      <c r="V928" s="8">
        <f>IF(OR(S928="",T928="",T928=0),"",CEILING(S928/T928,1))</f>
        <v>0</v>
      </c>
      <c r="W928" s="27"/>
      <c r="X928" s="29"/>
      <c r="Y928" s="8">
        <f>IF(OR(C928="",X928=""),"",C928*(1+X928))</f>
        <v>0</v>
      </c>
      <c r="Z928" s="8">
        <f>IF(B928="","",IFERROR(INDEX(Ingredients!$O$5:$O$304,MATCH(B928,Ingredients!$A$5:$A$304,0)),""))</f>
        <v>0</v>
      </c>
      <c r="AA928" s="8">
        <f>IF(B928="","",IF(R928&gt;=C928,"In pantry","To buy"))</f>
        <v>0</v>
      </c>
      <c r="AB928" s="8">
        <f>IF(A928="","",COUNTIFS($A$5:A928,A928))</f>
        <v>0</v>
      </c>
      <c r="AC928" s="8">
        <f>IF(B928="","",IF(COUNTIFS('Dietary Filters'!$C$5:$C$104,B928)&gt;0,"Check","OK"))</f>
        <v>0</v>
      </c>
      <c r="AD928" s="25"/>
    </row>
    <row r="929" spans="1:30">
      <c r="A929" s="7"/>
      <c r="B929" s="7"/>
      <c r="C929" s="26"/>
      <c r="D929" s="27"/>
      <c r="E929" s="8">
        <f>IF(B929="","",IFERROR(INDEX(Ingredients!$B$5:$B$304,MATCH(B929,Ingredients!$A$5:$A$304,0)),""))</f>
        <v>0</v>
      </c>
      <c r="F929" s="8">
        <f>IF(B929="","",IFERROR(INDEX(Ingredients!$E$5:$E$304,MATCH(B929,Ingredients!$A$5:$A$304,0)),""))</f>
        <v>0</v>
      </c>
      <c r="G929" s="8">
        <f>IF(B929="","",IFERROR(INDEX(Ingredients!$D$5:$D$304,MATCH(B929,Ingredients!$A$5:$A$304,0)),""))</f>
        <v>0</v>
      </c>
      <c r="H929" s="8">
        <f>IF(OR(B929="",C929=""),"",IFERROR(C929*G929,""))</f>
        <v>0</v>
      </c>
      <c r="I929" s="8">
        <f>IF(A929="","",IFERROR(INDEX(Recipes!$D$5:$D$204,MATCH(A929,Recipes!$A$5:$A$204,0)),""))</f>
        <v>0</v>
      </c>
      <c r="J929" s="8">
        <f>IF(OR(H929="",I929="",I929=0),"",IFERROR(H929/I929,""))</f>
        <v>0</v>
      </c>
      <c r="K929" s="8">
        <f>IF(OR(B929="",C929=""),"",IFERROR(C929*IFERROR(INDEX(Ingredients!$H$5:$H$304,MATCH(B929,Ingredients!$A$5:$A$304,0)),""),""))</f>
        <v>0</v>
      </c>
      <c r="L929" s="8">
        <f>IF(OR(B929="",C929=""),"",IFERROR(C929*IFERROR(INDEX(Ingredients!$I$5:$I$304,MATCH(B929,Ingredients!$A$5:$A$304,0)),""),""))</f>
        <v>0</v>
      </c>
      <c r="M929" s="8">
        <f>IF(OR(B929="",C929=""),"",IFERROR(C929*IFERROR(INDEX(Ingredients!$J$5:$J$304,MATCH(B929,Ingredients!$A$5:$A$304,0)),""),""))</f>
        <v>0</v>
      </c>
      <c r="N929" s="8">
        <f>IF(OR(B929="",C929=""),"",IFERROR(C929*IFERROR(INDEX(Ingredients!$K$5:$K$304,MATCH(B929,Ingredients!$A$5:$A$304,0)),""),""))</f>
        <v>0</v>
      </c>
      <c r="O929" s="8">
        <f>IF(OR(B929="",C929=""),"",IFERROR(C929*IFERROR(INDEX(Ingredients!$L$5:$L$304,MATCH(B929,Ingredients!$A$5:$A$304,0)),""),""))</f>
        <v>0</v>
      </c>
      <c r="P929" s="8">
        <f>IF(OR(H929="",A929=""),"",IFERROR(H929/SUMIFS('Recipe Ingredients'!$H$5:$H$1204,'Recipe Ingredients'!$A$5:$A$1204,A929),""))</f>
        <v>0</v>
      </c>
      <c r="Q929" s="8">
        <f>IF(H929="","",COUNTIFS($H$5:$H$1204,"&gt;"&amp;H929)+1)</f>
        <v>0</v>
      </c>
      <c r="R929" s="8">
        <f>IF(B929="","",SUMIFS(Pantry!$C$5:$C$304,Pantry!$A$5:$A$304,B929))</f>
        <v>0</v>
      </c>
      <c r="S929" s="8">
        <f>IF(OR(B929="",C929=""),"",MAX(0,C929-R929))</f>
        <v>0</v>
      </c>
      <c r="T929" s="26"/>
      <c r="U929" s="8">
        <f>IF(OR(T929="",T929=0,G929=""),"",T929*G929)</f>
        <v>0</v>
      </c>
      <c r="V929" s="8">
        <f>IF(OR(S929="",T929="",T929=0),"",CEILING(S929/T929,1))</f>
        <v>0</v>
      </c>
      <c r="W929" s="27"/>
      <c r="X929" s="29"/>
      <c r="Y929" s="8">
        <f>IF(OR(C929="",X929=""),"",C929*(1+X929))</f>
        <v>0</v>
      </c>
      <c r="Z929" s="8">
        <f>IF(B929="","",IFERROR(INDEX(Ingredients!$O$5:$O$304,MATCH(B929,Ingredients!$A$5:$A$304,0)),""))</f>
        <v>0</v>
      </c>
      <c r="AA929" s="8">
        <f>IF(B929="","",IF(R929&gt;=C929,"In pantry","To buy"))</f>
        <v>0</v>
      </c>
      <c r="AB929" s="8">
        <f>IF(A929="","",COUNTIFS($A$5:A929,A929))</f>
        <v>0</v>
      </c>
      <c r="AC929" s="8">
        <f>IF(B929="","",IF(COUNTIFS('Dietary Filters'!$C$5:$C$104,B929)&gt;0,"Check","OK"))</f>
        <v>0</v>
      </c>
      <c r="AD929" s="25"/>
    </row>
    <row r="930" spans="1:30">
      <c r="A930" s="7"/>
      <c r="B930" s="7"/>
      <c r="C930" s="26"/>
      <c r="D930" s="27"/>
      <c r="E930" s="8">
        <f>IF(B930="","",IFERROR(INDEX(Ingredients!$B$5:$B$304,MATCH(B930,Ingredients!$A$5:$A$304,0)),""))</f>
        <v>0</v>
      </c>
      <c r="F930" s="8">
        <f>IF(B930="","",IFERROR(INDEX(Ingredients!$E$5:$E$304,MATCH(B930,Ingredients!$A$5:$A$304,0)),""))</f>
        <v>0</v>
      </c>
      <c r="G930" s="8">
        <f>IF(B930="","",IFERROR(INDEX(Ingredients!$D$5:$D$304,MATCH(B930,Ingredients!$A$5:$A$304,0)),""))</f>
        <v>0</v>
      </c>
      <c r="H930" s="8">
        <f>IF(OR(B930="",C930=""),"",IFERROR(C930*G930,""))</f>
        <v>0</v>
      </c>
      <c r="I930" s="8">
        <f>IF(A930="","",IFERROR(INDEX(Recipes!$D$5:$D$204,MATCH(A930,Recipes!$A$5:$A$204,0)),""))</f>
        <v>0</v>
      </c>
      <c r="J930" s="8">
        <f>IF(OR(H930="",I930="",I930=0),"",IFERROR(H930/I930,""))</f>
        <v>0</v>
      </c>
      <c r="K930" s="8">
        <f>IF(OR(B930="",C930=""),"",IFERROR(C930*IFERROR(INDEX(Ingredients!$H$5:$H$304,MATCH(B930,Ingredients!$A$5:$A$304,0)),""),""))</f>
        <v>0</v>
      </c>
      <c r="L930" s="8">
        <f>IF(OR(B930="",C930=""),"",IFERROR(C930*IFERROR(INDEX(Ingredients!$I$5:$I$304,MATCH(B930,Ingredients!$A$5:$A$304,0)),""),""))</f>
        <v>0</v>
      </c>
      <c r="M930" s="8">
        <f>IF(OR(B930="",C930=""),"",IFERROR(C930*IFERROR(INDEX(Ingredients!$J$5:$J$304,MATCH(B930,Ingredients!$A$5:$A$304,0)),""),""))</f>
        <v>0</v>
      </c>
      <c r="N930" s="8">
        <f>IF(OR(B930="",C930=""),"",IFERROR(C930*IFERROR(INDEX(Ingredients!$K$5:$K$304,MATCH(B930,Ingredients!$A$5:$A$304,0)),""),""))</f>
        <v>0</v>
      </c>
      <c r="O930" s="8">
        <f>IF(OR(B930="",C930=""),"",IFERROR(C930*IFERROR(INDEX(Ingredients!$L$5:$L$304,MATCH(B930,Ingredients!$A$5:$A$304,0)),""),""))</f>
        <v>0</v>
      </c>
      <c r="P930" s="8">
        <f>IF(OR(H930="",A930=""),"",IFERROR(H930/SUMIFS('Recipe Ingredients'!$H$5:$H$1204,'Recipe Ingredients'!$A$5:$A$1204,A930),""))</f>
        <v>0</v>
      </c>
      <c r="Q930" s="8">
        <f>IF(H930="","",COUNTIFS($H$5:$H$1204,"&gt;"&amp;H930)+1)</f>
        <v>0</v>
      </c>
      <c r="R930" s="8">
        <f>IF(B930="","",SUMIFS(Pantry!$C$5:$C$304,Pantry!$A$5:$A$304,B930))</f>
        <v>0</v>
      </c>
      <c r="S930" s="8">
        <f>IF(OR(B930="",C930=""),"",MAX(0,C930-R930))</f>
        <v>0</v>
      </c>
      <c r="T930" s="26"/>
      <c r="U930" s="8">
        <f>IF(OR(T930="",T930=0,G930=""),"",T930*G930)</f>
        <v>0</v>
      </c>
      <c r="V930" s="8">
        <f>IF(OR(S930="",T930="",T930=0),"",CEILING(S930/T930,1))</f>
        <v>0</v>
      </c>
      <c r="W930" s="27"/>
      <c r="X930" s="29"/>
      <c r="Y930" s="8">
        <f>IF(OR(C930="",X930=""),"",C930*(1+X930))</f>
        <v>0</v>
      </c>
      <c r="Z930" s="8">
        <f>IF(B930="","",IFERROR(INDEX(Ingredients!$O$5:$O$304,MATCH(B930,Ingredients!$A$5:$A$304,0)),""))</f>
        <v>0</v>
      </c>
      <c r="AA930" s="8">
        <f>IF(B930="","",IF(R930&gt;=C930,"In pantry","To buy"))</f>
        <v>0</v>
      </c>
      <c r="AB930" s="8">
        <f>IF(A930="","",COUNTIFS($A$5:A930,A930))</f>
        <v>0</v>
      </c>
      <c r="AC930" s="8">
        <f>IF(B930="","",IF(COUNTIFS('Dietary Filters'!$C$5:$C$104,B930)&gt;0,"Check","OK"))</f>
        <v>0</v>
      </c>
      <c r="AD930" s="25"/>
    </row>
    <row r="931" spans="1:30">
      <c r="A931" s="7"/>
      <c r="B931" s="7"/>
      <c r="C931" s="26"/>
      <c r="D931" s="27"/>
      <c r="E931" s="8">
        <f>IF(B931="","",IFERROR(INDEX(Ingredients!$B$5:$B$304,MATCH(B931,Ingredients!$A$5:$A$304,0)),""))</f>
        <v>0</v>
      </c>
      <c r="F931" s="8">
        <f>IF(B931="","",IFERROR(INDEX(Ingredients!$E$5:$E$304,MATCH(B931,Ingredients!$A$5:$A$304,0)),""))</f>
        <v>0</v>
      </c>
      <c r="G931" s="8">
        <f>IF(B931="","",IFERROR(INDEX(Ingredients!$D$5:$D$304,MATCH(B931,Ingredients!$A$5:$A$304,0)),""))</f>
        <v>0</v>
      </c>
      <c r="H931" s="8">
        <f>IF(OR(B931="",C931=""),"",IFERROR(C931*G931,""))</f>
        <v>0</v>
      </c>
      <c r="I931" s="8">
        <f>IF(A931="","",IFERROR(INDEX(Recipes!$D$5:$D$204,MATCH(A931,Recipes!$A$5:$A$204,0)),""))</f>
        <v>0</v>
      </c>
      <c r="J931" s="8">
        <f>IF(OR(H931="",I931="",I931=0),"",IFERROR(H931/I931,""))</f>
        <v>0</v>
      </c>
      <c r="K931" s="8">
        <f>IF(OR(B931="",C931=""),"",IFERROR(C931*IFERROR(INDEX(Ingredients!$H$5:$H$304,MATCH(B931,Ingredients!$A$5:$A$304,0)),""),""))</f>
        <v>0</v>
      </c>
      <c r="L931" s="8">
        <f>IF(OR(B931="",C931=""),"",IFERROR(C931*IFERROR(INDEX(Ingredients!$I$5:$I$304,MATCH(B931,Ingredients!$A$5:$A$304,0)),""),""))</f>
        <v>0</v>
      </c>
      <c r="M931" s="8">
        <f>IF(OR(B931="",C931=""),"",IFERROR(C931*IFERROR(INDEX(Ingredients!$J$5:$J$304,MATCH(B931,Ingredients!$A$5:$A$304,0)),""),""))</f>
        <v>0</v>
      </c>
      <c r="N931" s="8">
        <f>IF(OR(B931="",C931=""),"",IFERROR(C931*IFERROR(INDEX(Ingredients!$K$5:$K$304,MATCH(B931,Ingredients!$A$5:$A$304,0)),""),""))</f>
        <v>0</v>
      </c>
      <c r="O931" s="8">
        <f>IF(OR(B931="",C931=""),"",IFERROR(C931*IFERROR(INDEX(Ingredients!$L$5:$L$304,MATCH(B931,Ingredients!$A$5:$A$304,0)),""),""))</f>
        <v>0</v>
      </c>
      <c r="P931" s="8">
        <f>IF(OR(H931="",A931=""),"",IFERROR(H931/SUMIFS('Recipe Ingredients'!$H$5:$H$1204,'Recipe Ingredients'!$A$5:$A$1204,A931),""))</f>
        <v>0</v>
      </c>
      <c r="Q931" s="8">
        <f>IF(H931="","",COUNTIFS($H$5:$H$1204,"&gt;"&amp;H931)+1)</f>
        <v>0</v>
      </c>
      <c r="R931" s="8">
        <f>IF(B931="","",SUMIFS(Pantry!$C$5:$C$304,Pantry!$A$5:$A$304,B931))</f>
        <v>0</v>
      </c>
      <c r="S931" s="8">
        <f>IF(OR(B931="",C931=""),"",MAX(0,C931-R931))</f>
        <v>0</v>
      </c>
      <c r="T931" s="26"/>
      <c r="U931" s="8">
        <f>IF(OR(T931="",T931=0,G931=""),"",T931*G931)</f>
        <v>0</v>
      </c>
      <c r="V931" s="8">
        <f>IF(OR(S931="",T931="",T931=0),"",CEILING(S931/T931,1))</f>
        <v>0</v>
      </c>
      <c r="W931" s="27"/>
      <c r="X931" s="29"/>
      <c r="Y931" s="8">
        <f>IF(OR(C931="",X931=""),"",C931*(1+X931))</f>
        <v>0</v>
      </c>
      <c r="Z931" s="8">
        <f>IF(B931="","",IFERROR(INDEX(Ingredients!$O$5:$O$304,MATCH(B931,Ingredients!$A$5:$A$304,0)),""))</f>
        <v>0</v>
      </c>
      <c r="AA931" s="8">
        <f>IF(B931="","",IF(R931&gt;=C931,"In pantry","To buy"))</f>
        <v>0</v>
      </c>
      <c r="AB931" s="8">
        <f>IF(A931="","",COUNTIFS($A$5:A931,A931))</f>
        <v>0</v>
      </c>
      <c r="AC931" s="8">
        <f>IF(B931="","",IF(COUNTIFS('Dietary Filters'!$C$5:$C$104,B931)&gt;0,"Check","OK"))</f>
        <v>0</v>
      </c>
      <c r="AD931" s="25"/>
    </row>
    <row r="932" spans="1:30">
      <c r="A932" s="7"/>
      <c r="B932" s="7"/>
      <c r="C932" s="26"/>
      <c r="D932" s="27"/>
      <c r="E932" s="8">
        <f>IF(B932="","",IFERROR(INDEX(Ingredients!$B$5:$B$304,MATCH(B932,Ingredients!$A$5:$A$304,0)),""))</f>
        <v>0</v>
      </c>
      <c r="F932" s="8">
        <f>IF(B932="","",IFERROR(INDEX(Ingredients!$E$5:$E$304,MATCH(B932,Ingredients!$A$5:$A$304,0)),""))</f>
        <v>0</v>
      </c>
      <c r="G932" s="8">
        <f>IF(B932="","",IFERROR(INDEX(Ingredients!$D$5:$D$304,MATCH(B932,Ingredients!$A$5:$A$304,0)),""))</f>
        <v>0</v>
      </c>
      <c r="H932" s="8">
        <f>IF(OR(B932="",C932=""),"",IFERROR(C932*G932,""))</f>
        <v>0</v>
      </c>
      <c r="I932" s="8">
        <f>IF(A932="","",IFERROR(INDEX(Recipes!$D$5:$D$204,MATCH(A932,Recipes!$A$5:$A$204,0)),""))</f>
        <v>0</v>
      </c>
      <c r="J932" s="8">
        <f>IF(OR(H932="",I932="",I932=0),"",IFERROR(H932/I932,""))</f>
        <v>0</v>
      </c>
      <c r="K932" s="8">
        <f>IF(OR(B932="",C932=""),"",IFERROR(C932*IFERROR(INDEX(Ingredients!$H$5:$H$304,MATCH(B932,Ingredients!$A$5:$A$304,0)),""),""))</f>
        <v>0</v>
      </c>
      <c r="L932" s="8">
        <f>IF(OR(B932="",C932=""),"",IFERROR(C932*IFERROR(INDEX(Ingredients!$I$5:$I$304,MATCH(B932,Ingredients!$A$5:$A$304,0)),""),""))</f>
        <v>0</v>
      </c>
      <c r="M932" s="8">
        <f>IF(OR(B932="",C932=""),"",IFERROR(C932*IFERROR(INDEX(Ingredients!$J$5:$J$304,MATCH(B932,Ingredients!$A$5:$A$304,0)),""),""))</f>
        <v>0</v>
      </c>
      <c r="N932" s="8">
        <f>IF(OR(B932="",C932=""),"",IFERROR(C932*IFERROR(INDEX(Ingredients!$K$5:$K$304,MATCH(B932,Ingredients!$A$5:$A$304,0)),""),""))</f>
        <v>0</v>
      </c>
      <c r="O932" s="8">
        <f>IF(OR(B932="",C932=""),"",IFERROR(C932*IFERROR(INDEX(Ingredients!$L$5:$L$304,MATCH(B932,Ingredients!$A$5:$A$304,0)),""),""))</f>
        <v>0</v>
      </c>
      <c r="P932" s="8">
        <f>IF(OR(H932="",A932=""),"",IFERROR(H932/SUMIFS('Recipe Ingredients'!$H$5:$H$1204,'Recipe Ingredients'!$A$5:$A$1204,A932),""))</f>
        <v>0</v>
      </c>
      <c r="Q932" s="8">
        <f>IF(H932="","",COUNTIFS($H$5:$H$1204,"&gt;"&amp;H932)+1)</f>
        <v>0</v>
      </c>
      <c r="R932" s="8">
        <f>IF(B932="","",SUMIFS(Pantry!$C$5:$C$304,Pantry!$A$5:$A$304,B932))</f>
        <v>0</v>
      </c>
      <c r="S932" s="8">
        <f>IF(OR(B932="",C932=""),"",MAX(0,C932-R932))</f>
        <v>0</v>
      </c>
      <c r="T932" s="26"/>
      <c r="U932" s="8">
        <f>IF(OR(T932="",T932=0,G932=""),"",T932*G932)</f>
        <v>0</v>
      </c>
      <c r="V932" s="8">
        <f>IF(OR(S932="",T932="",T932=0),"",CEILING(S932/T932,1))</f>
        <v>0</v>
      </c>
      <c r="W932" s="27"/>
      <c r="X932" s="29"/>
      <c r="Y932" s="8">
        <f>IF(OR(C932="",X932=""),"",C932*(1+X932))</f>
        <v>0</v>
      </c>
      <c r="Z932" s="8">
        <f>IF(B932="","",IFERROR(INDEX(Ingredients!$O$5:$O$304,MATCH(B932,Ingredients!$A$5:$A$304,0)),""))</f>
        <v>0</v>
      </c>
      <c r="AA932" s="8">
        <f>IF(B932="","",IF(R932&gt;=C932,"In pantry","To buy"))</f>
        <v>0</v>
      </c>
      <c r="AB932" s="8">
        <f>IF(A932="","",COUNTIFS($A$5:A932,A932))</f>
        <v>0</v>
      </c>
      <c r="AC932" s="8">
        <f>IF(B932="","",IF(COUNTIFS('Dietary Filters'!$C$5:$C$104,B932)&gt;0,"Check","OK"))</f>
        <v>0</v>
      </c>
      <c r="AD932" s="25"/>
    </row>
    <row r="933" spans="1:30">
      <c r="A933" s="7"/>
      <c r="B933" s="7"/>
      <c r="C933" s="26"/>
      <c r="D933" s="27"/>
      <c r="E933" s="8">
        <f>IF(B933="","",IFERROR(INDEX(Ingredients!$B$5:$B$304,MATCH(B933,Ingredients!$A$5:$A$304,0)),""))</f>
        <v>0</v>
      </c>
      <c r="F933" s="8">
        <f>IF(B933="","",IFERROR(INDEX(Ingredients!$E$5:$E$304,MATCH(B933,Ingredients!$A$5:$A$304,0)),""))</f>
        <v>0</v>
      </c>
      <c r="G933" s="8">
        <f>IF(B933="","",IFERROR(INDEX(Ingredients!$D$5:$D$304,MATCH(B933,Ingredients!$A$5:$A$304,0)),""))</f>
        <v>0</v>
      </c>
      <c r="H933" s="8">
        <f>IF(OR(B933="",C933=""),"",IFERROR(C933*G933,""))</f>
        <v>0</v>
      </c>
      <c r="I933" s="8">
        <f>IF(A933="","",IFERROR(INDEX(Recipes!$D$5:$D$204,MATCH(A933,Recipes!$A$5:$A$204,0)),""))</f>
        <v>0</v>
      </c>
      <c r="J933" s="8">
        <f>IF(OR(H933="",I933="",I933=0),"",IFERROR(H933/I933,""))</f>
        <v>0</v>
      </c>
      <c r="K933" s="8">
        <f>IF(OR(B933="",C933=""),"",IFERROR(C933*IFERROR(INDEX(Ingredients!$H$5:$H$304,MATCH(B933,Ingredients!$A$5:$A$304,0)),""),""))</f>
        <v>0</v>
      </c>
      <c r="L933" s="8">
        <f>IF(OR(B933="",C933=""),"",IFERROR(C933*IFERROR(INDEX(Ingredients!$I$5:$I$304,MATCH(B933,Ingredients!$A$5:$A$304,0)),""),""))</f>
        <v>0</v>
      </c>
      <c r="M933" s="8">
        <f>IF(OR(B933="",C933=""),"",IFERROR(C933*IFERROR(INDEX(Ingredients!$J$5:$J$304,MATCH(B933,Ingredients!$A$5:$A$304,0)),""),""))</f>
        <v>0</v>
      </c>
      <c r="N933" s="8">
        <f>IF(OR(B933="",C933=""),"",IFERROR(C933*IFERROR(INDEX(Ingredients!$K$5:$K$304,MATCH(B933,Ingredients!$A$5:$A$304,0)),""),""))</f>
        <v>0</v>
      </c>
      <c r="O933" s="8">
        <f>IF(OR(B933="",C933=""),"",IFERROR(C933*IFERROR(INDEX(Ingredients!$L$5:$L$304,MATCH(B933,Ingredients!$A$5:$A$304,0)),""),""))</f>
        <v>0</v>
      </c>
      <c r="P933" s="8">
        <f>IF(OR(H933="",A933=""),"",IFERROR(H933/SUMIFS('Recipe Ingredients'!$H$5:$H$1204,'Recipe Ingredients'!$A$5:$A$1204,A933),""))</f>
        <v>0</v>
      </c>
      <c r="Q933" s="8">
        <f>IF(H933="","",COUNTIFS($H$5:$H$1204,"&gt;"&amp;H933)+1)</f>
        <v>0</v>
      </c>
      <c r="R933" s="8">
        <f>IF(B933="","",SUMIFS(Pantry!$C$5:$C$304,Pantry!$A$5:$A$304,B933))</f>
        <v>0</v>
      </c>
      <c r="S933" s="8">
        <f>IF(OR(B933="",C933=""),"",MAX(0,C933-R933))</f>
        <v>0</v>
      </c>
      <c r="T933" s="26"/>
      <c r="U933" s="8">
        <f>IF(OR(T933="",T933=0,G933=""),"",T933*G933)</f>
        <v>0</v>
      </c>
      <c r="V933" s="8">
        <f>IF(OR(S933="",T933="",T933=0),"",CEILING(S933/T933,1))</f>
        <v>0</v>
      </c>
      <c r="W933" s="27"/>
      <c r="X933" s="29"/>
      <c r="Y933" s="8">
        <f>IF(OR(C933="",X933=""),"",C933*(1+X933))</f>
        <v>0</v>
      </c>
      <c r="Z933" s="8">
        <f>IF(B933="","",IFERROR(INDEX(Ingredients!$O$5:$O$304,MATCH(B933,Ingredients!$A$5:$A$304,0)),""))</f>
        <v>0</v>
      </c>
      <c r="AA933" s="8">
        <f>IF(B933="","",IF(R933&gt;=C933,"In pantry","To buy"))</f>
        <v>0</v>
      </c>
      <c r="AB933" s="8">
        <f>IF(A933="","",COUNTIFS($A$5:A933,A933))</f>
        <v>0</v>
      </c>
      <c r="AC933" s="8">
        <f>IF(B933="","",IF(COUNTIFS('Dietary Filters'!$C$5:$C$104,B933)&gt;0,"Check","OK"))</f>
        <v>0</v>
      </c>
      <c r="AD933" s="25"/>
    </row>
    <row r="934" spans="1:30">
      <c r="A934" s="7"/>
      <c r="B934" s="7"/>
      <c r="C934" s="26"/>
      <c r="D934" s="27"/>
      <c r="E934" s="8">
        <f>IF(B934="","",IFERROR(INDEX(Ingredients!$B$5:$B$304,MATCH(B934,Ingredients!$A$5:$A$304,0)),""))</f>
        <v>0</v>
      </c>
      <c r="F934" s="8">
        <f>IF(B934="","",IFERROR(INDEX(Ingredients!$E$5:$E$304,MATCH(B934,Ingredients!$A$5:$A$304,0)),""))</f>
        <v>0</v>
      </c>
      <c r="G934" s="8">
        <f>IF(B934="","",IFERROR(INDEX(Ingredients!$D$5:$D$304,MATCH(B934,Ingredients!$A$5:$A$304,0)),""))</f>
        <v>0</v>
      </c>
      <c r="H934" s="8">
        <f>IF(OR(B934="",C934=""),"",IFERROR(C934*G934,""))</f>
        <v>0</v>
      </c>
      <c r="I934" s="8">
        <f>IF(A934="","",IFERROR(INDEX(Recipes!$D$5:$D$204,MATCH(A934,Recipes!$A$5:$A$204,0)),""))</f>
        <v>0</v>
      </c>
      <c r="J934" s="8">
        <f>IF(OR(H934="",I934="",I934=0),"",IFERROR(H934/I934,""))</f>
        <v>0</v>
      </c>
      <c r="K934" s="8">
        <f>IF(OR(B934="",C934=""),"",IFERROR(C934*IFERROR(INDEX(Ingredients!$H$5:$H$304,MATCH(B934,Ingredients!$A$5:$A$304,0)),""),""))</f>
        <v>0</v>
      </c>
      <c r="L934" s="8">
        <f>IF(OR(B934="",C934=""),"",IFERROR(C934*IFERROR(INDEX(Ingredients!$I$5:$I$304,MATCH(B934,Ingredients!$A$5:$A$304,0)),""),""))</f>
        <v>0</v>
      </c>
      <c r="M934" s="8">
        <f>IF(OR(B934="",C934=""),"",IFERROR(C934*IFERROR(INDEX(Ingredients!$J$5:$J$304,MATCH(B934,Ingredients!$A$5:$A$304,0)),""),""))</f>
        <v>0</v>
      </c>
      <c r="N934" s="8">
        <f>IF(OR(B934="",C934=""),"",IFERROR(C934*IFERROR(INDEX(Ingredients!$K$5:$K$304,MATCH(B934,Ingredients!$A$5:$A$304,0)),""),""))</f>
        <v>0</v>
      </c>
      <c r="O934" s="8">
        <f>IF(OR(B934="",C934=""),"",IFERROR(C934*IFERROR(INDEX(Ingredients!$L$5:$L$304,MATCH(B934,Ingredients!$A$5:$A$304,0)),""),""))</f>
        <v>0</v>
      </c>
      <c r="P934" s="8">
        <f>IF(OR(H934="",A934=""),"",IFERROR(H934/SUMIFS('Recipe Ingredients'!$H$5:$H$1204,'Recipe Ingredients'!$A$5:$A$1204,A934),""))</f>
        <v>0</v>
      </c>
      <c r="Q934" s="8">
        <f>IF(H934="","",COUNTIFS($H$5:$H$1204,"&gt;"&amp;H934)+1)</f>
        <v>0</v>
      </c>
      <c r="R934" s="8">
        <f>IF(B934="","",SUMIFS(Pantry!$C$5:$C$304,Pantry!$A$5:$A$304,B934))</f>
        <v>0</v>
      </c>
      <c r="S934" s="8">
        <f>IF(OR(B934="",C934=""),"",MAX(0,C934-R934))</f>
        <v>0</v>
      </c>
      <c r="T934" s="26"/>
      <c r="U934" s="8">
        <f>IF(OR(T934="",T934=0,G934=""),"",T934*G934)</f>
        <v>0</v>
      </c>
      <c r="V934" s="8">
        <f>IF(OR(S934="",T934="",T934=0),"",CEILING(S934/T934,1))</f>
        <v>0</v>
      </c>
      <c r="W934" s="27"/>
      <c r="X934" s="29"/>
      <c r="Y934" s="8">
        <f>IF(OR(C934="",X934=""),"",C934*(1+X934))</f>
        <v>0</v>
      </c>
      <c r="Z934" s="8">
        <f>IF(B934="","",IFERROR(INDEX(Ingredients!$O$5:$O$304,MATCH(B934,Ingredients!$A$5:$A$304,0)),""))</f>
        <v>0</v>
      </c>
      <c r="AA934" s="8">
        <f>IF(B934="","",IF(R934&gt;=C934,"In pantry","To buy"))</f>
        <v>0</v>
      </c>
      <c r="AB934" s="8">
        <f>IF(A934="","",COUNTIFS($A$5:A934,A934))</f>
        <v>0</v>
      </c>
      <c r="AC934" s="8">
        <f>IF(B934="","",IF(COUNTIFS('Dietary Filters'!$C$5:$C$104,B934)&gt;0,"Check","OK"))</f>
        <v>0</v>
      </c>
      <c r="AD934" s="25"/>
    </row>
    <row r="935" spans="1:30">
      <c r="A935" s="7"/>
      <c r="B935" s="7"/>
      <c r="C935" s="26"/>
      <c r="D935" s="27"/>
      <c r="E935" s="8">
        <f>IF(B935="","",IFERROR(INDEX(Ingredients!$B$5:$B$304,MATCH(B935,Ingredients!$A$5:$A$304,0)),""))</f>
        <v>0</v>
      </c>
      <c r="F935" s="8">
        <f>IF(B935="","",IFERROR(INDEX(Ingredients!$E$5:$E$304,MATCH(B935,Ingredients!$A$5:$A$304,0)),""))</f>
        <v>0</v>
      </c>
      <c r="G935" s="8">
        <f>IF(B935="","",IFERROR(INDEX(Ingredients!$D$5:$D$304,MATCH(B935,Ingredients!$A$5:$A$304,0)),""))</f>
        <v>0</v>
      </c>
      <c r="H935" s="8">
        <f>IF(OR(B935="",C935=""),"",IFERROR(C935*G935,""))</f>
        <v>0</v>
      </c>
      <c r="I935" s="8">
        <f>IF(A935="","",IFERROR(INDEX(Recipes!$D$5:$D$204,MATCH(A935,Recipes!$A$5:$A$204,0)),""))</f>
        <v>0</v>
      </c>
      <c r="J935" s="8">
        <f>IF(OR(H935="",I935="",I935=0),"",IFERROR(H935/I935,""))</f>
        <v>0</v>
      </c>
      <c r="K935" s="8">
        <f>IF(OR(B935="",C935=""),"",IFERROR(C935*IFERROR(INDEX(Ingredients!$H$5:$H$304,MATCH(B935,Ingredients!$A$5:$A$304,0)),""),""))</f>
        <v>0</v>
      </c>
      <c r="L935" s="8">
        <f>IF(OR(B935="",C935=""),"",IFERROR(C935*IFERROR(INDEX(Ingredients!$I$5:$I$304,MATCH(B935,Ingredients!$A$5:$A$304,0)),""),""))</f>
        <v>0</v>
      </c>
      <c r="M935" s="8">
        <f>IF(OR(B935="",C935=""),"",IFERROR(C935*IFERROR(INDEX(Ingredients!$J$5:$J$304,MATCH(B935,Ingredients!$A$5:$A$304,0)),""),""))</f>
        <v>0</v>
      </c>
      <c r="N935" s="8">
        <f>IF(OR(B935="",C935=""),"",IFERROR(C935*IFERROR(INDEX(Ingredients!$K$5:$K$304,MATCH(B935,Ingredients!$A$5:$A$304,0)),""),""))</f>
        <v>0</v>
      </c>
      <c r="O935" s="8">
        <f>IF(OR(B935="",C935=""),"",IFERROR(C935*IFERROR(INDEX(Ingredients!$L$5:$L$304,MATCH(B935,Ingredients!$A$5:$A$304,0)),""),""))</f>
        <v>0</v>
      </c>
      <c r="P935" s="8">
        <f>IF(OR(H935="",A935=""),"",IFERROR(H935/SUMIFS('Recipe Ingredients'!$H$5:$H$1204,'Recipe Ingredients'!$A$5:$A$1204,A935),""))</f>
        <v>0</v>
      </c>
      <c r="Q935" s="8">
        <f>IF(H935="","",COUNTIFS($H$5:$H$1204,"&gt;"&amp;H935)+1)</f>
        <v>0</v>
      </c>
      <c r="R935" s="8">
        <f>IF(B935="","",SUMIFS(Pantry!$C$5:$C$304,Pantry!$A$5:$A$304,B935))</f>
        <v>0</v>
      </c>
      <c r="S935" s="8">
        <f>IF(OR(B935="",C935=""),"",MAX(0,C935-R935))</f>
        <v>0</v>
      </c>
      <c r="T935" s="26"/>
      <c r="U935" s="8">
        <f>IF(OR(T935="",T935=0,G935=""),"",T935*G935)</f>
        <v>0</v>
      </c>
      <c r="V935" s="8">
        <f>IF(OR(S935="",T935="",T935=0),"",CEILING(S935/T935,1))</f>
        <v>0</v>
      </c>
      <c r="W935" s="27"/>
      <c r="X935" s="29"/>
      <c r="Y935" s="8">
        <f>IF(OR(C935="",X935=""),"",C935*(1+X935))</f>
        <v>0</v>
      </c>
      <c r="Z935" s="8">
        <f>IF(B935="","",IFERROR(INDEX(Ingredients!$O$5:$O$304,MATCH(B935,Ingredients!$A$5:$A$304,0)),""))</f>
        <v>0</v>
      </c>
      <c r="AA935" s="8">
        <f>IF(B935="","",IF(R935&gt;=C935,"In pantry","To buy"))</f>
        <v>0</v>
      </c>
      <c r="AB935" s="8">
        <f>IF(A935="","",COUNTIFS($A$5:A935,A935))</f>
        <v>0</v>
      </c>
      <c r="AC935" s="8">
        <f>IF(B935="","",IF(COUNTIFS('Dietary Filters'!$C$5:$C$104,B935)&gt;0,"Check","OK"))</f>
        <v>0</v>
      </c>
      <c r="AD935" s="25"/>
    </row>
    <row r="936" spans="1:30">
      <c r="A936" s="7"/>
      <c r="B936" s="7"/>
      <c r="C936" s="26"/>
      <c r="D936" s="27"/>
      <c r="E936" s="8">
        <f>IF(B936="","",IFERROR(INDEX(Ingredients!$B$5:$B$304,MATCH(B936,Ingredients!$A$5:$A$304,0)),""))</f>
        <v>0</v>
      </c>
      <c r="F936" s="8">
        <f>IF(B936="","",IFERROR(INDEX(Ingredients!$E$5:$E$304,MATCH(B936,Ingredients!$A$5:$A$304,0)),""))</f>
        <v>0</v>
      </c>
      <c r="G936" s="8">
        <f>IF(B936="","",IFERROR(INDEX(Ingredients!$D$5:$D$304,MATCH(B936,Ingredients!$A$5:$A$304,0)),""))</f>
        <v>0</v>
      </c>
      <c r="H936" s="8">
        <f>IF(OR(B936="",C936=""),"",IFERROR(C936*G936,""))</f>
        <v>0</v>
      </c>
      <c r="I936" s="8">
        <f>IF(A936="","",IFERROR(INDEX(Recipes!$D$5:$D$204,MATCH(A936,Recipes!$A$5:$A$204,0)),""))</f>
        <v>0</v>
      </c>
      <c r="J936" s="8">
        <f>IF(OR(H936="",I936="",I936=0),"",IFERROR(H936/I936,""))</f>
        <v>0</v>
      </c>
      <c r="K936" s="8">
        <f>IF(OR(B936="",C936=""),"",IFERROR(C936*IFERROR(INDEX(Ingredients!$H$5:$H$304,MATCH(B936,Ingredients!$A$5:$A$304,0)),""),""))</f>
        <v>0</v>
      </c>
      <c r="L936" s="8">
        <f>IF(OR(B936="",C936=""),"",IFERROR(C936*IFERROR(INDEX(Ingredients!$I$5:$I$304,MATCH(B936,Ingredients!$A$5:$A$304,0)),""),""))</f>
        <v>0</v>
      </c>
      <c r="M936" s="8">
        <f>IF(OR(B936="",C936=""),"",IFERROR(C936*IFERROR(INDEX(Ingredients!$J$5:$J$304,MATCH(B936,Ingredients!$A$5:$A$304,0)),""),""))</f>
        <v>0</v>
      </c>
      <c r="N936" s="8">
        <f>IF(OR(B936="",C936=""),"",IFERROR(C936*IFERROR(INDEX(Ingredients!$K$5:$K$304,MATCH(B936,Ingredients!$A$5:$A$304,0)),""),""))</f>
        <v>0</v>
      </c>
      <c r="O936" s="8">
        <f>IF(OR(B936="",C936=""),"",IFERROR(C936*IFERROR(INDEX(Ingredients!$L$5:$L$304,MATCH(B936,Ingredients!$A$5:$A$304,0)),""),""))</f>
        <v>0</v>
      </c>
      <c r="P936" s="8">
        <f>IF(OR(H936="",A936=""),"",IFERROR(H936/SUMIFS('Recipe Ingredients'!$H$5:$H$1204,'Recipe Ingredients'!$A$5:$A$1204,A936),""))</f>
        <v>0</v>
      </c>
      <c r="Q936" s="8">
        <f>IF(H936="","",COUNTIFS($H$5:$H$1204,"&gt;"&amp;H936)+1)</f>
        <v>0</v>
      </c>
      <c r="R936" s="8">
        <f>IF(B936="","",SUMIFS(Pantry!$C$5:$C$304,Pantry!$A$5:$A$304,B936))</f>
        <v>0</v>
      </c>
      <c r="S936" s="8">
        <f>IF(OR(B936="",C936=""),"",MAX(0,C936-R936))</f>
        <v>0</v>
      </c>
      <c r="T936" s="26"/>
      <c r="U936" s="8">
        <f>IF(OR(T936="",T936=0,G936=""),"",T936*G936)</f>
        <v>0</v>
      </c>
      <c r="V936" s="8">
        <f>IF(OR(S936="",T936="",T936=0),"",CEILING(S936/T936,1))</f>
        <v>0</v>
      </c>
      <c r="W936" s="27"/>
      <c r="X936" s="29"/>
      <c r="Y936" s="8">
        <f>IF(OR(C936="",X936=""),"",C936*(1+X936))</f>
        <v>0</v>
      </c>
      <c r="Z936" s="8">
        <f>IF(B936="","",IFERROR(INDEX(Ingredients!$O$5:$O$304,MATCH(B936,Ingredients!$A$5:$A$304,0)),""))</f>
        <v>0</v>
      </c>
      <c r="AA936" s="8">
        <f>IF(B936="","",IF(R936&gt;=C936,"In pantry","To buy"))</f>
        <v>0</v>
      </c>
      <c r="AB936" s="8">
        <f>IF(A936="","",COUNTIFS($A$5:A936,A936))</f>
        <v>0</v>
      </c>
      <c r="AC936" s="8">
        <f>IF(B936="","",IF(COUNTIFS('Dietary Filters'!$C$5:$C$104,B936)&gt;0,"Check","OK"))</f>
        <v>0</v>
      </c>
      <c r="AD936" s="25"/>
    </row>
    <row r="937" spans="1:30">
      <c r="A937" s="7"/>
      <c r="B937" s="7"/>
      <c r="C937" s="26"/>
      <c r="D937" s="27"/>
      <c r="E937" s="8">
        <f>IF(B937="","",IFERROR(INDEX(Ingredients!$B$5:$B$304,MATCH(B937,Ingredients!$A$5:$A$304,0)),""))</f>
        <v>0</v>
      </c>
      <c r="F937" s="8">
        <f>IF(B937="","",IFERROR(INDEX(Ingredients!$E$5:$E$304,MATCH(B937,Ingredients!$A$5:$A$304,0)),""))</f>
        <v>0</v>
      </c>
      <c r="G937" s="8">
        <f>IF(B937="","",IFERROR(INDEX(Ingredients!$D$5:$D$304,MATCH(B937,Ingredients!$A$5:$A$304,0)),""))</f>
        <v>0</v>
      </c>
      <c r="H937" s="8">
        <f>IF(OR(B937="",C937=""),"",IFERROR(C937*G937,""))</f>
        <v>0</v>
      </c>
      <c r="I937" s="8">
        <f>IF(A937="","",IFERROR(INDEX(Recipes!$D$5:$D$204,MATCH(A937,Recipes!$A$5:$A$204,0)),""))</f>
        <v>0</v>
      </c>
      <c r="J937" s="8">
        <f>IF(OR(H937="",I937="",I937=0),"",IFERROR(H937/I937,""))</f>
        <v>0</v>
      </c>
      <c r="K937" s="8">
        <f>IF(OR(B937="",C937=""),"",IFERROR(C937*IFERROR(INDEX(Ingredients!$H$5:$H$304,MATCH(B937,Ingredients!$A$5:$A$304,0)),""),""))</f>
        <v>0</v>
      </c>
      <c r="L937" s="8">
        <f>IF(OR(B937="",C937=""),"",IFERROR(C937*IFERROR(INDEX(Ingredients!$I$5:$I$304,MATCH(B937,Ingredients!$A$5:$A$304,0)),""),""))</f>
        <v>0</v>
      </c>
      <c r="M937" s="8">
        <f>IF(OR(B937="",C937=""),"",IFERROR(C937*IFERROR(INDEX(Ingredients!$J$5:$J$304,MATCH(B937,Ingredients!$A$5:$A$304,0)),""),""))</f>
        <v>0</v>
      </c>
      <c r="N937" s="8">
        <f>IF(OR(B937="",C937=""),"",IFERROR(C937*IFERROR(INDEX(Ingredients!$K$5:$K$304,MATCH(B937,Ingredients!$A$5:$A$304,0)),""),""))</f>
        <v>0</v>
      </c>
      <c r="O937" s="8">
        <f>IF(OR(B937="",C937=""),"",IFERROR(C937*IFERROR(INDEX(Ingredients!$L$5:$L$304,MATCH(B937,Ingredients!$A$5:$A$304,0)),""),""))</f>
        <v>0</v>
      </c>
      <c r="P937" s="8">
        <f>IF(OR(H937="",A937=""),"",IFERROR(H937/SUMIFS('Recipe Ingredients'!$H$5:$H$1204,'Recipe Ingredients'!$A$5:$A$1204,A937),""))</f>
        <v>0</v>
      </c>
      <c r="Q937" s="8">
        <f>IF(H937="","",COUNTIFS($H$5:$H$1204,"&gt;"&amp;H937)+1)</f>
        <v>0</v>
      </c>
      <c r="R937" s="8">
        <f>IF(B937="","",SUMIFS(Pantry!$C$5:$C$304,Pantry!$A$5:$A$304,B937))</f>
        <v>0</v>
      </c>
      <c r="S937" s="8">
        <f>IF(OR(B937="",C937=""),"",MAX(0,C937-R937))</f>
        <v>0</v>
      </c>
      <c r="T937" s="26"/>
      <c r="U937" s="8">
        <f>IF(OR(T937="",T937=0,G937=""),"",T937*G937)</f>
        <v>0</v>
      </c>
      <c r="V937" s="8">
        <f>IF(OR(S937="",T937="",T937=0),"",CEILING(S937/T937,1))</f>
        <v>0</v>
      </c>
      <c r="W937" s="27"/>
      <c r="X937" s="29"/>
      <c r="Y937" s="8">
        <f>IF(OR(C937="",X937=""),"",C937*(1+X937))</f>
        <v>0</v>
      </c>
      <c r="Z937" s="8">
        <f>IF(B937="","",IFERROR(INDEX(Ingredients!$O$5:$O$304,MATCH(B937,Ingredients!$A$5:$A$304,0)),""))</f>
        <v>0</v>
      </c>
      <c r="AA937" s="8">
        <f>IF(B937="","",IF(R937&gt;=C937,"In pantry","To buy"))</f>
        <v>0</v>
      </c>
      <c r="AB937" s="8">
        <f>IF(A937="","",COUNTIFS($A$5:A937,A937))</f>
        <v>0</v>
      </c>
      <c r="AC937" s="8">
        <f>IF(B937="","",IF(COUNTIFS('Dietary Filters'!$C$5:$C$104,B937)&gt;0,"Check","OK"))</f>
        <v>0</v>
      </c>
      <c r="AD937" s="25"/>
    </row>
    <row r="938" spans="1:30">
      <c r="A938" s="7"/>
      <c r="B938" s="7"/>
      <c r="C938" s="26"/>
      <c r="D938" s="27"/>
      <c r="E938" s="8">
        <f>IF(B938="","",IFERROR(INDEX(Ingredients!$B$5:$B$304,MATCH(B938,Ingredients!$A$5:$A$304,0)),""))</f>
        <v>0</v>
      </c>
      <c r="F938" s="8">
        <f>IF(B938="","",IFERROR(INDEX(Ingredients!$E$5:$E$304,MATCH(B938,Ingredients!$A$5:$A$304,0)),""))</f>
        <v>0</v>
      </c>
      <c r="G938" s="8">
        <f>IF(B938="","",IFERROR(INDEX(Ingredients!$D$5:$D$304,MATCH(B938,Ingredients!$A$5:$A$304,0)),""))</f>
        <v>0</v>
      </c>
      <c r="H938" s="8">
        <f>IF(OR(B938="",C938=""),"",IFERROR(C938*G938,""))</f>
        <v>0</v>
      </c>
      <c r="I938" s="8">
        <f>IF(A938="","",IFERROR(INDEX(Recipes!$D$5:$D$204,MATCH(A938,Recipes!$A$5:$A$204,0)),""))</f>
        <v>0</v>
      </c>
      <c r="J938" s="8">
        <f>IF(OR(H938="",I938="",I938=0),"",IFERROR(H938/I938,""))</f>
        <v>0</v>
      </c>
      <c r="K938" s="8">
        <f>IF(OR(B938="",C938=""),"",IFERROR(C938*IFERROR(INDEX(Ingredients!$H$5:$H$304,MATCH(B938,Ingredients!$A$5:$A$304,0)),""),""))</f>
        <v>0</v>
      </c>
      <c r="L938" s="8">
        <f>IF(OR(B938="",C938=""),"",IFERROR(C938*IFERROR(INDEX(Ingredients!$I$5:$I$304,MATCH(B938,Ingredients!$A$5:$A$304,0)),""),""))</f>
        <v>0</v>
      </c>
      <c r="M938" s="8">
        <f>IF(OR(B938="",C938=""),"",IFERROR(C938*IFERROR(INDEX(Ingredients!$J$5:$J$304,MATCH(B938,Ingredients!$A$5:$A$304,0)),""),""))</f>
        <v>0</v>
      </c>
      <c r="N938" s="8">
        <f>IF(OR(B938="",C938=""),"",IFERROR(C938*IFERROR(INDEX(Ingredients!$K$5:$K$304,MATCH(B938,Ingredients!$A$5:$A$304,0)),""),""))</f>
        <v>0</v>
      </c>
      <c r="O938" s="8">
        <f>IF(OR(B938="",C938=""),"",IFERROR(C938*IFERROR(INDEX(Ingredients!$L$5:$L$304,MATCH(B938,Ingredients!$A$5:$A$304,0)),""),""))</f>
        <v>0</v>
      </c>
      <c r="P938" s="8">
        <f>IF(OR(H938="",A938=""),"",IFERROR(H938/SUMIFS('Recipe Ingredients'!$H$5:$H$1204,'Recipe Ingredients'!$A$5:$A$1204,A938),""))</f>
        <v>0</v>
      </c>
      <c r="Q938" s="8">
        <f>IF(H938="","",COUNTIFS($H$5:$H$1204,"&gt;"&amp;H938)+1)</f>
        <v>0</v>
      </c>
      <c r="R938" s="8">
        <f>IF(B938="","",SUMIFS(Pantry!$C$5:$C$304,Pantry!$A$5:$A$304,B938))</f>
        <v>0</v>
      </c>
      <c r="S938" s="8">
        <f>IF(OR(B938="",C938=""),"",MAX(0,C938-R938))</f>
        <v>0</v>
      </c>
      <c r="T938" s="26"/>
      <c r="U938" s="8">
        <f>IF(OR(T938="",T938=0,G938=""),"",T938*G938)</f>
        <v>0</v>
      </c>
      <c r="V938" s="8">
        <f>IF(OR(S938="",T938="",T938=0),"",CEILING(S938/T938,1))</f>
        <v>0</v>
      </c>
      <c r="W938" s="27"/>
      <c r="X938" s="29"/>
      <c r="Y938" s="8">
        <f>IF(OR(C938="",X938=""),"",C938*(1+X938))</f>
        <v>0</v>
      </c>
      <c r="Z938" s="8">
        <f>IF(B938="","",IFERROR(INDEX(Ingredients!$O$5:$O$304,MATCH(B938,Ingredients!$A$5:$A$304,0)),""))</f>
        <v>0</v>
      </c>
      <c r="AA938" s="8">
        <f>IF(B938="","",IF(R938&gt;=C938,"In pantry","To buy"))</f>
        <v>0</v>
      </c>
      <c r="AB938" s="8">
        <f>IF(A938="","",COUNTIFS($A$5:A938,A938))</f>
        <v>0</v>
      </c>
      <c r="AC938" s="8">
        <f>IF(B938="","",IF(COUNTIFS('Dietary Filters'!$C$5:$C$104,B938)&gt;0,"Check","OK"))</f>
        <v>0</v>
      </c>
      <c r="AD938" s="25"/>
    </row>
    <row r="939" spans="1:30">
      <c r="A939" s="7"/>
      <c r="B939" s="7"/>
      <c r="C939" s="26"/>
      <c r="D939" s="27"/>
      <c r="E939" s="8">
        <f>IF(B939="","",IFERROR(INDEX(Ingredients!$B$5:$B$304,MATCH(B939,Ingredients!$A$5:$A$304,0)),""))</f>
        <v>0</v>
      </c>
      <c r="F939" s="8">
        <f>IF(B939="","",IFERROR(INDEX(Ingredients!$E$5:$E$304,MATCH(B939,Ingredients!$A$5:$A$304,0)),""))</f>
        <v>0</v>
      </c>
      <c r="G939" s="8">
        <f>IF(B939="","",IFERROR(INDEX(Ingredients!$D$5:$D$304,MATCH(B939,Ingredients!$A$5:$A$304,0)),""))</f>
        <v>0</v>
      </c>
      <c r="H939" s="8">
        <f>IF(OR(B939="",C939=""),"",IFERROR(C939*G939,""))</f>
        <v>0</v>
      </c>
      <c r="I939" s="8">
        <f>IF(A939="","",IFERROR(INDEX(Recipes!$D$5:$D$204,MATCH(A939,Recipes!$A$5:$A$204,0)),""))</f>
        <v>0</v>
      </c>
      <c r="J939" s="8">
        <f>IF(OR(H939="",I939="",I939=0),"",IFERROR(H939/I939,""))</f>
        <v>0</v>
      </c>
      <c r="K939" s="8">
        <f>IF(OR(B939="",C939=""),"",IFERROR(C939*IFERROR(INDEX(Ingredients!$H$5:$H$304,MATCH(B939,Ingredients!$A$5:$A$304,0)),""),""))</f>
        <v>0</v>
      </c>
      <c r="L939" s="8">
        <f>IF(OR(B939="",C939=""),"",IFERROR(C939*IFERROR(INDEX(Ingredients!$I$5:$I$304,MATCH(B939,Ingredients!$A$5:$A$304,0)),""),""))</f>
        <v>0</v>
      </c>
      <c r="M939" s="8">
        <f>IF(OR(B939="",C939=""),"",IFERROR(C939*IFERROR(INDEX(Ingredients!$J$5:$J$304,MATCH(B939,Ingredients!$A$5:$A$304,0)),""),""))</f>
        <v>0</v>
      </c>
      <c r="N939" s="8">
        <f>IF(OR(B939="",C939=""),"",IFERROR(C939*IFERROR(INDEX(Ingredients!$K$5:$K$304,MATCH(B939,Ingredients!$A$5:$A$304,0)),""),""))</f>
        <v>0</v>
      </c>
      <c r="O939" s="8">
        <f>IF(OR(B939="",C939=""),"",IFERROR(C939*IFERROR(INDEX(Ingredients!$L$5:$L$304,MATCH(B939,Ingredients!$A$5:$A$304,0)),""),""))</f>
        <v>0</v>
      </c>
      <c r="P939" s="8">
        <f>IF(OR(H939="",A939=""),"",IFERROR(H939/SUMIFS('Recipe Ingredients'!$H$5:$H$1204,'Recipe Ingredients'!$A$5:$A$1204,A939),""))</f>
        <v>0</v>
      </c>
      <c r="Q939" s="8">
        <f>IF(H939="","",COUNTIFS($H$5:$H$1204,"&gt;"&amp;H939)+1)</f>
        <v>0</v>
      </c>
      <c r="R939" s="8">
        <f>IF(B939="","",SUMIFS(Pantry!$C$5:$C$304,Pantry!$A$5:$A$304,B939))</f>
        <v>0</v>
      </c>
      <c r="S939" s="8">
        <f>IF(OR(B939="",C939=""),"",MAX(0,C939-R939))</f>
        <v>0</v>
      </c>
      <c r="T939" s="26"/>
      <c r="U939" s="8">
        <f>IF(OR(T939="",T939=0,G939=""),"",T939*G939)</f>
        <v>0</v>
      </c>
      <c r="V939" s="8">
        <f>IF(OR(S939="",T939="",T939=0),"",CEILING(S939/T939,1))</f>
        <v>0</v>
      </c>
      <c r="W939" s="27"/>
      <c r="X939" s="29"/>
      <c r="Y939" s="8">
        <f>IF(OR(C939="",X939=""),"",C939*(1+X939))</f>
        <v>0</v>
      </c>
      <c r="Z939" s="8">
        <f>IF(B939="","",IFERROR(INDEX(Ingredients!$O$5:$O$304,MATCH(B939,Ingredients!$A$5:$A$304,0)),""))</f>
        <v>0</v>
      </c>
      <c r="AA939" s="8">
        <f>IF(B939="","",IF(R939&gt;=C939,"In pantry","To buy"))</f>
        <v>0</v>
      </c>
      <c r="AB939" s="8">
        <f>IF(A939="","",COUNTIFS($A$5:A939,A939))</f>
        <v>0</v>
      </c>
      <c r="AC939" s="8">
        <f>IF(B939="","",IF(COUNTIFS('Dietary Filters'!$C$5:$C$104,B939)&gt;0,"Check","OK"))</f>
        <v>0</v>
      </c>
      <c r="AD939" s="25"/>
    </row>
    <row r="940" spans="1:30">
      <c r="A940" s="7"/>
      <c r="B940" s="7"/>
      <c r="C940" s="26"/>
      <c r="D940" s="27"/>
      <c r="E940" s="8">
        <f>IF(B940="","",IFERROR(INDEX(Ingredients!$B$5:$B$304,MATCH(B940,Ingredients!$A$5:$A$304,0)),""))</f>
        <v>0</v>
      </c>
      <c r="F940" s="8">
        <f>IF(B940="","",IFERROR(INDEX(Ingredients!$E$5:$E$304,MATCH(B940,Ingredients!$A$5:$A$304,0)),""))</f>
        <v>0</v>
      </c>
      <c r="G940" s="8">
        <f>IF(B940="","",IFERROR(INDEX(Ingredients!$D$5:$D$304,MATCH(B940,Ingredients!$A$5:$A$304,0)),""))</f>
        <v>0</v>
      </c>
      <c r="H940" s="8">
        <f>IF(OR(B940="",C940=""),"",IFERROR(C940*G940,""))</f>
        <v>0</v>
      </c>
      <c r="I940" s="8">
        <f>IF(A940="","",IFERROR(INDEX(Recipes!$D$5:$D$204,MATCH(A940,Recipes!$A$5:$A$204,0)),""))</f>
        <v>0</v>
      </c>
      <c r="J940" s="8">
        <f>IF(OR(H940="",I940="",I940=0),"",IFERROR(H940/I940,""))</f>
        <v>0</v>
      </c>
      <c r="K940" s="8">
        <f>IF(OR(B940="",C940=""),"",IFERROR(C940*IFERROR(INDEX(Ingredients!$H$5:$H$304,MATCH(B940,Ingredients!$A$5:$A$304,0)),""),""))</f>
        <v>0</v>
      </c>
      <c r="L940" s="8">
        <f>IF(OR(B940="",C940=""),"",IFERROR(C940*IFERROR(INDEX(Ingredients!$I$5:$I$304,MATCH(B940,Ingredients!$A$5:$A$304,0)),""),""))</f>
        <v>0</v>
      </c>
      <c r="M940" s="8">
        <f>IF(OR(B940="",C940=""),"",IFERROR(C940*IFERROR(INDEX(Ingredients!$J$5:$J$304,MATCH(B940,Ingredients!$A$5:$A$304,0)),""),""))</f>
        <v>0</v>
      </c>
      <c r="N940" s="8">
        <f>IF(OR(B940="",C940=""),"",IFERROR(C940*IFERROR(INDEX(Ingredients!$K$5:$K$304,MATCH(B940,Ingredients!$A$5:$A$304,0)),""),""))</f>
        <v>0</v>
      </c>
      <c r="O940" s="8">
        <f>IF(OR(B940="",C940=""),"",IFERROR(C940*IFERROR(INDEX(Ingredients!$L$5:$L$304,MATCH(B940,Ingredients!$A$5:$A$304,0)),""),""))</f>
        <v>0</v>
      </c>
      <c r="P940" s="8">
        <f>IF(OR(H940="",A940=""),"",IFERROR(H940/SUMIFS('Recipe Ingredients'!$H$5:$H$1204,'Recipe Ingredients'!$A$5:$A$1204,A940),""))</f>
        <v>0</v>
      </c>
      <c r="Q940" s="8">
        <f>IF(H940="","",COUNTIFS($H$5:$H$1204,"&gt;"&amp;H940)+1)</f>
        <v>0</v>
      </c>
      <c r="R940" s="8">
        <f>IF(B940="","",SUMIFS(Pantry!$C$5:$C$304,Pantry!$A$5:$A$304,B940))</f>
        <v>0</v>
      </c>
      <c r="S940" s="8">
        <f>IF(OR(B940="",C940=""),"",MAX(0,C940-R940))</f>
        <v>0</v>
      </c>
      <c r="T940" s="26"/>
      <c r="U940" s="8">
        <f>IF(OR(T940="",T940=0,G940=""),"",T940*G940)</f>
        <v>0</v>
      </c>
      <c r="V940" s="8">
        <f>IF(OR(S940="",T940="",T940=0),"",CEILING(S940/T940,1))</f>
        <v>0</v>
      </c>
      <c r="W940" s="27"/>
      <c r="X940" s="29"/>
      <c r="Y940" s="8">
        <f>IF(OR(C940="",X940=""),"",C940*(1+X940))</f>
        <v>0</v>
      </c>
      <c r="Z940" s="8">
        <f>IF(B940="","",IFERROR(INDEX(Ingredients!$O$5:$O$304,MATCH(B940,Ingredients!$A$5:$A$304,0)),""))</f>
        <v>0</v>
      </c>
      <c r="AA940" s="8">
        <f>IF(B940="","",IF(R940&gt;=C940,"In pantry","To buy"))</f>
        <v>0</v>
      </c>
      <c r="AB940" s="8">
        <f>IF(A940="","",COUNTIFS($A$5:A940,A940))</f>
        <v>0</v>
      </c>
      <c r="AC940" s="8">
        <f>IF(B940="","",IF(COUNTIFS('Dietary Filters'!$C$5:$C$104,B940)&gt;0,"Check","OK"))</f>
        <v>0</v>
      </c>
      <c r="AD940" s="25"/>
    </row>
    <row r="941" spans="1:30">
      <c r="A941" s="7"/>
      <c r="B941" s="7"/>
      <c r="C941" s="26"/>
      <c r="D941" s="27"/>
      <c r="E941" s="8">
        <f>IF(B941="","",IFERROR(INDEX(Ingredients!$B$5:$B$304,MATCH(B941,Ingredients!$A$5:$A$304,0)),""))</f>
        <v>0</v>
      </c>
      <c r="F941" s="8">
        <f>IF(B941="","",IFERROR(INDEX(Ingredients!$E$5:$E$304,MATCH(B941,Ingredients!$A$5:$A$304,0)),""))</f>
        <v>0</v>
      </c>
      <c r="G941" s="8">
        <f>IF(B941="","",IFERROR(INDEX(Ingredients!$D$5:$D$304,MATCH(B941,Ingredients!$A$5:$A$304,0)),""))</f>
        <v>0</v>
      </c>
      <c r="H941" s="8">
        <f>IF(OR(B941="",C941=""),"",IFERROR(C941*G941,""))</f>
        <v>0</v>
      </c>
      <c r="I941" s="8">
        <f>IF(A941="","",IFERROR(INDEX(Recipes!$D$5:$D$204,MATCH(A941,Recipes!$A$5:$A$204,0)),""))</f>
        <v>0</v>
      </c>
      <c r="J941" s="8">
        <f>IF(OR(H941="",I941="",I941=0),"",IFERROR(H941/I941,""))</f>
        <v>0</v>
      </c>
      <c r="K941" s="8">
        <f>IF(OR(B941="",C941=""),"",IFERROR(C941*IFERROR(INDEX(Ingredients!$H$5:$H$304,MATCH(B941,Ingredients!$A$5:$A$304,0)),""),""))</f>
        <v>0</v>
      </c>
      <c r="L941" s="8">
        <f>IF(OR(B941="",C941=""),"",IFERROR(C941*IFERROR(INDEX(Ingredients!$I$5:$I$304,MATCH(B941,Ingredients!$A$5:$A$304,0)),""),""))</f>
        <v>0</v>
      </c>
      <c r="M941" s="8">
        <f>IF(OR(B941="",C941=""),"",IFERROR(C941*IFERROR(INDEX(Ingredients!$J$5:$J$304,MATCH(B941,Ingredients!$A$5:$A$304,0)),""),""))</f>
        <v>0</v>
      </c>
      <c r="N941" s="8">
        <f>IF(OR(B941="",C941=""),"",IFERROR(C941*IFERROR(INDEX(Ingredients!$K$5:$K$304,MATCH(B941,Ingredients!$A$5:$A$304,0)),""),""))</f>
        <v>0</v>
      </c>
      <c r="O941" s="8">
        <f>IF(OR(B941="",C941=""),"",IFERROR(C941*IFERROR(INDEX(Ingredients!$L$5:$L$304,MATCH(B941,Ingredients!$A$5:$A$304,0)),""),""))</f>
        <v>0</v>
      </c>
      <c r="P941" s="8">
        <f>IF(OR(H941="",A941=""),"",IFERROR(H941/SUMIFS('Recipe Ingredients'!$H$5:$H$1204,'Recipe Ingredients'!$A$5:$A$1204,A941),""))</f>
        <v>0</v>
      </c>
      <c r="Q941" s="8">
        <f>IF(H941="","",COUNTIFS($H$5:$H$1204,"&gt;"&amp;H941)+1)</f>
        <v>0</v>
      </c>
      <c r="R941" s="8">
        <f>IF(B941="","",SUMIFS(Pantry!$C$5:$C$304,Pantry!$A$5:$A$304,B941))</f>
        <v>0</v>
      </c>
      <c r="S941" s="8">
        <f>IF(OR(B941="",C941=""),"",MAX(0,C941-R941))</f>
        <v>0</v>
      </c>
      <c r="T941" s="26"/>
      <c r="U941" s="8">
        <f>IF(OR(T941="",T941=0,G941=""),"",T941*G941)</f>
        <v>0</v>
      </c>
      <c r="V941" s="8">
        <f>IF(OR(S941="",T941="",T941=0),"",CEILING(S941/T941,1))</f>
        <v>0</v>
      </c>
      <c r="W941" s="27"/>
      <c r="X941" s="29"/>
      <c r="Y941" s="8">
        <f>IF(OR(C941="",X941=""),"",C941*(1+X941))</f>
        <v>0</v>
      </c>
      <c r="Z941" s="8">
        <f>IF(B941="","",IFERROR(INDEX(Ingredients!$O$5:$O$304,MATCH(B941,Ingredients!$A$5:$A$304,0)),""))</f>
        <v>0</v>
      </c>
      <c r="AA941" s="8">
        <f>IF(B941="","",IF(R941&gt;=C941,"In pantry","To buy"))</f>
        <v>0</v>
      </c>
      <c r="AB941" s="8">
        <f>IF(A941="","",COUNTIFS($A$5:A941,A941))</f>
        <v>0</v>
      </c>
      <c r="AC941" s="8">
        <f>IF(B941="","",IF(COUNTIFS('Dietary Filters'!$C$5:$C$104,B941)&gt;0,"Check","OK"))</f>
        <v>0</v>
      </c>
      <c r="AD941" s="25"/>
    </row>
    <row r="942" spans="1:30">
      <c r="A942" s="7"/>
      <c r="B942" s="7"/>
      <c r="C942" s="26"/>
      <c r="D942" s="27"/>
      <c r="E942" s="8">
        <f>IF(B942="","",IFERROR(INDEX(Ingredients!$B$5:$B$304,MATCH(B942,Ingredients!$A$5:$A$304,0)),""))</f>
        <v>0</v>
      </c>
      <c r="F942" s="8">
        <f>IF(B942="","",IFERROR(INDEX(Ingredients!$E$5:$E$304,MATCH(B942,Ingredients!$A$5:$A$304,0)),""))</f>
        <v>0</v>
      </c>
      <c r="G942" s="8">
        <f>IF(B942="","",IFERROR(INDEX(Ingredients!$D$5:$D$304,MATCH(B942,Ingredients!$A$5:$A$304,0)),""))</f>
        <v>0</v>
      </c>
      <c r="H942" s="8">
        <f>IF(OR(B942="",C942=""),"",IFERROR(C942*G942,""))</f>
        <v>0</v>
      </c>
      <c r="I942" s="8">
        <f>IF(A942="","",IFERROR(INDEX(Recipes!$D$5:$D$204,MATCH(A942,Recipes!$A$5:$A$204,0)),""))</f>
        <v>0</v>
      </c>
      <c r="J942" s="8">
        <f>IF(OR(H942="",I942="",I942=0),"",IFERROR(H942/I942,""))</f>
        <v>0</v>
      </c>
      <c r="K942" s="8">
        <f>IF(OR(B942="",C942=""),"",IFERROR(C942*IFERROR(INDEX(Ingredients!$H$5:$H$304,MATCH(B942,Ingredients!$A$5:$A$304,0)),""),""))</f>
        <v>0</v>
      </c>
      <c r="L942" s="8">
        <f>IF(OR(B942="",C942=""),"",IFERROR(C942*IFERROR(INDEX(Ingredients!$I$5:$I$304,MATCH(B942,Ingredients!$A$5:$A$304,0)),""),""))</f>
        <v>0</v>
      </c>
      <c r="M942" s="8">
        <f>IF(OR(B942="",C942=""),"",IFERROR(C942*IFERROR(INDEX(Ingredients!$J$5:$J$304,MATCH(B942,Ingredients!$A$5:$A$304,0)),""),""))</f>
        <v>0</v>
      </c>
      <c r="N942" s="8">
        <f>IF(OR(B942="",C942=""),"",IFERROR(C942*IFERROR(INDEX(Ingredients!$K$5:$K$304,MATCH(B942,Ingredients!$A$5:$A$304,0)),""),""))</f>
        <v>0</v>
      </c>
      <c r="O942" s="8">
        <f>IF(OR(B942="",C942=""),"",IFERROR(C942*IFERROR(INDEX(Ingredients!$L$5:$L$304,MATCH(B942,Ingredients!$A$5:$A$304,0)),""),""))</f>
        <v>0</v>
      </c>
      <c r="P942" s="8">
        <f>IF(OR(H942="",A942=""),"",IFERROR(H942/SUMIFS('Recipe Ingredients'!$H$5:$H$1204,'Recipe Ingredients'!$A$5:$A$1204,A942),""))</f>
        <v>0</v>
      </c>
      <c r="Q942" s="8">
        <f>IF(H942="","",COUNTIFS($H$5:$H$1204,"&gt;"&amp;H942)+1)</f>
        <v>0</v>
      </c>
      <c r="R942" s="8">
        <f>IF(B942="","",SUMIFS(Pantry!$C$5:$C$304,Pantry!$A$5:$A$304,B942))</f>
        <v>0</v>
      </c>
      <c r="S942" s="8">
        <f>IF(OR(B942="",C942=""),"",MAX(0,C942-R942))</f>
        <v>0</v>
      </c>
      <c r="T942" s="26"/>
      <c r="U942" s="8">
        <f>IF(OR(T942="",T942=0,G942=""),"",T942*G942)</f>
        <v>0</v>
      </c>
      <c r="V942" s="8">
        <f>IF(OR(S942="",T942="",T942=0),"",CEILING(S942/T942,1))</f>
        <v>0</v>
      </c>
      <c r="W942" s="27"/>
      <c r="X942" s="29"/>
      <c r="Y942" s="8">
        <f>IF(OR(C942="",X942=""),"",C942*(1+X942))</f>
        <v>0</v>
      </c>
      <c r="Z942" s="8">
        <f>IF(B942="","",IFERROR(INDEX(Ingredients!$O$5:$O$304,MATCH(B942,Ingredients!$A$5:$A$304,0)),""))</f>
        <v>0</v>
      </c>
      <c r="AA942" s="8">
        <f>IF(B942="","",IF(R942&gt;=C942,"In pantry","To buy"))</f>
        <v>0</v>
      </c>
      <c r="AB942" s="8">
        <f>IF(A942="","",COUNTIFS($A$5:A942,A942))</f>
        <v>0</v>
      </c>
      <c r="AC942" s="8">
        <f>IF(B942="","",IF(COUNTIFS('Dietary Filters'!$C$5:$C$104,B942)&gt;0,"Check","OK"))</f>
        <v>0</v>
      </c>
      <c r="AD942" s="25"/>
    </row>
    <row r="943" spans="1:30">
      <c r="A943" s="7"/>
      <c r="B943" s="7"/>
      <c r="C943" s="26"/>
      <c r="D943" s="27"/>
      <c r="E943" s="8">
        <f>IF(B943="","",IFERROR(INDEX(Ingredients!$B$5:$B$304,MATCH(B943,Ingredients!$A$5:$A$304,0)),""))</f>
        <v>0</v>
      </c>
      <c r="F943" s="8">
        <f>IF(B943="","",IFERROR(INDEX(Ingredients!$E$5:$E$304,MATCH(B943,Ingredients!$A$5:$A$304,0)),""))</f>
        <v>0</v>
      </c>
      <c r="G943" s="8">
        <f>IF(B943="","",IFERROR(INDEX(Ingredients!$D$5:$D$304,MATCH(B943,Ingredients!$A$5:$A$304,0)),""))</f>
        <v>0</v>
      </c>
      <c r="H943" s="8">
        <f>IF(OR(B943="",C943=""),"",IFERROR(C943*G943,""))</f>
        <v>0</v>
      </c>
      <c r="I943" s="8">
        <f>IF(A943="","",IFERROR(INDEX(Recipes!$D$5:$D$204,MATCH(A943,Recipes!$A$5:$A$204,0)),""))</f>
        <v>0</v>
      </c>
      <c r="J943" s="8">
        <f>IF(OR(H943="",I943="",I943=0),"",IFERROR(H943/I943,""))</f>
        <v>0</v>
      </c>
      <c r="K943" s="8">
        <f>IF(OR(B943="",C943=""),"",IFERROR(C943*IFERROR(INDEX(Ingredients!$H$5:$H$304,MATCH(B943,Ingredients!$A$5:$A$304,0)),""),""))</f>
        <v>0</v>
      </c>
      <c r="L943" s="8">
        <f>IF(OR(B943="",C943=""),"",IFERROR(C943*IFERROR(INDEX(Ingredients!$I$5:$I$304,MATCH(B943,Ingredients!$A$5:$A$304,0)),""),""))</f>
        <v>0</v>
      </c>
      <c r="M943" s="8">
        <f>IF(OR(B943="",C943=""),"",IFERROR(C943*IFERROR(INDEX(Ingredients!$J$5:$J$304,MATCH(B943,Ingredients!$A$5:$A$304,0)),""),""))</f>
        <v>0</v>
      </c>
      <c r="N943" s="8">
        <f>IF(OR(B943="",C943=""),"",IFERROR(C943*IFERROR(INDEX(Ingredients!$K$5:$K$304,MATCH(B943,Ingredients!$A$5:$A$304,0)),""),""))</f>
        <v>0</v>
      </c>
      <c r="O943" s="8">
        <f>IF(OR(B943="",C943=""),"",IFERROR(C943*IFERROR(INDEX(Ingredients!$L$5:$L$304,MATCH(B943,Ingredients!$A$5:$A$304,0)),""),""))</f>
        <v>0</v>
      </c>
      <c r="P943" s="8">
        <f>IF(OR(H943="",A943=""),"",IFERROR(H943/SUMIFS('Recipe Ingredients'!$H$5:$H$1204,'Recipe Ingredients'!$A$5:$A$1204,A943),""))</f>
        <v>0</v>
      </c>
      <c r="Q943" s="8">
        <f>IF(H943="","",COUNTIFS($H$5:$H$1204,"&gt;"&amp;H943)+1)</f>
        <v>0</v>
      </c>
      <c r="R943" s="8">
        <f>IF(B943="","",SUMIFS(Pantry!$C$5:$C$304,Pantry!$A$5:$A$304,B943))</f>
        <v>0</v>
      </c>
      <c r="S943" s="8">
        <f>IF(OR(B943="",C943=""),"",MAX(0,C943-R943))</f>
        <v>0</v>
      </c>
      <c r="T943" s="26"/>
      <c r="U943" s="8">
        <f>IF(OR(T943="",T943=0,G943=""),"",T943*G943)</f>
        <v>0</v>
      </c>
      <c r="V943" s="8">
        <f>IF(OR(S943="",T943="",T943=0),"",CEILING(S943/T943,1))</f>
        <v>0</v>
      </c>
      <c r="W943" s="27"/>
      <c r="X943" s="29"/>
      <c r="Y943" s="8">
        <f>IF(OR(C943="",X943=""),"",C943*(1+X943))</f>
        <v>0</v>
      </c>
      <c r="Z943" s="8">
        <f>IF(B943="","",IFERROR(INDEX(Ingredients!$O$5:$O$304,MATCH(B943,Ingredients!$A$5:$A$304,0)),""))</f>
        <v>0</v>
      </c>
      <c r="AA943" s="8">
        <f>IF(B943="","",IF(R943&gt;=C943,"In pantry","To buy"))</f>
        <v>0</v>
      </c>
      <c r="AB943" s="8">
        <f>IF(A943="","",COUNTIFS($A$5:A943,A943))</f>
        <v>0</v>
      </c>
      <c r="AC943" s="8">
        <f>IF(B943="","",IF(COUNTIFS('Dietary Filters'!$C$5:$C$104,B943)&gt;0,"Check","OK"))</f>
        <v>0</v>
      </c>
      <c r="AD943" s="25"/>
    </row>
    <row r="944" spans="1:30">
      <c r="A944" s="7"/>
      <c r="B944" s="7"/>
      <c r="C944" s="26"/>
      <c r="D944" s="27"/>
      <c r="E944" s="8">
        <f>IF(B944="","",IFERROR(INDEX(Ingredients!$B$5:$B$304,MATCH(B944,Ingredients!$A$5:$A$304,0)),""))</f>
        <v>0</v>
      </c>
      <c r="F944" s="8">
        <f>IF(B944="","",IFERROR(INDEX(Ingredients!$E$5:$E$304,MATCH(B944,Ingredients!$A$5:$A$304,0)),""))</f>
        <v>0</v>
      </c>
      <c r="G944" s="8">
        <f>IF(B944="","",IFERROR(INDEX(Ingredients!$D$5:$D$304,MATCH(B944,Ingredients!$A$5:$A$304,0)),""))</f>
        <v>0</v>
      </c>
      <c r="H944" s="8">
        <f>IF(OR(B944="",C944=""),"",IFERROR(C944*G944,""))</f>
        <v>0</v>
      </c>
      <c r="I944" s="8">
        <f>IF(A944="","",IFERROR(INDEX(Recipes!$D$5:$D$204,MATCH(A944,Recipes!$A$5:$A$204,0)),""))</f>
        <v>0</v>
      </c>
      <c r="J944" s="8">
        <f>IF(OR(H944="",I944="",I944=0),"",IFERROR(H944/I944,""))</f>
        <v>0</v>
      </c>
      <c r="K944" s="8">
        <f>IF(OR(B944="",C944=""),"",IFERROR(C944*IFERROR(INDEX(Ingredients!$H$5:$H$304,MATCH(B944,Ingredients!$A$5:$A$304,0)),""),""))</f>
        <v>0</v>
      </c>
      <c r="L944" s="8">
        <f>IF(OR(B944="",C944=""),"",IFERROR(C944*IFERROR(INDEX(Ingredients!$I$5:$I$304,MATCH(B944,Ingredients!$A$5:$A$304,0)),""),""))</f>
        <v>0</v>
      </c>
      <c r="M944" s="8">
        <f>IF(OR(B944="",C944=""),"",IFERROR(C944*IFERROR(INDEX(Ingredients!$J$5:$J$304,MATCH(B944,Ingredients!$A$5:$A$304,0)),""),""))</f>
        <v>0</v>
      </c>
      <c r="N944" s="8">
        <f>IF(OR(B944="",C944=""),"",IFERROR(C944*IFERROR(INDEX(Ingredients!$K$5:$K$304,MATCH(B944,Ingredients!$A$5:$A$304,0)),""),""))</f>
        <v>0</v>
      </c>
      <c r="O944" s="8">
        <f>IF(OR(B944="",C944=""),"",IFERROR(C944*IFERROR(INDEX(Ingredients!$L$5:$L$304,MATCH(B944,Ingredients!$A$5:$A$304,0)),""),""))</f>
        <v>0</v>
      </c>
      <c r="P944" s="8">
        <f>IF(OR(H944="",A944=""),"",IFERROR(H944/SUMIFS('Recipe Ingredients'!$H$5:$H$1204,'Recipe Ingredients'!$A$5:$A$1204,A944),""))</f>
        <v>0</v>
      </c>
      <c r="Q944" s="8">
        <f>IF(H944="","",COUNTIFS($H$5:$H$1204,"&gt;"&amp;H944)+1)</f>
        <v>0</v>
      </c>
      <c r="R944" s="8">
        <f>IF(B944="","",SUMIFS(Pantry!$C$5:$C$304,Pantry!$A$5:$A$304,B944))</f>
        <v>0</v>
      </c>
      <c r="S944" s="8">
        <f>IF(OR(B944="",C944=""),"",MAX(0,C944-R944))</f>
        <v>0</v>
      </c>
      <c r="T944" s="26"/>
      <c r="U944" s="8">
        <f>IF(OR(T944="",T944=0,G944=""),"",T944*G944)</f>
        <v>0</v>
      </c>
      <c r="V944" s="8">
        <f>IF(OR(S944="",T944="",T944=0),"",CEILING(S944/T944,1))</f>
        <v>0</v>
      </c>
      <c r="W944" s="27"/>
      <c r="X944" s="29"/>
      <c r="Y944" s="8">
        <f>IF(OR(C944="",X944=""),"",C944*(1+X944))</f>
        <v>0</v>
      </c>
      <c r="Z944" s="8">
        <f>IF(B944="","",IFERROR(INDEX(Ingredients!$O$5:$O$304,MATCH(B944,Ingredients!$A$5:$A$304,0)),""))</f>
        <v>0</v>
      </c>
      <c r="AA944" s="8">
        <f>IF(B944="","",IF(R944&gt;=C944,"In pantry","To buy"))</f>
        <v>0</v>
      </c>
      <c r="AB944" s="8">
        <f>IF(A944="","",COUNTIFS($A$5:A944,A944))</f>
        <v>0</v>
      </c>
      <c r="AC944" s="8">
        <f>IF(B944="","",IF(COUNTIFS('Dietary Filters'!$C$5:$C$104,B944)&gt;0,"Check","OK"))</f>
        <v>0</v>
      </c>
      <c r="AD944" s="25"/>
    </row>
    <row r="945" spans="1:30">
      <c r="A945" s="7"/>
      <c r="B945" s="7"/>
      <c r="C945" s="26"/>
      <c r="D945" s="27"/>
      <c r="E945" s="8">
        <f>IF(B945="","",IFERROR(INDEX(Ingredients!$B$5:$B$304,MATCH(B945,Ingredients!$A$5:$A$304,0)),""))</f>
        <v>0</v>
      </c>
      <c r="F945" s="8">
        <f>IF(B945="","",IFERROR(INDEX(Ingredients!$E$5:$E$304,MATCH(B945,Ingredients!$A$5:$A$304,0)),""))</f>
        <v>0</v>
      </c>
      <c r="G945" s="8">
        <f>IF(B945="","",IFERROR(INDEX(Ingredients!$D$5:$D$304,MATCH(B945,Ingredients!$A$5:$A$304,0)),""))</f>
        <v>0</v>
      </c>
      <c r="H945" s="8">
        <f>IF(OR(B945="",C945=""),"",IFERROR(C945*G945,""))</f>
        <v>0</v>
      </c>
      <c r="I945" s="8">
        <f>IF(A945="","",IFERROR(INDEX(Recipes!$D$5:$D$204,MATCH(A945,Recipes!$A$5:$A$204,0)),""))</f>
        <v>0</v>
      </c>
      <c r="J945" s="8">
        <f>IF(OR(H945="",I945="",I945=0),"",IFERROR(H945/I945,""))</f>
        <v>0</v>
      </c>
      <c r="K945" s="8">
        <f>IF(OR(B945="",C945=""),"",IFERROR(C945*IFERROR(INDEX(Ingredients!$H$5:$H$304,MATCH(B945,Ingredients!$A$5:$A$304,0)),""),""))</f>
        <v>0</v>
      </c>
      <c r="L945" s="8">
        <f>IF(OR(B945="",C945=""),"",IFERROR(C945*IFERROR(INDEX(Ingredients!$I$5:$I$304,MATCH(B945,Ingredients!$A$5:$A$304,0)),""),""))</f>
        <v>0</v>
      </c>
      <c r="M945" s="8">
        <f>IF(OR(B945="",C945=""),"",IFERROR(C945*IFERROR(INDEX(Ingredients!$J$5:$J$304,MATCH(B945,Ingredients!$A$5:$A$304,0)),""),""))</f>
        <v>0</v>
      </c>
      <c r="N945" s="8">
        <f>IF(OR(B945="",C945=""),"",IFERROR(C945*IFERROR(INDEX(Ingredients!$K$5:$K$304,MATCH(B945,Ingredients!$A$5:$A$304,0)),""),""))</f>
        <v>0</v>
      </c>
      <c r="O945" s="8">
        <f>IF(OR(B945="",C945=""),"",IFERROR(C945*IFERROR(INDEX(Ingredients!$L$5:$L$304,MATCH(B945,Ingredients!$A$5:$A$304,0)),""),""))</f>
        <v>0</v>
      </c>
      <c r="P945" s="8">
        <f>IF(OR(H945="",A945=""),"",IFERROR(H945/SUMIFS('Recipe Ingredients'!$H$5:$H$1204,'Recipe Ingredients'!$A$5:$A$1204,A945),""))</f>
        <v>0</v>
      </c>
      <c r="Q945" s="8">
        <f>IF(H945="","",COUNTIFS($H$5:$H$1204,"&gt;"&amp;H945)+1)</f>
        <v>0</v>
      </c>
      <c r="R945" s="8">
        <f>IF(B945="","",SUMIFS(Pantry!$C$5:$C$304,Pantry!$A$5:$A$304,B945))</f>
        <v>0</v>
      </c>
      <c r="S945" s="8">
        <f>IF(OR(B945="",C945=""),"",MAX(0,C945-R945))</f>
        <v>0</v>
      </c>
      <c r="T945" s="26"/>
      <c r="U945" s="8">
        <f>IF(OR(T945="",T945=0,G945=""),"",T945*G945)</f>
        <v>0</v>
      </c>
      <c r="V945" s="8">
        <f>IF(OR(S945="",T945="",T945=0),"",CEILING(S945/T945,1))</f>
        <v>0</v>
      </c>
      <c r="W945" s="27"/>
      <c r="X945" s="29"/>
      <c r="Y945" s="8">
        <f>IF(OR(C945="",X945=""),"",C945*(1+X945))</f>
        <v>0</v>
      </c>
      <c r="Z945" s="8">
        <f>IF(B945="","",IFERROR(INDEX(Ingredients!$O$5:$O$304,MATCH(B945,Ingredients!$A$5:$A$304,0)),""))</f>
        <v>0</v>
      </c>
      <c r="AA945" s="8">
        <f>IF(B945="","",IF(R945&gt;=C945,"In pantry","To buy"))</f>
        <v>0</v>
      </c>
      <c r="AB945" s="8">
        <f>IF(A945="","",COUNTIFS($A$5:A945,A945))</f>
        <v>0</v>
      </c>
      <c r="AC945" s="8">
        <f>IF(B945="","",IF(COUNTIFS('Dietary Filters'!$C$5:$C$104,B945)&gt;0,"Check","OK"))</f>
        <v>0</v>
      </c>
      <c r="AD945" s="25"/>
    </row>
    <row r="946" spans="1:30">
      <c r="A946" s="7"/>
      <c r="B946" s="7"/>
      <c r="C946" s="26"/>
      <c r="D946" s="27"/>
      <c r="E946" s="8">
        <f>IF(B946="","",IFERROR(INDEX(Ingredients!$B$5:$B$304,MATCH(B946,Ingredients!$A$5:$A$304,0)),""))</f>
        <v>0</v>
      </c>
      <c r="F946" s="8">
        <f>IF(B946="","",IFERROR(INDEX(Ingredients!$E$5:$E$304,MATCH(B946,Ingredients!$A$5:$A$304,0)),""))</f>
        <v>0</v>
      </c>
      <c r="G946" s="8">
        <f>IF(B946="","",IFERROR(INDEX(Ingredients!$D$5:$D$304,MATCH(B946,Ingredients!$A$5:$A$304,0)),""))</f>
        <v>0</v>
      </c>
      <c r="H946" s="8">
        <f>IF(OR(B946="",C946=""),"",IFERROR(C946*G946,""))</f>
        <v>0</v>
      </c>
      <c r="I946" s="8">
        <f>IF(A946="","",IFERROR(INDEX(Recipes!$D$5:$D$204,MATCH(A946,Recipes!$A$5:$A$204,0)),""))</f>
        <v>0</v>
      </c>
      <c r="J946" s="8">
        <f>IF(OR(H946="",I946="",I946=0),"",IFERROR(H946/I946,""))</f>
        <v>0</v>
      </c>
      <c r="K946" s="8">
        <f>IF(OR(B946="",C946=""),"",IFERROR(C946*IFERROR(INDEX(Ingredients!$H$5:$H$304,MATCH(B946,Ingredients!$A$5:$A$304,0)),""),""))</f>
        <v>0</v>
      </c>
      <c r="L946" s="8">
        <f>IF(OR(B946="",C946=""),"",IFERROR(C946*IFERROR(INDEX(Ingredients!$I$5:$I$304,MATCH(B946,Ingredients!$A$5:$A$304,0)),""),""))</f>
        <v>0</v>
      </c>
      <c r="M946" s="8">
        <f>IF(OR(B946="",C946=""),"",IFERROR(C946*IFERROR(INDEX(Ingredients!$J$5:$J$304,MATCH(B946,Ingredients!$A$5:$A$304,0)),""),""))</f>
        <v>0</v>
      </c>
      <c r="N946" s="8">
        <f>IF(OR(B946="",C946=""),"",IFERROR(C946*IFERROR(INDEX(Ingredients!$K$5:$K$304,MATCH(B946,Ingredients!$A$5:$A$304,0)),""),""))</f>
        <v>0</v>
      </c>
      <c r="O946" s="8">
        <f>IF(OR(B946="",C946=""),"",IFERROR(C946*IFERROR(INDEX(Ingredients!$L$5:$L$304,MATCH(B946,Ingredients!$A$5:$A$304,0)),""),""))</f>
        <v>0</v>
      </c>
      <c r="P946" s="8">
        <f>IF(OR(H946="",A946=""),"",IFERROR(H946/SUMIFS('Recipe Ingredients'!$H$5:$H$1204,'Recipe Ingredients'!$A$5:$A$1204,A946),""))</f>
        <v>0</v>
      </c>
      <c r="Q946" s="8">
        <f>IF(H946="","",COUNTIFS($H$5:$H$1204,"&gt;"&amp;H946)+1)</f>
        <v>0</v>
      </c>
      <c r="R946" s="8">
        <f>IF(B946="","",SUMIFS(Pantry!$C$5:$C$304,Pantry!$A$5:$A$304,B946))</f>
        <v>0</v>
      </c>
      <c r="S946" s="8">
        <f>IF(OR(B946="",C946=""),"",MAX(0,C946-R946))</f>
        <v>0</v>
      </c>
      <c r="T946" s="26"/>
      <c r="U946" s="8">
        <f>IF(OR(T946="",T946=0,G946=""),"",T946*G946)</f>
        <v>0</v>
      </c>
      <c r="V946" s="8">
        <f>IF(OR(S946="",T946="",T946=0),"",CEILING(S946/T946,1))</f>
        <v>0</v>
      </c>
      <c r="W946" s="27"/>
      <c r="X946" s="29"/>
      <c r="Y946" s="8">
        <f>IF(OR(C946="",X946=""),"",C946*(1+X946))</f>
        <v>0</v>
      </c>
      <c r="Z946" s="8">
        <f>IF(B946="","",IFERROR(INDEX(Ingredients!$O$5:$O$304,MATCH(B946,Ingredients!$A$5:$A$304,0)),""))</f>
        <v>0</v>
      </c>
      <c r="AA946" s="8">
        <f>IF(B946="","",IF(R946&gt;=C946,"In pantry","To buy"))</f>
        <v>0</v>
      </c>
      <c r="AB946" s="8">
        <f>IF(A946="","",COUNTIFS($A$5:A946,A946))</f>
        <v>0</v>
      </c>
      <c r="AC946" s="8">
        <f>IF(B946="","",IF(COUNTIFS('Dietary Filters'!$C$5:$C$104,B946)&gt;0,"Check","OK"))</f>
        <v>0</v>
      </c>
      <c r="AD946" s="25"/>
    </row>
    <row r="947" spans="1:30">
      <c r="A947" s="7"/>
      <c r="B947" s="7"/>
      <c r="C947" s="26"/>
      <c r="D947" s="27"/>
      <c r="E947" s="8">
        <f>IF(B947="","",IFERROR(INDEX(Ingredients!$B$5:$B$304,MATCH(B947,Ingredients!$A$5:$A$304,0)),""))</f>
        <v>0</v>
      </c>
      <c r="F947" s="8">
        <f>IF(B947="","",IFERROR(INDEX(Ingredients!$E$5:$E$304,MATCH(B947,Ingredients!$A$5:$A$304,0)),""))</f>
        <v>0</v>
      </c>
      <c r="G947" s="8">
        <f>IF(B947="","",IFERROR(INDEX(Ingredients!$D$5:$D$304,MATCH(B947,Ingredients!$A$5:$A$304,0)),""))</f>
        <v>0</v>
      </c>
      <c r="H947" s="8">
        <f>IF(OR(B947="",C947=""),"",IFERROR(C947*G947,""))</f>
        <v>0</v>
      </c>
      <c r="I947" s="8">
        <f>IF(A947="","",IFERROR(INDEX(Recipes!$D$5:$D$204,MATCH(A947,Recipes!$A$5:$A$204,0)),""))</f>
        <v>0</v>
      </c>
      <c r="J947" s="8">
        <f>IF(OR(H947="",I947="",I947=0),"",IFERROR(H947/I947,""))</f>
        <v>0</v>
      </c>
      <c r="K947" s="8">
        <f>IF(OR(B947="",C947=""),"",IFERROR(C947*IFERROR(INDEX(Ingredients!$H$5:$H$304,MATCH(B947,Ingredients!$A$5:$A$304,0)),""),""))</f>
        <v>0</v>
      </c>
      <c r="L947" s="8">
        <f>IF(OR(B947="",C947=""),"",IFERROR(C947*IFERROR(INDEX(Ingredients!$I$5:$I$304,MATCH(B947,Ingredients!$A$5:$A$304,0)),""),""))</f>
        <v>0</v>
      </c>
      <c r="M947" s="8">
        <f>IF(OR(B947="",C947=""),"",IFERROR(C947*IFERROR(INDEX(Ingredients!$J$5:$J$304,MATCH(B947,Ingredients!$A$5:$A$304,0)),""),""))</f>
        <v>0</v>
      </c>
      <c r="N947" s="8">
        <f>IF(OR(B947="",C947=""),"",IFERROR(C947*IFERROR(INDEX(Ingredients!$K$5:$K$304,MATCH(B947,Ingredients!$A$5:$A$304,0)),""),""))</f>
        <v>0</v>
      </c>
      <c r="O947" s="8">
        <f>IF(OR(B947="",C947=""),"",IFERROR(C947*IFERROR(INDEX(Ingredients!$L$5:$L$304,MATCH(B947,Ingredients!$A$5:$A$304,0)),""),""))</f>
        <v>0</v>
      </c>
      <c r="P947" s="8">
        <f>IF(OR(H947="",A947=""),"",IFERROR(H947/SUMIFS('Recipe Ingredients'!$H$5:$H$1204,'Recipe Ingredients'!$A$5:$A$1204,A947),""))</f>
        <v>0</v>
      </c>
      <c r="Q947" s="8">
        <f>IF(H947="","",COUNTIFS($H$5:$H$1204,"&gt;"&amp;H947)+1)</f>
        <v>0</v>
      </c>
      <c r="R947" s="8">
        <f>IF(B947="","",SUMIFS(Pantry!$C$5:$C$304,Pantry!$A$5:$A$304,B947))</f>
        <v>0</v>
      </c>
      <c r="S947" s="8">
        <f>IF(OR(B947="",C947=""),"",MAX(0,C947-R947))</f>
        <v>0</v>
      </c>
      <c r="T947" s="26"/>
      <c r="U947" s="8">
        <f>IF(OR(T947="",T947=0,G947=""),"",T947*G947)</f>
        <v>0</v>
      </c>
      <c r="V947" s="8">
        <f>IF(OR(S947="",T947="",T947=0),"",CEILING(S947/T947,1))</f>
        <v>0</v>
      </c>
      <c r="W947" s="27"/>
      <c r="X947" s="29"/>
      <c r="Y947" s="8">
        <f>IF(OR(C947="",X947=""),"",C947*(1+X947))</f>
        <v>0</v>
      </c>
      <c r="Z947" s="8">
        <f>IF(B947="","",IFERROR(INDEX(Ingredients!$O$5:$O$304,MATCH(B947,Ingredients!$A$5:$A$304,0)),""))</f>
        <v>0</v>
      </c>
      <c r="AA947" s="8">
        <f>IF(B947="","",IF(R947&gt;=C947,"In pantry","To buy"))</f>
        <v>0</v>
      </c>
      <c r="AB947" s="8">
        <f>IF(A947="","",COUNTIFS($A$5:A947,A947))</f>
        <v>0</v>
      </c>
      <c r="AC947" s="8">
        <f>IF(B947="","",IF(COUNTIFS('Dietary Filters'!$C$5:$C$104,B947)&gt;0,"Check","OK"))</f>
        <v>0</v>
      </c>
      <c r="AD947" s="25"/>
    </row>
    <row r="948" spans="1:30">
      <c r="A948" s="7"/>
      <c r="B948" s="7"/>
      <c r="C948" s="26"/>
      <c r="D948" s="27"/>
      <c r="E948" s="8">
        <f>IF(B948="","",IFERROR(INDEX(Ingredients!$B$5:$B$304,MATCH(B948,Ingredients!$A$5:$A$304,0)),""))</f>
        <v>0</v>
      </c>
      <c r="F948" s="8">
        <f>IF(B948="","",IFERROR(INDEX(Ingredients!$E$5:$E$304,MATCH(B948,Ingredients!$A$5:$A$304,0)),""))</f>
        <v>0</v>
      </c>
      <c r="G948" s="8">
        <f>IF(B948="","",IFERROR(INDEX(Ingredients!$D$5:$D$304,MATCH(B948,Ingredients!$A$5:$A$304,0)),""))</f>
        <v>0</v>
      </c>
      <c r="H948" s="8">
        <f>IF(OR(B948="",C948=""),"",IFERROR(C948*G948,""))</f>
        <v>0</v>
      </c>
      <c r="I948" s="8">
        <f>IF(A948="","",IFERROR(INDEX(Recipes!$D$5:$D$204,MATCH(A948,Recipes!$A$5:$A$204,0)),""))</f>
        <v>0</v>
      </c>
      <c r="J948" s="8">
        <f>IF(OR(H948="",I948="",I948=0),"",IFERROR(H948/I948,""))</f>
        <v>0</v>
      </c>
      <c r="K948" s="8">
        <f>IF(OR(B948="",C948=""),"",IFERROR(C948*IFERROR(INDEX(Ingredients!$H$5:$H$304,MATCH(B948,Ingredients!$A$5:$A$304,0)),""),""))</f>
        <v>0</v>
      </c>
      <c r="L948" s="8">
        <f>IF(OR(B948="",C948=""),"",IFERROR(C948*IFERROR(INDEX(Ingredients!$I$5:$I$304,MATCH(B948,Ingredients!$A$5:$A$304,0)),""),""))</f>
        <v>0</v>
      </c>
      <c r="M948" s="8">
        <f>IF(OR(B948="",C948=""),"",IFERROR(C948*IFERROR(INDEX(Ingredients!$J$5:$J$304,MATCH(B948,Ingredients!$A$5:$A$304,0)),""),""))</f>
        <v>0</v>
      </c>
      <c r="N948" s="8">
        <f>IF(OR(B948="",C948=""),"",IFERROR(C948*IFERROR(INDEX(Ingredients!$K$5:$K$304,MATCH(B948,Ingredients!$A$5:$A$304,0)),""),""))</f>
        <v>0</v>
      </c>
      <c r="O948" s="8">
        <f>IF(OR(B948="",C948=""),"",IFERROR(C948*IFERROR(INDEX(Ingredients!$L$5:$L$304,MATCH(B948,Ingredients!$A$5:$A$304,0)),""),""))</f>
        <v>0</v>
      </c>
      <c r="P948" s="8">
        <f>IF(OR(H948="",A948=""),"",IFERROR(H948/SUMIFS('Recipe Ingredients'!$H$5:$H$1204,'Recipe Ingredients'!$A$5:$A$1204,A948),""))</f>
        <v>0</v>
      </c>
      <c r="Q948" s="8">
        <f>IF(H948="","",COUNTIFS($H$5:$H$1204,"&gt;"&amp;H948)+1)</f>
        <v>0</v>
      </c>
      <c r="R948" s="8">
        <f>IF(B948="","",SUMIFS(Pantry!$C$5:$C$304,Pantry!$A$5:$A$304,B948))</f>
        <v>0</v>
      </c>
      <c r="S948" s="8">
        <f>IF(OR(B948="",C948=""),"",MAX(0,C948-R948))</f>
        <v>0</v>
      </c>
      <c r="T948" s="26"/>
      <c r="U948" s="8">
        <f>IF(OR(T948="",T948=0,G948=""),"",T948*G948)</f>
        <v>0</v>
      </c>
      <c r="V948" s="8">
        <f>IF(OR(S948="",T948="",T948=0),"",CEILING(S948/T948,1))</f>
        <v>0</v>
      </c>
      <c r="W948" s="27"/>
      <c r="X948" s="29"/>
      <c r="Y948" s="8">
        <f>IF(OR(C948="",X948=""),"",C948*(1+X948))</f>
        <v>0</v>
      </c>
      <c r="Z948" s="8">
        <f>IF(B948="","",IFERROR(INDEX(Ingredients!$O$5:$O$304,MATCH(B948,Ingredients!$A$5:$A$304,0)),""))</f>
        <v>0</v>
      </c>
      <c r="AA948" s="8">
        <f>IF(B948="","",IF(R948&gt;=C948,"In pantry","To buy"))</f>
        <v>0</v>
      </c>
      <c r="AB948" s="8">
        <f>IF(A948="","",COUNTIFS($A$5:A948,A948))</f>
        <v>0</v>
      </c>
      <c r="AC948" s="8">
        <f>IF(B948="","",IF(COUNTIFS('Dietary Filters'!$C$5:$C$104,B948)&gt;0,"Check","OK"))</f>
        <v>0</v>
      </c>
      <c r="AD948" s="25"/>
    </row>
    <row r="949" spans="1:30">
      <c r="A949" s="7"/>
      <c r="B949" s="7"/>
      <c r="C949" s="26"/>
      <c r="D949" s="27"/>
      <c r="E949" s="8">
        <f>IF(B949="","",IFERROR(INDEX(Ingredients!$B$5:$B$304,MATCH(B949,Ingredients!$A$5:$A$304,0)),""))</f>
        <v>0</v>
      </c>
      <c r="F949" s="8">
        <f>IF(B949="","",IFERROR(INDEX(Ingredients!$E$5:$E$304,MATCH(B949,Ingredients!$A$5:$A$304,0)),""))</f>
        <v>0</v>
      </c>
      <c r="G949" s="8">
        <f>IF(B949="","",IFERROR(INDEX(Ingredients!$D$5:$D$304,MATCH(B949,Ingredients!$A$5:$A$304,0)),""))</f>
        <v>0</v>
      </c>
      <c r="H949" s="8">
        <f>IF(OR(B949="",C949=""),"",IFERROR(C949*G949,""))</f>
        <v>0</v>
      </c>
      <c r="I949" s="8">
        <f>IF(A949="","",IFERROR(INDEX(Recipes!$D$5:$D$204,MATCH(A949,Recipes!$A$5:$A$204,0)),""))</f>
        <v>0</v>
      </c>
      <c r="J949" s="8">
        <f>IF(OR(H949="",I949="",I949=0),"",IFERROR(H949/I949,""))</f>
        <v>0</v>
      </c>
      <c r="K949" s="8">
        <f>IF(OR(B949="",C949=""),"",IFERROR(C949*IFERROR(INDEX(Ingredients!$H$5:$H$304,MATCH(B949,Ingredients!$A$5:$A$304,0)),""),""))</f>
        <v>0</v>
      </c>
      <c r="L949" s="8">
        <f>IF(OR(B949="",C949=""),"",IFERROR(C949*IFERROR(INDEX(Ingredients!$I$5:$I$304,MATCH(B949,Ingredients!$A$5:$A$304,0)),""),""))</f>
        <v>0</v>
      </c>
      <c r="M949" s="8">
        <f>IF(OR(B949="",C949=""),"",IFERROR(C949*IFERROR(INDEX(Ingredients!$J$5:$J$304,MATCH(B949,Ingredients!$A$5:$A$304,0)),""),""))</f>
        <v>0</v>
      </c>
      <c r="N949" s="8">
        <f>IF(OR(B949="",C949=""),"",IFERROR(C949*IFERROR(INDEX(Ingredients!$K$5:$K$304,MATCH(B949,Ingredients!$A$5:$A$304,0)),""),""))</f>
        <v>0</v>
      </c>
      <c r="O949" s="8">
        <f>IF(OR(B949="",C949=""),"",IFERROR(C949*IFERROR(INDEX(Ingredients!$L$5:$L$304,MATCH(B949,Ingredients!$A$5:$A$304,0)),""),""))</f>
        <v>0</v>
      </c>
      <c r="P949" s="8">
        <f>IF(OR(H949="",A949=""),"",IFERROR(H949/SUMIFS('Recipe Ingredients'!$H$5:$H$1204,'Recipe Ingredients'!$A$5:$A$1204,A949),""))</f>
        <v>0</v>
      </c>
      <c r="Q949" s="8">
        <f>IF(H949="","",COUNTIFS($H$5:$H$1204,"&gt;"&amp;H949)+1)</f>
        <v>0</v>
      </c>
      <c r="R949" s="8">
        <f>IF(B949="","",SUMIFS(Pantry!$C$5:$C$304,Pantry!$A$5:$A$304,B949))</f>
        <v>0</v>
      </c>
      <c r="S949" s="8">
        <f>IF(OR(B949="",C949=""),"",MAX(0,C949-R949))</f>
        <v>0</v>
      </c>
      <c r="T949" s="26"/>
      <c r="U949" s="8">
        <f>IF(OR(T949="",T949=0,G949=""),"",T949*G949)</f>
        <v>0</v>
      </c>
      <c r="V949" s="8">
        <f>IF(OR(S949="",T949="",T949=0),"",CEILING(S949/T949,1))</f>
        <v>0</v>
      </c>
      <c r="W949" s="27"/>
      <c r="X949" s="29"/>
      <c r="Y949" s="8">
        <f>IF(OR(C949="",X949=""),"",C949*(1+X949))</f>
        <v>0</v>
      </c>
      <c r="Z949" s="8">
        <f>IF(B949="","",IFERROR(INDEX(Ingredients!$O$5:$O$304,MATCH(B949,Ingredients!$A$5:$A$304,0)),""))</f>
        <v>0</v>
      </c>
      <c r="AA949" s="8">
        <f>IF(B949="","",IF(R949&gt;=C949,"In pantry","To buy"))</f>
        <v>0</v>
      </c>
      <c r="AB949" s="8">
        <f>IF(A949="","",COUNTIFS($A$5:A949,A949))</f>
        <v>0</v>
      </c>
      <c r="AC949" s="8">
        <f>IF(B949="","",IF(COUNTIFS('Dietary Filters'!$C$5:$C$104,B949)&gt;0,"Check","OK"))</f>
        <v>0</v>
      </c>
      <c r="AD949" s="25"/>
    </row>
    <row r="950" spans="1:30">
      <c r="A950" s="7"/>
      <c r="B950" s="7"/>
      <c r="C950" s="26"/>
      <c r="D950" s="27"/>
      <c r="E950" s="8">
        <f>IF(B950="","",IFERROR(INDEX(Ingredients!$B$5:$B$304,MATCH(B950,Ingredients!$A$5:$A$304,0)),""))</f>
        <v>0</v>
      </c>
      <c r="F950" s="8">
        <f>IF(B950="","",IFERROR(INDEX(Ingredients!$E$5:$E$304,MATCH(B950,Ingredients!$A$5:$A$304,0)),""))</f>
        <v>0</v>
      </c>
      <c r="G950" s="8">
        <f>IF(B950="","",IFERROR(INDEX(Ingredients!$D$5:$D$304,MATCH(B950,Ingredients!$A$5:$A$304,0)),""))</f>
        <v>0</v>
      </c>
      <c r="H950" s="8">
        <f>IF(OR(B950="",C950=""),"",IFERROR(C950*G950,""))</f>
        <v>0</v>
      </c>
      <c r="I950" s="8">
        <f>IF(A950="","",IFERROR(INDEX(Recipes!$D$5:$D$204,MATCH(A950,Recipes!$A$5:$A$204,0)),""))</f>
        <v>0</v>
      </c>
      <c r="J950" s="8">
        <f>IF(OR(H950="",I950="",I950=0),"",IFERROR(H950/I950,""))</f>
        <v>0</v>
      </c>
      <c r="K950" s="8">
        <f>IF(OR(B950="",C950=""),"",IFERROR(C950*IFERROR(INDEX(Ingredients!$H$5:$H$304,MATCH(B950,Ingredients!$A$5:$A$304,0)),""),""))</f>
        <v>0</v>
      </c>
      <c r="L950" s="8">
        <f>IF(OR(B950="",C950=""),"",IFERROR(C950*IFERROR(INDEX(Ingredients!$I$5:$I$304,MATCH(B950,Ingredients!$A$5:$A$304,0)),""),""))</f>
        <v>0</v>
      </c>
      <c r="M950" s="8">
        <f>IF(OR(B950="",C950=""),"",IFERROR(C950*IFERROR(INDEX(Ingredients!$J$5:$J$304,MATCH(B950,Ingredients!$A$5:$A$304,0)),""),""))</f>
        <v>0</v>
      </c>
      <c r="N950" s="8">
        <f>IF(OR(B950="",C950=""),"",IFERROR(C950*IFERROR(INDEX(Ingredients!$K$5:$K$304,MATCH(B950,Ingredients!$A$5:$A$304,0)),""),""))</f>
        <v>0</v>
      </c>
      <c r="O950" s="8">
        <f>IF(OR(B950="",C950=""),"",IFERROR(C950*IFERROR(INDEX(Ingredients!$L$5:$L$304,MATCH(B950,Ingredients!$A$5:$A$304,0)),""),""))</f>
        <v>0</v>
      </c>
      <c r="P950" s="8">
        <f>IF(OR(H950="",A950=""),"",IFERROR(H950/SUMIFS('Recipe Ingredients'!$H$5:$H$1204,'Recipe Ingredients'!$A$5:$A$1204,A950),""))</f>
        <v>0</v>
      </c>
      <c r="Q950" s="8">
        <f>IF(H950="","",COUNTIFS($H$5:$H$1204,"&gt;"&amp;H950)+1)</f>
        <v>0</v>
      </c>
      <c r="R950" s="8">
        <f>IF(B950="","",SUMIFS(Pantry!$C$5:$C$304,Pantry!$A$5:$A$304,B950))</f>
        <v>0</v>
      </c>
      <c r="S950" s="8">
        <f>IF(OR(B950="",C950=""),"",MAX(0,C950-R950))</f>
        <v>0</v>
      </c>
      <c r="T950" s="26"/>
      <c r="U950" s="8">
        <f>IF(OR(T950="",T950=0,G950=""),"",T950*G950)</f>
        <v>0</v>
      </c>
      <c r="V950" s="8">
        <f>IF(OR(S950="",T950="",T950=0),"",CEILING(S950/T950,1))</f>
        <v>0</v>
      </c>
      <c r="W950" s="27"/>
      <c r="X950" s="29"/>
      <c r="Y950" s="8">
        <f>IF(OR(C950="",X950=""),"",C950*(1+X950))</f>
        <v>0</v>
      </c>
      <c r="Z950" s="8">
        <f>IF(B950="","",IFERROR(INDEX(Ingredients!$O$5:$O$304,MATCH(B950,Ingredients!$A$5:$A$304,0)),""))</f>
        <v>0</v>
      </c>
      <c r="AA950" s="8">
        <f>IF(B950="","",IF(R950&gt;=C950,"In pantry","To buy"))</f>
        <v>0</v>
      </c>
      <c r="AB950" s="8">
        <f>IF(A950="","",COUNTIFS($A$5:A950,A950))</f>
        <v>0</v>
      </c>
      <c r="AC950" s="8">
        <f>IF(B950="","",IF(COUNTIFS('Dietary Filters'!$C$5:$C$104,B950)&gt;0,"Check","OK"))</f>
        <v>0</v>
      </c>
      <c r="AD950" s="25"/>
    </row>
    <row r="951" spans="1:30">
      <c r="A951" s="7"/>
      <c r="B951" s="7"/>
      <c r="C951" s="26"/>
      <c r="D951" s="27"/>
      <c r="E951" s="8">
        <f>IF(B951="","",IFERROR(INDEX(Ingredients!$B$5:$B$304,MATCH(B951,Ingredients!$A$5:$A$304,0)),""))</f>
        <v>0</v>
      </c>
      <c r="F951" s="8">
        <f>IF(B951="","",IFERROR(INDEX(Ingredients!$E$5:$E$304,MATCH(B951,Ingredients!$A$5:$A$304,0)),""))</f>
        <v>0</v>
      </c>
      <c r="G951" s="8">
        <f>IF(B951="","",IFERROR(INDEX(Ingredients!$D$5:$D$304,MATCH(B951,Ingredients!$A$5:$A$304,0)),""))</f>
        <v>0</v>
      </c>
      <c r="H951" s="8">
        <f>IF(OR(B951="",C951=""),"",IFERROR(C951*G951,""))</f>
        <v>0</v>
      </c>
      <c r="I951" s="8">
        <f>IF(A951="","",IFERROR(INDEX(Recipes!$D$5:$D$204,MATCH(A951,Recipes!$A$5:$A$204,0)),""))</f>
        <v>0</v>
      </c>
      <c r="J951" s="8">
        <f>IF(OR(H951="",I951="",I951=0),"",IFERROR(H951/I951,""))</f>
        <v>0</v>
      </c>
      <c r="K951" s="8">
        <f>IF(OR(B951="",C951=""),"",IFERROR(C951*IFERROR(INDEX(Ingredients!$H$5:$H$304,MATCH(B951,Ingredients!$A$5:$A$304,0)),""),""))</f>
        <v>0</v>
      </c>
      <c r="L951" s="8">
        <f>IF(OR(B951="",C951=""),"",IFERROR(C951*IFERROR(INDEX(Ingredients!$I$5:$I$304,MATCH(B951,Ingredients!$A$5:$A$304,0)),""),""))</f>
        <v>0</v>
      </c>
      <c r="M951" s="8">
        <f>IF(OR(B951="",C951=""),"",IFERROR(C951*IFERROR(INDEX(Ingredients!$J$5:$J$304,MATCH(B951,Ingredients!$A$5:$A$304,0)),""),""))</f>
        <v>0</v>
      </c>
      <c r="N951" s="8">
        <f>IF(OR(B951="",C951=""),"",IFERROR(C951*IFERROR(INDEX(Ingredients!$K$5:$K$304,MATCH(B951,Ingredients!$A$5:$A$304,0)),""),""))</f>
        <v>0</v>
      </c>
      <c r="O951" s="8">
        <f>IF(OR(B951="",C951=""),"",IFERROR(C951*IFERROR(INDEX(Ingredients!$L$5:$L$304,MATCH(B951,Ingredients!$A$5:$A$304,0)),""),""))</f>
        <v>0</v>
      </c>
      <c r="P951" s="8">
        <f>IF(OR(H951="",A951=""),"",IFERROR(H951/SUMIFS('Recipe Ingredients'!$H$5:$H$1204,'Recipe Ingredients'!$A$5:$A$1204,A951),""))</f>
        <v>0</v>
      </c>
      <c r="Q951" s="8">
        <f>IF(H951="","",COUNTIFS($H$5:$H$1204,"&gt;"&amp;H951)+1)</f>
        <v>0</v>
      </c>
      <c r="R951" s="8">
        <f>IF(B951="","",SUMIFS(Pantry!$C$5:$C$304,Pantry!$A$5:$A$304,B951))</f>
        <v>0</v>
      </c>
      <c r="S951" s="8">
        <f>IF(OR(B951="",C951=""),"",MAX(0,C951-R951))</f>
        <v>0</v>
      </c>
      <c r="T951" s="26"/>
      <c r="U951" s="8">
        <f>IF(OR(T951="",T951=0,G951=""),"",T951*G951)</f>
        <v>0</v>
      </c>
      <c r="V951" s="8">
        <f>IF(OR(S951="",T951="",T951=0),"",CEILING(S951/T951,1))</f>
        <v>0</v>
      </c>
      <c r="W951" s="27"/>
      <c r="X951" s="29"/>
      <c r="Y951" s="8">
        <f>IF(OR(C951="",X951=""),"",C951*(1+X951))</f>
        <v>0</v>
      </c>
      <c r="Z951" s="8">
        <f>IF(B951="","",IFERROR(INDEX(Ingredients!$O$5:$O$304,MATCH(B951,Ingredients!$A$5:$A$304,0)),""))</f>
        <v>0</v>
      </c>
      <c r="AA951" s="8">
        <f>IF(B951="","",IF(R951&gt;=C951,"In pantry","To buy"))</f>
        <v>0</v>
      </c>
      <c r="AB951" s="8">
        <f>IF(A951="","",COUNTIFS($A$5:A951,A951))</f>
        <v>0</v>
      </c>
      <c r="AC951" s="8">
        <f>IF(B951="","",IF(COUNTIFS('Dietary Filters'!$C$5:$C$104,B951)&gt;0,"Check","OK"))</f>
        <v>0</v>
      </c>
      <c r="AD951" s="25"/>
    </row>
    <row r="952" spans="1:30">
      <c r="A952" s="7"/>
      <c r="B952" s="7"/>
      <c r="C952" s="26"/>
      <c r="D952" s="27"/>
      <c r="E952" s="8">
        <f>IF(B952="","",IFERROR(INDEX(Ingredients!$B$5:$B$304,MATCH(B952,Ingredients!$A$5:$A$304,0)),""))</f>
        <v>0</v>
      </c>
      <c r="F952" s="8">
        <f>IF(B952="","",IFERROR(INDEX(Ingredients!$E$5:$E$304,MATCH(B952,Ingredients!$A$5:$A$304,0)),""))</f>
        <v>0</v>
      </c>
      <c r="G952" s="8">
        <f>IF(B952="","",IFERROR(INDEX(Ingredients!$D$5:$D$304,MATCH(B952,Ingredients!$A$5:$A$304,0)),""))</f>
        <v>0</v>
      </c>
      <c r="H952" s="8">
        <f>IF(OR(B952="",C952=""),"",IFERROR(C952*G952,""))</f>
        <v>0</v>
      </c>
      <c r="I952" s="8">
        <f>IF(A952="","",IFERROR(INDEX(Recipes!$D$5:$D$204,MATCH(A952,Recipes!$A$5:$A$204,0)),""))</f>
        <v>0</v>
      </c>
      <c r="J952" s="8">
        <f>IF(OR(H952="",I952="",I952=0),"",IFERROR(H952/I952,""))</f>
        <v>0</v>
      </c>
      <c r="K952" s="8">
        <f>IF(OR(B952="",C952=""),"",IFERROR(C952*IFERROR(INDEX(Ingredients!$H$5:$H$304,MATCH(B952,Ingredients!$A$5:$A$304,0)),""),""))</f>
        <v>0</v>
      </c>
      <c r="L952" s="8">
        <f>IF(OR(B952="",C952=""),"",IFERROR(C952*IFERROR(INDEX(Ingredients!$I$5:$I$304,MATCH(B952,Ingredients!$A$5:$A$304,0)),""),""))</f>
        <v>0</v>
      </c>
      <c r="M952" s="8">
        <f>IF(OR(B952="",C952=""),"",IFERROR(C952*IFERROR(INDEX(Ingredients!$J$5:$J$304,MATCH(B952,Ingredients!$A$5:$A$304,0)),""),""))</f>
        <v>0</v>
      </c>
      <c r="N952" s="8">
        <f>IF(OR(B952="",C952=""),"",IFERROR(C952*IFERROR(INDEX(Ingredients!$K$5:$K$304,MATCH(B952,Ingredients!$A$5:$A$304,0)),""),""))</f>
        <v>0</v>
      </c>
      <c r="O952" s="8">
        <f>IF(OR(B952="",C952=""),"",IFERROR(C952*IFERROR(INDEX(Ingredients!$L$5:$L$304,MATCH(B952,Ingredients!$A$5:$A$304,0)),""),""))</f>
        <v>0</v>
      </c>
      <c r="P952" s="8">
        <f>IF(OR(H952="",A952=""),"",IFERROR(H952/SUMIFS('Recipe Ingredients'!$H$5:$H$1204,'Recipe Ingredients'!$A$5:$A$1204,A952),""))</f>
        <v>0</v>
      </c>
      <c r="Q952" s="8">
        <f>IF(H952="","",COUNTIFS($H$5:$H$1204,"&gt;"&amp;H952)+1)</f>
        <v>0</v>
      </c>
      <c r="R952" s="8">
        <f>IF(B952="","",SUMIFS(Pantry!$C$5:$C$304,Pantry!$A$5:$A$304,B952))</f>
        <v>0</v>
      </c>
      <c r="S952" s="8">
        <f>IF(OR(B952="",C952=""),"",MAX(0,C952-R952))</f>
        <v>0</v>
      </c>
      <c r="T952" s="26"/>
      <c r="U952" s="8">
        <f>IF(OR(T952="",T952=0,G952=""),"",T952*G952)</f>
        <v>0</v>
      </c>
      <c r="V952" s="8">
        <f>IF(OR(S952="",T952="",T952=0),"",CEILING(S952/T952,1))</f>
        <v>0</v>
      </c>
      <c r="W952" s="27"/>
      <c r="X952" s="29"/>
      <c r="Y952" s="8">
        <f>IF(OR(C952="",X952=""),"",C952*(1+X952))</f>
        <v>0</v>
      </c>
      <c r="Z952" s="8">
        <f>IF(B952="","",IFERROR(INDEX(Ingredients!$O$5:$O$304,MATCH(B952,Ingredients!$A$5:$A$304,0)),""))</f>
        <v>0</v>
      </c>
      <c r="AA952" s="8">
        <f>IF(B952="","",IF(R952&gt;=C952,"In pantry","To buy"))</f>
        <v>0</v>
      </c>
      <c r="AB952" s="8">
        <f>IF(A952="","",COUNTIFS($A$5:A952,A952))</f>
        <v>0</v>
      </c>
      <c r="AC952" s="8">
        <f>IF(B952="","",IF(COUNTIFS('Dietary Filters'!$C$5:$C$104,B952)&gt;0,"Check","OK"))</f>
        <v>0</v>
      </c>
      <c r="AD952" s="25"/>
    </row>
    <row r="953" spans="1:30">
      <c r="A953" s="7"/>
      <c r="B953" s="7"/>
      <c r="C953" s="26"/>
      <c r="D953" s="27"/>
      <c r="E953" s="8">
        <f>IF(B953="","",IFERROR(INDEX(Ingredients!$B$5:$B$304,MATCH(B953,Ingredients!$A$5:$A$304,0)),""))</f>
        <v>0</v>
      </c>
      <c r="F953" s="8">
        <f>IF(B953="","",IFERROR(INDEX(Ingredients!$E$5:$E$304,MATCH(B953,Ingredients!$A$5:$A$304,0)),""))</f>
        <v>0</v>
      </c>
      <c r="G953" s="8">
        <f>IF(B953="","",IFERROR(INDEX(Ingredients!$D$5:$D$304,MATCH(B953,Ingredients!$A$5:$A$304,0)),""))</f>
        <v>0</v>
      </c>
      <c r="H953" s="8">
        <f>IF(OR(B953="",C953=""),"",IFERROR(C953*G953,""))</f>
        <v>0</v>
      </c>
      <c r="I953" s="8">
        <f>IF(A953="","",IFERROR(INDEX(Recipes!$D$5:$D$204,MATCH(A953,Recipes!$A$5:$A$204,0)),""))</f>
        <v>0</v>
      </c>
      <c r="J953" s="8">
        <f>IF(OR(H953="",I953="",I953=0),"",IFERROR(H953/I953,""))</f>
        <v>0</v>
      </c>
      <c r="K953" s="8">
        <f>IF(OR(B953="",C953=""),"",IFERROR(C953*IFERROR(INDEX(Ingredients!$H$5:$H$304,MATCH(B953,Ingredients!$A$5:$A$304,0)),""),""))</f>
        <v>0</v>
      </c>
      <c r="L953" s="8">
        <f>IF(OR(B953="",C953=""),"",IFERROR(C953*IFERROR(INDEX(Ingredients!$I$5:$I$304,MATCH(B953,Ingredients!$A$5:$A$304,0)),""),""))</f>
        <v>0</v>
      </c>
      <c r="M953" s="8">
        <f>IF(OR(B953="",C953=""),"",IFERROR(C953*IFERROR(INDEX(Ingredients!$J$5:$J$304,MATCH(B953,Ingredients!$A$5:$A$304,0)),""),""))</f>
        <v>0</v>
      </c>
      <c r="N953" s="8">
        <f>IF(OR(B953="",C953=""),"",IFERROR(C953*IFERROR(INDEX(Ingredients!$K$5:$K$304,MATCH(B953,Ingredients!$A$5:$A$304,0)),""),""))</f>
        <v>0</v>
      </c>
      <c r="O953" s="8">
        <f>IF(OR(B953="",C953=""),"",IFERROR(C953*IFERROR(INDEX(Ingredients!$L$5:$L$304,MATCH(B953,Ingredients!$A$5:$A$304,0)),""),""))</f>
        <v>0</v>
      </c>
      <c r="P953" s="8">
        <f>IF(OR(H953="",A953=""),"",IFERROR(H953/SUMIFS('Recipe Ingredients'!$H$5:$H$1204,'Recipe Ingredients'!$A$5:$A$1204,A953),""))</f>
        <v>0</v>
      </c>
      <c r="Q953" s="8">
        <f>IF(H953="","",COUNTIFS($H$5:$H$1204,"&gt;"&amp;H953)+1)</f>
        <v>0</v>
      </c>
      <c r="R953" s="8">
        <f>IF(B953="","",SUMIFS(Pantry!$C$5:$C$304,Pantry!$A$5:$A$304,B953))</f>
        <v>0</v>
      </c>
      <c r="S953" s="8">
        <f>IF(OR(B953="",C953=""),"",MAX(0,C953-R953))</f>
        <v>0</v>
      </c>
      <c r="T953" s="26"/>
      <c r="U953" s="8">
        <f>IF(OR(T953="",T953=0,G953=""),"",T953*G953)</f>
        <v>0</v>
      </c>
      <c r="V953" s="8">
        <f>IF(OR(S953="",T953="",T953=0),"",CEILING(S953/T953,1))</f>
        <v>0</v>
      </c>
      <c r="W953" s="27"/>
      <c r="X953" s="29"/>
      <c r="Y953" s="8">
        <f>IF(OR(C953="",X953=""),"",C953*(1+X953))</f>
        <v>0</v>
      </c>
      <c r="Z953" s="8">
        <f>IF(B953="","",IFERROR(INDEX(Ingredients!$O$5:$O$304,MATCH(B953,Ingredients!$A$5:$A$304,0)),""))</f>
        <v>0</v>
      </c>
      <c r="AA953" s="8">
        <f>IF(B953="","",IF(R953&gt;=C953,"In pantry","To buy"))</f>
        <v>0</v>
      </c>
      <c r="AB953" s="8">
        <f>IF(A953="","",COUNTIFS($A$5:A953,A953))</f>
        <v>0</v>
      </c>
      <c r="AC953" s="8">
        <f>IF(B953="","",IF(COUNTIFS('Dietary Filters'!$C$5:$C$104,B953)&gt;0,"Check","OK"))</f>
        <v>0</v>
      </c>
      <c r="AD953" s="25"/>
    </row>
    <row r="954" spans="1:30">
      <c r="A954" s="7"/>
      <c r="B954" s="7"/>
      <c r="C954" s="26"/>
      <c r="D954" s="27"/>
      <c r="E954" s="8">
        <f>IF(B954="","",IFERROR(INDEX(Ingredients!$B$5:$B$304,MATCH(B954,Ingredients!$A$5:$A$304,0)),""))</f>
        <v>0</v>
      </c>
      <c r="F954" s="8">
        <f>IF(B954="","",IFERROR(INDEX(Ingredients!$E$5:$E$304,MATCH(B954,Ingredients!$A$5:$A$304,0)),""))</f>
        <v>0</v>
      </c>
      <c r="G954" s="8">
        <f>IF(B954="","",IFERROR(INDEX(Ingredients!$D$5:$D$304,MATCH(B954,Ingredients!$A$5:$A$304,0)),""))</f>
        <v>0</v>
      </c>
      <c r="H954" s="8">
        <f>IF(OR(B954="",C954=""),"",IFERROR(C954*G954,""))</f>
        <v>0</v>
      </c>
      <c r="I954" s="8">
        <f>IF(A954="","",IFERROR(INDEX(Recipes!$D$5:$D$204,MATCH(A954,Recipes!$A$5:$A$204,0)),""))</f>
        <v>0</v>
      </c>
      <c r="J954" s="8">
        <f>IF(OR(H954="",I954="",I954=0),"",IFERROR(H954/I954,""))</f>
        <v>0</v>
      </c>
      <c r="K954" s="8">
        <f>IF(OR(B954="",C954=""),"",IFERROR(C954*IFERROR(INDEX(Ingredients!$H$5:$H$304,MATCH(B954,Ingredients!$A$5:$A$304,0)),""),""))</f>
        <v>0</v>
      </c>
      <c r="L954" s="8">
        <f>IF(OR(B954="",C954=""),"",IFERROR(C954*IFERROR(INDEX(Ingredients!$I$5:$I$304,MATCH(B954,Ingredients!$A$5:$A$304,0)),""),""))</f>
        <v>0</v>
      </c>
      <c r="M954" s="8">
        <f>IF(OR(B954="",C954=""),"",IFERROR(C954*IFERROR(INDEX(Ingredients!$J$5:$J$304,MATCH(B954,Ingredients!$A$5:$A$304,0)),""),""))</f>
        <v>0</v>
      </c>
      <c r="N954" s="8">
        <f>IF(OR(B954="",C954=""),"",IFERROR(C954*IFERROR(INDEX(Ingredients!$K$5:$K$304,MATCH(B954,Ingredients!$A$5:$A$304,0)),""),""))</f>
        <v>0</v>
      </c>
      <c r="O954" s="8">
        <f>IF(OR(B954="",C954=""),"",IFERROR(C954*IFERROR(INDEX(Ingredients!$L$5:$L$304,MATCH(B954,Ingredients!$A$5:$A$304,0)),""),""))</f>
        <v>0</v>
      </c>
      <c r="P954" s="8">
        <f>IF(OR(H954="",A954=""),"",IFERROR(H954/SUMIFS('Recipe Ingredients'!$H$5:$H$1204,'Recipe Ingredients'!$A$5:$A$1204,A954),""))</f>
        <v>0</v>
      </c>
      <c r="Q954" s="8">
        <f>IF(H954="","",COUNTIFS($H$5:$H$1204,"&gt;"&amp;H954)+1)</f>
        <v>0</v>
      </c>
      <c r="R954" s="8">
        <f>IF(B954="","",SUMIFS(Pantry!$C$5:$C$304,Pantry!$A$5:$A$304,B954))</f>
        <v>0</v>
      </c>
      <c r="S954" s="8">
        <f>IF(OR(B954="",C954=""),"",MAX(0,C954-R954))</f>
        <v>0</v>
      </c>
      <c r="T954" s="26"/>
      <c r="U954" s="8">
        <f>IF(OR(T954="",T954=0,G954=""),"",T954*G954)</f>
        <v>0</v>
      </c>
      <c r="V954" s="8">
        <f>IF(OR(S954="",T954="",T954=0),"",CEILING(S954/T954,1))</f>
        <v>0</v>
      </c>
      <c r="W954" s="27"/>
      <c r="X954" s="29"/>
      <c r="Y954" s="8">
        <f>IF(OR(C954="",X954=""),"",C954*(1+X954))</f>
        <v>0</v>
      </c>
      <c r="Z954" s="8">
        <f>IF(B954="","",IFERROR(INDEX(Ingredients!$O$5:$O$304,MATCH(B954,Ingredients!$A$5:$A$304,0)),""))</f>
        <v>0</v>
      </c>
      <c r="AA954" s="8">
        <f>IF(B954="","",IF(R954&gt;=C954,"In pantry","To buy"))</f>
        <v>0</v>
      </c>
      <c r="AB954" s="8">
        <f>IF(A954="","",COUNTIFS($A$5:A954,A954))</f>
        <v>0</v>
      </c>
      <c r="AC954" s="8">
        <f>IF(B954="","",IF(COUNTIFS('Dietary Filters'!$C$5:$C$104,B954)&gt;0,"Check","OK"))</f>
        <v>0</v>
      </c>
      <c r="AD954" s="25"/>
    </row>
    <row r="955" spans="1:30">
      <c r="A955" s="7"/>
      <c r="B955" s="7"/>
      <c r="C955" s="26"/>
      <c r="D955" s="27"/>
      <c r="E955" s="8">
        <f>IF(B955="","",IFERROR(INDEX(Ingredients!$B$5:$B$304,MATCH(B955,Ingredients!$A$5:$A$304,0)),""))</f>
        <v>0</v>
      </c>
      <c r="F955" s="8">
        <f>IF(B955="","",IFERROR(INDEX(Ingredients!$E$5:$E$304,MATCH(B955,Ingredients!$A$5:$A$304,0)),""))</f>
        <v>0</v>
      </c>
      <c r="G955" s="8">
        <f>IF(B955="","",IFERROR(INDEX(Ingredients!$D$5:$D$304,MATCH(B955,Ingredients!$A$5:$A$304,0)),""))</f>
        <v>0</v>
      </c>
      <c r="H955" s="8">
        <f>IF(OR(B955="",C955=""),"",IFERROR(C955*G955,""))</f>
        <v>0</v>
      </c>
      <c r="I955" s="8">
        <f>IF(A955="","",IFERROR(INDEX(Recipes!$D$5:$D$204,MATCH(A955,Recipes!$A$5:$A$204,0)),""))</f>
        <v>0</v>
      </c>
      <c r="J955" s="8">
        <f>IF(OR(H955="",I955="",I955=0),"",IFERROR(H955/I955,""))</f>
        <v>0</v>
      </c>
      <c r="K955" s="8">
        <f>IF(OR(B955="",C955=""),"",IFERROR(C955*IFERROR(INDEX(Ingredients!$H$5:$H$304,MATCH(B955,Ingredients!$A$5:$A$304,0)),""),""))</f>
        <v>0</v>
      </c>
      <c r="L955" s="8">
        <f>IF(OR(B955="",C955=""),"",IFERROR(C955*IFERROR(INDEX(Ingredients!$I$5:$I$304,MATCH(B955,Ingredients!$A$5:$A$304,0)),""),""))</f>
        <v>0</v>
      </c>
      <c r="M955" s="8">
        <f>IF(OR(B955="",C955=""),"",IFERROR(C955*IFERROR(INDEX(Ingredients!$J$5:$J$304,MATCH(B955,Ingredients!$A$5:$A$304,0)),""),""))</f>
        <v>0</v>
      </c>
      <c r="N955" s="8">
        <f>IF(OR(B955="",C955=""),"",IFERROR(C955*IFERROR(INDEX(Ingredients!$K$5:$K$304,MATCH(B955,Ingredients!$A$5:$A$304,0)),""),""))</f>
        <v>0</v>
      </c>
      <c r="O955" s="8">
        <f>IF(OR(B955="",C955=""),"",IFERROR(C955*IFERROR(INDEX(Ingredients!$L$5:$L$304,MATCH(B955,Ingredients!$A$5:$A$304,0)),""),""))</f>
        <v>0</v>
      </c>
      <c r="P955" s="8">
        <f>IF(OR(H955="",A955=""),"",IFERROR(H955/SUMIFS('Recipe Ingredients'!$H$5:$H$1204,'Recipe Ingredients'!$A$5:$A$1204,A955),""))</f>
        <v>0</v>
      </c>
      <c r="Q955" s="8">
        <f>IF(H955="","",COUNTIFS($H$5:$H$1204,"&gt;"&amp;H955)+1)</f>
        <v>0</v>
      </c>
      <c r="R955" s="8">
        <f>IF(B955="","",SUMIFS(Pantry!$C$5:$C$304,Pantry!$A$5:$A$304,B955))</f>
        <v>0</v>
      </c>
      <c r="S955" s="8">
        <f>IF(OR(B955="",C955=""),"",MAX(0,C955-R955))</f>
        <v>0</v>
      </c>
      <c r="T955" s="26"/>
      <c r="U955" s="8">
        <f>IF(OR(T955="",T955=0,G955=""),"",T955*G955)</f>
        <v>0</v>
      </c>
      <c r="V955" s="8">
        <f>IF(OR(S955="",T955="",T955=0),"",CEILING(S955/T955,1))</f>
        <v>0</v>
      </c>
      <c r="W955" s="27"/>
      <c r="X955" s="29"/>
      <c r="Y955" s="8">
        <f>IF(OR(C955="",X955=""),"",C955*(1+X955))</f>
        <v>0</v>
      </c>
      <c r="Z955" s="8">
        <f>IF(B955="","",IFERROR(INDEX(Ingredients!$O$5:$O$304,MATCH(B955,Ingredients!$A$5:$A$304,0)),""))</f>
        <v>0</v>
      </c>
      <c r="AA955" s="8">
        <f>IF(B955="","",IF(R955&gt;=C955,"In pantry","To buy"))</f>
        <v>0</v>
      </c>
      <c r="AB955" s="8">
        <f>IF(A955="","",COUNTIFS($A$5:A955,A955))</f>
        <v>0</v>
      </c>
      <c r="AC955" s="8">
        <f>IF(B955="","",IF(COUNTIFS('Dietary Filters'!$C$5:$C$104,B955)&gt;0,"Check","OK"))</f>
        <v>0</v>
      </c>
      <c r="AD955" s="25"/>
    </row>
    <row r="956" spans="1:30">
      <c r="A956" s="7"/>
      <c r="B956" s="7"/>
      <c r="C956" s="26"/>
      <c r="D956" s="27"/>
      <c r="E956" s="8">
        <f>IF(B956="","",IFERROR(INDEX(Ingredients!$B$5:$B$304,MATCH(B956,Ingredients!$A$5:$A$304,0)),""))</f>
        <v>0</v>
      </c>
      <c r="F956" s="8">
        <f>IF(B956="","",IFERROR(INDEX(Ingredients!$E$5:$E$304,MATCH(B956,Ingredients!$A$5:$A$304,0)),""))</f>
        <v>0</v>
      </c>
      <c r="G956" s="8">
        <f>IF(B956="","",IFERROR(INDEX(Ingredients!$D$5:$D$304,MATCH(B956,Ingredients!$A$5:$A$304,0)),""))</f>
        <v>0</v>
      </c>
      <c r="H956" s="8">
        <f>IF(OR(B956="",C956=""),"",IFERROR(C956*G956,""))</f>
        <v>0</v>
      </c>
      <c r="I956" s="8">
        <f>IF(A956="","",IFERROR(INDEX(Recipes!$D$5:$D$204,MATCH(A956,Recipes!$A$5:$A$204,0)),""))</f>
        <v>0</v>
      </c>
      <c r="J956" s="8">
        <f>IF(OR(H956="",I956="",I956=0),"",IFERROR(H956/I956,""))</f>
        <v>0</v>
      </c>
      <c r="K956" s="8">
        <f>IF(OR(B956="",C956=""),"",IFERROR(C956*IFERROR(INDEX(Ingredients!$H$5:$H$304,MATCH(B956,Ingredients!$A$5:$A$304,0)),""),""))</f>
        <v>0</v>
      </c>
      <c r="L956" s="8">
        <f>IF(OR(B956="",C956=""),"",IFERROR(C956*IFERROR(INDEX(Ingredients!$I$5:$I$304,MATCH(B956,Ingredients!$A$5:$A$304,0)),""),""))</f>
        <v>0</v>
      </c>
      <c r="M956" s="8">
        <f>IF(OR(B956="",C956=""),"",IFERROR(C956*IFERROR(INDEX(Ingredients!$J$5:$J$304,MATCH(B956,Ingredients!$A$5:$A$304,0)),""),""))</f>
        <v>0</v>
      </c>
      <c r="N956" s="8">
        <f>IF(OR(B956="",C956=""),"",IFERROR(C956*IFERROR(INDEX(Ingredients!$K$5:$K$304,MATCH(B956,Ingredients!$A$5:$A$304,0)),""),""))</f>
        <v>0</v>
      </c>
      <c r="O956" s="8">
        <f>IF(OR(B956="",C956=""),"",IFERROR(C956*IFERROR(INDEX(Ingredients!$L$5:$L$304,MATCH(B956,Ingredients!$A$5:$A$304,0)),""),""))</f>
        <v>0</v>
      </c>
      <c r="P956" s="8">
        <f>IF(OR(H956="",A956=""),"",IFERROR(H956/SUMIFS('Recipe Ingredients'!$H$5:$H$1204,'Recipe Ingredients'!$A$5:$A$1204,A956),""))</f>
        <v>0</v>
      </c>
      <c r="Q956" s="8">
        <f>IF(H956="","",COUNTIFS($H$5:$H$1204,"&gt;"&amp;H956)+1)</f>
        <v>0</v>
      </c>
      <c r="R956" s="8">
        <f>IF(B956="","",SUMIFS(Pantry!$C$5:$C$304,Pantry!$A$5:$A$304,B956))</f>
        <v>0</v>
      </c>
      <c r="S956" s="8">
        <f>IF(OR(B956="",C956=""),"",MAX(0,C956-R956))</f>
        <v>0</v>
      </c>
      <c r="T956" s="26"/>
      <c r="U956" s="8">
        <f>IF(OR(T956="",T956=0,G956=""),"",T956*G956)</f>
        <v>0</v>
      </c>
      <c r="V956" s="8">
        <f>IF(OR(S956="",T956="",T956=0),"",CEILING(S956/T956,1))</f>
        <v>0</v>
      </c>
      <c r="W956" s="27"/>
      <c r="X956" s="29"/>
      <c r="Y956" s="8">
        <f>IF(OR(C956="",X956=""),"",C956*(1+X956))</f>
        <v>0</v>
      </c>
      <c r="Z956" s="8">
        <f>IF(B956="","",IFERROR(INDEX(Ingredients!$O$5:$O$304,MATCH(B956,Ingredients!$A$5:$A$304,0)),""))</f>
        <v>0</v>
      </c>
      <c r="AA956" s="8">
        <f>IF(B956="","",IF(R956&gt;=C956,"In pantry","To buy"))</f>
        <v>0</v>
      </c>
      <c r="AB956" s="8">
        <f>IF(A956="","",COUNTIFS($A$5:A956,A956))</f>
        <v>0</v>
      </c>
      <c r="AC956" s="8">
        <f>IF(B956="","",IF(COUNTIFS('Dietary Filters'!$C$5:$C$104,B956)&gt;0,"Check","OK"))</f>
        <v>0</v>
      </c>
      <c r="AD956" s="25"/>
    </row>
    <row r="957" spans="1:30">
      <c r="A957" s="7"/>
      <c r="B957" s="7"/>
      <c r="C957" s="26"/>
      <c r="D957" s="27"/>
      <c r="E957" s="8">
        <f>IF(B957="","",IFERROR(INDEX(Ingredients!$B$5:$B$304,MATCH(B957,Ingredients!$A$5:$A$304,0)),""))</f>
        <v>0</v>
      </c>
      <c r="F957" s="8">
        <f>IF(B957="","",IFERROR(INDEX(Ingredients!$E$5:$E$304,MATCH(B957,Ingredients!$A$5:$A$304,0)),""))</f>
        <v>0</v>
      </c>
      <c r="G957" s="8">
        <f>IF(B957="","",IFERROR(INDEX(Ingredients!$D$5:$D$304,MATCH(B957,Ingredients!$A$5:$A$304,0)),""))</f>
        <v>0</v>
      </c>
      <c r="H957" s="8">
        <f>IF(OR(B957="",C957=""),"",IFERROR(C957*G957,""))</f>
        <v>0</v>
      </c>
      <c r="I957" s="8">
        <f>IF(A957="","",IFERROR(INDEX(Recipes!$D$5:$D$204,MATCH(A957,Recipes!$A$5:$A$204,0)),""))</f>
        <v>0</v>
      </c>
      <c r="J957" s="8">
        <f>IF(OR(H957="",I957="",I957=0),"",IFERROR(H957/I957,""))</f>
        <v>0</v>
      </c>
      <c r="K957" s="8">
        <f>IF(OR(B957="",C957=""),"",IFERROR(C957*IFERROR(INDEX(Ingredients!$H$5:$H$304,MATCH(B957,Ingredients!$A$5:$A$304,0)),""),""))</f>
        <v>0</v>
      </c>
      <c r="L957" s="8">
        <f>IF(OR(B957="",C957=""),"",IFERROR(C957*IFERROR(INDEX(Ingredients!$I$5:$I$304,MATCH(B957,Ingredients!$A$5:$A$304,0)),""),""))</f>
        <v>0</v>
      </c>
      <c r="M957" s="8">
        <f>IF(OR(B957="",C957=""),"",IFERROR(C957*IFERROR(INDEX(Ingredients!$J$5:$J$304,MATCH(B957,Ingredients!$A$5:$A$304,0)),""),""))</f>
        <v>0</v>
      </c>
      <c r="N957" s="8">
        <f>IF(OR(B957="",C957=""),"",IFERROR(C957*IFERROR(INDEX(Ingredients!$K$5:$K$304,MATCH(B957,Ingredients!$A$5:$A$304,0)),""),""))</f>
        <v>0</v>
      </c>
      <c r="O957" s="8">
        <f>IF(OR(B957="",C957=""),"",IFERROR(C957*IFERROR(INDEX(Ingredients!$L$5:$L$304,MATCH(B957,Ingredients!$A$5:$A$304,0)),""),""))</f>
        <v>0</v>
      </c>
      <c r="P957" s="8">
        <f>IF(OR(H957="",A957=""),"",IFERROR(H957/SUMIFS('Recipe Ingredients'!$H$5:$H$1204,'Recipe Ingredients'!$A$5:$A$1204,A957),""))</f>
        <v>0</v>
      </c>
      <c r="Q957" s="8">
        <f>IF(H957="","",COUNTIFS($H$5:$H$1204,"&gt;"&amp;H957)+1)</f>
        <v>0</v>
      </c>
      <c r="R957" s="8">
        <f>IF(B957="","",SUMIFS(Pantry!$C$5:$C$304,Pantry!$A$5:$A$304,B957))</f>
        <v>0</v>
      </c>
      <c r="S957" s="8">
        <f>IF(OR(B957="",C957=""),"",MAX(0,C957-R957))</f>
        <v>0</v>
      </c>
      <c r="T957" s="26"/>
      <c r="U957" s="8">
        <f>IF(OR(T957="",T957=0,G957=""),"",T957*G957)</f>
        <v>0</v>
      </c>
      <c r="V957" s="8">
        <f>IF(OR(S957="",T957="",T957=0),"",CEILING(S957/T957,1))</f>
        <v>0</v>
      </c>
      <c r="W957" s="27"/>
      <c r="X957" s="29"/>
      <c r="Y957" s="8">
        <f>IF(OR(C957="",X957=""),"",C957*(1+X957))</f>
        <v>0</v>
      </c>
      <c r="Z957" s="8">
        <f>IF(B957="","",IFERROR(INDEX(Ingredients!$O$5:$O$304,MATCH(B957,Ingredients!$A$5:$A$304,0)),""))</f>
        <v>0</v>
      </c>
      <c r="AA957" s="8">
        <f>IF(B957="","",IF(R957&gt;=C957,"In pantry","To buy"))</f>
        <v>0</v>
      </c>
      <c r="AB957" s="8">
        <f>IF(A957="","",COUNTIFS($A$5:A957,A957))</f>
        <v>0</v>
      </c>
      <c r="AC957" s="8">
        <f>IF(B957="","",IF(COUNTIFS('Dietary Filters'!$C$5:$C$104,B957)&gt;0,"Check","OK"))</f>
        <v>0</v>
      </c>
      <c r="AD957" s="25"/>
    </row>
    <row r="958" spans="1:30">
      <c r="A958" s="7"/>
      <c r="B958" s="7"/>
      <c r="C958" s="26"/>
      <c r="D958" s="27"/>
      <c r="E958" s="8">
        <f>IF(B958="","",IFERROR(INDEX(Ingredients!$B$5:$B$304,MATCH(B958,Ingredients!$A$5:$A$304,0)),""))</f>
        <v>0</v>
      </c>
      <c r="F958" s="8">
        <f>IF(B958="","",IFERROR(INDEX(Ingredients!$E$5:$E$304,MATCH(B958,Ingredients!$A$5:$A$304,0)),""))</f>
        <v>0</v>
      </c>
      <c r="G958" s="8">
        <f>IF(B958="","",IFERROR(INDEX(Ingredients!$D$5:$D$304,MATCH(B958,Ingredients!$A$5:$A$304,0)),""))</f>
        <v>0</v>
      </c>
      <c r="H958" s="8">
        <f>IF(OR(B958="",C958=""),"",IFERROR(C958*G958,""))</f>
        <v>0</v>
      </c>
      <c r="I958" s="8">
        <f>IF(A958="","",IFERROR(INDEX(Recipes!$D$5:$D$204,MATCH(A958,Recipes!$A$5:$A$204,0)),""))</f>
        <v>0</v>
      </c>
      <c r="J958" s="8">
        <f>IF(OR(H958="",I958="",I958=0),"",IFERROR(H958/I958,""))</f>
        <v>0</v>
      </c>
      <c r="K958" s="8">
        <f>IF(OR(B958="",C958=""),"",IFERROR(C958*IFERROR(INDEX(Ingredients!$H$5:$H$304,MATCH(B958,Ingredients!$A$5:$A$304,0)),""),""))</f>
        <v>0</v>
      </c>
      <c r="L958" s="8">
        <f>IF(OR(B958="",C958=""),"",IFERROR(C958*IFERROR(INDEX(Ingredients!$I$5:$I$304,MATCH(B958,Ingredients!$A$5:$A$304,0)),""),""))</f>
        <v>0</v>
      </c>
      <c r="M958" s="8">
        <f>IF(OR(B958="",C958=""),"",IFERROR(C958*IFERROR(INDEX(Ingredients!$J$5:$J$304,MATCH(B958,Ingredients!$A$5:$A$304,0)),""),""))</f>
        <v>0</v>
      </c>
      <c r="N958" s="8">
        <f>IF(OR(B958="",C958=""),"",IFERROR(C958*IFERROR(INDEX(Ingredients!$K$5:$K$304,MATCH(B958,Ingredients!$A$5:$A$304,0)),""),""))</f>
        <v>0</v>
      </c>
      <c r="O958" s="8">
        <f>IF(OR(B958="",C958=""),"",IFERROR(C958*IFERROR(INDEX(Ingredients!$L$5:$L$304,MATCH(B958,Ingredients!$A$5:$A$304,0)),""),""))</f>
        <v>0</v>
      </c>
      <c r="P958" s="8">
        <f>IF(OR(H958="",A958=""),"",IFERROR(H958/SUMIFS('Recipe Ingredients'!$H$5:$H$1204,'Recipe Ingredients'!$A$5:$A$1204,A958),""))</f>
        <v>0</v>
      </c>
      <c r="Q958" s="8">
        <f>IF(H958="","",COUNTIFS($H$5:$H$1204,"&gt;"&amp;H958)+1)</f>
        <v>0</v>
      </c>
      <c r="R958" s="8">
        <f>IF(B958="","",SUMIFS(Pantry!$C$5:$C$304,Pantry!$A$5:$A$304,B958))</f>
        <v>0</v>
      </c>
      <c r="S958" s="8">
        <f>IF(OR(B958="",C958=""),"",MAX(0,C958-R958))</f>
        <v>0</v>
      </c>
      <c r="T958" s="26"/>
      <c r="U958" s="8">
        <f>IF(OR(T958="",T958=0,G958=""),"",T958*G958)</f>
        <v>0</v>
      </c>
      <c r="V958" s="8">
        <f>IF(OR(S958="",T958="",T958=0),"",CEILING(S958/T958,1))</f>
        <v>0</v>
      </c>
      <c r="W958" s="27"/>
      <c r="X958" s="29"/>
      <c r="Y958" s="8">
        <f>IF(OR(C958="",X958=""),"",C958*(1+X958))</f>
        <v>0</v>
      </c>
      <c r="Z958" s="8">
        <f>IF(B958="","",IFERROR(INDEX(Ingredients!$O$5:$O$304,MATCH(B958,Ingredients!$A$5:$A$304,0)),""))</f>
        <v>0</v>
      </c>
      <c r="AA958" s="8">
        <f>IF(B958="","",IF(R958&gt;=C958,"In pantry","To buy"))</f>
        <v>0</v>
      </c>
      <c r="AB958" s="8">
        <f>IF(A958="","",COUNTIFS($A$5:A958,A958))</f>
        <v>0</v>
      </c>
      <c r="AC958" s="8">
        <f>IF(B958="","",IF(COUNTIFS('Dietary Filters'!$C$5:$C$104,B958)&gt;0,"Check","OK"))</f>
        <v>0</v>
      </c>
      <c r="AD958" s="25"/>
    </row>
    <row r="959" spans="1:30">
      <c r="A959" s="7"/>
      <c r="B959" s="7"/>
      <c r="C959" s="26"/>
      <c r="D959" s="27"/>
      <c r="E959" s="8">
        <f>IF(B959="","",IFERROR(INDEX(Ingredients!$B$5:$B$304,MATCH(B959,Ingredients!$A$5:$A$304,0)),""))</f>
        <v>0</v>
      </c>
      <c r="F959" s="8">
        <f>IF(B959="","",IFERROR(INDEX(Ingredients!$E$5:$E$304,MATCH(B959,Ingredients!$A$5:$A$304,0)),""))</f>
        <v>0</v>
      </c>
      <c r="G959" s="8">
        <f>IF(B959="","",IFERROR(INDEX(Ingredients!$D$5:$D$304,MATCH(B959,Ingredients!$A$5:$A$304,0)),""))</f>
        <v>0</v>
      </c>
      <c r="H959" s="8">
        <f>IF(OR(B959="",C959=""),"",IFERROR(C959*G959,""))</f>
        <v>0</v>
      </c>
      <c r="I959" s="8">
        <f>IF(A959="","",IFERROR(INDEX(Recipes!$D$5:$D$204,MATCH(A959,Recipes!$A$5:$A$204,0)),""))</f>
        <v>0</v>
      </c>
      <c r="J959" s="8">
        <f>IF(OR(H959="",I959="",I959=0),"",IFERROR(H959/I959,""))</f>
        <v>0</v>
      </c>
      <c r="K959" s="8">
        <f>IF(OR(B959="",C959=""),"",IFERROR(C959*IFERROR(INDEX(Ingredients!$H$5:$H$304,MATCH(B959,Ingredients!$A$5:$A$304,0)),""),""))</f>
        <v>0</v>
      </c>
      <c r="L959" s="8">
        <f>IF(OR(B959="",C959=""),"",IFERROR(C959*IFERROR(INDEX(Ingredients!$I$5:$I$304,MATCH(B959,Ingredients!$A$5:$A$304,0)),""),""))</f>
        <v>0</v>
      </c>
      <c r="M959" s="8">
        <f>IF(OR(B959="",C959=""),"",IFERROR(C959*IFERROR(INDEX(Ingredients!$J$5:$J$304,MATCH(B959,Ingredients!$A$5:$A$304,0)),""),""))</f>
        <v>0</v>
      </c>
      <c r="N959" s="8">
        <f>IF(OR(B959="",C959=""),"",IFERROR(C959*IFERROR(INDEX(Ingredients!$K$5:$K$304,MATCH(B959,Ingredients!$A$5:$A$304,0)),""),""))</f>
        <v>0</v>
      </c>
      <c r="O959" s="8">
        <f>IF(OR(B959="",C959=""),"",IFERROR(C959*IFERROR(INDEX(Ingredients!$L$5:$L$304,MATCH(B959,Ingredients!$A$5:$A$304,0)),""),""))</f>
        <v>0</v>
      </c>
      <c r="P959" s="8">
        <f>IF(OR(H959="",A959=""),"",IFERROR(H959/SUMIFS('Recipe Ingredients'!$H$5:$H$1204,'Recipe Ingredients'!$A$5:$A$1204,A959),""))</f>
        <v>0</v>
      </c>
      <c r="Q959" s="8">
        <f>IF(H959="","",COUNTIFS($H$5:$H$1204,"&gt;"&amp;H959)+1)</f>
        <v>0</v>
      </c>
      <c r="R959" s="8">
        <f>IF(B959="","",SUMIFS(Pantry!$C$5:$C$304,Pantry!$A$5:$A$304,B959))</f>
        <v>0</v>
      </c>
      <c r="S959" s="8">
        <f>IF(OR(B959="",C959=""),"",MAX(0,C959-R959))</f>
        <v>0</v>
      </c>
      <c r="T959" s="26"/>
      <c r="U959" s="8">
        <f>IF(OR(T959="",T959=0,G959=""),"",T959*G959)</f>
        <v>0</v>
      </c>
      <c r="V959" s="8">
        <f>IF(OR(S959="",T959="",T959=0),"",CEILING(S959/T959,1))</f>
        <v>0</v>
      </c>
      <c r="W959" s="27"/>
      <c r="X959" s="29"/>
      <c r="Y959" s="8">
        <f>IF(OR(C959="",X959=""),"",C959*(1+X959))</f>
        <v>0</v>
      </c>
      <c r="Z959" s="8">
        <f>IF(B959="","",IFERROR(INDEX(Ingredients!$O$5:$O$304,MATCH(B959,Ingredients!$A$5:$A$304,0)),""))</f>
        <v>0</v>
      </c>
      <c r="AA959" s="8">
        <f>IF(B959="","",IF(R959&gt;=C959,"In pantry","To buy"))</f>
        <v>0</v>
      </c>
      <c r="AB959" s="8">
        <f>IF(A959="","",COUNTIFS($A$5:A959,A959))</f>
        <v>0</v>
      </c>
      <c r="AC959" s="8">
        <f>IF(B959="","",IF(COUNTIFS('Dietary Filters'!$C$5:$C$104,B959)&gt;0,"Check","OK"))</f>
        <v>0</v>
      </c>
      <c r="AD959" s="25"/>
    </row>
    <row r="960" spans="1:30">
      <c r="A960" s="7"/>
      <c r="B960" s="7"/>
      <c r="C960" s="26"/>
      <c r="D960" s="27"/>
      <c r="E960" s="8">
        <f>IF(B960="","",IFERROR(INDEX(Ingredients!$B$5:$B$304,MATCH(B960,Ingredients!$A$5:$A$304,0)),""))</f>
        <v>0</v>
      </c>
      <c r="F960" s="8">
        <f>IF(B960="","",IFERROR(INDEX(Ingredients!$E$5:$E$304,MATCH(B960,Ingredients!$A$5:$A$304,0)),""))</f>
        <v>0</v>
      </c>
      <c r="G960" s="8">
        <f>IF(B960="","",IFERROR(INDEX(Ingredients!$D$5:$D$304,MATCH(B960,Ingredients!$A$5:$A$304,0)),""))</f>
        <v>0</v>
      </c>
      <c r="H960" s="8">
        <f>IF(OR(B960="",C960=""),"",IFERROR(C960*G960,""))</f>
        <v>0</v>
      </c>
      <c r="I960" s="8">
        <f>IF(A960="","",IFERROR(INDEX(Recipes!$D$5:$D$204,MATCH(A960,Recipes!$A$5:$A$204,0)),""))</f>
        <v>0</v>
      </c>
      <c r="J960" s="8">
        <f>IF(OR(H960="",I960="",I960=0),"",IFERROR(H960/I960,""))</f>
        <v>0</v>
      </c>
      <c r="K960" s="8">
        <f>IF(OR(B960="",C960=""),"",IFERROR(C960*IFERROR(INDEX(Ingredients!$H$5:$H$304,MATCH(B960,Ingredients!$A$5:$A$304,0)),""),""))</f>
        <v>0</v>
      </c>
      <c r="L960" s="8">
        <f>IF(OR(B960="",C960=""),"",IFERROR(C960*IFERROR(INDEX(Ingredients!$I$5:$I$304,MATCH(B960,Ingredients!$A$5:$A$304,0)),""),""))</f>
        <v>0</v>
      </c>
      <c r="M960" s="8">
        <f>IF(OR(B960="",C960=""),"",IFERROR(C960*IFERROR(INDEX(Ingredients!$J$5:$J$304,MATCH(B960,Ingredients!$A$5:$A$304,0)),""),""))</f>
        <v>0</v>
      </c>
      <c r="N960" s="8">
        <f>IF(OR(B960="",C960=""),"",IFERROR(C960*IFERROR(INDEX(Ingredients!$K$5:$K$304,MATCH(B960,Ingredients!$A$5:$A$304,0)),""),""))</f>
        <v>0</v>
      </c>
      <c r="O960" s="8">
        <f>IF(OR(B960="",C960=""),"",IFERROR(C960*IFERROR(INDEX(Ingredients!$L$5:$L$304,MATCH(B960,Ingredients!$A$5:$A$304,0)),""),""))</f>
        <v>0</v>
      </c>
      <c r="P960" s="8">
        <f>IF(OR(H960="",A960=""),"",IFERROR(H960/SUMIFS('Recipe Ingredients'!$H$5:$H$1204,'Recipe Ingredients'!$A$5:$A$1204,A960),""))</f>
        <v>0</v>
      </c>
      <c r="Q960" s="8">
        <f>IF(H960="","",COUNTIFS($H$5:$H$1204,"&gt;"&amp;H960)+1)</f>
        <v>0</v>
      </c>
      <c r="R960" s="8">
        <f>IF(B960="","",SUMIFS(Pantry!$C$5:$C$304,Pantry!$A$5:$A$304,B960))</f>
        <v>0</v>
      </c>
      <c r="S960" s="8">
        <f>IF(OR(B960="",C960=""),"",MAX(0,C960-R960))</f>
        <v>0</v>
      </c>
      <c r="T960" s="26"/>
      <c r="U960" s="8">
        <f>IF(OR(T960="",T960=0,G960=""),"",T960*G960)</f>
        <v>0</v>
      </c>
      <c r="V960" s="8">
        <f>IF(OR(S960="",T960="",T960=0),"",CEILING(S960/T960,1))</f>
        <v>0</v>
      </c>
      <c r="W960" s="27"/>
      <c r="X960" s="29"/>
      <c r="Y960" s="8">
        <f>IF(OR(C960="",X960=""),"",C960*(1+X960))</f>
        <v>0</v>
      </c>
      <c r="Z960" s="8">
        <f>IF(B960="","",IFERROR(INDEX(Ingredients!$O$5:$O$304,MATCH(B960,Ingredients!$A$5:$A$304,0)),""))</f>
        <v>0</v>
      </c>
      <c r="AA960" s="8">
        <f>IF(B960="","",IF(R960&gt;=C960,"In pantry","To buy"))</f>
        <v>0</v>
      </c>
      <c r="AB960" s="8">
        <f>IF(A960="","",COUNTIFS($A$5:A960,A960))</f>
        <v>0</v>
      </c>
      <c r="AC960" s="8">
        <f>IF(B960="","",IF(COUNTIFS('Dietary Filters'!$C$5:$C$104,B960)&gt;0,"Check","OK"))</f>
        <v>0</v>
      </c>
      <c r="AD960" s="25"/>
    </row>
    <row r="961" spans="1:30">
      <c r="A961" s="7"/>
      <c r="B961" s="7"/>
      <c r="C961" s="26"/>
      <c r="D961" s="27"/>
      <c r="E961" s="8">
        <f>IF(B961="","",IFERROR(INDEX(Ingredients!$B$5:$B$304,MATCH(B961,Ingredients!$A$5:$A$304,0)),""))</f>
        <v>0</v>
      </c>
      <c r="F961" s="8">
        <f>IF(B961="","",IFERROR(INDEX(Ingredients!$E$5:$E$304,MATCH(B961,Ingredients!$A$5:$A$304,0)),""))</f>
        <v>0</v>
      </c>
      <c r="G961" s="8">
        <f>IF(B961="","",IFERROR(INDEX(Ingredients!$D$5:$D$304,MATCH(B961,Ingredients!$A$5:$A$304,0)),""))</f>
        <v>0</v>
      </c>
      <c r="H961" s="8">
        <f>IF(OR(B961="",C961=""),"",IFERROR(C961*G961,""))</f>
        <v>0</v>
      </c>
      <c r="I961" s="8">
        <f>IF(A961="","",IFERROR(INDEX(Recipes!$D$5:$D$204,MATCH(A961,Recipes!$A$5:$A$204,0)),""))</f>
        <v>0</v>
      </c>
      <c r="J961" s="8">
        <f>IF(OR(H961="",I961="",I961=0),"",IFERROR(H961/I961,""))</f>
        <v>0</v>
      </c>
      <c r="K961" s="8">
        <f>IF(OR(B961="",C961=""),"",IFERROR(C961*IFERROR(INDEX(Ingredients!$H$5:$H$304,MATCH(B961,Ingredients!$A$5:$A$304,0)),""),""))</f>
        <v>0</v>
      </c>
      <c r="L961" s="8">
        <f>IF(OR(B961="",C961=""),"",IFERROR(C961*IFERROR(INDEX(Ingredients!$I$5:$I$304,MATCH(B961,Ingredients!$A$5:$A$304,0)),""),""))</f>
        <v>0</v>
      </c>
      <c r="M961" s="8">
        <f>IF(OR(B961="",C961=""),"",IFERROR(C961*IFERROR(INDEX(Ingredients!$J$5:$J$304,MATCH(B961,Ingredients!$A$5:$A$304,0)),""),""))</f>
        <v>0</v>
      </c>
      <c r="N961" s="8">
        <f>IF(OR(B961="",C961=""),"",IFERROR(C961*IFERROR(INDEX(Ingredients!$K$5:$K$304,MATCH(B961,Ingredients!$A$5:$A$304,0)),""),""))</f>
        <v>0</v>
      </c>
      <c r="O961" s="8">
        <f>IF(OR(B961="",C961=""),"",IFERROR(C961*IFERROR(INDEX(Ingredients!$L$5:$L$304,MATCH(B961,Ingredients!$A$5:$A$304,0)),""),""))</f>
        <v>0</v>
      </c>
      <c r="P961" s="8">
        <f>IF(OR(H961="",A961=""),"",IFERROR(H961/SUMIFS('Recipe Ingredients'!$H$5:$H$1204,'Recipe Ingredients'!$A$5:$A$1204,A961),""))</f>
        <v>0</v>
      </c>
      <c r="Q961" s="8">
        <f>IF(H961="","",COUNTIFS($H$5:$H$1204,"&gt;"&amp;H961)+1)</f>
        <v>0</v>
      </c>
      <c r="R961" s="8">
        <f>IF(B961="","",SUMIFS(Pantry!$C$5:$C$304,Pantry!$A$5:$A$304,B961))</f>
        <v>0</v>
      </c>
      <c r="S961" s="8">
        <f>IF(OR(B961="",C961=""),"",MAX(0,C961-R961))</f>
        <v>0</v>
      </c>
      <c r="T961" s="26"/>
      <c r="U961" s="8">
        <f>IF(OR(T961="",T961=0,G961=""),"",T961*G961)</f>
        <v>0</v>
      </c>
      <c r="V961" s="8">
        <f>IF(OR(S961="",T961="",T961=0),"",CEILING(S961/T961,1))</f>
        <v>0</v>
      </c>
      <c r="W961" s="27"/>
      <c r="X961" s="29"/>
      <c r="Y961" s="8">
        <f>IF(OR(C961="",X961=""),"",C961*(1+X961))</f>
        <v>0</v>
      </c>
      <c r="Z961" s="8">
        <f>IF(B961="","",IFERROR(INDEX(Ingredients!$O$5:$O$304,MATCH(B961,Ingredients!$A$5:$A$304,0)),""))</f>
        <v>0</v>
      </c>
      <c r="AA961" s="8">
        <f>IF(B961="","",IF(R961&gt;=C961,"In pantry","To buy"))</f>
        <v>0</v>
      </c>
      <c r="AB961" s="8">
        <f>IF(A961="","",COUNTIFS($A$5:A961,A961))</f>
        <v>0</v>
      </c>
      <c r="AC961" s="8">
        <f>IF(B961="","",IF(COUNTIFS('Dietary Filters'!$C$5:$C$104,B961)&gt;0,"Check","OK"))</f>
        <v>0</v>
      </c>
      <c r="AD961" s="25"/>
    </row>
    <row r="962" spans="1:30">
      <c r="A962" s="7"/>
      <c r="B962" s="7"/>
      <c r="C962" s="26"/>
      <c r="D962" s="27"/>
      <c r="E962" s="8">
        <f>IF(B962="","",IFERROR(INDEX(Ingredients!$B$5:$B$304,MATCH(B962,Ingredients!$A$5:$A$304,0)),""))</f>
        <v>0</v>
      </c>
      <c r="F962" s="8">
        <f>IF(B962="","",IFERROR(INDEX(Ingredients!$E$5:$E$304,MATCH(B962,Ingredients!$A$5:$A$304,0)),""))</f>
        <v>0</v>
      </c>
      <c r="G962" s="8">
        <f>IF(B962="","",IFERROR(INDEX(Ingredients!$D$5:$D$304,MATCH(B962,Ingredients!$A$5:$A$304,0)),""))</f>
        <v>0</v>
      </c>
      <c r="H962" s="8">
        <f>IF(OR(B962="",C962=""),"",IFERROR(C962*G962,""))</f>
        <v>0</v>
      </c>
      <c r="I962" s="8">
        <f>IF(A962="","",IFERROR(INDEX(Recipes!$D$5:$D$204,MATCH(A962,Recipes!$A$5:$A$204,0)),""))</f>
        <v>0</v>
      </c>
      <c r="J962" s="8">
        <f>IF(OR(H962="",I962="",I962=0),"",IFERROR(H962/I962,""))</f>
        <v>0</v>
      </c>
      <c r="K962" s="8">
        <f>IF(OR(B962="",C962=""),"",IFERROR(C962*IFERROR(INDEX(Ingredients!$H$5:$H$304,MATCH(B962,Ingredients!$A$5:$A$304,0)),""),""))</f>
        <v>0</v>
      </c>
      <c r="L962" s="8">
        <f>IF(OR(B962="",C962=""),"",IFERROR(C962*IFERROR(INDEX(Ingredients!$I$5:$I$304,MATCH(B962,Ingredients!$A$5:$A$304,0)),""),""))</f>
        <v>0</v>
      </c>
      <c r="M962" s="8">
        <f>IF(OR(B962="",C962=""),"",IFERROR(C962*IFERROR(INDEX(Ingredients!$J$5:$J$304,MATCH(B962,Ingredients!$A$5:$A$304,0)),""),""))</f>
        <v>0</v>
      </c>
      <c r="N962" s="8">
        <f>IF(OR(B962="",C962=""),"",IFERROR(C962*IFERROR(INDEX(Ingredients!$K$5:$K$304,MATCH(B962,Ingredients!$A$5:$A$304,0)),""),""))</f>
        <v>0</v>
      </c>
      <c r="O962" s="8">
        <f>IF(OR(B962="",C962=""),"",IFERROR(C962*IFERROR(INDEX(Ingredients!$L$5:$L$304,MATCH(B962,Ingredients!$A$5:$A$304,0)),""),""))</f>
        <v>0</v>
      </c>
      <c r="P962" s="8">
        <f>IF(OR(H962="",A962=""),"",IFERROR(H962/SUMIFS('Recipe Ingredients'!$H$5:$H$1204,'Recipe Ingredients'!$A$5:$A$1204,A962),""))</f>
        <v>0</v>
      </c>
      <c r="Q962" s="8">
        <f>IF(H962="","",COUNTIFS($H$5:$H$1204,"&gt;"&amp;H962)+1)</f>
        <v>0</v>
      </c>
      <c r="R962" s="8">
        <f>IF(B962="","",SUMIFS(Pantry!$C$5:$C$304,Pantry!$A$5:$A$304,B962))</f>
        <v>0</v>
      </c>
      <c r="S962" s="8">
        <f>IF(OR(B962="",C962=""),"",MAX(0,C962-R962))</f>
        <v>0</v>
      </c>
      <c r="T962" s="26"/>
      <c r="U962" s="8">
        <f>IF(OR(T962="",T962=0,G962=""),"",T962*G962)</f>
        <v>0</v>
      </c>
      <c r="V962" s="8">
        <f>IF(OR(S962="",T962="",T962=0),"",CEILING(S962/T962,1))</f>
        <v>0</v>
      </c>
      <c r="W962" s="27"/>
      <c r="X962" s="29"/>
      <c r="Y962" s="8">
        <f>IF(OR(C962="",X962=""),"",C962*(1+X962))</f>
        <v>0</v>
      </c>
      <c r="Z962" s="8">
        <f>IF(B962="","",IFERROR(INDEX(Ingredients!$O$5:$O$304,MATCH(B962,Ingredients!$A$5:$A$304,0)),""))</f>
        <v>0</v>
      </c>
      <c r="AA962" s="8">
        <f>IF(B962="","",IF(R962&gt;=C962,"In pantry","To buy"))</f>
        <v>0</v>
      </c>
      <c r="AB962" s="8">
        <f>IF(A962="","",COUNTIFS($A$5:A962,A962))</f>
        <v>0</v>
      </c>
      <c r="AC962" s="8">
        <f>IF(B962="","",IF(COUNTIFS('Dietary Filters'!$C$5:$C$104,B962)&gt;0,"Check","OK"))</f>
        <v>0</v>
      </c>
      <c r="AD962" s="25"/>
    </row>
    <row r="963" spans="1:30">
      <c r="A963" s="7"/>
      <c r="B963" s="7"/>
      <c r="C963" s="26"/>
      <c r="D963" s="27"/>
      <c r="E963" s="8">
        <f>IF(B963="","",IFERROR(INDEX(Ingredients!$B$5:$B$304,MATCH(B963,Ingredients!$A$5:$A$304,0)),""))</f>
        <v>0</v>
      </c>
      <c r="F963" s="8">
        <f>IF(B963="","",IFERROR(INDEX(Ingredients!$E$5:$E$304,MATCH(B963,Ingredients!$A$5:$A$304,0)),""))</f>
        <v>0</v>
      </c>
      <c r="G963" s="8">
        <f>IF(B963="","",IFERROR(INDEX(Ingredients!$D$5:$D$304,MATCH(B963,Ingredients!$A$5:$A$304,0)),""))</f>
        <v>0</v>
      </c>
      <c r="H963" s="8">
        <f>IF(OR(B963="",C963=""),"",IFERROR(C963*G963,""))</f>
        <v>0</v>
      </c>
      <c r="I963" s="8">
        <f>IF(A963="","",IFERROR(INDEX(Recipes!$D$5:$D$204,MATCH(A963,Recipes!$A$5:$A$204,0)),""))</f>
        <v>0</v>
      </c>
      <c r="J963" s="8">
        <f>IF(OR(H963="",I963="",I963=0),"",IFERROR(H963/I963,""))</f>
        <v>0</v>
      </c>
      <c r="K963" s="8">
        <f>IF(OR(B963="",C963=""),"",IFERROR(C963*IFERROR(INDEX(Ingredients!$H$5:$H$304,MATCH(B963,Ingredients!$A$5:$A$304,0)),""),""))</f>
        <v>0</v>
      </c>
      <c r="L963" s="8">
        <f>IF(OR(B963="",C963=""),"",IFERROR(C963*IFERROR(INDEX(Ingredients!$I$5:$I$304,MATCH(B963,Ingredients!$A$5:$A$304,0)),""),""))</f>
        <v>0</v>
      </c>
      <c r="M963" s="8">
        <f>IF(OR(B963="",C963=""),"",IFERROR(C963*IFERROR(INDEX(Ingredients!$J$5:$J$304,MATCH(B963,Ingredients!$A$5:$A$304,0)),""),""))</f>
        <v>0</v>
      </c>
      <c r="N963" s="8">
        <f>IF(OR(B963="",C963=""),"",IFERROR(C963*IFERROR(INDEX(Ingredients!$K$5:$K$304,MATCH(B963,Ingredients!$A$5:$A$304,0)),""),""))</f>
        <v>0</v>
      </c>
      <c r="O963" s="8">
        <f>IF(OR(B963="",C963=""),"",IFERROR(C963*IFERROR(INDEX(Ingredients!$L$5:$L$304,MATCH(B963,Ingredients!$A$5:$A$304,0)),""),""))</f>
        <v>0</v>
      </c>
      <c r="P963" s="8">
        <f>IF(OR(H963="",A963=""),"",IFERROR(H963/SUMIFS('Recipe Ingredients'!$H$5:$H$1204,'Recipe Ingredients'!$A$5:$A$1204,A963),""))</f>
        <v>0</v>
      </c>
      <c r="Q963" s="8">
        <f>IF(H963="","",COUNTIFS($H$5:$H$1204,"&gt;"&amp;H963)+1)</f>
        <v>0</v>
      </c>
      <c r="R963" s="8">
        <f>IF(B963="","",SUMIFS(Pantry!$C$5:$C$304,Pantry!$A$5:$A$304,B963))</f>
        <v>0</v>
      </c>
      <c r="S963" s="8">
        <f>IF(OR(B963="",C963=""),"",MAX(0,C963-R963))</f>
        <v>0</v>
      </c>
      <c r="T963" s="26"/>
      <c r="U963" s="8">
        <f>IF(OR(T963="",T963=0,G963=""),"",T963*G963)</f>
        <v>0</v>
      </c>
      <c r="V963" s="8">
        <f>IF(OR(S963="",T963="",T963=0),"",CEILING(S963/T963,1))</f>
        <v>0</v>
      </c>
      <c r="W963" s="27"/>
      <c r="X963" s="29"/>
      <c r="Y963" s="8">
        <f>IF(OR(C963="",X963=""),"",C963*(1+X963))</f>
        <v>0</v>
      </c>
      <c r="Z963" s="8">
        <f>IF(B963="","",IFERROR(INDEX(Ingredients!$O$5:$O$304,MATCH(B963,Ingredients!$A$5:$A$304,0)),""))</f>
        <v>0</v>
      </c>
      <c r="AA963" s="8">
        <f>IF(B963="","",IF(R963&gt;=C963,"In pantry","To buy"))</f>
        <v>0</v>
      </c>
      <c r="AB963" s="8">
        <f>IF(A963="","",COUNTIFS($A$5:A963,A963))</f>
        <v>0</v>
      </c>
      <c r="AC963" s="8">
        <f>IF(B963="","",IF(COUNTIFS('Dietary Filters'!$C$5:$C$104,B963)&gt;0,"Check","OK"))</f>
        <v>0</v>
      </c>
      <c r="AD963" s="25"/>
    </row>
    <row r="964" spans="1:30">
      <c r="A964" s="7"/>
      <c r="B964" s="7"/>
      <c r="C964" s="26"/>
      <c r="D964" s="27"/>
      <c r="E964" s="8">
        <f>IF(B964="","",IFERROR(INDEX(Ingredients!$B$5:$B$304,MATCH(B964,Ingredients!$A$5:$A$304,0)),""))</f>
        <v>0</v>
      </c>
      <c r="F964" s="8">
        <f>IF(B964="","",IFERROR(INDEX(Ingredients!$E$5:$E$304,MATCH(B964,Ingredients!$A$5:$A$304,0)),""))</f>
        <v>0</v>
      </c>
      <c r="G964" s="8">
        <f>IF(B964="","",IFERROR(INDEX(Ingredients!$D$5:$D$304,MATCH(B964,Ingredients!$A$5:$A$304,0)),""))</f>
        <v>0</v>
      </c>
      <c r="H964" s="8">
        <f>IF(OR(B964="",C964=""),"",IFERROR(C964*G964,""))</f>
        <v>0</v>
      </c>
      <c r="I964" s="8">
        <f>IF(A964="","",IFERROR(INDEX(Recipes!$D$5:$D$204,MATCH(A964,Recipes!$A$5:$A$204,0)),""))</f>
        <v>0</v>
      </c>
      <c r="J964" s="8">
        <f>IF(OR(H964="",I964="",I964=0),"",IFERROR(H964/I964,""))</f>
        <v>0</v>
      </c>
      <c r="K964" s="8">
        <f>IF(OR(B964="",C964=""),"",IFERROR(C964*IFERROR(INDEX(Ingredients!$H$5:$H$304,MATCH(B964,Ingredients!$A$5:$A$304,0)),""),""))</f>
        <v>0</v>
      </c>
      <c r="L964" s="8">
        <f>IF(OR(B964="",C964=""),"",IFERROR(C964*IFERROR(INDEX(Ingredients!$I$5:$I$304,MATCH(B964,Ingredients!$A$5:$A$304,0)),""),""))</f>
        <v>0</v>
      </c>
      <c r="M964" s="8">
        <f>IF(OR(B964="",C964=""),"",IFERROR(C964*IFERROR(INDEX(Ingredients!$J$5:$J$304,MATCH(B964,Ingredients!$A$5:$A$304,0)),""),""))</f>
        <v>0</v>
      </c>
      <c r="N964" s="8">
        <f>IF(OR(B964="",C964=""),"",IFERROR(C964*IFERROR(INDEX(Ingredients!$K$5:$K$304,MATCH(B964,Ingredients!$A$5:$A$304,0)),""),""))</f>
        <v>0</v>
      </c>
      <c r="O964" s="8">
        <f>IF(OR(B964="",C964=""),"",IFERROR(C964*IFERROR(INDEX(Ingredients!$L$5:$L$304,MATCH(B964,Ingredients!$A$5:$A$304,0)),""),""))</f>
        <v>0</v>
      </c>
      <c r="P964" s="8">
        <f>IF(OR(H964="",A964=""),"",IFERROR(H964/SUMIFS('Recipe Ingredients'!$H$5:$H$1204,'Recipe Ingredients'!$A$5:$A$1204,A964),""))</f>
        <v>0</v>
      </c>
      <c r="Q964" s="8">
        <f>IF(H964="","",COUNTIFS($H$5:$H$1204,"&gt;"&amp;H964)+1)</f>
        <v>0</v>
      </c>
      <c r="R964" s="8">
        <f>IF(B964="","",SUMIFS(Pantry!$C$5:$C$304,Pantry!$A$5:$A$304,B964))</f>
        <v>0</v>
      </c>
      <c r="S964" s="8">
        <f>IF(OR(B964="",C964=""),"",MAX(0,C964-R964))</f>
        <v>0</v>
      </c>
      <c r="T964" s="26"/>
      <c r="U964" s="8">
        <f>IF(OR(T964="",T964=0,G964=""),"",T964*G964)</f>
        <v>0</v>
      </c>
      <c r="V964" s="8">
        <f>IF(OR(S964="",T964="",T964=0),"",CEILING(S964/T964,1))</f>
        <v>0</v>
      </c>
      <c r="W964" s="27"/>
      <c r="X964" s="29"/>
      <c r="Y964" s="8">
        <f>IF(OR(C964="",X964=""),"",C964*(1+X964))</f>
        <v>0</v>
      </c>
      <c r="Z964" s="8">
        <f>IF(B964="","",IFERROR(INDEX(Ingredients!$O$5:$O$304,MATCH(B964,Ingredients!$A$5:$A$304,0)),""))</f>
        <v>0</v>
      </c>
      <c r="AA964" s="8">
        <f>IF(B964="","",IF(R964&gt;=C964,"In pantry","To buy"))</f>
        <v>0</v>
      </c>
      <c r="AB964" s="8">
        <f>IF(A964="","",COUNTIFS($A$5:A964,A964))</f>
        <v>0</v>
      </c>
      <c r="AC964" s="8">
        <f>IF(B964="","",IF(COUNTIFS('Dietary Filters'!$C$5:$C$104,B964)&gt;0,"Check","OK"))</f>
        <v>0</v>
      </c>
      <c r="AD964" s="25"/>
    </row>
    <row r="965" spans="1:30">
      <c r="A965" s="7"/>
      <c r="B965" s="7"/>
      <c r="C965" s="26"/>
      <c r="D965" s="27"/>
      <c r="E965" s="8">
        <f>IF(B965="","",IFERROR(INDEX(Ingredients!$B$5:$B$304,MATCH(B965,Ingredients!$A$5:$A$304,0)),""))</f>
        <v>0</v>
      </c>
      <c r="F965" s="8">
        <f>IF(B965="","",IFERROR(INDEX(Ingredients!$E$5:$E$304,MATCH(B965,Ingredients!$A$5:$A$304,0)),""))</f>
        <v>0</v>
      </c>
      <c r="G965" s="8">
        <f>IF(B965="","",IFERROR(INDEX(Ingredients!$D$5:$D$304,MATCH(B965,Ingredients!$A$5:$A$304,0)),""))</f>
        <v>0</v>
      </c>
      <c r="H965" s="8">
        <f>IF(OR(B965="",C965=""),"",IFERROR(C965*G965,""))</f>
        <v>0</v>
      </c>
      <c r="I965" s="8">
        <f>IF(A965="","",IFERROR(INDEX(Recipes!$D$5:$D$204,MATCH(A965,Recipes!$A$5:$A$204,0)),""))</f>
        <v>0</v>
      </c>
      <c r="J965" s="8">
        <f>IF(OR(H965="",I965="",I965=0),"",IFERROR(H965/I965,""))</f>
        <v>0</v>
      </c>
      <c r="K965" s="8">
        <f>IF(OR(B965="",C965=""),"",IFERROR(C965*IFERROR(INDEX(Ingredients!$H$5:$H$304,MATCH(B965,Ingredients!$A$5:$A$304,0)),""),""))</f>
        <v>0</v>
      </c>
      <c r="L965" s="8">
        <f>IF(OR(B965="",C965=""),"",IFERROR(C965*IFERROR(INDEX(Ingredients!$I$5:$I$304,MATCH(B965,Ingredients!$A$5:$A$304,0)),""),""))</f>
        <v>0</v>
      </c>
      <c r="M965" s="8">
        <f>IF(OR(B965="",C965=""),"",IFERROR(C965*IFERROR(INDEX(Ingredients!$J$5:$J$304,MATCH(B965,Ingredients!$A$5:$A$304,0)),""),""))</f>
        <v>0</v>
      </c>
      <c r="N965" s="8">
        <f>IF(OR(B965="",C965=""),"",IFERROR(C965*IFERROR(INDEX(Ingredients!$K$5:$K$304,MATCH(B965,Ingredients!$A$5:$A$304,0)),""),""))</f>
        <v>0</v>
      </c>
      <c r="O965" s="8">
        <f>IF(OR(B965="",C965=""),"",IFERROR(C965*IFERROR(INDEX(Ingredients!$L$5:$L$304,MATCH(B965,Ingredients!$A$5:$A$304,0)),""),""))</f>
        <v>0</v>
      </c>
      <c r="P965" s="8">
        <f>IF(OR(H965="",A965=""),"",IFERROR(H965/SUMIFS('Recipe Ingredients'!$H$5:$H$1204,'Recipe Ingredients'!$A$5:$A$1204,A965),""))</f>
        <v>0</v>
      </c>
      <c r="Q965" s="8">
        <f>IF(H965="","",COUNTIFS($H$5:$H$1204,"&gt;"&amp;H965)+1)</f>
        <v>0</v>
      </c>
      <c r="R965" s="8">
        <f>IF(B965="","",SUMIFS(Pantry!$C$5:$C$304,Pantry!$A$5:$A$304,B965))</f>
        <v>0</v>
      </c>
      <c r="S965" s="8">
        <f>IF(OR(B965="",C965=""),"",MAX(0,C965-R965))</f>
        <v>0</v>
      </c>
      <c r="T965" s="26"/>
      <c r="U965" s="8">
        <f>IF(OR(T965="",T965=0,G965=""),"",T965*G965)</f>
        <v>0</v>
      </c>
      <c r="V965" s="8">
        <f>IF(OR(S965="",T965="",T965=0),"",CEILING(S965/T965,1))</f>
        <v>0</v>
      </c>
      <c r="W965" s="27"/>
      <c r="X965" s="29"/>
      <c r="Y965" s="8">
        <f>IF(OR(C965="",X965=""),"",C965*(1+X965))</f>
        <v>0</v>
      </c>
      <c r="Z965" s="8">
        <f>IF(B965="","",IFERROR(INDEX(Ingredients!$O$5:$O$304,MATCH(B965,Ingredients!$A$5:$A$304,0)),""))</f>
        <v>0</v>
      </c>
      <c r="AA965" s="8">
        <f>IF(B965="","",IF(R965&gt;=C965,"In pantry","To buy"))</f>
        <v>0</v>
      </c>
      <c r="AB965" s="8">
        <f>IF(A965="","",COUNTIFS($A$5:A965,A965))</f>
        <v>0</v>
      </c>
      <c r="AC965" s="8">
        <f>IF(B965="","",IF(COUNTIFS('Dietary Filters'!$C$5:$C$104,B965)&gt;0,"Check","OK"))</f>
        <v>0</v>
      </c>
      <c r="AD965" s="25"/>
    </row>
    <row r="966" spans="1:30">
      <c r="A966" s="7"/>
      <c r="B966" s="7"/>
      <c r="C966" s="26"/>
      <c r="D966" s="27"/>
      <c r="E966" s="8">
        <f>IF(B966="","",IFERROR(INDEX(Ingredients!$B$5:$B$304,MATCH(B966,Ingredients!$A$5:$A$304,0)),""))</f>
        <v>0</v>
      </c>
      <c r="F966" s="8">
        <f>IF(B966="","",IFERROR(INDEX(Ingredients!$E$5:$E$304,MATCH(B966,Ingredients!$A$5:$A$304,0)),""))</f>
        <v>0</v>
      </c>
      <c r="G966" s="8">
        <f>IF(B966="","",IFERROR(INDEX(Ingredients!$D$5:$D$304,MATCH(B966,Ingredients!$A$5:$A$304,0)),""))</f>
        <v>0</v>
      </c>
      <c r="H966" s="8">
        <f>IF(OR(B966="",C966=""),"",IFERROR(C966*G966,""))</f>
        <v>0</v>
      </c>
      <c r="I966" s="8">
        <f>IF(A966="","",IFERROR(INDEX(Recipes!$D$5:$D$204,MATCH(A966,Recipes!$A$5:$A$204,0)),""))</f>
        <v>0</v>
      </c>
      <c r="J966" s="8">
        <f>IF(OR(H966="",I966="",I966=0),"",IFERROR(H966/I966,""))</f>
        <v>0</v>
      </c>
      <c r="K966" s="8">
        <f>IF(OR(B966="",C966=""),"",IFERROR(C966*IFERROR(INDEX(Ingredients!$H$5:$H$304,MATCH(B966,Ingredients!$A$5:$A$304,0)),""),""))</f>
        <v>0</v>
      </c>
      <c r="L966" s="8">
        <f>IF(OR(B966="",C966=""),"",IFERROR(C966*IFERROR(INDEX(Ingredients!$I$5:$I$304,MATCH(B966,Ingredients!$A$5:$A$304,0)),""),""))</f>
        <v>0</v>
      </c>
      <c r="M966" s="8">
        <f>IF(OR(B966="",C966=""),"",IFERROR(C966*IFERROR(INDEX(Ingredients!$J$5:$J$304,MATCH(B966,Ingredients!$A$5:$A$304,0)),""),""))</f>
        <v>0</v>
      </c>
      <c r="N966" s="8">
        <f>IF(OR(B966="",C966=""),"",IFERROR(C966*IFERROR(INDEX(Ingredients!$K$5:$K$304,MATCH(B966,Ingredients!$A$5:$A$304,0)),""),""))</f>
        <v>0</v>
      </c>
      <c r="O966" s="8">
        <f>IF(OR(B966="",C966=""),"",IFERROR(C966*IFERROR(INDEX(Ingredients!$L$5:$L$304,MATCH(B966,Ingredients!$A$5:$A$304,0)),""),""))</f>
        <v>0</v>
      </c>
      <c r="P966" s="8">
        <f>IF(OR(H966="",A966=""),"",IFERROR(H966/SUMIFS('Recipe Ingredients'!$H$5:$H$1204,'Recipe Ingredients'!$A$5:$A$1204,A966),""))</f>
        <v>0</v>
      </c>
      <c r="Q966" s="8">
        <f>IF(H966="","",COUNTIFS($H$5:$H$1204,"&gt;"&amp;H966)+1)</f>
        <v>0</v>
      </c>
      <c r="R966" s="8">
        <f>IF(B966="","",SUMIFS(Pantry!$C$5:$C$304,Pantry!$A$5:$A$304,B966))</f>
        <v>0</v>
      </c>
      <c r="S966" s="8">
        <f>IF(OR(B966="",C966=""),"",MAX(0,C966-R966))</f>
        <v>0</v>
      </c>
      <c r="T966" s="26"/>
      <c r="U966" s="8">
        <f>IF(OR(T966="",T966=0,G966=""),"",T966*G966)</f>
        <v>0</v>
      </c>
      <c r="V966" s="8">
        <f>IF(OR(S966="",T966="",T966=0),"",CEILING(S966/T966,1))</f>
        <v>0</v>
      </c>
      <c r="W966" s="27"/>
      <c r="X966" s="29"/>
      <c r="Y966" s="8">
        <f>IF(OR(C966="",X966=""),"",C966*(1+X966))</f>
        <v>0</v>
      </c>
      <c r="Z966" s="8">
        <f>IF(B966="","",IFERROR(INDEX(Ingredients!$O$5:$O$304,MATCH(B966,Ingredients!$A$5:$A$304,0)),""))</f>
        <v>0</v>
      </c>
      <c r="AA966" s="8">
        <f>IF(B966="","",IF(R966&gt;=C966,"In pantry","To buy"))</f>
        <v>0</v>
      </c>
      <c r="AB966" s="8">
        <f>IF(A966="","",COUNTIFS($A$5:A966,A966))</f>
        <v>0</v>
      </c>
      <c r="AC966" s="8">
        <f>IF(B966="","",IF(COUNTIFS('Dietary Filters'!$C$5:$C$104,B966)&gt;0,"Check","OK"))</f>
        <v>0</v>
      </c>
      <c r="AD966" s="25"/>
    </row>
    <row r="967" spans="1:30">
      <c r="A967" s="7"/>
      <c r="B967" s="7"/>
      <c r="C967" s="26"/>
      <c r="D967" s="27"/>
      <c r="E967" s="8">
        <f>IF(B967="","",IFERROR(INDEX(Ingredients!$B$5:$B$304,MATCH(B967,Ingredients!$A$5:$A$304,0)),""))</f>
        <v>0</v>
      </c>
      <c r="F967" s="8">
        <f>IF(B967="","",IFERROR(INDEX(Ingredients!$E$5:$E$304,MATCH(B967,Ingredients!$A$5:$A$304,0)),""))</f>
        <v>0</v>
      </c>
      <c r="G967" s="8">
        <f>IF(B967="","",IFERROR(INDEX(Ingredients!$D$5:$D$304,MATCH(B967,Ingredients!$A$5:$A$304,0)),""))</f>
        <v>0</v>
      </c>
      <c r="H967" s="8">
        <f>IF(OR(B967="",C967=""),"",IFERROR(C967*G967,""))</f>
        <v>0</v>
      </c>
      <c r="I967" s="8">
        <f>IF(A967="","",IFERROR(INDEX(Recipes!$D$5:$D$204,MATCH(A967,Recipes!$A$5:$A$204,0)),""))</f>
        <v>0</v>
      </c>
      <c r="J967" s="8">
        <f>IF(OR(H967="",I967="",I967=0),"",IFERROR(H967/I967,""))</f>
        <v>0</v>
      </c>
      <c r="K967" s="8">
        <f>IF(OR(B967="",C967=""),"",IFERROR(C967*IFERROR(INDEX(Ingredients!$H$5:$H$304,MATCH(B967,Ingredients!$A$5:$A$304,0)),""),""))</f>
        <v>0</v>
      </c>
      <c r="L967" s="8">
        <f>IF(OR(B967="",C967=""),"",IFERROR(C967*IFERROR(INDEX(Ingredients!$I$5:$I$304,MATCH(B967,Ingredients!$A$5:$A$304,0)),""),""))</f>
        <v>0</v>
      </c>
      <c r="M967" s="8">
        <f>IF(OR(B967="",C967=""),"",IFERROR(C967*IFERROR(INDEX(Ingredients!$J$5:$J$304,MATCH(B967,Ingredients!$A$5:$A$304,0)),""),""))</f>
        <v>0</v>
      </c>
      <c r="N967" s="8">
        <f>IF(OR(B967="",C967=""),"",IFERROR(C967*IFERROR(INDEX(Ingredients!$K$5:$K$304,MATCH(B967,Ingredients!$A$5:$A$304,0)),""),""))</f>
        <v>0</v>
      </c>
      <c r="O967" s="8">
        <f>IF(OR(B967="",C967=""),"",IFERROR(C967*IFERROR(INDEX(Ingredients!$L$5:$L$304,MATCH(B967,Ingredients!$A$5:$A$304,0)),""),""))</f>
        <v>0</v>
      </c>
      <c r="P967" s="8">
        <f>IF(OR(H967="",A967=""),"",IFERROR(H967/SUMIFS('Recipe Ingredients'!$H$5:$H$1204,'Recipe Ingredients'!$A$5:$A$1204,A967),""))</f>
        <v>0</v>
      </c>
      <c r="Q967" s="8">
        <f>IF(H967="","",COUNTIFS($H$5:$H$1204,"&gt;"&amp;H967)+1)</f>
        <v>0</v>
      </c>
      <c r="R967" s="8">
        <f>IF(B967="","",SUMIFS(Pantry!$C$5:$C$304,Pantry!$A$5:$A$304,B967))</f>
        <v>0</v>
      </c>
      <c r="S967" s="8">
        <f>IF(OR(B967="",C967=""),"",MAX(0,C967-R967))</f>
        <v>0</v>
      </c>
      <c r="T967" s="26"/>
      <c r="U967" s="8">
        <f>IF(OR(T967="",T967=0,G967=""),"",T967*G967)</f>
        <v>0</v>
      </c>
      <c r="V967" s="8">
        <f>IF(OR(S967="",T967="",T967=0),"",CEILING(S967/T967,1))</f>
        <v>0</v>
      </c>
      <c r="W967" s="27"/>
      <c r="X967" s="29"/>
      <c r="Y967" s="8">
        <f>IF(OR(C967="",X967=""),"",C967*(1+X967))</f>
        <v>0</v>
      </c>
      <c r="Z967" s="8">
        <f>IF(B967="","",IFERROR(INDEX(Ingredients!$O$5:$O$304,MATCH(B967,Ingredients!$A$5:$A$304,0)),""))</f>
        <v>0</v>
      </c>
      <c r="AA967" s="8">
        <f>IF(B967="","",IF(R967&gt;=C967,"In pantry","To buy"))</f>
        <v>0</v>
      </c>
      <c r="AB967" s="8">
        <f>IF(A967="","",COUNTIFS($A$5:A967,A967))</f>
        <v>0</v>
      </c>
      <c r="AC967" s="8">
        <f>IF(B967="","",IF(COUNTIFS('Dietary Filters'!$C$5:$C$104,B967)&gt;0,"Check","OK"))</f>
        <v>0</v>
      </c>
      <c r="AD967" s="25"/>
    </row>
    <row r="968" spans="1:30">
      <c r="A968" s="7"/>
      <c r="B968" s="7"/>
      <c r="C968" s="26"/>
      <c r="D968" s="27"/>
      <c r="E968" s="8">
        <f>IF(B968="","",IFERROR(INDEX(Ingredients!$B$5:$B$304,MATCH(B968,Ingredients!$A$5:$A$304,0)),""))</f>
        <v>0</v>
      </c>
      <c r="F968" s="8">
        <f>IF(B968="","",IFERROR(INDEX(Ingredients!$E$5:$E$304,MATCH(B968,Ingredients!$A$5:$A$304,0)),""))</f>
        <v>0</v>
      </c>
      <c r="G968" s="8">
        <f>IF(B968="","",IFERROR(INDEX(Ingredients!$D$5:$D$304,MATCH(B968,Ingredients!$A$5:$A$304,0)),""))</f>
        <v>0</v>
      </c>
      <c r="H968" s="8">
        <f>IF(OR(B968="",C968=""),"",IFERROR(C968*G968,""))</f>
        <v>0</v>
      </c>
      <c r="I968" s="8">
        <f>IF(A968="","",IFERROR(INDEX(Recipes!$D$5:$D$204,MATCH(A968,Recipes!$A$5:$A$204,0)),""))</f>
        <v>0</v>
      </c>
      <c r="J968" s="8">
        <f>IF(OR(H968="",I968="",I968=0),"",IFERROR(H968/I968,""))</f>
        <v>0</v>
      </c>
      <c r="K968" s="8">
        <f>IF(OR(B968="",C968=""),"",IFERROR(C968*IFERROR(INDEX(Ingredients!$H$5:$H$304,MATCH(B968,Ingredients!$A$5:$A$304,0)),""),""))</f>
        <v>0</v>
      </c>
      <c r="L968" s="8">
        <f>IF(OR(B968="",C968=""),"",IFERROR(C968*IFERROR(INDEX(Ingredients!$I$5:$I$304,MATCH(B968,Ingredients!$A$5:$A$304,0)),""),""))</f>
        <v>0</v>
      </c>
      <c r="M968" s="8">
        <f>IF(OR(B968="",C968=""),"",IFERROR(C968*IFERROR(INDEX(Ingredients!$J$5:$J$304,MATCH(B968,Ingredients!$A$5:$A$304,0)),""),""))</f>
        <v>0</v>
      </c>
      <c r="N968" s="8">
        <f>IF(OR(B968="",C968=""),"",IFERROR(C968*IFERROR(INDEX(Ingredients!$K$5:$K$304,MATCH(B968,Ingredients!$A$5:$A$304,0)),""),""))</f>
        <v>0</v>
      </c>
      <c r="O968" s="8">
        <f>IF(OR(B968="",C968=""),"",IFERROR(C968*IFERROR(INDEX(Ingredients!$L$5:$L$304,MATCH(B968,Ingredients!$A$5:$A$304,0)),""),""))</f>
        <v>0</v>
      </c>
      <c r="P968" s="8">
        <f>IF(OR(H968="",A968=""),"",IFERROR(H968/SUMIFS('Recipe Ingredients'!$H$5:$H$1204,'Recipe Ingredients'!$A$5:$A$1204,A968),""))</f>
        <v>0</v>
      </c>
      <c r="Q968" s="8">
        <f>IF(H968="","",COUNTIFS($H$5:$H$1204,"&gt;"&amp;H968)+1)</f>
        <v>0</v>
      </c>
      <c r="R968" s="8">
        <f>IF(B968="","",SUMIFS(Pantry!$C$5:$C$304,Pantry!$A$5:$A$304,B968))</f>
        <v>0</v>
      </c>
      <c r="S968" s="8">
        <f>IF(OR(B968="",C968=""),"",MAX(0,C968-R968))</f>
        <v>0</v>
      </c>
      <c r="T968" s="26"/>
      <c r="U968" s="8">
        <f>IF(OR(T968="",T968=0,G968=""),"",T968*G968)</f>
        <v>0</v>
      </c>
      <c r="V968" s="8">
        <f>IF(OR(S968="",T968="",T968=0),"",CEILING(S968/T968,1))</f>
        <v>0</v>
      </c>
      <c r="W968" s="27"/>
      <c r="X968" s="29"/>
      <c r="Y968" s="8">
        <f>IF(OR(C968="",X968=""),"",C968*(1+X968))</f>
        <v>0</v>
      </c>
      <c r="Z968" s="8">
        <f>IF(B968="","",IFERROR(INDEX(Ingredients!$O$5:$O$304,MATCH(B968,Ingredients!$A$5:$A$304,0)),""))</f>
        <v>0</v>
      </c>
      <c r="AA968" s="8">
        <f>IF(B968="","",IF(R968&gt;=C968,"In pantry","To buy"))</f>
        <v>0</v>
      </c>
      <c r="AB968" s="8">
        <f>IF(A968="","",COUNTIFS($A$5:A968,A968))</f>
        <v>0</v>
      </c>
      <c r="AC968" s="8">
        <f>IF(B968="","",IF(COUNTIFS('Dietary Filters'!$C$5:$C$104,B968)&gt;0,"Check","OK"))</f>
        <v>0</v>
      </c>
      <c r="AD968" s="25"/>
    </row>
    <row r="969" spans="1:30">
      <c r="A969" s="7"/>
      <c r="B969" s="7"/>
      <c r="C969" s="26"/>
      <c r="D969" s="27"/>
      <c r="E969" s="8">
        <f>IF(B969="","",IFERROR(INDEX(Ingredients!$B$5:$B$304,MATCH(B969,Ingredients!$A$5:$A$304,0)),""))</f>
        <v>0</v>
      </c>
      <c r="F969" s="8">
        <f>IF(B969="","",IFERROR(INDEX(Ingredients!$E$5:$E$304,MATCH(B969,Ingredients!$A$5:$A$304,0)),""))</f>
        <v>0</v>
      </c>
      <c r="G969" s="8">
        <f>IF(B969="","",IFERROR(INDEX(Ingredients!$D$5:$D$304,MATCH(B969,Ingredients!$A$5:$A$304,0)),""))</f>
        <v>0</v>
      </c>
      <c r="H969" s="8">
        <f>IF(OR(B969="",C969=""),"",IFERROR(C969*G969,""))</f>
        <v>0</v>
      </c>
      <c r="I969" s="8">
        <f>IF(A969="","",IFERROR(INDEX(Recipes!$D$5:$D$204,MATCH(A969,Recipes!$A$5:$A$204,0)),""))</f>
        <v>0</v>
      </c>
      <c r="J969" s="8">
        <f>IF(OR(H969="",I969="",I969=0),"",IFERROR(H969/I969,""))</f>
        <v>0</v>
      </c>
      <c r="K969" s="8">
        <f>IF(OR(B969="",C969=""),"",IFERROR(C969*IFERROR(INDEX(Ingredients!$H$5:$H$304,MATCH(B969,Ingredients!$A$5:$A$304,0)),""),""))</f>
        <v>0</v>
      </c>
      <c r="L969" s="8">
        <f>IF(OR(B969="",C969=""),"",IFERROR(C969*IFERROR(INDEX(Ingredients!$I$5:$I$304,MATCH(B969,Ingredients!$A$5:$A$304,0)),""),""))</f>
        <v>0</v>
      </c>
      <c r="M969" s="8">
        <f>IF(OR(B969="",C969=""),"",IFERROR(C969*IFERROR(INDEX(Ingredients!$J$5:$J$304,MATCH(B969,Ingredients!$A$5:$A$304,0)),""),""))</f>
        <v>0</v>
      </c>
      <c r="N969" s="8">
        <f>IF(OR(B969="",C969=""),"",IFERROR(C969*IFERROR(INDEX(Ingredients!$K$5:$K$304,MATCH(B969,Ingredients!$A$5:$A$304,0)),""),""))</f>
        <v>0</v>
      </c>
      <c r="O969" s="8">
        <f>IF(OR(B969="",C969=""),"",IFERROR(C969*IFERROR(INDEX(Ingredients!$L$5:$L$304,MATCH(B969,Ingredients!$A$5:$A$304,0)),""),""))</f>
        <v>0</v>
      </c>
      <c r="P969" s="8">
        <f>IF(OR(H969="",A969=""),"",IFERROR(H969/SUMIFS('Recipe Ingredients'!$H$5:$H$1204,'Recipe Ingredients'!$A$5:$A$1204,A969),""))</f>
        <v>0</v>
      </c>
      <c r="Q969" s="8">
        <f>IF(H969="","",COUNTIFS($H$5:$H$1204,"&gt;"&amp;H969)+1)</f>
        <v>0</v>
      </c>
      <c r="R969" s="8">
        <f>IF(B969="","",SUMIFS(Pantry!$C$5:$C$304,Pantry!$A$5:$A$304,B969))</f>
        <v>0</v>
      </c>
      <c r="S969" s="8">
        <f>IF(OR(B969="",C969=""),"",MAX(0,C969-R969))</f>
        <v>0</v>
      </c>
      <c r="T969" s="26"/>
      <c r="U969" s="8">
        <f>IF(OR(T969="",T969=0,G969=""),"",T969*G969)</f>
        <v>0</v>
      </c>
      <c r="V969" s="8">
        <f>IF(OR(S969="",T969="",T969=0),"",CEILING(S969/T969,1))</f>
        <v>0</v>
      </c>
      <c r="W969" s="27"/>
      <c r="X969" s="29"/>
      <c r="Y969" s="8">
        <f>IF(OR(C969="",X969=""),"",C969*(1+X969))</f>
        <v>0</v>
      </c>
      <c r="Z969" s="8">
        <f>IF(B969="","",IFERROR(INDEX(Ingredients!$O$5:$O$304,MATCH(B969,Ingredients!$A$5:$A$304,0)),""))</f>
        <v>0</v>
      </c>
      <c r="AA969" s="8">
        <f>IF(B969="","",IF(R969&gt;=C969,"In pantry","To buy"))</f>
        <v>0</v>
      </c>
      <c r="AB969" s="8">
        <f>IF(A969="","",COUNTIFS($A$5:A969,A969))</f>
        <v>0</v>
      </c>
      <c r="AC969" s="8">
        <f>IF(B969="","",IF(COUNTIFS('Dietary Filters'!$C$5:$C$104,B969)&gt;0,"Check","OK"))</f>
        <v>0</v>
      </c>
      <c r="AD969" s="25"/>
    </row>
    <row r="970" spans="1:30">
      <c r="A970" s="7"/>
      <c r="B970" s="7"/>
      <c r="C970" s="26"/>
      <c r="D970" s="27"/>
      <c r="E970" s="8">
        <f>IF(B970="","",IFERROR(INDEX(Ingredients!$B$5:$B$304,MATCH(B970,Ingredients!$A$5:$A$304,0)),""))</f>
        <v>0</v>
      </c>
      <c r="F970" s="8">
        <f>IF(B970="","",IFERROR(INDEX(Ingredients!$E$5:$E$304,MATCH(B970,Ingredients!$A$5:$A$304,0)),""))</f>
        <v>0</v>
      </c>
      <c r="G970" s="8">
        <f>IF(B970="","",IFERROR(INDEX(Ingredients!$D$5:$D$304,MATCH(B970,Ingredients!$A$5:$A$304,0)),""))</f>
        <v>0</v>
      </c>
      <c r="H970" s="8">
        <f>IF(OR(B970="",C970=""),"",IFERROR(C970*G970,""))</f>
        <v>0</v>
      </c>
      <c r="I970" s="8">
        <f>IF(A970="","",IFERROR(INDEX(Recipes!$D$5:$D$204,MATCH(A970,Recipes!$A$5:$A$204,0)),""))</f>
        <v>0</v>
      </c>
      <c r="J970" s="8">
        <f>IF(OR(H970="",I970="",I970=0),"",IFERROR(H970/I970,""))</f>
        <v>0</v>
      </c>
      <c r="K970" s="8">
        <f>IF(OR(B970="",C970=""),"",IFERROR(C970*IFERROR(INDEX(Ingredients!$H$5:$H$304,MATCH(B970,Ingredients!$A$5:$A$304,0)),""),""))</f>
        <v>0</v>
      </c>
      <c r="L970" s="8">
        <f>IF(OR(B970="",C970=""),"",IFERROR(C970*IFERROR(INDEX(Ingredients!$I$5:$I$304,MATCH(B970,Ingredients!$A$5:$A$304,0)),""),""))</f>
        <v>0</v>
      </c>
      <c r="M970" s="8">
        <f>IF(OR(B970="",C970=""),"",IFERROR(C970*IFERROR(INDEX(Ingredients!$J$5:$J$304,MATCH(B970,Ingredients!$A$5:$A$304,0)),""),""))</f>
        <v>0</v>
      </c>
      <c r="N970" s="8">
        <f>IF(OR(B970="",C970=""),"",IFERROR(C970*IFERROR(INDEX(Ingredients!$K$5:$K$304,MATCH(B970,Ingredients!$A$5:$A$304,0)),""),""))</f>
        <v>0</v>
      </c>
      <c r="O970" s="8">
        <f>IF(OR(B970="",C970=""),"",IFERROR(C970*IFERROR(INDEX(Ingredients!$L$5:$L$304,MATCH(B970,Ingredients!$A$5:$A$304,0)),""),""))</f>
        <v>0</v>
      </c>
      <c r="P970" s="8">
        <f>IF(OR(H970="",A970=""),"",IFERROR(H970/SUMIFS('Recipe Ingredients'!$H$5:$H$1204,'Recipe Ingredients'!$A$5:$A$1204,A970),""))</f>
        <v>0</v>
      </c>
      <c r="Q970" s="8">
        <f>IF(H970="","",COUNTIFS($H$5:$H$1204,"&gt;"&amp;H970)+1)</f>
        <v>0</v>
      </c>
      <c r="R970" s="8">
        <f>IF(B970="","",SUMIFS(Pantry!$C$5:$C$304,Pantry!$A$5:$A$304,B970))</f>
        <v>0</v>
      </c>
      <c r="S970" s="8">
        <f>IF(OR(B970="",C970=""),"",MAX(0,C970-R970))</f>
        <v>0</v>
      </c>
      <c r="T970" s="26"/>
      <c r="U970" s="8">
        <f>IF(OR(T970="",T970=0,G970=""),"",T970*G970)</f>
        <v>0</v>
      </c>
      <c r="V970" s="8">
        <f>IF(OR(S970="",T970="",T970=0),"",CEILING(S970/T970,1))</f>
        <v>0</v>
      </c>
      <c r="W970" s="27"/>
      <c r="X970" s="29"/>
      <c r="Y970" s="8">
        <f>IF(OR(C970="",X970=""),"",C970*(1+X970))</f>
        <v>0</v>
      </c>
      <c r="Z970" s="8">
        <f>IF(B970="","",IFERROR(INDEX(Ingredients!$O$5:$O$304,MATCH(B970,Ingredients!$A$5:$A$304,0)),""))</f>
        <v>0</v>
      </c>
      <c r="AA970" s="8">
        <f>IF(B970="","",IF(R970&gt;=C970,"In pantry","To buy"))</f>
        <v>0</v>
      </c>
      <c r="AB970" s="8">
        <f>IF(A970="","",COUNTIFS($A$5:A970,A970))</f>
        <v>0</v>
      </c>
      <c r="AC970" s="8">
        <f>IF(B970="","",IF(COUNTIFS('Dietary Filters'!$C$5:$C$104,B970)&gt;0,"Check","OK"))</f>
        <v>0</v>
      </c>
      <c r="AD970" s="25"/>
    </row>
    <row r="971" spans="1:30">
      <c r="A971" s="7"/>
      <c r="B971" s="7"/>
      <c r="C971" s="26"/>
      <c r="D971" s="27"/>
      <c r="E971" s="8">
        <f>IF(B971="","",IFERROR(INDEX(Ingredients!$B$5:$B$304,MATCH(B971,Ingredients!$A$5:$A$304,0)),""))</f>
        <v>0</v>
      </c>
      <c r="F971" s="8">
        <f>IF(B971="","",IFERROR(INDEX(Ingredients!$E$5:$E$304,MATCH(B971,Ingredients!$A$5:$A$304,0)),""))</f>
        <v>0</v>
      </c>
      <c r="G971" s="8">
        <f>IF(B971="","",IFERROR(INDEX(Ingredients!$D$5:$D$304,MATCH(B971,Ingredients!$A$5:$A$304,0)),""))</f>
        <v>0</v>
      </c>
      <c r="H971" s="8">
        <f>IF(OR(B971="",C971=""),"",IFERROR(C971*G971,""))</f>
        <v>0</v>
      </c>
      <c r="I971" s="8">
        <f>IF(A971="","",IFERROR(INDEX(Recipes!$D$5:$D$204,MATCH(A971,Recipes!$A$5:$A$204,0)),""))</f>
        <v>0</v>
      </c>
      <c r="J971" s="8">
        <f>IF(OR(H971="",I971="",I971=0),"",IFERROR(H971/I971,""))</f>
        <v>0</v>
      </c>
      <c r="K971" s="8">
        <f>IF(OR(B971="",C971=""),"",IFERROR(C971*IFERROR(INDEX(Ingredients!$H$5:$H$304,MATCH(B971,Ingredients!$A$5:$A$304,0)),""),""))</f>
        <v>0</v>
      </c>
      <c r="L971" s="8">
        <f>IF(OR(B971="",C971=""),"",IFERROR(C971*IFERROR(INDEX(Ingredients!$I$5:$I$304,MATCH(B971,Ingredients!$A$5:$A$304,0)),""),""))</f>
        <v>0</v>
      </c>
      <c r="M971" s="8">
        <f>IF(OR(B971="",C971=""),"",IFERROR(C971*IFERROR(INDEX(Ingredients!$J$5:$J$304,MATCH(B971,Ingredients!$A$5:$A$304,0)),""),""))</f>
        <v>0</v>
      </c>
      <c r="N971" s="8">
        <f>IF(OR(B971="",C971=""),"",IFERROR(C971*IFERROR(INDEX(Ingredients!$K$5:$K$304,MATCH(B971,Ingredients!$A$5:$A$304,0)),""),""))</f>
        <v>0</v>
      </c>
      <c r="O971" s="8">
        <f>IF(OR(B971="",C971=""),"",IFERROR(C971*IFERROR(INDEX(Ingredients!$L$5:$L$304,MATCH(B971,Ingredients!$A$5:$A$304,0)),""),""))</f>
        <v>0</v>
      </c>
      <c r="P971" s="8">
        <f>IF(OR(H971="",A971=""),"",IFERROR(H971/SUMIFS('Recipe Ingredients'!$H$5:$H$1204,'Recipe Ingredients'!$A$5:$A$1204,A971),""))</f>
        <v>0</v>
      </c>
      <c r="Q971" s="8">
        <f>IF(H971="","",COUNTIFS($H$5:$H$1204,"&gt;"&amp;H971)+1)</f>
        <v>0</v>
      </c>
      <c r="R971" s="8">
        <f>IF(B971="","",SUMIFS(Pantry!$C$5:$C$304,Pantry!$A$5:$A$304,B971))</f>
        <v>0</v>
      </c>
      <c r="S971" s="8">
        <f>IF(OR(B971="",C971=""),"",MAX(0,C971-R971))</f>
        <v>0</v>
      </c>
      <c r="T971" s="26"/>
      <c r="U971" s="8">
        <f>IF(OR(T971="",T971=0,G971=""),"",T971*G971)</f>
        <v>0</v>
      </c>
      <c r="V971" s="8">
        <f>IF(OR(S971="",T971="",T971=0),"",CEILING(S971/T971,1))</f>
        <v>0</v>
      </c>
      <c r="W971" s="27"/>
      <c r="X971" s="29"/>
      <c r="Y971" s="8">
        <f>IF(OR(C971="",X971=""),"",C971*(1+X971))</f>
        <v>0</v>
      </c>
      <c r="Z971" s="8">
        <f>IF(B971="","",IFERROR(INDEX(Ingredients!$O$5:$O$304,MATCH(B971,Ingredients!$A$5:$A$304,0)),""))</f>
        <v>0</v>
      </c>
      <c r="AA971" s="8">
        <f>IF(B971="","",IF(R971&gt;=C971,"In pantry","To buy"))</f>
        <v>0</v>
      </c>
      <c r="AB971" s="8">
        <f>IF(A971="","",COUNTIFS($A$5:A971,A971))</f>
        <v>0</v>
      </c>
      <c r="AC971" s="8">
        <f>IF(B971="","",IF(COUNTIFS('Dietary Filters'!$C$5:$C$104,B971)&gt;0,"Check","OK"))</f>
        <v>0</v>
      </c>
      <c r="AD971" s="25"/>
    </row>
    <row r="972" spans="1:30">
      <c r="A972" s="7"/>
      <c r="B972" s="7"/>
      <c r="C972" s="26"/>
      <c r="D972" s="27"/>
      <c r="E972" s="8">
        <f>IF(B972="","",IFERROR(INDEX(Ingredients!$B$5:$B$304,MATCH(B972,Ingredients!$A$5:$A$304,0)),""))</f>
        <v>0</v>
      </c>
      <c r="F972" s="8">
        <f>IF(B972="","",IFERROR(INDEX(Ingredients!$E$5:$E$304,MATCH(B972,Ingredients!$A$5:$A$304,0)),""))</f>
        <v>0</v>
      </c>
      <c r="G972" s="8">
        <f>IF(B972="","",IFERROR(INDEX(Ingredients!$D$5:$D$304,MATCH(B972,Ingredients!$A$5:$A$304,0)),""))</f>
        <v>0</v>
      </c>
      <c r="H972" s="8">
        <f>IF(OR(B972="",C972=""),"",IFERROR(C972*G972,""))</f>
        <v>0</v>
      </c>
      <c r="I972" s="8">
        <f>IF(A972="","",IFERROR(INDEX(Recipes!$D$5:$D$204,MATCH(A972,Recipes!$A$5:$A$204,0)),""))</f>
        <v>0</v>
      </c>
      <c r="J972" s="8">
        <f>IF(OR(H972="",I972="",I972=0),"",IFERROR(H972/I972,""))</f>
        <v>0</v>
      </c>
      <c r="K972" s="8">
        <f>IF(OR(B972="",C972=""),"",IFERROR(C972*IFERROR(INDEX(Ingredients!$H$5:$H$304,MATCH(B972,Ingredients!$A$5:$A$304,0)),""),""))</f>
        <v>0</v>
      </c>
      <c r="L972" s="8">
        <f>IF(OR(B972="",C972=""),"",IFERROR(C972*IFERROR(INDEX(Ingredients!$I$5:$I$304,MATCH(B972,Ingredients!$A$5:$A$304,0)),""),""))</f>
        <v>0</v>
      </c>
      <c r="M972" s="8">
        <f>IF(OR(B972="",C972=""),"",IFERROR(C972*IFERROR(INDEX(Ingredients!$J$5:$J$304,MATCH(B972,Ingredients!$A$5:$A$304,0)),""),""))</f>
        <v>0</v>
      </c>
      <c r="N972" s="8">
        <f>IF(OR(B972="",C972=""),"",IFERROR(C972*IFERROR(INDEX(Ingredients!$K$5:$K$304,MATCH(B972,Ingredients!$A$5:$A$304,0)),""),""))</f>
        <v>0</v>
      </c>
      <c r="O972" s="8">
        <f>IF(OR(B972="",C972=""),"",IFERROR(C972*IFERROR(INDEX(Ingredients!$L$5:$L$304,MATCH(B972,Ingredients!$A$5:$A$304,0)),""),""))</f>
        <v>0</v>
      </c>
      <c r="P972" s="8">
        <f>IF(OR(H972="",A972=""),"",IFERROR(H972/SUMIFS('Recipe Ingredients'!$H$5:$H$1204,'Recipe Ingredients'!$A$5:$A$1204,A972),""))</f>
        <v>0</v>
      </c>
      <c r="Q972" s="8">
        <f>IF(H972="","",COUNTIFS($H$5:$H$1204,"&gt;"&amp;H972)+1)</f>
        <v>0</v>
      </c>
      <c r="R972" s="8">
        <f>IF(B972="","",SUMIFS(Pantry!$C$5:$C$304,Pantry!$A$5:$A$304,B972))</f>
        <v>0</v>
      </c>
      <c r="S972" s="8">
        <f>IF(OR(B972="",C972=""),"",MAX(0,C972-R972))</f>
        <v>0</v>
      </c>
      <c r="T972" s="26"/>
      <c r="U972" s="8">
        <f>IF(OR(T972="",T972=0,G972=""),"",T972*G972)</f>
        <v>0</v>
      </c>
      <c r="V972" s="8">
        <f>IF(OR(S972="",T972="",T972=0),"",CEILING(S972/T972,1))</f>
        <v>0</v>
      </c>
      <c r="W972" s="27"/>
      <c r="X972" s="29"/>
      <c r="Y972" s="8">
        <f>IF(OR(C972="",X972=""),"",C972*(1+X972))</f>
        <v>0</v>
      </c>
      <c r="Z972" s="8">
        <f>IF(B972="","",IFERROR(INDEX(Ingredients!$O$5:$O$304,MATCH(B972,Ingredients!$A$5:$A$304,0)),""))</f>
        <v>0</v>
      </c>
      <c r="AA972" s="8">
        <f>IF(B972="","",IF(R972&gt;=C972,"In pantry","To buy"))</f>
        <v>0</v>
      </c>
      <c r="AB972" s="8">
        <f>IF(A972="","",COUNTIFS($A$5:A972,A972))</f>
        <v>0</v>
      </c>
      <c r="AC972" s="8">
        <f>IF(B972="","",IF(COUNTIFS('Dietary Filters'!$C$5:$C$104,B972)&gt;0,"Check","OK"))</f>
        <v>0</v>
      </c>
      <c r="AD972" s="25"/>
    </row>
    <row r="973" spans="1:30">
      <c r="A973" s="7"/>
      <c r="B973" s="7"/>
      <c r="C973" s="26"/>
      <c r="D973" s="27"/>
      <c r="E973" s="8">
        <f>IF(B973="","",IFERROR(INDEX(Ingredients!$B$5:$B$304,MATCH(B973,Ingredients!$A$5:$A$304,0)),""))</f>
        <v>0</v>
      </c>
      <c r="F973" s="8">
        <f>IF(B973="","",IFERROR(INDEX(Ingredients!$E$5:$E$304,MATCH(B973,Ingredients!$A$5:$A$304,0)),""))</f>
        <v>0</v>
      </c>
      <c r="G973" s="8">
        <f>IF(B973="","",IFERROR(INDEX(Ingredients!$D$5:$D$304,MATCH(B973,Ingredients!$A$5:$A$304,0)),""))</f>
        <v>0</v>
      </c>
      <c r="H973" s="8">
        <f>IF(OR(B973="",C973=""),"",IFERROR(C973*G973,""))</f>
        <v>0</v>
      </c>
      <c r="I973" s="8">
        <f>IF(A973="","",IFERROR(INDEX(Recipes!$D$5:$D$204,MATCH(A973,Recipes!$A$5:$A$204,0)),""))</f>
        <v>0</v>
      </c>
      <c r="J973" s="8">
        <f>IF(OR(H973="",I973="",I973=0),"",IFERROR(H973/I973,""))</f>
        <v>0</v>
      </c>
      <c r="K973" s="8">
        <f>IF(OR(B973="",C973=""),"",IFERROR(C973*IFERROR(INDEX(Ingredients!$H$5:$H$304,MATCH(B973,Ingredients!$A$5:$A$304,0)),""),""))</f>
        <v>0</v>
      </c>
      <c r="L973" s="8">
        <f>IF(OR(B973="",C973=""),"",IFERROR(C973*IFERROR(INDEX(Ingredients!$I$5:$I$304,MATCH(B973,Ingredients!$A$5:$A$304,0)),""),""))</f>
        <v>0</v>
      </c>
      <c r="M973" s="8">
        <f>IF(OR(B973="",C973=""),"",IFERROR(C973*IFERROR(INDEX(Ingredients!$J$5:$J$304,MATCH(B973,Ingredients!$A$5:$A$304,0)),""),""))</f>
        <v>0</v>
      </c>
      <c r="N973" s="8">
        <f>IF(OR(B973="",C973=""),"",IFERROR(C973*IFERROR(INDEX(Ingredients!$K$5:$K$304,MATCH(B973,Ingredients!$A$5:$A$304,0)),""),""))</f>
        <v>0</v>
      </c>
      <c r="O973" s="8">
        <f>IF(OR(B973="",C973=""),"",IFERROR(C973*IFERROR(INDEX(Ingredients!$L$5:$L$304,MATCH(B973,Ingredients!$A$5:$A$304,0)),""),""))</f>
        <v>0</v>
      </c>
      <c r="P973" s="8">
        <f>IF(OR(H973="",A973=""),"",IFERROR(H973/SUMIFS('Recipe Ingredients'!$H$5:$H$1204,'Recipe Ingredients'!$A$5:$A$1204,A973),""))</f>
        <v>0</v>
      </c>
      <c r="Q973" s="8">
        <f>IF(H973="","",COUNTIFS($H$5:$H$1204,"&gt;"&amp;H973)+1)</f>
        <v>0</v>
      </c>
      <c r="R973" s="8">
        <f>IF(B973="","",SUMIFS(Pantry!$C$5:$C$304,Pantry!$A$5:$A$304,B973))</f>
        <v>0</v>
      </c>
      <c r="S973" s="8">
        <f>IF(OR(B973="",C973=""),"",MAX(0,C973-R973))</f>
        <v>0</v>
      </c>
      <c r="T973" s="26"/>
      <c r="U973" s="8">
        <f>IF(OR(T973="",T973=0,G973=""),"",T973*G973)</f>
        <v>0</v>
      </c>
      <c r="V973" s="8">
        <f>IF(OR(S973="",T973="",T973=0),"",CEILING(S973/T973,1))</f>
        <v>0</v>
      </c>
      <c r="W973" s="27"/>
      <c r="X973" s="29"/>
      <c r="Y973" s="8">
        <f>IF(OR(C973="",X973=""),"",C973*(1+X973))</f>
        <v>0</v>
      </c>
      <c r="Z973" s="8">
        <f>IF(B973="","",IFERROR(INDEX(Ingredients!$O$5:$O$304,MATCH(B973,Ingredients!$A$5:$A$304,0)),""))</f>
        <v>0</v>
      </c>
      <c r="AA973" s="8">
        <f>IF(B973="","",IF(R973&gt;=C973,"In pantry","To buy"))</f>
        <v>0</v>
      </c>
      <c r="AB973" s="8">
        <f>IF(A973="","",COUNTIFS($A$5:A973,A973))</f>
        <v>0</v>
      </c>
      <c r="AC973" s="8">
        <f>IF(B973="","",IF(COUNTIFS('Dietary Filters'!$C$5:$C$104,B973)&gt;0,"Check","OK"))</f>
        <v>0</v>
      </c>
      <c r="AD973" s="25"/>
    </row>
    <row r="974" spans="1:30">
      <c r="A974" s="7"/>
      <c r="B974" s="7"/>
      <c r="C974" s="26"/>
      <c r="D974" s="27"/>
      <c r="E974" s="8">
        <f>IF(B974="","",IFERROR(INDEX(Ingredients!$B$5:$B$304,MATCH(B974,Ingredients!$A$5:$A$304,0)),""))</f>
        <v>0</v>
      </c>
      <c r="F974" s="8">
        <f>IF(B974="","",IFERROR(INDEX(Ingredients!$E$5:$E$304,MATCH(B974,Ingredients!$A$5:$A$304,0)),""))</f>
        <v>0</v>
      </c>
      <c r="G974" s="8">
        <f>IF(B974="","",IFERROR(INDEX(Ingredients!$D$5:$D$304,MATCH(B974,Ingredients!$A$5:$A$304,0)),""))</f>
        <v>0</v>
      </c>
      <c r="H974" s="8">
        <f>IF(OR(B974="",C974=""),"",IFERROR(C974*G974,""))</f>
        <v>0</v>
      </c>
      <c r="I974" s="8">
        <f>IF(A974="","",IFERROR(INDEX(Recipes!$D$5:$D$204,MATCH(A974,Recipes!$A$5:$A$204,0)),""))</f>
        <v>0</v>
      </c>
      <c r="J974" s="8">
        <f>IF(OR(H974="",I974="",I974=0),"",IFERROR(H974/I974,""))</f>
        <v>0</v>
      </c>
      <c r="K974" s="8">
        <f>IF(OR(B974="",C974=""),"",IFERROR(C974*IFERROR(INDEX(Ingredients!$H$5:$H$304,MATCH(B974,Ingredients!$A$5:$A$304,0)),""),""))</f>
        <v>0</v>
      </c>
      <c r="L974" s="8">
        <f>IF(OR(B974="",C974=""),"",IFERROR(C974*IFERROR(INDEX(Ingredients!$I$5:$I$304,MATCH(B974,Ingredients!$A$5:$A$304,0)),""),""))</f>
        <v>0</v>
      </c>
      <c r="M974" s="8">
        <f>IF(OR(B974="",C974=""),"",IFERROR(C974*IFERROR(INDEX(Ingredients!$J$5:$J$304,MATCH(B974,Ingredients!$A$5:$A$304,0)),""),""))</f>
        <v>0</v>
      </c>
      <c r="N974" s="8">
        <f>IF(OR(B974="",C974=""),"",IFERROR(C974*IFERROR(INDEX(Ingredients!$K$5:$K$304,MATCH(B974,Ingredients!$A$5:$A$304,0)),""),""))</f>
        <v>0</v>
      </c>
      <c r="O974" s="8">
        <f>IF(OR(B974="",C974=""),"",IFERROR(C974*IFERROR(INDEX(Ingredients!$L$5:$L$304,MATCH(B974,Ingredients!$A$5:$A$304,0)),""),""))</f>
        <v>0</v>
      </c>
      <c r="P974" s="8">
        <f>IF(OR(H974="",A974=""),"",IFERROR(H974/SUMIFS('Recipe Ingredients'!$H$5:$H$1204,'Recipe Ingredients'!$A$5:$A$1204,A974),""))</f>
        <v>0</v>
      </c>
      <c r="Q974" s="8">
        <f>IF(H974="","",COUNTIFS($H$5:$H$1204,"&gt;"&amp;H974)+1)</f>
        <v>0</v>
      </c>
      <c r="R974" s="8">
        <f>IF(B974="","",SUMIFS(Pantry!$C$5:$C$304,Pantry!$A$5:$A$304,B974))</f>
        <v>0</v>
      </c>
      <c r="S974" s="8">
        <f>IF(OR(B974="",C974=""),"",MAX(0,C974-R974))</f>
        <v>0</v>
      </c>
      <c r="T974" s="26"/>
      <c r="U974" s="8">
        <f>IF(OR(T974="",T974=0,G974=""),"",T974*G974)</f>
        <v>0</v>
      </c>
      <c r="V974" s="8">
        <f>IF(OR(S974="",T974="",T974=0),"",CEILING(S974/T974,1))</f>
        <v>0</v>
      </c>
      <c r="W974" s="27"/>
      <c r="X974" s="29"/>
      <c r="Y974" s="8">
        <f>IF(OR(C974="",X974=""),"",C974*(1+X974))</f>
        <v>0</v>
      </c>
      <c r="Z974" s="8">
        <f>IF(B974="","",IFERROR(INDEX(Ingredients!$O$5:$O$304,MATCH(B974,Ingredients!$A$5:$A$304,0)),""))</f>
        <v>0</v>
      </c>
      <c r="AA974" s="8">
        <f>IF(B974="","",IF(R974&gt;=C974,"In pantry","To buy"))</f>
        <v>0</v>
      </c>
      <c r="AB974" s="8">
        <f>IF(A974="","",COUNTIFS($A$5:A974,A974))</f>
        <v>0</v>
      </c>
      <c r="AC974" s="8">
        <f>IF(B974="","",IF(COUNTIFS('Dietary Filters'!$C$5:$C$104,B974)&gt;0,"Check","OK"))</f>
        <v>0</v>
      </c>
      <c r="AD974" s="25"/>
    </row>
    <row r="975" spans="1:30">
      <c r="A975" s="7"/>
      <c r="B975" s="7"/>
      <c r="C975" s="26"/>
      <c r="D975" s="27"/>
      <c r="E975" s="8">
        <f>IF(B975="","",IFERROR(INDEX(Ingredients!$B$5:$B$304,MATCH(B975,Ingredients!$A$5:$A$304,0)),""))</f>
        <v>0</v>
      </c>
      <c r="F975" s="8">
        <f>IF(B975="","",IFERROR(INDEX(Ingredients!$E$5:$E$304,MATCH(B975,Ingredients!$A$5:$A$304,0)),""))</f>
        <v>0</v>
      </c>
      <c r="G975" s="8">
        <f>IF(B975="","",IFERROR(INDEX(Ingredients!$D$5:$D$304,MATCH(B975,Ingredients!$A$5:$A$304,0)),""))</f>
        <v>0</v>
      </c>
      <c r="H975" s="8">
        <f>IF(OR(B975="",C975=""),"",IFERROR(C975*G975,""))</f>
        <v>0</v>
      </c>
      <c r="I975" s="8">
        <f>IF(A975="","",IFERROR(INDEX(Recipes!$D$5:$D$204,MATCH(A975,Recipes!$A$5:$A$204,0)),""))</f>
        <v>0</v>
      </c>
      <c r="J975" s="8">
        <f>IF(OR(H975="",I975="",I975=0),"",IFERROR(H975/I975,""))</f>
        <v>0</v>
      </c>
      <c r="K975" s="8">
        <f>IF(OR(B975="",C975=""),"",IFERROR(C975*IFERROR(INDEX(Ingredients!$H$5:$H$304,MATCH(B975,Ingredients!$A$5:$A$304,0)),""),""))</f>
        <v>0</v>
      </c>
      <c r="L975" s="8">
        <f>IF(OR(B975="",C975=""),"",IFERROR(C975*IFERROR(INDEX(Ingredients!$I$5:$I$304,MATCH(B975,Ingredients!$A$5:$A$304,0)),""),""))</f>
        <v>0</v>
      </c>
      <c r="M975" s="8">
        <f>IF(OR(B975="",C975=""),"",IFERROR(C975*IFERROR(INDEX(Ingredients!$J$5:$J$304,MATCH(B975,Ingredients!$A$5:$A$304,0)),""),""))</f>
        <v>0</v>
      </c>
      <c r="N975" s="8">
        <f>IF(OR(B975="",C975=""),"",IFERROR(C975*IFERROR(INDEX(Ingredients!$K$5:$K$304,MATCH(B975,Ingredients!$A$5:$A$304,0)),""),""))</f>
        <v>0</v>
      </c>
      <c r="O975" s="8">
        <f>IF(OR(B975="",C975=""),"",IFERROR(C975*IFERROR(INDEX(Ingredients!$L$5:$L$304,MATCH(B975,Ingredients!$A$5:$A$304,0)),""),""))</f>
        <v>0</v>
      </c>
      <c r="P975" s="8">
        <f>IF(OR(H975="",A975=""),"",IFERROR(H975/SUMIFS('Recipe Ingredients'!$H$5:$H$1204,'Recipe Ingredients'!$A$5:$A$1204,A975),""))</f>
        <v>0</v>
      </c>
      <c r="Q975" s="8">
        <f>IF(H975="","",COUNTIFS($H$5:$H$1204,"&gt;"&amp;H975)+1)</f>
        <v>0</v>
      </c>
      <c r="R975" s="8">
        <f>IF(B975="","",SUMIFS(Pantry!$C$5:$C$304,Pantry!$A$5:$A$304,B975))</f>
        <v>0</v>
      </c>
      <c r="S975" s="8">
        <f>IF(OR(B975="",C975=""),"",MAX(0,C975-R975))</f>
        <v>0</v>
      </c>
      <c r="T975" s="26"/>
      <c r="U975" s="8">
        <f>IF(OR(T975="",T975=0,G975=""),"",T975*G975)</f>
        <v>0</v>
      </c>
      <c r="V975" s="8">
        <f>IF(OR(S975="",T975="",T975=0),"",CEILING(S975/T975,1))</f>
        <v>0</v>
      </c>
      <c r="W975" s="27"/>
      <c r="X975" s="29"/>
      <c r="Y975" s="8">
        <f>IF(OR(C975="",X975=""),"",C975*(1+X975))</f>
        <v>0</v>
      </c>
      <c r="Z975" s="8">
        <f>IF(B975="","",IFERROR(INDEX(Ingredients!$O$5:$O$304,MATCH(B975,Ingredients!$A$5:$A$304,0)),""))</f>
        <v>0</v>
      </c>
      <c r="AA975" s="8">
        <f>IF(B975="","",IF(R975&gt;=C975,"In pantry","To buy"))</f>
        <v>0</v>
      </c>
      <c r="AB975" s="8">
        <f>IF(A975="","",COUNTIFS($A$5:A975,A975))</f>
        <v>0</v>
      </c>
      <c r="AC975" s="8">
        <f>IF(B975="","",IF(COUNTIFS('Dietary Filters'!$C$5:$C$104,B975)&gt;0,"Check","OK"))</f>
        <v>0</v>
      </c>
      <c r="AD975" s="25"/>
    </row>
    <row r="976" spans="1:30">
      <c r="A976" s="7"/>
      <c r="B976" s="7"/>
      <c r="C976" s="26"/>
      <c r="D976" s="27"/>
      <c r="E976" s="8">
        <f>IF(B976="","",IFERROR(INDEX(Ingredients!$B$5:$B$304,MATCH(B976,Ingredients!$A$5:$A$304,0)),""))</f>
        <v>0</v>
      </c>
      <c r="F976" s="8">
        <f>IF(B976="","",IFERROR(INDEX(Ingredients!$E$5:$E$304,MATCH(B976,Ingredients!$A$5:$A$304,0)),""))</f>
        <v>0</v>
      </c>
      <c r="G976" s="8">
        <f>IF(B976="","",IFERROR(INDEX(Ingredients!$D$5:$D$304,MATCH(B976,Ingredients!$A$5:$A$304,0)),""))</f>
        <v>0</v>
      </c>
      <c r="H976" s="8">
        <f>IF(OR(B976="",C976=""),"",IFERROR(C976*G976,""))</f>
        <v>0</v>
      </c>
      <c r="I976" s="8">
        <f>IF(A976="","",IFERROR(INDEX(Recipes!$D$5:$D$204,MATCH(A976,Recipes!$A$5:$A$204,0)),""))</f>
        <v>0</v>
      </c>
      <c r="J976" s="8">
        <f>IF(OR(H976="",I976="",I976=0),"",IFERROR(H976/I976,""))</f>
        <v>0</v>
      </c>
      <c r="K976" s="8">
        <f>IF(OR(B976="",C976=""),"",IFERROR(C976*IFERROR(INDEX(Ingredients!$H$5:$H$304,MATCH(B976,Ingredients!$A$5:$A$304,0)),""),""))</f>
        <v>0</v>
      </c>
      <c r="L976" s="8">
        <f>IF(OR(B976="",C976=""),"",IFERROR(C976*IFERROR(INDEX(Ingredients!$I$5:$I$304,MATCH(B976,Ingredients!$A$5:$A$304,0)),""),""))</f>
        <v>0</v>
      </c>
      <c r="M976" s="8">
        <f>IF(OR(B976="",C976=""),"",IFERROR(C976*IFERROR(INDEX(Ingredients!$J$5:$J$304,MATCH(B976,Ingredients!$A$5:$A$304,0)),""),""))</f>
        <v>0</v>
      </c>
      <c r="N976" s="8">
        <f>IF(OR(B976="",C976=""),"",IFERROR(C976*IFERROR(INDEX(Ingredients!$K$5:$K$304,MATCH(B976,Ingredients!$A$5:$A$304,0)),""),""))</f>
        <v>0</v>
      </c>
      <c r="O976" s="8">
        <f>IF(OR(B976="",C976=""),"",IFERROR(C976*IFERROR(INDEX(Ingredients!$L$5:$L$304,MATCH(B976,Ingredients!$A$5:$A$304,0)),""),""))</f>
        <v>0</v>
      </c>
      <c r="P976" s="8">
        <f>IF(OR(H976="",A976=""),"",IFERROR(H976/SUMIFS('Recipe Ingredients'!$H$5:$H$1204,'Recipe Ingredients'!$A$5:$A$1204,A976),""))</f>
        <v>0</v>
      </c>
      <c r="Q976" s="8">
        <f>IF(H976="","",COUNTIFS($H$5:$H$1204,"&gt;"&amp;H976)+1)</f>
        <v>0</v>
      </c>
      <c r="R976" s="8">
        <f>IF(B976="","",SUMIFS(Pantry!$C$5:$C$304,Pantry!$A$5:$A$304,B976))</f>
        <v>0</v>
      </c>
      <c r="S976" s="8">
        <f>IF(OR(B976="",C976=""),"",MAX(0,C976-R976))</f>
        <v>0</v>
      </c>
      <c r="T976" s="26"/>
      <c r="U976" s="8">
        <f>IF(OR(T976="",T976=0,G976=""),"",T976*G976)</f>
        <v>0</v>
      </c>
      <c r="V976" s="8">
        <f>IF(OR(S976="",T976="",T976=0),"",CEILING(S976/T976,1))</f>
        <v>0</v>
      </c>
      <c r="W976" s="27"/>
      <c r="X976" s="29"/>
      <c r="Y976" s="8">
        <f>IF(OR(C976="",X976=""),"",C976*(1+X976))</f>
        <v>0</v>
      </c>
      <c r="Z976" s="8">
        <f>IF(B976="","",IFERROR(INDEX(Ingredients!$O$5:$O$304,MATCH(B976,Ingredients!$A$5:$A$304,0)),""))</f>
        <v>0</v>
      </c>
      <c r="AA976" s="8">
        <f>IF(B976="","",IF(R976&gt;=C976,"In pantry","To buy"))</f>
        <v>0</v>
      </c>
      <c r="AB976" s="8">
        <f>IF(A976="","",COUNTIFS($A$5:A976,A976))</f>
        <v>0</v>
      </c>
      <c r="AC976" s="8">
        <f>IF(B976="","",IF(COUNTIFS('Dietary Filters'!$C$5:$C$104,B976)&gt;0,"Check","OK"))</f>
        <v>0</v>
      </c>
      <c r="AD976" s="25"/>
    </row>
    <row r="977" spans="1:30">
      <c r="A977" s="7"/>
      <c r="B977" s="7"/>
      <c r="C977" s="26"/>
      <c r="D977" s="27"/>
      <c r="E977" s="8">
        <f>IF(B977="","",IFERROR(INDEX(Ingredients!$B$5:$B$304,MATCH(B977,Ingredients!$A$5:$A$304,0)),""))</f>
        <v>0</v>
      </c>
      <c r="F977" s="8">
        <f>IF(B977="","",IFERROR(INDEX(Ingredients!$E$5:$E$304,MATCH(B977,Ingredients!$A$5:$A$304,0)),""))</f>
        <v>0</v>
      </c>
      <c r="G977" s="8">
        <f>IF(B977="","",IFERROR(INDEX(Ingredients!$D$5:$D$304,MATCH(B977,Ingredients!$A$5:$A$304,0)),""))</f>
        <v>0</v>
      </c>
      <c r="H977" s="8">
        <f>IF(OR(B977="",C977=""),"",IFERROR(C977*G977,""))</f>
        <v>0</v>
      </c>
      <c r="I977" s="8">
        <f>IF(A977="","",IFERROR(INDEX(Recipes!$D$5:$D$204,MATCH(A977,Recipes!$A$5:$A$204,0)),""))</f>
        <v>0</v>
      </c>
      <c r="J977" s="8">
        <f>IF(OR(H977="",I977="",I977=0),"",IFERROR(H977/I977,""))</f>
        <v>0</v>
      </c>
      <c r="K977" s="8">
        <f>IF(OR(B977="",C977=""),"",IFERROR(C977*IFERROR(INDEX(Ingredients!$H$5:$H$304,MATCH(B977,Ingredients!$A$5:$A$304,0)),""),""))</f>
        <v>0</v>
      </c>
      <c r="L977" s="8">
        <f>IF(OR(B977="",C977=""),"",IFERROR(C977*IFERROR(INDEX(Ingredients!$I$5:$I$304,MATCH(B977,Ingredients!$A$5:$A$304,0)),""),""))</f>
        <v>0</v>
      </c>
      <c r="M977" s="8">
        <f>IF(OR(B977="",C977=""),"",IFERROR(C977*IFERROR(INDEX(Ingredients!$J$5:$J$304,MATCH(B977,Ingredients!$A$5:$A$304,0)),""),""))</f>
        <v>0</v>
      </c>
      <c r="N977" s="8">
        <f>IF(OR(B977="",C977=""),"",IFERROR(C977*IFERROR(INDEX(Ingredients!$K$5:$K$304,MATCH(B977,Ingredients!$A$5:$A$304,0)),""),""))</f>
        <v>0</v>
      </c>
      <c r="O977" s="8">
        <f>IF(OR(B977="",C977=""),"",IFERROR(C977*IFERROR(INDEX(Ingredients!$L$5:$L$304,MATCH(B977,Ingredients!$A$5:$A$304,0)),""),""))</f>
        <v>0</v>
      </c>
      <c r="P977" s="8">
        <f>IF(OR(H977="",A977=""),"",IFERROR(H977/SUMIFS('Recipe Ingredients'!$H$5:$H$1204,'Recipe Ingredients'!$A$5:$A$1204,A977),""))</f>
        <v>0</v>
      </c>
      <c r="Q977" s="8">
        <f>IF(H977="","",COUNTIFS($H$5:$H$1204,"&gt;"&amp;H977)+1)</f>
        <v>0</v>
      </c>
      <c r="R977" s="8">
        <f>IF(B977="","",SUMIFS(Pantry!$C$5:$C$304,Pantry!$A$5:$A$304,B977))</f>
        <v>0</v>
      </c>
      <c r="S977" s="8">
        <f>IF(OR(B977="",C977=""),"",MAX(0,C977-R977))</f>
        <v>0</v>
      </c>
      <c r="T977" s="26"/>
      <c r="U977" s="8">
        <f>IF(OR(T977="",T977=0,G977=""),"",T977*G977)</f>
        <v>0</v>
      </c>
      <c r="V977" s="8">
        <f>IF(OR(S977="",T977="",T977=0),"",CEILING(S977/T977,1))</f>
        <v>0</v>
      </c>
      <c r="W977" s="27"/>
      <c r="X977" s="29"/>
      <c r="Y977" s="8">
        <f>IF(OR(C977="",X977=""),"",C977*(1+X977))</f>
        <v>0</v>
      </c>
      <c r="Z977" s="8">
        <f>IF(B977="","",IFERROR(INDEX(Ingredients!$O$5:$O$304,MATCH(B977,Ingredients!$A$5:$A$304,0)),""))</f>
        <v>0</v>
      </c>
      <c r="AA977" s="8">
        <f>IF(B977="","",IF(R977&gt;=C977,"In pantry","To buy"))</f>
        <v>0</v>
      </c>
      <c r="AB977" s="8">
        <f>IF(A977="","",COUNTIFS($A$5:A977,A977))</f>
        <v>0</v>
      </c>
      <c r="AC977" s="8">
        <f>IF(B977="","",IF(COUNTIFS('Dietary Filters'!$C$5:$C$104,B977)&gt;0,"Check","OK"))</f>
        <v>0</v>
      </c>
      <c r="AD977" s="25"/>
    </row>
    <row r="978" spans="1:30">
      <c r="A978" s="7"/>
      <c r="B978" s="7"/>
      <c r="C978" s="26"/>
      <c r="D978" s="27"/>
      <c r="E978" s="8">
        <f>IF(B978="","",IFERROR(INDEX(Ingredients!$B$5:$B$304,MATCH(B978,Ingredients!$A$5:$A$304,0)),""))</f>
        <v>0</v>
      </c>
      <c r="F978" s="8">
        <f>IF(B978="","",IFERROR(INDEX(Ingredients!$E$5:$E$304,MATCH(B978,Ingredients!$A$5:$A$304,0)),""))</f>
        <v>0</v>
      </c>
      <c r="G978" s="8">
        <f>IF(B978="","",IFERROR(INDEX(Ingredients!$D$5:$D$304,MATCH(B978,Ingredients!$A$5:$A$304,0)),""))</f>
        <v>0</v>
      </c>
      <c r="H978" s="8">
        <f>IF(OR(B978="",C978=""),"",IFERROR(C978*G978,""))</f>
        <v>0</v>
      </c>
      <c r="I978" s="8">
        <f>IF(A978="","",IFERROR(INDEX(Recipes!$D$5:$D$204,MATCH(A978,Recipes!$A$5:$A$204,0)),""))</f>
        <v>0</v>
      </c>
      <c r="J978" s="8">
        <f>IF(OR(H978="",I978="",I978=0),"",IFERROR(H978/I978,""))</f>
        <v>0</v>
      </c>
      <c r="K978" s="8">
        <f>IF(OR(B978="",C978=""),"",IFERROR(C978*IFERROR(INDEX(Ingredients!$H$5:$H$304,MATCH(B978,Ingredients!$A$5:$A$304,0)),""),""))</f>
        <v>0</v>
      </c>
      <c r="L978" s="8">
        <f>IF(OR(B978="",C978=""),"",IFERROR(C978*IFERROR(INDEX(Ingredients!$I$5:$I$304,MATCH(B978,Ingredients!$A$5:$A$304,0)),""),""))</f>
        <v>0</v>
      </c>
      <c r="M978" s="8">
        <f>IF(OR(B978="",C978=""),"",IFERROR(C978*IFERROR(INDEX(Ingredients!$J$5:$J$304,MATCH(B978,Ingredients!$A$5:$A$304,0)),""),""))</f>
        <v>0</v>
      </c>
      <c r="N978" s="8">
        <f>IF(OR(B978="",C978=""),"",IFERROR(C978*IFERROR(INDEX(Ingredients!$K$5:$K$304,MATCH(B978,Ingredients!$A$5:$A$304,0)),""),""))</f>
        <v>0</v>
      </c>
      <c r="O978" s="8">
        <f>IF(OR(B978="",C978=""),"",IFERROR(C978*IFERROR(INDEX(Ingredients!$L$5:$L$304,MATCH(B978,Ingredients!$A$5:$A$304,0)),""),""))</f>
        <v>0</v>
      </c>
      <c r="P978" s="8">
        <f>IF(OR(H978="",A978=""),"",IFERROR(H978/SUMIFS('Recipe Ingredients'!$H$5:$H$1204,'Recipe Ingredients'!$A$5:$A$1204,A978),""))</f>
        <v>0</v>
      </c>
      <c r="Q978" s="8">
        <f>IF(H978="","",COUNTIFS($H$5:$H$1204,"&gt;"&amp;H978)+1)</f>
        <v>0</v>
      </c>
      <c r="R978" s="8">
        <f>IF(B978="","",SUMIFS(Pantry!$C$5:$C$304,Pantry!$A$5:$A$304,B978))</f>
        <v>0</v>
      </c>
      <c r="S978" s="8">
        <f>IF(OR(B978="",C978=""),"",MAX(0,C978-R978))</f>
        <v>0</v>
      </c>
      <c r="T978" s="26"/>
      <c r="U978" s="8">
        <f>IF(OR(T978="",T978=0,G978=""),"",T978*G978)</f>
        <v>0</v>
      </c>
      <c r="V978" s="8">
        <f>IF(OR(S978="",T978="",T978=0),"",CEILING(S978/T978,1))</f>
        <v>0</v>
      </c>
      <c r="W978" s="27"/>
      <c r="X978" s="29"/>
      <c r="Y978" s="8">
        <f>IF(OR(C978="",X978=""),"",C978*(1+X978))</f>
        <v>0</v>
      </c>
      <c r="Z978" s="8">
        <f>IF(B978="","",IFERROR(INDEX(Ingredients!$O$5:$O$304,MATCH(B978,Ingredients!$A$5:$A$304,0)),""))</f>
        <v>0</v>
      </c>
      <c r="AA978" s="8">
        <f>IF(B978="","",IF(R978&gt;=C978,"In pantry","To buy"))</f>
        <v>0</v>
      </c>
      <c r="AB978" s="8">
        <f>IF(A978="","",COUNTIFS($A$5:A978,A978))</f>
        <v>0</v>
      </c>
      <c r="AC978" s="8">
        <f>IF(B978="","",IF(COUNTIFS('Dietary Filters'!$C$5:$C$104,B978)&gt;0,"Check","OK"))</f>
        <v>0</v>
      </c>
      <c r="AD978" s="25"/>
    </row>
    <row r="979" spans="1:30">
      <c r="A979" s="7"/>
      <c r="B979" s="7"/>
      <c r="C979" s="26"/>
      <c r="D979" s="27"/>
      <c r="E979" s="8">
        <f>IF(B979="","",IFERROR(INDEX(Ingredients!$B$5:$B$304,MATCH(B979,Ingredients!$A$5:$A$304,0)),""))</f>
        <v>0</v>
      </c>
      <c r="F979" s="8">
        <f>IF(B979="","",IFERROR(INDEX(Ingredients!$E$5:$E$304,MATCH(B979,Ingredients!$A$5:$A$304,0)),""))</f>
        <v>0</v>
      </c>
      <c r="G979" s="8">
        <f>IF(B979="","",IFERROR(INDEX(Ingredients!$D$5:$D$304,MATCH(B979,Ingredients!$A$5:$A$304,0)),""))</f>
        <v>0</v>
      </c>
      <c r="H979" s="8">
        <f>IF(OR(B979="",C979=""),"",IFERROR(C979*G979,""))</f>
        <v>0</v>
      </c>
      <c r="I979" s="8">
        <f>IF(A979="","",IFERROR(INDEX(Recipes!$D$5:$D$204,MATCH(A979,Recipes!$A$5:$A$204,0)),""))</f>
        <v>0</v>
      </c>
      <c r="J979" s="8">
        <f>IF(OR(H979="",I979="",I979=0),"",IFERROR(H979/I979,""))</f>
        <v>0</v>
      </c>
      <c r="K979" s="8">
        <f>IF(OR(B979="",C979=""),"",IFERROR(C979*IFERROR(INDEX(Ingredients!$H$5:$H$304,MATCH(B979,Ingredients!$A$5:$A$304,0)),""),""))</f>
        <v>0</v>
      </c>
      <c r="L979" s="8">
        <f>IF(OR(B979="",C979=""),"",IFERROR(C979*IFERROR(INDEX(Ingredients!$I$5:$I$304,MATCH(B979,Ingredients!$A$5:$A$304,0)),""),""))</f>
        <v>0</v>
      </c>
      <c r="M979" s="8">
        <f>IF(OR(B979="",C979=""),"",IFERROR(C979*IFERROR(INDEX(Ingredients!$J$5:$J$304,MATCH(B979,Ingredients!$A$5:$A$304,0)),""),""))</f>
        <v>0</v>
      </c>
      <c r="N979" s="8">
        <f>IF(OR(B979="",C979=""),"",IFERROR(C979*IFERROR(INDEX(Ingredients!$K$5:$K$304,MATCH(B979,Ingredients!$A$5:$A$304,0)),""),""))</f>
        <v>0</v>
      </c>
      <c r="O979" s="8">
        <f>IF(OR(B979="",C979=""),"",IFERROR(C979*IFERROR(INDEX(Ingredients!$L$5:$L$304,MATCH(B979,Ingredients!$A$5:$A$304,0)),""),""))</f>
        <v>0</v>
      </c>
      <c r="P979" s="8">
        <f>IF(OR(H979="",A979=""),"",IFERROR(H979/SUMIFS('Recipe Ingredients'!$H$5:$H$1204,'Recipe Ingredients'!$A$5:$A$1204,A979),""))</f>
        <v>0</v>
      </c>
      <c r="Q979" s="8">
        <f>IF(H979="","",COUNTIFS($H$5:$H$1204,"&gt;"&amp;H979)+1)</f>
        <v>0</v>
      </c>
      <c r="R979" s="8">
        <f>IF(B979="","",SUMIFS(Pantry!$C$5:$C$304,Pantry!$A$5:$A$304,B979))</f>
        <v>0</v>
      </c>
      <c r="S979" s="8">
        <f>IF(OR(B979="",C979=""),"",MAX(0,C979-R979))</f>
        <v>0</v>
      </c>
      <c r="T979" s="26"/>
      <c r="U979" s="8">
        <f>IF(OR(T979="",T979=0,G979=""),"",T979*G979)</f>
        <v>0</v>
      </c>
      <c r="V979" s="8">
        <f>IF(OR(S979="",T979="",T979=0),"",CEILING(S979/T979,1))</f>
        <v>0</v>
      </c>
      <c r="W979" s="27"/>
      <c r="X979" s="29"/>
      <c r="Y979" s="8">
        <f>IF(OR(C979="",X979=""),"",C979*(1+X979))</f>
        <v>0</v>
      </c>
      <c r="Z979" s="8">
        <f>IF(B979="","",IFERROR(INDEX(Ingredients!$O$5:$O$304,MATCH(B979,Ingredients!$A$5:$A$304,0)),""))</f>
        <v>0</v>
      </c>
      <c r="AA979" s="8">
        <f>IF(B979="","",IF(R979&gt;=C979,"In pantry","To buy"))</f>
        <v>0</v>
      </c>
      <c r="AB979" s="8">
        <f>IF(A979="","",COUNTIFS($A$5:A979,A979))</f>
        <v>0</v>
      </c>
      <c r="AC979" s="8">
        <f>IF(B979="","",IF(COUNTIFS('Dietary Filters'!$C$5:$C$104,B979)&gt;0,"Check","OK"))</f>
        <v>0</v>
      </c>
      <c r="AD979" s="25"/>
    </row>
    <row r="980" spans="1:30">
      <c r="A980" s="7"/>
      <c r="B980" s="7"/>
      <c r="C980" s="26"/>
      <c r="D980" s="27"/>
      <c r="E980" s="8">
        <f>IF(B980="","",IFERROR(INDEX(Ingredients!$B$5:$B$304,MATCH(B980,Ingredients!$A$5:$A$304,0)),""))</f>
        <v>0</v>
      </c>
      <c r="F980" s="8">
        <f>IF(B980="","",IFERROR(INDEX(Ingredients!$E$5:$E$304,MATCH(B980,Ingredients!$A$5:$A$304,0)),""))</f>
        <v>0</v>
      </c>
      <c r="G980" s="8">
        <f>IF(B980="","",IFERROR(INDEX(Ingredients!$D$5:$D$304,MATCH(B980,Ingredients!$A$5:$A$304,0)),""))</f>
        <v>0</v>
      </c>
      <c r="H980" s="8">
        <f>IF(OR(B980="",C980=""),"",IFERROR(C980*G980,""))</f>
        <v>0</v>
      </c>
      <c r="I980" s="8">
        <f>IF(A980="","",IFERROR(INDEX(Recipes!$D$5:$D$204,MATCH(A980,Recipes!$A$5:$A$204,0)),""))</f>
        <v>0</v>
      </c>
      <c r="J980" s="8">
        <f>IF(OR(H980="",I980="",I980=0),"",IFERROR(H980/I980,""))</f>
        <v>0</v>
      </c>
      <c r="K980" s="8">
        <f>IF(OR(B980="",C980=""),"",IFERROR(C980*IFERROR(INDEX(Ingredients!$H$5:$H$304,MATCH(B980,Ingredients!$A$5:$A$304,0)),""),""))</f>
        <v>0</v>
      </c>
      <c r="L980" s="8">
        <f>IF(OR(B980="",C980=""),"",IFERROR(C980*IFERROR(INDEX(Ingredients!$I$5:$I$304,MATCH(B980,Ingredients!$A$5:$A$304,0)),""),""))</f>
        <v>0</v>
      </c>
      <c r="M980" s="8">
        <f>IF(OR(B980="",C980=""),"",IFERROR(C980*IFERROR(INDEX(Ingredients!$J$5:$J$304,MATCH(B980,Ingredients!$A$5:$A$304,0)),""),""))</f>
        <v>0</v>
      </c>
      <c r="N980" s="8">
        <f>IF(OR(B980="",C980=""),"",IFERROR(C980*IFERROR(INDEX(Ingredients!$K$5:$K$304,MATCH(B980,Ingredients!$A$5:$A$304,0)),""),""))</f>
        <v>0</v>
      </c>
      <c r="O980" s="8">
        <f>IF(OR(B980="",C980=""),"",IFERROR(C980*IFERROR(INDEX(Ingredients!$L$5:$L$304,MATCH(B980,Ingredients!$A$5:$A$304,0)),""),""))</f>
        <v>0</v>
      </c>
      <c r="P980" s="8">
        <f>IF(OR(H980="",A980=""),"",IFERROR(H980/SUMIFS('Recipe Ingredients'!$H$5:$H$1204,'Recipe Ingredients'!$A$5:$A$1204,A980),""))</f>
        <v>0</v>
      </c>
      <c r="Q980" s="8">
        <f>IF(H980="","",COUNTIFS($H$5:$H$1204,"&gt;"&amp;H980)+1)</f>
        <v>0</v>
      </c>
      <c r="R980" s="8">
        <f>IF(B980="","",SUMIFS(Pantry!$C$5:$C$304,Pantry!$A$5:$A$304,B980))</f>
        <v>0</v>
      </c>
      <c r="S980" s="8">
        <f>IF(OR(B980="",C980=""),"",MAX(0,C980-R980))</f>
        <v>0</v>
      </c>
      <c r="T980" s="26"/>
      <c r="U980" s="8">
        <f>IF(OR(T980="",T980=0,G980=""),"",T980*G980)</f>
        <v>0</v>
      </c>
      <c r="V980" s="8">
        <f>IF(OR(S980="",T980="",T980=0),"",CEILING(S980/T980,1))</f>
        <v>0</v>
      </c>
      <c r="W980" s="27"/>
      <c r="X980" s="29"/>
      <c r="Y980" s="8">
        <f>IF(OR(C980="",X980=""),"",C980*(1+X980))</f>
        <v>0</v>
      </c>
      <c r="Z980" s="8">
        <f>IF(B980="","",IFERROR(INDEX(Ingredients!$O$5:$O$304,MATCH(B980,Ingredients!$A$5:$A$304,0)),""))</f>
        <v>0</v>
      </c>
      <c r="AA980" s="8">
        <f>IF(B980="","",IF(R980&gt;=C980,"In pantry","To buy"))</f>
        <v>0</v>
      </c>
      <c r="AB980" s="8">
        <f>IF(A980="","",COUNTIFS($A$5:A980,A980))</f>
        <v>0</v>
      </c>
      <c r="AC980" s="8">
        <f>IF(B980="","",IF(COUNTIFS('Dietary Filters'!$C$5:$C$104,B980)&gt;0,"Check","OK"))</f>
        <v>0</v>
      </c>
      <c r="AD980" s="25"/>
    </row>
    <row r="981" spans="1:30">
      <c r="A981" s="7"/>
      <c r="B981" s="7"/>
      <c r="C981" s="26"/>
      <c r="D981" s="27"/>
      <c r="E981" s="8">
        <f>IF(B981="","",IFERROR(INDEX(Ingredients!$B$5:$B$304,MATCH(B981,Ingredients!$A$5:$A$304,0)),""))</f>
        <v>0</v>
      </c>
      <c r="F981" s="8">
        <f>IF(B981="","",IFERROR(INDEX(Ingredients!$E$5:$E$304,MATCH(B981,Ingredients!$A$5:$A$304,0)),""))</f>
        <v>0</v>
      </c>
      <c r="G981" s="8">
        <f>IF(B981="","",IFERROR(INDEX(Ingredients!$D$5:$D$304,MATCH(B981,Ingredients!$A$5:$A$304,0)),""))</f>
        <v>0</v>
      </c>
      <c r="H981" s="8">
        <f>IF(OR(B981="",C981=""),"",IFERROR(C981*G981,""))</f>
        <v>0</v>
      </c>
      <c r="I981" s="8">
        <f>IF(A981="","",IFERROR(INDEX(Recipes!$D$5:$D$204,MATCH(A981,Recipes!$A$5:$A$204,0)),""))</f>
        <v>0</v>
      </c>
      <c r="J981" s="8">
        <f>IF(OR(H981="",I981="",I981=0),"",IFERROR(H981/I981,""))</f>
        <v>0</v>
      </c>
      <c r="K981" s="8">
        <f>IF(OR(B981="",C981=""),"",IFERROR(C981*IFERROR(INDEX(Ingredients!$H$5:$H$304,MATCH(B981,Ingredients!$A$5:$A$304,0)),""),""))</f>
        <v>0</v>
      </c>
      <c r="L981" s="8">
        <f>IF(OR(B981="",C981=""),"",IFERROR(C981*IFERROR(INDEX(Ingredients!$I$5:$I$304,MATCH(B981,Ingredients!$A$5:$A$304,0)),""),""))</f>
        <v>0</v>
      </c>
      <c r="M981" s="8">
        <f>IF(OR(B981="",C981=""),"",IFERROR(C981*IFERROR(INDEX(Ingredients!$J$5:$J$304,MATCH(B981,Ingredients!$A$5:$A$304,0)),""),""))</f>
        <v>0</v>
      </c>
      <c r="N981" s="8">
        <f>IF(OR(B981="",C981=""),"",IFERROR(C981*IFERROR(INDEX(Ingredients!$K$5:$K$304,MATCH(B981,Ingredients!$A$5:$A$304,0)),""),""))</f>
        <v>0</v>
      </c>
      <c r="O981" s="8">
        <f>IF(OR(B981="",C981=""),"",IFERROR(C981*IFERROR(INDEX(Ingredients!$L$5:$L$304,MATCH(B981,Ingredients!$A$5:$A$304,0)),""),""))</f>
        <v>0</v>
      </c>
      <c r="P981" s="8">
        <f>IF(OR(H981="",A981=""),"",IFERROR(H981/SUMIFS('Recipe Ingredients'!$H$5:$H$1204,'Recipe Ingredients'!$A$5:$A$1204,A981),""))</f>
        <v>0</v>
      </c>
      <c r="Q981" s="8">
        <f>IF(H981="","",COUNTIFS($H$5:$H$1204,"&gt;"&amp;H981)+1)</f>
        <v>0</v>
      </c>
      <c r="R981" s="8">
        <f>IF(B981="","",SUMIFS(Pantry!$C$5:$C$304,Pantry!$A$5:$A$304,B981))</f>
        <v>0</v>
      </c>
      <c r="S981" s="8">
        <f>IF(OR(B981="",C981=""),"",MAX(0,C981-R981))</f>
        <v>0</v>
      </c>
      <c r="T981" s="26"/>
      <c r="U981" s="8">
        <f>IF(OR(T981="",T981=0,G981=""),"",T981*G981)</f>
        <v>0</v>
      </c>
      <c r="V981" s="8">
        <f>IF(OR(S981="",T981="",T981=0),"",CEILING(S981/T981,1))</f>
        <v>0</v>
      </c>
      <c r="W981" s="27"/>
      <c r="X981" s="29"/>
      <c r="Y981" s="8">
        <f>IF(OR(C981="",X981=""),"",C981*(1+X981))</f>
        <v>0</v>
      </c>
      <c r="Z981" s="8">
        <f>IF(B981="","",IFERROR(INDEX(Ingredients!$O$5:$O$304,MATCH(B981,Ingredients!$A$5:$A$304,0)),""))</f>
        <v>0</v>
      </c>
      <c r="AA981" s="8">
        <f>IF(B981="","",IF(R981&gt;=C981,"In pantry","To buy"))</f>
        <v>0</v>
      </c>
      <c r="AB981" s="8">
        <f>IF(A981="","",COUNTIFS($A$5:A981,A981))</f>
        <v>0</v>
      </c>
      <c r="AC981" s="8">
        <f>IF(B981="","",IF(COUNTIFS('Dietary Filters'!$C$5:$C$104,B981)&gt;0,"Check","OK"))</f>
        <v>0</v>
      </c>
      <c r="AD981" s="25"/>
    </row>
    <row r="982" spans="1:30">
      <c r="A982" s="7"/>
      <c r="B982" s="7"/>
      <c r="C982" s="26"/>
      <c r="D982" s="27"/>
      <c r="E982" s="8">
        <f>IF(B982="","",IFERROR(INDEX(Ingredients!$B$5:$B$304,MATCH(B982,Ingredients!$A$5:$A$304,0)),""))</f>
        <v>0</v>
      </c>
      <c r="F982" s="8">
        <f>IF(B982="","",IFERROR(INDEX(Ingredients!$E$5:$E$304,MATCH(B982,Ingredients!$A$5:$A$304,0)),""))</f>
        <v>0</v>
      </c>
      <c r="G982" s="8">
        <f>IF(B982="","",IFERROR(INDEX(Ingredients!$D$5:$D$304,MATCH(B982,Ingredients!$A$5:$A$304,0)),""))</f>
        <v>0</v>
      </c>
      <c r="H982" s="8">
        <f>IF(OR(B982="",C982=""),"",IFERROR(C982*G982,""))</f>
        <v>0</v>
      </c>
      <c r="I982" s="8">
        <f>IF(A982="","",IFERROR(INDEX(Recipes!$D$5:$D$204,MATCH(A982,Recipes!$A$5:$A$204,0)),""))</f>
        <v>0</v>
      </c>
      <c r="J982" s="8">
        <f>IF(OR(H982="",I982="",I982=0),"",IFERROR(H982/I982,""))</f>
        <v>0</v>
      </c>
      <c r="K982" s="8">
        <f>IF(OR(B982="",C982=""),"",IFERROR(C982*IFERROR(INDEX(Ingredients!$H$5:$H$304,MATCH(B982,Ingredients!$A$5:$A$304,0)),""),""))</f>
        <v>0</v>
      </c>
      <c r="L982" s="8">
        <f>IF(OR(B982="",C982=""),"",IFERROR(C982*IFERROR(INDEX(Ingredients!$I$5:$I$304,MATCH(B982,Ingredients!$A$5:$A$304,0)),""),""))</f>
        <v>0</v>
      </c>
      <c r="M982" s="8">
        <f>IF(OR(B982="",C982=""),"",IFERROR(C982*IFERROR(INDEX(Ingredients!$J$5:$J$304,MATCH(B982,Ingredients!$A$5:$A$304,0)),""),""))</f>
        <v>0</v>
      </c>
      <c r="N982" s="8">
        <f>IF(OR(B982="",C982=""),"",IFERROR(C982*IFERROR(INDEX(Ingredients!$K$5:$K$304,MATCH(B982,Ingredients!$A$5:$A$304,0)),""),""))</f>
        <v>0</v>
      </c>
      <c r="O982" s="8">
        <f>IF(OR(B982="",C982=""),"",IFERROR(C982*IFERROR(INDEX(Ingredients!$L$5:$L$304,MATCH(B982,Ingredients!$A$5:$A$304,0)),""),""))</f>
        <v>0</v>
      </c>
      <c r="P982" s="8">
        <f>IF(OR(H982="",A982=""),"",IFERROR(H982/SUMIFS('Recipe Ingredients'!$H$5:$H$1204,'Recipe Ingredients'!$A$5:$A$1204,A982),""))</f>
        <v>0</v>
      </c>
      <c r="Q982" s="8">
        <f>IF(H982="","",COUNTIFS($H$5:$H$1204,"&gt;"&amp;H982)+1)</f>
        <v>0</v>
      </c>
      <c r="R982" s="8">
        <f>IF(B982="","",SUMIFS(Pantry!$C$5:$C$304,Pantry!$A$5:$A$304,B982))</f>
        <v>0</v>
      </c>
      <c r="S982" s="8">
        <f>IF(OR(B982="",C982=""),"",MAX(0,C982-R982))</f>
        <v>0</v>
      </c>
      <c r="T982" s="26"/>
      <c r="U982" s="8">
        <f>IF(OR(T982="",T982=0,G982=""),"",T982*G982)</f>
        <v>0</v>
      </c>
      <c r="V982" s="8">
        <f>IF(OR(S982="",T982="",T982=0),"",CEILING(S982/T982,1))</f>
        <v>0</v>
      </c>
      <c r="W982" s="27"/>
      <c r="X982" s="29"/>
      <c r="Y982" s="8">
        <f>IF(OR(C982="",X982=""),"",C982*(1+X982))</f>
        <v>0</v>
      </c>
      <c r="Z982" s="8">
        <f>IF(B982="","",IFERROR(INDEX(Ingredients!$O$5:$O$304,MATCH(B982,Ingredients!$A$5:$A$304,0)),""))</f>
        <v>0</v>
      </c>
      <c r="AA982" s="8">
        <f>IF(B982="","",IF(R982&gt;=C982,"In pantry","To buy"))</f>
        <v>0</v>
      </c>
      <c r="AB982" s="8">
        <f>IF(A982="","",COUNTIFS($A$5:A982,A982))</f>
        <v>0</v>
      </c>
      <c r="AC982" s="8">
        <f>IF(B982="","",IF(COUNTIFS('Dietary Filters'!$C$5:$C$104,B982)&gt;0,"Check","OK"))</f>
        <v>0</v>
      </c>
      <c r="AD982" s="25"/>
    </row>
    <row r="983" spans="1:30">
      <c r="A983" s="7"/>
      <c r="B983" s="7"/>
      <c r="C983" s="26"/>
      <c r="D983" s="27"/>
      <c r="E983" s="8">
        <f>IF(B983="","",IFERROR(INDEX(Ingredients!$B$5:$B$304,MATCH(B983,Ingredients!$A$5:$A$304,0)),""))</f>
        <v>0</v>
      </c>
      <c r="F983" s="8">
        <f>IF(B983="","",IFERROR(INDEX(Ingredients!$E$5:$E$304,MATCH(B983,Ingredients!$A$5:$A$304,0)),""))</f>
        <v>0</v>
      </c>
      <c r="G983" s="8">
        <f>IF(B983="","",IFERROR(INDEX(Ingredients!$D$5:$D$304,MATCH(B983,Ingredients!$A$5:$A$304,0)),""))</f>
        <v>0</v>
      </c>
      <c r="H983" s="8">
        <f>IF(OR(B983="",C983=""),"",IFERROR(C983*G983,""))</f>
        <v>0</v>
      </c>
      <c r="I983" s="8">
        <f>IF(A983="","",IFERROR(INDEX(Recipes!$D$5:$D$204,MATCH(A983,Recipes!$A$5:$A$204,0)),""))</f>
        <v>0</v>
      </c>
      <c r="J983" s="8">
        <f>IF(OR(H983="",I983="",I983=0),"",IFERROR(H983/I983,""))</f>
        <v>0</v>
      </c>
      <c r="K983" s="8">
        <f>IF(OR(B983="",C983=""),"",IFERROR(C983*IFERROR(INDEX(Ingredients!$H$5:$H$304,MATCH(B983,Ingredients!$A$5:$A$304,0)),""),""))</f>
        <v>0</v>
      </c>
      <c r="L983" s="8">
        <f>IF(OR(B983="",C983=""),"",IFERROR(C983*IFERROR(INDEX(Ingredients!$I$5:$I$304,MATCH(B983,Ingredients!$A$5:$A$304,0)),""),""))</f>
        <v>0</v>
      </c>
      <c r="M983" s="8">
        <f>IF(OR(B983="",C983=""),"",IFERROR(C983*IFERROR(INDEX(Ingredients!$J$5:$J$304,MATCH(B983,Ingredients!$A$5:$A$304,0)),""),""))</f>
        <v>0</v>
      </c>
      <c r="N983" s="8">
        <f>IF(OR(B983="",C983=""),"",IFERROR(C983*IFERROR(INDEX(Ingredients!$K$5:$K$304,MATCH(B983,Ingredients!$A$5:$A$304,0)),""),""))</f>
        <v>0</v>
      </c>
      <c r="O983" s="8">
        <f>IF(OR(B983="",C983=""),"",IFERROR(C983*IFERROR(INDEX(Ingredients!$L$5:$L$304,MATCH(B983,Ingredients!$A$5:$A$304,0)),""),""))</f>
        <v>0</v>
      </c>
      <c r="P983" s="8">
        <f>IF(OR(H983="",A983=""),"",IFERROR(H983/SUMIFS('Recipe Ingredients'!$H$5:$H$1204,'Recipe Ingredients'!$A$5:$A$1204,A983),""))</f>
        <v>0</v>
      </c>
      <c r="Q983" s="8">
        <f>IF(H983="","",COUNTIFS($H$5:$H$1204,"&gt;"&amp;H983)+1)</f>
        <v>0</v>
      </c>
      <c r="R983" s="8">
        <f>IF(B983="","",SUMIFS(Pantry!$C$5:$C$304,Pantry!$A$5:$A$304,B983))</f>
        <v>0</v>
      </c>
      <c r="S983" s="8">
        <f>IF(OR(B983="",C983=""),"",MAX(0,C983-R983))</f>
        <v>0</v>
      </c>
      <c r="T983" s="26"/>
      <c r="U983" s="8">
        <f>IF(OR(T983="",T983=0,G983=""),"",T983*G983)</f>
        <v>0</v>
      </c>
      <c r="V983" s="8">
        <f>IF(OR(S983="",T983="",T983=0),"",CEILING(S983/T983,1))</f>
        <v>0</v>
      </c>
      <c r="W983" s="27"/>
      <c r="X983" s="29"/>
      <c r="Y983" s="8">
        <f>IF(OR(C983="",X983=""),"",C983*(1+X983))</f>
        <v>0</v>
      </c>
      <c r="Z983" s="8">
        <f>IF(B983="","",IFERROR(INDEX(Ingredients!$O$5:$O$304,MATCH(B983,Ingredients!$A$5:$A$304,0)),""))</f>
        <v>0</v>
      </c>
      <c r="AA983" s="8">
        <f>IF(B983="","",IF(R983&gt;=C983,"In pantry","To buy"))</f>
        <v>0</v>
      </c>
      <c r="AB983" s="8">
        <f>IF(A983="","",COUNTIFS($A$5:A983,A983))</f>
        <v>0</v>
      </c>
      <c r="AC983" s="8">
        <f>IF(B983="","",IF(COUNTIFS('Dietary Filters'!$C$5:$C$104,B983)&gt;0,"Check","OK"))</f>
        <v>0</v>
      </c>
      <c r="AD983" s="25"/>
    </row>
    <row r="984" spans="1:30">
      <c r="A984" s="7"/>
      <c r="B984" s="7"/>
      <c r="C984" s="26"/>
      <c r="D984" s="27"/>
      <c r="E984" s="8">
        <f>IF(B984="","",IFERROR(INDEX(Ingredients!$B$5:$B$304,MATCH(B984,Ingredients!$A$5:$A$304,0)),""))</f>
        <v>0</v>
      </c>
      <c r="F984" s="8">
        <f>IF(B984="","",IFERROR(INDEX(Ingredients!$E$5:$E$304,MATCH(B984,Ingredients!$A$5:$A$304,0)),""))</f>
        <v>0</v>
      </c>
      <c r="G984" s="8">
        <f>IF(B984="","",IFERROR(INDEX(Ingredients!$D$5:$D$304,MATCH(B984,Ingredients!$A$5:$A$304,0)),""))</f>
        <v>0</v>
      </c>
      <c r="H984" s="8">
        <f>IF(OR(B984="",C984=""),"",IFERROR(C984*G984,""))</f>
        <v>0</v>
      </c>
      <c r="I984" s="8">
        <f>IF(A984="","",IFERROR(INDEX(Recipes!$D$5:$D$204,MATCH(A984,Recipes!$A$5:$A$204,0)),""))</f>
        <v>0</v>
      </c>
      <c r="J984" s="8">
        <f>IF(OR(H984="",I984="",I984=0),"",IFERROR(H984/I984,""))</f>
        <v>0</v>
      </c>
      <c r="K984" s="8">
        <f>IF(OR(B984="",C984=""),"",IFERROR(C984*IFERROR(INDEX(Ingredients!$H$5:$H$304,MATCH(B984,Ingredients!$A$5:$A$304,0)),""),""))</f>
        <v>0</v>
      </c>
      <c r="L984" s="8">
        <f>IF(OR(B984="",C984=""),"",IFERROR(C984*IFERROR(INDEX(Ingredients!$I$5:$I$304,MATCH(B984,Ingredients!$A$5:$A$304,0)),""),""))</f>
        <v>0</v>
      </c>
      <c r="M984" s="8">
        <f>IF(OR(B984="",C984=""),"",IFERROR(C984*IFERROR(INDEX(Ingredients!$J$5:$J$304,MATCH(B984,Ingredients!$A$5:$A$304,0)),""),""))</f>
        <v>0</v>
      </c>
      <c r="N984" s="8">
        <f>IF(OR(B984="",C984=""),"",IFERROR(C984*IFERROR(INDEX(Ingredients!$K$5:$K$304,MATCH(B984,Ingredients!$A$5:$A$304,0)),""),""))</f>
        <v>0</v>
      </c>
      <c r="O984" s="8">
        <f>IF(OR(B984="",C984=""),"",IFERROR(C984*IFERROR(INDEX(Ingredients!$L$5:$L$304,MATCH(B984,Ingredients!$A$5:$A$304,0)),""),""))</f>
        <v>0</v>
      </c>
      <c r="P984" s="8">
        <f>IF(OR(H984="",A984=""),"",IFERROR(H984/SUMIFS('Recipe Ingredients'!$H$5:$H$1204,'Recipe Ingredients'!$A$5:$A$1204,A984),""))</f>
        <v>0</v>
      </c>
      <c r="Q984" s="8">
        <f>IF(H984="","",COUNTIFS($H$5:$H$1204,"&gt;"&amp;H984)+1)</f>
        <v>0</v>
      </c>
      <c r="R984" s="8">
        <f>IF(B984="","",SUMIFS(Pantry!$C$5:$C$304,Pantry!$A$5:$A$304,B984))</f>
        <v>0</v>
      </c>
      <c r="S984" s="8">
        <f>IF(OR(B984="",C984=""),"",MAX(0,C984-R984))</f>
        <v>0</v>
      </c>
      <c r="T984" s="26"/>
      <c r="U984" s="8">
        <f>IF(OR(T984="",T984=0,G984=""),"",T984*G984)</f>
        <v>0</v>
      </c>
      <c r="V984" s="8">
        <f>IF(OR(S984="",T984="",T984=0),"",CEILING(S984/T984,1))</f>
        <v>0</v>
      </c>
      <c r="W984" s="27"/>
      <c r="X984" s="29"/>
      <c r="Y984" s="8">
        <f>IF(OR(C984="",X984=""),"",C984*(1+X984))</f>
        <v>0</v>
      </c>
      <c r="Z984" s="8">
        <f>IF(B984="","",IFERROR(INDEX(Ingredients!$O$5:$O$304,MATCH(B984,Ingredients!$A$5:$A$304,0)),""))</f>
        <v>0</v>
      </c>
      <c r="AA984" s="8">
        <f>IF(B984="","",IF(R984&gt;=C984,"In pantry","To buy"))</f>
        <v>0</v>
      </c>
      <c r="AB984" s="8">
        <f>IF(A984="","",COUNTIFS($A$5:A984,A984))</f>
        <v>0</v>
      </c>
      <c r="AC984" s="8">
        <f>IF(B984="","",IF(COUNTIFS('Dietary Filters'!$C$5:$C$104,B984)&gt;0,"Check","OK"))</f>
        <v>0</v>
      </c>
      <c r="AD984" s="25"/>
    </row>
    <row r="985" spans="1:30">
      <c r="A985" s="7"/>
      <c r="B985" s="7"/>
      <c r="C985" s="26"/>
      <c r="D985" s="27"/>
      <c r="E985" s="8">
        <f>IF(B985="","",IFERROR(INDEX(Ingredients!$B$5:$B$304,MATCH(B985,Ingredients!$A$5:$A$304,0)),""))</f>
        <v>0</v>
      </c>
      <c r="F985" s="8">
        <f>IF(B985="","",IFERROR(INDEX(Ingredients!$E$5:$E$304,MATCH(B985,Ingredients!$A$5:$A$304,0)),""))</f>
        <v>0</v>
      </c>
      <c r="G985" s="8">
        <f>IF(B985="","",IFERROR(INDEX(Ingredients!$D$5:$D$304,MATCH(B985,Ingredients!$A$5:$A$304,0)),""))</f>
        <v>0</v>
      </c>
      <c r="H985" s="8">
        <f>IF(OR(B985="",C985=""),"",IFERROR(C985*G985,""))</f>
        <v>0</v>
      </c>
      <c r="I985" s="8">
        <f>IF(A985="","",IFERROR(INDEX(Recipes!$D$5:$D$204,MATCH(A985,Recipes!$A$5:$A$204,0)),""))</f>
        <v>0</v>
      </c>
      <c r="J985" s="8">
        <f>IF(OR(H985="",I985="",I985=0),"",IFERROR(H985/I985,""))</f>
        <v>0</v>
      </c>
      <c r="K985" s="8">
        <f>IF(OR(B985="",C985=""),"",IFERROR(C985*IFERROR(INDEX(Ingredients!$H$5:$H$304,MATCH(B985,Ingredients!$A$5:$A$304,0)),""),""))</f>
        <v>0</v>
      </c>
      <c r="L985" s="8">
        <f>IF(OR(B985="",C985=""),"",IFERROR(C985*IFERROR(INDEX(Ingredients!$I$5:$I$304,MATCH(B985,Ingredients!$A$5:$A$304,0)),""),""))</f>
        <v>0</v>
      </c>
      <c r="M985" s="8">
        <f>IF(OR(B985="",C985=""),"",IFERROR(C985*IFERROR(INDEX(Ingredients!$J$5:$J$304,MATCH(B985,Ingredients!$A$5:$A$304,0)),""),""))</f>
        <v>0</v>
      </c>
      <c r="N985" s="8">
        <f>IF(OR(B985="",C985=""),"",IFERROR(C985*IFERROR(INDEX(Ingredients!$K$5:$K$304,MATCH(B985,Ingredients!$A$5:$A$304,0)),""),""))</f>
        <v>0</v>
      </c>
      <c r="O985" s="8">
        <f>IF(OR(B985="",C985=""),"",IFERROR(C985*IFERROR(INDEX(Ingredients!$L$5:$L$304,MATCH(B985,Ingredients!$A$5:$A$304,0)),""),""))</f>
        <v>0</v>
      </c>
      <c r="P985" s="8">
        <f>IF(OR(H985="",A985=""),"",IFERROR(H985/SUMIFS('Recipe Ingredients'!$H$5:$H$1204,'Recipe Ingredients'!$A$5:$A$1204,A985),""))</f>
        <v>0</v>
      </c>
      <c r="Q985" s="8">
        <f>IF(H985="","",COUNTIFS($H$5:$H$1204,"&gt;"&amp;H985)+1)</f>
        <v>0</v>
      </c>
      <c r="R985" s="8">
        <f>IF(B985="","",SUMIFS(Pantry!$C$5:$C$304,Pantry!$A$5:$A$304,B985))</f>
        <v>0</v>
      </c>
      <c r="S985" s="8">
        <f>IF(OR(B985="",C985=""),"",MAX(0,C985-R985))</f>
        <v>0</v>
      </c>
      <c r="T985" s="26"/>
      <c r="U985" s="8">
        <f>IF(OR(T985="",T985=0,G985=""),"",T985*G985)</f>
        <v>0</v>
      </c>
      <c r="V985" s="8">
        <f>IF(OR(S985="",T985="",T985=0),"",CEILING(S985/T985,1))</f>
        <v>0</v>
      </c>
      <c r="W985" s="27"/>
      <c r="X985" s="29"/>
      <c r="Y985" s="8">
        <f>IF(OR(C985="",X985=""),"",C985*(1+X985))</f>
        <v>0</v>
      </c>
      <c r="Z985" s="8">
        <f>IF(B985="","",IFERROR(INDEX(Ingredients!$O$5:$O$304,MATCH(B985,Ingredients!$A$5:$A$304,0)),""))</f>
        <v>0</v>
      </c>
      <c r="AA985" s="8">
        <f>IF(B985="","",IF(R985&gt;=C985,"In pantry","To buy"))</f>
        <v>0</v>
      </c>
      <c r="AB985" s="8">
        <f>IF(A985="","",COUNTIFS($A$5:A985,A985))</f>
        <v>0</v>
      </c>
      <c r="AC985" s="8">
        <f>IF(B985="","",IF(COUNTIFS('Dietary Filters'!$C$5:$C$104,B985)&gt;0,"Check","OK"))</f>
        <v>0</v>
      </c>
      <c r="AD985" s="25"/>
    </row>
    <row r="986" spans="1:30">
      <c r="A986" s="7"/>
      <c r="B986" s="7"/>
      <c r="C986" s="26"/>
      <c r="D986" s="27"/>
      <c r="E986" s="8">
        <f>IF(B986="","",IFERROR(INDEX(Ingredients!$B$5:$B$304,MATCH(B986,Ingredients!$A$5:$A$304,0)),""))</f>
        <v>0</v>
      </c>
      <c r="F986" s="8">
        <f>IF(B986="","",IFERROR(INDEX(Ingredients!$E$5:$E$304,MATCH(B986,Ingredients!$A$5:$A$304,0)),""))</f>
        <v>0</v>
      </c>
      <c r="G986" s="8">
        <f>IF(B986="","",IFERROR(INDEX(Ingredients!$D$5:$D$304,MATCH(B986,Ingredients!$A$5:$A$304,0)),""))</f>
        <v>0</v>
      </c>
      <c r="H986" s="8">
        <f>IF(OR(B986="",C986=""),"",IFERROR(C986*G986,""))</f>
        <v>0</v>
      </c>
      <c r="I986" s="8">
        <f>IF(A986="","",IFERROR(INDEX(Recipes!$D$5:$D$204,MATCH(A986,Recipes!$A$5:$A$204,0)),""))</f>
        <v>0</v>
      </c>
      <c r="J986" s="8">
        <f>IF(OR(H986="",I986="",I986=0),"",IFERROR(H986/I986,""))</f>
        <v>0</v>
      </c>
      <c r="K986" s="8">
        <f>IF(OR(B986="",C986=""),"",IFERROR(C986*IFERROR(INDEX(Ingredients!$H$5:$H$304,MATCH(B986,Ingredients!$A$5:$A$304,0)),""),""))</f>
        <v>0</v>
      </c>
      <c r="L986" s="8">
        <f>IF(OR(B986="",C986=""),"",IFERROR(C986*IFERROR(INDEX(Ingredients!$I$5:$I$304,MATCH(B986,Ingredients!$A$5:$A$304,0)),""),""))</f>
        <v>0</v>
      </c>
      <c r="M986" s="8">
        <f>IF(OR(B986="",C986=""),"",IFERROR(C986*IFERROR(INDEX(Ingredients!$J$5:$J$304,MATCH(B986,Ingredients!$A$5:$A$304,0)),""),""))</f>
        <v>0</v>
      </c>
      <c r="N986" s="8">
        <f>IF(OR(B986="",C986=""),"",IFERROR(C986*IFERROR(INDEX(Ingredients!$K$5:$K$304,MATCH(B986,Ingredients!$A$5:$A$304,0)),""),""))</f>
        <v>0</v>
      </c>
      <c r="O986" s="8">
        <f>IF(OR(B986="",C986=""),"",IFERROR(C986*IFERROR(INDEX(Ingredients!$L$5:$L$304,MATCH(B986,Ingredients!$A$5:$A$304,0)),""),""))</f>
        <v>0</v>
      </c>
      <c r="P986" s="8">
        <f>IF(OR(H986="",A986=""),"",IFERROR(H986/SUMIFS('Recipe Ingredients'!$H$5:$H$1204,'Recipe Ingredients'!$A$5:$A$1204,A986),""))</f>
        <v>0</v>
      </c>
      <c r="Q986" s="8">
        <f>IF(H986="","",COUNTIFS($H$5:$H$1204,"&gt;"&amp;H986)+1)</f>
        <v>0</v>
      </c>
      <c r="R986" s="8">
        <f>IF(B986="","",SUMIFS(Pantry!$C$5:$C$304,Pantry!$A$5:$A$304,B986))</f>
        <v>0</v>
      </c>
      <c r="S986" s="8">
        <f>IF(OR(B986="",C986=""),"",MAX(0,C986-R986))</f>
        <v>0</v>
      </c>
      <c r="T986" s="26"/>
      <c r="U986" s="8">
        <f>IF(OR(T986="",T986=0,G986=""),"",T986*G986)</f>
        <v>0</v>
      </c>
      <c r="V986" s="8">
        <f>IF(OR(S986="",T986="",T986=0),"",CEILING(S986/T986,1))</f>
        <v>0</v>
      </c>
      <c r="W986" s="27"/>
      <c r="X986" s="29"/>
      <c r="Y986" s="8">
        <f>IF(OR(C986="",X986=""),"",C986*(1+X986))</f>
        <v>0</v>
      </c>
      <c r="Z986" s="8">
        <f>IF(B986="","",IFERROR(INDEX(Ingredients!$O$5:$O$304,MATCH(B986,Ingredients!$A$5:$A$304,0)),""))</f>
        <v>0</v>
      </c>
      <c r="AA986" s="8">
        <f>IF(B986="","",IF(R986&gt;=C986,"In pantry","To buy"))</f>
        <v>0</v>
      </c>
      <c r="AB986" s="8">
        <f>IF(A986="","",COUNTIFS($A$5:A986,A986))</f>
        <v>0</v>
      </c>
      <c r="AC986" s="8">
        <f>IF(B986="","",IF(COUNTIFS('Dietary Filters'!$C$5:$C$104,B986)&gt;0,"Check","OK"))</f>
        <v>0</v>
      </c>
      <c r="AD986" s="25"/>
    </row>
    <row r="987" spans="1:30">
      <c r="A987" s="7"/>
      <c r="B987" s="7"/>
      <c r="C987" s="26"/>
      <c r="D987" s="27"/>
      <c r="E987" s="8">
        <f>IF(B987="","",IFERROR(INDEX(Ingredients!$B$5:$B$304,MATCH(B987,Ingredients!$A$5:$A$304,0)),""))</f>
        <v>0</v>
      </c>
      <c r="F987" s="8">
        <f>IF(B987="","",IFERROR(INDEX(Ingredients!$E$5:$E$304,MATCH(B987,Ingredients!$A$5:$A$304,0)),""))</f>
        <v>0</v>
      </c>
      <c r="G987" s="8">
        <f>IF(B987="","",IFERROR(INDEX(Ingredients!$D$5:$D$304,MATCH(B987,Ingredients!$A$5:$A$304,0)),""))</f>
        <v>0</v>
      </c>
      <c r="H987" s="8">
        <f>IF(OR(B987="",C987=""),"",IFERROR(C987*G987,""))</f>
        <v>0</v>
      </c>
      <c r="I987" s="8">
        <f>IF(A987="","",IFERROR(INDEX(Recipes!$D$5:$D$204,MATCH(A987,Recipes!$A$5:$A$204,0)),""))</f>
        <v>0</v>
      </c>
      <c r="J987" s="8">
        <f>IF(OR(H987="",I987="",I987=0),"",IFERROR(H987/I987,""))</f>
        <v>0</v>
      </c>
      <c r="K987" s="8">
        <f>IF(OR(B987="",C987=""),"",IFERROR(C987*IFERROR(INDEX(Ingredients!$H$5:$H$304,MATCH(B987,Ingredients!$A$5:$A$304,0)),""),""))</f>
        <v>0</v>
      </c>
      <c r="L987" s="8">
        <f>IF(OR(B987="",C987=""),"",IFERROR(C987*IFERROR(INDEX(Ingredients!$I$5:$I$304,MATCH(B987,Ingredients!$A$5:$A$304,0)),""),""))</f>
        <v>0</v>
      </c>
      <c r="M987" s="8">
        <f>IF(OR(B987="",C987=""),"",IFERROR(C987*IFERROR(INDEX(Ingredients!$J$5:$J$304,MATCH(B987,Ingredients!$A$5:$A$304,0)),""),""))</f>
        <v>0</v>
      </c>
      <c r="N987" s="8">
        <f>IF(OR(B987="",C987=""),"",IFERROR(C987*IFERROR(INDEX(Ingredients!$K$5:$K$304,MATCH(B987,Ingredients!$A$5:$A$304,0)),""),""))</f>
        <v>0</v>
      </c>
      <c r="O987" s="8">
        <f>IF(OR(B987="",C987=""),"",IFERROR(C987*IFERROR(INDEX(Ingredients!$L$5:$L$304,MATCH(B987,Ingredients!$A$5:$A$304,0)),""),""))</f>
        <v>0</v>
      </c>
      <c r="P987" s="8">
        <f>IF(OR(H987="",A987=""),"",IFERROR(H987/SUMIFS('Recipe Ingredients'!$H$5:$H$1204,'Recipe Ingredients'!$A$5:$A$1204,A987),""))</f>
        <v>0</v>
      </c>
      <c r="Q987" s="8">
        <f>IF(H987="","",COUNTIFS($H$5:$H$1204,"&gt;"&amp;H987)+1)</f>
        <v>0</v>
      </c>
      <c r="R987" s="8">
        <f>IF(B987="","",SUMIFS(Pantry!$C$5:$C$304,Pantry!$A$5:$A$304,B987))</f>
        <v>0</v>
      </c>
      <c r="S987" s="8">
        <f>IF(OR(B987="",C987=""),"",MAX(0,C987-R987))</f>
        <v>0</v>
      </c>
      <c r="T987" s="26"/>
      <c r="U987" s="8">
        <f>IF(OR(T987="",T987=0,G987=""),"",T987*G987)</f>
        <v>0</v>
      </c>
      <c r="V987" s="8">
        <f>IF(OR(S987="",T987="",T987=0),"",CEILING(S987/T987,1))</f>
        <v>0</v>
      </c>
      <c r="W987" s="27"/>
      <c r="X987" s="29"/>
      <c r="Y987" s="8">
        <f>IF(OR(C987="",X987=""),"",C987*(1+X987))</f>
        <v>0</v>
      </c>
      <c r="Z987" s="8">
        <f>IF(B987="","",IFERROR(INDEX(Ingredients!$O$5:$O$304,MATCH(B987,Ingredients!$A$5:$A$304,0)),""))</f>
        <v>0</v>
      </c>
      <c r="AA987" s="8">
        <f>IF(B987="","",IF(R987&gt;=C987,"In pantry","To buy"))</f>
        <v>0</v>
      </c>
      <c r="AB987" s="8">
        <f>IF(A987="","",COUNTIFS($A$5:A987,A987))</f>
        <v>0</v>
      </c>
      <c r="AC987" s="8">
        <f>IF(B987="","",IF(COUNTIFS('Dietary Filters'!$C$5:$C$104,B987)&gt;0,"Check","OK"))</f>
        <v>0</v>
      </c>
      <c r="AD987" s="25"/>
    </row>
    <row r="988" spans="1:30">
      <c r="A988" s="7"/>
      <c r="B988" s="7"/>
      <c r="C988" s="26"/>
      <c r="D988" s="27"/>
      <c r="E988" s="8">
        <f>IF(B988="","",IFERROR(INDEX(Ingredients!$B$5:$B$304,MATCH(B988,Ingredients!$A$5:$A$304,0)),""))</f>
        <v>0</v>
      </c>
      <c r="F988" s="8">
        <f>IF(B988="","",IFERROR(INDEX(Ingredients!$E$5:$E$304,MATCH(B988,Ingredients!$A$5:$A$304,0)),""))</f>
        <v>0</v>
      </c>
      <c r="G988" s="8">
        <f>IF(B988="","",IFERROR(INDEX(Ingredients!$D$5:$D$304,MATCH(B988,Ingredients!$A$5:$A$304,0)),""))</f>
        <v>0</v>
      </c>
      <c r="H988" s="8">
        <f>IF(OR(B988="",C988=""),"",IFERROR(C988*G988,""))</f>
        <v>0</v>
      </c>
      <c r="I988" s="8">
        <f>IF(A988="","",IFERROR(INDEX(Recipes!$D$5:$D$204,MATCH(A988,Recipes!$A$5:$A$204,0)),""))</f>
        <v>0</v>
      </c>
      <c r="J988" s="8">
        <f>IF(OR(H988="",I988="",I988=0),"",IFERROR(H988/I988,""))</f>
        <v>0</v>
      </c>
      <c r="K988" s="8">
        <f>IF(OR(B988="",C988=""),"",IFERROR(C988*IFERROR(INDEX(Ingredients!$H$5:$H$304,MATCH(B988,Ingredients!$A$5:$A$304,0)),""),""))</f>
        <v>0</v>
      </c>
      <c r="L988" s="8">
        <f>IF(OR(B988="",C988=""),"",IFERROR(C988*IFERROR(INDEX(Ingredients!$I$5:$I$304,MATCH(B988,Ingredients!$A$5:$A$304,0)),""),""))</f>
        <v>0</v>
      </c>
      <c r="M988" s="8">
        <f>IF(OR(B988="",C988=""),"",IFERROR(C988*IFERROR(INDEX(Ingredients!$J$5:$J$304,MATCH(B988,Ingredients!$A$5:$A$304,0)),""),""))</f>
        <v>0</v>
      </c>
      <c r="N988" s="8">
        <f>IF(OR(B988="",C988=""),"",IFERROR(C988*IFERROR(INDEX(Ingredients!$K$5:$K$304,MATCH(B988,Ingredients!$A$5:$A$304,0)),""),""))</f>
        <v>0</v>
      </c>
      <c r="O988" s="8">
        <f>IF(OR(B988="",C988=""),"",IFERROR(C988*IFERROR(INDEX(Ingredients!$L$5:$L$304,MATCH(B988,Ingredients!$A$5:$A$304,0)),""),""))</f>
        <v>0</v>
      </c>
      <c r="P988" s="8">
        <f>IF(OR(H988="",A988=""),"",IFERROR(H988/SUMIFS('Recipe Ingredients'!$H$5:$H$1204,'Recipe Ingredients'!$A$5:$A$1204,A988),""))</f>
        <v>0</v>
      </c>
      <c r="Q988" s="8">
        <f>IF(H988="","",COUNTIFS($H$5:$H$1204,"&gt;"&amp;H988)+1)</f>
        <v>0</v>
      </c>
      <c r="R988" s="8">
        <f>IF(B988="","",SUMIFS(Pantry!$C$5:$C$304,Pantry!$A$5:$A$304,B988))</f>
        <v>0</v>
      </c>
      <c r="S988" s="8">
        <f>IF(OR(B988="",C988=""),"",MAX(0,C988-R988))</f>
        <v>0</v>
      </c>
      <c r="T988" s="26"/>
      <c r="U988" s="8">
        <f>IF(OR(T988="",T988=0,G988=""),"",T988*G988)</f>
        <v>0</v>
      </c>
      <c r="V988" s="8">
        <f>IF(OR(S988="",T988="",T988=0),"",CEILING(S988/T988,1))</f>
        <v>0</v>
      </c>
      <c r="W988" s="27"/>
      <c r="X988" s="29"/>
      <c r="Y988" s="8">
        <f>IF(OR(C988="",X988=""),"",C988*(1+X988))</f>
        <v>0</v>
      </c>
      <c r="Z988" s="8">
        <f>IF(B988="","",IFERROR(INDEX(Ingredients!$O$5:$O$304,MATCH(B988,Ingredients!$A$5:$A$304,0)),""))</f>
        <v>0</v>
      </c>
      <c r="AA988" s="8">
        <f>IF(B988="","",IF(R988&gt;=C988,"In pantry","To buy"))</f>
        <v>0</v>
      </c>
      <c r="AB988" s="8">
        <f>IF(A988="","",COUNTIFS($A$5:A988,A988))</f>
        <v>0</v>
      </c>
      <c r="AC988" s="8">
        <f>IF(B988="","",IF(COUNTIFS('Dietary Filters'!$C$5:$C$104,B988)&gt;0,"Check","OK"))</f>
        <v>0</v>
      </c>
      <c r="AD988" s="25"/>
    </row>
    <row r="989" spans="1:30">
      <c r="A989" s="7"/>
      <c r="B989" s="7"/>
      <c r="C989" s="26"/>
      <c r="D989" s="27"/>
      <c r="E989" s="8">
        <f>IF(B989="","",IFERROR(INDEX(Ingredients!$B$5:$B$304,MATCH(B989,Ingredients!$A$5:$A$304,0)),""))</f>
        <v>0</v>
      </c>
      <c r="F989" s="8">
        <f>IF(B989="","",IFERROR(INDEX(Ingredients!$E$5:$E$304,MATCH(B989,Ingredients!$A$5:$A$304,0)),""))</f>
        <v>0</v>
      </c>
      <c r="G989" s="8">
        <f>IF(B989="","",IFERROR(INDEX(Ingredients!$D$5:$D$304,MATCH(B989,Ingredients!$A$5:$A$304,0)),""))</f>
        <v>0</v>
      </c>
      <c r="H989" s="8">
        <f>IF(OR(B989="",C989=""),"",IFERROR(C989*G989,""))</f>
        <v>0</v>
      </c>
      <c r="I989" s="8">
        <f>IF(A989="","",IFERROR(INDEX(Recipes!$D$5:$D$204,MATCH(A989,Recipes!$A$5:$A$204,0)),""))</f>
        <v>0</v>
      </c>
      <c r="J989" s="8">
        <f>IF(OR(H989="",I989="",I989=0),"",IFERROR(H989/I989,""))</f>
        <v>0</v>
      </c>
      <c r="K989" s="8">
        <f>IF(OR(B989="",C989=""),"",IFERROR(C989*IFERROR(INDEX(Ingredients!$H$5:$H$304,MATCH(B989,Ingredients!$A$5:$A$304,0)),""),""))</f>
        <v>0</v>
      </c>
      <c r="L989" s="8">
        <f>IF(OR(B989="",C989=""),"",IFERROR(C989*IFERROR(INDEX(Ingredients!$I$5:$I$304,MATCH(B989,Ingredients!$A$5:$A$304,0)),""),""))</f>
        <v>0</v>
      </c>
      <c r="M989" s="8">
        <f>IF(OR(B989="",C989=""),"",IFERROR(C989*IFERROR(INDEX(Ingredients!$J$5:$J$304,MATCH(B989,Ingredients!$A$5:$A$304,0)),""),""))</f>
        <v>0</v>
      </c>
      <c r="N989" s="8">
        <f>IF(OR(B989="",C989=""),"",IFERROR(C989*IFERROR(INDEX(Ingredients!$K$5:$K$304,MATCH(B989,Ingredients!$A$5:$A$304,0)),""),""))</f>
        <v>0</v>
      </c>
      <c r="O989" s="8">
        <f>IF(OR(B989="",C989=""),"",IFERROR(C989*IFERROR(INDEX(Ingredients!$L$5:$L$304,MATCH(B989,Ingredients!$A$5:$A$304,0)),""),""))</f>
        <v>0</v>
      </c>
      <c r="P989" s="8">
        <f>IF(OR(H989="",A989=""),"",IFERROR(H989/SUMIFS('Recipe Ingredients'!$H$5:$H$1204,'Recipe Ingredients'!$A$5:$A$1204,A989),""))</f>
        <v>0</v>
      </c>
      <c r="Q989" s="8">
        <f>IF(H989="","",COUNTIFS($H$5:$H$1204,"&gt;"&amp;H989)+1)</f>
        <v>0</v>
      </c>
      <c r="R989" s="8">
        <f>IF(B989="","",SUMIFS(Pantry!$C$5:$C$304,Pantry!$A$5:$A$304,B989))</f>
        <v>0</v>
      </c>
      <c r="S989" s="8">
        <f>IF(OR(B989="",C989=""),"",MAX(0,C989-R989))</f>
        <v>0</v>
      </c>
      <c r="T989" s="26"/>
      <c r="U989" s="8">
        <f>IF(OR(T989="",T989=0,G989=""),"",T989*G989)</f>
        <v>0</v>
      </c>
      <c r="V989" s="8">
        <f>IF(OR(S989="",T989="",T989=0),"",CEILING(S989/T989,1))</f>
        <v>0</v>
      </c>
      <c r="W989" s="27"/>
      <c r="X989" s="29"/>
      <c r="Y989" s="8">
        <f>IF(OR(C989="",X989=""),"",C989*(1+X989))</f>
        <v>0</v>
      </c>
      <c r="Z989" s="8">
        <f>IF(B989="","",IFERROR(INDEX(Ingredients!$O$5:$O$304,MATCH(B989,Ingredients!$A$5:$A$304,0)),""))</f>
        <v>0</v>
      </c>
      <c r="AA989" s="8">
        <f>IF(B989="","",IF(R989&gt;=C989,"In pantry","To buy"))</f>
        <v>0</v>
      </c>
      <c r="AB989" s="8">
        <f>IF(A989="","",COUNTIFS($A$5:A989,A989))</f>
        <v>0</v>
      </c>
      <c r="AC989" s="8">
        <f>IF(B989="","",IF(COUNTIFS('Dietary Filters'!$C$5:$C$104,B989)&gt;0,"Check","OK"))</f>
        <v>0</v>
      </c>
      <c r="AD989" s="25"/>
    </row>
    <row r="990" spans="1:30">
      <c r="A990" s="7"/>
      <c r="B990" s="7"/>
      <c r="C990" s="26"/>
      <c r="D990" s="27"/>
      <c r="E990" s="8">
        <f>IF(B990="","",IFERROR(INDEX(Ingredients!$B$5:$B$304,MATCH(B990,Ingredients!$A$5:$A$304,0)),""))</f>
        <v>0</v>
      </c>
      <c r="F990" s="8">
        <f>IF(B990="","",IFERROR(INDEX(Ingredients!$E$5:$E$304,MATCH(B990,Ingredients!$A$5:$A$304,0)),""))</f>
        <v>0</v>
      </c>
      <c r="G990" s="8">
        <f>IF(B990="","",IFERROR(INDEX(Ingredients!$D$5:$D$304,MATCH(B990,Ingredients!$A$5:$A$304,0)),""))</f>
        <v>0</v>
      </c>
      <c r="H990" s="8">
        <f>IF(OR(B990="",C990=""),"",IFERROR(C990*G990,""))</f>
        <v>0</v>
      </c>
      <c r="I990" s="8">
        <f>IF(A990="","",IFERROR(INDEX(Recipes!$D$5:$D$204,MATCH(A990,Recipes!$A$5:$A$204,0)),""))</f>
        <v>0</v>
      </c>
      <c r="J990" s="8">
        <f>IF(OR(H990="",I990="",I990=0),"",IFERROR(H990/I990,""))</f>
        <v>0</v>
      </c>
      <c r="K990" s="8">
        <f>IF(OR(B990="",C990=""),"",IFERROR(C990*IFERROR(INDEX(Ingredients!$H$5:$H$304,MATCH(B990,Ingredients!$A$5:$A$304,0)),""),""))</f>
        <v>0</v>
      </c>
      <c r="L990" s="8">
        <f>IF(OR(B990="",C990=""),"",IFERROR(C990*IFERROR(INDEX(Ingredients!$I$5:$I$304,MATCH(B990,Ingredients!$A$5:$A$304,0)),""),""))</f>
        <v>0</v>
      </c>
      <c r="M990" s="8">
        <f>IF(OR(B990="",C990=""),"",IFERROR(C990*IFERROR(INDEX(Ingredients!$J$5:$J$304,MATCH(B990,Ingredients!$A$5:$A$304,0)),""),""))</f>
        <v>0</v>
      </c>
      <c r="N990" s="8">
        <f>IF(OR(B990="",C990=""),"",IFERROR(C990*IFERROR(INDEX(Ingredients!$K$5:$K$304,MATCH(B990,Ingredients!$A$5:$A$304,0)),""),""))</f>
        <v>0</v>
      </c>
      <c r="O990" s="8">
        <f>IF(OR(B990="",C990=""),"",IFERROR(C990*IFERROR(INDEX(Ingredients!$L$5:$L$304,MATCH(B990,Ingredients!$A$5:$A$304,0)),""),""))</f>
        <v>0</v>
      </c>
      <c r="P990" s="8">
        <f>IF(OR(H990="",A990=""),"",IFERROR(H990/SUMIFS('Recipe Ingredients'!$H$5:$H$1204,'Recipe Ingredients'!$A$5:$A$1204,A990),""))</f>
        <v>0</v>
      </c>
      <c r="Q990" s="8">
        <f>IF(H990="","",COUNTIFS($H$5:$H$1204,"&gt;"&amp;H990)+1)</f>
        <v>0</v>
      </c>
      <c r="R990" s="8">
        <f>IF(B990="","",SUMIFS(Pantry!$C$5:$C$304,Pantry!$A$5:$A$304,B990))</f>
        <v>0</v>
      </c>
      <c r="S990" s="8">
        <f>IF(OR(B990="",C990=""),"",MAX(0,C990-R990))</f>
        <v>0</v>
      </c>
      <c r="T990" s="26"/>
      <c r="U990" s="8">
        <f>IF(OR(T990="",T990=0,G990=""),"",T990*G990)</f>
        <v>0</v>
      </c>
      <c r="V990" s="8">
        <f>IF(OR(S990="",T990="",T990=0),"",CEILING(S990/T990,1))</f>
        <v>0</v>
      </c>
      <c r="W990" s="27"/>
      <c r="X990" s="29"/>
      <c r="Y990" s="8">
        <f>IF(OR(C990="",X990=""),"",C990*(1+X990))</f>
        <v>0</v>
      </c>
      <c r="Z990" s="8">
        <f>IF(B990="","",IFERROR(INDEX(Ingredients!$O$5:$O$304,MATCH(B990,Ingredients!$A$5:$A$304,0)),""))</f>
        <v>0</v>
      </c>
      <c r="AA990" s="8">
        <f>IF(B990="","",IF(R990&gt;=C990,"In pantry","To buy"))</f>
        <v>0</v>
      </c>
      <c r="AB990" s="8">
        <f>IF(A990="","",COUNTIFS($A$5:A990,A990))</f>
        <v>0</v>
      </c>
      <c r="AC990" s="8">
        <f>IF(B990="","",IF(COUNTIFS('Dietary Filters'!$C$5:$C$104,B990)&gt;0,"Check","OK"))</f>
        <v>0</v>
      </c>
      <c r="AD990" s="25"/>
    </row>
    <row r="991" spans="1:30">
      <c r="A991" s="7"/>
      <c r="B991" s="7"/>
      <c r="C991" s="26"/>
      <c r="D991" s="27"/>
      <c r="E991" s="8">
        <f>IF(B991="","",IFERROR(INDEX(Ingredients!$B$5:$B$304,MATCH(B991,Ingredients!$A$5:$A$304,0)),""))</f>
        <v>0</v>
      </c>
      <c r="F991" s="8">
        <f>IF(B991="","",IFERROR(INDEX(Ingredients!$E$5:$E$304,MATCH(B991,Ingredients!$A$5:$A$304,0)),""))</f>
        <v>0</v>
      </c>
      <c r="G991" s="8">
        <f>IF(B991="","",IFERROR(INDEX(Ingredients!$D$5:$D$304,MATCH(B991,Ingredients!$A$5:$A$304,0)),""))</f>
        <v>0</v>
      </c>
      <c r="H991" s="8">
        <f>IF(OR(B991="",C991=""),"",IFERROR(C991*G991,""))</f>
        <v>0</v>
      </c>
      <c r="I991" s="8">
        <f>IF(A991="","",IFERROR(INDEX(Recipes!$D$5:$D$204,MATCH(A991,Recipes!$A$5:$A$204,0)),""))</f>
        <v>0</v>
      </c>
      <c r="J991" s="8">
        <f>IF(OR(H991="",I991="",I991=0),"",IFERROR(H991/I991,""))</f>
        <v>0</v>
      </c>
      <c r="K991" s="8">
        <f>IF(OR(B991="",C991=""),"",IFERROR(C991*IFERROR(INDEX(Ingredients!$H$5:$H$304,MATCH(B991,Ingredients!$A$5:$A$304,0)),""),""))</f>
        <v>0</v>
      </c>
      <c r="L991" s="8">
        <f>IF(OR(B991="",C991=""),"",IFERROR(C991*IFERROR(INDEX(Ingredients!$I$5:$I$304,MATCH(B991,Ingredients!$A$5:$A$304,0)),""),""))</f>
        <v>0</v>
      </c>
      <c r="M991" s="8">
        <f>IF(OR(B991="",C991=""),"",IFERROR(C991*IFERROR(INDEX(Ingredients!$J$5:$J$304,MATCH(B991,Ingredients!$A$5:$A$304,0)),""),""))</f>
        <v>0</v>
      </c>
      <c r="N991" s="8">
        <f>IF(OR(B991="",C991=""),"",IFERROR(C991*IFERROR(INDEX(Ingredients!$K$5:$K$304,MATCH(B991,Ingredients!$A$5:$A$304,0)),""),""))</f>
        <v>0</v>
      </c>
      <c r="O991" s="8">
        <f>IF(OR(B991="",C991=""),"",IFERROR(C991*IFERROR(INDEX(Ingredients!$L$5:$L$304,MATCH(B991,Ingredients!$A$5:$A$304,0)),""),""))</f>
        <v>0</v>
      </c>
      <c r="P991" s="8">
        <f>IF(OR(H991="",A991=""),"",IFERROR(H991/SUMIFS('Recipe Ingredients'!$H$5:$H$1204,'Recipe Ingredients'!$A$5:$A$1204,A991),""))</f>
        <v>0</v>
      </c>
      <c r="Q991" s="8">
        <f>IF(H991="","",COUNTIFS($H$5:$H$1204,"&gt;"&amp;H991)+1)</f>
        <v>0</v>
      </c>
      <c r="R991" s="8">
        <f>IF(B991="","",SUMIFS(Pantry!$C$5:$C$304,Pantry!$A$5:$A$304,B991))</f>
        <v>0</v>
      </c>
      <c r="S991" s="8">
        <f>IF(OR(B991="",C991=""),"",MAX(0,C991-R991))</f>
        <v>0</v>
      </c>
      <c r="T991" s="26"/>
      <c r="U991" s="8">
        <f>IF(OR(T991="",T991=0,G991=""),"",T991*G991)</f>
        <v>0</v>
      </c>
      <c r="V991" s="8">
        <f>IF(OR(S991="",T991="",T991=0),"",CEILING(S991/T991,1))</f>
        <v>0</v>
      </c>
      <c r="W991" s="27"/>
      <c r="X991" s="29"/>
      <c r="Y991" s="8">
        <f>IF(OR(C991="",X991=""),"",C991*(1+X991))</f>
        <v>0</v>
      </c>
      <c r="Z991" s="8">
        <f>IF(B991="","",IFERROR(INDEX(Ingredients!$O$5:$O$304,MATCH(B991,Ingredients!$A$5:$A$304,0)),""))</f>
        <v>0</v>
      </c>
      <c r="AA991" s="8">
        <f>IF(B991="","",IF(R991&gt;=C991,"In pantry","To buy"))</f>
        <v>0</v>
      </c>
      <c r="AB991" s="8">
        <f>IF(A991="","",COUNTIFS($A$5:A991,A991))</f>
        <v>0</v>
      </c>
      <c r="AC991" s="8">
        <f>IF(B991="","",IF(COUNTIFS('Dietary Filters'!$C$5:$C$104,B991)&gt;0,"Check","OK"))</f>
        <v>0</v>
      </c>
      <c r="AD991" s="25"/>
    </row>
    <row r="992" spans="1:30">
      <c r="A992" s="7"/>
      <c r="B992" s="7"/>
      <c r="C992" s="26"/>
      <c r="D992" s="27"/>
      <c r="E992" s="8">
        <f>IF(B992="","",IFERROR(INDEX(Ingredients!$B$5:$B$304,MATCH(B992,Ingredients!$A$5:$A$304,0)),""))</f>
        <v>0</v>
      </c>
      <c r="F992" s="8">
        <f>IF(B992="","",IFERROR(INDEX(Ingredients!$E$5:$E$304,MATCH(B992,Ingredients!$A$5:$A$304,0)),""))</f>
        <v>0</v>
      </c>
      <c r="G992" s="8">
        <f>IF(B992="","",IFERROR(INDEX(Ingredients!$D$5:$D$304,MATCH(B992,Ingredients!$A$5:$A$304,0)),""))</f>
        <v>0</v>
      </c>
      <c r="H992" s="8">
        <f>IF(OR(B992="",C992=""),"",IFERROR(C992*G992,""))</f>
        <v>0</v>
      </c>
      <c r="I992" s="8">
        <f>IF(A992="","",IFERROR(INDEX(Recipes!$D$5:$D$204,MATCH(A992,Recipes!$A$5:$A$204,0)),""))</f>
        <v>0</v>
      </c>
      <c r="J992" s="8">
        <f>IF(OR(H992="",I992="",I992=0),"",IFERROR(H992/I992,""))</f>
        <v>0</v>
      </c>
      <c r="K992" s="8">
        <f>IF(OR(B992="",C992=""),"",IFERROR(C992*IFERROR(INDEX(Ingredients!$H$5:$H$304,MATCH(B992,Ingredients!$A$5:$A$304,0)),""),""))</f>
        <v>0</v>
      </c>
      <c r="L992" s="8">
        <f>IF(OR(B992="",C992=""),"",IFERROR(C992*IFERROR(INDEX(Ingredients!$I$5:$I$304,MATCH(B992,Ingredients!$A$5:$A$304,0)),""),""))</f>
        <v>0</v>
      </c>
      <c r="M992" s="8">
        <f>IF(OR(B992="",C992=""),"",IFERROR(C992*IFERROR(INDEX(Ingredients!$J$5:$J$304,MATCH(B992,Ingredients!$A$5:$A$304,0)),""),""))</f>
        <v>0</v>
      </c>
      <c r="N992" s="8">
        <f>IF(OR(B992="",C992=""),"",IFERROR(C992*IFERROR(INDEX(Ingredients!$K$5:$K$304,MATCH(B992,Ingredients!$A$5:$A$304,0)),""),""))</f>
        <v>0</v>
      </c>
      <c r="O992" s="8">
        <f>IF(OR(B992="",C992=""),"",IFERROR(C992*IFERROR(INDEX(Ingredients!$L$5:$L$304,MATCH(B992,Ingredients!$A$5:$A$304,0)),""),""))</f>
        <v>0</v>
      </c>
      <c r="P992" s="8">
        <f>IF(OR(H992="",A992=""),"",IFERROR(H992/SUMIFS('Recipe Ingredients'!$H$5:$H$1204,'Recipe Ingredients'!$A$5:$A$1204,A992),""))</f>
        <v>0</v>
      </c>
      <c r="Q992" s="8">
        <f>IF(H992="","",COUNTIFS($H$5:$H$1204,"&gt;"&amp;H992)+1)</f>
        <v>0</v>
      </c>
      <c r="R992" s="8">
        <f>IF(B992="","",SUMIFS(Pantry!$C$5:$C$304,Pantry!$A$5:$A$304,B992))</f>
        <v>0</v>
      </c>
      <c r="S992" s="8">
        <f>IF(OR(B992="",C992=""),"",MAX(0,C992-R992))</f>
        <v>0</v>
      </c>
      <c r="T992" s="26"/>
      <c r="U992" s="8">
        <f>IF(OR(T992="",T992=0,G992=""),"",T992*G992)</f>
        <v>0</v>
      </c>
      <c r="V992" s="8">
        <f>IF(OR(S992="",T992="",T992=0),"",CEILING(S992/T992,1))</f>
        <v>0</v>
      </c>
      <c r="W992" s="27"/>
      <c r="X992" s="29"/>
      <c r="Y992" s="8">
        <f>IF(OR(C992="",X992=""),"",C992*(1+X992))</f>
        <v>0</v>
      </c>
      <c r="Z992" s="8">
        <f>IF(B992="","",IFERROR(INDEX(Ingredients!$O$5:$O$304,MATCH(B992,Ingredients!$A$5:$A$304,0)),""))</f>
        <v>0</v>
      </c>
      <c r="AA992" s="8">
        <f>IF(B992="","",IF(R992&gt;=C992,"In pantry","To buy"))</f>
        <v>0</v>
      </c>
      <c r="AB992" s="8">
        <f>IF(A992="","",COUNTIFS($A$5:A992,A992))</f>
        <v>0</v>
      </c>
      <c r="AC992" s="8">
        <f>IF(B992="","",IF(COUNTIFS('Dietary Filters'!$C$5:$C$104,B992)&gt;0,"Check","OK"))</f>
        <v>0</v>
      </c>
      <c r="AD992" s="25"/>
    </row>
    <row r="993" spans="1:30">
      <c r="A993" s="7"/>
      <c r="B993" s="7"/>
      <c r="C993" s="26"/>
      <c r="D993" s="27"/>
      <c r="E993" s="8">
        <f>IF(B993="","",IFERROR(INDEX(Ingredients!$B$5:$B$304,MATCH(B993,Ingredients!$A$5:$A$304,0)),""))</f>
        <v>0</v>
      </c>
      <c r="F993" s="8">
        <f>IF(B993="","",IFERROR(INDEX(Ingredients!$E$5:$E$304,MATCH(B993,Ingredients!$A$5:$A$304,0)),""))</f>
        <v>0</v>
      </c>
      <c r="G993" s="8">
        <f>IF(B993="","",IFERROR(INDEX(Ingredients!$D$5:$D$304,MATCH(B993,Ingredients!$A$5:$A$304,0)),""))</f>
        <v>0</v>
      </c>
      <c r="H993" s="8">
        <f>IF(OR(B993="",C993=""),"",IFERROR(C993*G993,""))</f>
        <v>0</v>
      </c>
      <c r="I993" s="8">
        <f>IF(A993="","",IFERROR(INDEX(Recipes!$D$5:$D$204,MATCH(A993,Recipes!$A$5:$A$204,0)),""))</f>
        <v>0</v>
      </c>
      <c r="J993" s="8">
        <f>IF(OR(H993="",I993="",I993=0),"",IFERROR(H993/I993,""))</f>
        <v>0</v>
      </c>
      <c r="K993" s="8">
        <f>IF(OR(B993="",C993=""),"",IFERROR(C993*IFERROR(INDEX(Ingredients!$H$5:$H$304,MATCH(B993,Ingredients!$A$5:$A$304,0)),""),""))</f>
        <v>0</v>
      </c>
      <c r="L993" s="8">
        <f>IF(OR(B993="",C993=""),"",IFERROR(C993*IFERROR(INDEX(Ingredients!$I$5:$I$304,MATCH(B993,Ingredients!$A$5:$A$304,0)),""),""))</f>
        <v>0</v>
      </c>
      <c r="M993" s="8">
        <f>IF(OR(B993="",C993=""),"",IFERROR(C993*IFERROR(INDEX(Ingredients!$J$5:$J$304,MATCH(B993,Ingredients!$A$5:$A$304,0)),""),""))</f>
        <v>0</v>
      </c>
      <c r="N993" s="8">
        <f>IF(OR(B993="",C993=""),"",IFERROR(C993*IFERROR(INDEX(Ingredients!$K$5:$K$304,MATCH(B993,Ingredients!$A$5:$A$304,0)),""),""))</f>
        <v>0</v>
      </c>
      <c r="O993" s="8">
        <f>IF(OR(B993="",C993=""),"",IFERROR(C993*IFERROR(INDEX(Ingredients!$L$5:$L$304,MATCH(B993,Ingredients!$A$5:$A$304,0)),""),""))</f>
        <v>0</v>
      </c>
      <c r="P993" s="8">
        <f>IF(OR(H993="",A993=""),"",IFERROR(H993/SUMIFS('Recipe Ingredients'!$H$5:$H$1204,'Recipe Ingredients'!$A$5:$A$1204,A993),""))</f>
        <v>0</v>
      </c>
      <c r="Q993" s="8">
        <f>IF(H993="","",COUNTIFS($H$5:$H$1204,"&gt;"&amp;H993)+1)</f>
        <v>0</v>
      </c>
      <c r="R993" s="8">
        <f>IF(B993="","",SUMIFS(Pantry!$C$5:$C$304,Pantry!$A$5:$A$304,B993))</f>
        <v>0</v>
      </c>
      <c r="S993" s="8">
        <f>IF(OR(B993="",C993=""),"",MAX(0,C993-R993))</f>
        <v>0</v>
      </c>
      <c r="T993" s="26"/>
      <c r="U993" s="8">
        <f>IF(OR(T993="",T993=0,G993=""),"",T993*G993)</f>
        <v>0</v>
      </c>
      <c r="V993" s="8">
        <f>IF(OR(S993="",T993="",T993=0),"",CEILING(S993/T993,1))</f>
        <v>0</v>
      </c>
      <c r="W993" s="27"/>
      <c r="X993" s="29"/>
      <c r="Y993" s="8">
        <f>IF(OR(C993="",X993=""),"",C993*(1+X993))</f>
        <v>0</v>
      </c>
      <c r="Z993" s="8">
        <f>IF(B993="","",IFERROR(INDEX(Ingredients!$O$5:$O$304,MATCH(B993,Ingredients!$A$5:$A$304,0)),""))</f>
        <v>0</v>
      </c>
      <c r="AA993" s="8">
        <f>IF(B993="","",IF(R993&gt;=C993,"In pantry","To buy"))</f>
        <v>0</v>
      </c>
      <c r="AB993" s="8">
        <f>IF(A993="","",COUNTIFS($A$5:A993,A993))</f>
        <v>0</v>
      </c>
      <c r="AC993" s="8">
        <f>IF(B993="","",IF(COUNTIFS('Dietary Filters'!$C$5:$C$104,B993)&gt;0,"Check","OK"))</f>
        <v>0</v>
      </c>
      <c r="AD993" s="25"/>
    </row>
    <row r="994" spans="1:30">
      <c r="A994" s="7"/>
      <c r="B994" s="7"/>
      <c r="C994" s="26"/>
      <c r="D994" s="27"/>
      <c r="E994" s="8">
        <f>IF(B994="","",IFERROR(INDEX(Ingredients!$B$5:$B$304,MATCH(B994,Ingredients!$A$5:$A$304,0)),""))</f>
        <v>0</v>
      </c>
      <c r="F994" s="8">
        <f>IF(B994="","",IFERROR(INDEX(Ingredients!$E$5:$E$304,MATCH(B994,Ingredients!$A$5:$A$304,0)),""))</f>
        <v>0</v>
      </c>
      <c r="G994" s="8">
        <f>IF(B994="","",IFERROR(INDEX(Ingredients!$D$5:$D$304,MATCH(B994,Ingredients!$A$5:$A$304,0)),""))</f>
        <v>0</v>
      </c>
      <c r="H994" s="8">
        <f>IF(OR(B994="",C994=""),"",IFERROR(C994*G994,""))</f>
        <v>0</v>
      </c>
      <c r="I994" s="8">
        <f>IF(A994="","",IFERROR(INDEX(Recipes!$D$5:$D$204,MATCH(A994,Recipes!$A$5:$A$204,0)),""))</f>
        <v>0</v>
      </c>
      <c r="J994" s="8">
        <f>IF(OR(H994="",I994="",I994=0),"",IFERROR(H994/I994,""))</f>
        <v>0</v>
      </c>
      <c r="K994" s="8">
        <f>IF(OR(B994="",C994=""),"",IFERROR(C994*IFERROR(INDEX(Ingredients!$H$5:$H$304,MATCH(B994,Ingredients!$A$5:$A$304,0)),""),""))</f>
        <v>0</v>
      </c>
      <c r="L994" s="8">
        <f>IF(OR(B994="",C994=""),"",IFERROR(C994*IFERROR(INDEX(Ingredients!$I$5:$I$304,MATCH(B994,Ingredients!$A$5:$A$304,0)),""),""))</f>
        <v>0</v>
      </c>
      <c r="M994" s="8">
        <f>IF(OR(B994="",C994=""),"",IFERROR(C994*IFERROR(INDEX(Ingredients!$J$5:$J$304,MATCH(B994,Ingredients!$A$5:$A$304,0)),""),""))</f>
        <v>0</v>
      </c>
      <c r="N994" s="8">
        <f>IF(OR(B994="",C994=""),"",IFERROR(C994*IFERROR(INDEX(Ingredients!$K$5:$K$304,MATCH(B994,Ingredients!$A$5:$A$304,0)),""),""))</f>
        <v>0</v>
      </c>
      <c r="O994" s="8">
        <f>IF(OR(B994="",C994=""),"",IFERROR(C994*IFERROR(INDEX(Ingredients!$L$5:$L$304,MATCH(B994,Ingredients!$A$5:$A$304,0)),""),""))</f>
        <v>0</v>
      </c>
      <c r="P994" s="8">
        <f>IF(OR(H994="",A994=""),"",IFERROR(H994/SUMIFS('Recipe Ingredients'!$H$5:$H$1204,'Recipe Ingredients'!$A$5:$A$1204,A994),""))</f>
        <v>0</v>
      </c>
      <c r="Q994" s="8">
        <f>IF(H994="","",COUNTIFS($H$5:$H$1204,"&gt;"&amp;H994)+1)</f>
        <v>0</v>
      </c>
      <c r="R994" s="8">
        <f>IF(B994="","",SUMIFS(Pantry!$C$5:$C$304,Pantry!$A$5:$A$304,B994))</f>
        <v>0</v>
      </c>
      <c r="S994" s="8">
        <f>IF(OR(B994="",C994=""),"",MAX(0,C994-R994))</f>
        <v>0</v>
      </c>
      <c r="T994" s="26"/>
      <c r="U994" s="8">
        <f>IF(OR(T994="",T994=0,G994=""),"",T994*G994)</f>
        <v>0</v>
      </c>
      <c r="V994" s="8">
        <f>IF(OR(S994="",T994="",T994=0),"",CEILING(S994/T994,1))</f>
        <v>0</v>
      </c>
      <c r="W994" s="27"/>
      <c r="X994" s="29"/>
      <c r="Y994" s="8">
        <f>IF(OR(C994="",X994=""),"",C994*(1+X994))</f>
        <v>0</v>
      </c>
      <c r="Z994" s="8">
        <f>IF(B994="","",IFERROR(INDEX(Ingredients!$O$5:$O$304,MATCH(B994,Ingredients!$A$5:$A$304,0)),""))</f>
        <v>0</v>
      </c>
      <c r="AA994" s="8">
        <f>IF(B994="","",IF(R994&gt;=C994,"In pantry","To buy"))</f>
        <v>0</v>
      </c>
      <c r="AB994" s="8">
        <f>IF(A994="","",COUNTIFS($A$5:A994,A994))</f>
        <v>0</v>
      </c>
      <c r="AC994" s="8">
        <f>IF(B994="","",IF(COUNTIFS('Dietary Filters'!$C$5:$C$104,B994)&gt;0,"Check","OK"))</f>
        <v>0</v>
      </c>
      <c r="AD994" s="25"/>
    </row>
    <row r="995" spans="1:30">
      <c r="A995" s="7"/>
      <c r="B995" s="7"/>
      <c r="C995" s="26"/>
      <c r="D995" s="27"/>
      <c r="E995" s="8">
        <f>IF(B995="","",IFERROR(INDEX(Ingredients!$B$5:$B$304,MATCH(B995,Ingredients!$A$5:$A$304,0)),""))</f>
        <v>0</v>
      </c>
      <c r="F995" s="8">
        <f>IF(B995="","",IFERROR(INDEX(Ingredients!$E$5:$E$304,MATCH(B995,Ingredients!$A$5:$A$304,0)),""))</f>
        <v>0</v>
      </c>
      <c r="G995" s="8">
        <f>IF(B995="","",IFERROR(INDEX(Ingredients!$D$5:$D$304,MATCH(B995,Ingredients!$A$5:$A$304,0)),""))</f>
        <v>0</v>
      </c>
      <c r="H995" s="8">
        <f>IF(OR(B995="",C995=""),"",IFERROR(C995*G995,""))</f>
        <v>0</v>
      </c>
      <c r="I995" s="8">
        <f>IF(A995="","",IFERROR(INDEX(Recipes!$D$5:$D$204,MATCH(A995,Recipes!$A$5:$A$204,0)),""))</f>
        <v>0</v>
      </c>
      <c r="J995" s="8">
        <f>IF(OR(H995="",I995="",I995=0),"",IFERROR(H995/I995,""))</f>
        <v>0</v>
      </c>
      <c r="K995" s="8">
        <f>IF(OR(B995="",C995=""),"",IFERROR(C995*IFERROR(INDEX(Ingredients!$H$5:$H$304,MATCH(B995,Ingredients!$A$5:$A$304,0)),""),""))</f>
        <v>0</v>
      </c>
      <c r="L995" s="8">
        <f>IF(OR(B995="",C995=""),"",IFERROR(C995*IFERROR(INDEX(Ingredients!$I$5:$I$304,MATCH(B995,Ingredients!$A$5:$A$304,0)),""),""))</f>
        <v>0</v>
      </c>
      <c r="M995" s="8">
        <f>IF(OR(B995="",C995=""),"",IFERROR(C995*IFERROR(INDEX(Ingredients!$J$5:$J$304,MATCH(B995,Ingredients!$A$5:$A$304,0)),""),""))</f>
        <v>0</v>
      </c>
      <c r="N995" s="8">
        <f>IF(OR(B995="",C995=""),"",IFERROR(C995*IFERROR(INDEX(Ingredients!$K$5:$K$304,MATCH(B995,Ingredients!$A$5:$A$304,0)),""),""))</f>
        <v>0</v>
      </c>
      <c r="O995" s="8">
        <f>IF(OR(B995="",C995=""),"",IFERROR(C995*IFERROR(INDEX(Ingredients!$L$5:$L$304,MATCH(B995,Ingredients!$A$5:$A$304,0)),""),""))</f>
        <v>0</v>
      </c>
      <c r="P995" s="8">
        <f>IF(OR(H995="",A995=""),"",IFERROR(H995/SUMIFS('Recipe Ingredients'!$H$5:$H$1204,'Recipe Ingredients'!$A$5:$A$1204,A995),""))</f>
        <v>0</v>
      </c>
      <c r="Q995" s="8">
        <f>IF(H995="","",COUNTIFS($H$5:$H$1204,"&gt;"&amp;H995)+1)</f>
        <v>0</v>
      </c>
      <c r="R995" s="8">
        <f>IF(B995="","",SUMIFS(Pantry!$C$5:$C$304,Pantry!$A$5:$A$304,B995))</f>
        <v>0</v>
      </c>
      <c r="S995" s="8">
        <f>IF(OR(B995="",C995=""),"",MAX(0,C995-R995))</f>
        <v>0</v>
      </c>
      <c r="T995" s="26"/>
      <c r="U995" s="8">
        <f>IF(OR(T995="",T995=0,G995=""),"",T995*G995)</f>
        <v>0</v>
      </c>
      <c r="V995" s="8">
        <f>IF(OR(S995="",T995="",T995=0),"",CEILING(S995/T995,1))</f>
        <v>0</v>
      </c>
      <c r="W995" s="27"/>
      <c r="X995" s="29"/>
      <c r="Y995" s="8">
        <f>IF(OR(C995="",X995=""),"",C995*(1+X995))</f>
        <v>0</v>
      </c>
      <c r="Z995" s="8">
        <f>IF(B995="","",IFERROR(INDEX(Ingredients!$O$5:$O$304,MATCH(B995,Ingredients!$A$5:$A$304,0)),""))</f>
        <v>0</v>
      </c>
      <c r="AA995" s="8">
        <f>IF(B995="","",IF(R995&gt;=C995,"In pantry","To buy"))</f>
        <v>0</v>
      </c>
      <c r="AB995" s="8">
        <f>IF(A995="","",COUNTIFS($A$5:A995,A995))</f>
        <v>0</v>
      </c>
      <c r="AC995" s="8">
        <f>IF(B995="","",IF(COUNTIFS('Dietary Filters'!$C$5:$C$104,B995)&gt;0,"Check","OK"))</f>
        <v>0</v>
      </c>
      <c r="AD995" s="25"/>
    </row>
    <row r="996" spans="1:30">
      <c r="A996" s="7"/>
      <c r="B996" s="7"/>
      <c r="C996" s="26"/>
      <c r="D996" s="27"/>
      <c r="E996" s="8">
        <f>IF(B996="","",IFERROR(INDEX(Ingredients!$B$5:$B$304,MATCH(B996,Ingredients!$A$5:$A$304,0)),""))</f>
        <v>0</v>
      </c>
      <c r="F996" s="8">
        <f>IF(B996="","",IFERROR(INDEX(Ingredients!$E$5:$E$304,MATCH(B996,Ingredients!$A$5:$A$304,0)),""))</f>
        <v>0</v>
      </c>
      <c r="G996" s="8">
        <f>IF(B996="","",IFERROR(INDEX(Ingredients!$D$5:$D$304,MATCH(B996,Ingredients!$A$5:$A$304,0)),""))</f>
        <v>0</v>
      </c>
      <c r="H996" s="8">
        <f>IF(OR(B996="",C996=""),"",IFERROR(C996*G996,""))</f>
        <v>0</v>
      </c>
      <c r="I996" s="8">
        <f>IF(A996="","",IFERROR(INDEX(Recipes!$D$5:$D$204,MATCH(A996,Recipes!$A$5:$A$204,0)),""))</f>
        <v>0</v>
      </c>
      <c r="J996" s="8">
        <f>IF(OR(H996="",I996="",I996=0),"",IFERROR(H996/I996,""))</f>
        <v>0</v>
      </c>
      <c r="K996" s="8">
        <f>IF(OR(B996="",C996=""),"",IFERROR(C996*IFERROR(INDEX(Ingredients!$H$5:$H$304,MATCH(B996,Ingredients!$A$5:$A$304,0)),""),""))</f>
        <v>0</v>
      </c>
      <c r="L996" s="8">
        <f>IF(OR(B996="",C996=""),"",IFERROR(C996*IFERROR(INDEX(Ingredients!$I$5:$I$304,MATCH(B996,Ingredients!$A$5:$A$304,0)),""),""))</f>
        <v>0</v>
      </c>
      <c r="M996" s="8">
        <f>IF(OR(B996="",C996=""),"",IFERROR(C996*IFERROR(INDEX(Ingredients!$J$5:$J$304,MATCH(B996,Ingredients!$A$5:$A$304,0)),""),""))</f>
        <v>0</v>
      </c>
      <c r="N996" s="8">
        <f>IF(OR(B996="",C996=""),"",IFERROR(C996*IFERROR(INDEX(Ingredients!$K$5:$K$304,MATCH(B996,Ingredients!$A$5:$A$304,0)),""),""))</f>
        <v>0</v>
      </c>
      <c r="O996" s="8">
        <f>IF(OR(B996="",C996=""),"",IFERROR(C996*IFERROR(INDEX(Ingredients!$L$5:$L$304,MATCH(B996,Ingredients!$A$5:$A$304,0)),""),""))</f>
        <v>0</v>
      </c>
      <c r="P996" s="8">
        <f>IF(OR(H996="",A996=""),"",IFERROR(H996/SUMIFS('Recipe Ingredients'!$H$5:$H$1204,'Recipe Ingredients'!$A$5:$A$1204,A996),""))</f>
        <v>0</v>
      </c>
      <c r="Q996" s="8">
        <f>IF(H996="","",COUNTIFS($H$5:$H$1204,"&gt;"&amp;H996)+1)</f>
        <v>0</v>
      </c>
      <c r="R996" s="8">
        <f>IF(B996="","",SUMIFS(Pantry!$C$5:$C$304,Pantry!$A$5:$A$304,B996))</f>
        <v>0</v>
      </c>
      <c r="S996" s="8">
        <f>IF(OR(B996="",C996=""),"",MAX(0,C996-R996))</f>
        <v>0</v>
      </c>
      <c r="T996" s="26"/>
      <c r="U996" s="8">
        <f>IF(OR(T996="",T996=0,G996=""),"",T996*G996)</f>
        <v>0</v>
      </c>
      <c r="V996" s="8">
        <f>IF(OR(S996="",T996="",T996=0),"",CEILING(S996/T996,1))</f>
        <v>0</v>
      </c>
      <c r="W996" s="27"/>
      <c r="X996" s="29"/>
      <c r="Y996" s="8">
        <f>IF(OR(C996="",X996=""),"",C996*(1+X996))</f>
        <v>0</v>
      </c>
      <c r="Z996" s="8">
        <f>IF(B996="","",IFERROR(INDEX(Ingredients!$O$5:$O$304,MATCH(B996,Ingredients!$A$5:$A$304,0)),""))</f>
        <v>0</v>
      </c>
      <c r="AA996" s="8">
        <f>IF(B996="","",IF(R996&gt;=C996,"In pantry","To buy"))</f>
        <v>0</v>
      </c>
      <c r="AB996" s="8">
        <f>IF(A996="","",COUNTIFS($A$5:A996,A996))</f>
        <v>0</v>
      </c>
      <c r="AC996" s="8">
        <f>IF(B996="","",IF(COUNTIFS('Dietary Filters'!$C$5:$C$104,B996)&gt;0,"Check","OK"))</f>
        <v>0</v>
      </c>
      <c r="AD996" s="25"/>
    </row>
    <row r="997" spans="1:30">
      <c r="A997" s="7"/>
      <c r="B997" s="7"/>
      <c r="C997" s="26"/>
      <c r="D997" s="27"/>
      <c r="E997" s="8">
        <f>IF(B997="","",IFERROR(INDEX(Ingredients!$B$5:$B$304,MATCH(B997,Ingredients!$A$5:$A$304,0)),""))</f>
        <v>0</v>
      </c>
      <c r="F997" s="8">
        <f>IF(B997="","",IFERROR(INDEX(Ingredients!$E$5:$E$304,MATCH(B997,Ingredients!$A$5:$A$304,0)),""))</f>
        <v>0</v>
      </c>
      <c r="G997" s="8">
        <f>IF(B997="","",IFERROR(INDEX(Ingredients!$D$5:$D$304,MATCH(B997,Ingredients!$A$5:$A$304,0)),""))</f>
        <v>0</v>
      </c>
      <c r="H997" s="8">
        <f>IF(OR(B997="",C997=""),"",IFERROR(C997*G997,""))</f>
        <v>0</v>
      </c>
      <c r="I997" s="8">
        <f>IF(A997="","",IFERROR(INDEX(Recipes!$D$5:$D$204,MATCH(A997,Recipes!$A$5:$A$204,0)),""))</f>
        <v>0</v>
      </c>
      <c r="J997" s="8">
        <f>IF(OR(H997="",I997="",I997=0),"",IFERROR(H997/I997,""))</f>
        <v>0</v>
      </c>
      <c r="K997" s="8">
        <f>IF(OR(B997="",C997=""),"",IFERROR(C997*IFERROR(INDEX(Ingredients!$H$5:$H$304,MATCH(B997,Ingredients!$A$5:$A$304,0)),""),""))</f>
        <v>0</v>
      </c>
      <c r="L997" s="8">
        <f>IF(OR(B997="",C997=""),"",IFERROR(C997*IFERROR(INDEX(Ingredients!$I$5:$I$304,MATCH(B997,Ingredients!$A$5:$A$304,0)),""),""))</f>
        <v>0</v>
      </c>
      <c r="M997" s="8">
        <f>IF(OR(B997="",C997=""),"",IFERROR(C997*IFERROR(INDEX(Ingredients!$J$5:$J$304,MATCH(B997,Ingredients!$A$5:$A$304,0)),""),""))</f>
        <v>0</v>
      </c>
      <c r="N997" s="8">
        <f>IF(OR(B997="",C997=""),"",IFERROR(C997*IFERROR(INDEX(Ingredients!$K$5:$K$304,MATCH(B997,Ingredients!$A$5:$A$304,0)),""),""))</f>
        <v>0</v>
      </c>
      <c r="O997" s="8">
        <f>IF(OR(B997="",C997=""),"",IFERROR(C997*IFERROR(INDEX(Ingredients!$L$5:$L$304,MATCH(B997,Ingredients!$A$5:$A$304,0)),""),""))</f>
        <v>0</v>
      </c>
      <c r="P997" s="8">
        <f>IF(OR(H997="",A997=""),"",IFERROR(H997/SUMIFS('Recipe Ingredients'!$H$5:$H$1204,'Recipe Ingredients'!$A$5:$A$1204,A997),""))</f>
        <v>0</v>
      </c>
      <c r="Q997" s="8">
        <f>IF(H997="","",COUNTIFS($H$5:$H$1204,"&gt;"&amp;H997)+1)</f>
        <v>0</v>
      </c>
      <c r="R997" s="8">
        <f>IF(B997="","",SUMIFS(Pantry!$C$5:$C$304,Pantry!$A$5:$A$304,B997))</f>
        <v>0</v>
      </c>
      <c r="S997" s="8">
        <f>IF(OR(B997="",C997=""),"",MAX(0,C997-R997))</f>
        <v>0</v>
      </c>
      <c r="T997" s="26"/>
      <c r="U997" s="8">
        <f>IF(OR(T997="",T997=0,G997=""),"",T997*G997)</f>
        <v>0</v>
      </c>
      <c r="V997" s="8">
        <f>IF(OR(S997="",T997="",T997=0),"",CEILING(S997/T997,1))</f>
        <v>0</v>
      </c>
      <c r="W997" s="27"/>
      <c r="X997" s="29"/>
      <c r="Y997" s="8">
        <f>IF(OR(C997="",X997=""),"",C997*(1+X997))</f>
        <v>0</v>
      </c>
      <c r="Z997" s="8">
        <f>IF(B997="","",IFERROR(INDEX(Ingredients!$O$5:$O$304,MATCH(B997,Ingredients!$A$5:$A$304,0)),""))</f>
        <v>0</v>
      </c>
      <c r="AA997" s="8">
        <f>IF(B997="","",IF(R997&gt;=C997,"In pantry","To buy"))</f>
        <v>0</v>
      </c>
      <c r="AB997" s="8">
        <f>IF(A997="","",COUNTIFS($A$5:A997,A997))</f>
        <v>0</v>
      </c>
      <c r="AC997" s="8">
        <f>IF(B997="","",IF(COUNTIFS('Dietary Filters'!$C$5:$C$104,B997)&gt;0,"Check","OK"))</f>
        <v>0</v>
      </c>
      <c r="AD997" s="25"/>
    </row>
    <row r="998" spans="1:30">
      <c r="A998" s="7"/>
      <c r="B998" s="7"/>
      <c r="C998" s="26"/>
      <c r="D998" s="27"/>
      <c r="E998" s="8">
        <f>IF(B998="","",IFERROR(INDEX(Ingredients!$B$5:$B$304,MATCH(B998,Ingredients!$A$5:$A$304,0)),""))</f>
        <v>0</v>
      </c>
      <c r="F998" s="8">
        <f>IF(B998="","",IFERROR(INDEX(Ingredients!$E$5:$E$304,MATCH(B998,Ingredients!$A$5:$A$304,0)),""))</f>
        <v>0</v>
      </c>
      <c r="G998" s="8">
        <f>IF(B998="","",IFERROR(INDEX(Ingredients!$D$5:$D$304,MATCH(B998,Ingredients!$A$5:$A$304,0)),""))</f>
        <v>0</v>
      </c>
      <c r="H998" s="8">
        <f>IF(OR(B998="",C998=""),"",IFERROR(C998*G998,""))</f>
        <v>0</v>
      </c>
      <c r="I998" s="8">
        <f>IF(A998="","",IFERROR(INDEX(Recipes!$D$5:$D$204,MATCH(A998,Recipes!$A$5:$A$204,0)),""))</f>
        <v>0</v>
      </c>
      <c r="J998" s="8">
        <f>IF(OR(H998="",I998="",I998=0),"",IFERROR(H998/I998,""))</f>
        <v>0</v>
      </c>
      <c r="K998" s="8">
        <f>IF(OR(B998="",C998=""),"",IFERROR(C998*IFERROR(INDEX(Ingredients!$H$5:$H$304,MATCH(B998,Ingredients!$A$5:$A$304,0)),""),""))</f>
        <v>0</v>
      </c>
      <c r="L998" s="8">
        <f>IF(OR(B998="",C998=""),"",IFERROR(C998*IFERROR(INDEX(Ingredients!$I$5:$I$304,MATCH(B998,Ingredients!$A$5:$A$304,0)),""),""))</f>
        <v>0</v>
      </c>
      <c r="M998" s="8">
        <f>IF(OR(B998="",C998=""),"",IFERROR(C998*IFERROR(INDEX(Ingredients!$J$5:$J$304,MATCH(B998,Ingredients!$A$5:$A$304,0)),""),""))</f>
        <v>0</v>
      </c>
      <c r="N998" s="8">
        <f>IF(OR(B998="",C998=""),"",IFERROR(C998*IFERROR(INDEX(Ingredients!$K$5:$K$304,MATCH(B998,Ingredients!$A$5:$A$304,0)),""),""))</f>
        <v>0</v>
      </c>
      <c r="O998" s="8">
        <f>IF(OR(B998="",C998=""),"",IFERROR(C998*IFERROR(INDEX(Ingredients!$L$5:$L$304,MATCH(B998,Ingredients!$A$5:$A$304,0)),""),""))</f>
        <v>0</v>
      </c>
      <c r="P998" s="8">
        <f>IF(OR(H998="",A998=""),"",IFERROR(H998/SUMIFS('Recipe Ingredients'!$H$5:$H$1204,'Recipe Ingredients'!$A$5:$A$1204,A998),""))</f>
        <v>0</v>
      </c>
      <c r="Q998" s="8">
        <f>IF(H998="","",COUNTIFS($H$5:$H$1204,"&gt;"&amp;H998)+1)</f>
        <v>0</v>
      </c>
      <c r="R998" s="8">
        <f>IF(B998="","",SUMIFS(Pantry!$C$5:$C$304,Pantry!$A$5:$A$304,B998))</f>
        <v>0</v>
      </c>
      <c r="S998" s="8">
        <f>IF(OR(B998="",C998=""),"",MAX(0,C998-R998))</f>
        <v>0</v>
      </c>
      <c r="T998" s="26"/>
      <c r="U998" s="8">
        <f>IF(OR(T998="",T998=0,G998=""),"",T998*G998)</f>
        <v>0</v>
      </c>
      <c r="V998" s="8">
        <f>IF(OR(S998="",T998="",T998=0),"",CEILING(S998/T998,1))</f>
        <v>0</v>
      </c>
      <c r="W998" s="27"/>
      <c r="X998" s="29"/>
      <c r="Y998" s="8">
        <f>IF(OR(C998="",X998=""),"",C998*(1+X998))</f>
        <v>0</v>
      </c>
      <c r="Z998" s="8">
        <f>IF(B998="","",IFERROR(INDEX(Ingredients!$O$5:$O$304,MATCH(B998,Ingredients!$A$5:$A$304,0)),""))</f>
        <v>0</v>
      </c>
      <c r="AA998" s="8">
        <f>IF(B998="","",IF(R998&gt;=C998,"In pantry","To buy"))</f>
        <v>0</v>
      </c>
      <c r="AB998" s="8">
        <f>IF(A998="","",COUNTIFS($A$5:A998,A998))</f>
        <v>0</v>
      </c>
      <c r="AC998" s="8">
        <f>IF(B998="","",IF(COUNTIFS('Dietary Filters'!$C$5:$C$104,B998)&gt;0,"Check","OK"))</f>
        <v>0</v>
      </c>
      <c r="AD998" s="25"/>
    </row>
    <row r="999" spans="1:30">
      <c r="A999" s="7"/>
      <c r="B999" s="7"/>
      <c r="C999" s="26"/>
      <c r="D999" s="27"/>
      <c r="E999" s="8">
        <f>IF(B999="","",IFERROR(INDEX(Ingredients!$B$5:$B$304,MATCH(B999,Ingredients!$A$5:$A$304,0)),""))</f>
        <v>0</v>
      </c>
      <c r="F999" s="8">
        <f>IF(B999="","",IFERROR(INDEX(Ingredients!$E$5:$E$304,MATCH(B999,Ingredients!$A$5:$A$304,0)),""))</f>
        <v>0</v>
      </c>
      <c r="G999" s="8">
        <f>IF(B999="","",IFERROR(INDEX(Ingredients!$D$5:$D$304,MATCH(B999,Ingredients!$A$5:$A$304,0)),""))</f>
        <v>0</v>
      </c>
      <c r="H999" s="8">
        <f>IF(OR(B999="",C999=""),"",IFERROR(C999*G999,""))</f>
        <v>0</v>
      </c>
      <c r="I999" s="8">
        <f>IF(A999="","",IFERROR(INDEX(Recipes!$D$5:$D$204,MATCH(A999,Recipes!$A$5:$A$204,0)),""))</f>
        <v>0</v>
      </c>
      <c r="J999" s="8">
        <f>IF(OR(H999="",I999="",I999=0),"",IFERROR(H999/I999,""))</f>
        <v>0</v>
      </c>
      <c r="K999" s="8">
        <f>IF(OR(B999="",C999=""),"",IFERROR(C999*IFERROR(INDEX(Ingredients!$H$5:$H$304,MATCH(B999,Ingredients!$A$5:$A$304,0)),""),""))</f>
        <v>0</v>
      </c>
      <c r="L999" s="8">
        <f>IF(OR(B999="",C999=""),"",IFERROR(C999*IFERROR(INDEX(Ingredients!$I$5:$I$304,MATCH(B999,Ingredients!$A$5:$A$304,0)),""),""))</f>
        <v>0</v>
      </c>
      <c r="M999" s="8">
        <f>IF(OR(B999="",C999=""),"",IFERROR(C999*IFERROR(INDEX(Ingredients!$J$5:$J$304,MATCH(B999,Ingredients!$A$5:$A$304,0)),""),""))</f>
        <v>0</v>
      </c>
      <c r="N999" s="8">
        <f>IF(OR(B999="",C999=""),"",IFERROR(C999*IFERROR(INDEX(Ingredients!$K$5:$K$304,MATCH(B999,Ingredients!$A$5:$A$304,0)),""),""))</f>
        <v>0</v>
      </c>
      <c r="O999" s="8">
        <f>IF(OR(B999="",C999=""),"",IFERROR(C999*IFERROR(INDEX(Ingredients!$L$5:$L$304,MATCH(B999,Ingredients!$A$5:$A$304,0)),""),""))</f>
        <v>0</v>
      </c>
      <c r="P999" s="8">
        <f>IF(OR(H999="",A999=""),"",IFERROR(H999/SUMIFS('Recipe Ingredients'!$H$5:$H$1204,'Recipe Ingredients'!$A$5:$A$1204,A999),""))</f>
        <v>0</v>
      </c>
      <c r="Q999" s="8">
        <f>IF(H999="","",COUNTIFS($H$5:$H$1204,"&gt;"&amp;H999)+1)</f>
        <v>0</v>
      </c>
      <c r="R999" s="8">
        <f>IF(B999="","",SUMIFS(Pantry!$C$5:$C$304,Pantry!$A$5:$A$304,B999))</f>
        <v>0</v>
      </c>
      <c r="S999" s="8">
        <f>IF(OR(B999="",C999=""),"",MAX(0,C999-R999))</f>
        <v>0</v>
      </c>
      <c r="T999" s="26"/>
      <c r="U999" s="8">
        <f>IF(OR(T999="",T999=0,G999=""),"",T999*G999)</f>
        <v>0</v>
      </c>
      <c r="V999" s="8">
        <f>IF(OR(S999="",T999="",T999=0),"",CEILING(S999/T999,1))</f>
        <v>0</v>
      </c>
      <c r="W999" s="27"/>
      <c r="X999" s="29"/>
      <c r="Y999" s="8">
        <f>IF(OR(C999="",X999=""),"",C999*(1+X999))</f>
        <v>0</v>
      </c>
      <c r="Z999" s="8">
        <f>IF(B999="","",IFERROR(INDEX(Ingredients!$O$5:$O$304,MATCH(B999,Ingredients!$A$5:$A$304,0)),""))</f>
        <v>0</v>
      </c>
      <c r="AA999" s="8">
        <f>IF(B999="","",IF(R999&gt;=C999,"In pantry","To buy"))</f>
        <v>0</v>
      </c>
      <c r="AB999" s="8">
        <f>IF(A999="","",COUNTIFS($A$5:A999,A999))</f>
        <v>0</v>
      </c>
      <c r="AC999" s="8">
        <f>IF(B999="","",IF(COUNTIFS('Dietary Filters'!$C$5:$C$104,B999)&gt;0,"Check","OK"))</f>
        <v>0</v>
      </c>
      <c r="AD999" s="25"/>
    </row>
    <row r="1000" spans="1:30">
      <c r="A1000" s="7"/>
      <c r="B1000" s="7"/>
      <c r="C1000" s="26"/>
      <c r="D1000" s="27"/>
      <c r="E1000" s="8">
        <f>IF(B1000="","",IFERROR(INDEX(Ingredients!$B$5:$B$304,MATCH(B1000,Ingredients!$A$5:$A$304,0)),""))</f>
        <v>0</v>
      </c>
      <c r="F1000" s="8">
        <f>IF(B1000="","",IFERROR(INDEX(Ingredients!$E$5:$E$304,MATCH(B1000,Ingredients!$A$5:$A$304,0)),""))</f>
        <v>0</v>
      </c>
      <c r="G1000" s="8">
        <f>IF(B1000="","",IFERROR(INDEX(Ingredients!$D$5:$D$304,MATCH(B1000,Ingredients!$A$5:$A$304,0)),""))</f>
        <v>0</v>
      </c>
      <c r="H1000" s="8">
        <f>IF(OR(B1000="",C1000=""),"",IFERROR(C1000*G1000,""))</f>
        <v>0</v>
      </c>
      <c r="I1000" s="8">
        <f>IF(A1000="","",IFERROR(INDEX(Recipes!$D$5:$D$204,MATCH(A1000,Recipes!$A$5:$A$204,0)),""))</f>
        <v>0</v>
      </c>
      <c r="J1000" s="8">
        <f>IF(OR(H1000="",I1000="",I1000=0),"",IFERROR(H1000/I1000,""))</f>
        <v>0</v>
      </c>
      <c r="K1000" s="8">
        <f>IF(OR(B1000="",C1000=""),"",IFERROR(C1000*IFERROR(INDEX(Ingredients!$H$5:$H$304,MATCH(B1000,Ingredients!$A$5:$A$304,0)),""),""))</f>
        <v>0</v>
      </c>
      <c r="L1000" s="8">
        <f>IF(OR(B1000="",C1000=""),"",IFERROR(C1000*IFERROR(INDEX(Ingredients!$I$5:$I$304,MATCH(B1000,Ingredients!$A$5:$A$304,0)),""),""))</f>
        <v>0</v>
      </c>
      <c r="M1000" s="8">
        <f>IF(OR(B1000="",C1000=""),"",IFERROR(C1000*IFERROR(INDEX(Ingredients!$J$5:$J$304,MATCH(B1000,Ingredients!$A$5:$A$304,0)),""),""))</f>
        <v>0</v>
      </c>
      <c r="N1000" s="8">
        <f>IF(OR(B1000="",C1000=""),"",IFERROR(C1000*IFERROR(INDEX(Ingredients!$K$5:$K$304,MATCH(B1000,Ingredients!$A$5:$A$304,0)),""),""))</f>
        <v>0</v>
      </c>
      <c r="O1000" s="8">
        <f>IF(OR(B1000="",C1000=""),"",IFERROR(C1000*IFERROR(INDEX(Ingredients!$L$5:$L$304,MATCH(B1000,Ingredients!$A$5:$A$304,0)),""),""))</f>
        <v>0</v>
      </c>
      <c r="P1000" s="8">
        <f>IF(OR(H1000="",A1000=""),"",IFERROR(H1000/SUMIFS('Recipe Ingredients'!$H$5:$H$1204,'Recipe Ingredients'!$A$5:$A$1204,A1000),""))</f>
        <v>0</v>
      </c>
      <c r="Q1000" s="8">
        <f>IF(H1000="","",COUNTIFS($H$5:$H$1204,"&gt;"&amp;H1000)+1)</f>
        <v>0</v>
      </c>
      <c r="R1000" s="8">
        <f>IF(B1000="","",SUMIFS(Pantry!$C$5:$C$304,Pantry!$A$5:$A$304,B1000))</f>
        <v>0</v>
      </c>
      <c r="S1000" s="8">
        <f>IF(OR(B1000="",C1000=""),"",MAX(0,C1000-R1000))</f>
        <v>0</v>
      </c>
      <c r="T1000" s="26"/>
      <c r="U1000" s="8">
        <f>IF(OR(T1000="",T1000=0,G1000=""),"",T1000*G1000)</f>
        <v>0</v>
      </c>
      <c r="V1000" s="8">
        <f>IF(OR(S1000="",T1000="",T1000=0),"",CEILING(S1000/T1000,1))</f>
        <v>0</v>
      </c>
      <c r="W1000" s="27"/>
      <c r="X1000" s="29"/>
      <c r="Y1000" s="8">
        <f>IF(OR(C1000="",X1000=""),"",C1000*(1+X1000))</f>
        <v>0</v>
      </c>
      <c r="Z1000" s="8">
        <f>IF(B1000="","",IFERROR(INDEX(Ingredients!$O$5:$O$304,MATCH(B1000,Ingredients!$A$5:$A$304,0)),""))</f>
        <v>0</v>
      </c>
      <c r="AA1000" s="8">
        <f>IF(B1000="","",IF(R1000&gt;=C1000,"In pantry","To buy"))</f>
        <v>0</v>
      </c>
      <c r="AB1000" s="8">
        <f>IF(A1000="","",COUNTIFS($A$5:A1000,A1000))</f>
        <v>0</v>
      </c>
      <c r="AC1000" s="8">
        <f>IF(B1000="","",IF(COUNTIFS('Dietary Filters'!$C$5:$C$104,B1000)&gt;0,"Check","OK"))</f>
        <v>0</v>
      </c>
      <c r="AD1000" s="25"/>
    </row>
    <row r="1001" spans="1:30">
      <c r="A1001" s="7"/>
      <c r="B1001" s="7"/>
      <c r="C1001" s="26"/>
      <c r="D1001" s="27"/>
      <c r="E1001" s="8">
        <f>IF(B1001="","",IFERROR(INDEX(Ingredients!$B$5:$B$304,MATCH(B1001,Ingredients!$A$5:$A$304,0)),""))</f>
        <v>0</v>
      </c>
      <c r="F1001" s="8">
        <f>IF(B1001="","",IFERROR(INDEX(Ingredients!$E$5:$E$304,MATCH(B1001,Ingredients!$A$5:$A$304,0)),""))</f>
        <v>0</v>
      </c>
      <c r="G1001" s="8">
        <f>IF(B1001="","",IFERROR(INDEX(Ingredients!$D$5:$D$304,MATCH(B1001,Ingredients!$A$5:$A$304,0)),""))</f>
        <v>0</v>
      </c>
      <c r="H1001" s="8">
        <f>IF(OR(B1001="",C1001=""),"",IFERROR(C1001*G1001,""))</f>
        <v>0</v>
      </c>
      <c r="I1001" s="8">
        <f>IF(A1001="","",IFERROR(INDEX(Recipes!$D$5:$D$204,MATCH(A1001,Recipes!$A$5:$A$204,0)),""))</f>
        <v>0</v>
      </c>
      <c r="J1001" s="8">
        <f>IF(OR(H1001="",I1001="",I1001=0),"",IFERROR(H1001/I1001,""))</f>
        <v>0</v>
      </c>
      <c r="K1001" s="8">
        <f>IF(OR(B1001="",C1001=""),"",IFERROR(C1001*IFERROR(INDEX(Ingredients!$H$5:$H$304,MATCH(B1001,Ingredients!$A$5:$A$304,0)),""),""))</f>
        <v>0</v>
      </c>
      <c r="L1001" s="8">
        <f>IF(OR(B1001="",C1001=""),"",IFERROR(C1001*IFERROR(INDEX(Ingredients!$I$5:$I$304,MATCH(B1001,Ingredients!$A$5:$A$304,0)),""),""))</f>
        <v>0</v>
      </c>
      <c r="M1001" s="8">
        <f>IF(OR(B1001="",C1001=""),"",IFERROR(C1001*IFERROR(INDEX(Ingredients!$J$5:$J$304,MATCH(B1001,Ingredients!$A$5:$A$304,0)),""),""))</f>
        <v>0</v>
      </c>
      <c r="N1001" s="8">
        <f>IF(OR(B1001="",C1001=""),"",IFERROR(C1001*IFERROR(INDEX(Ingredients!$K$5:$K$304,MATCH(B1001,Ingredients!$A$5:$A$304,0)),""),""))</f>
        <v>0</v>
      </c>
      <c r="O1001" s="8">
        <f>IF(OR(B1001="",C1001=""),"",IFERROR(C1001*IFERROR(INDEX(Ingredients!$L$5:$L$304,MATCH(B1001,Ingredients!$A$5:$A$304,0)),""),""))</f>
        <v>0</v>
      </c>
      <c r="P1001" s="8">
        <f>IF(OR(H1001="",A1001=""),"",IFERROR(H1001/SUMIFS('Recipe Ingredients'!$H$5:$H$1204,'Recipe Ingredients'!$A$5:$A$1204,A1001),""))</f>
        <v>0</v>
      </c>
      <c r="Q1001" s="8">
        <f>IF(H1001="","",COUNTIFS($H$5:$H$1204,"&gt;"&amp;H1001)+1)</f>
        <v>0</v>
      </c>
      <c r="R1001" s="8">
        <f>IF(B1001="","",SUMIFS(Pantry!$C$5:$C$304,Pantry!$A$5:$A$304,B1001))</f>
        <v>0</v>
      </c>
      <c r="S1001" s="8">
        <f>IF(OR(B1001="",C1001=""),"",MAX(0,C1001-R1001))</f>
        <v>0</v>
      </c>
      <c r="T1001" s="26"/>
      <c r="U1001" s="8">
        <f>IF(OR(T1001="",T1001=0,G1001=""),"",T1001*G1001)</f>
        <v>0</v>
      </c>
      <c r="V1001" s="8">
        <f>IF(OR(S1001="",T1001="",T1001=0),"",CEILING(S1001/T1001,1))</f>
        <v>0</v>
      </c>
      <c r="W1001" s="27"/>
      <c r="X1001" s="29"/>
      <c r="Y1001" s="8">
        <f>IF(OR(C1001="",X1001=""),"",C1001*(1+X1001))</f>
        <v>0</v>
      </c>
      <c r="Z1001" s="8">
        <f>IF(B1001="","",IFERROR(INDEX(Ingredients!$O$5:$O$304,MATCH(B1001,Ingredients!$A$5:$A$304,0)),""))</f>
        <v>0</v>
      </c>
      <c r="AA1001" s="8">
        <f>IF(B1001="","",IF(R1001&gt;=C1001,"In pantry","To buy"))</f>
        <v>0</v>
      </c>
      <c r="AB1001" s="8">
        <f>IF(A1001="","",COUNTIFS($A$5:A1001,A1001))</f>
        <v>0</v>
      </c>
      <c r="AC1001" s="8">
        <f>IF(B1001="","",IF(COUNTIFS('Dietary Filters'!$C$5:$C$104,B1001)&gt;0,"Check","OK"))</f>
        <v>0</v>
      </c>
      <c r="AD1001" s="25"/>
    </row>
    <row r="1002" spans="1:30">
      <c r="A1002" s="7"/>
      <c r="B1002" s="7"/>
      <c r="C1002" s="26"/>
      <c r="D1002" s="27"/>
      <c r="E1002" s="8">
        <f>IF(B1002="","",IFERROR(INDEX(Ingredients!$B$5:$B$304,MATCH(B1002,Ingredients!$A$5:$A$304,0)),""))</f>
        <v>0</v>
      </c>
      <c r="F1002" s="8">
        <f>IF(B1002="","",IFERROR(INDEX(Ingredients!$E$5:$E$304,MATCH(B1002,Ingredients!$A$5:$A$304,0)),""))</f>
        <v>0</v>
      </c>
      <c r="G1002" s="8">
        <f>IF(B1002="","",IFERROR(INDEX(Ingredients!$D$5:$D$304,MATCH(B1002,Ingredients!$A$5:$A$304,0)),""))</f>
        <v>0</v>
      </c>
      <c r="H1002" s="8">
        <f>IF(OR(B1002="",C1002=""),"",IFERROR(C1002*G1002,""))</f>
        <v>0</v>
      </c>
      <c r="I1002" s="8">
        <f>IF(A1002="","",IFERROR(INDEX(Recipes!$D$5:$D$204,MATCH(A1002,Recipes!$A$5:$A$204,0)),""))</f>
        <v>0</v>
      </c>
      <c r="J1002" s="8">
        <f>IF(OR(H1002="",I1002="",I1002=0),"",IFERROR(H1002/I1002,""))</f>
        <v>0</v>
      </c>
      <c r="K1002" s="8">
        <f>IF(OR(B1002="",C1002=""),"",IFERROR(C1002*IFERROR(INDEX(Ingredients!$H$5:$H$304,MATCH(B1002,Ingredients!$A$5:$A$304,0)),""),""))</f>
        <v>0</v>
      </c>
      <c r="L1002" s="8">
        <f>IF(OR(B1002="",C1002=""),"",IFERROR(C1002*IFERROR(INDEX(Ingredients!$I$5:$I$304,MATCH(B1002,Ingredients!$A$5:$A$304,0)),""),""))</f>
        <v>0</v>
      </c>
      <c r="M1002" s="8">
        <f>IF(OR(B1002="",C1002=""),"",IFERROR(C1002*IFERROR(INDEX(Ingredients!$J$5:$J$304,MATCH(B1002,Ingredients!$A$5:$A$304,0)),""),""))</f>
        <v>0</v>
      </c>
      <c r="N1002" s="8">
        <f>IF(OR(B1002="",C1002=""),"",IFERROR(C1002*IFERROR(INDEX(Ingredients!$K$5:$K$304,MATCH(B1002,Ingredients!$A$5:$A$304,0)),""),""))</f>
        <v>0</v>
      </c>
      <c r="O1002" s="8">
        <f>IF(OR(B1002="",C1002=""),"",IFERROR(C1002*IFERROR(INDEX(Ingredients!$L$5:$L$304,MATCH(B1002,Ingredients!$A$5:$A$304,0)),""),""))</f>
        <v>0</v>
      </c>
      <c r="P1002" s="8">
        <f>IF(OR(H1002="",A1002=""),"",IFERROR(H1002/SUMIFS('Recipe Ingredients'!$H$5:$H$1204,'Recipe Ingredients'!$A$5:$A$1204,A1002),""))</f>
        <v>0</v>
      </c>
      <c r="Q1002" s="8">
        <f>IF(H1002="","",COUNTIFS($H$5:$H$1204,"&gt;"&amp;H1002)+1)</f>
        <v>0</v>
      </c>
      <c r="R1002" s="8">
        <f>IF(B1002="","",SUMIFS(Pantry!$C$5:$C$304,Pantry!$A$5:$A$304,B1002))</f>
        <v>0</v>
      </c>
      <c r="S1002" s="8">
        <f>IF(OR(B1002="",C1002=""),"",MAX(0,C1002-R1002))</f>
        <v>0</v>
      </c>
      <c r="T1002" s="26"/>
      <c r="U1002" s="8">
        <f>IF(OR(T1002="",T1002=0,G1002=""),"",T1002*G1002)</f>
        <v>0</v>
      </c>
      <c r="V1002" s="8">
        <f>IF(OR(S1002="",T1002="",T1002=0),"",CEILING(S1002/T1002,1))</f>
        <v>0</v>
      </c>
      <c r="W1002" s="27"/>
      <c r="X1002" s="29"/>
      <c r="Y1002" s="8">
        <f>IF(OR(C1002="",X1002=""),"",C1002*(1+X1002))</f>
        <v>0</v>
      </c>
      <c r="Z1002" s="8">
        <f>IF(B1002="","",IFERROR(INDEX(Ingredients!$O$5:$O$304,MATCH(B1002,Ingredients!$A$5:$A$304,0)),""))</f>
        <v>0</v>
      </c>
      <c r="AA1002" s="8">
        <f>IF(B1002="","",IF(R1002&gt;=C1002,"In pantry","To buy"))</f>
        <v>0</v>
      </c>
      <c r="AB1002" s="8">
        <f>IF(A1002="","",COUNTIFS($A$5:A1002,A1002))</f>
        <v>0</v>
      </c>
      <c r="AC1002" s="8">
        <f>IF(B1002="","",IF(COUNTIFS('Dietary Filters'!$C$5:$C$104,B1002)&gt;0,"Check","OK"))</f>
        <v>0</v>
      </c>
      <c r="AD1002" s="25"/>
    </row>
    <row r="1003" spans="1:30">
      <c r="A1003" s="7"/>
      <c r="B1003" s="7"/>
      <c r="C1003" s="26"/>
      <c r="D1003" s="27"/>
      <c r="E1003" s="8">
        <f>IF(B1003="","",IFERROR(INDEX(Ingredients!$B$5:$B$304,MATCH(B1003,Ingredients!$A$5:$A$304,0)),""))</f>
        <v>0</v>
      </c>
      <c r="F1003" s="8">
        <f>IF(B1003="","",IFERROR(INDEX(Ingredients!$E$5:$E$304,MATCH(B1003,Ingredients!$A$5:$A$304,0)),""))</f>
        <v>0</v>
      </c>
      <c r="G1003" s="8">
        <f>IF(B1003="","",IFERROR(INDEX(Ingredients!$D$5:$D$304,MATCH(B1003,Ingredients!$A$5:$A$304,0)),""))</f>
        <v>0</v>
      </c>
      <c r="H1003" s="8">
        <f>IF(OR(B1003="",C1003=""),"",IFERROR(C1003*G1003,""))</f>
        <v>0</v>
      </c>
      <c r="I1003" s="8">
        <f>IF(A1003="","",IFERROR(INDEX(Recipes!$D$5:$D$204,MATCH(A1003,Recipes!$A$5:$A$204,0)),""))</f>
        <v>0</v>
      </c>
      <c r="J1003" s="8">
        <f>IF(OR(H1003="",I1003="",I1003=0),"",IFERROR(H1003/I1003,""))</f>
        <v>0</v>
      </c>
      <c r="K1003" s="8">
        <f>IF(OR(B1003="",C1003=""),"",IFERROR(C1003*IFERROR(INDEX(Ingredients!$H$5:$H$304,MATCH(B1003,Ingredients!$A$5:$A$304,0)),""),""))</f>
        <v>0</v>
      </c>
      <c r="L1003" s="8">
        <f>IF(OR(B1003="",C1003=""),"",IFERROR(C1003*IFERROR(INDEX(Ingredients!$I$5:$I$304,MATCH(B1003,Ingredients!$A$5:$A$304,0)),""),""))</f>
        <v>0</v>
      </c>
      <c r="M1003" s="8">
        <f>IF(OR(B1003="",C1003=""),"",IFERROR(C1003*IFERROR(INDEX(Ingredients!$J$5:$J$304,MATCH(B1003,Ingredients!$A$5:$A$304,0)),""),""))</f>
        <v>0</v>
      </c>
      <c r="N1003" s="8">
        <f>IF(OR(B1003="",C1003=""),"",IFERROR(C1003*IFERROR(INDEX(Ingredients!$K$5:$K$304,MATCH(B1003,Ingredients!$A$5:$A$304,0)),""),""))</f>
        <v>0</v>
      </c>
      <c r="O1003" s="8">
        <f>IF(OR(B1003="",C1003=""),"",IFERROR(C1003*IFERROR(INDEX(Ingredients!$L$5:$L$304,MATCH(B1003,Ingredients!$A$5:$A$304,0)),""),""))</f>
        <v>0</v>
      </c>
      <c r="P1003" s="8">
        <f>IF(OR(H1003="",A1003=""),"",IFERROR(H1003/SUMIFS('Recipe Ingredients'!$H$5:$H$1204,'Recipe Ingredients'!$A$5:$A$1204,A1003),""))</f>
        <v>0</v>
      </c>
      <c r="Q1003" s="8">
        <f>IF(H1003="","",COUNTIFS($H$5:$H$1204,"&gt;"&amp;H1003)+1)</f>
        <v>0</v>
      </c>
      <c r="R1003" s="8">
        <f>IF(B1003="","",SUMIFS(Pantry!$C$5:$C$304,Pantry!$A$5:$A$304,B1003))</f>
        <v>0</v>
      </c>
      <c r="S1003" s="8">
        <f>IF(OR(B1003="",C1003=""),"",MAX(0,C1003-R1003))</f>
        <v>0</v>
      </c>
      <c r="T1003" s="26"/>
      <c r="U1003" s="8">
        <f>IF(OR(T1003="",T1003=0,G1003=""),"",T1003*G1003)</f>
        <v>0</v>
      </c>
      <c r="V1003" s="8">
        <f>IF(OR(S1003="",T1003="",T1003=0),"",CEILING(S1003/T1003,1))</f>
        <v>0</v>
      </c>
      <c r="W1003" s="27"/>
      <c r="X1003" s="29"/>
      <c r="Y1003" s="8">
        <f>IF(OR(C1003="",X1003=""),"",C1003*(1+X1003))</f>
        <v>0</v>
      </c>
      <c r="Z1003" s="8">
        <f>IF(B1003="","",IFERROR(INDEX(Ingredients!$O$5:$O$304,MATCH(B1003,Ingredients!$A$5:$A$304,0)),""))</f>
        <v>0</v>
      </c>
      <c r="AA1003" s="8">
        <f>IF(B1003="","",IF(R1003&gt;=C1003,"In pantry","To buy"))</f>
        <v>0</v>
      </c>
      <c r="AB1003" s="8">
        <f>IF(A1003="","",COUNTIFS($A$5:A1003,A1003))</f>
        <v>0</v>
      </c>
      <c r="AC1003" s="8">
        <f>IF(B1003="","",IF(COUNTIFS('Dietary Filters'!$C$5:$C$104,B1003)&gt;0,"Check","OK"))</f>
        <v>0</v>
      </c>
      <c r="AD1003" s="25"/>
    </row>
    <row r="1004" spans="1:30">
      <c r="A1004" s="7"/>
      <c r="B1004" s="7"/>
      <c r="C1004" s="26"/>
      <c r="D1004" s="27"/>
      <c r="E1004" s="8">
        <f>IF(B1004="","",IFERROR(INDEX(Ingredients!$B$5:$B$304,MATCH(B1004,Ingredients!$A$5:$A$304,0)),""))</f>
        <v>0</v>
      </c>
      <c r="F1004" s="8">
        <f>IF(B1004="","",IFERROR(INDEX(Ingredients!$E$5:$E$304,MATCH(B1004,Ingredients!$A$5:$A$304,0)),""))</f>
        <v>0</v>
      </c>
      <c r="G1004" s="8">
        <f>IF(B1004="","",IFERROR(INDEX(Ingredients!$D$5:$D$304,MATCH(B1004,Ingredients!$A$5:$A$304,0)),""))</f>
        <v>0</v>
      </c>
      <c r="H1004" s="8">
        <f>IF(OR(B1004="",C1004=""),"",IFERROR(C1004*G1004,""))</f>
        <v>0</v>
      </c>
      <c r="I1004" s="8">
        <f>IF(A1004="","",IFERROR(INDEX(Recipes!$D$5:$D$204,MATCH(A1004,Recipes!$A$5:$A$204,0)),""))</f>
        <v>0</v>
      </c>
      <c r="J1004" s="8">
        <f>IF(OR(H1004="",I1004="",I1004=0),"",IFERROR(H1004/I1004,""))</f>
        <v>0</v>
      </c>
      <c r="K1004" s="8">
        <f>IF(OR(B1004="",C1004=""),"",IFERROR(C1004*IFERROR(INDEX(Ingredients!$H$5:$H$304,MATCH(B1004,Ingredients!$A$5:$A$304,0)),""),""))</f>
        <v>0</v>
      </c>
      <c r="L1004" s="8">
        <f>IF(OR(B1004="",C1004=""),"",IFERROR(C1004*IFERROR(INDEX(Ingredients!$I$5:$I$304,MATCH(B1004,Ingredients!$A$5:$A$304,0)),""),""))</f>
        <v>0</v>
      </c>
      <c r="M1004" s="8">
        <f>IF(OR(B1004="",C1004=""),"",IFERROR(C1004*IFERROR(INDEX(Ingredients!$J$5:$J$304,MATCH(B1004,Ingredients!$A$5:$A$304,0)),""),""))</f>
        <v>0</v>
      </c>
      <c r="N1004" s="8">
        <f>IF(OR(B1004="",C1004=""),"",IFERROR(C1004*IFERROR(INDEX(Ingredients!$K$5:$K$304,MATCH(B1004,Ingredients!$A$5:$A$304,0)),""),""))</f>
        <v>0</v>
      </c>
      <c r="O1004" s="8">
        <f>IF(OR(B1004="",C1004=""),"",IFERROR(C1004*IFERROR(INDEX(Ingredients!$L$5:$L$304,MATCH(B1004,Ingredients!$A$5:$A$304,0)),""),""))</f>
        <v>0</v>
      </c>
      <c r="P1004" s="8">
        <f>IF(OR(H1004="",A1004=""),"",IFERROR(H1004/SUMIFS('Recipe Ingredients'!$H$5:$H$1204,'Recipe Ingredients'!$A$5:$A$1204,A1004),""))</f>
        <v>0</v>
      </c>
      <c r="Q1004" s="8">
        <f>IF(H1004="","",COUNTIFS($H$5:$H$1204,"&gt;"&amp;H1004)+1)</f>
        <v>0</v>
      </c>
      <c r="R1004" s="8">
        <f>IF(B1004="","",SUMIFS(Pantry!$C$5:$C$304,Pantry!$A$5:$A$304,B1004))</f>
        <v>0</v>
      </c>
      <c r="S1004" s="8">
        <f>IF(OR(B1004="",C1004=""),"",MAX(0,C1004-R1004))</f>
        <v>0</v>
      </c>
      <c r="T1004" s="26"/>
      <c r="U1004" s="8">
        <f>IF(OR(T1004="",T1004=0,G1004=""),"",T1004*G1004)</f>
        <v>0</v>
      </c>
      <c r="V1004" s="8">
        <f>IF(OR(S1004="",T1004="",T1004=0),"",CEILING(S1004/T1004,1))</f>
        <v>0</v>
      </c>
      <c r="W1004" s="27"/>
      <c r="X1004" s="29"/>
      <c r="Y1004" s="8">
        <f>IF(OR(C1004="",X1004=""),"",C1004*(1+X1004))</f>
        <v>0</v>
      </c>
      <c r="Z1004" s="8">
        <f>IF(B1004="","",IFERROR(INDEX(Ingredients!$O$5:$O$304,MATCH(B1004,Ingredients!$A$5:$A$304,0)),""))</f>
        <v>0</v>
      </c>
      <c r="AA1004" s="8">
        <f>IF(B1004="","",IF(R1004&gt;=C1004,"In pantry","To buy"))</f>
        <v>0</v>
      </c>
      <c r="AB1004" s="8">
        <f>IF(A1004="","",COUNTIFS($A$5:A1004,A1004))</f>
        <v>0</v>
      </c>
      <c r="AC1004" s="8">
        <f>IF(B1004="","",IF(COUNTIFS('Dietary Filters'!$C$5:$C$104,B1004)&gt;0,"Check","OK"))</f>
        <v>0</v>
      </c>
      <c r="AD1004" s="25"/>
    </row>
    <row r="1005" spans="1:30">
      <c r="A1005" s="7"/>
      <c r="B1005" s="7"/>
      <c r="C1005" s="26"/>
      <c r="D1005" s="27"/>
      <c r="E1005" s="8">
        <f>IF(B1005="","",IFERROR(INDEX(Ingredients!$B$5:$B$304,MATCH(B1005,Ingredients!$A$5:$A$304,0)),""))</f>
        <v>0</v>
      </c>
      <c r="F1005" s="8">
        <f>IF(B1005="","",IFERROR(INDEX(Ingredients!$E$5:$E$304,MATCH(B1005,Ingredients!$A$5:$A$304,0)),""))</f>
        <v>0</v>
      </c>
      <c r="G1005" s="8">
        <f>IF(B1005="","",IFERROR(INDEX(Ingredients!$D$5:$D$304,MATCH(B1005,Ingredients!$A$5:$A$304,0)),""))</f>
        <v>0</v>
      </c>
      <c r="H1005" s="8">
        <f>IF(OR(B1005="",C1005=""),"",IFERROR(C1005*G1005,""))</f>
        <v>0</v>
      </c>
      <c r="I1005" s="8">
        <f>IF(A1005="","",IFERROR(INDEX(Recipes!$D$5:$D$204,MATCH(A1005,Recipes!$A$5:$A$204,0)),""))</f>
        <v>0</v>
      </c>
      <c r="J1005" s="8">
        <f>IF(OR(H1005="",I1005="",I1005=0),"",IFERROR(H1005/I1005,""))</f>
        <v>0</v>
      </c>
      <c r="K1005" s="8">
        <f>IF(OR(B1005="",C1005=""),"",IFERROR(C1005*IFERROR(INDEX(Ingredients!$H$5:$H$304,MATCH(B1005,Ingredients!$A$5:$A$304,0)),""),""))</f>
        <v>0</v>
      </c>
      <c r="L1005" s="8">
        <f>IF(OR(B1005="",C1005=""),"",IFERROR(C1005*IFERROR(INDEX(Ingredients!$I$5:$I$304,MATCH(B1005,Ingredients!$A$5:$A$304,0)),""),""))</f>
        <v>0</v>
      </c>
      <c r="M1005" s="8">
        <f>IF(OR(B1005="",C1005=""),"",IFERROR(C1005*IFERROR(INDEX(Ingredients!$J$5:$J$304,MATCH(B1005,Ingredients!$A$5:$A$304,0)),""),""))</f>
        <v>0</v>
      </c>
      <c r="N1005" s="8">
        <f>IF(OR(B1005="",C1005=""),"",IFERROR(C1005*IFERROR(INDEX(Ingredients!$K$5:$K$304,MATCH(B1005,Ingredients!$A$5:$A$304,0)),""),""))</f>
        <v>0</v>
      </c>
      <c r="O1005" s="8">
        <f>IF(OR(B1005="",C1005=""),"",IFERROR(C1005*IFERROR(INDEX(Ingredients!$L$5:$L$304,MATCH(B1005,Ingredients!$A$5:$A$304,0)),""),""))</f>
        <v>0</v>
      </c>
      <c r="P1005" s="8">
        <f>IF(OR(H1005="",A1005=""),"",IFERROR(H1005/SUMIFS('Recipe Ingredients'!$H$5:$H$1204,'Recipe Ingredients'!$A$5:$A$1204,A1005),""))</f>
        <v>0</v>
      </c>
      <c r="Q1005" s="8">
        <f>IF(H1005="","",COUNTIFS($H$5:$H$1204,"&gt;"&amp;H1005)+1)</f>
        <v>0</v>
      </c>
      <c r="R1005" s="8">
        <f>IF(B1005="","",SUMIFS(Pantry!$C$5:$C$304,Pantry!$A$5:$A$304,B1005))</f>
        <v>0</v>
      </c>
      <c r="S1005" s="8">
        <f>IF(OR(B1005="",C1005=""),"",MAX(0,C1005-R1005))</f>
        <v>0</v>
      </c>
      <c r="T1005" s="26"/>
      <c r="U1005" s="8">
        <f>IF(OR(T1005="",T1005=0,G1005=""),"",T1005*G1005)</f>
        <v>0</v>
      </c>
      <c r="V1005" s="8">
        <f>IF(OR(S1005="",T1005="",T1005=0),"",CEILING(S1005/T1005,1))</f>
        <v>0</v>
      </c>
      <c r="W1005" s="27"/>
      <c r="X1005" s="29"/>
      <c r="Y1005" s="8">
        <f>IF(OR(C1005="",X1005=""),"",C1005*(1+X1005))</f>
        <v>0</v>
      </c>
      <c r="Z1005" s="8">
        <f>IF(B1005="","",IFERROR(INDEX(Ingredients!$O$5:$O$304,MATCH(B1005,Ingredients!$A$5:$A$304,0)),""))</f>
        <v>0</v>
      </c>
      <c r="AA1005" s="8">
        <f>IF(B1005="","",IF(R1005&gt;=C1005,"In pantry","To buy"))</f>
        <v>0</v>
      </c>
      <c r="AB1005" s="8">
        <f>IF(A1005="","",COUNTIFS($A$5:A1005,A1005))</f>
        <v>0</v>
      </c>
      <c r="AC1005" s="8">
        <f>IF(B1005="","",IF(COUNTIFS('Dietary Filters'!$C$5:$C$104,B1005)&gt;0,"Check","OK"))</f>
        <v>0</v>
      </c>
      <c r="AD1005" s="25"/>
    </row>
    <row r="1006" spans="1:30">
      <c r="A1006" s="7"/>
      <c r="B1006" s="7"/>
      <c r="C1006" s="26"/>
      <c r="D1006" s="27"/>
      <c r="E1006" s="8">
        <f>IF(B1006="","",IFERROR(INDEX(Ingredients!$B$5:$B$304,MATCH(B1006,Ingredients!$A$5:$A$304,0)),""))</f>
        <v>0</v>
      </c>
      <c r="F1006" s="8">
        <f>IF(B1006="","",IFERROR(INDEX(Ingredients!$E$5:$E$304,MATCH(B1006,Ingredients!$A$5:$A$304,0)),""))</f>
        <v>0</v>
      </c>
      <c r="G1006" s="8">
        <f>IF(B1006="","",IFERROR(INDEX(Ingredients!$D$5:$D$304,MATCH(B1006,Ingredients!$A$5:$A$304,0)),""))</f>
        <v>0</v>
      </c>
      <c r="H1006" s="8">
        <f>IF(OR(B1006="",C1006=""),"",IFERROR(C1006*G1006,""))</f>
        <v>0</v>
      </c>
      <c r="I1006" s="8">
        <f>IF(A1006="","",IFERROR(INDEX(Recipes!$D$5:$D$204,MATCH(A1006,Recipes!$A$5:$A$204,0)),""))</f>
        <v>0</v>
      </c>
      <c r="J1006" s="8">
        <f>IF(OR(H1006="",I1006="",I1006=0),"",IFERROR(H1006/I1006,""))</f>
        <v>0</v>
      </c>
      <c r="K1006" s="8">
        <f>IF(OR(B1006="",C1006=""),"",IFERROR(C1006*IFERROR(INDEX(Ingredients!$H$5:$H$304,MATCH(B1006,Ingredients!$A$5:$A$304,0)),""),""))</f>
        <v>0</v>
      </c>
      <c r="L1006" s="8">
        <f>IF(OR(B1006="",C1006=""),"",IFERROR(C1006*IFERROR(INDEX(Ingredients!$I$5:$I$304,MATCH(B1006,Ingredients!$A$5:$A$304,0)),""),""))</f>
        <v>0</v>
      </c>
      <c r="M1006" s="8">
        <f>IF(OR(B1006="",C1006=""),"",IFERROR(C1006*IFERROR(INDEX(Ingredients!$J$5:$J$304,MATCH(B1006,Ingredients!$A$5:$A$304,0)),""),""))</f>
        <v>0</v>
      </c>
      <c r="N1006" s="8">
        <f>IF(OR(B1006="",C1006=""),"",IFERROR(C1006*IFERROR(INDEX(Ingredients!$K$5:$K$304,MATCH(B1006,Ingredients!$A$5:$A$304,0)),""),""))</f>
        <v>0</v>
      </c>
      <c r="O1006" s="8">
        <f>IF(OR(B1006="",C1006=""),"",IFERROR(C1006*IFERROR(INDEX(Ingredients!$L$5:$L$304,MATCH(B1006,Ingredients!$A$5:$A$304,0)),""),""))</f>
        <v>0</v>
      </c>
      <c r="P1006" s="8">
        <f>IF(OR(H1006="",A1006=""),"",IFERROR(H1006/SUMIFS('Recipe Ingredients'!$H$5:$H$1204,'Recipe Ingredients'!$A$5:$A$1204,A1006),""))</f>
        <v>0</v>
      </c>
      <c r="Q1006" s="8">
        <f>IF(H1006="","",COUNTIFS($H$5:$H$1204,"&gt;"&amp;H1006)+1)</f>
        <v>0</v>
      </c>
      <c r="R1006" s="8">
        <f>IF(B1006="","",SUMIFS(Pantry!$C$5:$C$304,Pantry!$A$5:$A$304,B1006))</f>
        <v>0</v>
      </c>
      <c r="S1006" s="8">
        <f>IF(OR(B1006="",C1006=""),"",MAX(0,C1006-R1006))</f>
        <v>0</v>
      </c>
      <c r="T1006" s="26"/>
      <c r="U1006" s="8">
        <f>IF(OR(T1006="",T1006=0,G1006=""),"",T1006*G1006)</f>
        <v>0</v>
      </c>
      <c r="V1006" s="8">
        <f>IF(OR(S1006="",T1006="",T1006=0),"",CEILING(S1006/T1006,1))</f>
        <v>0</v>
      </c>
      <c r="W1006" s="27"/>
      <c r="X1006" s="29"/>
      <c r="Y1006" s="8">
        <f>IF(OR(C1006="",X1006=""),"",C1006*(1+X1006))</f>
        <v>0</v>
      </c>
      <c r="Z1006" s="8">
        <f>IF(B1006="","",IFERROR(INDEX(Ingredients!$O$5:$O$304,MATCH(B1006,Ingredients!$A$5:$A$304,0)),""))</f>
        <v>0</v>
      </c>
      <c r="AA1006" s="8">
        <f>IF(B1006="","",IF(R1006&gt;=C1006,"In pantry","To buy"))</f>
        <v>0</v>
      </c>
      <c r="AB1006" s="8">
        <f>IF(A1006="","",COUNTIFS($A$5:A1006,A1006))</f>
        <v>0</v>
      </c>
      <c r="AC1006" s="8">
        <f>IF(B1006="","",IF(COUNTIFS('Dietary Filters'!$C$5:$C$104,B1006)&gt;0,"Check","OK"))</f>
        <v>0</v>
      </c>
      <c r="AD1006" s="25"/>
    </row>
    <row r="1007" spans="1:30">
      <c r="A1007" s="7"/>
      <c r="B1007" s="7"/>
      <c r="C1007" s="26"/>
      <c r="D1007" s="27"/>
      <c r="E1007" s="8">
        <f>IF(B1007="","",IFERROR(INDEX(Ingredients!$B$5:$B$304,MATCH(B1007,Ingredients!$A$5:$A$304,0)),""))</f>
        <v>0</v>
      </c>
      <c r="F1007" s="8">
        <f>IF(B1007="","",IFERROR(INDEX(Ingredients!$E$5:$E$304,MATCH(B1007,Ingredients!$A$5:$A$304,0)),""))</f>
        <v>0</v>
      </c>
      <c r="G1007" s="8">
        <f>IF(B1007="","",IFERROR(INDEX(Ingredients!$D$5:$D$304,MATCH(B1007,Ingredients!$A$5:$A$304,0)),""))</f>
        <v>0</v>
      </c>
      <c r="H1007" s="8">
        <f>IF(OR(B1007="",C1007=""),"",IFERROR(C1007*G1007,""))</f>
        <v>0</v>
      </c>
      <c r="I1007" s="8">
        <f>IF(A1007="","",IFERROR(INDEX(Recipes!$D$5:$D$204,MATCH(A1007,Recipes!$A$5:$A$204,0)),""))</f>
        <v>0</v>
      </c>
      <c r="J1007" s="8">
        <f>IF(OR(H1007="",I1007="",I1007=0),"",IFERROR(H1007/I1007,""))</f>
        <v>0</v>
      </c>
      <c r="K1007" s="8">
        <f>IF(OR(B1007="",C1007=""),"",IFERROR(C1007*IFERROR(INDEX(Ingredients!$H$5:$H$304,MATCH(B1007,Ingredients!$A$5:$A$304,0)),""),""))</f>
        <v>0</v>
      </c>
      <c r="L1007" s="8">
        <f>IF(OR(B1007="",C1007=""),"",IFERROR(C1007*IFERROR(INDEX(Ingredients!$I$5:$I$304,MATCH(B1007,Ingredients!$A$5:$A$304,0)),""),""))</f>
        <v>0</v>
      </c>
      <c r="M1007" s="8">
        <f>IF(OR(B1007="",C1007=""),"",IFERROR(C1007*IFERROR(INDEX(Ingredients!$J$5:$J$304,MATCH(B1007,Ingredients!$A$5:$A$304,0)),""),""))</f>
        <v>0</v>
      </c>
      <c r="N1007" s="8">
        <f>IF(OR(B1007="",C1007=""),"",IFERROR(C1007*IFERROR(INDEX(Ingredients!$K$5:$K$304,MATCH(B1007,Ingredients!$A$5:$A$304,0)),""),""))</f>
        <v>0</v>
      </c>
      <c r="O1007" s="8">
        <f>IF(OR(B1007="",C1007=""),"",IFERROR(C1007*IFERROR(INDEX(Ingredients!$L$5:$L$304,MATCH(B1007,Ingredients!$A$5:$A$304,0)),""),""))</f>
        <v>0</v>
      </c>
      <c r="P1007" s="8">
        <f>IF(OR(H1007="",A1007=""),"",IFERROR(H1007/SUMIFS('Recipe Ingredients'!$H$5:$H$1204,'Recipe Ingredients'!$A$5:$A$1204,A1007),""))</f>
        <v>0</v>
      </c>
      <c r="Q1007" s="8">
        <f>IF(H1007="","",COUNTIFS($H$5:$H$1204,"&gt;"&amp;H1007)+1)</f>
        <v>0</v>
      </c>
      <c r="R1007" s="8">
        <f>IF(B1007="","",SUMIFS(Pantry!$C$5:$C$304,Pantry!$A$5:$A$304,B1007))</f>
        <v>0</v>
      </c>
      <c r="S1007" s="8">
        <f>IF(OR(B1007="",C1007=""),"",MAX(0,C1007-R1007))</f>
        <v>0</v>
      </c>
      <c r="T1007" s="26"/>
      <c r="U1007" s="8">
        <f>IF(OR(T1007="",T1007=0,G1007=""),"",T1007*G1007)</f>
        <v>0</v>
      </c>
      <c r="V1007" s="8">
        <f>IF(OR(S1007="",T1007="",T1007=0),"",CEILING(S1007/T1007,1))</f>
        <v>0</v>
      </c>
      <c r="W1007" s="27"/>
      <c r="X1007" s="29"/>
      <c r="Y1007" s="8">
        <f>IF(OR(C1007="",X1007=""),"",C1007*(1+X1007))</f>
        <v>0</v>
      </c>
      <c r="Z1007" s="8">
        <f>IF(B1007="","",IFERROR(INDEX(Ingredients!$O$5:$O$304,MATCH(B1007,Ingredients!$A$5:$A$304,0)),""))</f>
        <v>0</v>
      </c>
      <c r="AA1007" s="8">
        <f>IF(B1007="","",IF(R1007&gt;=C1007,"In pantry","To buy"))</f>
        <v>0</v>
      </c>
      <c r="AB1007" s="8">
        <f>IF(A1007="","",COUNTIFS($A$5:A1007,A1007))</f>
        <v>0</v>
      </c>
      <c r="AC1007" s="8">
        <f>IF(B1007="","",IF(COUNTIFS('Dietary Filters'!$C$5:$C$104,B1007)&gt;0,"Check","OK"))</f>
        <v>0</v>
      </c>
      <c r="AD1007" s="25"/>
    </row>
    <row r="1008" spans="1:30">
      <c r="A1008" s="7"/>
      <c r="B1008" s="7"/>
      <c r="C1008" s="26"/>
      <c r="D1008" s="27"/>
      <c r="E1008" s="8">
        <f>IF(B1008="","",IFERROR(INDEX(Ingredients!$B$5:$B$304,MATCH(B1008,Ingredients!$A$5:$A$304,0)),""))</f>
        <v>0</v>
      </c>
      <c r="F1008" s="8">
        <f>IF(B1008="","",IFERROR(INDEX(Ingredients!$E$5:$E$304,MATCH(B1008,Ingredients!$A$5:$A$304,0)),""))</f>
        <v>0</v>
      </c>
      <c r="G1008" s="8">
        <f>IF(B1008="","",IFERROR(INDEX(Ingredients!$D$5:$D$304,MATCH(B1008,Ingredients!$A$5:$A$304,0)),""))</f>
        <v>0</v>
      </c>
      <c r="H1008" s="8">
        <f>IF(OR(B1008="",C1008=""),"",IFERROR(C1008*G1008,""))</f>
        <v>0</v>
      </c>
      <c r="I1008" s="8">
        <f>IF(A1008="","",IFERROR(INDEX(Recipes!$D$5:$D$204,MATCH(A1008,Recipes!$A$5:$A$204,0)),""))</f>
        <v>0</v>
      </c>
      <c r="J1008" s="8">
        <f>IF(OR(H1008="",I1008="",I1008=0),"",IFERROR(H1008/I1008,""))</f>
        <v>0</v>
      </c>
      <c r="K1008" s="8">
        <f>IF(OR(B1008="",C1008=""),"",IFERROR(C1008*IFERROR(INDEX(Ingredients!$H$5:$H$304,MATCH(B1008,Ingredients!$A$5:$A$304,0)),""),""))</f>
        <v>0</v>
      </c>
      <c r="L1008" s="8">
        <f>IF(OR(B1008="",C1008=""),"",IFERROR(C1008*IFERROR(INDEX(Ingredients!$I$5:$I$304,MATCH(B1008,Ingredients!$A$5:$A$304,0)),""),""))</f>
        <v>0</v>
      </c>
      <c r="M1008" s="8">
        <f>IF(OR(B1008="",C1008=""),"",IFERROR(C1008*IFERROR(INDEX(Ingredients!$J$5:$J$304,MATCH(B1008,Ingredients!$A$5:$A$304,0)),""),""))</f>
        <v>0</v>
      </c>
      <c r="N1008" s="8">
        <f>IF(OR(B1008="",C1008=""),"",IFERROR(C1008*IFERROR(INDEX(Ingredients!$K$5:$K$304,MATCH(B1008,Ingredients!$A$5:$A$304,0)),""),""))</f>
        <v>0</v>
      </c>
      <c r="O1008" s="8">
        <f>IF(OR(B1008="",C1008=""),"",IFERROR(C1008*IFERROR(INDEX(Ingredients!$L$5:$L$304,MATCH(B1008,Ingredients!$A$5:$A$304,0)),""),""))</f>
        <v>0</v>
      </c>
      <c r="P1008" s="8">
        <f>IF(OR(H1008="",A1008=""),"",IFERROR(H1008/SUMIFS('Recipe Ingredients'!$H$5:$H$1204,'Recipe Ingredients'!$A$5:$A$1204,A1008),""))</f>
        <v>0</v>
      </c>
      <c r="Q1008" s="8">
        <f>IF(H1008="","",COUNTIFS($H$5:$H$1204,"&gt;"&amp;H1008)+1)</f>
        <v>0</v>
      </c>
      <c r="R1008" s="8">
        <f>IF(B1008="","",SUMIFS(Pantry!$C$5:$C$304,Pantry!$A$5:$A$304,B1008))</f>
        <v>0</v>
      </c>
      <c r="S1008" s="8">
        <f>IF(OR(B1008="",C1008=""),"",MAX(0,C1008-R1008))</f>
        <v>0</v>
      </c>
      <c r="T1008" s="26"/>
      <c r="U1008" s="8">
        <f>IF(OR(T1008="",T1008=0,G1008=""),"",T1008*G1008)</f>
        <v>0</v>
      </c>
      <c r="V1008" s="8">
        <f>IF(OR(S1008="",T1008="",T1008=0),"",CEILING(S1008/T1008,1))</f>
        <v>0</v>
      </c>
      <c r="W1008" s="27"/>
      <c r="X1008" s="29"/>
      <c r="Y1008" s="8">
        <f>IF(OR(C1008="",X1008=""),"",C1008*(1+X1008))</f>
        <v>0</v>
      </c>
      <c r="Z1008" s="8">
        <f>IF(B1008="","",IFERROR(INDEX(Ingredients!$O$5:$O$304,MATCH(B1008,Ingredients!$A$5:$A$304,0)),""))</f>
        <v>0</v>
      </c>
      <c r="AA1008" s="8">
        <f>IF(B1008="","",IF(R1008&gt;=C1008,"In pantry","To buy"))</f>
        <v>0</v>
      </c>
      <c r="AB1008" s="8">
        <f>IF(A1008="","",COUNTIFS($A$5:A1008,A1008))</f>
        <v>0</v>
      </c>
      <c r="AC1008" s="8">
        <f>IF(B1008="","",IF(COUNTIFS('Dietary Filters'!$C$5:$C$104,B1008)&gt;0,"Check","OK"))</f>
        <v>0</v>
      </c>
      <c r="AD1008" s="25"/>
    </row>
    <row r="1009" spans="1:30">
      <c r="A1009" s="7"/>
      <c r="B1009" s="7"/>
      <c r="C1009" s="26"/>
      <c r="D1009" s="27"/>
      <c r="E1009" s="8">
        <f>IF(B1009="","",IFERROR(INDEX(Ingredients!$B$5:$B$304,MATCH(B1009,Ingredients!$A$5:$A$304,0)),""))</f>
        <v>0</v>
      </c>
      <c r="F1009" s="8">
        <f>IF(B1009="","",IFERROR(INDEX(Ingredients!$E$5:$E$304,MATCH(B1009,Ingredients!$A$5:$A$304,0)),""))</f>
        <v>0</v>
      </c>
      <c r="G1009" s="8">
        <f>IF(B1009="","",IFERROR(INDEX(Ingredients!$D$5:$D$304,MATCH(B1009,Ingredients!$A$5:$A$304,0)),""))</f>
        <v>0</v>
      </c>
      <c r="H1009" s="8">
        <f>IF(OR(B1009="",C1009=""),"",IFERROR(C1009*G1009,""))</f>
        <v>0</v>
      </c>
      <c r="I1009" s="8">
        <f>IF(A1009="","",IFERROR(INDEX(Recipes!$D$5:$D$204,MATCH(A1009,Recipes!$A$5:$A$204,0)),""))</f>
        <v>0</v>
      </c>
      <c r="J1009" s="8">
        <f>IF(OR(H1009="",I1009="",I1009=0),"",IFERROR(H1009/I1009,""))</f>
        <v>0</v>
      </c>
      <c r="K1009" s="8">
        <f>IF(OR(B1009="",C1009=""),"",IFERROR(C1009*IFERROR(INDEX(Ingredients!$H$5:$H$304,MATCH(B1009,Ingredients!$A$5:$A$304,0)),""),""))</f>
        <v>0</v>
      </c>
      <c r="L1009" s="8">
        <f>IF(OR(B1009="",C1009=""),"",IFERROR(C1009*IFERROR(INDEX(Ingredients!$I$5:$I$304,MATCH(B1009,Ingredients!$A$5:$A$304,0)),""),""))</f>
        <v>0</v>
      </c>
      <c r="M1009" s="8">
        <f>IF(OR(B1009="",C1009=""),"",IFERROR(C1009*IFERROR(INDEX(Ingredients!$J$5:$J$304,MATCH(B1009,Ingredients!$A$5:$A$304,0)),""),""))</f>
        <v>0</v>
      </c>
      <c r="N1009" s="8">
        <f>IF(OR(B1009="",C1009=""),"",IFERROR(C1009*IFERROR(INDEX(Ingredients!$K$5:$K$304,MATCH(B1009,Ingredients!$A$5:$A$304,0)),""),""))</f>
        <v>0</v>
      </c>
      <c r="O1009" s="8">
        <f>IF(OR(B1009="",C1009=""),"",IFERROR(C1009*IFERROR(INDEX(Ingredients!$L$5:$L$304,MATCH(B1009,Ingredients!$A$5:$A$304,0)),""),""))</f>
        <v>0</v>
      </c>
      <c r="P1009" s="8">
        <f>IF(OR(H1009="",A1009=""),"",IFERROR(H1009/SUMIFS('Recipe Ingredients'!$H$5:$H$1204,'Recipe Ingredients'!$A$5:$A$1204,A1009),""))</f>
        <v>0</v>
      </c>
      <c r="Q1009" s="8">
        <f>IF(H1009="","",COUNTIFS($H$5:$H$1204,"&gt;"&amp;H1009)+1)</f>
        <v>0</v>
      </c>
      <c r="R1009" s="8">
        <f>IF(B1009="","",SUMIFS(Pantry!$C$5:$C$304,Pantry!$A$5:$A$304,B1009))</f>
        <v>0</v>
      </c>
      <c r="S1009" s="8">
        <f>IF(OR(B1009="",C1009=""),"",MAX(0,C1009-R1009))</f>
        <v>0</v>
      </c>
      <c r="T1009" s="26"/>
      <c r="U1009" s="8">
        <f>IF(OR(T1009="",T1009=0,G1009=""),"",T1009*G1009)</f>
        <v>0</v>
      </c>
      <c r="V1009" s="8">
        <f>IF(OR(S1009="",T1009="",T1009=0),"",CEILING(S1009/T1009,1))</f>
        <v>0</v>
      </c>
      <c r="W1009" s="27"/>
      <c r="X1009" s="29"/>
      <c r="Y1009" s="8">
        <f>IF(OR(C1009="",X1009=""),"",C1009*(1+X1009))</f>
        <v>0</v>
      </c>
      <c r="Z1009" s="8">
        <f>IF(B1009="","",IFERROR(INDEX(Ingredients!$O$5:$O$304,MATCH(B1009,Ingredients!$A$5:$A$304,0)),""))</f>
        <v>0</v>
      </c>
      <c r="AA1009" s="8">
        <f>IF(B1009="","",IF(R1009&gt;=C1009,"In pantry","To buy"))</f>
        <v>0</v>
      </c>
      <c r="AB1009" s="8">
        <f>IF(A1009="","",COUNTIFS($A$5:A1009,A1009))</f>
        <v>0</v>
      </c>
      <c r="AC1009" s="8">
        <f>IF(B1009="","",IF(COUNTIFS('Dietary Filters'!$C$5:$C$104,B1009)&gt;0,"Check","OK"))</f>
        <v>0</v>
      </c>
      <c r="AD1009" s="25"/>
    </row>
    <row r="1010" spans="1:30">
      <c r="A1010" s="7"/>
      <c r="B1010" s="7"/>
      <c r="C1010" s="26"/>
      <c r="D1010" s="27"/>
      <c r="E1010" s="8">
        <f>IF(B1010="","",IFERROR(INDEX(Ingredients!$B$5:$B$304,MATCH(B1010,Ingredients!$A$5:$A$304,0)),""))</f>
        <v>0</v>
      </c>
      <c r="F1010" s="8">
        <f>IF(B1010="","",IFERROR(INDEX(Ingredients!$E$5:$E$304,MATCH(B1010,Ingredients!$A$5:$A$304,0)),""))</f>
        <v>0</v>
      </c>
      <c r="G1010" s="8">
        <f>IF(B1010="","",IFERROR(INDEX(Ingredients!$D$5:$D$304,MATCH(B1010,Ingredients!$A$5:$A$304,0)),""))</f>
        <v>0</v>
      </c>
      <c r="H1010" s="8">
        <f>IF(OR(B1010="",C1010=""),"",IFERROR(C1010*G1010,""))</f>
        <v>0</v>
      </c>
      <c r="I1010" s="8">
        <f>IF(A1010="","",IFERROR(INDEX(Recipes!$D$5:$D$204,MATCH(A1010,Recipes!$A$5:$A$204,0)),""))</f>
        <v>0</v>
      </c>
      <c r="J1010" s="8">
        <f>IF(OR(H1010="",I1010="",I1010=0),"",IFERROR(H1010/I1010,""))</f>
        <v>0</v>
      </c>
      <c r="K1010" s="8">
        <f>IF(OR(B1010="",C1010=""),"",IFERROR(C1010*IFERROR(INDEX(Ingredients!$H$5:$H$304,MATCH(B1010,Ingredients!$A$5:$A$304,0)),""),""))</f>
        <v>0</v>
      </c>
      <c r="L1010" s="8">
        <f>IF(OR(B1010="",C1010=""),"",IFERROR(C1010*IFERROR(INDEX(Ingredients!$I$5:$I$304,MATCH(B1010,Ingredients!$A$5:$A$304,0)),""),""))</f>
        <v>0</v>
      </c>
      <c r="M1010" s="8">
        <f>IF(OR(B1010="",C1010=""),"",IFERROR(C1010*IFERROR(INDEX(Ingredients!$J$5:$J$304,MATCH(B1010,Ingredients!$A$5:$A$304,0)),""),""))</f>
        <v>0</v>
      </c>
      <c r="N1010" s="8">
        <f>IF(OR(B1010="",C1010=""),"",IFERROR(C1010*IFERROR(INDEX(Ingredients!$K$5:$K$304,MATCH(B1010,Ingredients!$A$5:$A$304,0)),""),""))</f>
        <v>0</v>
      </c>
      <c r="O1010" s="8">
        <f>IF(OR(B1010="",C1010=""),"",IFERROR(C1010*IFERROR(INDEX(Ingredients!$L$5:$L$304,MATCH(B1010,Ingredients!$A$5:$A$304,0)),""),""))</f>
        <v>0</v>
      </c>
      <c r="P1010" s="8">
        <f>IF(OR(H1010="",A1010=""),"",IFERROR(H1010/SUMIFS('Recipe Ingredients'!$H$5:$H$1204,'Recipe Ingredients'!$A$5:$A$1204,A1010),""))</f>
        <v>0</v>
      </c>
      <c r="Q1010" s="8">
        <f>IF(H1010="","",COUNTIFS($H$5:$H$1204,"&gt;"&amp;H1010)+1)</f>
        <v>0</v>
      </c>
      <c r="R1010" s="8">
        <f>IF(B1010="","",SUMIFS(Pantry!$C$5:$C$304,Pantry!$A$5:$A$304,B1010))</f>
        <v>0</v>
      </c>
      <c r="S1010" s="8">
        <f>IF(OR(B1010="",C1010=""),"",MAX(0,C1010-R1010))</f>
        <v>0</v>
      </c>
      <c r="T1010" s="26"/>
      <c r="U1010" s="8">
        <f>IF(OR(T1010="",T1010=0,G1010=""),"",T1010*G1010)</f>
        <v>0</v>
      </c>
      <c r="V1010" s="8">
        <f>IF(OR(S1010="",T1010="",T1010=0),"",CEILING(S1010/T1010,1))</f>
        <v>0</v>
      </c>
      <c r="W1010" s="27"/>
      <c r="X1010" s="29"/>
      <c r="Y1010" s="8">
        <f>IF(OR(C1010="",X1010=""),"",C1010*(1+X1010))</f>
        <v>0</v>
      </c>
      <c r="Z1010" s="8">
        <f>IF(B1010="","",IFERROR(INDEX(Ingredients!$O$5:$O$304,MATCH(B1010,Ingredients!$A$5:$A$304,0)),""))</f>
        <v>0</v>
      </c>
      <c r="AA1010" s="8">
        <f>IF(B1010="","",IF(R1010&gt;=C1010,"In pantry","To buy"))</f>
        <v>0</v>
      </c>
      <c r="AB1010" s="8">
        <f>IF(A1010="","",COUNTIFS($A$5:A1010,A1010))</f>
        <v>0</v>
      </c>
      <c r="AC1010" s="8">
        <f>IF(B1010="","",IF(COUNTIFS('Dietary Filters'!$C$5:$C$104,B1010)&gt;0,"Check","OK"))</f>
        <v>0</v>
      </c>
      <c r="AD1010" s="25"/>
    </row>
    <row r="1011" spans="1:30">
      <c r="A1011" s="7"/>
      <c r="B1011" s="7"/>
      <c r="C1011" s="26"/>
      <c r="D1011" s="27"/>
      <c r="E1011" s="8">
        <f>IF(B1011="","",IFERROR(INDEX(Ingredients!$B$5:$B$304,MATCH(B1011,Ingredients!$A$5:$A$304,0)),""))</f>
        <v>0</v>
      </c>
      <c r="F1011" s="8">
        <f>IF(B1011="","",IFERROR(INDEX(Ingredients!$E$5:$E$304,MATCH(B1011,Ingredients!$A$5:$A$304,0)),""))</f>
        <v>0</v>
      </c>
      <c r="G1011" s="8">
        <f>IF(B1011="","",IFERROR(INDEX(Ingredients!$D$5:$D$304,MATCH(B1011,Ingredients!$A$5:$A$304,0)),""))</f>
        <v>0</v>
      </c>
      <c r="H1011" s="8">
        <f>IF(OR(B1011="",C1011=""),"",IFERROR(C1011*G1011,""))</f>
        <v>0</v>
      </c>
      <c r="I1011" s="8">
        <f>IF(A1011="","",IFERROR(INDEX(Recipes!$D$5:$D$204,MATCH(A1011,Recipes!$A$5:$A$204,0)),""))</f>
        <v>0</v>
      </c>
      <c r="J1011" s="8">
        <f>IF(OR(H1011="",I1011="",I1011=0),"",IFERROR(H1011/I1011,""))</f>
        <v>0</v>
      </c>
      <c r="K1011" s="8">
        <f>IF(OR(B1011="",C1011=""),"",IFERROR(C1011*IFERROR(INDEX(Ingredients!$H$5:$H$304,MATCH(B1011,Ingredients!$A$5:$A$304,0)),""),""))</f>
        <v>0</v>
      </c>
      <c r="L1011" s="8">
        <f>IF(OR(B1011="",C1011=""),"",IFERROR(C1011*IFERROR(INDEX(Ingredients!$I$5:$I$304,MATCH(B1011,Ingredients!$A$5:$A$304,0)),""),""))</f>
        <v>0</v>
      </c>
      <c r="M1011" s="8">
        <f>IF(OR(B1011="",C1011=""),"",IFERROR(C1011*IFERROR(INDEX(Ingredients!$J$5:$J$304,MATCH(B1011,Ingredients!$A$5:$A$304,0)),""),""))</f>
        <v>0</v>
      </c>
      <c r="N1011" s="8">
        <f>IF(OR(B1011="",C1011=""),"",IFERROR(C1011*IFERROR(INDEX(Ingredients!$K$5:$K$304,MATCH(B1011,Ingredients!$A$5:$A$304,0)),""),""))</f>
        <v>0</v>
      </c>
      <c r="O1011" s="8">
        <f>IF(OR(B1011="",C1011=""),"",IFERROR(C1011*IFERROR(INDEX(Ingredients!$L$5:$L$304,MATCH(B1011,Ingredients!$A$5:$A$304,0)),""),""))</f>
        <v>0</v>
      </c>
      <c r="P1011" s="8">
        <f>IF(OR(H1011="",A1011=""),"",IFERROR(H1011/SUMIFS('Recipe Ingredients'!$H$5:$H$1204,'Recipe Ingredients'!$A$5:$A$1204,A1011),""))</f>
        <v>0</v>
      </c>
      <c r="Q1011" s="8">
        <f>IF(H1011="","",COUNTIFS($H$5:$H$1204,"&gt;"&amp;H1011)+1)</f>
        <v>0</v>
      </c>
      <c r="R1011" s="8">
        <f>IF(B1011="","",SUMIFS(Pantry!$C$5:$C$304,Pantry!$A$5:$A$304,B1011))</f>
        <v>0</v>
      </c>
      <c r="S1011" s="8">
        <f>IF(OR(B1011="",C1011=""),"",MAX(0,C1011-R1011))</f>
        <v>0</v>
      </c>
      <c r="T1011" s="26"/>
      <c r="U1011" s="8">
        <f>IF(OR(T1011="",T1011=0,G1011=""),"",T1011*G1011)</f>
        <v>0</v>
      </c>
      <c r="V1011" s="8">
        <f>IF(OR(S1011="",T1011="",T1011=0),"",CEILING(S1011/T1011,1))</f>
        <v>0</v>
      </c>
      <c r="W1011" s="27"/>
      <c r="X1011" s="29"/>
      <c r="Y1011" s="8">
        <f>IF(OR(C1011="",X1011=""),"",C1011*(1+X1011))</f>
        <v>0</v>
      </c>
      <c r="Z1011" s="8">
        <f>IF(B1011="","",IFERROR(INDEX(Ingredients!$O$5:$O$304,MATCH(B1011,Ingredients!$A$5:$A$304,0)),""))</f>
        <v>0</v>
      </c>
      <c r="AA1011" s="8">
        <f>IF(B1011="","",IF(R1011&gt;=C1011,"In pantry","To buy"))</f>
        <v>0</v>
      </c>
      <c r="AB1011" s="8">
        <f>IF(A1011="","",COUNTIFS($A$5:A1011,A1011))</f>
        <v>0</v>
      </c>
      <c r="AC1011" s="8">
        <f>IF(B1011="","",IF(COUNTIFS('Dietary Filters'!$C$5:$C$104,B1011)&gt;0,"Check","OK"))</f>
        <v>0</v>
      </c>
      <c r="AD1011" s="25"/>
    </row>
    <row r="1012" spans="1:30">
      <c r="A1012" s="7"/>
      <c r="B1012" s="7"/>
      <c r="C1012" s="26"/>
      <c r="D1012" s="27"/>
      <c r="E1012" s="8">
        <f>IF(B1012="","",IFERROR(INDEX(Ingredients!$B$5:$B$304,MATCH(B1012,Ingredients!$A$5:$A$304,0)),""))</f>
        <v>0</v>
      </c>
      <c r="F1012" s="8">
        <f>IF(B1012="","",IFERROR(INDEX(Ingredients!$E$5:$E$304,MATCH(B1012,Ingredients!$A$5:$A$304,0)),""))</f>
        <v>0</v>
      </c>
      <c r="G1012" s="8">
        <f>IF(B1012="","",IFERROR(INDEX(Ingredients!$D$5:$D$304,MATCH(B1012,Ingredients!$A$5:$A$304,0)),""))</f>
        <v>0</v>
      </c>
      <c r="H1012" s="8">
        <f>IF(OR(B1012="",C1012=""),"",IFERROR(C1012*G1012,""))</f>
        <v>0</v>
      </c>
      <c r="I1012" s="8">
        <f>IF(A1012="","",IFERROR(INDEX(Recipes!$D$5:$D$204,MATCH(A1012,Recipes!$A$5:$A$204,0)),""))</f>
        <v>0</v>
      </c>
      <c r="J1012" s="8">
        <f>IF(OR(H1012="",I1012="",I1012=0),"",IFERROR(H1012/I1012,""))</f>
        <v>0</v>
      </c>
      <c r="K1012" s="8">
        <f>IF(OR(B1012="",C1012=""),"",IFERROR(C1012*IFERROR(INDEX(Ingredients!$H$5:$H$304,MATCH(B1012,Ingredients!$A$5:$A$304,0)),""),""))</f>
        <v>0</v>
      </c>
      <c r="L1012" s="8">
        <f>IF(OR(B1012="",C1012=""),"",IFERROR(C1012*IFERROR(INDEX(Ingredients!$I$5:$I$304,MATCH(B1012,Ingredients!$A$5:$A$304,0)),""),""))</f>
        <v>0</v>
      </c>
      <c r="M1012" s="8">
        <f>IF(OR(B1012="",C1012=""),"",IFERROR(C1012*IFERROR(INDEX(Ingredients!$J$5:$J$304,MATCH(B1012,Ingredients!$A$5:$A$304,0)),""),""))</f>
        <v>0</v>
      </c>
      <c r="N1012" s="8">
        <f>IF(OR(B1012="",C1012=""),"",IFERROR(C1012*IFERROR(INDEX(Ingredients!$K$5:$K$304,MATCH(B1012,Ingredients!$A$5:$A$304,0)),""),""))</f>
        <v>0</v>
      </c>
      <c r="O1012" s="8">
        <f>IF(OR(B1012="",C1012=""),"",IFERROR(C1012*IFERROR(INDEX(Ingredients!$L$5:$L$304,MATCH(B1012,Ingredients!$A$5:$A$304,0)),""),""))</f>
        <v>0</v>
      </c>
      <c r="P1012" s="8">
        <f>IF(OR(H1012="",A1012=""),"",IFERROR(H1012/SUMIFS('Recipe Ingredients'!$H$5:$H$1204,'Recipe Ingredients'!$A$5:$A$1204,A1012),""))</f>
        <v>0</v>
      </c>
      <c r="Q1012" s="8">
        <f>IF(H1012="","",COUNTIFS($H$5:$H$1204,"&gt;"&amp;H1012)+1)</f>
        <v>0</v>
      </c>
      <c r="R1012" s="8">
        <f>IF(B1012="","",SUMIFS(Pantry!$C$5:$C$304,Pantry!$A$5:$A$304,B1012))</f>
        <v>0</v>
      </c>
      <c r="S1012" s="8">
        <f>IF(OR(B1012="",C1012=""),"",MAX(0,C1012-R1012))</f>
        <v>0</v>
      </c>
      <c r="T1012" s="26"/>
      <c r="U1012" s="8">
        <f>IF(OR(T1012="",T1012=0,G1012=""),"",T1012*G1012)</f>
        <v>0</v>
      </c>
      <c r="V1012" s="8">
        <f>IF(OR(S1012="",T1012="",T1012=0),"",CEILING(S1012/T1012,1))</f>
        <v>0</v>
      </c>
      <c r="W1012" s="27"/>
      <c r="X1012" s="29"/>
      <c r="Y1012" s="8">
        <f>IF(OR(C1012="",X1012=""),"",C1012*(1+X1012))</f>
        <v>0</v>
      </c>
      <c r="Z1012" s="8">
        <f>IF(B1012="","",IFERROR(INDEX(Ingredients!$O$5:$O$304,MATCH(B1012,Ingredients!$A$5:$A$304,0)),""))</f>
        <v>0</v>
      </c>
      <c r="AA1012" s="8">
        <f>IF(B1012="","",IF(R1012&gt;=C1012,"In pantry","To buy"))</f>
        <v>0</v>
      </c>
      <c r="AB1012" s="8">
        <f>IF(A1012="","",COUNTIFS($A$5:A1012,A1012))</f>
        <v>0</v>
      </c>
      <c r="AC1012" s="8">
        <f>IF(B1012="","",IF(COUNTIFS('Dietary Filters'!$C$5:$C$104,B1012)&gt;0,"Check","OK"))</f>
        <v>0</v>
      </c>
      <c r="AD1012" s="25"/>
    </row>
    <row r="1013" spans="1:30">
      <c r="A1013" s="7"/>
      <c r="B1013" s="7"/>
      <c r="C1013" s="26"/>
      <c r="D1013" s="27"/>
      <c r="E1013" s="8">
        <f>IF(B1013="","",IFERROR(INDEX(Ingredients!$B$5:$B$304,MATCH(B1013,Ingredients!$A$5:$A$304,0)),""))</f>
        <v>0</v>
      </c>
      <c r="F1013" s="8">
        <f>IF(B1013="","",IFERROR(INDEX(Ingredients!$E$5:$E$304,MATCH(B1013,Ingredients!$A$5:$A$304,0)),""))</f>
        <v>0</v>
      </c>
      <c r="G1013" s="8">
        <f>IF(B1013="","",IFERROR(INDEX(Ingredients!$D$5:$D$304,MATCH(B1013,Ingredients!$A$5:$A$304,0)),""))</f>
        <v>0</v>
      </c>
      <c r="H1013" s="8">
        <f>IF(OR(B1013="",C1013=""),"",IFERROR(C1013*G1013,""))</f>
        <v>0</v>
      </c>
      <c r="I1013" s="8">
        <f>IF(A1013="","",IFERROR(INDEX(Recipes!$D$5:$D$204,MATCH(A1013,Recipes!$A$5:$A$204,0)),""))</f>
        <v>0</v>
      </c>
      <c r="J1013" s="8">
        <f>IF(OR(H1013="",I1013="",I1013=0),"",IFERROR(H1013/I1013,""))</f>
        <v>0</v>
      </c>
      <c r="K1013" s="8">
        <f>IF(OR(B1013="",C1013=""),"",IFERROR(C1013*IFERROR(INDEX(Ingredients!$H$5:$H$304,MATCH(B1013,Ingredients!$A$5:$A$304,0)),""),""))</f>
        <v>0</v>
      </c>
      <c r="L1013" s="8">
        <f>IF(OR(B1013="",C1013=""),"",IFERROR(C1013*IFERROR(INDEX(Ingredients!$I$5:$I$304,MATCH(B1013,Ingredients!$A$5:$A$304,0)),""),""))</f>
        <v>0</v>
      </c>
      <c r="M1013" s="8">
        <f>IF(OR(B1013="",C1013=""),"",IFERROR(C1013*IFERROR(INDEX(Ingredients!$J$5:$J$304,MATCH(B1013,Ingredients!$A$5:$A$304,0)),""),""))</f>
        <v>0</v>
      </c>
      <c r="N1013" s="8">
        <f>IF(OR(B1013="",C1013=""),"",IFERROR(C1013*IFERROR(INDEX(Ingredients!$K$5:$K$304,MATCH(B1013,Ingredients!$A$5:$A$304,0)),""),""))</f>
        <v>0</v>
      </c>
      <c r="O1013" s="8">
        <f>IF(OR(B1013="",C1013=""),"",IFERROR(C1013*IFERROR(INDEX(Ingredients!$L$5:$L$304,MATCH(B1013,Ingredients!$A$5:$A$304,0)),""),""))</f>
        <v>0</v>
      </c>
      <c r="P1013" s="8">
        <f>IF(OR(H1013="",A1013=""),"",IFERROR(H1013/SUMIFS('Recipe Ingredients'!$H$5:$H$1204,'Recipe Ingredients'!$A$5:$A$1204,A1013),""))</f>
        <v>0</v>
      </c>
      <c r="Q1013" s="8">
        <f>IF(H1013="","",COUNTIFS($H$5:$H$1204,"&gt;"&amp;H1013)+1)</f>
        <v>0</v>
      </c>
      <c r="R1013" s="8">
        <f>IF(B1013="","",SUMIFS(Pantry!$C$5:$C$304,Pantry!$A$5:$A$304,B1013))</f>
        <v>0</v>
      </c>
      <c r="S1013" s="8">
        <f>IF(OR(B1013="",C1013=""),"",MAX(0,C1013-R1013))</f>
        <v>0</v>
      </c>
      <c r="T1013" s="26"/>
      <c r="U1013" s="8">
        <f>IF(OR(T1013="",T1013=0,G1013=""),"",T1013*G1013)</f>
        <v>0</v>
      </c>
      <c r="V1013" s="8">
        <f>IF(OR(S1013="",T1013="",T1013=0),"",CEILING(S1013/T1013,1))</f>
        <v>0</v>
      </c>
      <c r="W1013" s="27"/>
      <c r="X1013" s="29"/>
      <c r="Y1013" s="8">
        <f>IF(OR(C1013="",X1013=""),"",C1013*(1+X1013))</f>
        <v>0</v>
      </c>
      <c r="Z1013" s="8">
        <f>IF(B1013="","",IFERROR(INDEX(Ingredients!$O$5:$O$304,MATCH(B1013,Ingredients!$A$5:$A$304,0)),""))</f>
        <v>0</v>
      </c>
      <c r="AA1013" s="8">
        <f>IF(B1013="","",IF(R1013&gt;=C1013,"In pantry","To buy"))</f>
        <v>0</v>
      </c>
      <c r="AB1013" s="8">
        <f>IF(A1013="","",COUNTIFS($A$5:A1013,A1013))</f>
        <v>0</v>
      </c>
      <c r="AC1013" s="8">
        <f>IF(B1013="","",IF(COUNTIFS('Dietary Filters'!$C$5:$C$104,B1013)&gt;0,"Check","OK"))</f>
        <v>0</v>
      </c>
      <c r="AD1013" s="25"/>
    </row>
    <row r="1014" spans="1:30">
      <c r="A1014" s="7"/>
      <c r="B1014" s="7"/>
      <c r="C1014" s="26"/>
      <c r="D1014" s="27"/>
      <c r="E1014" s="8">
        <f>IF(B1014="","",IFERROR(INDEX(Ingredients!$B$5:$B$304,MATCH(B1014,Ingredients!$A$5:$A$304,0)),""))</f>
        <v>0</v>
      </c>
      <c r="F1014" s="8">
        <f>IF(B1014="","",IFERROR(INDEX(Ingredients!$E$5:$E$304,MATCH(B1014,Ingredients!$A$5:$A$304,0)),""))</f>
        <v>0</v>
      </c>
      <c r="G1014" s="8">
        <f>IF(B1014="","",IFERROR(INDEX(Ingredients!$D$5:$D$304,MATCH(B1014,Ingredients!$A$5:$A$304,0)),""))</f>
        <v>0</v>
      </c>
      <c r="H1014" s="8">
        <f>IF(OR(B1014="",C1014=""),"",IFERROR(C1014*G1014,""))</f>
        <v>0</v>
      </c>
      <c r="I1014" s="8">
        <f>IF(A1014="","",IFERROR(INDEX(Recipes!$D$5:$D$204,MATCH(A1014,Recipes!$A$5:$A$204,0)),""))</f>
        <v>0</v>
      </c>
      <c r="J1014" s="8">
        <f>IF(OR(H1014="",I1014="",I1014=0),"",IFERROR(H1014/I1014,""))</f>
        <v>0</v>
      </c>
      <c r="K1014" s="8">
        <f>IF(OR(B1014="",C1014=""),"",IFERROR(C1014*IFERROR(INDEX(Ingredients!$H$5:$H$304,MATCH(B1014,Ingredients!$A$5:$A$304,0)),""),""))</f>
        <v>0</v>
      </c>
      <c r="L1014" s="8">
        <f>IF(OR(B1014="",C1014=""),"",IFERROR(C1014*IFERROR(INDEX(Ingredients!$I$5:$I$304,MATCH(B1014,Ingredients!$A$5:$A$304,0)),""),""))</f>
        <v>0</v>
      </c>
      <c r="M1014" s="8">
        <f>IF(OR(B1014="",C1014=""),"",IFERROR(C1014*IFERROR(INDEX(Ingredients!$J$5:$J$304,MATCH(B1014,Ingredients!$A$5:$A$304,0)),""),""))</f>
        <v>0</v>
      </c>
      <c r="N1014" s="8">
        <f>IF(OR(B1014="",C1014=""),"",IFERROR(C1014*IFERROR(INDEX(Ingredients!$K$5:$K$304,MATCH(B1014,Ingredients!$A$5:$A$304,0)),""),""))</f>
        <v>0</v>
      </c>
      <c r="O1014" s="8">
        <f>IF(OR(B1014="",C1014=""),"",IFERROR(C1014*IFERROR(INDEX(Ingredients!$L$5:$L$304,MATCH(B1014,Ingredients!$A$5:$A$304,0)),""),""))</f>
        <v>0</v>
      </c>
      <c r="P1014" s="8">
        <f>IF(OR(H1014="",A1014=""),"",IFERROR(H1014/SUMIFS('Recipe Ingredients'!$H$5:$H$1204,'Recipe Ingredients'!$A$5:$A$1204,A1014),""))</f>
        <v>0</v>
      </c>
      <c r="Q1014" s="8">
        <f>IF(H1014="","",COUNTIFS($H$5:$H$1204,"&gt;"&amp;H1014)+1)</f>
        <v>0</v>
      </c>
      <c r="R1014" s="8">
        <f>IF(B1014="","",SUMIFS(Pantry!$C$5:$C$304,Pantry!$A$5:$A$304,B1014))</f>
        <v>0</v>
      </c>
      <c r="S1014" s="8">
        <f>IF(OR(B1014="",C1014=""),"",MAX(0,C1014-R1014))</f>
        <v>0</v>
      </c>
      <c r="T1014" s="26"/>
      <c r="U1014" s="8">
        <f>IF(OR(T1014="",T1014=0,G1014=""),"",T1014*G1014)</f>
        <v>0</v>
      </c>
      <c r="V1014" s="8">
        <f>IF(OR(S1014="",T1014="",T1014=0),"",CEILING(S1014/T1014,1))</f>
        <v>0</v>
      </c>
      <c r="W1014" s="27"/>
      <c r="X1014" s="29"/>
      <c r="Y1014" s="8">
        <f>IF(OR(C1014="",X1014=""),"",C1014*(1+X1014))</f>
        <v>0</v>
      </c>
      <c r="Z1014" s="8">
        <f>IF(B1014="","",IFERROR(INDEX(Ingredients!$O$5:$O$304,MATCH(B1014,Ingredients!$A$5:$A$304,0)),""))</f>
        <v>0</v>
      </c>
      <c r="AA1014" s="8">
        <f>IF(B1014="","",IF(R1014&gt;=C1014,"In pantry","To buy"))</f>
        <v>0</v>
      </c>
      <c r="AB1014" s="8">
        <f>IF(A1014="","",COUNTIFS($A$5:A1014,A1014))</f>
        <v>0</v>
      </c>
      <c r="AC1014" s="8">
        <f>IF(B1014="","",IF(COUNTIFS('Dietary Filters'!$C$5:$C$104,B1014)&gt;0,"Check","OK"))</f>
        <v>0</v>
      </c>
      <c r="AD1014" s="25"/>
    </row>
    <row r="1015" spans="1:30">
      <c r="A1015" s="7"/>
      <c r="B1015" s="7"/>
      <c r="C1015" s="26"/>
      <c r="D1015" s="27"/>
      <c r="E1015" s="8">
        <f>IF(B1015="","",IFERROR(INDEX(Ingredients!$B$5:$B$304,MATCH(B1015,Ingredients!$A$5:$A$304,0)),""))</f>
        <v>0</v>
      </c>
      <c r="F1015" s="8">
        <f>IF(B1015="","",IFERROR(INDEX(Ingredients!$E$5:$E$304,MATCH(B1015,Ingredients!$A$5:$A$304,0)),""))</f>
        <v>0</v>
      </c>
      <c r="G1015" s="8">
        <f>IF(B1015="","",IFERROR(INDEX(Ingredients!$D$5:$D$304,MATCH(B1015,Ingredients!$A$5:$A$304,0)),""))</f>
        <v>0</v>
      </c>
      <c r="H1015" s="8">
        <f>IF(OR(B1015="",C1015=""),"",IFERROR(C1015*G1015,""))</f>
        <v>0</v>
      </c>
      <c r="I1015" s="8">
        <f>IF(A1015="","",IFERROR(INDEX(Recipes!$D$5:$D$204,MATCH(A1015,Recipes!$A$5:$A$204,0)),""))</f>
        <v>0</v>
      </c>
      <c r="J1015" s="8">
        <f>IF(OR(H1015="",I1015="",I1015=0),"",IFERROR(H1015/I1015,""))</f>
        <v>0</v>
      </c>
      <c r="K1015" s="8">
        <f>IF(OR(B1015="",C1015=""),"",IFERROR(C1015*IFERROR(INDEX(Ingredients!$H$5:$H$304,MATCH(B1015,Ingredients!$A$5:$A$304,0)),""),""))</f>
        <v>0</v>
      </c>
      <c r="L1015" s="8">
        <f>IF(OR(B1015="",C1015=""),"",IFERROR(C1015*IFERROR(INDEX(Ingredients!$I$5:$I$304,MATCH(B1015,Ingredients!$A$5:$A$304,0)),""),""))</f>
        <v>0</v>
      </c>
      <c r="M1015" s="8">
        <f>IF(OR(B1015="",C1015=""),"",IFERROR(C1015*IFERROR(INDEX(Ingredients!$J$5:$J$304,MATCH(B1015,Ingredients!$A$5:$A$304,0)),""),""))</f>
        <v>0</v>
      </c>
      <c r="N1015" s="8">
        <f>IF(OR(B1015="",C1015=""),"",IFERROR(C1015*IFERROR(INDEX(Ingredients!$K$5:$K$304,MATCH(B1015,Ingredients!$A$5:$A$304,0)),""),""))</f>
        <v>0</v>
      </c>
      <c r="O1015" s="8">
        <f>IF(OR(B1015="",C1015=""),"",IFERROR(C1015*IFERROR(INDEX(Ingredients!$L$5:$L$304,MATCH(B1015,Ingredients!$A$5:$A$304,0)),""),""))</f>
        <v>0</v>
      </c>
      <c r="P1015" s="8">
        <f>IF(OR(H1015="",A1015=""),"",IFERROR(H1015/SUMIFS('Recipe Ingredients'!$H$5:$H$1204,'Recipe Ingredients'!$A$5:$A$1204,A1015),""))</f>
        <v>0</v>
      </c>
      <c r="Q1015" s="8">
        <f>IF(H1015="","",COUNTIFS($H$5:$H$1204,"&gt;"&amp;H1015)+1)</f>
        <v>0</v>
      </c>
      <c r="R1015" s="8">
        <f>IF(B1015="","",SUMIFS(Pantry!$C$5:$C$304,Pantry!$A$5:$A$304,B1015))</f>
        <v>0</v>
      </c>
      <c r="S1015" s="8">
        <f>IF(OR(B1015="",C1015=""),"",MAX(0,C1015-R1015))</f>
        <v>0</v>
      </c>
      <c r="T1015" s="26"/>
      <c r="U1015" s="8">
        <f>IF(OR(T1015="",T1015=0,G1015=""),"",T1015*G1015)</f>
        <v>0</v>
      </c>
      <c r="V1015" s="8">
        <f>IF(OR(S1015="",T1015="",T1015=0),"",CEILING(S1015/T1015,1))</f>
        <v>0</v>
      </c>
      <c r="W1015" s="27"/>
      <c r="X1015" s="29"/>
      <c r="Y1015" s="8">
        <f>IF(OR(C1015="",X1015=""),"",C1015*(1+X1015))</f>
        <v>0</v>
      </c>
      <c r="Z1015" s="8">
        <f>IF(B1015="","",IFERROR(INDEX(Ingredients!$O$5:$O$304,MATCH(B1015,Ingredients!$A$5:$A$304,0)),""))</f>
        <v>0</v>
      </c>
      <c r="AA1015" s="8">
        <f>IF(B1015="","",IF(R1015&gt;=C1015,"In pantry","To buy"))</f>
        <v>0</v>
      </c>
      <c r="AB1015" s="8">
        <f>IF(A1015="","",COUNTIFS($A$5:A1015,A1015))</f>
        <v>0</v>
      </c>
      <c r="AC1015" s="8">
        <f>IF(B1015="","",IF(COUNTIFS('Dietary Filters'!$C$5:$C$104,B1015)&gt;0,"Check","OK"))</f>
        <v>0</v>
      </c>
      <c r="AD1015" s="25"/>
    </row>
    <row r="1016" spans="1:30">
      <c r="A1016" s="7"/>
      <c r="B1016" s="7"/>
      <c r="C1016" s="26"/>
      <c r="D1016" s="27"/>
      <c r="E1016" s="8">
        <f>IF(B1016="","",IFERROR(INDEX(Ingredients!$B$5:$B$304,MATCH(B1016,Ingredients!$A$5:$A$304,0)),""))</f>
        <v>0</v>
      </c>
      <c r="F1016" s="8">
        <f>IF(B1016="","",IFERROR(INDEX(Ingredients!$E$5:$E$304,MATCH(B1016,Ingredients!$A$5:$A$304,0)),""))</f>
        <v>0</v>
      </c>
      <c r="G1016" s="8">
        <f>IF(B1016="","",IFERROR(INDEX(Ingredients!$D$5:$D$304,MATCH(B1016,Ingredients!$A$5:$A$304,0)),""))</f>
        <v>0</v>
      </c>
      <c r="H1016" s="8">
        <f>IF(OR(B1016="",C1016=""),"",IFERROR(C1016*G1016,""))</f>
        <v>0</v>
      </c>
      <c r="I1016" s="8">
        <f>IF(A1016="","",IFERROR(INDEX(Recipes!$D$5:$D$204,MATCH(A1016,Recipes!$A$5:$A$204,0)),""))</f>
        <v>0</v>
      </c>
      <c r="J1016" s="8">
        <f>IF(OR(H1016="",I1016="",I1016=0),"",IFERROR(H1016/I1016,""))</f>
        <v>0</v>
      </c>
      <c r="K1016" s="8">
        <f>IF(OR(B1016="",C1016=""),"",IFERROR(C1016*IFERROR(INDEX(Ingredients!$H$5:$H$304,MATCH(B1016,Ingredients!$A$5:$A$304,0)),""),""))</f>
        <v>0</v>
      </c>
      <c r="L1016" s="8">
        <f>IF(OR(B1016="",C1016=""),"",IFERROR(C1016*IFERROR(INDEX(Ingredients!$I$5:$I$304,MATCH(B1016,Ingredients!$A$5:$A$304,0)),""),""))</f>
        <v>0</v>
      </c>
      <c r="M1016" s="8">
        <f>IF(OR(B1016="",C1016=""),"",IFERROR(C1016*IFERROR(INDEX(Ingredients!$J$5:$J$304,MATCH(B1016,Ingredients!$A$5:$A$304,0)),""),""))</f>
        <v>0</v>
      </c>
      <c r="N1016" s="8">
        <f>IF(OR(B1016="",C1016=""),"",IFERROR(C1016*IFERROR(INDEX(Ingredients!$K$5:$K$304,MATCH(B1016,Ingredients!$A$5:$A$304,0)),""),""))</f>
        <v>0</v>
      </c>
      <c r="O1016" s="8">
        <f>IF(OR(B1016="",C1016=""),"",IFERROR(C1016*IFERROR(INDEX(Ingredients!$L$5:$L$304,MATCH(B1016,Ingredients!$A$5:$A$304,0)),""),""))</f>
        <v>0</v>
      </c>
      <c r="P1016" s="8">
        <f>IF(OR(H1016="",A1016=""),"",IFERROR(H1016/SUMIFS('Recipe Ingredients'!$H$5:$H$1204,'Recipe Ingredients'!$A$5:$A$1204,A1016),""))</f>
        <v>0</v>
      </c>
      <c r="Q1016" s="8">
        <f>IF(H1016="","",COUNTIFS($H$5:$H$1204,"&gt;"&amp;H1016)+1)</f>
        <v>0</v>
      </c>
      <c r="R1016" s="8">
        <f>IF(B1016="","",SUMIFS(Pantry!$C$5:$C$304,Pantry!$A$5:$A$304,B1016))</f>
        <v>0</v>
      </c>
      <c r="S1016" s="8">
        <f>IF(OR(B1016="",C1016=""),"",MAX(0,C1016-R1016))</f>
        <v>0</v>
      </c>
      <c r="T1016" s="26"/>
      <c r="U1016" s="8">
        <f>IF(OR(T1016="",T1016=0,G1016=""),"",T1016*G1016)</f>
        <v>0</v>
      </c>
      <c r="V1016" s="8">
        <f>IF(OR(S1016="",T1016="",T1016=0),"",CEILING(S1016/T1016,1))</f>
        <v>0</v>
      </c>
      <c r="W1016" s="27"/>
      <c r="X1016" s="29"/>
      <c r="Y1016" s="8">
        <f>IF(OR(C1016="",X1016=""),"",C1016*(1+X1016))</f>
        <v>0</v>
      </c>
      <c r="Z1016" s="8">
        <f>IF(B1016="","",IFERROR(INDEX(Ingredients!$O$5:$O$304,MATCH(B1016,Ingredients!$A$5:$A$304,0)),""))</f>
        <v>0</v>
      </c>
      <c r="AA1016" s="8">
        <f>IF(B1016="","",IF(R1016&gt;=C1016,"In pantry","To buy"))</f>
        <v>0</v>
      </c>
      <c r="AB1016" s="8">
        <f>IF(A1016="","",COUNTIFS($A$5:A1016,A1016))</f>
        <v>0</v>
      </c>
      <c r="AC1016" s="8">
        <f>IF(B1016="","",IF(COUNTIFS('Dietary Filters'!$C$5:$C$104,B1016)&gt;0,"Check","OK"))</f>
        <v>0</v>
      </c>
      <c r="AD1016" s="25"/>
    </row>
    <row r="1017" spans="1:30">
      <c r="A1017" s="7"/>
      <c r="B1017" s="7"/>
      <c r="C1017" s="26"/>
      <c r="D1017" s="27"/>
      <c r="E1017" s="8">
        <f>IF(B1017="","",IFERROR(INDEX(Ingredients!$B$5:$B$304,MATCH(B1017,Ingredients!$A$5:$A$304,0)),""))</f>
        <v>0</v>
      </c>
      <c r="F1017" s="8">
        <f>IF(B1017="","",IFERROR(INDEX(Ingredients!$E$5:$E$304,MATCH(B1017,Ingredients!$A$5:$A$304,0)),""))</f>
        <v>0</v>
      </c>
      <c r="G1017" s="8">
        <f>IF(B1017="","",IFERROR(INDEX(Ingredients!$D$5:$D$304,MATCH(B1017,Ingredients!$A$5:$A$304,0)),""))</f>
        <v>0</v>
      </c>
      <c r="H1017" s="8">
        <f>IF(OR(B1017="",C1017=""),"",IFERROR(C1017*G1017,""))</f>
        <v>0</v>
      </c>
      <c r="I1017" s="8">
        <f>IF(A1017="","",IFERROR(INDEX(Recipes!$D$5:$D$204,MATCH(A1017,Recipes!$A$5:$A$204,0)),""))</f>
        <v>0</v>
      </c>
      <c r="J1017" s="8">
        <f>IF(OR(H1017="",I1017="",I1017=0),"",IFERROR(H1017/I1017,""))</f>
        <v>0</v>
      </c>
      <c r="K1017" s="8">
        <f>IF(OR(B1017="",C1017=""),"",IFERROR(C1017*IFERROR(INDEX(Ingredients!$H$5:$H$304,MATCH(B1017,Ingredients!$A$5:$A$304,0)),""),""))</f>
        <v>0</v>
      </c>
      <c r="L1017" s="8">
        <f>IF(OR(B1017="",C1017=""),"",IFERROR(C1017*IFERROR(INDEX(Ingredients!$I$5:$I$304,MATCH(B1017,Ingredients!$A$5:$A$304,0)),""),""))</f>
        <v>0</v>
      </c>
      <c r="M1017" s="8">
        <f>IF(OR(B1017="",C1017=""),"",IFERROR(C1017*IFERROR(INDEX(Ingredients!$J$5:$J$304,MATCH(B1017,Ingredients!$A$5:$A$304,0)),""),""))</f>
        <v>0</v>
      </c>
      <c r="N1017" s="8">
        <f>IF(OR(B1017="",C1017=""),"",IFERROR(C1017*IFERROR(INDEX(Ingredients!$K$5:$K$304,MATCH(B1017,Ingredients!$A$5:$A$304,0)),""),""))</f>
        <v>0</v>
      </c>
      <c r="O1017" s="8">
        <f>IF(OR(B1017="",C1017=""),"",IFERROR(C1017*IFERROR(INDEX(Ingredients!$L$5:$L$304,MATCH(B1017,Ingredients!$A$5:$A$304,0)),""),""))</f>
        <v>0</v>
      </c>
      <c r="P1017" s="8">
        <f>IF(OR(H1017="",A1017=""),"",IFERROR(H1017/SUMIFS('Recipe Ingredients'!$H$5:$H$1204,'Recipe Ingredients'!$A$5:$A$1204,A1017),""))</f>
        <v>0</v>
      </c>
      <c r="Q1017" s="8">
        <f>IF(H1017="","",COUNTIFS($H$5:$H$1204,"&gt;"&amp;H1017)+1)</f>
        <v>0</v>
      </c>
      <c r="R1017" s="8">
        <f>IF(B1017="","",SUMIFS(Pantry!$C$5:$C$304,Pantry!$A$5:$A$304,B1017))</f>
        <v>0</v>
      </c>
      <c r="S1017" s="8">
        <f>IF(OR(B1017="",C1017=""),"",MAX(0,C1017-R1017))</f>
        <v>0</v>
      </c>
      <c r="T1017" s="26"/>
      <c r="U1017" s="8">
        <f>IF(OR(T1017="",T1017=0,G1017=""),"",T1017*G1017)</f>
        <v>0</v>
      </c>
      <c r="V1017" s="8">
        <f>IF(OR(S1017="",T1017="",T1017=0),"",CEILING(S1017/T1017,1))</f>
        <v>0</v>
      </c>
      <c r="W1017" s="27"/>
      <c r="X1017" s="29"/>
      <c r="Y1017" s="8">
        <f>IF(OR(C1017="",X1017=""),"",C1017*(1+X1017))</f>
        <v>0</v>
      </c>
      <c r="Z1017" s="8">
        <f>IF(B1017="","",IFERROR(INDEX(Ingredients!$O$5:$O$304,MATCH(B1017,Ingredients!$A$5:$A$304,0)),""))</f>
        <v>0</v>
      </c>
      <c r="AA1017" s="8">
        <f>IF(B1017="","",IF(R1017&gt;=C1017,"In pantry","To buy"))</f>
        <v>0</v>
      </c>
      <c r="AB1017" s="8">
        <f>IF(A1017="","",COUNTIFS($A$5:A1017,A1017))</f>
        <v>0</v>
      </c>
      <c r="AC1017" s="8">
        <f>IF(B1017="","",IF(COUNTIFS('Dietary Filters'!$C$5:$C$104,B1017)&gt;0,"Check","OK"))</f>
        <v>0</v>
      </c>
      <c r="AD1017" s="25"/>
    </row>
    <row r="1018" spans="1:30">
      <c r="A1018" s="7"/>
      <c r="B1018" s="7"/>
      <c r="C1018" s="26"/>
      <c r="D1018" s="27"/>
      <c r="E1018" s="8">
        <f>IF(B1018="","",IFERROR(INDEX(Ingredients!$B$5:$B$304,MATCH(B1018,Ingredients!$A$5:$A$304,0)),""))</f>
        <v>0</v>
      </c>
      <c r="F1018" s="8">
        <f>IF(B1018="","",IFERROR(INDEX(Ingredients!$E$5:$E$304,MATCH(B1018,Ingredients!$A$5:$A$304,0)),""))</f>
        <v>0</v>
      </c>
      <c r="G1018" s="8">
        <f>IF(B1018="","",IFERROR(INDEX(Ingredients!$D$5:$D$304,MATCH(B1018,Ingredients!$A$5:$A$304,0)),""))</f>
        <v>0</v>
      </c>
      <c r="H1018" s="8">
        <f>IF(OR(B1018="",C1018=""),"",IFERROR(C1018*G1018,""))</f>
        <v>0</v>
      </c>
      <c r="I1018" s="8">
        <f>IF(A1018="","",IFERROR(INDEX(Recipes!$D$5:$D$204,MATCH(A1018,Recipes!$A$5:$A$204,0)),""))</f>
        <v>0</v>
      </c>
      <c r="J1018" s="8">
        <f>IF(OR(H1018="",I1018="",I1018=0),"",IFERROR(H1018/I1018,""))</f>
        <v>0</v>
      </c>
      <c r="K1018" s="8">
        <f>IF(OR(B1018="",C1018=""),"",IFERROR(C1018*IFERROR(INDEX(Ingredients!$H$5:$H$304,MATCH(B1018,Ingredients!$A$5:$A$304,0)),""),""))</f>
        <v>0</v>
      </c>
      <c r="L1018" s="8">
        <f>IF(OR(B1018="",C1018=""),"",IFERROR(C1018*IFERROR(INDEX(Ingredients!$I$5:$I$304,MATCH(B1018,Ingredients!$A$5:$A$304,0)),""),""))</f>
        <v>0</v>
      </c>
      <c r="M1018" s="8">
        <f>IF(OR(B1018="",C1018=""),"",IFERROR(C1018*IFERROR(INDEX(Ingredients!$J$5:$J$304,MATCH(B1018,Ingredients!$A$5:$A$304,0)),""),""))</f>
        <v>0</v>
      </c>
      <c r="N1018" s="8">
        <f>IF(OR(B1018="",C1018=""),"",IFERROR(C1018*IFERROR(INDEX(Ingredients!$K$5:$K$304,MATCH(B1018,Ingredients!$A$5:$A$304,0)),""),""))</f>
        <v>0</v>
      </c>
      <c r="O1018" s="8">
        <f>IF(OR(B1018="",C1018=""),"",IFERROR(C1018*IFERROR(INDEX(Ingredients!$L$5:$L$304,MATCH(B1018,Ingredients!$A$5:$A$304,0)),""),""))</f>
        <v>0</v>
      </c>
      <c r="P1018" s="8">
        <f>IF(OR(H1018="",A1018=""),"",IFERROR(H1018/SUMIFS('Recipe Ingredients'!$H$5:$H$1204,'Recipe Ingredients'!$A$5:$A$1204,A1018),""))</f>
        <v>0</v>
      </c>
      <c r="Q1018" s="8">
        <f>IF(H1018="","",COUNTIFS($H$5:$H$1204,"&gt;"&amp;H1018)+1)</f>
        <v>0</v>
      </c>
      <c r="R1018" s="8">
        <f>IF(B1018="","",SUMIFS(Pantry!$C$5:$C$304,Pantry!$A$5:$A$304,B1018))</f>
        <v>0</v>
      </c>
      <c r="S1018" s="8">
        <f>IF(OR(B1018="",C1018=""),"",MAX(0,C1018-R1018))</f>
        <v>0</v>
      </c>
      <c r="T1018" s="26"/>
      <c r="U1018" s="8">
        <f>IF(OR(T1018="",T1018=0,G1018=""),"",T1018*G1018)</f>
        <v>0</v>
      </c>
      <c r="V1018" s="8">
        <f>IF(OR(S1018="",T1018="",T1018=0),"",CEILING(S1018/T1018,1))</f>
        <v>0</v>
      </c>
      <c r="W1018" s="27"/>
      <c r="X1018" s="29"/>
      <c r="Y1018" s="8">
        <f>IF(OR(C1018="",X1018=""),"",C1018*(1+X1018))</f>
        <v>0</v>
      </c>
      <c r="Z1018" s="8">
        <f>IF(B1018="","",IFERROR(INDEX(Ingredients!$O$5:$O$304,MATCH(B1018,Ingredients!$A$5:$A$304,0)),""))</f>
        <v>0</v>
      </c>
      <c r="AA1018" s="8">
        <f>IF(B1018="","",IF(R1018&gt;=C1018,"In pantry","To buy"))</f>
        <v>0</v>
      </c>
      <c r="AB1018" s="8">
        <f>IF(A1018="","",COUNTIFS($A$5:A1018,A1018))</f>
        <v>0</v>
      </c>
      <c r="AC1018" s="8">
        <f>IF(B1018="","",IF(COUNTIFS('Dietary Filters'!$C$5:$C$104,B1018)&gt;0,"Check","OK"))</f>
        <v>0</v>
      </c>
      <c r="AD1018" s="25"/>
    </row>
    <row r="1019" spans="1:30">
      <c r="A1019" s="7"/>
      <c r="B1019" s="7"/>
      <c r="C1019" s="26"/>
      <c r="D1019" s="27"/>
      <c r="E1019" s="8">
        <f>IF(B1019="","",IFERROR(INDEX(Ingredients!$B$5:$B$304,MATCH(B1019,Ingredients!$A$5:$A$304,0)),""))</f>
        <v>0</v>
      </c>
      <c r="F1019" s="8">
        <f>IF(B1019="","",IFERROR(INDEX(Ingredients!$E$5:$E$304,MATCH(B1019,Ingredients!$A$5:$A$304,0)),""))</f>
        <v>0</v>
      </c>
      <c r="G1019" s="8">
        <f>IF(B1019="","",IFERROR(INDEX(Ingredients!$D$5:$D$304,MATCH(B1019,Ingredients!$A$5:$A$304,0)),""))</f>
        <v>0</v>
      </c>
      <c r="H1019" s="8">
        <f>IF(OR(B1019="",C1019=""),"",IFERROR(C1019*G1019,""))</f>
        <v>0</v>
      </c>
      <c r="I1019" s="8">
        <f>IF(A1019="","",IFERROR(INDEX(Recipes!$D$5:$D$204,MATCH(A1019,Recipes!$A$5:$A$204,0)),""))</f>
        <v>0</v>
      </c>
      <c r="J1019" s="8">
        <f>IF(OR(H1019="",I1019="",I1019=0),"",IFERROR(H1019/I1019,""))</f>
        <v>0</v>
      </c>
      <c r="K1019" s="8">
        <f>IF(OR(B1019="",C1019=""),"",IFERROR(C1019*IFERROR(INDEX(Ingredients!$H$5:$H$304,MATCH(B1019,Ingredients!$A$5:$A$304,0)),""),""))</f>
        <v>0</v>
      </c>
      <c r="L1019" s="8">
        <f>IF(OR(B1019="",C1019=""),"",IFERROR(C1019*IFERROR(INDEX(Ingredients!$I$5:$I$304,MATCH(B1019,Ingredients!$A$5:$A$304,0)),""),""))</f>
        <v>0</v>
      </c>
      <c r="M1019" s="8">
        <f>IF(OR(B1019="",C1019=""),"",IFERROR(C1019*IFERROR(INDEX(Ingredients!$J$5:$J$304,MATCH(B1019,Ingredients!$A$5:$A$304,0)),""),""))</f>
        <v>0</v>
      </c>
      <c r="N1019" s="8">
        <f>IF(OR(B1019="",C1019=""),"",IFERROR(C1019*IFERROR(INDEX(Ingredients!$K$5:$K$304,MATCH(B1019,Ingredients!$A$5:$A$304,0)),""),""))</f>
        <v>0</v>
      </c>
      <c r="O1019" s="8">
        <f>IF(OR(B1019="",C1019=""),"",IFERROR(C1019*IFERROR(INDEX(Ingredients!$L$5:$L$304,MATCH(B1019,Ingredients!$A$5:$A$304,0)),""),""))</f>
        <v>0</v>
      </c>
      <c r="P1019" s="8">
        <f>IF(OR(H1019="",A1019=""),"",IFERROR(H1019/SUMIFS('Recipe Ingredients'!$H$5:$H$1204,'Recipe Ingredients'!$A$5:$A$1204,A1019),""))</f>
        <v>0</v>
      </c>
      <c r="Q1019" s="8">
        <f>IF(H1019="","",COUNTIFS($H$5:$H$1204,"&gt;"&amp;H1019)+1)</f>
        <v>0</v>
      </c>
      <c r="R1019" s="8">
        <f>IF(B1019="","",SUMIFS(Pantry!$C$5:$C$304,Pantry!$A$5:$A$304,B1019))</f>
        <v>0</v>
      </c>
      <c r="S1019" s="8">
        <f>IF(OR(B1019="",C1019=""),"",MAX(0,C1019-R1019))</f>
        <v>0</v>
      </c>
      <c r="T1019" s="26"/>
      <c r="U1019" s="8">
        <f>IF(OR(T1019="",T1019=0,G1019=""),"",T1019*G1019)</f>
        <v>0</v>
      </c>
      <c r="V1019" s="8">
        <f>IF(OR(S1019="",T1019="",T1019=0),"",CEILING(S1019/T1019,1))</f>
        <v>0</v>
      </c>
      <c r="W1019" s="27"/>
      <c r="X1019" s="29"/>
      <c r="Y1019" s="8">
        <f>IF(OR(C1019="",X1019=""),"",C1019*(1+X1019))</f>
        <v>0</v>
      </c>
      <c r="Z1019" s="8">
        <f>IF(B1019="","",IFERROR(INDEX(Ingredients!$O$5:$O$304,MATCH(B1019,Ingredients!$A$5:$A$304,0)),""))</f>
        <v>0</v>
      </c>
      <c r="AA1019" s="8">
        <f>IF(B1019="","",IF(R1019&gt;=C1019,"In pantry","To buy"))</f>
        <v>0</v>
      </c>
      <c r="AB1019" s="8">
        <f>IF(A1019="","",COUNTIFS($A$5:A1019,A1019))</f>
        <v>0</v>
      </c>
      <c r="AC1019" s="8">
        <f>IF(B1019="","",IF(COUNTIFS('Dietary Filters'!$C$5:$C$104,B1019)&gt;0,"Check","OK"))</f>
        <v>0</v>
      </c>
      <c r="AD1019" s="25"/>
    </row>
    <row r="1020" spans="1:30">
      <c r="A1020" s="7"/>
      <c r="B1020" s="7"/>
      <c r="C1020" s="26"/>
      <c r="D1020" s="27"/>
      <c r="E1020" s="8">
        <f>IF(B1020="","",IFERROR(INDEX(Ingredients!$B$5:$B$304,MATCH(B1020,Ingredients!$A$5:$A$304,0)),""))</f>
        <v>0</v>
      </c>
      <c r="F1020" s="8">
        <f>IF(B1020="","",IFERROR(INDEX(Ingredients!$E$5:$E$304,MATCH(B1020,Ingredients!$A$5:$A$304,0)),""))</f>
        <v>0</v>
      </c>
      <c r="G1020" s="8">
        <f>IF(B1020="","",IFERROR(INDEX(Ingredients!$D$5:$D$304,MATCH(B1020,Ingredients!$A$5:$A$304,0)),""))</f>
        <v>0</v>
      </c>
      <c r="H1020" s="8">
        <f>IF(OR(B1020="",C1020=""),"",IFERROR(C1020*G1020,""))</f>
        <v>0</v>
      </c>
      <c r="I1020" s="8">
        <f>IF(A1020="","",IFERROR(INDEX(Recipes!$D$5:$D$204,MATCH(A1020,Recipes!$A$5:$A$204,0)),""))</f>
        <v>0</v>
      </c>
      <c r="J1020" s="8">
        <f>IF(OR(H1020="",I1020="",I1020=0),"",IFERROR(H1020/I1020,""))</f>
        <v>0</v>
      </c>
      <c r="K1020" s="8">
        <f>IF(OR(B1020="",C1020=""),"",IFERROR(C1020*IFERROR(INDEX(Ingredients!$H$5:$H$304,MATCH(B1020,Ingredients!$A$5:$A$304,0)),""),""))</f>
        <v>0</v>
      </c>
      <c r="L1020" s="8">
        <f>IF(OR(B1020="",C1020=""),"",IFERROR(C1020*IFERROR(INDEX(Ingredients!$I$5:$I$304,MATCH(B1020,Ingredients!$A$5:$A$304,0)),""),""))</f>
        <v>0</v>
      </c>
      <c r="M1020" s="8">
        <f>IF(OR(B1020="",C1020=""),"",IFERROR(C1020*IFERROR(INDEX(Ingredients!$J$5:$J$304,MATCH(B1020,Ingredients!$A$5:$A$304,0)),""),""))</f>
        <v>0</v>
      </c>
      <c r="N1020" s="8">
        <f>IF(OR(B1020="",C1020=""),"",IFERROR(C1020*IFERROR(INDEX(Ingredients!$K$5:$K$304,MATCH(B1020,Ingredients!$A$5:$A$304,0)),""),""))</f>
        <v>0</v>
      </c>
      <c r="O1020" s="8">
        <f>IF(OR(B1020="",C1020=""),"",IFERROR(C1020*IFERROR(INDEX(Ingredients!$L$5:$L$304,MATCH(B1020,Ingredients!$A$5:$A$304,0)),""),""))</f>
        <v>0</v>
      </c>
      <c r="P1020" s="8">
        <f>IF(OR(H1020="",A1020=""),"",IFERROR(H1020/SUMIFS('Recipe Ingredients'!$H$5:$H$1204,'Recipe Ingredients'!$A$5:$A$1204,A1020),""))</f>
        <v>0</v>
      </c>
      <c r="Q1020" s="8">
        <f>IF(H1020="","",COUNTIFS($H$5:$H$1204,"&gt;"&amp;H1020)+1)</f>
        <v>0</v>
      </c>
      <c r="R1020" s="8">
        <f>IF(B1020="","",SUMIFS(Pantry!$C$5:$C$304,Pantry!$A$5:$A$304,B1020))</f>
        <v>0</v>
      </c>
      <c r="S1020" s="8">
        <f>IF(OR(B1020="",C1020=""),"",MAX(0,C1020-R1020))</f>
        <v>0</v>
      </c>
      <c r="T1020" s="26"/>
      <c r="U1020" s="8">
        <f>IF(OR(T1020="",T1020=0,G1020=""),"",T1020*G1020)</f>
        <v>0</v>
      </c>
      <c r="V1020" s="8">
        <f>IF(OR(S1020="",T1020="",T1020=0),"",CEILING(S1020/T1020,1))</f>
        <v>0</v>
      </c>
      <c r="W1020" s="27"/>
      <c r="X1020" s="29"/>
      <c r="Y1020" s="8">
        <f>IF(OR(C1020="",X1020=""),"",C1020*(1+X1020))</f>
        <v>0</v>
      </c>
      <c r="Z1020" s="8">
        <f>IF(B1020="","",IFERROR(INDEX(Ingredients!$O$5:$O$304,MATCH(B1020,Ingredients!$A$5:$A$304,0)),""))</f>
        <v>0</v>
      </c>
      <c r="AA1020" s="8">
        <f>IF(B1020="","",IF(R1020&gt;=C1020,"In pantry","To buy"))</f>
        <v>0</v>
      </c>
      <c r="AB1020" s="8">
        <f>IF(A1020="","",COUNTIFS($A$5:A1020,A1020))</f>
        <v>0</v>
      </c>
      <c r="AC1020" s="8">
        <f>IF(B1020="","",IF(COUNTIFS('Dietary Filters'!$C$5:$C$104,B1020)&gt;0,"Check","OK"))</f>
        <v>0</v>
      </c>
      <c r="AD1020" s="25"/>
    </row>
    <row r="1021" spans="1:30">
      <c r="A1021" s="7"/>
      <c r="B1021" s="7"/>
      <c r="C1021" s="26"/>
      <c r="D1021" s="27"/>
      <c r="E1021" s="8">
        <f>IF(B1021="","",IFERROR(INDEX(Ingredients!$B$5:$B$304,MATCH(B1021,Ingredients!$A$5:$A$304,0)),""))</f>
        <v>0</v>
      </c>
      <c r="F1021" s="8">
        <f>IF(B1021="","",IFERROR(INDEX(Ingredients!$E$5:$E$304,MATCH(B1021,Ingredients!$A$5:$A$304,0)),""))</f>
        <v>0</v>
      </c>
      <c r="G1021" s="8">
        <f>IF(B1021="","",IFERROR(INDEX(Ingredients!$D$5:$D$304,MATCH(B1021,Ingredients!$A$5:$A$304,0)),""))</f>
        <v>0</v>
      </c>
      <c r="H1021" s="8">
        <f>IF(OR(B1021="",C1021=""),"",IFERROR(C1021*G1021,""))</f>
        <v>0</v>
      </c>
      <c r="I1021" s="8">
        <f>IF(A1021="","",IFERROR(INDEX(Recipes!$D$5:$D$204,MATCH(A1021,Recipes!$A$5:$A$204,0)),""))</f>
        <v>0</v>
      </c>
      <c r="J1021" s="8">
        <f>IF(OR(H1021="",I1021="",I1021=0),"",IFERROR(H1021/I1021,""))</f>
        <v>0</v>
      </c>
      <c r="K1021" s="8">
        <f>IF(OR(B1021="",C1021=""),"",IFERROR(C1021*IFERROR(INDEX(Ingredients!$H$5:$H$304,MATCH(B1021,Ingredients!$A$5:$A$304,0)),""),""))</f>
        <v>0</v>
      </c>
      <c r="L1021" s="8">
        <f>IF(OR(B1021="",C1021=""),"",IFERROR(C1021*IFERROR(INDEX(Ingredients!$I$5:$I$304,MATCH(B1021,Ingredients!$A$5:$A$304,0)),""),""))</f>
        <v>0</v>
      </c>
      <c r="M1021" s="8">
        <f>IF(OR(B1021="",C1021=""),"",IFERROR(C1021*IFERROR(INDEX(Ingredients!$J$5:$J$304,MATCH(B1021,Ingredients!$A$5:$A$304,0)),""),""))</f>
        <v>0</v>
      </c>
      <c r="N1021" s="8">
        <f>IF(OR(B1021="",C1021=""),"",IFERROR(C1021*IFERROR(INDEX(Ingredients!$K$5:$K$304,MATCH(B1021,Ingredients!$A$5:$A$304,0)),""),""))</f>
        <v>0</v>
      </c>
      <c r="O1021" s="8">
        <f>IF(OR(B1021="",C1021=""),"",IFERROR(C1021*IFERROR(INDEX(Ingredients!$L$5:$L$304,MATCH(B1021,Ingredients!$A$5:$A$304,0)),""),""))</f>
        <v>0</v>
      </c>
      <c r="P1021" s="8">
        <f>IF(OR(H1021="",A1021=""),"",IFERROR(H1021/SUMIFS('Recipe Ingredients'!$H$5:$H$1204,'Recipe Ingredients'!$A$5:$A$1204,A1021),""))</f>
        <v>0</v>
      </c>
      <c r="Q1021" s="8">
        <f>IF(H1021="","",COUNTIFS($H$5:$H$1204,"&gt;"&amp;H1021)+1)</f>
        <v>0</v>
      </c>
      <c r="R1021" s="8">
        <f>IF(B1021="","",SUMIFS(Pantry!$C$5:$C$304,Pantry!$A$5:$A$304,B1021))</f>
        <v>0</v>
      </c>
      <c r="S1021" s="8">
        <f>IF(OR(B1021="",C1021=""),"",MAX(0,C1021-R1021))</f>
        <v>0</v>
      </c>
      <c r="T1021" s="26"/>
      <c r="U1021" s="8">
        <f>IF(OR(T1021="",T1021=0,G1021=""),"",T1021*G1021)</f>
        <v>0</v>
      </c>
      <c r="V1021" s="8">
        <f>IF(OR(S1021="",T1021="",T1021=0),"",CEILING(S1021/T1021,1))</f>
        <v>0</v>
      </c>
      <c r="W1021" s="27"/>
      <c r="X1021" s="29"/>
      <c r="Y1021" s="8">
        <f>IF(OR(C1021="",X1021=""),"",C1021*(1+X1021))</f>
        <v>0</v>
      </c>
      <c r="Z1021" s="8">
        <f>IF(B1021="","",IFERROR(INDEX(Ingredients!$O$5:$O$304,MATCH(B1021,Ingredients!$A$5:$A$304,0)),""))</f>
        <v>0</v>
      </c>
      <c r="AA1021" s="8">
        <f>IF(B1021="","",IF(R1021&gt;=C1021,"In pantry","To buy"))</f>
        <v>0</v>
      </c>
      <c r="AB1021" s="8">
        <f>IF(A1021="","",COUNTIFS($A$5:A1021,A1021))</f>
        <v>0</v>
      </c>
      <c r="AC1021" s="8">
        <f>IF(B1021="","",IF(COUNTIFS('Dietary Filters'!$C$5:$C$104,B1021)&gt;0,"Check","OK"))</f>
        <v>0</v>
      </c>
      <c r="AD1021" s="25"/>
    </row>
    <row r="1022" spans="1:30">
      <c r="A1022" s="7"/>
      <c r="B1022" s="7"/>
      <c r="C1022" s="26"/>
      <c r="D1022" s="27"/>
      <c r="E1022" s="8">
        <f>IF(B1022="","",IFERROR(INDEX(Ingredients!$B$5:$B$304,MATCH(B1022,Ingredients!$A$5:$A$304,0)),""))</f>
        <v>0</v>
      </c>
      <c r="F1022" s="8">
        <f>IF(B1022="","",IFERROR(INDEX(Ingredients!$E$5:$E$304,MATCH(B1022,Ingredients!$A$5:$A$304,0)),""))</f>
        <v>0</v>
      </c>
      <c r="G1022" s="8">
        <f>IF(B1022="","",IFERROR(INDEX(Ingredients!$D$5:$D$304,MATCH(B1022,Ingredients!$A$5:$A$304,0)),""))</f>
        <v>0</v>
      </c>
      <c r="H1022" s="8">
        <f>IF(OR(B1022="",C1022=""),"",IFERROR(C1022*G1022,""))</f>
        <v>0</v>
      </c>
      <c r="I1022" s="8">
        <f>IF(A1022="","",IFERROR(INDEX(Recipes!$D$5:$D$204,MATCH(A1022,Recipes!$A$5:$A$204,0)),""))</f>
        <v>0</v>
      </c>
      <c r="J1022" s="8">
        <f>IF(OR(H1022="",I1022="",I1022=0),"",IFERROR(H1022/I1022,""))</f>
        <v>0</v>
      </c>
      <c r="K1022" s="8">
        <f>IF(OR(B1022="",C1022=""),"",IFERROR(C1022*IFERROR(INDEX(Ingredients!$H$5:$H$304,MATCH(B1022,Ingredients!$A$5:$A$304,0)),""),""))</f>
        <v>0</v>
      </c>
      <c r="L1022" s="8">
        <f>IF(OR(B1022="",C1022=""),"",IFERROR(C1022*IFERROR(INDEX(Ingredients!$I$5:$I$304,MATCH(B1022,Ingredients!$A$5:$A$304,0)),""),""))</f>
        <v>0</v>
      </c>
      <c r="M1022" s="8">
        <f>IF(OR(B1022="",C1022=""),"",IFERROR(C1022*IFERROR(INDEX(Ingredients!$J$5:$J$304,MATCH(B1022,Ingredients!$A$5:$A$304,0)),""),""))</f>
        <v>0</v>
      </c>
      <c r="N1022" s="8">
        <f>IF(OR(B1022="",C1022=""),"",IFERROR(C1022*IFERROR(INDEX(Ingredients!$K$5:$K$304,MATCH(B1022,Ingredients!$A$5:$A$304,0)),""),""))</f>
        <v>0</v>
      </c>
      <c r="O1022" s="8">
        <f>IF(OR(B1022="",C1022=""),"",IFERROR(C1022*IFERROR(INDEX(Ingredients!$L$5:$L$304,MATCH(B1022,Ingredients!$A$5:$A$304,0)),""),""))</f>
        <v>0</v>
      </c>
      <c r="P1022" s="8">
        <f>IF(OR(H1022="",A1022=""),"",IFERROR(H1022/SUMIFS('Recipe Ingredients'!$H$5:$H$1204,'Recipe Ingredients'!$A$5:$A$1204,A1022),""))</f>
        <v>0</v>
      </c>
      <c r="Q1022" s="8">
        <f>IF(H1022="","",COUNTIFS($H$5:$H$1204,"&gt;"&amp;H1022)+1)</f>
        <v>0</v>
      </c>
      <c r="R1022" s="8">
        <f>IF(B1022="","",SUMIFS(Pantry!$C$5:$C$304,Pantry!$A$5:$A$304,B1022))</f>
        <v>0</v>
      </c>
      <c r="S1022" s="8">
        <f>IF(OR(B1022="",C1022=""),"",MAX(0,C1022-R1022))</f>
        <v>0</v>
      </c>
      <c r="T1022" s="26"/>
      <c r="U1022" s="8">
        <f>IF(OR(T1022="",T1022=0,G1022=""),"",T1022*G1022)</f>
        <v>0</v>
      </c>
      <c r="V1022" s="8">
        <f>IF(OR(S1022="",T1022="",T1022=0),"",CEILING(S1022/T1022,1))</f>
        <v>0</v>
      </c>
      <c r="W1022" s="27"/>
      <c r="X1022" s="29"/>
      <c r="Y1022" s="8">
        <f>IF(OR(C1022="",X1022=""),"",C1022*(1+X1022))</f>
        <v>0</v>
      </c>
      <c r="Z1022" s="8">
        <f>IF(B1022="","",IFERROR(INDEX(Ingredients!$O$5:$O$304,MATCH(B1022,Ingredients!$A$5:$A$304,0)),""))</f>
        <v>0</v>
      </c>
      <c r="AA1022" s="8">
        <f>IF(B1022="","",IF(R1022&gt;=C1022,"In pantry","To buy"))</f>
        <v>0</v>
      </c>
      <c r="AB1022" s="8">
        <f>IF(A1022="","",COUNTIFS($A$5:A1022,A1022))</f>
        <v>0</v>
      </c>
      <c r="AC1022" s="8">
        <f>IF(B1022="","",IF(COUNTIFS('Dietary Filters'!$C$5:$C$104,B1022)&gt;0,"Check","OK"))</f>
        <v>0</v>
      </c>
      <c r="AD1022" s="25"/>
    </row>
    <row r="1023" spans="1:30">
      <c r="A1023" s="7"/>
      <c r="B1023" s="7"/>
      <c r="C1023" s="26"/>
      <c r="D1023" s="27"/>
      <c r="E1023" s="8">
        <f>IF(B1023="","",IFERROR(INDEX(Ingredients!$B$5:$B$304,MATCH(B1023,Ingredients!$A$5:$A$304,0)),""))</f>
        <v>0</v>
      </c>
      <c r="F1023" s="8">
        <f>IF(B1023="","",IFERROR(INDEX(Ingredients!$E$5:$E$304,MATCH(B1023,Ingredients!$A$5:$A$304,0)),""))</f>
        <v>0</v>
      </c>
      <c r="G1023" s="8">
        <f>IF(B1023="","",IFERROR(INDEX(Ingredients!$D$5:$D$304,MATCH(B1023,Ingredients!$A$5:$A$304,0)),""))</f>
        <v>0</v>
      </c>
      <c r="H1023" s="8">
        <f>IF(OR(B1023="",C1023=""),"",IFERROR(C1023*G1023,""))</f>
        <v>0</v>
      </c>
      <c r="I1023" s="8">
        <f>IF(A1023="","",IFERROR(INDEX(Recipes!$D$5:$D$204,MATCH(A1023,Recipes!$A$5:$A$204,0)),""))</f>
        <v>0</v>
      </c>
      <c r="J1023" s="8">
        <f>IF(OR(H1023="",I1023="",I1023=0),"",IFERROR(H1023/I1023,""))</f>
        <v>0</v>
      </c>
      <c r="K1023" s="8">
        <f>IF(OR(B1023="",C1023=""),"",IFERROR(C1023*IFERROR(INDEX(Ingredients!$H$5:$H$304,MATCH(B1023,Ingredients!$A$5:$A$304,0)),""),""))</f>
        <v>0</v>
      </c>
      <c r="L1023" s="8">
        <f>IF(OR(B1023="",C1023=""),"",IFERROR(C1023*IFERROR(INDEX(Ingredients!$I$5:$I$304,MATCH(B1023,Ingredients!$A$5:$A$304,0)),""),""))</f>
        <v>0</v>
      </c>
      <c r="M1023" s="8">
        <f>IF(OR(B1023="",C1023=""),"",IFERROR(C1023*IFERROR(INDEX(Ingredients!$J$5:$J$304,MATCH(B1023,Ingredients!$A$5:$A$304,0)),""),""))</f>
        <v>0</v>
      </c>
      <c r="N1023" s="8">
        <f>IF(OR(B1023="",C1023=""),"",IFERROR(C1023*IFERROR(INDEX(Ingredients!$K$5:$K$304,MATCH(B1023,Ingredients!$A$5:$A$304,0)),""),""))</f>
        <v>0</v>
      </c>
      <c r="O1023" s="8">
        <f>IF(OR(B1023="",C1023=""),"",IFERROR(C1023*IFERROR(INDEX(Ingredients!$L$5:$L$304,MATCH(B1023,Ingredients!$A$5:$A$304,0)),""),""))</f>
        <v>0</v>
      </c>
      <c r="P1023" s="8">
        <f>IF(OR(H1023="",A1023=""),"",IFERROR(H1023/SUMIFS('Recipe Ingredients'!$H$5:$H$1204,'Recipe Ingredients'!$A$5:$A$1204,A1023),""))</f>
        <v>0</v>
      </c>
      <c r="Q1023" s="8">
        <f>IF(H1023="","",COUNTIFS($H$5:$H$1204,"&gt;"&amp;H1023)+1)</f>
        <v>0</v>
      </c>
      <c r="R1023" s="8">
        <f>IF(B1023="","",SUMIFS(Pantry!$C$5:$C$304,Pantry!$A$5:$A$304,B1023))</f>
        <v>0</v>
      </c>
      <c r="S1023" s="8">
        <f>IF(OR(B1023="",C1023=""),"",MAX(0,C1023-R1023))</f>
        <v>0</v>
      </c>
      <c r="T1023" s="26"/>
      <c r="U1023" s="8">
        <f>IF(OR(T1023="",T1023=0,G1023=""),"",T1023*G1023)</f>
        <v>0</v>
      </c>
      <c r="V1023" s="8">
        <f>IF(OR(S1023="",T1023="",T1023=0),"",CEILING(S1023/T1023,1))</f>
        <v>0</v>
      </c>
      <c r="W1023" s="27"/>
      <c r="X1023" s="29"/>
      <c r="Y1023" s="8">
        <f>IF(OR(C1023="",X1023=""),"",C1023*(1+X1023))</f>
        <v>0</v>
      </c>
      <c r="Z1023" s="8">
        <f>IF(B1023="","",IFERROR(INDEX(Ingredients!$O$5:$O$304,MATCH(B1023,Ingredients!$A$5:$A$304,0)),""))</f>
        <v>0</v>
      </c>
      <c r="AA1023" s="8">
        <f>IF(B1023="","",IF(R1023&gt;=C1023,"In pantry","To buy"))</f>
        <v>0</v>
      </c>
      <c r="AB1023" s="8">
        <f>IF(A1023="","",COUNTIFS($A$5:A1023,A1023))</f>
        <v>0</v>
      </c>
      <c r="AC1023" s="8">
        <f>IF(B1023="","",IF(COUNTIFS('Dietary Filters'!$C$5:$C$104,B1023)&gt;0,"Check","OK"))</f>
        <v>0</v>
      </c>
      <c r="AD1023" s="25"/>
    </row>
    <row r="1024" spans="1:30">
      <c r="A1024" s="7"/>
      <c r="B1024" s="7"/>
      <c r="C1024" s="26"/>
      <c r="D1024" s="27"/>
      <c r="E1024" s="8">
        <f>IF(B1024="","",IFERROR(INDEX(Ingredients!$B$5:$B$304,MATCH(B1024,Ingredients!$A$5:$A$304,0)),""))</f>
        <v>0</v>
      </c>
      <c r="F1024" s="8">
        <f>IF(B1024="","",IFERROR(INDEX(Ingredients!$E$5:$E$304,MATCH(B1024,Ingredients!$A$5:$A$304,0)),""))</f>
        <v>0</v>
      </c>
      <c r="G1024" s="8">
        <f>IF(B1024="","",IFERROR(INDEX(Ingredients!$D$5:$D$304,MATCH(B1024,Ingredients!$A$5:$A$304,0)),""))</f>
        <v>0</v>
      </c>
      <c r="H1024" s="8">
        <f>IF(OR(B1024="",C1024=""),"",IFERROR(C1024*G1024,""))</f>
        <v>0</v>
      </c>
      <c r="I1024" s="8">
        <f>IF(A1024="","",IFERROR(INDEX(Recipes!$D$5:$D$204,MATCH(A1024,Recipes!$A$5:$A$204,0)),""))</f>
        <v>0</v>
      </c>
      <c r="J1024" s="8">
        <f>IF(OR(H1024="",I1024="",I1024=0),"",IFERROR(H1024/I1024,""))</f>
        <v>0</v>
      </c>
      <c r="K1024" s="8">
        <f>IF(OR(B1024="",C1024=""),"",IFERROR(C1024*IFERROR(INDEX(Ingredients!$H$5:$H$304,MATCH(B1024,Ingredients!$A$5:$A$304,0)),""),""))</f>
        <v>0</v>
      </c>
      <c r="L1024" s="8">
        <f>IF(OR(B1024="",C1024=""),"",IFERROR(C1024*IFERROR(INDEX(Ingredients!$I$5:$I$304,MATCH(B1024,Ingredients!$A$5:$A$304,0)),""),""))</f>
        <v>0</v>
      </c>
      <c r="M1024" s="8">
        <f>IF(OR(B1024="",C1024=""),"",IFERROR(C1024*IFERROR(INDEX(Ingredients!$J$5:$J$304,MATCH(B1024,Ingredients!$A$5:$A$304,0)),""),""))</f>
        <v>0</v>
      </c>
      <c r="N1024" s="8">
        <f>IF(OR(B1024="",C1024=""),"",IFERROR(C1024*IFERROR(INDEX(Ingredients!$K$5:$K$304,MATCH(B1024,Ingredients!$A$5:$A$304,0)),""),""))</f>
        <v>0</v>
      </c>
      <c r="O1024" s="8">
        <f>IF(OR(B1024="",C1024=""),"",IFERROR(C1024*IFERROR(INDEX(Ingredients!$L$5:$L$304,MATCH(B1024,Ingredients!$A$5:$A$304,0)),""),""))</f>
        <v>0</v>
      </c>
      <c r="P1024" s="8">
        <f>IF(OR(H1024="",A1024=""),"",IFERROR(H1024/SUMIFS('Recipe Ingredients'!$H$5:$H$1204,'Recipe Ingredients'!$A$5:$A$1204,A1024),""))</f>
        <v>0</v>
      </c>
      <c r="Q1024" s="8">
        <f>IF(H1024="","",COUNTIFS($H$5:$H$1204,"&gt;"&amp;H1024)+1)</f>
        <v>0</v>
      </c>
      <c r="R1024" s="8">
        <f>IF(B1024="","",SUMIFS(Pantry!$C$5:$C$304,Pantry!$A$5:$A$304,B1024))</f>
        <v>0</v>
      </c>
      <c r="S1024" s="8">
        <f>IF(OR(B1024="",C1024=""),"",MAX(0,C1024-R1024))</f>
        <v>0</v>
      </c>
      <c r="T1024" s="26"/>
      <c r="U1024" s="8">
        <f>IF(OR(T1024="",T1024=0,G1024=""),"",T1024*G1024)</f>
        <v>0</v>
      </c>
      <c r="V1024" s="8">
        <f>IF(OR(S1024="",T1024="",T1024=0),"",CEILING(S1024/T1024,1))</f>
        <v>0</v>
      </c>
      <c r="W1024" s="27"/>
      <c r="X1024" s="29"/>
      <c r="Y1024" s="8">
        <f>IF(OR(C1024="",X1024=""),"",C1024*(1+X1024))</f>
        <v>0</v>
      </c>
      <c r="Z1024" s="8">
        <f>IF(B1024="","",IFERROR(INDEX(Ingredients!$O$5:$O$304,MATCH(B1024,Ingredients!$A$5:$A$304,0)),""))</f>
        <v>0</v>
      </c>
      <c r="AA1024" s="8">
        <f>IF(B1024="","",IF(R1024&gt;=C1024,"In pantry","To buy"))</f>
        <v>0</v>
      </c>
      <c r="AB1024" s="8">
        <f>IF(A1024="","",COUNTIFS($A$5:A1024,A1024))</f>
        <v>0</v>
      </c>
      <c r="AC1024" s="8">
        <f>IF(B1024="","",IF(COUNTIFS('Dietary Filters'!$C$5:$C$104,B1024)&gt;0,"Check","OK"))</f>
        <v>0</v>
      </c>
      <c r="AD1024" s="25"/>
    </row>
    <row r="1025" spans="1:30">
      <c r="A1025" s="7"/>
      <c r="B1025" s="7"/>
      <c r="C1025" s="26"/>
      <c r="D1025" s="27"/>
      <c r="E1025" s="8">
        <f>IF(B1025="","",IFERROR(INDEX(Ingredients!$B$5:$B$304,MATCH(B1025,Ingredients!$A$5:$A$304,0)),""))</f>
        <v>0</v>
      </c>
      <c r="F1025" s="8">
        <f>IF(B1025="","",IFERROR(INDEX(Ingredients!$E$5:$E$304,MATCH(B1025,Ingredients!$A$5:$A$304,0)),""))</f>
        <v>0</v>
      </c>
      <c r="G1025" s="8">
        <f>IF(B1025="","",IFERROR(INDEX(Ingredients!$D$5:$D$304,MATCH(B1025,Ingredients!$A$5:$A$304,0)),""))</f>
        <v>0</v>
      </c>
      <c r="H1025" s="8">
        <f>IF(OR(B1025="",C1025=""),"",IFERROR(C1025*G1025,""))</f>
        <v>0</v>
      </c>
      <c r="I1025" s="8">
        <f>IF(A1025="","",IFERROR(INDEX(Recipes!$D$5:$D$204,MATCH(A1025,Recipes!$A$5:$A$204,0)),""))</f>
        <v>0</v>
      </c>
      <c r="J1025" s="8">
        <f>IF(OR(H1025="",I1025="",I1025=0),"",IFERROR(H1025/I1025,""))</f>
        <v>0</v>
      </c>
      <c r="K1025" s="8">
        <f>IF(OR(B1025="",C1025=""),"",IFERROR(C1025*IFERROR(INDEX(Ingredients!$H$5:$H$304,MATCH(B1025,Ingredients!$A$5:$A$304,0)),""),""))</f>
        <v>0</v>
      </c>
      <c r="L1025" s="8">
        <f>IF(OR(B1025="",C1025=""),"",IFERROR(C1025*IFERROR(INDEX(Ingredients!$I$5:$I$304,MATCH(B1025,Ingredients!$A$5:$A$304,0)),""),""))</f>
        <v>0</v>
      </c>
      <c r="M1025" s="8">
        <f>IF(OR(B1025="",C1025=""),"",IFERROR(C1025*IFERROR(INDEX(Ingredients!$J$5:$J$304,MATCH(B1025,Ingredients!$A$5:$A$304,0)),""),""))</f>
        <v>0</v>
      </c>
      <c r="N1025" s="8">
        <f>IF(OR(B1025="",C1025=""),"",IFERROR(C1025*IFERROR(INDEX(Ingredients!$K$5:$K$304,MATCH(B1025,Ingredients!$A$5:$A$304,0)),""),""))</f>
        <v>0</v>
      </c>
      <c r="O1025" s="8">
        <f>IF(OR(B1025="",C1025=""),"",IFERROR(C1025*IFERROR(INDEX(Ingredients!$L$5:$L$304,MATCH(B1025,Ingredients!$A$5:$A$304,0)),""),""))</f>
        <v>0</v>
      </c>
      <c r="P1025" s="8">
        <f>IF(OR(H1025="",A1025=""),"",IFERROR(H1025/SUMIFS('Recipe Ingredients'!$H$5:$H$1204,'Recipe Ingredients'!$A$5:$A$1204,A1025),""))</f>
        <v>0</v>
      </c>
      <c r="Q1025" s="8">
        <f>IF(H1025="","",COUNTIFS($H$5:$H$1204,"&gt;"&amp;H1025)+1)</f>
        <v>0</v>
      </c>
      <c r="R1025" s="8">
        <f>IF(B1025="","",SUMIFS(Pantry!$C$5:$C$304,Pantry!$A$5:$A$304,B1025))</f>
        <v>0</v>
      </c>
      <c r="S1025" s="8">
        <f>IF(OR(B1025="",C1025=""),"",MAX(0,C1025-R1025))</f>
        <v>0</v>
      </c>
      <c r="T1025" s="26"/>
      <c r="U1025" s="8">
        <f>IF(OR(T1025="",T1025=0,G1025=""),"",T1025*G1025)</f>
        <v>0</v>
      </c>
      <c r="V1025" s="8">
        <f>IF(OR(S1025="",T1025="",T1025=0),"",CEILING(S1025/T1025,1))</f>
        <v>0</v>
      </c>
      <c r="W1025" s="27"/>
      <c r="X1025" s="29"/>
      <c r="Y1025" s="8">
        <f>IF(OR(C1025="",X1025=""),"",C1025*(1+X1025))</f>
        <v>0</v>
      </c>
      <c r="Z1025" s="8">
        <f>IF(B1025="","",IFERROR(INDEX(Ingredients!$O$5:$O$304,MATCH(B1025,Ingredients!$A$5:$A$304,0)),""))</f>
        <v>0</v>
      </c>
      <c r="AA1025" s="8">
        <f>IF(B1025="","",IF(R1025&gt;=C1025,"In pantry","To buy"))</f>
        <v>0</v>
      </c>
      <c r="AB1025" s="8">
        <f>IF(A1025="","",COUNTIFS($A$5:A1025,A1025))</f>
        <v>0</v>
      </c>
      <c r="AC1025" s="8">
        <f>IF(B1025="","",IF(COUNTIFS('Dietary Filters'!$C$5:$C$104,B1025)&gt;0,"Check","OK"))</f>
        <v>0</v>
      </c>
      <c r="AD1025" s="25"/>
    </row>
    <row r="1026" spans="1:30">
      <c r="A1026" s="7"/>
      <c r="B1026" s="7"/>
      <c r="C1026" s="26"/>
      <c r="D1026" s="27"/>
      <c r="E1026" s="8">
        <f>IF(B1026="","",IFERROR(INDEX(Ingredients!$B$5:$B$304,MATCH(B1026,Ingredients!$A$5:$A$304,0)),""))</f>
        <v>0</v>
      </c>
      <c r="F1026" s="8">
        <f>IF(B1026="","",IFERROR(INDEX(Ingredients!$E$5:$E$304,MATCH(B1026,Ingredients!$A$5:$A$304,0)),""))</f>
        <v>0</v>
      </c>
      <c r="G1026" s="8">
        <f>IF(B1026="","",IFERROR(INDEX(Ingredients!$D$5:$D$304,MATCH(B1026,Ingredients!$A$5:$A$304,0)),""))</f>
        <v>0</v>
      </c>
      <c r="H1026" s="8">
        <f>IF(OR(B1026="",C1026=""),"",IFERROR(C1026*G1026,""))</f>
        <v>0</v>
      </c>
      <c r="I1026" s="8">
        <f>IF(A1026="","",IFERROR(INDEX(Recipes!$D$5:$D$204,MATCH(A1026,Recipes!$A$5:$A$204,0)),""))</f>
        <v>0</v>
      </c>
      <c r="J1026" s="8">
        <f>IF(OR(H1026="",I1026="",I1026=0),"",IFERROR(H1026/I1026,""))</f>
        <v>0</v>
      </c>
      <c r="K1026" s="8">
        <f>IF(OR(B1026="",C1026=""),"",IFERROR(C1026*IFERROR(INDEX(Ingredients!$H$5:$H$304,MATCH(B1026,Ingredients!$A$5:$A$304,0)),""),""))</f>
        <v>0</v>
      </c>
      <c r="L1026" s="8">
        <f>IF(OR(B1026="",C1026=""),"",IFERROR(C1026*IFERROR(INDEX(Ingredients!$I$5:$I$304,MATCH(B1026,Ingredients!$A$5:$A$304,0)),""),""))</f>
        <v>0</v>
      </c>
      <c r="M1026" s="8">
        <f>IF(OR(B1026="",C1026=""),"",IFERROR(C1026*IFERROR(INDEX(Ingredients!$J$5:$J$304,MATCH(B1026,Ingredients!$A$5:$A$304,0)),""),""))</f>
        <v>0</v>
      </c>
      <c r="N1026" s="8">
        <f>IF(OR(B1026="",C1026=""),"",IFERROR(C1026*IFERROR(INDEX(Ingredients!$K$5:$K$304,MATCH(B1026,Ingredients!$A$5:$A$304,0)),""),""))</f>
        <v>0</v>
      </c>
      <c r="O1026" s="8">
        <f>IF(OR(B1026="",C1026=""),"",IFERROR(C1026*IFERROR(INDEX(Ingredients!$L$5:$L$304,MATCH(B1026,Ingredients!$A$5:$A$304,0)),""),""))</f>
        <v>0</v>
      </c>
      <c r="P1026" s="8">
        <f>IF(OR(H1026="",A1026=""),"",IFERROR(H1026/SUMIFS('Recipe Ingredients'!$H$5:$H$1204,'Recipe Ingredients'!$A$5:$A$1204,A1026),""))</f>
        <v>0</v>
      </c>
      <c r="Q1026" s="8">
        <f>IF(H1026="","",COUNTIFS($H$5:$H$1204,"&gt;"&amp;H1026)+1)</f>
        <v>0</v>
      </c>
      <c r="R1026" s="8">
        <f>IF(B1026="","",SUMIFS(Pantry!$C$5:$C$304,Pantry!$A$5:$A$304,B1026))</f>
        <v>0</v>
      </c>
      <c r="S1026" s="8">
        <f>IF(OR(B1026="",C1026=""),"",MAX(0,C1026-R1026))</f>
        <v>0</v>
      </c>
      <c r="T1026" s="26"/>
      <c r="U1026" s="8">
        <f>IF(OR(T1026="",T1026=0,G1026=""),"",T1026*G1026)</f>
        <v>0</v>
      </c>
      <c r="V1026" s="8">
        <f>IF(OR(S1026="",T1026="",T1026=0),"",CEILING(S1026/T1026,1))</f>
        <v>0</v>
      </c>
      <c r="W1026" s="27"/>
      <c r="X1026" s="29"/>
      <c r="Y1026" s="8">
        <f>IF(OR(C1026="",X1026=""),"",C1026*(1+X1026))</f>
        <v>0</v>
      </c>
      <c r="Z1026" s="8">
        <f>IF(B1026="","",IFERROR(INDEX(Ingredients!$O$5:$O$304,MATCH(B1026,Ingredients!$A$5:$A$304,0)),""))</f>
        <v>0</v>
      </c>
      <c r="AA1026" s="8">
        <f>IF(B1026="","",IF(R1026&gt;=C1026,"In pantry","To buy"))</f>
        <v>0</v>
      </c>
      <c r="AB1026" s="8">
        <f>IF(A1026="","",COUNTIFS($A$5:A1026,A1026))</f>
        <v>0</v>
      </c>
      <c r="AC1026" s="8">
        <f>IF(B1026="","",IF(COUNTIFS('Dietary Filters'!$C$5:$C$104,B1026)&gt;0,"Check","OK"))</f>
        <v>0</v>
      </c>
      <c r="AD1026" s="25"/>
    </row>
    <row r="1027" spans="1:30">
      <c r="A1027" s="7"/>
      <c r="B1027" s="7"/>
      <c r="C1027" s="26"/>
      <c r="D1027" s="27"/>
      <c r="E1027" s="8">
        <f>IF(B1027="","",IFERROR(INDEX(Ingredients!$B$5:$B$304,MATCH(B1027,Ingredients!$A$5:$A$304,0)),""))</f>
        <v>0</v>
      </c>
      <c r="F1027" s="8">
        <f>IF(B1027="","",IFERROR(INDEX(Ingredients!$E$5:$E$304,MATCH(B1027,Ingredients!$A$5:$A$304,0)),""))</f>
        <v>0</v>
      </c>
      <c r="G1027" s="8">
        <f>IF(B1027="","",IFERROR(INDEX(Ingredients!$D$5:$D$304,MATCH(B1027,Ingredients!$A$5:$A$304,0)),""))</f>
        <v>0</v>
      </c>
      <c r="H1027" s="8">
        <f>IF(OR(B1027="",C1027=""),"",IFERROR(C1027*G1027,""))</f>
        <v>0</v>
      </c>
      <c r="I1027" s="8">
        <f>IF(A1027="","",IFERROR(INDEX(Recipes!$D$5:$D$204,MATCH(A1027,Recipes!$A$5:$A$204,0)),""))</f>
        <v>0</v>
      </c>
      <c r="J1027" s="8">
        <f>IF(OR(H1027="",I1027="",I1027=0),"",IFERROR(H1027/I1027,""))</f>
        <v>0</v>
      </c>
      <c r="K1027" s="8">
        <f>IF(OR(B1027="",C1027=""),"",IFERROR(C1027*IFERROR(INDEX(Ingredients!$H$5:$H$304,MATCH(B1027,Ingredients!$A$5:$A$304,0)),""),""))</f>
        <v>0</v>
      </c>
      <c r="L1027" s="8">
        <f>IF(OR(B1027="",C1027=""),"",IFERROR(C1027*IFERROR(INDEX(Ingredients!$I$5:$I$304,MATCH(B1027,Ingredients!$A$5:$A$304,0)),""),""))</f>
        <v>0</v>
      </c>
      <c r="M1027" s="8">
        <f>IF(OR(B1027="",C1027=""),"",IFERROR(C1027*IFERROR(INDEX(Ingredients!$J$5:$J$304,MATCH(B1027,Ingredients!$A$5:$A$304,0)),""),""))</f>
        <v>0</v>
      </c>
      <c r="N1027" s="8">
        <f>IF(OR(B1027="",C1027=""),"",IFERROR(C1027*IFERROR(INDEX(Ingredients!$K$5:$K$304,MATCH(B1027,Ingredients!$A$5:$A$304,0)),""),""))</f>
        <v>0</v>
      </c>
      <c r="O1027" s="8">
        <f>IF(OR(B1027="",C1027=""),"",IFERROR(C1027*IFERROR(INDEX(Ingredients!$L$5:$L$304,MATCH(B1027,Ingredients!$A$5:$A$304,0)),""),""))</f>
        <v>0</v>
      </c>
      <c r="P1027" s="8">
        <f>IF(OR(H1027="",A1027=""),"",IFERROR(H1027/SUMIFS('Recipe Ingredients'!$H$5:$H$1204,'Recipe Ingredients'!$A$5:$A$1204,A1027),""))</f>
        <v>0</v>
      </c>
      <c r="Q1027" s="8">
        <f>IF(H1027="","",COUNTIFS($H$5:$H$1204,"&gt;"&amp;H1027)+1)</f>
        <v>0</v>
      </c>
      <c r="R1027" s="8">
        <f>IF(B1027="","",SUMIFS(Pantry!$C$5:$C$304,Pantry!$A$5:$A$304,B1027))</f>
        <v>0</v>
      </c>
      <c r="S1027" s="8">
        <f>IF(OR(B1027="",C1027=""),"",MAX(0,C1027-R1027))</f>
        <v>0</v>
      </c>
      <c r="T1027" s="26"/>
      <c r="U1027" s="8">
        <f>IF(OR(T1027="",T1027=0,G1027=""),"",T1027*G1027)</f>
        <v>0</v>
      </c>
      <c r="V1027" s="8">
        <f>IF(OR(S1027="",T1027="",T1027=0),"",CEILING(S1027/T1027,1))</f>
        <v>0</v>
      </c>
      <c r="W1027" s="27"/>
      <c r="X1027" s="29"/>
      <c r="Y1027" s="8">
        <f>IF(OR(C1027="",X1027=""),"",C1027*(1+X1027))</f>
        <v>0</v>
      </c>
      <c r="Z1027" s="8">
        <f>IF(B1027="","",IFERROR(INDEX(Ingredients!$O$5:$O$304,MATCH(B1027,Ingredients!$A$5:$A$304,0)),""))</f>
        <v>0</v>
      </c>
      <c r="AA1027" s="8">
        <f>IF(B1027="","",IF(R1027&gt;=C1027,"In pantry","To buy"))</f>
        <v>0</v>
      </c>
      <c r="AB1027" s="8">
        <f>IF(A1027="","",COUNTIFS($A$5:A1027,A1027))</f>
        <v>0</v>
      </c>
      <c r="AC1027" s="8">
        <f>IF(B1027="","",IF(COUNTIFS('Dietary Filters'!$C$5:$C$104,B1027)&gt;0,"Check","OK"))</f>
        <v>0</v>
      </c>
      <c r="AD1027" s="25"/>
    </row>
    <row r="1028" spans="1:30">
      <c r="A1028" s="7"/>
      <c r="B1028" s="7"/>
      <c r="C1028" s="26"/>
      <c r="D1028" s="27"/>
      <c r="E1028" s="8">
        <f>IF(B1028="","",IFERROR(INDEX(Ingredients!$B$5:$B$304,MATCH(B1028,Ingredients!$A$5:$A$304,0)),""))</f>
        <v>0</v>
      </c>
      <c r="F1028" s="8">
        <f>IF(B1028="","",IFERROR(INDEX(Ingredients!$E$5:$E$304,MATCH(B1028,Ingredients!$A$5:$A$304,0)),""))</f>
        <v>0</v>
      </c>
      <c r="G1028" s="8">
        <f>IF(B1028="","",IFERROR(INDEX(Ingredients!$D$5:$D$304,MATCH(B1028,Ingredients!$A$5:$A$304,0)),""))</f>
        <v>0</v>
      </c>
      <c r="H1028" s="8">
        <f>IF(OR(B1028="",C1028=""),"",IFERROR(C1028*G1028,""))</f>
        <v>0</v>
      </c>
      <c r="I1028" s="8">
        <f>IF(A1028="","",IFERROR(INDEX(Recipes!$D$5:$D$204,MATCH(A1028,Recipes!$A$5:$A$204,0)),""))</f>
        <v>0</v>
      </c>
      <c r="J1028" s="8">
        <f>IF(OR(H1028="",I1028="",I1028=0),"",IFERROR(H1028/I1028,""))</f>
        <v>0</v>
      </c>
      <c r="K1028" s="8">
        <f>IF(OR(B1028="",C1028=""),"",IFERROR(C1028*IFERROR(INDEX(Ingredients!$H$5:$H$304,MATCH(B1028,Ingredients!$A$5:$A$304,0)),""),""))</f>
        <v>0</v>
      </c>
      <c r="L1028" s="8">
        <f>IF(OR(B1028="",C1028=""),"",IFERROR(C1028*IFERROR(INDEX(Ingredients!$I$5:$I$304,MATCH(B1028,Ingredients!$A$5:$A$304,0)),""),""))</f>
        <v>0</v>
      </c>
      <c r="M1028" s="8">
        <f>IF(OR(B1028="",C1028=""),"",IFERROR(C1028*IFERROR(INDEX(Ingredients!$J$5:$J$304,MATCH(B1028,Ingredients!$A$5:$A$304,0)),""),""))</f>
        <v>0</v>
      </c>
      <c r="N1028" s="8">
        <f>IF(OR(B1028="",C1028=""),"",IFERROR(C1028*IFERROR(INDEX(Ingredients!$K$5:$K$304,MATCH(B1028,Ingredients!$A$5:$A$304,0)),""),""))</f>
        <v>0</v>
      </c>
      <c r="O1028" s="8">
        <f>IF(OR(B1028="",C1028=""),"",IFERROR(C1028*IFERROR(INDEX(Ingredients!$L$5:$L$304,MATCH(B1028,Ingredients!$A$5:$A$304,0)),""),""))</f>
        <v>0</v>
      </c>
      <c r="P1028" s="8">
        <f>IF(OR(H1028="",A1028=""),"",IFERROR(H1028/SUMIFS('Recipe Ingredients'!$H$5:$H$1204,'Recipe Ingredients'!$A$5:$A$1204,A1028),""))</f>
        <v>0</v>
      </c>
      <c r="Q1028" s="8">
        <f>IF(H1028="","",COUNTIFS($H$5:$H$1204,"&gt;"&amp;H1028)+1)</f>
        <v>0</v>
      </c>
      <c r="R1028" s="8">
        <f>IF(B1028="","",SUMIFS(Pantry!$C$5:$C$304,Pantry!$A$5:$A$304,B1028))</f>
        <v>0</v>
      </c>
      <c r="S1028" s="8">
        <f>IF(OR(B1028="",C1028=""),"",MAX(0,C1028-R1028))</f>
        <v>0</v>
      </c>
      <c r="T1028" s="26"/>
      <c r="U1028" s="8">
        <f>IF(OR(T1028="",T1028=0,G1028=""),"",T1028*G1028)</f>
        <v>0</v>
      </c>
      <c r="V1028" s="8">
        <f>IF(OR(S1028="",T1028="",T1028=0),"",CEILING(S1028/T1028,1))</f>
        <v>0</v>
      </c>
      <c r="W1028" s="27"/>
      <c r="X1028" s="29"/>
      <c r="Y1028" s="8">
        <f>IF(OR(C1028="",X1028=""),"",C1028*(1+X1028))</f>
        <v>0</v>
      </c>
      <c r="Z1028" s="8">
        <f>IF(B1028="","",IFERROR(INDEX(Ingredients!$O$5:$O$304,MATCH(B1028,Ingredients!$A$5:$A$304,0)),""))</f>
        <v>0</v>
      </c>
      <c r="AA1028" s="8">
        <f>IF(B1028="","",IF(R1028&gt;=C1028,"In pantry","To buy"))</f>
        <v>0</v>
      </c>
      <c r="AB1028" s="8">
        <f>IF(A1028="","",COUNTIFS($A$5:A1028,A1028))</f>
        <v>0</v>
      </c>
      <c r="AC1028" s="8">
        <f>IF(B1028="","",IF(COUNTIFS('Dietary Filters'!$C$5:$C$104,B1028)&gt;0,"Check","OK"))</f>
        <v>0</v>
      </c>
      <c r="AD1028" s="25"/>
    </row>
    <row r="1029" spans="1:30">
      <c r="A1029" s="7"/>
      <c r="B1029" s="7"/>
      <c r="C1029" s="26"/>
      <c r="D1029" s="27"/>
      <c r="E1029" s="8">
        <f>IF(B1029="","",IFERROR(INDEX(Ingredients!$B$5:$B$304,MATCH(B1029,Ingredients!$A$5:$A$304,0)),""))</f>
        <v>0</v>
      </c>
      <c r="F1029" s="8">
        <f>IF(B1029="","",IFERROR(INDEX(Ingredients!$E$5:$E$304,MATCH(B1029,Ingredients!$A$5:$A$304,0)),""))</f>
        <v>0</v>
      </c>
      <c r="G1029" s="8">
        <f>IF(B1029="","",IFERROR(INDEX(Ingredients!$D$5:$D$304,MATCH(B1029,Ingredients!$A$5:$A$304,0)),""))</f>
        <v>0</v>
      </c>
      <c r="H1029" s="8">
        <f>IF(OR(B1029="",C1029=""),"",IFERROR(C1029*G1029,""))</f>
        <v>0</v>
      </c>
      <c r="I1029" s="8">
        <f>IF(A1029="","",IFERROR(INDEX(Recipes!$D$5:$D$204,MATCH(A1029,Recipes!$A$5:$A$204,0)),""))</f>
        <v>0</v>
      </c>
      <c r="J1029" s="8">
        <f>IF(OR(H1029="",I1029="",I1029=0),"",IFERROR(H1029/I1029,""))</f>
        <v>0</v>
      </c>
      <c r="K1029" s="8">
        <f>IF(OR(B1029="",C1029=""),"",IFERROR(C1029*IFERROR(INDEX(Ingredients!$H$5:$H$304,MATCH(B1029,Ingredients!$A$5:$A$304,0)),""),""))</f>
        <v>0</v>
      </c>
      <c r="L1029" s="8">
        <f>IF(OR(B1029="",C1029=""),"",IFERROR(C1029*IFERROR(INDEX(Ingredients!$I$5:$I$304,MATCH(B1029,Ingredients!$A$5:$A$304,0)),""),""))</f>
        <v>0</v>
      </c>
      <c r="M1029" s="8">
        <f>IF(OR(B1029="",C1029=""),"",IFERROR(C1029*IFERROR(INDEX(Ingredients!$J$5:$J$304,MATCH(B1029,Ingredients!$A$5:$A$304,0)),""),""))</f>
        <v>0</v>
      </c>
      <c r="N1029" s="8">
        <f>IF(OR(B1029="",C1029=""),"",IFERROR(C1029*IFERROR(INDEX(Ingredients!$K$5:$K$304,MATCH(B1029,Ingredients!$A$5:$A$304,0)),""),""))</f>
        <v>0</v>
      </c>
      <c r="O1029" s="8">
        <f>IF(OR(B1029="",C1029=""),"",IFERROR(C1029*IFERROR(INDEX(Ingredients!$L$5:$L$304,MATCH(B1029,Ingredients!$A$5:$A$304,0)),""),""))</f>
        <v>0</v>
      </c>
      <c r="P1029" s="8">
        <f>IF(OR(H1029="",A1029=""),"",IFERROR(H1029/SUMIFS('Recipe Ingredients'!$H$5:$H$1204,'Recipe Ingredients'!$A$5:$A$1204,A1029),""))</f>
        <v>0</v>
      </c>
      <c r="Q1029" s="8">
        <f>IF(H1029="","",COUNTIFS($H$5:$H$1204,"&gt;"&amp;H1029)+1)</f>
        <v>0</v>
      </c>
      <c r="R1029" s="8">
        <f>IF(B1029="","",SUMIFS(Pantry!$C$5:$C$304,Pantry!$A$5:$A$304,B1029))</f>
        <v>0</v>
      </c>
      <c r="S1029" s="8">
        <f>IF(OR(B1029="",C1029=""),"",MAX(0,C1029-R1029))</f>
        <v>0</v>
      </c>
      <c r="T1029" s="26"/>
      <c r="U1029" s="8">
        <f>IF(OR(T1029="",T1029=0,G1029=""),"",T1029*G1029)</f>
        <v>0</v>
      </c>
      <c r="V1029" s="8">
        <f>IF(OR(S1029="",T1029="",T1029=0),"",CEILING(S1029/T1029,1))</f>
        <v>0</v>
      </c>
      <c r="W1029" s="27"/>
      <c r="X1029" s="29"/>
      <c r="Y1029" s="8">
        <f>IF(OR(C1029="",X1029=""),"",C1029*(1+X1029))</f>
        <v>0</v>
      </c>
      <c r="Z1029" s="8">
        <f>IF(B1029="","",IFERROR(INDEX(Ingredients!$O$5:$O$304,MATCH(B1029,Ingredients!$A$5:$A$304,0)),""))</f>
        <v>0</v>
      </c>
      <c r="AA1029" s="8">
        <f>IF(B1029="","",IF(R1029&gt;=C1029,"In pantry","To buy"))</f>
        <v>0</v>
      </c>
      <c r="AB1029" s="8">
        <f>IF(A1029="","",COUNTIFS($A$5:A1029,A1029))</f>
        <v>0</v>
      </c>
      <c r="AC1029" s="8">
        <f>IF(B1029="","",IF(COUNTIFS('Dietary Filters'!$C$5:$C$104,B1029)&gt;0,"Check","OK"))</f>
        <v>0</v>
      </c>
      <c r="AD1029" s="25"/>
    </row>
    <row r="1030" spans="1:30">
      <c r="A1030" s="7"/>
      <c r="B1030" s="7"/>
      <c r="C1030" s="26"/>
      <c r="D1030" s="27"/>
      <c r="E1030" s="8">
        <f>IF(B1030="","",IFERROR(INDEX(Ingredients!$B$5:$B$304,MATCH(B1030,Ingredients!$A$5:$A$304,0)),""))</f>
        <v>0</v>
      </c>
      <c r="F1030" s="8">
        <f>IF(B1030="","",IFERROR(INDEX(Ingredients!$E$5:$E$304,MATCH(B1030,Ingredients!$A$5:$A$304,0)),""))</f>
        <v>0</v>
      </c>
      <c r="G1030" s="8">
        <f>IF(B1030="","",IFERROR(INDEX(Ingredients!$D$5:$D$304,MATCH(B1030,Ingredients!$A$5:$A$304,0)),""))</f>
        <v>0</v>
      </c>
      <c r="H1030" s="8">
        <f>IF(OR(B1030="",C1030=""),"",IFERROR(C1030*G1030,""))</f>
        <v>0</v>
      </c>
      <c r="I1030" s="8">
        <f>IF(A1030="","",IFERROR(INDEX(Recipes!$D$5:$D$204,MATCH(A1030,Recipes!$A$5:$A$204,0)),""))</f>
        <v>0</v>
      </c>
      <c r="J1030" s="8">
        <f>IF(OR(H1030="",I1030="",I1030=0),"",IFERROR(H1030/I1030,""))</f>
        <v>0</v>
      </c>
      <c r="K1030" s="8">
        <f>IF(OR(B1030="",C1030=""),"",IFERROR(C1030*IFERROR(INDEX(Ingredients!$H$5:$H$304,MATCH(B1030,Ingredients!$A$5:$A$304,0)),""),""))</f>
        <v>0</v>
      </c>
      <c r="L1030" s="8">
        <f>IF(OR(B1030="",C1030=""),"",IFERROR(C1030*IFERROR(INDEX(Ingredients!$I$5:$I$304,MATCH(B1030,Ingredients!$A$5:$A$304,0)),""),""))</f>
        <v>0</v>
      </c>
      <c r="M1030" s="8">
        <f>IF(OR(B1030="",C1030=""),"",IFERROR(C1030*IFERROR(INDEX(Ingredients!$J$5:$J$304,MATCH(B1030,Ingredients!$A$5:$A$304,0)),""),""))</f>
        <v>0</v>
      </c>
      <c r="N1030" s="8">
        <f>IF(OR(B1030="",C1030=""),"",IFERROR(C1030*IFERROR(INDEX(Ingredients!$K$5:$K$304,MATCH(B1030,Ingredients!$A$5:$A$304,0)),""),""))</f>
        <v>0</v>
      </c>
      <c r="O1030" s="8">
        <f>IF(OR(B1030="",C1030=""),"",IFERROR(C1030*IFERROR(INDEX(Ingredients!$L$5:$L$304,MATCH(B1030,Ingredients!$A$5:$A$304,0)),""),""))</f>
        <v>0</v>
      </c>
      <c r="P1030" s="8">
        <f>IF(OR(H1030="",A1030=""),"",IFERROR(H1030/SUMIFS('Recipe Ingredients'!$H$5:$H$1204,'Recipe Ingredients'!$A$5:$A$1204,A1030),""))</f>
        <v>0</v>
      </c>
      <c r="Q1030" s="8">
        <f>IF(H1030="","",COUNTIFS($H$5:$H$1204,"&gt;"&amp;H1030)+1)</f>
        <v>0</v>
      </c>
      <c r="R1030" s="8">
        <f>IF(B1030="","",SUMIFS(Pantry!$C$5:$C$304,Pantry!$A$5:$A$304,B1030))</f>
        <v>0</v>
      </c>
      <c r="S1030" s="8">
        <f>IF(OR(B1030="",C1030=""),"",MAX(0,C1030-R1030))</f>
        <v>0</v>
      </c>
      <c r="T1030" s="26"/>
      <c r="U1030" s="8">
        <f>IF(OR(T1030="",T1030=0,G1030=""),"",T1030*G1030)</f>
        <v>0</v>
      </c>
      <c r="V1030" s="8">
        <f>IF(OR(S1030="",T1030="",T1030=0),"",CEILING(S1030/T1030,1))</f>
        <v>0</v>
      </c>
      <c r="W1030" s="27"/>
      <c r="X1030" s="29"/>
      <c r="Y1030" s="8">
        <f>IF(OR(C1030="",X1030=""),"",C1030*(1+X1030))</f>
        <v>0</v>
      </c>
      <c r="Z1030" s="8">
        <f>IF(B1030="","",IFERROR(INDEX(Ingredients!$O$5:$O$304,MATCH(B1030,Ingredients!$A$5:$A$304,0)),""))</f>
        <v>0</v>
      </c>
      <c r="AA1030" s="8">
        <f>IF(B1030="","",IF(R1030&gt;=C1030,"In pantry","To buy"))</f>
        <v>0</v>
      </c>
      <c r="AB1030" s="8">
        <f>IF(A1030="","",COUNTIFS($A$5:A1030,A1030))</f>
        <v>0</v>
      </c>
      <c r="AC1030" s="8">
        <f>IF(B1030="","",IF(COUNTIFS('Dietary Filters'!$C$5:$C$104,B1030)&gt;0,"Check","OK"))</f>
        <v>0</v>
      </c>
      <c r="AD1030" s="25"/>
    </row>
    <row r="1031" spans="1:30">
      <c r="A1031" s="7"/>
      <c r="B1031" s="7"/>
      <c r="C1031" s="26"/>
      <c r="D1031" s="27"/>
      <c r="E1031" s="8">
        <f>IF(B1031="","",IFERROR(INDEX(Ingredients!$B$5:$B$304,MATCH(B1031,Ingredients!$A$5:$A$304,0)),""))</f>
        <v>0</v>
      </c>
      <c r="F1031" s="8">
        <f>IF(B1031="","",IFERROR(INDEX(Ingredients!$E$5:$E$304,MATCH(B1031,Ingredients!$A$5:$A$304,0)),""))</f>
        <v>0</v>
      </c>
      <c r="G1031" s="8">
        <f>IF(B1031="","",IFERROR(INDEX(Ingredients!$D$5:$D$304,MATCH(B1031,Ingredients!$A$5:$A$304,0)),""))</f>
        <v>0</v>
      </c>
      <c r="H1031" s="8">
        <f>IF(OR(B1031="",C1031=""),"",IFERROR(C1031*G1031,""))</f>
        <v>0</v>
      </c>
      <c r="I1031" s="8">
        <f>IF(A1031="","",IFERROR(INDEX(Recipes!$D$5:$D$204,MATCH(A1031,Recipes!$A$5:$A$204,0)),""))</f>
        <v>0</v>
      </c>
      <c r="J1031" s="8">
        <f>IF(OR(H1031="",I1031="",I1031=0),"",IFERROR(H1031/I1031,""))</f>
        <v>0</v>
      </c>
      <c r="K1031" s="8">
        <f>IF(OR(B1031="",C1031=""),"",IFERROR(C1031*IFERROR(INDEX(Ingredients!$H$5:$H$304,MATCH(B1031,Ingredients!$A$5:$A$304,0)),""),""))</f>
        <v>0</v>
      </c>
      <c r="L1031" s="8">
        <f>IF(OR(B1031="",C1031=""),"",IFERROR(C1031*IFERROR(INDEX(Ingredients!$I$5:$I$304,MATCH(B1031,Ingredients!$A$5:$A$304,0)),""),""))</f>
        <v>0</v>
      </c>
      <c r="M1031" s="8">
        <f>IF(OR(B1031="",C1031=""),"",IFERROR(C1031*IFERROR(INDEX(Ingredients!$J$5:$J$304,MATCH(B1031,Ingredients!$A$5:$A$304,0)),""),""))</f>
        <v>0</v>
      </c>
      <c r="N1031" s="8">
        <f>IF(OR(B1031="",C1031=""),"",IFERROR(C1031*IFERROR(INDEX(Ingredients!$K$5:$K$304,MATCH(B1031,Ingredients!$A$5:$A$304,0)),""),""))</f>
        <v>0</v>
      </c>
      <c r="O1031" s="8">
        <f>IF(OR(B1031="",C1031=""),"",IFERROR(C1031*IFERROR(INDEX(Ingredients!$L$5:$L$304,MATCH(B1031,Ingredients!$A$5:$A$304,0)),""),""))</f>
        <v>0</v>
      </c>
      <c r="P1031" s="8">
        <f>IF(OR(H1031="",A1031=""),"",IFERROR(H1031/SUMIFS('Recipe Ingredients'!$H$5:$H$1204,'Recipe Ingredients'!$A$5:$A$1204,A1031),""))</f>
        <v>0</v>
      </c>
      <c r="Q1031" s="8">
        <f>IF(H1031="","",COUNTIFS($H$5:$H$1204,"&gt;"&amp;H1031)+1)</f>
        <v>0</v>
      </c>
      <c r="R1031" s="8">
        <f>IF(B1031="","",SUMIFS(Pantry!$C$5:$C$304,Pantry!$A$5:$A$304,B1031))</f>
        <v>0</v>
      </c>
      <c r="S1031" s="8">
        <f>IF(OR(B1031="",C1031=""),"",MAX(0,C1031-R1031))</f>
        <v>0</v>
      </c>
      <c r="T1031" s="26"/>
      <c r="U1031" s="8">
        <f>IF(OR(T1031="",T1031=0,G1031=""),"",T1031*G1031)</f>
        <v>0</v>
      </c>
      <c r="V1031" s="8">
        <f>IF(OR(S1031="",T1031="",T1031=0),"",CEILING(S1031/T1031,1))</f>
        <v>0</v>
      </c>
      <c r="W1031" s="27"/>
      <c r="X1031" s="29"/>
      <c r="Y1031" s="8">
        <f>IF(OR(C1031="",X1031=""),"",C1031*(1+X1031))</f>
        <v>0</v>
      </c>
      <c r="Z1031" s="8">
        <f>IF(B1031="","",IFERROR(INDEX(Ingredients!$O$5:$O$304,MATCH(B1031,Ingredients!$A$5:$A$304,0)),""))</f>
        <v>0</v>
      </c>
      <c r="AA1031" s="8">
        <f>IF(B1031="","",IF(R1031&gt;=C1031,"In pantry","To buy"))</f>
        <v>0</v>
      </c>
      <c r="AB1031" s="8">
        <f>IF(A1031="","",COUNTIFS($A$5:A1031,A1031))</f>
        <v>0</v>
      </c>
      <c r="AC1031" s="8">
        <f>IF(B1031="","",IF(COUNTIFS('Dietary Filters'!$C$5:$C$104,B1031)&gt;0,"Check","OK"))</f>
        <v>0</v>
      </c>
      <c r="AD1031" s="25"/>
    </row>
    <row r="1032" spans="1:30">
      <c r="A1032" s="7"/>
      <c r="B1032" s="7"/>
      <c r="C1032" s="26"/>
      <c r="D1032" s="27"/>
      <c r="E1032" s="8">
        <f>IF(B1032="","",IFERROR(INDEX(Ingredients!$B$5:$B$304,MATCH(B1032,Ingredients!$A$5:$A$304,0)),""))</f>
        <v>0</v>
      </c>
      <c r="F1032" s="8">
        <f>IF(B1032="","",IFERROR(INDEX(Ingredients!$E$5:$E$304,MATCH(B1032,Ingredients!$A$5:$A$304,0)),""))</f>
        <v>0</v>
      </c>
      <c r="G1032" s="8">
        <f>IF(B1032="","",IFERROR(INDEX(Ingredients!$D$5:$D$304,MATCH(B1032,Ingredients!$A$5:$A$304,0)),""))</f>
        <v>0</v>
      </c>
      <c r="H1032" s="8">
        <f>IF(OR(B1032="",C1032=""),"",IFERROR(C1032*G1032,""))</f>
        <v>0</v>
      </c>
      <c r="I1032" s="8">
        <f>IF(A1032="","",IFERROR(INDEX(Recipes!$D$5:$D$204,MATCH(A1032,Recipes!$A$5:$A$204,0)),""))</f>
        <v>0</v>
      </c>
      <c r="J1032" s="8">
        <f>IF(OR(H1032="",I1032="",I1032=0),"",IFERROR(H1032/I1032,""))</f>
        <v>0</v>
      </c>
      <c r="K1032" s="8">
        <f>IF(OR(B1032="",C1032=""),"",IFERROR(C1032*IFERROR(INDEX(Ingredients!$H$5:$H$304,MATCH(B1032,Ingredients!$A$5:$A$304,0)),""),""))</f>
        <v>0</v>
      </c>
      <c r="L1032" s="8">
        <f>IF(OR(B1032="",C1032=""),"",IFERROR(C1032*IFERROR(INDEX(Ingredients!$I$5:$I$304,MATCH(B1032,Ingredients!$A$5:$A$304,0)),""),""))</f>
        <v>0</v>
      </c>
      <c r="M1032" s="8">
        <f>IF(OR(B1032="",C1032=""),"",IFERROR(C1032*IFERROR(INDEX(Ingredients!$J$5:$J$304,MATCH(B1032,Ingredients!$A$5:$A$304,0)),""),""))</f>
        <v>0</v>
      </c>
      <c r="N1032" s="8">
        <f>IF(OR(B1032="",C1032=""),"",IFERROR(C1032*IFERROR(INDEX(Ingredients!$K$5:$K$304,MATCH(B1032,Ingredients!$A$5:$A$304,0)),""),""))</f>
        <v>0</v>
      </c>
      <c r="O1032" s="8">
        <f>IF(OR(B1032="",C1032=""),"",IFERROR(C1032*IFERROR(INDEX(Ingredients!$L$5:$L$304,MATCH(B1032,Ingredients!$A$5:$A$304,0)),""),""))</f>
        <v>0</v>
      </c>
      <c r="P1032" s="8">
        <f>IF(OR(H1032="",A1032=""),"",IFERROR(H1032/SUMIFS('Recipe Ingredients'!$H$5:$H$1204,'Recipe Ingredients'!$A$5:$A$1204,A1032),""))</f>
        <v>0</v>
      </c>
      <c r="Q1032" s="8">
        <f>IF(H1032="","",COUNTIFS($H$5:$H$1204,"&gt;"&amp;H1032)+1)</f>
        <v>0</v>
      </c>
      <c r="R1032" s="8">
        <f>IF(B1032="","",SUMIFS(Pantry!$C$5:$C$304,Pantry!$A$5:$A$304,B1032))</f>
        <v>0</v>
      </c>
      <c r="S1032" s="8">
        <f>IF(OR(B1032="",C1032=""),"",MAX(0,C1032-R1032))</f>
        <v>0</v>
      </c>
      <c r="T1032" s="26"/>
      <c r="U1032" s="8">
        <f>IF(OR(T1032="",T1032=0,G1032=""),"",T1032*G1032)</f>
        <v>0</v>
      </c>
      <c r="V1032" s="8">
        <f>IF(OR(S1032="",T1032="",T1032=0),"",CEILING(S1032/T1032,1))</f>
        <v>0</v>
      </c>
      <c r="W1032" s="27"/>
      <c r="X1032" s="29"/>
      <c r="Y1032" s="8">
        <f>IF(OR(C1032="",X1032=""),"",C1032*(1+X1032))</f>
        <v>0</v>
      </c>
      <c r="Z1032" s="8">
        <f>IF(B1032="","",IFERROR(INDEX(Ingredients!$O$5:$O$304,MATCH(B1032,Ingredients!$A$5:$A$304,0)),""))</f>
        <v>0</v>
      </c>
      <c r="AA1032" s="8">
        <f>IF(B1032="","",IF(R1032&gt;=C1032,"In pantry","To buy"))</f>
        <v>0</v>
      </c>
      <c r="AB1032" s="8">
        <f>IF(A1032="","",COUNTIFS($A$5:A1032,A1032))</f>
        <v>0</v>
      </c>
      <c r="AC1032" s="8">
        <f>IF(B1032="","",IF(COUNTIFS('Dietary Filters'!$C$5:$C$104,B1032)&gt;0,"Check","OK"))</f>
        <v>0</v>
      </c>
      <c r="AD1032" s="25"/>
    </row>
    <row r="1033" spans="1:30">
      <c r="A1033" s="7"/>
      <c r="B1033" s="7"/>
      <c r="C1033" s="26"/>
      <c r="D1033" s="27"/>
      <c r="E1033" s="8">
        <f>IF(B1033="","",IFERROR(INDEX(Ingredients!$B$5:$B$304,MATCH(B1033,Ingredients!$A$5:$A$304,0)),""))</f>
        <v>0</v>
      </c>
      <c r="F1033" s="8">
        <f>IF(B1033="","",IFERROR(INDEX(Ingredients!$E$5:$E$304,MATCH(B1033,Ingredients!$A$5:$A$304,0)),""))</f>
        <v>0</v>
      </c>
      <c r="G1033" s="8">
        <f>IF(B1033="","",IFERROR(INDEX(Ingredients!$D$5:$D$304,MATCH(B1033,Ingredients!$A$5:$A$304,0)),""))</f>
        <v>0</v>
      </c>
      <c r="H1033" s="8">
        <f>IF(OR(B1033="",C1033=""),"",IFERROR(C1033*G1033,""))</f>
        <v>0</v>
      </c>
      <c r="I1033" s="8">
        <f>IF(A1033="","",IFERROR(INDEX(Recipes!$D$5:$D$204,MATCH(A1033,Recipes!$A$5:$A$204,0)),""))</f>
        <v>0</v>
      </c>
      <c r="J1033" s="8">
        <f>IF(OR(H1033="",I1033="",I1033=0),"",IFERROR(H1033/I1033,""))</f>
        <v>0</v>
      </c>
      <c r="K1033" s="8">
        <f>IF(OR(B1033="",C1033=""),"",IFERROR(C1033*IFERROR(INDEX(Ingredients!$H$5:$H$304,MATCH(B1033,Ingredients!$A$5:$A$304,0)),""),""))</f>
        <v>0</v>
      </c>
      <c r="L1033" s="8">
        <f>IF(OR(B1033="",C1033=""),"",IFERROR(C1033*IFERROR(INDEX(Ingredients!$I$5:$I$304,MATCH(B1033,Ingredients!$A$5:$A$304,0)),""),""))</f>
        <v>0</v>
      </c>
      <c r="M1033" s="8">
        <f>IF(OR(B1033="",C1033=""),"",IFERROR(C1033*IFERROR(INDEX(Ingredients!$J$5:$J$304,MATCH(B1033,Ingredients!$A$5:$A$304,0)),""),""))</f>
        <v>0</v>
      </c>
      <c r="N1033" s="8">
        <f>IF(OR(B1033="",C1033=""),"",IFERROR(C1033*IFERROR(INDEX(Ingredients!$K$5:$K$304,MATCH(B1033,Ingredients!$A$5:$A$304,0)),""),""))</f>
        <v>0</v>
      </c>
      <c r="O1033" s="8">
        <f>IF(OR(B1033="",C1033=""),"",IFERROR(C1033*IFERROR(INDEX(Ingredients!$L$5:$L$304,MATCH(B1033,Ingredients!$A$5:$A$304,0)),""),""))</f>
        <v>0</v>
      </c>
      <c r="P1033" s="8">
        <f>IF(OR(H1033="",A1033=""),"",IFERROR(H1033/SUMIFS('Recipe Ingredients'!$H$5:$H$1204,'Recipe Ingredients'!$A$5:$A$1204,A1033),""))</f>
        <v>0</v>
      </c>
      <c r="Q1033" s="8">
        <f>IF(H1033="","",COUNTIFS($H$5:$H$1204,"&gt;"&amp;H1033)+1)</f>
        <v>0</v>
      </c>
      <c r="R1033" s="8">
        <f>IF(B1033="","",SUMIFS(Pantry!$C$5:$C$304,Pantry!$A$5:$A$304,B1033))</f>
        <v>0</v>
      </c>
      <c r="S1033" s="8">
        <f>IF(OR(B1033="",C1033=""),"",MAX(0,C1033-R1033))</f>
        <v>0</v>
      </c>
      <c r="T1033" s="26"/>
      <c r="U1033" s="8">
        <f>IF(OR(T1033="",T1033=0,G1033=""),"",T1033*G1033)</f>
        <v>0</v>
      </c>
      <c r="V1033" s="8">
        <f>IF(OR(S1033="",T1033="",T1033=0),"",CEILING(S1033/T1033,1))</f>
        <v>0</v>
      </c>
      <c r="W1033" s="27"/>
      <c r="X1033" s="29"/>
      <c r="Y1033" s="8">
        <f>IF(OR(C1033="",X1033=""),"",C1033*(1+X1033))</f>
        <v>0</v>
      </c>
      <c r="Z1033" s="8">
        <f>IF(B1033="","",IFERROR(INDEX(Ingredients!$O$5:$O$304,MATCH(B1033,Ingredients!$A$5:$A$304,0)),""))</f>
        <v>0</v>
      </c>
      <c r="AA1033" s="8">
        <f>IF(B1033="","",IF(R1033&gt;=C1033,"In pantry","To buy"))</f>
        <v>0</v>
      </c>
      <c r="AB1033" s="8">
        <f>IF(A1033="","",COUNTIFS($A$5:A1033,A1033))</f>
        <v>0</v>
      </c>
      <c r="AC1033" s="8">
        <f>IF(B1033="","",IF(COUNTIFS('Dietary Filters'!$C$5:$C$104,B1033)&gt;0,"Check","OK"))</f>
        <v>0</v>
      </c>
      <c r="AD1033" s="25"/>
    </row>
    <row r="1034" spans="1:30">
      <c r="A1034" s="7"/>
      <c r="B1034" s="7"/>
      <c r="C1034" s="26"/>
      <c r="D1034" s="27"/>
      <c r="E1034" s="8">
        <f>IF(B1034="","",IFERROR(INDEX(Ingredients!$B$5:$B$304,MATCH(B1034,Ingredients!$A$5:$A$304,0)),""))</f>
        <v>0</v>
      </c>
      <c r="F1034" s="8">
        <f>IF(B1034="","",IFERROR(INDEX(Ingredients!$E$5:$E$304,MATCH(B1034,Ingredients!$A$5:$A$304,0)),""))</f>
        <v>0</v>
      </c>
      <c r="G1034" s="8">
        <f>IF(B1034="","",IFERROR(INDEX(Ingredients!$D$5:$D$304,MATCH(B1034,Ingredients!$A$5:$A$304,0)),""))</f>
        <v>0</v>
      </c>
      <c r="H1034" s="8">
        <f>IF(OR(B1034="",C1034=""),"",IFERROR(C1034*G1034,""))</f>
        <v>0</v>
      </c>
      <c r="I1034" s="8">
        <f>IF(A1034="","",IFERROR(INDEX(Recipes!$D$5:$D$204,MATCH(A1034,Recipes!$A$5:$A$204,0)),""))</f>
        <v>0</v>
      </c>
      <c r="J1034" s="8">
        <f>IF(OR(H1034="",I1034="",I1034=0),"",IFERROR(H1034/I1034,""))</f>
        <v>0</v>
      </c>
      <c r="K1034" s="8">
        <f>IF(OR(B1034="",C1034=""),"",IFERROR(C1034*IFERROR(INDEX(Ingredients!$H$5:$H$304,MATCH(B1034,Ingredients!$A$5:$A$304,0)),""),""))</f>
        <v>0</v>
      </c>
      <c r="L1034" s="8">
        <f>IF(OR(B1034="",C1034=""),"",IFERROR(C1034*IFERROR(INDEX(Ingredients!$I$5:$I$304,MATCH(B1034,Ingredients!$A$5:$A$304,0)),""),""))</f>
        <v>0</v>
      </c>
      <c r="M1034" s="8">
        <f>IF(OR(B1034="",C1034=""),"",IFERROR(C1034*IFERROR(INDEX(Ingredients!$J$5:$J$304,MATCH(B1034,Ingredients!$A$5:$A$304,0)),""),""))</f>
        <v>0</v>
      </c>
      <c r="N1034" s="8">
        <f>IF(OR(B1034="",C1034=""),"",IFERROR(C1034*IFERROR(INDEX(Ingredients!$K$5:$K$304,MATCH(B1034,Ingredients!$A$5:$A$304,0)),""),""))</f>
        <v>0</v>
      </c>
      <c r="O1034" s="8">
        <f>IF(OR(B1034="",C1034=""),"",IFERROR(C1034*IFERROR(INDEX(Ingredients!$L$5:$L$304,MATCH(B1034,Ingredients!$A$5:$A$304,0)),""),""))</f>
        <v>0</v>
      </c>
      <c r="P1034" s="8">
        <f>IF(OR(H1034="",A1034=""),"",IFERROR(H1034/SUMIFS('Recipe Ingredients'!$H$5:$H$1204,'Recipe Ingredients'!$A$5:$A$1204,A1034),""))</f>
        <v>0</v>
      </c>
      <c r="Q1034" s="8">
        <f>IF(H1034="","",COUNTIFS($H$5:$H$1204,"&gt;"&amp;H1034)+1)</f>
        <v>0</v>
      </c>
      <c r="R1034" s="8">
        <f>IF(B1034="","",SUMIFS(Pantry!$C$5:$C$304,Pantry!$A$5:$A$304,B1034))</f>
        <v>0</v>
      </c>
      <c r="S1034" s="8">
        <f>IF(OR(B1034="",C1034=""),"",MAX(0,C1034-R1034))</f>
        <v>0</v>
      </c>
      <c r="T1034" s="26"/>
      <c r="U1034" s="8">
        <f>IF(OR(T1034="",T1034=0,G1034=""),"",T1034*G1034)</f>
        <v>0</v>
      </c>
      <c r="V1034" s="8">
        <f>IF(OR(S1034="",T1034="",T1034=0),"",CEILING(S1034/T1034,1))</f>
        <v>0</v>
      </c>
      <c r="W1034" s="27"/>
      <c r="X1034" s="29"/>
      <c r="Y1034" s="8">
        <f>IF(OR(C1034="",X1034=""),"",C1034*(1+X1034))</f>
        <v>0</v>
      </c>
      <c r="Z1034" s="8">
        <f>IF(B1034="","",IFERROR(INDEX(Ingredients!$O$5:$O$304,MATCH(B1034,Ingredients!$A$5:$A$304,0)),""))</f>
        <v>0</v>
      </c>
      <c r="AA1034" s="8">
        <f>IF(B1034="","",IF(R1034&gt;=C1034,"In pantry","To buy"))</f>
        <v>0</v>
      </c>
      <c r="AB1034" s="8">
        <f>IF(A1034="","",COUNTIFS($A$5:A1034,A1034))</f>
        <v>0</v>
      </c>
      <c r="AC1034" s="8">
        <f>IF(B1034="","",IF(COUNTIFS('Dietary Filters'!$C$5:$C$104,B1034)&gt;0,"Check","OK"))</f>
        <v>0</v>
      </c>
      <c r="AD1034" s="25"/>
    </row>
    <row r="1035" spans="1:30">
      <c r="A1035" s="7"/>
      <c r="B1035" s="7"/>
      <c r="C1035" s="26"/>
      <c r="D1035" s="27"/>
      <c r="E1035" s="8">
        <f>IF(B1035="","",IFERROR(INDEX(Ingredients!$B$5:$B$304,MATCH(B1035,Ingredients!$A$5:$A$304,0)),""))</f>
        <v>0</v>
      </c>
      <c r="F1035" s="8">
        <f>IF(B1035="","",IFERROR(INDEX(Ingredients!$E$5:$E$304,MATCH(B1035,Ingredients!$A$5:$A$304,0)),""))</f>
        <v>0</v>
      </c>
      <c r="G1035" s="8">
        <f>IF(B1035="","",IFERROR(INDEX(Ingredients!$D$5:$D$304,MATCH(B1035,Ingredients!$A$5:$A$304,0)),""))</f>
        <v>0</v>
      </c>
      <c r="H1035" s="8">
        <f>IF(OR(B1035="",C1035=""),"",IFERROR(C1035*G1035,""))</f>
        <v>0</v>
      </c>
      <c r="I1035" s="8">
        <f>IF(A1035="","",IFERROR(INDEX(Recipes!$D$5:$D$204,MATCH(A1035,Recipes!$A$5:$A$204,0)),""))</f>
        <v>0</v>
      </c>
      <c r="J1035" s="8">
        <f>IF(OR(H1035="",I1035="",I1035=0),"",IFERROR(H1035/I1035,""))</f>
        <v>0</v>
      </c>
      <c r="K1035" s="8">
        <f>IF(OR(B1035="",C1035=""),"",IFERROR(C1035*IFERROR(INDEX(Ingredients!$H$5:$H$304,MATCH(B1035,Ingredients!$A$5:$A$304,0)),""),""))</f>
        <v>0</v>
      </c>
      <c r="L1035" s="8">
        <f>IF(OR(B1035="",C1035=""),"",IFERROR(C1035*IFERROR(INDEX(Ingredients!$I$5:$I$304,MATCH(B1035,Ingredients!$A$5:$A$304,0)),""),""))</f>
        <v>0</v>
      </c>
      <c r="M1035" s="8">
        <f>IF(OR(B1035="",C1035=""),"",IFERROR(C1035*IFERROR(INDEX(Ingredients!$J$5:$J$304,MATCH(B1035,Ingredients!$A$5:$A$304,0)),""),""))</f>
        <v>0</v>
      </c>
      <c r="N1035" s="8">
        <f>IF(OR(B1035="",C1035=""),"",IFERROR(C1035*IFERROR(INDEX(Ingredients!$K$5:$K$304,MATCH(B1035,Ingredients!$A$5:$A$304,0)),""),""))</f>
        <v>0</v>
      </c>
      <c r="O1035" s="8">
        <f>IF(OR(B1035="",C1035=""),"",IFERROR(C1035*IFERROR(INDEX(Ingredients!$L$5:$L$304,MATCH(B1035,Ingredients!$A$5:$A$304,0)),""),""))</f>
        <v>0</v>
      </c>
      <c r="P1035" s="8">
        <f>IF(OR(H1035="",A1035=""),"",IFERROR(H1035/SUMIFS('Recipe Ingredients'!$H$5:$H$1204,'Recipe Ingredients'!$A$5:$A$1204,A1035),""))</f>
        <v>0</v>
      </c>
      <c r="Q1035" s="8">
        <f>IF(H1035="","",COUNTIFS($H$5:$H$1204,"&gt;"&amp;H1035)+1)</f>
        <v>0</v>
      </c>
      <c r="R1035" s="8">
        <f>IF(B1035="","",SUMIFS(Pantry!$C$5:$C$304,Pantry!$A$5:$A$304,B1035))</f>
        <v>0</v>
      </c>
      <c r="S1035" s="8">
        <f>IF(OR(B1035="",C1035=""),"",MAX(0,C1035-R1035))</f>
        <v>0</v>
      </c>
      <c r="T1035" s="26"/>
      <c r="U1035" s="8">
        <f>IF(OR(T1035="",T1035=0,G1035=""),"",T1035*G1035)</f>
        <v>0</v>
      </c>
      <c r="V1035" s="8">
        <f>IF(OR(S1035="",T1035="",T1035=0),"",CEILING(S1035/T1035,1))</f>
        <v>0</v>
      </c>
      <c r="W1035" s="27"/>
      <c r="X1035" s="29"/>
      <c r="Y1035" s="8">
        <f>IF(OR(C1035="",X1035=""),"",C1035*(1+X1035))</f>
        <v>0</v>
      </c>
      <c r="Z1035" s="8">
        <f>IF(B1035="","",IFERROR(INDEX(Ingredients!$O$5:$O$304,MATCH(B1035,Ingredients!$A$5:$A$304,0)),""))</f>
        <v>0</v>
      </c>
      <c r="AA1035" s="8">
        <f>IF(B1035="","",IF(R1035&gt;=C1035,"In pantry","To buy"))</f>
        <v>0</v>
      </c>
      <c r="AB1035" s="8">
        <f>IF(A1035="","",COUNTIFS($A$5:A1035,A1035))</f>
        <v>0</v>
      </c>
      <c r="AC1035" s="8">
        <f>IF(B1035="","",IF(COUNTIFS('Dietary Filters'!$C$5:$C$104,B1035)&gt;0,"Check","OK"))</f>
        <v>0</v>
      </c>
      <c r="AD1035" s="25"/>
    </row>
    <row r="1036" spans="1:30">
      <c r="A1036" s="7"/>
      <c r="B1036" s="7"/>
      <c r="C1036" s="26"/>
      <c r="D1036" s="27"/>
      <c r="E1036" s="8">
        <f>IF(B1036="","",IFERROR(INDEX(Ingredients!$B$5:$B$304,MATCH(B1036,Ingredients!$A$5:$A$304,0)),""))</f>
        <v>0</v>
      </c>
      <c r="F1036" s="8">
        <f>IF(B1036="","",IFERROR(INDEX(Ingredients!$E$5:$E$304,MATCH(B1036,Ingredients!$A$5:$A$304,0)),""))</f>
        <v>0</v>
      </c>
      <c r="G1036" s="8">
        <f>IF(B1036="","",IFERROR(INDEX(Ingredients!$D$5:$D$304,MATCH(B1036,Ingredients!$A$5:$A$304,0)),""))</f>
        <v>0</v>
      </c>
      <c r="H1036" s="8">
        <f>IF(OR(B1036="",C1036=""),"",IFERROR(C1036*G1036,""))</f>
        <v>0</v>
      </c>
      <c r="I1036" s="8">
        <f>IF(A1036="","",IFERROR(INDEX(Recipes!$D$5:$D$204,MATCH(A1036,Recipes!$A$5:$A$204,0)),""))</f>
        <v>0</v>
      </c>
      <c r="J1036" s="8">
        <f>IF(OR(H1036="",I1036="",I1036=0),"",IFERROR(H1036/I1036,""))</f>
        <v>0</v>
      </c>
      <c r="K1036" s="8">
        <f>IF(OR(B1036="",C1036=""),"",IFERROR(C1036*IFERROR(INDEX(Ingredients!$H$5:$H$304,MATCH(B1036,Ingredients!$A$5:$A$304,0)),""),""))</f>
        <v>0</v>
      </c>
      <c r="L1036" s="8">
        <f>IF(OR(B1036="",C1036=""),"",IFERROR(C1036*IFERROR(INDEX(Ingredients!$I$5:$I$304,MATCH(B1036,Ingredients!$A$5:$A$304,0)),""),""))</f>
        <v>0</v>
      </c>
      <c r="M1036" s="8">
        <f>IF(OR(B1036="",C1036=""),"",IFERROR(C1036*IFERROR(INDEX(Ingredients!$J$5:$J$304,MATCH(B1036,Ingredients!$A$5:$A$304,0)),""),""))</f>
        <v>0</v>
      </c>
      <c r="N1036" s="8">
        <f>IF(OR(B1036="",C1036=""),"",IFERROR(C1036*IFERROR(INDEX(Ingredients!$K$5:$K$304,MATCH(B1036,Ingredients!$A$5:$A$304,0)),""),""))</f>
        <v>0</v>
      </c>
      <c r="O1036" s="8">
        <f>IF(OR(B1036="",C1036=""),"",IFERROR(C1036*IFERROR(INDEX(Ingredients!$L$5:$L$304,MATCH(B1036,Ingredients!$A$5:$A$304,0)),""),""))</f>
        <v>0</v>
      </c>
      <c r="P1036" s="8">
        <f>IF(OR(H1036="",A1036=""),"",IFERROR(H1036/SUMIFS('Recipe Ingredients'!$H$5:$H$1204,'Recipe Ingredients'!$A$5:$A$1204,A1036),""))</f>
        <v>0</v>
      </c>
      <c r="Q1036" s="8">
        <f>IF(H1036="","",COUNTIFS($H$5:$H$1204,"&gt;"&amp;H1036)+1)</f>
        <v>0</v>
      </c>
      <c r="R1036" s="8">
        <f>IF(B1036="","",SUMIFS(Pantry!$C$5:$C$304,Pantry!$A$5:$A$304,B1036))</f>
        <v>0</v>
      </c>
      <c r="S1036" s="8">
        <f>IF(OR(B1036="",C1036=""),"",MAX(0,C1036-R1036))</f>
        <v>0</v>
      </c>
      <c r="T1036" s="26"/>
      <c r="U1036" s="8">
        <f>IF(OR(T1036="",T1036=0,G1036=""),"",T1036*G1036)</f>
        <v>0</v>
      </c>
      <c r="V1036" s="8">
        <f>IF(OR(S1036="",T1036="",T1036=0),"",CEILING(S1036/T1036,1))</f>
        <v>0</v>
      </c>
      <c r="W1036" s="27"/>
      <c r="X1036" s="29"/>
      <c r="Y1036" s="8">
        <f>IF(OR(C1036="",X1036=""),"",C1036*(1+X1036))</f>
        <v>0</v>
      </c>
      <c r="Z1036" s="8">
        <f>IF(B1036="","",IFERROR(INDEX(Ingredients!$O$5:$O$304,MATCH(B1036,Ingredients!$A$5:$A$304,0)),""))</f>
        <v>0</v>
      </c>
      <c r="AA1036" s="8">
        <f>IF(B1036="","",IF(R1036&gt;=C1036,"In pantry","To buy"))</f>
        <v>0</v>
      </c>
      <c r="AB1036" s="8">
        <f>IF(A1036="","",COUNTIFS($A$5:A1036,A1036))</f>
        <v>0</v>
      </c>
      <c r="AC1036" s="8">
        <f>IF(B1036="","",IF(COUNTIFS('Dietary Filters'!$C$5:$C$104,B1036)&gt;0,"Check","OK"))</f>
        <v>0</v>
      </c>
      <c r="AD1036" s="25"/>
    </row>
    <row r="1037" spans="1:30">
      <c r="A1037" s="7"/>
      <c r="B1037" s="7"/>
      <c r="C1037" s="26"/>
      <c r="D1037" s="27"/>
      <c r="E1037" s="8">
        <f>IF(B1037="","",IFERROR(INDEX(Ingredients!$B$5:$B$304,MATCH(B1037,Ingredients!$A$5:$A$304,0)),""))</f>
        <v>0</v>
      </c>
      <c r="F1037" s="8">
        <f>IF(B1037="","",IFERROR(INDEX(Ingredients!$E$5:$E$304,MATCH(B1037,Ingredients!$A$5:$A$304,0)),""))</f>
        <v>0</v>
      </c>
      <c r="G1037" s="8">
        <f>IF(B1037="","",IFERROR(INDEX(Ingredients!$D$5:$D$304,MATCH(B1037,Ingredients!$A$5:$A$304,0)),""))</f>
        <v>0</v>
      </c>
      <c r="H1037" s="8">
        <f>IF(OR(B1037="",C1037=""),"",IFERROR(C1037*G1037,""))</f>
        <v>0</v>
      </c>
      <c r="I1037" s="8">
        <f>IF(A1037="","",IFERROR(INDEX(Recipes!$D$5:$D$204,MATCH(A1037,Recipes!$A$5:$A$204,0)),""))</f>
        <v>0</v>
      </c>
      <c r="J1037" s="8">
        <f>IF(OR(H1037="",I1037="",I1037=0),"",IFERROR(H1037/I1037,""))</f>
        <v>0</v>
      </c>
      <c r="K1037" s="8">
        <f>IF(OR(B1037="",C1037=""),"",IFERROR(C1037*IFERROR(INDEX(Ingredients!$H$5:$H$304,MATCH(B1037,Ingredients!$A$5:$A$304,0)),""),""))</f>
        <v>0</v>
      </c>
      <c r="L1037" s="8">
        <f>IF(OR(B1037="",C1037=""),"",IFERROR(C1037*IFERROR(INDEX(Ingredients!$I$5:$I$304,MATCH(B1037,Ingredients!$A$5:$A$304,0)),""),""))</f>
        <v>0</v>
      </c>
      <c r="M1037" s="8">
        <f>IF(OR(B1037="",C1037=""),"",IFERROR(C1037*IFERROR(INDEX(Ingredients!$J$5:$J$304,MATCH(B1037,Ingredients!$A$5:$A$304,0)),""),""))</f>
        <v>0</v>
      </c>
      <c r="N1037" s="8">
        <f>IF(OR(B1037="",C1037=""),"",IFERROR(C1037*IFERROR(INDEX(Ingredients!$K$5:$K$304,MATCH(B1037,Ingredients!$A$5:$A$304,0)),""),""))</f>
        <v>0</v>
      </c>
      <c r="O1037" s="8">
        <f>IF(OR(B1037="",C1037=""),"",IFERROR(C1037*IFERROR(INDEX(Ingredients!$L$5:$L$304,MATCH(B1037,Ingredients!$A$5:$A$304,0)),""),""))</f>
        <v>0</v>
      </c>
      <c r="P1037" s="8">
        <f>IF(OR(H1037="",A1037=""),"",IFERROR(H1037/SUMIFS('Recipe Ingredients'!$H$5:$H$1204,'Recipe Ingredients'!$A$5:$A$1204,A1037),""))</f>
        <v>0</v>
      </c>
      <c r="Q1037" s="8">
        <f>IF(H1037="","",COUNTIFS($H$5:$H$1204,"&gt;"&amp;H1037)+1)</f>
        <v>0</v>
      </c>
      <c r="R1037" s="8">
        <f>IF(B1037="","",SUMIFS(Pantry!$C$5:$C$304,Pantry!$A$5:$A$304,B1037))</f>
        <v>0</v>
      </c>
      <c r="S1037" s="8">
        <f>IF(OR(B1037="",C1037=""),"",MAX(0,C1037-R1037))</f>
        <v>0</v>
      </c>
      <c r="T1037" s="26"/>
      <c r="U1037" s="8">
        <f>IF(OR(T1037="",T1037=0,G1037=""),"",T1037*G1037)</f>
        <v>0</v>
      </c>
      <c r="V1037" s="8">
        <f>IF(OR(S1037="",T1037="",T1037=0),"",CEILING(S1037/T1037,1))</f>
        <v>0</v>
      </c>
      <c r="W1037" s="27"/>
      <c r="X1037" s="29"/>
      <c r="Y1037" s="8">
        <f>IF(OR(C1037="",X1037=""),"",C1037*(1+X1037))</f>
        <v>0</v>
      </c>
      <c r="Z1037" s="8">
        <f>IF(B1037="","",IFERROR(INDEX(Ingredients!$O$5:$O$304,MATCH(B1037,Ingredients!$A$5:$A$304,0)),""))</f>
        <v>0</v>
      </c>
      <c r="AA1037" s="8">
        <f>IF(B1037="","",IF(R1037&gt;=C1037,"In pantry","To buy"))</f>
        <v>0</v>
      </c>
      <c r="AB1037" s="8">
        <f>IF(A1037="","",COUNTIFS($A$5:A1037,A1037))</f>
        <v>0</v>
      </c>
      <c r="AC1037" s="8">
        <f>IF(B1037="","",IF(COUNTIFS('Dietary Filters'!$C$5:$C$104,B1037)&gt;0,"Check","OK"))</f>
        <v>0</v>
      </c>
      <c r="AD1037" s="25"/>
    </row>
    <row r="1038" spans="1:30">
      <c r="A1038" s="7"/>
      <c r="B1038" s="7"/>
      <c r="C1038" s="26"/>
      <c r="D1038" s="27"/>
      <c r="E1038" s="8">
        <f>IF(B1038="","",IFERROR(INDEX(Ingredients!$B$5:$B$304,MATCH(B1038,Ingredients!$A$5:$A$304,0)),""))</f>
        <v>0</v>
      </c>
      <c r="F1038" s="8">
        <f>IF(B1038="","",IFERROR(INDEX(Ingredients!$E$5:$E$304,MATCH(B1038,Ingredients!$A$5:$A$304,0)),""))</f>
        <v>0</v>
      </c>
      <c r="G1038" s="8">
        <f>IF(B1038="","",IFERROR(INDEX(Ingredients!$D$5:$D$304,MATCH(B1038,Ingredients!$A$5:$A$304,0)),""))</f>
        <v>0</v>
      </c>
      <c r="H1038" s="8">
        <f>IF(OR(B1038="",C1038=""),"",IFERROR(C1038*G1038,""))</f>
        <v>0</v>
      </c>
      <c r="I1038" s="8">
        <f>IF(A1038="","",IFERROR(INDEX(Recipes!$D$5:$D$204,MATCH(A1038,Recipes!$A$5:$A$204,0)),""))</f>
        <v>0</v>
      </c>
      <c r="J1038" s="8">
        <f>IF(OR(H1038="",I1038="",I1038=0),"",IFERROR(H1038/I1038,""))</f>
        <v>0</v>
      </c>
      <c r="K1038" s="8">
        <f>IF(OR(B1038="",C1038=""),"",IFERROR(C1038*IFERROR(INDEX(Ingredients!$H$5:$H$304,MATCH(B1038,Ingredients!$A$5:$A$304,0)),""),""))</f>
        <v>0</v>
      </c>
      <c r="L1038" s="8">
        <f>IF(OR(B1038="",C1038=""),"",IFERROR(C1038*IFERROR(INDEX(Ingredients!$I$5:$I$304,MATCH(B1038,Ingredients!$A$5:$A$304,0)),""),""))</f>
        <v>0</v>
      </c>
      <c r="M1038" s="8">
        <f>IF(OR(B1038="",C1038=""),"",IFERROR(C1038*IFERROR(INDEX(Ingredients!$J$5:$J$304,MATCH(B1038,Ingredients!$A$5:$A$304,0)),""),""))</f>
        <v>0</v>
      </c>
      <c r="N1038" s="8">
        <f>IF(OR(B1038="",C1038=""),"",IFERROR(C1038*IFERROR(INDEX(Ingredients!$K$5:$K$304,MATCH(B1038,Ingredients!$A$5:$A$304,0)),""),""))</f>
        <v>0</v>
      </c>
      <c r="O1038" s="8">
        <f>IF(OR(B1038="",C1038=""),"",IFERROR(C1038*IFERROR(INDEX(Ingredients!$L$5:$L$304,MATCH(B1038,Ingredients!$A$5:$A$304,0)),""),""))</f>
        <v>0</v>
      </c>
      <c r="P1038" s="8">
        <f>IF(OR(H1038="",A1038=""),"",IFERROR(H1038/SUMIFS('Recipe Ingredients'!$H$5:$H$1204,'Recipe Ingredients'!$A$5:$A$1204,A1038),""))</f>
        <v>0</v>
      </c>
      <c r="Q1038" s="8">
        <f>IF(H1038="","",COUNTIFS($H$5:$H$1204,"&gt;"&amp;H1038)+1)</f>
        <v>0</v>
      </c>
      <c r="R1038" s="8">
        <f>IF(B1038="","",SUMIFS(Pantry!$C$5:$C$304,Pantry!$A$5:$A$304,B1038))</f>
        <v>0</v>
      </c>
      <c r="S1038" s="8">
        <f>IF(OR(B1038="",C1038=""),"",MAX(0,C1038-R1038))</f>
        <v>0</v>
      </c>
      <c r="T1038" s="26"/>
      <c r="U1038" s="8">
        <f>IF(OR(T1038="",T1038=0,G1038=""),"",T1038*G1038)</f>
        <v>0</v>
      </c>
      <c r="V1038" s="8">
        <f>IF(OR(S1038="",T1038="",T1038=0),"",CEILING(S1038/T1038,1))</f>
        <v>0</v>
      </c>
      <c r="W1038" s="27"/>
      <c r="X1038" s="29"/>
      <c r="Y1038" s="8">
        <f>IF(OR(C1038="",X1038=""),"",C1038*(1+X1038))</f>
        <v>0</v>
      </c>
      <c r="Z1038" s="8">
        <f>IF(B1038="","",IFERROR(INDEX(Ingredients!$O$5:$O$304,MATCH(B1038,Ingredients!$A$5:$A$304,0)),""))</f>
        <v>0</v>
      </c>
      <c r="AA1038" s="8">
        <f>IF(B1038="","",IF(R1038&gt;=C1038,"In pantry","To buy"))</f>
        <v>0</v>
      </c>
      <c r="AB1038" s="8">
        <f>IF(A1038="","",COUNTIFS($A$5:A1038,A1038))</f>
        <v>0</v>
      </c>
      <c r="AC1038" s="8">
        <f>IF(B1038="","",IF(COUNTIFS('Dietary Filters'!$C$5:$C$104,B1038)&gt;0,"Check","OK"))</f>
        <v>0</v>
      </c>
      <c r="AD1038" s="25"/>
    </row>
    <row r="1039" spans="1:30">
      <c r="A1039" s="7"/>
      <c r="B1039" s="7"/>
      <c r="C1039" s="26"/>
      <c r="D1039" s="27"/>
      <c r="E1039" s="8">
        <f>IF(B1039="","",IFERROR(INDEX(Ingredients!$B$5:$B$304,MATCH(B1039,Ingredients!$A$5:$A$304,0)),""))</f>
        <v>0</v>
      </c>
      <c r="F1039" s="8">
        <f>IF(B1039="","",IFERROR(INDEX(Ingredients!$E$5:$E$304,MATCH(B1039,Ingredients!$A$5:$A$304,0)),""))</f>
        <v>0</v>
      </c>
      <c r="G1039" s="8">
        <f>IF(B1039="","",IFERROR(INDEX(Ingredients!$D$5:$D$304,MATCH(B1039,Ingredients!$A$5:$A$304,0)),""))</f>
        <v>0</v>
      </c>
      <c r="H1039" s="8">
        <f>IF(OR(B1039="",C1039=""),"",IFERROR(C1039*G1039,""))</f>
        <v>0</v>
      </c>
      <c r="I1039" s="8">
        <f>IF(A1039="","",IFERROR(INDEX(Recipes!$D$5:$D$204,MATCH(A1039,Recipes!$A$5:$A$204,0)),""))</f>
        <v>0</v>
      </c>
      <c r="J1039" s="8">
        <f>IF(OR(H1039="",I1039="",I1039=0),"",IFERROR(H1039/I1039,""))</f>
        <v>0</v>
      </c>
      <c r="K1039" s="8">
        <f>IF(OR(B1039="",C1039=""),"",IFERROR(C1039*IFERROR(INDEX(Ingredients!$H$5:$H$304,MATCH(B1039,Ingredients!$A$5:$A$304,0)),""),""))</f>
        <v>0</v>
      </c>
      <c r="L1039" s="8">
        <f>IF(OR(B1039="",C1039=""),"",IFERROR(C1039*IFERROR(INDEX(Ingredients!$I$5:$I$304,MATCH(B1039,Ingredients!$A$5:$A$304,0)),""),""))</f>
        <v>0</v>
      </c>
      <c r="M1039" s="8">
        <f>IF(OR(B1039="",C1039=""),"",IFERROR(C1039*IFERROR(INDEX(Ingredients!$J$5:$J$304,MATCH(B1039,Ingredients!$A$5:$A$304,0)),""),""))</f>
        <v>0</v>
      </c>
      <c r="N1039" s="8">
        <f>IF(OR(B1039="",C1039=""),"",IFERROR(C1039*IFERROR(INDEX(Ingredients!$K$5:$K$304,MATCH(B1039,Ingredients!$A$5:$A$304,0)),""),""))</f>
        <v>0</v>
      </c>
      <c r="O1039" s="8">
        <f>IF(OR(B1039="",C1039=""),"",IFERROR(C1039*IFERROR(INDEX(Ingredients!$L$5:$L$304,MATCH(B1039,Ingredients!$A$5:$A$304,0)),""),""))</f>
        <v>0</v>
      </c>
      <c r="P1039" s="8">
        <f>IF(OR(H1039="",A1039=""),"",IFERROR(H1039/SUMIFS('Recipe Ingredients'!$H$5:$H$1204,'Recipe Ingredients'!$A$5:$A$1204,A1039),""))</f>
        <v>0</v>
      </c>
      <c r="Q1039" s="8">
        <f>IF(H1039="","",COUNTIFS($H$5:$H$1204,"&gt;"&amp;H1039)+1)</f>
        <v>0</v>
      </c>
      <c r="R1039" s="8">
        <f>IF(B1039="","",SUMIFS(Pantry!$C$5:$C$304,Pantry!$A$5:$A$304,B1039))</f>
        <v>0</v>
      </c>
      <c r="S1039" s="8">
        <f>IF(OR(B1039="",C1039=""),"",MAX(0,C1039-R1039))</f>
        <v>0</v>
      </c>
      <c r="T1039" s="26"/>
      <c r="U1039" s="8">
        <f>IF(OR(T1039="",T1039=0,G1039=""),"",T1039*G1039)</f>
        <v>0</v>
      </c>
      <c r="V1039" s="8">
        <f>IF(OR(S1039="",T1039="",T1039=0),"",CEILING(S1039/T1039,1))</f>
        <v>0</v>
      </c>
      <c r="W1039" s="27"/>
      <c r="X1039" s="29"/>
      <c r="Y1039" s="8">
        <f>IF(OR(C1039="",X1039=""),"",C1039*(1+X1039))</f>
        <v>0</v>
      </c>
      <c r="Z1039" s="8">
        <f>IF(B1039="","",IFERROR(INDEX(Ingredients!$O$5:$O$304,MATCH(B1039,Ingredients!$A$5:$A$304,0)),""))</f>
        <v>0</v>
      </c>
      <c r="AA1039" s="8">
        <f>IF(B1039="","",IF(R1039&gt;=C1039,"In pantry","To buy"))</f>
        <v>0</v>
      </c>
      <c r="AB1039" s="8">
        <f>IF(A1039="","",COUNTIFS($A$5:A1039,A1039))</f>
        <v>0</v>
      </c>
      <c r="AC1039" s="8">
        <f>IF(B1039="","",IF(COUNTIFS('Dietary Filters'!$C$5:$C$104,B1039)&gt;0,"Check","OK"))</f>
        <v>0</v>
      </c>
      <c r="AD1039" s="25"/>
    </row>
    <row r="1040" spans="1:30">
      <c r="A1040" s="7"/>
      <c r="B1040" s="7"/>
      <c r="C1040" s="26"/>
      <c r="D1040" s="27"/>
      <c r="E1040" s="8">
        <f>IF(B1040="","",IFERROR(INDEX(Ingredients!$B$5:$B$304,MATCH(B1040,Ingredients!$A$5:$A$304,0)),""))</f>
        <v>0</v>
      </c>
      <c r="F1040" s="8">
        <f>IF(B1040="","",IFERROR(INDEX(Ingredients!$E$5:$E$304,MATCH(B1040,Ingredients!$A$5:$A$304,0)),""))</f>
        <v>0</v>
      </c>
      <c r="G1040" s="8">
        <f>IF(B1040="","",IFERROR(INDEX(Ingredients!$D$5:$D$304,MATCH(B1040,Ingredients!$A$5:$A$304,0)),""))</f>
        <v>0</v>
      </c>
      <c r="H1040" s="8">
        <f>IF(OR(B1040="",C1040=""),"",IFERROR(C1040*G1040,""))</f>
        <v>0</v>
      </c>
      <c r="I1040" s="8">
        <f>IF(A1040="","",IFERROR(INDEX(Recipes!$D$5:$D$204,MATCH(A1040,Recipes!$A$5:$A$204,0)),""))</f>
        <v>0</v>
      </c>
      <c r="J1040" s="8">
        <f>IF(OR(H1040="",I1040="",I1040=0),"",IFERROR(H1040/I1040,""))</f>
        <v>0</v>
      </c>
      <c r="K1040" s="8">
        <f>IF(OR(B1040="",C1040=""),"",IFERROR(C1040*IFERROR(INDEX(Ingredients!$H$5:$H$304,MATCH(B1040,Ingredients!$A$5:$A$304,0)),""),""))</f>
        <v>0</v>
      </c>
      <c r="L1040" s="8">
        <f>IF(OR(B1040="",C1040=""),"",IFERROR(C1040*IFERROR(INDEX(Ingredients!$I$5:$I$304,MATCH(B1040,Ingredients!$A$5:$A$304,0)),""),""))</f>
        <v>0</v>
      </c>
      <c r="M1040" s="8">
        <f>IF(OR(B1040="",C1040=""),"",IFERROR(C1040*IFERROR(INDEX(Ingredients!$J$5:$J$304,MATCH(B1040,Ingredients!$A$5:$A$304,0)),""),""))</f>
        <v>0</v>
      </c>
      <c r="N1040" s="8">
        <f>IF(OR(B1040="",C1040=""),"",IFERROR(C1040*IFERROR(INDEX(Ingredients!$K$5:$K$304,MATCH(B1040,Ingredients!$A$5:$A$304,0)),""),""))</f>
        <v>0</v>
      </c>
      <c r="O1040" s="8">
        <f>IF(OR(B1040="",C1040=""),"",IFERROR(C1040*IFERROR(INDEX(Ingredients!$L$5:$L$304,MATCH(B1040,Ingredients!$A$5:$A$304,0)),""),""))</f>
        <v>0</v>
      </c>
      <c r="P1040" s="8">
        <f>IF(OR(H1040="",A1040=""),"",IFERROR(H1040/SUMIFS('Recipe Ingredients'!$H$5:$H$1204,'Recipe Ingredients'!$A$5:$A$1204,A1040),""))</f>
        <v>0</v>
      </c>
      <c r="Q1040" s="8">
        <f>IF(H1040="","",COUNTIFS($H$5:$H$1204,"&gt;"&amp;H1040)+1)</f>
        <v>0</v>
      </c>
      <c r="R1040" s="8">
        <f>IF(B1040="","",SUMIFS(Pantry!$C$5:$C$304,Pantry!$A$5:$A$304,B1040))</f>
        <v>0</v>
      </c>
      <c r="S1040" s="8">
        <f>IF(OR(B1040="",C1040=""),"",MAX(0,C1040-R1040))</f>
        <v>0</v>
      </c>
      <c r="T1040" s="26"/>
      <c r="U1040" s="8">
        <f>IF(OR(T1040="",T1040=0,G1040=""),"",T1040*G1040)</f>
        <v>0</v>
      </c>
      <c r="V1040" s="8">
        <f>IF(OR(S1040="",T1040="",T1040=0),"",CEILING(S1040/T1040,1))</f>
        <v>0</v>
      </c>
      <c r="W1040" s="27"/>
      <c r="X1040" s="29"/>
      <c r="Y1040" s="8">
        <f>IF(OR(C1040="",X1040=""),"",C1040*(1+X1040))</f>
        <v>0</v>
      </c>
      <c r="Z1040" s="8">
        <f>IF(B1040="","",IFERROR(INDEX(Ingredients!$O$5:$O$304,MATCH(B1040,Ingredients!$A$5:$A$304,0)),""))</f>
        <v>0</v>
      </c>
      <c r="AA1040" s="8">
        <f>IF(B1040="","",IF(R1040&gt;=C1040,"In pantry","To buy"))</f>
        <v>0</v>
      </c>
      <c r="AB1040" s="8">
        <f>IF(A1040="","",COUNTIFS($A$5:A1040,A1040))</f>
        <v>0</v>
      </c>
      <c r="AC1040" s="8">
        <f>IF(B1040="","",IF(COUNTIFS('Dietary Filters'!$C$5:$C$104,B1040)&gt;0,"Check","OK"))</f>
        <v>0</v>
      </c>
      <c r="AD1040" s="25"/>
    </row>
    <row r="1041" spans="1:30">
      <c r="A1041" s="7"/>
      <c r="B1041" s="7"/>
      <c r="C1041" s="26"/>
      <c r="D1041" s="27"/>
      <c r="E1041" s="8">
        <f>IF(B1041="","",IFERROR(INDEX(Ingredients!$B$5:$B$304,MATCH(B1041,Ingredients!$A$5:$A$304,0)),""))</f>
        <v>0</v>
      </c>
      <c r="F1041" s="8">
        <f>IF(B1041="","",IFERROR(INDEX(Ingredients!$E$5:$E$304,MATCH(B1041,Ingredients!$A$5:$A$304,0)),""))</f>
        <v>0</v>
      </c>
      <c r="G1041" s="8">
        <f>IF(B1041="","",IFERROR(INDEX(Ingredients!$D$5:$D$304,MATCH(B1041,Ingredients!$A$5:$A$304,0)),""))</f>
        <v>0</v>
      </c>
      <c r="H1041" s="8">
        <f>IF(OR(B1041="",C1041=""),"",IFERROR(C1041*G1041,""))</f>
        <v>0</v>
      </c>
      <c r="I1041" s="8">
        <f>IF(A1041="","",IFERROR(INDEX(Recipes!$D$5:$D$204,MATCH(A1041,Recipes!$A$5:$A$204,0)),""))</f>
        <v>0</v>
      </c>
      <c r="J1041" s="8">
        <f>IF(OR(H1041="",I1041="",I1041=0),"",IFERROR(H1041/I1041,""))</f>
        <v>0</v>
      </c>
      <c r="K1041" s="8">
        <f>IF(OR(B1041="",C1041=""),"",IFERROR(C1041*IFERROR(INDEX(Ingredients!$H$5:$H$304,MATCH(B1041,Ingredients!$A$5:$A$304,0)),""),""))</f>
        <v>0</v>
      </c>
      <c r="L1041" s="8">
        <f>IF(OR(B1041="",C1041=""),"",IFERROR(C1041*IFERROR(INDEX(Ingredients!$I$5:$I$304,MATCH(B1041,Ingredients!$A$5:$A$304,0)),""),""))</f>
        <v>0</v>
      </c>
      <c r="M1041" s="8">
        <f>IF(OR(B1041="",C1041=""),"",IFERROR(C1041*IFERROR(INDEX(Ingredients!$J$5:$J$304,MATCH(B1041,Ingredients!$A$5:$A$304,0)),""),""))</f>
        <v>0</v>
      </c>
      <c r="N1041" s="8">
        <f>IF(OR(B1041="",C1041=""),"",IFERROR(C1041*IFERROR(INDEX(Ingredients!$K$5:$K$304,MATCH(B1041,Ingredients!$A$5:$A$304,0)),""),""))</f>
        <v>0</v>
      </c>
      <c r="O1041" s="8">
        <f>IF(OR(B1041="",C1041=""),"",IFERROR(C1041*IFERROR(INDEX(Ingredients!$L$5:$L$304,MATCH(B1041,Ingredients!$A$5:$A$304,0)),""),""))</f>
        <v>0</v>
      </c>
      <c r="P1041" s="8">
        <f>IF(OR(H1041="",A1041=""),"",IFERROR(H1041/SUMIFS('Recipe Ingredients'!$H$5:$H$1204,'Recipe Ingredients'!$A$5:$A$1204,A1041),""))</f>
        <v>0</v>
      </c>
      <c r="Q1041" s="8">
        <f>IF(H1041="","",COUNTIFS($H$5:$H$1204,"&gt;"&amp;H1041)+1)</f>
        <v>0</v>
      </c>
      <c r="R1041" s="8">
        <f>IF(B1041="","",SUMIFS(Pantry!$C$5:$C$304,Pantry!$A$5:$A$304,B1041))</f>
        <v>0</v>
      </c>
      <c r="S1041" s="8">
        <f>IF(OR(B1041="",C1041=""),"",MAX(0,C1041-R1041))</f>
        <v>0</v>
      </c>
      <c r="T1041" s="26"/>
      <c r="U1041" s="8">
        <f>IF(OR(T1041="",T1041=0,G1041=""),"",T1041*G1041)</f>
        <v>0</v>
      </c>
      <c r="V1041" s="8">
        <f>IF(OR(S1041="",T1041="",T1041=0),"",CEILING(S1041/T1041,1))</f>
        <v>0</v>
      </c>
      <c r="W1041" s="27"/>
      <c r="X1041" s="29"/>
      <c r="Y1041" s="8">
        <f>IF(OR(C1041="",X1041=""),"",C1041*(1+X1041))</f>
        <v>0</v>
      </c>
      <c r="Z1041" s="8">
        <f>IF(B1041="","",IFERROR(INDEX(Ingredients!$O$5:$O$304,MATCH(B1041,Ingredients!$A$5:$A$304,0)),""))</f>
        <v>0</v>
      </c>
      <c r="AA1041" s="8">
        <f>IF(B1041="","",IF(R1041&gt;=C1041,"In pantry","To buy"))</f>
        <v>0</v>
      </c>
      <c r="AB1041" s="8">
        <f>IF(A1041="","",COUNTIFS($A$5:A1041,A1041))</f>
        <v>0</v>
      </c>
      <c r="AC1041" s="8">
        <f>IF(B1041="","",IF(COUNTIFS('Dietary Filters'!$C$5:$C$104,B1041)&gt;0,"Check","OK"))</f>
        <v>0</v>
      </c>
      <c r="AD1041" s="25"/>
    </row>
    <row r="1042" spans="1:30">
      <c r="A1042" s="7"/>
      <c r="B1042" s="7"/>
      <c r="C1042" s="26"/>
      <c r="D1042" s="27"/>
      <c r="E1042" s="8">
        <f>IF(B1042="","",IFERROR(INDEX(Ingredients!$B$5:$B$304,MATCH(B1042,Ingredients!$A$5:$A$304,0)),""))</f>
        <v>0</v>
      </c>
      <c r="F1042" s="8">
        <f>IF(B1042="","",IFERROR(INDEX(Ingredients!$E$5:$E$304,MATCH(B1042,Ingredients!$A$5:$A$304,0)),""))</f>
        <v>0</v>
      </c>
      <c r="G1042" s="8">
        <f>IF(B1042="","",IFERROR(INDEX(Ingredients!$D$5:$D$304,MATCH(B1042,Ingredients!$A$5:$A$304,0)),""))</f>
        <v>0</v>
      </c>
      <c r="H1042" s="8">
        <f>IF(OR(B1042="",C1042=""),"",IFERROR(C1042*G1042,""))</f>
        <v>0</v>
      </c>
      <c r="I1042" s="8">
        <f>IF(A1042="","",IFERROR(INDEX(Recipes!$D$5:$D$204,MATCH(A1042,Recipes!$A$5:$A$204,0)),""))</f>
        <v>0</v>
      </c>
      <c r="J1042" s="8">
        <f>IF(OR(H1042="",I1042="",I1042=0),"",IFERROR(H1042/I1042,""))</f>
        <v>0</v>
      </c>
      <c r="K1042" s="8">
        <f>IF(OR(B1042="",C1042=""),"",IFERROR(C1042*IFERROR(INDEX(Ingredients!$H$5:$H$304,MATCH(B1042,Ingredients!$A$5:$A$304,0)),""),""))</f>
        <v>0</v>
      </c>
      <c r="L1042" s="8">
        <f>IF(OR(B1042="",C1042=""),"",IFERROR(C1042*IFERROR(INDEX(Ingredients!$I$5:$I$304,MATCH(B1042,Ingredients!$A$5:$A$304,0)),""),""))</f>
        <v>0</v>
      </c>
      <c r="M1042" s="8">
        <f>IF(OR(B1042="",C1042=""),"",IFERROR(C1042*IFERROR(INDEX(Ingredients!$J$5:$J$304,MATCH(B1042,Ingredients!$A$5:$A$304,0)),""),""))</f>
        <v>0</v>
      </c>
      <c r="N1042" s="8">
        <f>IF(OR(B1042="",C1042=""),"",IFERROR(C1042*IFERROR(INDEX(Ingredients!$K$5:$K$304,MATCH(B1042,Ingredients!$A$5:$A$304,0)),""),""))</f>
        <v>0</v>
      </c>
      <c r="O1042" s="8">
        <f>IF(OR(B1042="",C1042=""),"",IFERROR(C1042*IFERROR(INDEX(Ingredients!$L$5:$L$304,MATCH(B1042,Ingredients!$A$5:$A$304,0)),""),""))</f>
        <v>0</v>
      </c>
      <c r="P1042" s="8">
        <f>IF(OR(H1042="",A1042=""),"",IFERROR(H1042/SUMIFS('Recipe Ingredients'!$H$5:$H$1204,'Recipe Ingredients'!$A$5:$A$1204,A1042),""))</f>
        <v>0</v>
      </c>
      <c r="Q1042" s="8">
        <f>IF(H1042="","",COUNTIFS($H$5:$H$1204,"&gt;"&amp;H1042)+1)</f>
        <v>0</v>
      </c>
      <c r="R1042" s="8">
        <f>IF(B1042="","",SUMIFS(Pantry!$C$5:$C$304,Pantry!$A$5:$A$304,B1042))</f>
        <v>0</v>
      </c>
      <c r="S1042" s="8">
        <f>IF(OR(B1042="",C1042=""),"",MAX(0,C1042-R1042))</f>
        <v>0</v>
      </c>
      <c r="T1042" s="26"/>
      <c r="U1042" s="8">
        <f>IF(OR(T1042="",T1042=0,G1042=""),"",T1042*G1042)</f>
        <v>0</v>
      </c>
      <c r="V1042" s="8">
        <f>IF(OR(S1042="",T1042="",T1042=0),"",CEILING(S1042/T1042,1))</f>
        <v>0</v>
      </c>
      <c r="W1042" s="27"/>
      <c r="X1042" s="29"/>
      <c r="Y1042" s="8">
        <f>IF(OR(C1042="",X1042=""),"",C1042*(1+X1042))</f>
        <v>0</v>
      </c>
      <c r="Z1042" s="8">
        <f>IF(B1042="","",IFERROR(INDEX(Ingredients!$O$5:$O$304,MATCH(B1042,Ingredients!$A$5:$A$304,0)),""))</f>
        <v>0</v>
      </c>
      <c r="AA1042" s="8">
        <f>IF(B1042="","",IF(R1042&gt;=C1042,"In pantry","To buy"))</f>
        <v>0</v>
      </c>
      <c r="AB1042" s="8">
        <f>IF(A1042="","",COUNTIFS($A$5:A1042,A1042))</f>
        <v>0</v>
      </c>
      <c r="AC1042" s="8">
        <f>IF(B1042="","",IF(COUNTIFS('Dietary Filters'!$C$5:$C$104,B1042)&gt;0,"Check","OK"))</f>
        <v>0</v>
      </c>
      <c r="AD1042" s="25"/>
    </row>
    <row r="1043" spans="1:30">
      <c r="A1043" s="7"/>
      <c r="B1043" s="7"/>
      <c r="C1043" s="26"/>
      <c r="D1043" s="27"/>
      <c r="E1043" s="8">
        <f>IF(B1043="","",IFERROR(INDEX(Ingredients!$B$5:$B$304,MATCH(B1043,Ingredients!$A$5:$A$304,0)),""))</f>
        <v>0</v>
      </c>
      <c r="F1043" s="8">
        <f>IF(B1043="","",IFERROR(INDEX(Ingredients!$E$5:$E$304,MATCH(B1043,Ingredients!$A$5:$A$304,0)),""))</f>
        <v>0</v>
      </c>
      <c r="G1043" s="8">
        <f>IF(B1043="","",IFERROR(INDEX(Ingredients!$D$5:$D$304,MATCH(B1043,Ingredients!$A$5:$A$304,0)),""))</f>
        <v>0</v>
      </c>
      <c r="H1043" s="8">
        <f>IF(OR(B1043="",C1043=""),"",IFERROR(C1043*G1043,""))</f>
        <v>0</v>
      </c>
      <c r="I1043" s="8">
        <f>IF(A1043="","",IFERROR(INDEX(Recipes!$D$5:$D$204,MATCH(A1043,Recipes!$A$5:$A$204,0)),""))</f>
        <v>0</v>
      </c>
      <c r="J1043" s="8">
        <f>IF(OR(H1043="",I1043="",I1043=0),"",IFERROR(H1043/I1043,""))</f>
        <v>0</v>
      </c>
      <c r="K1043" s="8">
        <f>IF(OR(B1043="",C1043=""),"",IFERROR(C1043*IFERROR(INDEX(Ingredients!$H$5:$H$304,MATCH(B1043,Ingredients!$A$5:$A$304,0)),""),""))</f>
        <v>0</v>
      </c>
      <c r="L1043" s="8">
        <f>IF(OR(B1043="",C1043=""),"",IFERROR(C1043*IFERROR(INDEX(Ingredients!$I$5:$I$304,MATCH(B1043,Ingredients!$A$5:$A$304,0)),""),""))</f>
        <v>0</v>
      </c>
      <c r="M1043" s="8">
        <f>IF(OR(B1043="",C1043=""),"",IFERROR(C1043*IFERROR(INDEX(Ingredients!$J$5:$J$304,MATCH(B1043,Ingredients!$A$5:$A$304,0)),""),""))</f>
        <v>0</v>
      </c>
      <c r="N1043" s="8">
        <f>IF(OR(B1043="",C1043=""),"",IFERROR(C1043*IFERROR(INDEX(Ingredients!$K$5:$K$304,MATCH(B1043,Ingredients!$A$5:$A$304,0)),""),""))</f>
        <v>0</v>
      </c>
      <c r="O1043" s="8">
        <f>IF(OR(B1043="",C1043=""),"",IFERROR(C1043*IFERROR(INDEX(Ingredients!$L$5:$L$304,MATCH(B1043,Ingredients!$A$5:$A$304,0)),""),""))</f>
        <v>0</v>
      </c>
      <c r="P1043" s="8">
        <f>IF(OR(H1043="",A1043=""),"",IFERROR(H1043/SUMIFS('Recipe Ingredients'!$H$5:$H$1204,'Recipe Ingredients'!$A$5:$A$1204,A1043),""))</f>
        <v>0</v>
      </c>
      <c r="Q1043" s="8">
        <f>IF(H1043="","",COUNTIFS($H$5:$H$1204,"&gt;"&amp;H1043)+1)</f>
        <v>0</v>
      </c>
      <c r="R1043" s="8">
        <f>IF(B1043="","",SUMIFS(Pantry!$C$5:$C$304,Pantry!$A$5:$A$304,B1043))</f>
        <v>0</v>
      </c>
      <c r="S1043" s="8">
        <f>IF(OR(B1043="",C1043=""),"",MAX(0,C1043-R1043))</f>
        <v>0</v>
      </c>
      <c r="T1043" s="26"/>
      <c r="U1043" s="8">
        <f>IF(OR(T1043="",T1043=0,G1043=""),"",T1043*G1043)</f>
        <v>0</v>
      </c>
      <c r="V1043" s="8">
        <f>IF(OR(S1043="",T1043="",T1043=0),"",CEILING(S1043/T1043,1))</f>
        <v>0</v>
      </c>
      <c r="W1043" s="27"/>
      <c r="X1043" s="29"/>
      <c r="Y1043" s="8">
        <f>IF(OR(C1043="",X1043=""),"",C1043*(1+X1043))</f>
        <v>0</v>
      </c>
      <c r="Z1043" s="8">
        <f>IF(B1043="","",IFERROR(INDEX(Ingredients!$O$5:$O$304,MATCH(B1043,Ingredients!$A$5:$A$304,0)),""))</f>
        <v>0</v>
      </c>
      <c r="AA1043" s="8">
        <f>IF(B1043="","",IF(R1043&gt;=C1043,"In pantry","To buy"))</f>
        <v>0</v>
      </c>
      <c r="AB1043" s="8">
        <f>IF(A1043="","",COUNTIFS($A$5:A1043,A1043))</f>
        <v>0</v>
      </c>
      <c r="AC1043" s="8">
        <f>IF(B1043="","",IF(COUNTIFS('Dietary Filters'!$C$5:$C$104,B1043)&gt;0,"Check","OK"))</f>
        <v>0</v>
      </c>
      <c r="AD1043" s="25"/>
    </row>
    <row r="1044" spans="1:30">
      <c r="A1044" s="7"/>
      <c r="B1044" s="7"/>
      <c r="C1044" s="26"/>
      <c r="D1044" s="27"/>
      <c r="E1044" s="8">
        <f>IF(B1044="","",IFERROR(INDEX(Ingredients!$B$5:$B$304,MATCH(B1044,Ingredients!$A$5:$A$304,0)),""))</f>
        <v>0</v>
      </c>
      <c r="F1044" s="8">
        <f>IF(B1044="","",IFERROR(INDEX(Ingredients!$E$5:$E$304,MATCH(B1044,Ingredients!$A$5:$A$304,0)),""))</f>
        <v>0</v>
      </c>
      <c r="G1044" s="8">
        <f>IF(B1044="","",IFERROR(INDEX(Ingredients!$D$5:$D$304,MATCH(B1044,Ingredients!$A$5:$A$304,0)),""))</f>
        <v>0</v>
      </c>
      <c r="H1044" s="8">
        <f>IF(OR(B1044="",C1044=""),"",IFERROR(C1044*G1044,""))</f>
        <v>0</v>
      </c>
      <c r="I1044" s="8">
        <f>IF(A1044="","",IFERROR(INDEX(Recipes!$D$5:$D$204,MATCH(A1044,Recipes!$A$5:$A$204,0)),""))</f>
        <v>0</v>
      </c>
      <c r="J1044" s="8">
        <f>IF(OR(H1044="",I1044="",I1044=0),"",IFERROR(H1044/I1044,""))</f>
        <v>0</v>
      </c>
      <c r="K1044" s="8">
        <f>IF(OR(B1044="",C1044=""),"",IFERROR(C1044*IFERROR(INDEX(Ingredients!$H$5:$H$304,MATCH(B1044,Ingredients!$A$5:$A$304,0)),""),""))</f>
        <v>0</v>
      </c>
      <c r="L1044" s="8">
        <f>IF(OR(B1044="",C1044=""),"",IFERROR(C1044*IFERROR(INDEX(Ingredients!$I$5:$I$304,MATCH(B1044,Ingredients!$A$5:$A$304,0)),""),""))</f>
        <v>0</v>
      </c>
      <c r="M1044" s="8">
        <f>IF(OR(B1044="",C1044=""),"",IFERROR(C1044*IFERROR(INDEX(Ingredients!$J$5:$J$304,MATCH(B1044,Ingredients!$A$5:$A$304,0)),""),""))</f>
        <v>0</v>
      </c>
      <c r="N1044" s="8">
        <f>IF(OR(B1044="",C1044=""),"",IFERROR(C1044*IFERROR(INDEX(Ingredients!$K$5:$K$304,MATCH(B1044,Ingredients!$A$5:$A$304,0)),""),""))</f>
        <v>0</v>
      </c>
      <c r="O1044" s="8">
        <f>IF(OR(B1044="",C1044=""),"",IFERROR(C1044*IFERROR(INDEX(Ingredients!$L$5:$L$304,MATCH(B1044,Ingredients!$A$5:$A$304,0)),""),""))</f>
        <v>0</v>
      </c>
      <c r="P1044" s="8">
        <f>IF(OR(H1044="",A1044=""),"",IFERROR(H1044/SUMIFS('Recipe Ingredients'!$H$5:$H$1204,'Recipe Ingredients'!$A$5:$A$1204,A1044),""))</f>
        <v>0</v>
      </c>
      <c r="Q1044" s="8">
        <f>IF(H1044="","",COUNTIFS($H$5:$H$1204,"&gt;"&amp;H1044)+1)</f>
        <v>0</v>
      </c>
      <c r="R1044" s="8">
        <f>IF(B1044="","",SUMIFS(Pantry!$C$5:$C$304,Pantry!$A$5:$A$304,B1044))</f>
        <v>0</v>
      </c>
      <c r="S1044" s="8">
        <f>IF(OR(B1044="",C1044=""),"",MAX(0,C1044-R1044))</f>
        <v>0</v>
      </c>
      <c r="T1044" s="26"/>
      <c r="U1044" s="8">
        <f>IF(OR(T1044="",T1044=0,G1044=""),"",T1044*G1044)</f>
        <v>0</v>
      </c>
      <c r="V1044" s="8">
        <f>IF(OR(S1044="",T1044="",T1044=0),"",CEILING(S1044/T1044,1))</f>
        <v>0</v>
      </c>
      <c r="W1044" s="27"/>
      <c r="X1044" s="29"/>
      <c r="Y1044" s="8">
        <f>IF(OR(C1044="",X1044=""),"",C1044*(1+X1044))</f>
        <v>0</v>
      </c>
      <c r="Z1044" s="8">
        <f>IF(B1044="","",IFERROR(INDEX(Ingredients!$O$5:$O$304,MATCH(B1044,Ingredients!$A$5:$A$304,0)),""))</f>
        <v>0</v>
      </c>
      <c r="AA1044" s="8">
        <f>IF(B1044="","",IF(R1044&gt;=C1044,"In pantry","To buy"))</f>
        <v>0</v>
      </c>
      <c r="AB1044" s="8">
        <f>IF(A1044="","",COUNTIFS($A$5:A1044,A1044))</f>
        <v>0</v>
      </c>
      <c r="AC1044" s="8">
        <f>IF(B1044="","",IF(COUNTIFS('Dietary Filters'!$C$5:$C$104,B1044)&gt;0,"Check","OK"))</f>
        <v>0</v>
      </c>
      <c r="AD1044" s="25"/>
    </row>
    <row r="1045" spans="1:30">
      <c r="A1045" s="7"/>
      <c r="B1045" s="7"/>
      <c r="C1045" s="26"/>
      <c r="D1045" s="27"/>
      <c r="E1045" s="8">
        <f>IF(B1045="","",IFERROR(INDEX(Ingredients!$B$5:$B$304,MATCH(B1045,Ingredients!$A$5:$A$304,0)),""))</f>
        <v>0</v>
      </c>
      <c r="F1045" s="8">
        <f>IF(B1045="","",IFERROR(INDEX(Ingredients!$E$5:$E$304,MATCH(B1045,Ingredients!$A$5:$A$304,0)),""))</f>
        <v>0</v>
      </c>
      <c r="G1045" s="8">
        <f>IF(B1045="","",IFERROR(INDEX(Ingredients!$D$5:$D$304,MATCH(B1045,Ingredients!$A$5:$A$304,0)),""))</f>
        <v>0</v>
      </c>
      <c r="H1045" s="8">
        <f>IF(OR(B1045="",C1045=""),"",IFERROR(C1045*G1045,""))</f>
        <v>0</v>
      </c>
      <c r="I1045" s="8">
        <f>IF(A1045="","",IFERROR(INDEX(Recipes!$D$5:$D$204,MATCH(A1045,Recipes!$A$5:$A$204,0)),""))</f>
        <v>0</v>
      </c>
      <c r="J1045" s="8">
        <f>IF(OR(H1045="",I1045="",I1045=0),"",IFERROR(H1045/I1045,""))</f>
        <v>0</v>
      </c>
      <c r="K1045" s="8">
        <f>IF(OR(B1045="",C1045=""),"",IFERROR(C1045*IFERROR(INDEX(Ingredients!$H$5:$H$304,MATCH(B1045,Ingredients!$A$5:$A$304,0)),""),""))</f>
        <v>0</v>
      </c>
      <c r="L1045" s="8">
        <f>IF(OR(B1045="",C1045=""),"",IFERROR(C1045*IFERROR(INDEX(Ingredients!$I$5:$I$304,MATCH(B1045,Ingredients!$A$5:$A$304,0)),""),""))</f>
        <v>0</v>
      </c>
      <c r="M1045" s="8">
        <f>IF(OR(B1045="",C1045=""),"",IFERROR(C1045*IFERROR(INDEX(Ingredients!$J$5:$J$304,MATCH(B1045,Ingredients!$A$5:$A$304,0)),""),""))</f>
        <v>0</v>
      </c>
      <c r="N1045" s="8">
        <f>IF(OR(B1045="",C1045=""),"",IFERROR(C1045*IFERROR(INDEX(Ingredients!$K$5:$K$304,MATCH(B1045,Ingredients!$A$5:$A$304,0)),""),""))</f>
        <v>0</v>
      </c>
      <c r="O1045" s="8">
        <f>IF(OR(B1045="",C1045=""),"",IFERROR(C1045*IFERROR(INDEX(Ingredients!$L$5:$L$304,MATCH(B1045,Ingredients!$A$5:$A$304,0)),""),""))</f>
        <v>0</v>
      </c>
      <c r="P1045" s="8">
        <f>IF(OR(H1045="",A1045=""),"",IFERROR(H1045/SUMIFS('Recipe Ingredients'!$H$5:$H$1204,'Recipe Ingredients'!$A$5:$A$1204,A1045),""))</f>
        <v>0</v>
      </c>
      <c r="Q1045" s="8">
        <f>IF(H1045="","",COUNTIFS($H$5:$H$1204,"&gt;"&amp;H1045)+1)</f>
        <v>0</v>
      </c>
      <c r="R1045" s="8">
        <f>IF(B1045="","",SUMIFS(Pantry!$C$5:$C$304,Pantry!$A$5:$A$304,B1045))</f>
        <v>0</v>
      </c>
      <c r="S1045" s="8">
        <f>IF(OR(B1045="",C1045=""),"",MAX(0,C1045-R1045))</f>
        <v>0</v>
      </c>
      <c r="T1045" s="26"/>
      <c r="U1045" s="8">
        <f>IF(OR(T1045="",T1045=0,G1045=""),"",T1045*G1045)</f>
        <v>0</v>
      </c>
      <c r="V1045" s="8">
        <f>IF(OR(S1045="",T1045="",T1045=0),"",CEILING(S1045/T1045,1))</f>
        <v>0</v>
      </c>
      <c r="W1045" s="27"/>
      <c r="X1045" s="29"/>
      <c r="Y1045" s="8">
        <f>IF(OR(C1045="",X1045=""),"",C1045*(1+X1045))</f>
        <v>0</v>
      </c>
      <c r="Z1045" s="8">
        <f>IF(B1045="","",IFERROR(INDEX(Ingredients!$O$5:$O$304,MATCH(B1045,Ingredients!$A$5:$A$304,0)),""))</f>
        <v>0</v>
      </c>
      <c r="AA1045" s="8">
        <f>IF(B1045="","",IF(R1045&gt;=C1045,"In pantry","To buy"))</f>
        <v>0</v>
      </c>
      <c r="AB1045" s="8">
        <f>IF(A1045="","",COUNTIFS($A$5:A1045,A1045))</f>
        <v>0</v>
      </c>
      <c r="AC1045" s="8">
        <f>IF(B1045="","",IF(COUNTIFS('Dietary Filters'!$C$5:$C$104,B1045)&gt;0,"Check","OK"))</f>
        <v>0</v>
      </c>
      <c r="AD1045" s="25"/>
    </row>
    <row r="1046" spans="1:30">
      <c r="A1046" s="7"/>
      <c r="B1046" s="7"/>
      <c r="C1046" s="26"/>
      <c r="D1046" s="27"/>
      <c r="E1046" s="8">
        <f>IF(B1046="","",IFERROR(INDEX(Ingredients!$B$5:$B$304,MATCH(B1046,Ingredients!$A$5:$A$304,0)),""))</f>
        <v>0</v>
      </c>
      <c r="F1046" s="8">
        <f>IF(B1046="","",IFERROR(INDEX(Ingredients!$E$5:$E$304,MATCH(B1046,Ingredients!$A$5:$A$304,0)),""))</f>
        <v>0</v>
      </c>
      <c r="G1046" s="8">
        <f>IF(B1046="","",IFERROR(INDEX(Ingredients!$D$5:$D$304,MATCH(B1046,Ingredients!$A$5:$A$304,0)),""))</f>
        <v>0</v>
      </c>
      <c r="H1046" s="8">
        <f>IF(OR(B1046="",C1046=""),"",IFERROR(C1046*G1046,""))</f>
        <v>0</v>
      </c>
      <c r="I1046" s="8">
        <f>IF(A1046="","",IFERROR(INDEX(Recipes!$D$5:$D$204,MATCH(A1046,Recipes!$A$5:$A$204,0)),""))</f>
        <v>0</v>
      </c>
      <c r="J1046" s="8">
        <f>IF(OR(H1046="",I1046="",I1046=0),"",IFERROR(H1046/I1046,""))</f>
        <v>0</v>
      </c>
      <c r="K1046" s="8">
        <f>IF(OR(B1046="",C1046=""),"",IFERROR(C1046*IFERROR(INDEX(Ingredients!$H$5:$H$304,MATCH(B1046,Ingredients!$A$5:$A$304,0)),""),""))</f>
        <v>0</v>
      </c>
      <c r="L1046" s="8">
        <f>IF(OR(B1046="",C1046=""),"",IFERROR(C1046*IFERROR(INDEX(Ingredients!$I$5:$I$304,MATCH(B1046,Ingredients!$A$5:$A$304,0)),""),""))</f>
        <v>0</v>
      </c>
      <c r="M1046" s="8">
        <f>IF(OR(B1046="",C1046=""),"",IFERROR(C1046*IFERROR(INDEX(Ingredients!$J$5:$J$304,MATCH(B1046,Ingredients!$A$5:$A$304,0)),""),""))</f>
        <v>0</v>
      </c>
      <c r="N1046" s="8">
        <f>IF(OR(B1046="",C1046=""),"",IFERROR(C1046*IFERROR(INDEX(Ingredients!$K$5:$K$304,MATCH(B1046,Ingredients!$A$5:$A$304,0)),""),""))</f>
        <v>0</v>
      </c>
      <c r="O1046" s="8">
        <f>IF(OR(B1046="",C1046=""),"",IFERROR(C1046*IFERROR(INDEX(Ingredients!$L$5:$L$304,MATCH(B1046,Ingredients!$A$5:$A$304,0)),""),""))</f>
        <v>0</v>
      </c>
      <c r="P1046" s="8">
        <f>IF(OR(H1046="",A1046=""),"",IFERROR(H1046/SUMIFS('Recipe Ingredients'!$H$5:$H$1204,'Recipe Ingredients'!$A$5:$A$1204,A1046),""))</f>
        <v>0</v>
      </c>
      <c r="Q1046" s="8">
        <f>IF(H1046="","",COUNTIFS($H$5:$H$1204,"&gt;"&amp;H1046)+1)</f>
        <v>0</v>
      </c>
      <c r="R1046" s="8">
        <f>IF(B1046="","",SUMIFS(Pantry!$C$5:$C$304,Pantry!$A$5:$A$304,B1046))</f>
        <v>0</v>
      </c>
      <c r="S1046" s="8">
        <f>IF(OR(B1046="",C1046=""),"",MAX(0,C1046-R1046))</f>
        <v>0</v>
      </c>
      <c r="T1046" s="26"/>
      <c r="U1046" s="8">
        <f>IF(OR(T1046="",T1046=0,G1046=""),"",T1046*G1046)</f>
        <v>0</v>
      </c>
      <c r="V1046" s="8">
        <f>IF(OR(S1046="",T1046="",T1046=0),"",CEILING(S1046/T1046,1))</f>
        <v>0</v>
      </c>
      <c r="W1046" s="27"/>
      <c r="X1046" s="29"/>
      <c r="Y1046" s="8">
        <f>IF(OR(C1046="",X1046=""),"",C1046*(1+X1046))</f>
        <v>0</v>
      </c>
      <c r="Z1046" s="8">
        <f>IF(B1046="","",IFERROR(INDEX(Ingredients!$O$5:$O$304,MATCH(B1046,Ingredients!$A$5:$A$304,0)),""))</f>
        <v>0</v>
      </c>
      <c r="AA1046" s="8">
        <f>IF(B1046="","",IF(R1046&gt;=C1046,"In pantry","To buy"))</f>
        <v>0</v>
      </c>
      <c r="AB1046" s="8">
        <f>IF(A1046="","",COUNTIFS($A$5:A1046,A1046))</f>
        <v>0</v>
      </c>
      <c r="AC1046" s="8">
        <f>IF(B1046="","",IF(COUNTIFS('Dietary Filters'!$C$5:$C$104,B1046)&gt;0,"Check","OK"))</f>
        <v>0</v>
      </c>
      <c r="AD1046" s="25"/>
    </row>
    <row r="1047" spans="1:30">
      <c r="A1047" s="7"/>
      <c r="B1047" s="7"/>
      <c r="C1047" s="26"/>
      <c r="D1047" s="27"/>
      <c r="E1047" s="8">
        <f>IF(B1047="","",IFERROR(INDEX(Ingredients!$B$5:$B$304,MATCH(B1047,Ingredients!$A$5:$A$304,0)),""))</f>
        <v>0</v>
      </c>
      <c r="F1047" s="8">
        <f>IF(B1047="","",IFERROR(INDEX(Ingredients!$E$5:$E$304,MATCH(B1047,Ingredients!$A$5:$A$304,0)),""))</f>
        <v>0</v>
      </c>
      <c r="G1047" s="8">
        <f>IF(B1047="","",IFERROR(INDEX(Ingredients!$D$5:$D$304,MATCH(B1047,Ingredients!$A$5:$A$304,0)),""))</f>
        <v>0</v>
      </c>
      <c r="H1047" s="8">
        <f>IF(OR(B1047="",C1047=""),"",IFERROR(C1047*G1047,""))</f>
        <v>0</v>
      </c>
      <c r="I1047" s="8">
        <f>IF(A1047="","",IFERROR(INDEX(Recipes!$D$5:$D$204,MATCH(A1047,Recipes!$A$5:$A$204,0)),""))</f>
        <v>0</v>
      </c>
      <c r="J1047" s="8">
        <f>IF(OR(H1047="",I1047="",I1047=0),"",IFERROR(H1047/I1047,""))</f>
        <v>0</v>
      </c>
      <c r="K1047" s="8">
        <f>IF(OR(B1047="",C1047=""),"",IFERROR(C1047*IFERROR(INDEX(Ingredients!$H$5:$H$304,MATCH(B1047,Ingredients!$A$5:$A$304,0)),""),""))</f>
        <v>0</v>
      </c>
      <c r="L1047" s="8">
        <f>IF(OR(B1047="",C1047=""),"",IFERROR(C1047*IFERROR(INDEX(Ingredients!$I$5:$I$304,MATCH(B1047,Ingredients!$A$5:$A$304,0)),""),""))</f>
        <v>0</v>
      </c>
      <c r="M1047" s="8">
        <f>IF(OR(B1047="",C1047=""),"",IFERROR(C1047*IFERROR(INDEX(Ingredients!$J$5:$J$304,MATCH(B1047,Ingredients!$A$5:$A$304,0)),""),""))</f>
        <v>0</v>
      </c>
      <c r="N1047" s="8">
        <f>IF(OR(B1047="",C1047=""),"",IFERROR(C1047*IFERROR(INDEX(Ingredients!$K$5:$K$304,MATCH(B1047,Ingredients!$A$5:$A$304,0)),""),""))</f>
        <v>0</v>
      </c>
      <c r="O1047" s="8">
        <f>IF(OR(B1047="",C1047=""),"",IFERROR(C1047*IFERROR(INDEX(Ingredients!$L$5:$L$304,MATCH(B1047,Ingredients!$A$5:$A$304,0)),""),""))</f>
        <v>0</v>
      </c>
      <c r="P1047" s="8">
        <f>IF(OR(H1047="",A1047=""),"",IFERROR(H1047/SUMIFS('Recipe Ingredients'!$H$5:$H$1204,'Recipe Ingredients'!$A$5:$A$1204,A1047),""))</f>
        <v>0</v>
      </c>
      <c r="Q1047" s="8">
        <f>IF(H1047="","",COUNTIFS($H$5:$H$1204,"&gt;"&amp;H1047)+1)</f>
        <v>0</v>
      </c>
      <c r="R1047" s="8">
        <f>IF(B1047="","",SUMIFS(Pantry!$C$5:$C$304,Pantry!$A$5:$A$304,B1047))</f>
        <v>0</v>
      </c>
      <c r="S1047" s="8">
        <f>IF(OR(B1047="",C1047=""),"",MAX(0,C1047-R1047))</f>
        <v>0</v>
      </c>
      <c r="T1047" s="26"/>
      <c r="U1047" s="8">
        <f>IF(OR(T1047="",T1047=0,G1047=""),"",T1047*G1047)</f>
        <v>0</v>
      </c>
      <c r="V1047" s="8">
        <f>IF(OR(S1047="",T1047="",T1047=0),"",CEILING(S1047/T1047,1))</f>
        <v>0</v>
      </c>
      <c r="W1047" s="27"/>
      <c r="X1047" s="29"/>
      <c r="Y1047" s="8">
        <f>IF(OR(C1047="",X1047=""),"",C1047*(1+X1047))</f>
        <v>0</v>
      </c>
      <c r="Z1047" s="8">
        <f>IF(B1047="","",IFERROR(INDEX(Ingredients!$O$5:$O$304,MATCH(B1047,Ingredients!$A$5:$A$304,0)),""))</f>
        <v>0</v>
      </c>
      <c r="AA1047" s="8">
        <f>IF(B1047="","",IF(R1047&gt;=C1047,"In pantry","To buy"))</f>
        <v>0</v>
      </c>
      <c r="AB1047" s="8">
        <f>IF(A1047="","",COUNTIFS($A$5:A1047,A1047))</f>
        <v>0</v>
      </c>
      <c r="AC1047" s="8">
        <f>IF(B1047="","",IF(COUNTIFS('Dietary Filters'!$C$5:$C$104,B1047)&gt;0,"Check","OK"))</f>
        <v>0</v>
      </c>
      <c r="AD1047" s="25"/>
    </row>
    <row r="1048" spans="1:30">
      <c r="A1048" s="7"/>
      <c r="B1048" s="7"/>
      <c r="C1048" s="26"/>
      <c r="D1048" s="27"/>
      <c r="E1048" s="8">
        <f>IF(B1048="","",IFERROR(INDEX(Ingredients!$B$5:$B$304,MATCH(B1048,Ingredients!$A$5:$A$304,0)),""))</f>
        <v>0</v>
      </c>
      <c r="F1048" s="8">
        <f>IF(B1048="","",IFERROR(INDEX(Ingredients!$E$5:$E$304,MATCH(B1048,Ingredients!$A$5:$A$304,0)),""))</f>
        <v>0</v>
      </c>
      <c r="G1048" s="8">
        <f>IF(B1048="","",IFERROR(INDEX(Ingredients!$D$5:$D$304,MATCH(B1048,Ingredients!$A$5:$A$304,0)),""))</f>
        <v>0</v>
      </c>
      <c r="H1048" s="8">
        <f>IF(OR(B1048="",C1048=""),"",IFERROR(C1048*G1048,""))</f>
        <v>0</v>
      </c>
      <c r="I1048" s="8">
        <f>IF(A1048="","",IFERROR(INDEX(Recipes!$D$5:$D$204,MATCH(A1048,Recipes!$A$5:$A$204,0)),""))</f>
        <v>0</v>
      </c>
      <c r="J1048" s="8">
        <f>IF(OR(H1048="",I1048="",I1048=0),"",IFERROR(H1048/I1048,""))</f>
        <v>0</v>
      </c>
      <c r="K1048" s="8">
        <f>IF(OR(B1048="",C1048=""),"",IFERROR(C1048*IFERROR(INDEX(Ingredients!$H$5:$H$304,MATCH(B1048,Ingredients!$A$5:$A$304,0)),""),""))</f>
        <v>0</v>
      </c>
      <c r="L1048" s="8">
        <f>IF(OR(B1048="",C1048=""),"",IFERROR(C1048*IFERROR(INDEX(Ingredients!$I$5:$I$304,MATCH(B1048,Ingredients!$A$5:$A$304,0)),""),""))</f>
        <v>0</v>
      </c>
      <c r="M1048" s="8">
        <f>IF(OR(B1048="",C1048=""),"",IFERROR(C1048*IFERROR(INDEX(Ingredients!$J$5:$J$304,MATCH(B1048,Ingredients!$A$5:$A$304,0)),""),""))</f>
        <v>0</v>
      </c>
      <c r="N1048" s="8">
        <f>IF(OR(B1048="",C1048=""),"",IFERROR(C1048*IFERROR(INDEX(Ingredients!$K$5:$K$304,MATCH(B1048,Ingredients!$A$5:$A$304,0)),""),""))</f>
        <v>0</v>
      </c>
      <c r="O1048" s="8">
        <f>IF(OR(B1048="",C1048=""),"",IFERROR(C1048*IFERROR(INDEX(Ingredients!$L$5:$L$304,MATCH(B1048,Ingredients!$A$5:$A$304,0)),""),""))</f>
        <v>0</v>
      </c>
      <c r="P1048" s="8">
        <f>IF(OR(H1048="",A1048=""),"",IFERROR(H1048/SUMIFS('Recipe Ingredients'!$H$5:$H$1204,'Recipe Ingredients'!$A$5:$A$1204,A1048),""))</f>
        <v>0</v>
      </c>
      <c r="Q1048" s="8">
        <f>IF(H1048="","",COUNTIFS($H$5:$H$1204,"&gt;"&amp;H1048)+1)</f>
        <v>0</v>
      </c>
      <c r="R1048" s="8">
        <f>IF(B1048="","",SUMIFS(Pantry!$C$5:$C$304,Pantry!$A$5:$A$304,B1048))</f>
        <v>0</v>
      </c>
      <c r="S1048" s="8">
        <f>IF(OR(B1048="",C1048=""),"",MAX(0,C1048-R1048))</f>
        <v>0</v>
      </c>
      <c r="T1048" s="26"/>
      <c r="U1048" s="8">
        <f>IF(OR(T1048="",T1048=0,G1048=""),"",T1048*G1048)</f>
        <v>0</v>
      </c>
      <c r="V1048" s="8">
        <f>IF(OR(S1048="",T1048="",T1048=0),"",CEILING(S1048/T1048,1))</f>
        <v>0</v>
      </c>
      <c r="W1048" s="27"/>
      <c r="X1048" s="29"/>
      <c r="Y1048" s="8">
        <f>IF(OR(C1048="",X1048=""),"",C1048*(1+X1048))</f>
        <v>0</v>
      </c>
      <c r="Z1048" s="8">
        <f>IF(B1048="","",IFERROR(INDEX(Ingredients!$O$5:$O$304,MATCH(B1048,Ingredients!$A$5:$A$304,0)),""))</f>
        <v>0</v>
      </c>
      <c r="AA1048" s="8">
        <f>IF(B1048="","",IF(R1048&gt;=C1048,"In pantry","To buy"))</f>
        <v>0</v>
      </c>
      <c r="AB1048" s="8">
        <f>IF(A1048="","",COUNTIFS($A$5:A1048,A1048))</f>
        <v>0</v>
      </c>
      <c r="AC1048" s="8">
        <f>IF(B1048="","",IF(COUNTIFS('Dietary Filters'!$C$5:$C$104,B1048)&gt;0,"Check","OK"))</f>
        <v>0</v>
      </c>
      <c r="AD1048" s="25"/>
    </row>
    <row r="1049" spans="1:30">
      <c r="A1049" s="7"/>
      <c r="B1049" s="7"/>
      <c r="C1049" s="26"/>
      <c r="D1049" s="27"/>
      <c r="E1049" s="8">
        <f>IF(B1049="","",IFERROR(INDEX(Ingredients!$B$5:$B$304,MATCH(B1049,Ingredients!$A$5:$A$304,0)),""))</f>
        <v>0</v>
      </c>
      <c r="F1049" s="8">
        <f>IF(B1049="","",IFERROR(INDEX(Ingredients!$E$5:$E$304,MATCH(B1049,Ingredients!$A$5:$A$304,0)),""))</f>
        <v>0</v>
      </c>
      <c r="G1049" s="8">
        <f>IF(B1049="","",IFERROR(INDEX(Ingredients!$D$5:$D$304,MATCH(B1049,Ingredients!$A$5:$A$304,0)),""))</f>
        <v>0</v>
      </c>
      <c r="H1049" s="8">
        <f>IF(OR(B1049="",C1049=""),"",IFERROR(C1049*G1049,""))</f>
        <v>0</v>
      </c>
      <c r="I1049" s="8">
        <f>IF(A1049="","",IFERROR(INDEX(Recipes!$D$5:$D$204,MATCH(A1049,Recipes!$A$5:$A$204,0)),""))</f>
        <v>0</v>
      </c>
      <c r="J1049" s="8">
        <f>IF(OR(H1049="",I1049="",I1049=0),"",IFERROR(H1049/I1049,""))</f>
        <v>0</v>
      </c>
      <c r="K1049" s="8">
        <f>IF(OR(B1049="",C1049=""),"",IFERROR(C1049*IFERROR(INDEX(Ingredients!$H$5:$H$304,MATCH(B1049,Ingredients!$A$5:$A$304,0)),""),""))</f>
        <v>0</v>
      </c>
      <c r="L1049" s="8">
        <f>IF(OR(B1049="",C1049=""),"",IFERROR(C1049*IFERROR(INDEX(Ingredients!$I$5:$I$304,MATCH(B1049,Ingredients!$A$5:$A$304,0)),""),""))</f>
        <v>0</v>
      </c>
      <c r="M1049" s="8">
        <f>IF(OR(B1049="",C1049=""),"",IFERROR(C1049*IFERROR(INDEX(Ingredients!$J$5:$J$304,MATCH(B1049,Ingredients!$A$5:$A$304,0)),""),""))</f>
        <v>0</v>
      </c>
      <c r="N1049" s="8">
        <f>IF(OR(B1049="",C1049=""),"",IFERROR(C1049*IFERROR(INDEX(Ingredients!$K$5:$K$304,MATCH(B1049,Ingredients!$A$5:$A$304,0)),""),""))</f>
        <v>0</v>
      </c>
      <c r="O1049" s="8">
        <f>IF(OR(B1049="",C1049=""),"",IFERROR(C1049*IFERROR(INDEX(Ingredients!$L$5:$L$304,MATCH(B1049,Ingredients!$A$5:$A$304,0)),""),""))</f>
        <v>0</v>
      </c>
      <c r="P1049" s="8">
        <f>IF(OR(H1049="",A1049=""),"",IFERROR(H1049/SUMIFS('Recipe Ingredients'!$H$5:$H$1204,'Recipe Ingredients'!$A$5:$A$1204,A1049),""))</f>
        <v>0</v>
      </c>
      <c r="Q1049" s="8">
        <f>IF(H1049="","",COUNTIFS($H$5:$H$1204,"&gt;"&amp;H1049)+1)</f>
        <v>0</v>
      </c>
      <c r="R1049" s="8">
        <f>IF(B1049="","",SUMIFS(Pantry!$C$5:$C$304,Pantry!$A$5:$A$304,B1049))</f>
        <v>0</v>
      </c>
      <c r="S1049" s="8">
        <f>IF(OR(B1049="",C1049=""),"",MAX(0,C1049-R1049))</f>
        <v>0</v>
      </c>
      <c r="T1049" s="26"/>
      <c r="U1049" s="8">
        <f>IF(OR(T1049="",T1049=0,G1049=""),"",T1049*G1049)</f>
        <v>0</v>
      </c>
      <c r="V1049" s="8">
        <f>IF(OR(S1049="",T1049="",T1049=0),"",CEILING(S1049/T1049,1))</f>
        <v>0</v>
      </c>
      <c r="W1049" s="27"/>
      <c r="X1049" s="29"/>
      <c r="Y1049" s="8">
        <f>IF(OR(C1049="",X1049=""),"",C1049*(1+X1049))</f>
        <v>0</v>
      </c>
      <c r="Z1049" s="8">
        <f>IF(B1049="","",IFERROR(INDEX(Ingredients!$O$5:$O$304,MATCH(B1049,Ingredients!$A$5:$A$304,0)),""))</f>
        <v>0</v>
      </c>
      <c r="AA1049" s="8">
        <f>IF(B1049="","",IF(R1049&gt;=C1049,"In pantry","To buy"))</f>
        <v>0</v>
      </c>
      <c r="AB1049" s="8">
        <f>IF(A1049="","",COUNTIFS($A$5:A1049,A1049))</f>
        <v>0</v>
      </c>
      <c r="AC1049" s="8">
        <f>IF(B1049="","",IF(COUNTIFS('Dietary Filters'!$C$5:$C$104,B1049)&gt;0,"Check","OK"))</f>
        <v>0</v>
      </c>
      <c r="AD1049" s="25"/>
    </row>
    <row r="1050" spans="1:30">
      <c r="A1050" s="7"/>
      <c r="B1050" s="7"/>
      <c r="C1050" s="26"/>
      <c r="D1050" s="27"/>
      <c r="E1050" s="8">
        <f>IF(B1050="","",IFERROR(INDEX(Ingredients!$B$5:$B$304,MATCH(B1050,Ingredients!$A$5:$A$304,0)),""))</f>
        <v>0</v>
      </c>
      <c r="F1050" s="8">
        <f>IF(B1050="","",IFERROR(INDEX(Ingredients!$E$5:$E$304,MATCH(B1050,Ingredients!$A$5:$A$304,0)),""))</f>
        <v>0</v>
      </c>
      <c r="G1050" s="8">
        <f>IF(B1050="","",IFERROR(INDEX(Ingredients!$D$5:$D$304,MATCH(B1050,Ingredients!$A$5:$A$304,0)),""))</f>
        <v>0</v>
      </c>
      <c r="H1050" s="8">
        <f>IF(OR(B1050="",C1050=""),"",IFERROR(C1050*G1050,""))</f>
        <v>0</v>
      </c>
      <c r="I1050" s="8">
        <f>IF(A1050="","",IFERROR(INDEX(Recipes!$D$5:$D$204,MATCH(A1050,Recipes!$A$5:$A$204,0)),""))</f>
        <v>0</v>
      </c>
      <c r="J1050" s="8">
        <f>IF(OR(H1050="",I1050="",I1050=0),"",IFERROR(H1050/I1050,""))</f>
        <v>0</v>
      </c>
      <c r="K1050" s="8">
        <f>IF(OR(B1050="",C1050=""),"",IFERROR(C1050*IFERROR(INDEX(Ingredients!$H$5:$H$304,MATCH(B1050,Ingredients!$A$5:$A$304,0)),""),""))</f>
        <v>0</v>
      </c>
      <c r="L1050" s="8">
        <f>IF(OR(B1050="",C1050=""),"",IFERROR(C1050*IFERROR(INDEX(Ingredients!$I$5:$I$304,MATCH(B1050,Ingredients!$A$5:$A$304,0)),""),""))</f>
        <v>0</v>
      </c>
      <c r="M1050" s="8">
        <f>IF(OR(B1050="",C1050=""),"",IFERROR(C1050*IFERROR(INDEX(Ingredients!$J$5:$J$304,MATCH(B1050,Ingredients!$A$5:$A$304,0)),""),""))</f>
        <v>0</v>
      </c>
      <c r="N1050" s="8">
        <f>IF(OR(B1050="",C1050=""),"",IFERROR(C1050*IFERROR(INDEX(Ingredients!$K$5:$K$304,MATCH(B1050,Ingredients!$A$5:$A$304,0)),""),""))</f>
        <v>0</v>
      </c>
      <c r="O1050" s="8">
        <f>IF(OR(B1050="",C1050=""),"",IFERROR(C1050*IFERROR(INDEX(Ingredients!$L$5:$L$304,MATCH(B1050,Ingredients!$A$5:$A$304,0)),""),""))</f>
        <v>0</v>
      </c>
      <c r="P1050" s="8">
        <f>IF(OR(H1050="",A1050=""),"",IFERROR(H1050/SUMIFS('Recipe Ingredients'!$H$5:$H$1204,'Recipe Ingredients'!$A$5:$A$1204,A1050),""))</f>
        <v>0</v>
      </c>
      <c r="Q1050" s="8">
        <f>IF(H1050="","",COUNTIFS($H$5:$H$1204,"&gt;"&amp;H1050)+1)</f>
        <v>0</v>
      </c>
      <c r="R1050" s="8">
        <f>IF(B1050="","",SUMIFS(Pantry!$C$5:$C$304,Pantry!$A$5:$A$304,B1050))</f>
        <v>0</v>
      </c>
      <c r="S1050" s="8">
        <f>IF(OR(B1050="",C1050=""),"",MAX(0,C1050-R1050))</f>
        <v>0</v>
      </c>
      <c r="T1050" s="26"/>
      <c r="U1050" s="8">
        <f>IF(OR(T1050="",T1050=0,G1050=""),"",T1050*G1050)</f>
        <v>0</v>
      </c>
      <c r="V1050" s="8">
        <f>IF(OR(S1050="",T1050="",T1050=0),"",CEILING(S1050/T1050,1))</f>
        <v>0</v>
      </c>
      <c r="W1050" s="27"/>
      <c r="X1050" s="29"/>
      <c r="Y1050" s="8">
        <f>IF(OR(C1050="",X1050=""),"",C1050*(1+X1050))</f>
        <v>0</v>
      </c>
      <c r="Z1050" s="8">
        <f>IF(B1050="","",IFERROR(INDEX(Ingredients!$O$5:$O$304,MATCH(B1050,Ingredients!$A$5:$A$304,0)),""))</f>
        <v>0</v>
      </c>
      <c r="AA1050" s="8">
        <f>IF(B1050="","",IF(R1050&gt;=C1050,"In pantry","To buy"))</f>
        <v>0</v>
      </c>
      <c r="AB1050" s="8">
        <f>IF(A1050="","",COUNTIFS($A$5:A1050,A1050))</f>
        <v>0</v>
      </c>
      <c r="AC1050" s="8">
        <f>IF(B1050="","",IF(COUNTIFS('Dietary Filters'!$C$5:$C$104,B1050)&gt;0,"Check","OK"))</f>
        <v>0</v>
      </c>
      <c r="AD1050" s="25"/>
    </row>
    <row r="1051" spans="1:30">
      <c r="A1051" s="7"/>
      <c r="B1051" s="7"/>
      <c r="C1051" s="26"/>
      <c r="D1051" s="27"/>
      <c r="E1051" s="8">
        <f>IF(B1051="","",IFERROR(INDEX(Ingredients!$B$5:$B$304,MATCH(B1051,Ingredients!$A$5:$A$304,0)),""))</f>
        <v>0</v>
      </c>
      <c r="F1051" s="8">
        <f>IF(B1051="","",IFERROR(INDEX(Ingredients!$E$5:$E$304,MATCH(B1051,Ingredients!$A$5:$A$304,0)),""))</f>
        <v>0</v>
      </c>
      <c r="G1051" s="8">
        <f>IF(B1051="","",IFERROR(INDEX(Ingredients!$D$5:$D$304,MATCH(B1051,Ingredients!$A$5:$A$304,0)),""))</f>
        <v>0</v>
      </c>
      <c r="H1051" s="8">
        <f>IF(OR(B1051="",C1051=""),"",IFERROR(C1051*G1051,""))</f>
        <v>0</v>
      </c>
      <c r="I1051" s="8">
        <f>IF(A1051="","",IFERROR(INDEX(Recipes!$D$5:$D$204,MATCH(A1051,Recipes!$A$5:$A$204,0)),""))</f>
        <v>0</v>
      </c>
      <c r="J1051" s="8">
        <f>IF(OR(H1051="",I1051="",I1051=0),"",IFERROR(H1051/I1051,""))</f>
        <v>0</v>
      </c>
      <c r="K1051" s="8">
        <f>IF(OR(B1051="",C1051=""),"",IFERROR(C1051*IFERROR(INDEX(Ingredients!$H$5:$H$304,MATCH(B1051,Ingredients!$A$5:$A$304,0)),""),""))</f>
        <v>0</v>
      </c>
      <c r="L1051" s="8">
        <f>IF(OR(B1051="",C1051=""),"",IFERROR(C1051*IFERROR(INDEX(Ingredients!$I$5:$I$304,MATCH(B1051,Ingredients!$A$5:$A$304,0)),""),""))</f>
        <v>0</v>
      </c>
      <c r="M1051" s="8">
        <f>IF(OR(B1051="",C1051=""),"",IFERROR(C1051*IFERROR(INDEX(Ingredients!$J$5:$J$304,MATCH(B1051,Ingredients!$A$5:$A$304,0)),""),""))</f>
        <v>0</v>
      </c>
      <c r="N1051" s="8">
        <f>IF(OR(B1051="",C1051=""),"",IFERROR(C1051*IFERROR(INDEX(Ingredients!$K$5:$K$304,MATCH(B1051,Ingredients!$A$5:$A$304,0)),""),""))</f>
        <v>0</v>
      </c>
      <c r="O1051" s="8">
        <f>IF(OR(B1051="",C1051=""),"",IFERROR(C1051*IFERROR(INDEX(Ingredients!$L$5:$L$304,MATCH(B1051,Ingredients!$A$5:$A$304,0)),""),""))</f>
        <v>0</v>
      </c>
      <c r="P1051" s="8">
        <f>IF(OR(H1051="",A1051=""),"",IFERROR(H1051/SUMIFS('Recipe Ingredients'!$H$5:$H$1204,'Recipe Ingredients'!$A$5:$A$1204,A1051),""))</f>
        <v>0</v>
      </c>
      <c r="Q1051" s="8">
        <f>IF(H1051="","",COUNTIFS($H$5:$H$1204,"&gt;"&amp;H1051)+1)</f>
        <v>0</v>
      </c>
      <c r="R1051" s="8">
        <f>IF(B1051="","",SUMIFS(Pantry!$C$5:$C$304,Pantry!$A$5:$A$304,B1051))</f>
        <v>0</v>
      </c>
      <c r="S1051" s="8">
        <f>IF(OR(B1051="",C1051=""),"",MAX(0,C1051-R1051))</f>
        <v>0</v>
      </c>
      <c r="T1051" s="26"/>
      <c r="U1051" s="8">
        <f>IF(OR(T1051="",T1051=0,G1051=""),"",T1051*G1051)</f>
        <v>0</v>
      </c>
      <c r="V1051" s="8">
        <f>IF(OR(S1051="",T1051="",T1051=0),"",CEILING(S1051/T1051,1))</f>
        <v>0</v>
      </c>
      <c r="W1051" s="27"/>
      <c r="X1051" s="29"/>
      <c r="Y1051" s="8">
        <f>IF(OR(C1051="",X1051=""),"",C1051*(1+X1051))</f>
        <v>0</v>
      </c>
      <c r="Z1051" s="8">
        <f>IF(B1051="","",IFERROR(INDEX(Ingredients!$O$5:$O$304,MATCH(B1051,Ingredients!$A$5:$A$304,0)),""))</f>
        <v>0</v>
      </c>
      <c r="AA1051" s="8">
        <f>IF(B1051="","",IF(R1051&gt;=C1051,"In pantry","To buy"))</f>
        <v>0</v>
      </c>
      <c r="AB1051" s="8">
        <f>IF(A1051="","",COUNTIFS($A$5:A1051,A1051))</f>
        <v>0</v>
      </c>
      <c r="AC1051" s="8">
        <f>IF(B1051="","",IF(COUNTIFS('Dietary Filters'!$C$5:$C$104,B1051)&gt;0,"Check","OK"))</f>
        <v>0</v>
      </c>
      <c r="AD1051" s="25"/>
    </row>
    <row r="1052" spans="1:30">
      <c r="A1052" s="7"/>
      <c r="B1052" s="7"/>
      <c r="C1052" s="26"/>
      <c r="D1052" s="27"/>
      <c r="E1052" s="8">
        <f>IF(B1052="","",IFERROR(INDEX(Ingredients!$B$5:$B$304,MATCH(B1052,Ingredients!$A$5:$A$304,0)),""))</f>
        <v>0</v>
      </c>
      <c r="F1052" s="8">
        <f>IF(B1052="","",IFERROR(INDEX(Ingredients!$E$5:$E$304,MATCH(B1052,Ingredients!$A$5:$A$304,0)),""))</f>
        <v>0</v>
      </c>
      <c r="G1052" s="8">
        <f>IF(B1052="","",IFERROR(INDEX(Ingredients!$D$5:$D$304,MATCH(B1052,Ingredients!$A$5:$A$304,0)),""))</f>
        <v>0</v>
      </c>
      <c r="H1052" s="8">
        <f>IF(OR(B1052="",C1052=""),"",IFERROR(C1052*G1052,""))</f>
        <v>0</v>
      </c>
      <c r="I1052" s="8">
        <f>IF(A1052="","",IFERROR(INDEX(Recipes!$D$5:$D$204,MATCH(A1052,Recipes!$A$5:$A$204,0)),""))</f>
        <v>0</v>
      </c>
      <c r="J1052" s="8">
        <f>IF(OR(H1052="",I1052="",I1052=0),"",IFERROR(H1052/I1052,""))</f>
        <v>0</v>
      </c>
      <c r="K1052" s="8">
        <f>IF(OR(B1052="",C1052=""),"",IFERROR(C1052*IFERROR(INDEX(Ingredients!$H$5:$H$304,MATCH(B1052,Ingredients!$A$5:$A$304,0)),""),""))</f>
        <v>0</v>
      </c>
      <c r="L1052" s="8">
        <f>IF(OR(B1052="",C1052=""),"",IFERROR(C1052*IFERROR(INDEX(Ingredients!$I$5:$I$304,MATCH(B1052,Ingredients!$A$5:$A$304,0)),""),""))</f>
        <v>0</v>
      </c>
      <c r="M1052" s="8">
        <f>IF(OR(B1052="",C1052=""),"",IFERROR(C1052*IFERROR(INDEX(Ingredients!$J$5:$J$304,MATCH(B1052,Ingredients!$A$5:$A$304,0)),""),""))</f>
        <v>0</v>
      </c>
      <c r="N1052" s="8">
        <f>IF(OR(B1052="",C1052=""),"",IFERROR(C1052*IFERROR(INDEX(Ingredients!$K$5:$K$304,MATCH(B1052,Ingredients!$A$5:$A$304,0)),""),""))</f>
        <v>0</v>
      </c>
      <c r="O1052" s="8">
        <f>IF(OR(B1052="",C1052=""),"",IFERROR(C1052*IFERROR(INDEX(Ingredients!$L$5:$L$304,MATCH(B1052,Ingredients!$A$5:$A$304,0)),""),""))</f>
        <v>0</v>
      </c>
      <c r="P1052" s="8">
        <f>IF(OR(H1052="",A1052=""),"",IFERROR(H1052/SUMIFS('Recipe Ingredients'!$H$5:$H$1204,'Recipe Ingredients'!$A$5:$A$1204,A1052),""))</f>
        <v>0</v>
      </c>
      <c r="Q1052" s="8">
        <f>IF(H1052="","",COUNTIFS($H$5:$H$1204,"&gt;"&amp;H1052)+1)</f>
        <v>0</v>
      </c>
      <c r="R1052" s="8">
        <f>IF(B1052="","",SUMIFS(Pantry!$C$5:$C$304,Pantry!$A$5:$A$304,B1052))</f>
        <v>0</v>
      </c>
      <c r="S1052" s="8">
        <f>IF(OR(B1052="",C1052=""),"",MAX(0,C1052-R1052))</f>
        <v>0</v>
      </c>
      <c r="T1052" s="26"/>
      <c r="U1052" s="8">
        <f>IF(OR(T1052="",T1052=0,G1052=""),"",T1052*G1052)</f>
        <v>0</v>
      </c>
      <c r="V1052" s="8">
        <f>IF(OR(S1052="",T1052="",T1052=0),"",CEILING(S1052/T1052,1))</f>
        <v>0</v>
      </c>
      <c r="W1052" s="27"/>
      <c r="X1052" s="29"/>
      <c r="Y1052" s="8">
        <f>IF(OR(C1052="",X1052=""),"",C1052*(1+X1052))</f>
        <v>0</v>
      </c>
      <c r="Z1052" s="8">
        <f>IF(B1052="","",IFERROR(INDEX(Ingredients!$O$5:$O$304,MATCH(B1052,Ingredients!$A$5:$A$304,0)),""))</f>
        <v>0</v>
      </c>
      <c r="AA1052" s="8">
        <f>IF(B1052="","",IF(R1052&gt;=C1052,"In pantry","To buy"))</f>
        <v>0</v>
      </c>
      <c r="AB1052" s="8">
        <f>IF(A1052="","",COUNTIFS($A$5:A1052,A1052))</f>
        <v>0</v>
      </c>
      <c r="AC1052" s="8">
        <f>IF(B1052="","",IF(COUNTIFS('Dietary Filters'!$C$5:$C$104,B1052)&gt;0,"Check","OK"))</f>
        <v>0</v>
      </c>
      <c r="AD1052" s="25"/>
    </row>
    <row r="1053" spans="1:30">
      <c r="A1053" s="7"/>
      <c r="B1053" s="7"/>
      <c r="C1053" s="26"/>
      <c r="D1053" s="27"/>
      <c r="E1053" s="8">
        <f>IF(B1053="","",IFERROR(INDEX(Ingredients!$B$5:$B$304,MATCH(B1053,Ingredients!$A$5:$A$304,0)),""))</f>
        <v>0</v>
      </c>
      <c r="F1053" s="8">
        <f>IF(B1053="","",IFERROR(INDEX(Ingredients!$E$5:$E$304,MATCH(B1053,Ingredients!$A$5:$A$304,0)),""))</f>
        <v>0</v>
      </c>
      <c r="G1053" s="8">
        <f>IF(B1053="","",IFERROR(INDEX(Ingredients!$D$5:$D$304,MATCH(B1053,Ingredients!$A$5:$A$304,0)),""))</f>
        <v>0</v>
      </c>
      <c r="H1053" s="8">
        <f>IF(OR(B1053="",C1053=""),"",IFERROR(C1053*G1053,""))</f>
        <v>0</v>
      </c>
      <c r="I1053" s="8">
        <f>IF(A1053="","",IFERROR(INDEX(Recipes!$D$5:$D$204,MATCH(A1053,Recipes!$A$5:$A$204,0)),""))</f>
        <v>0</v>
      </c>
      <c r="J1053" s="8">
        <f>IF(OR(H1053="",I1053="",I1053=0),"",IFERROR(H1053/I1053,""))</f>
        <v>0</v>
      </c>
      <c r="K1053" s="8">
        <f>IF(OR(B1053="",C1053=""),"",IFERROR(C1053*IFERROR(INDEX(Ingredients!$H$5:$H$304,MATCH(B1053,Ingredients!$A$5:$A$304,0)),""),""))</f>
        <v>0</v>
      </c>
      <c r="L1053" s="8">
        <f>IF(OR(B1053="",C1053=""),"",IFERROR(C1053*IFERROR(INDEX(Ingredients!$I$5:$I$304,MATCH(B1053,Ingredients!$A$5:$A$304,0)),""),""))</f>
        <v>0</v>
      </c>
      <c r="M1053" s="8">
        <f>IF(OR(B1053="",C1053=""),"",IFERROR(C1053*IFERROR(INDEX(Ingredients!$J$5:$J$304,MATCH(B1053,Ingredients!$A$5:$A$304,0)),""),""))</f>
        <v>0</v>
      </c>
      <c r="N1053" s="8">
        <f>IF(OR(B1053="",C1053=""),"",IFERROR(C1053*IFERROR(INDEX(Ingredients!$K$5:$K$304,MATCH(B1053,Ingredients!$A$5:$A$304,0)),""),""))</f>
        <v>0</v>
      </c>
      <c r="O1053" s="8">
        <f>IF(OR(B1053="",C1053=""),"",IFERROR(C1053*IFERROR(INDEX(Ingredients!$L$5:$L$304,MATCH(B1053,Ingredients!$A$5:$A$304,0)),""),""))</f>
        <v>0</v>
      </c>
      <c r="P1053" s="8">
        <f>IF(OR(H1053="",A1053=""),"",IFERROR(H1053/SUMIFS('Recipe Ingredients'!$H$5:$H$1204,'Recipe Ingredients'!$A$5:$A$1204,A1053),""))</f>
        <v>0</v>
      </c>
      <c r="Q1053" s="8">
        <f>IF(H1053="","",COUNTIFS($H$5:$H$1204,"&gt;"&amp;H1053)+1)</f>
        <v>0</v>
      </c>
      <c r="R1053" s="8">
        <f>IF(B1053="","",SUMIFS(Pantry!$C$5:$C$304,Pantry!$A$5:$A$304,B1053))</f>
        <v>0</v>
      </c>
      <c r="S1053" s="8">
        <f>IF(OR(B1053="",C1053=""),"",MAX(0,C1053-R1053))</f>
        <v>0</v>
      </c>
      <c r="T1053" s="26"/>
      <c r="U1053" s="8">
        <f>IF(OR(T1053="",T1053=0,G1053=""),"",T1053*G1053)</f>
        <v>0</v>
      </c>
      <c r="V1053" s="8">
        <f>IF(OR(S1053="",T1053="",T1053=0),"",CEILING(S1053/T1053,1))</f>
        <v>0</v>
      </c>
      <c r="W1053" s="27"/>
      <c r="X1053" s="29"/>
      <c r="Y1053" s="8">
        <f>IF(OR(C1053="",X1053=""),"",C1053*(1+X1053))</f>
        <v>0</v>
      </c>
      <c r="Z1053" s="8">
        <f>IF(B1053="","",IFERROR(INDEX(Ingredients!$O$5:$O$304,MATCH(B1053,Ingredients!$A$5:$A$304,0)),""))</f>
        <v>0</v>
      </c>
      <c r="AA1053" s="8">
        <f>IF(B1053="","",IF(R1053&gt;=C1053,"In pantry","To buy"))</f>
        <v>0</v>
      </c>
      <c r="AB1053" s="8">
        <f>IF(A1053="","",COUNTIFS($A$5:A1053,A1053))</f>
        <v>0</v>
      </c>
      <c r="AC1053" s="8">
        <f>IF(B1053="","",IF(COUNTIFS('Dietary Filters'!$C$5:$C$104,B1053)&gt;0,"Check","OK"))</f>
        <v>0</v>
      </c>
      <c r="AD1053" s="25"/>
    </row>
    <row r="1054" spans="1:30">
      <c r="A1054" s="7"/>
      <c r="B1054" s="7"/>
      <c r="C1054" s="26"/>
      <c r="D1054" s="27"/>
      <c r="E1054" s="8">
        <f>IF(B1054="","",IFERROR(INDEX(Ingredients!$B$5:$B$304,MATCH(B1054,Ingredients!$A$5:$A$304,0)),""))</f>
        <v>0</v>
      </c>
      <c r="F1054" s="8">
        <f>IF(B1054="","",IFERROR(INDEX(Ingredients!$E$5:$E$304,MATCH(B1054,Ingredients!$A$5:$A$304,0)),""))</f>
        <v>0</v>
      </c>
      <c r="G1054" s="8">
        <f>IF(B1054="","",IFERROR(INDEX(Ingredients!$D$5:$D$304,MATCH(B1054,Ingredients!$A$5:$A$304,0)),""))</f>
        <v>0</v>
      </c>
      <c r="H1054" s="8">
        <f>IF(OR(B1054="",C1054=""),"",IFERROR(C1054*G1054,""))</f>
        <v>0</v>
      </c>
      <c r="I1054" s="8">
        <f>IF(A1054="","",IFERROR(INDEX(Recipes!$D$5:$D$204,MATCH(A1054,Recipes!$A$5:$A$204,0)),""))</f>
        <v>0</v>
      </c>
      <c r="J1054" s="8">
        <f>IF(OR(H1054="",I1054="",I1054=0),"",IFERROR(H1054/I1054,""))</f>
        <v>0</v>
      </c>
      <c r="K1054" s="8">
        <f>IF(OR(B1054="",C1054=""),"",IFERROR(C1054*IFERROR(INDEX(Ingredients!$H$5:$H$304,MATCH(B1054,Ingredients!$A$5:$A$304,0)),""),""))</f>
        <v>0</v>
      </c>
      <c r="L1054" s="8">
        <f>IF(OR(B1054="",C1054=""),"",IFERROR(C1054*IFERROR(INDEX(Ingredients!$I$5:$I$304,MATCH(B1054,Ingredients!$A$5:$A$304,0)),""),""))</f>
        <v>0</v>
      </c>
      <c r="M1054" s="8">
        <f>IF(OR(B1054="",C1054=""),"",IFERROR(C1054*IFERROR(INDEX(Ingredients!$J$5:$J$304,MATCH(B1054,Ingredients!$A$5:$A$304,0)),""),""))</f>
        <v>0</v>
      </c>
      <c r="N1054" s="8">
        <f>IF(OR(B1054="",C1054=""),"",IFERROR(C1054*IFERROR(INDEX(Ingredients!$K$5:$K$304,MATCH(B1054,Ingredients!$A$5:$A$304,0)),""),""))</f>
        <v>0</v>
      </c>
      <c r="O1054" s="8">
        <f>IF(OR(B1054="",C1054=""),"",IFERROR(C1054*IFERROR(INDEX(Ingredients!$L$5:$L$304,MATCH(B1054,Ingredients!$A$5:$A$304,0)),""),""))</f>
        <v>0</v>
      </c>
      <c r="P1054" s="8">
        <f>IF(OR(H1054="",A1054=""),"",IFERROR(H1054/SUMIFS('Recipe Ingredients'!$H$5:$H$1204,'Recipe Ingredients'!$A$5:$A$1204,A1054),""))</f>
        <v>0</v>
      </c>
      <c r="Q1054" s="8">
        <f>IF(H1054="","",COUNTIFS($H$5:$H$1204,"&gt;"&amp;H1054)+1)</f>
        <v>0</v>
      </c>
      <c r="R1054" s="8">
        <f>IF(B1054="","",SUMIFS(Pantry!$C$5:$C$304,Pantry!$A$5:$A$304,B1054))</f>
        <v>0</v>
      </c>
      <c r="S1054" s="8">
        <f>IF(OR(B1054="",C1054=""),"",MAX(0,C1054-R1054))</f>
        <v>0</v>
      </c>
      <c r="T1054" s="26"/>
      <c r="U1054" s="8">
        <f>IF(OR(T1054="",T1054=0,G1054=""),"",T1054*G1054)</f>
        <v>0</v>
      </c>
      <c r="V1054" s="8">
        <f>IF(OR(S1054="",T1054="",T1054=0),"",CEILING(S1054/T1054,1))</f>
        <v>0</v>
      </c>
      <c r="W1054" s="27"/>
      <c r="X1054" s="29"/>
      <c r="Y1054" s="8">
        <f>IF(OR(C1054="",X1054=""),"",C1054*(1+X1054))</f>
        <v>0</v>
      </c>
      <c r="Z1054" s="8">
        <f>IF(B1054="","",IFERROR(INDEX(Ingredients!$O$5:$O$304,MATCH(B1054,Ingredients!$A$5:$A$304,0)),""))</f>
        <v>0</v>
      </c>
      <c r="AA1054" s="8">
        <f>IF(B1054="","",IF(R1054&gt;=C1054,"In pantry","To buy"))</f>
        <v>0</v>
      </c>
      <c r="AB1054" s="8">
        <f>IF(A1054="","",COUNTIFS($A$5:A1054,A1054))</f>
        <v>0</v>
      </c>
      <c r="AC1054" s="8">
        <f>IF(B1054="","",IF(COUNTIFS('Dietary Filters'!$C$5:$C$104,B1054)&gt;0,"Check","OK"))</f>
        <v>0</v>
      </c>
      <c r="AD1054" s="25"/>
    </row>
    <row r="1055" spans="1:30">
      <c r="A1055" s="7"/>
      <c r="B1055" s="7"/>
      <c r="C1055" s="26"/>
      <c r="D1055" s="27"/>
      <c r="E1055" s="8">
        <f>IF(B1055="","",IFERROR(INDEX(Ingredients!$B$5:$B$304,MATCH(B1055,Ingredients!$A$5:$A$304,0)),""))</f>
        <v>0</v>
      </c>
      <c r="F1055" s="8">
        <f>IF(B1055="","",IFERROR(INDEX(Ingredients!$E$5:$E$304,MATCH(B1055,Ingredients!$A$5:$A$304,0)),""))</f>
        <v>0</v>
      </c>
      <c r="G1055" s="8">
        <f>IF(B1055="","",IFERROR(INDEX(Ingredients!$D$5:$D$304,MATCH(B1055,Ingredients!$A$5:$A$304,0)),""))</f>
        <v>0</v>
      </c>
      <c r="H1055" s="8">
        <f>IF(OR(B1055="",C1055=""),"",IFERROR(C1055*G1055,""))</f>
        <v>0</v>
      </c>
      <c r="I1055" s="8">
        <f>IF(A1055="","",IFERROR(INDEX(Recipes!$D$5:$D$204,MATCH(A1055,Recipes!$A$5:$A$204,0)),""))</f>
        <v>0</v>
      </c>
      <c r="J1055" s="8">
        <f>IF(OR(H1055="",I1055="",I1055=0),"",IFERROR(H1055/I1055,""))</f>
        <v>0</v>
      </c>
      <c r="K1055" s="8">
        <f>IF(OR(B1055="",C1055=""),"",IFERROR(C1055*IFERROR(INDEX(Ingredients!$H$5:$H$304,MATCH(B1055,Ingredients!$A$5:$A$304,0)),""),""))</f>
        <v>0</v>
      </c>
      <c r="L1055" s="8">
        <f>IF(OR(B1055="",C1055=""),"",IFERROR(C1055*IFERROR(INDEX(Ingredients!$I$5:$I$304,MATCH(B1055,Ingredients!$A$5:$A$304,0)),""),""))</f>
        <v>0</v>
      </c>
      <c r="M1055" s="8">
        <f>IF(OR(B1055="",C1055=""),"",IFERROR(C1055*IFERROR(INDEX(Ingredients!$J$5:$J$304,MATCH(B1055,Ingredients!$A$5:$A$304,0)),""),""))</f>
        <v>0</v>
      </c>
      <c r="N1055" s="8">
        <f>IF(OR(B1055="",C1055=""),"",IFERROR(C1055*IFERROR(INDEX(Ingredients!$K$5:$K$304,MATCH(B1055,Ingredients!$A$5:$A$304,0)),""),""))</f>
        <v>0</v>
      </c>
      <c r="O1055" s="8">
        <f>IF(OR(B1055="",C1055=""),"",IFERROR(C1055*IFERROR(INDEX(Ingredients!$L$5:$L$304,MATCH(B1055,Ingredients!$A$5:$A$304,0)),""),""))</f>
        <v>0</v>
      </c>
      <c r="P1055" s="8">
        <f>IF(OR(H1055="",A1055=""),"",IFERROR(H1055/SUMIFS('Recipe Ingredients'!$H$5:$H$1204,'Recipe Ingredients'!$A$5:$A$1204,A1055),""))</f>
        <v>0</v>
      </c>
      <c r="Q1055" s="8">
        <f>IF(H1055="","",COUNTIFS($H$5:$H$1204,"&gt;"&amp;H1055)+1)</f>
        <v>0</v>
      </c>
      <c r="R1055" s="8">
        <f>IF(B1055="","",SUMIFS(Pantry!$C$5:$C$304,Pantry!$A$5:$A$304,B1055))</f>
        <v>0</v>
      </c>
      <c r="S1055" s="8">
        <f>IF(OR(B1055="",C1055=""),"",MAX(0,C1055-R1055))</f>
        <v>0</v>
      </c>
      <c r="T1055" s="26"/>
      <c r="U1055" s="8">
        <f>IF(OR(T1055="",T1055=0,G1055=""),"",T1055*G1055)</f>
        <v>0</v>
      </c>
      <c r="V1055" s="8">
        <f>IF(OR(S1055="",T1055="",T1055=0),"",CEILING(S1055/T1055,1))</f>
        <v>0</v>
      </c>
      <c r="W1055" s="27"/>
      <c r="X1055" s="29"/>
      <c r="Y1055" s="8">
        <f>IF(OR(C1055="",X1055=""),"",C1055*(1+X1055))</f>
        <v>0</v>
      </c>
      <c r="Z1055" s="8">
        <f>IF(B1055="","",IFERROR(INDEX(Ingredients!$O$5:$O$304,MATCH(B1055,Ingredients!$A$5:$A$304,0)),""))</f>
        <v>0</v>
      </c>
      <c r="AA1055" s="8">
        <f>IF(B1055="","",IF(R1055&gt;=C1055,"In pantry","To buy"))</f>
        <v>0</v>
      </c>
      <c r="AB1055" s="8">
        <f>IF(A1055="","",COUNTIFS($A$5:A1055,A1055))</f>
        <v>0</v>
      </c>
      <c r="AC1055" s="8">
        <f>IF(B1055="","",IF(COUNTIFS('Dietary Filters'!$C$5:$C$104,B1055)&gt;0,"Check","OK"))</f>
        <v>0</v>
      </c>
      <c r="AD1055" s="25"/>
    </row>
    <row r="1056" spans="1:30">
      <c r="A1056" s="7"/>
      <c r="B1056" s="7"/>
      <c r="C1056" s="26"/>
      <c r="D1056" s="27"/>
      <c r="E1056" s="8">
        <f>IF(B1056="","",IFERROR(INDEX(Ingredients!$B$5:$B$304,MATCH(B1056,Ingredients!$A$5:$A$304,0)),""))</f>
        <v>0</v>
      </c>
      <c r="F1056" s="8">
        <f>IF(B1056="","",IFERROR(INDEX(Ingredients!$E$5:$E$304,MATCH(B1056,Ingredients!$A$5:$A$304,0)),""))</f>
        <v>0</v>
      </c>
      <c r="G1056" s="8">
        <f>IF(B1056="","",IFERROR(INDEX(Ingredients!$D$5:$D$304,MATCH(B1056,Ingredients!$A$5:$A$304,0)),""))</f>
        <v>0</v>
      </c>
      <c r="H1056" s="8">
        <f>IF(OR(B1056="",C1056=""),"",IFERROR(C1056*G1056,""))</f>
        <v>0</v>
      </c>
      <c r="I1056" s="8">
        <f>IF(A1056="","",IFERROR(INDEX(Recipes!$D$5:$D$204,MATCH(A1056,Recipes!$A$5:$A$204,0)),""))</f>
        <v>0</v>
      </c>
      <c r="J1056" s="8">
        <f>IF(OR(H1056="",I1056="",I1056=0),"",IFERROR(H1056/I1056,""))</f>
        <v>0</v>
      </c>
      <c r="K1056" s="8">
        <f>IF(OR(B1056="",C1056=""),"",IFERROR(C1056*IFERROR(INDEX(Ingredients!$H$5:$H$304,MATCH(B1056,Ingredients!$A$5:$A$304,0)),""),""))</f>
        <v>0</v>
      </c>
      <c r="L1056" s="8">
        <f>IF(OR(B1056="",C1056=""),"",IFERROR(C1056*IFERROR(INDEX(Ingredients!$I$5:$I$304,MATCH(B1056,Ingredients!$A$5:$A$304,0)),""),""))</f>
        <v>0</v>
      </c>
      <c r="M1056" s="8">
        <f>IF(OR(B1056="",C1056=""),"",IFERROR(C1056*IFERROR(INDEX(Ingredients!$J$5:$J$304,MATCH(B1056,Ingredients!$A$5:$A$304,0)),""),""))</f>
        <v>0</v>
      </c>
      <c r="N1056" s="8">
        <f>IF(OR(B1056="",C1056=""),"",IFERROR(C1056*IFERROR(INDEX(Ingredients!$K$5:$K$304,MATCH(B1056,Ingredients!$A$5:$A$304,0)),""),""))</f>
        <v>0</v>
      </c>
      <c r="O1056" s="8">
        <f>IF(OR(B1056="",C1056=""),"",IFERROR(C1056*IFERROR(INDEX(Ingredients!$L$5:$L$304,MATCH(B1056,Ingredients!$A$5:$A$304,0)),""),""))</f>
        <v>0</v>
      </c>
      <c r="P1056" s="8">
        <f>IF(OR(H1056="",A1056=""),"",IFERROR(H1056/SUMIFS('Recipe Ingredients'!$H$5:$H$1204,'Recipe Ingredients'!$A$5:$A$1204,A1056),""))</f>
        <v>0</v>
      </c>
      <c r="Q1056" s="8">
        <f>IF(H1056="","",COUNTIFS($H$5:$H$1204,"&gt;"&amp;H1056)+1)</f>
        <v>0</v>
      </c>
      <c r="R1056" s="8">
        <f>IF(B1056="","",SUMIFS(Pantry!$C$5:$C$304,Pantry!$A$5:$A$304,B1056))</f>
        <v>0</v>
      </c>
      <c r="S1056" s="8">
        <f>IF(OR(B1056="",C1056=""),"",MAX(0,C1056-R1056))</f>
        <v>0</v>
      </c>
      <c r="T1056" s="26"/>
      <c r="U1056" s="8">
        <f>IF(OR(T1056="",T1056=0,G1056=""),"",T1056*G1056)</f>
        <v>0</v>
      </c>
      <c r="V1056" s="8">
        <f>IF(OR(S1056="",T1056="",T1056=0),"",CEILING(S1056/T1056,1))</f>
        <v>0</v>
      </c>
      <c r="W1056" s="27"/>
      <c r="X1056" s="29"/>
      <c r="Y1056" s="8">
        <f>IF(OR(C1056="",X1056=""),"",C1056*(1+X1056))</f>
        <v>0</v>
      </c>
      <c r="Z1056" s="8">
        <f>IF(B1056="","",IFERROR(INDEX(Ingredients!$O$5:$O$304,MATCH(B1056,Ingredients!$A$5:$A$304,0)),""))</f>
        <v>0</v>
      </c>
      <c r="AA1056" s="8">
        <f>IF(B1056="","",IF(R1056&gt;=C1056,"In pantry","To buy"))</f>
        <v>0</v>
      </c>
      <c r="AB1056" s="8">
        <f>IF(A1056="","",COUNTIFS($A$5:A1056,A1056))</f>
        <v>0</v>
      </c>
      <c r="AC1056" s="8">
        <f>IF(B1056="","",IF(COUNTIFS('Dietary Filters'!$C$5:$C$104,B1056)&gt;0,"Check","OK"))</f>
        <v>0</v>
      </c>
      <c r="AD1056" s="25"/>
    </row>
    <row r="1057" spans="1:30">
      <c r="A1057" s="7"/>
      <c r="B1057" s="7"/>
      <c r="C1057" s="26"/>
      <c r="D1057" s="27"/>
      <c r="E1057" s="8">
        <f>IF(B1057="","",IFERROR(INDEX(Ingredients!$B$5:$B$304,MATCH(B1057,Ingredients!$A$5:$A$304,0)),""))</f>
        <v>0</v>
      </c>
      <c r="F1057" s="8">
        <f>IF(B1057="","",IFERROR(INDEX(Ingredients!$E$5:$E$304,MATCH(B1057,Ingredients!$A$5:$A$304,0)),""))</f>
        <v>0</v>
      </c>
      <c r="G1057" s="8">
        <f>IF(B1057="","",IFERROR(INDEX(Ingredients!$D$5:$D$304,MATCH(B1057,Ingredients!$A$5:$A$304,0)),""))</f>
        <v>0</v>
      </c>
      <c r="H1057" s="8">
        <f>IF(OR(B1057="",C1057=""),"",IFERROR(C1057*G1057,""))</f>
        <v>0</v>
      </c>
      <c r="I1057" s="8">
        <f>IF(A1057="","",IFERROR(INDEX(Recipes!$D$5:$D$204,MATCH(A1057,Recipes!$A$5:$A$204,0)),""))</f>
        <v>0</v>
      </c>
      <c r="J1057" s="8">
        <f>IF(OR(H1057="",I1057="",I1057=0),"",IFERROR(H1057/I1057,""))</f>
        <v>0</v>
      </c>
      <c r="K1057" s="8">
        <f>IF(OR(B1057="",C1057=""),"",IFERROR(C1057*IFERROR(INDEX(Ingredients!$H$5:$H$304,MATCH(B1057,Ingredients!$A$5:$A$304,0)),""),""))</f>
        <v>0</v>
      </c>
      <c r="L1057" s="8">
        <f>IF(OR(B1057="",C1057=""),"",IFERROR(C1057*IFERROR(INDEX(Ingredients!$I$5:$I$304,MATCH(B1057,Ingredients!$A$5:$A$304,0)),""),""))</f>
        <v>0</v>
      </c>
      <c r="M1057" s="8">
        <f>IF(OR(B1057="",C1057=""),"",IFERROR(C1057*IFERROR(INDEX(Ingredients!$J$5:$J$304,MATCH(B1057,Ingredients!$A$5:$A$304,0)),""),""))</f>
        <v>0</v>
      </c>
      <c r="N1057" s="8">
        <f>IF(OR(B1057="",C1057=""),"",IFERROR(C1057*IFERROR(INDEX(Ingredients!$K$5:$K$304,MATCH(B1057,Ingredients!$A$5:$A$304,0)),""),""))</f>
        <v>0</v>
      </c>
      <c r="O1057" s="8">
        <f>IF(OR(B1057="",C1057=""),"",IFERROR(C1057*IFERROR(INDEX(Ingredients!$L$5:$L$304,MATCH(B1057,Ingredients!$A$5:$A$304,0)),""),""))</f>
        <v>0</v>
      </c>
      <c r="P1057" s="8">
        <f>IF(OR(H1057="",A1057=""),"",IFERROR(H1057/SUMIFS('Recipe Ingredients'!$H$5:$H$1204,'Recipe Ingredients'!$A$5:$A$1204,A1057),""))</f>
        <v>0</v>
      </c>
      <c r="Q1057" s="8">
        <f>IF(H1057="","",COUNTIFS($H$5:$H$1204,"&gt;"&amp;H1057)+1)</f>
        <v>0</v>
      </c>
      <c r="R1057" s="8">
        <f>IF(B1057="","",SUMIFS(Pantry!$C$5:$C$304,Pantry!$A$5:$A$304,B1057))</f>
        <v>0</v>
      </c>
      <c r="S1057" s="8">
        <f>IF(OR(B1057="",C1057=""),"",MAX(0,C1057-R1057))</f>
        <v>0</v>
      </c>
      <c r="T1057" s="26"/>
      <c r="U1057" s="8">
        <f>IF(OR(T1057="",T1057=0,G1057=""),"",T1057*G1057)</f>
        <v>0</v>
      </c>
      <c r="V1057" s="8">
        <f>IF(OR(S1057="",T1057="",T1057=0),"",CEILING(S1057/T1057,1))</f>
        <v>0</v>
      </c>
      <c r="W1057" s="27"/>
      <c r="X1057" s="29"/>
      <c r="Y1057" s="8">
        <f>IF(OR(C1057="",X1057=""),"",C1057*(1+X1057))</f>
        <v>0</v>
      </c>
      <c r="Z1057" s="8">
        <f>IF(B1057="","",IFERROR(INDEX(Ingredients!$O$5:$O$304,MATCH(B1057,Ingredients!$A$5:$A$304,0)),""))</f>
        <v>0</v>
      </c>
      <c r="AA1057" s="8">
        <f>IF(B1057="","",IF(R1057&gt;=C1057,"In pantry","To buy"))</f>
        <v>0</v>
      </c>
      <c r="AB1057" s="8">
        <f>IF(A1057="","",COUNTIFS($A$5:A1057,A1057))</f>
        <v>0</v>
      </c>
      <c r="AC1057" s="8">
        <f>IF(B1057="","",IF(COUNTIFS('Dietary Filters'!$C$5:$C$104,B1057)&gt;0,"Check","OK"))</f>
        <v>0</v>
      </c>
      <c r="AD1057" s="25"/>
    </row>
    <row r="1058" spans="1:30">
      <c r="A1058" s="7"/>
      <c r="B1058" s="7"/>
      <c r="C1058" s="26"/>
      <c r="D1058" s="27"/>
      <c r="E1058" s="8">
        <f>IF(B1058="","",IFERROR(INDEX(Ingredients!$B$5:$B$304,MATCH(B1058,Ingredients!$A$5:$A$304,0)),""))</f>
        <v>0</v>
      </c>
      <c r="F1058" s="8">
        <f>IF(B1058="","",IFERROR(INDEX(Ingredients!$E$5:$E$304,MATCH(B1058,Ingredients!$A$5:$A$304,0)),""))</f>
        <v>0</v>
      </c>
      <c r="G1058" s="8">
        <f>IF(B1058="","",IFERROR(INDEX(Ingredients!$D$5:$D$304,MATCH(B1058,Ingredients!$A$5:$A$304,0)),""))</f>
        <v>0</v>
      </c>
      <c r="H1058" s="8">
        <f>IF(OR(B1058="",C1058=""),"",IFERROR(C1058*G1058,""))</f>
        <v>0</v>
      </c>
      <c r="I1058" s="8">
        <f>IF(A1058="","",IFERROR(INDEX(Recipes!$D$5:$D$204,MATCH(A1058,Recipes!$A$5:$A$204,0)),""))</f>
        <v>0</v>
      </c>
      <c r="J1058" s="8">
        <f>IF(OR(H1058="",I1058="",I1058=0),"",IFERROR(H1058/I1058,""))</f>
        <v>0</v>
      </c>
      <c r="K1058" s="8">
        <f>IF(OR(B1058="",C1058=""),"",IFERROR(C1058*IFERROR(INDEX(Ingredients!$H$5:$H$304,MATCH(B1058,Ingredients!$A$5:$A$304,0)),""),""))</f>
        <v>0</v>
      </c>
      <c r="L1058" s="8">
        <f>IF(OR(B1058="",C1058=""),"",IFERROR(C1058*IFERROR(INDEX(Ingredients!$I$5:$I$304,MATCH(B1058,Ingredients!$A$5:$A$304,0)),""),""))</f>
        <v>0</v>
      </c>
      <c r="M1058" s="8">
        <f>IF(OR(B1058="",C1058=""),"",IFERROR(C1058*IFERROR(INDEX(Ingredients!$J$5:$J$304,MATCH(B1058,Ingredients!$A$5:$A$304,0)),""),""))</f>
        <v>0</v>
      </c>
      <c r="N1058" s="8">
        <f>IF(OR(B1058="",C1058=""),"",IFERROR(C1058*IFERROR(INDEX(Ingredients!$K$5:$K$304,MATCH(B1058,Ingredients!$A$5:$A$304,0)),""),""))</f>
        <v>0</v>
      </c>
      <c r="O1058" s="8">
        <f>IF(OR(B1058="",C1058=""),"",IFERROR(C1058*IFERROR(INDEX(Ingredients!$L$5:$L$304,MATCH(B1058,Ingredients!$A$5:$A$304,0)),""),""))</f>
        <v>0</v>
      </c>
      <c r="P1058" s="8">
        <f>IF(OR(H1058="",A1058=""),"",IFERROR(H1058/SUMIFS('Recipe Ingredients'!$H$5:$H$1204,'Recipe Ingredients'!$A$5:$A$1204,A1058),""))</f>
        <v>0</v>
      </c>
      <c r="Q1058" s="8">
        <f>IF(H1058="","",COUNTIFS($H$5:$H$1204,"&gt;"&amp;H1058)+1)</f>
        <v>0</v>
      </c>
      <c r="R1058" s="8">
        <f>IF(B1058="","",SUMIFS(Pantry!$C$5:$C$304,Pantry!$A$5:$A$304,B1058))</f>
        <v>0</v>
      </c>
      <c r="S1058" s="8">
        <f>IF(OR(B1058="",C1058=""),"",MAX(0,C1058-R1058))</f>
        <v>0</v>
      </c>
      <c r="T1058" s="26"/>
      <c r="U1058" s="8">
        <f>IF(OR(T1058="",T1058=0,G1058=""),"",T1058*G1058)</f>
        <v>0</v>
      </c>
      <c r="V1058" s="8">
        <f>IF(OR(S1058="",T1058="",T1058=0),"",CEILING(S1058/T1058,1))</f>
        <v>0</v>
      </c>
      <c r="W1058" s="27"/>
      <c r="X1058" s="29"/>
      <c r="Y1058" s="8">
        <f>IF(OR(C1058="",X1058=""),"",C1058*(1+X1058))</f>
        <v>0</v>
      </c>
      <c r="Z1058" s="8">
        <f>IF(B1058="","",IFERROR(INDEX(Ingredients!$O$5:$O$304,MATCH(B1058,Ingredients!$A$5:$A$304,0)),""))</f>
        <v>0</v>
      </c>
      <c r="AA1058" s="8">
        <f>IF(B1058="","",IF(R1058&gt;=C1058,"In pantry","To buy"))</f>
        <v>0</v>
      </c>
      <c r="AB1058" s="8">
        <f>IF(A1058="","",COUNTIFS($A$5:A1058,A1058))</f>
        <v>0</v>
      </c>
      <c r="AC1058" s="8">
        <f>IF(B1058="","",IF(COUNTIFS('Dietary Filters'!$C$5:$C$104,B1058)&gt;0,"Check","OK"))</f>
        <v>0</v>
      </c>
      <c r="AD1058" s="25"/>
    </row>
    <row r="1059" spans="1:30">
      <c r="A1059" s="7"/>
      <c r="B1059" s="7"/>
      <c r="C1059" s="26"/>
      <c r="D1059" s="27"/>
      <c r="E1059" s="8">
        <f>IF(B1059="","",IFERROR(INDEX(Ingredients!$B$5:$B$304,MATCH(B1059,Ingredients!$A$5:$A$304,0)),""))</f>
        <v>0</v>
      </c>
      <c r="F1059" s="8">
        <f>IF(B1059="","",IFERROR(INDEX(Ingredients!$E$5:$E$304,MATCH(B1059,Ingredients!$A$5:$A$304,0)),""))</f>
        <v>0</v>
      </c>
      <c r="G1059" s="8">
        <f>IF(B1059="","",IFERROR(INDEX(Ingredients!$D$5:$D$304,MATCH(B1059,Ingredients!$A$5:$A$304,0)),""))</f>
        <v>0</v>
      </c>
      <c r="H1059" s="8">
        <f>IF(OR(B1059="",C1059=""),"",IFERROR(C1059*G1059,""))</f>
        <v>0</v>
      </c>
      <c r="I1059" s="8">
        <f>IF(A1059="","",IFERROR(INDEX(Recipes!$D$5:$D$204,MATCH(A1059,Recipes!$A$5:$A$204,0)),""))</f>
        <v>0</v>
      </c>
      <c r="J1059" s="8">
        <f>IF(OR(H1059="",I1059="",I1059=0),"",IFERROR(H1059/I1059,""))</f>
        <v>0</v>
      </c>
      <c r="K1059" s="8">
        <f>IF(OR(B1059="",C1059=""),"",IFERROR(C1059*IFERROR(INDEX(Ingredients!$H$5:$H$304,MATCH(B1059,Ingredients!$A$5:$A$304,0)),""),""))</f>
        <v>0</v>
      </c>
      <c r="L1059" s="8">
        <f>IF(OR(B1059="",C1059=""),"",IFERROR(C1059*IFERROR(INDEX(Ingredients!$I$5:$I$304,MATCH(B1059,Ingredients!$A$5:$A$304,0)),""),""))</f>
        <v>0</v>
      </c>
      <c r="M1059" s="8">
        <f>IF(OR(B1059="",C1059=""),"",IFERROR(C1059*IFERROR(INDEX(Ingredients!$J$5:$J$304,MATCH(B1059,Ingredients!$A$5:$A$304,0)),""),""))</f>
        <v>0</v>
      </c>
      <c r="N1059" s="8">
        <f>IF(OR(B1059="",C1059=""),"",IFERROR(C1059*IFERROR(INDEX(Ingredients!$K$5:$K$304,MATCH(B1059,Ingredients!$A$5:$A$304,0)),""),""))</f>
        <v>0</v>
      </c>
      <c r="O1059" s="8">
        <f>IF(OR(B1059="",C1059=""),"",IFERROR(C1059*IFERROR(INDEX(Ingredients!$L$5:$L$304,MATCH(B1059,Ingredients!$A$5:$A$304,0)),""),""))</f>
        <v>0</v>
      </c>
      <c r="P1059" s="8">
        <f>IF(OR(H1059="",A1059=""),"",IFERROR(H1059/SUMIFS('Recipe Ingredients'!$H$5:$H$1204,'Recipe Ingredients'!$A$5:$A$1204,A1059),""))</f>
        <v>0</v>
      </c>
      <c r="Q1059" s="8">
        <f>IF(H1059="","",COUNTIFS($H$5:$H$1204,"&gt;"&amp;H1059)+1)</f>
        <v>0</v>
      </c>
      <c r="R1059" s="8">
        <f>IF(B1059="","",SUMIFS(Pantry!$C$5:$C$304,Pantry!$A$5:$A$304,B1059))</f>
        <v>0</v>
      </c>
      <c r="S1059" s="8">
        <f>IF(OR(B1059="",C1059=""),"",MAX(0,C1059-R1059))</f>
        <v>0</v>
      </c>
      <c r="T1059" s="26"/>
      <c r="U1059" s="8">
        <f>IF(OR(T1059="",T1059=0,G1059=""),"",T1059*G1059)</f>
        <v>0</v>
      </c>
      <c r="V1059" s="8">
        <f>IF(OR(S1059="",T1059="",T1059=0),"",CEILING(S1059/T1059,1))</f>
        <v>0</v>
      </c>
      <c r="W1059" s="27"/>
      <c r="X1059" s="29"/>
      <c r="Y1059" s="8">
        <f>IF(OR(C1059="",X1059=""),"",C1059*(1+X1059))</f>
        <v>0</v>
      </c>
      <c r="Z1059" s="8">
        <f>IF(B1059="","",IFERROR(INDEX(Ingredients!$O$5:$O$304,MATCH(B1059,Ingredients!$A$5:$A$304,0)),""))</f>
        <v>0</v>
      </c>
      <c r="AA1059" s="8">
        <f>IF(B1059="","",IF(R1059&gt;=C1059,"In pantry","To buy"))</f>
        <v>0</v>
      </c>
      <c r="AB1059" s="8">
        <f>IF(A1059="","",COUNTIFS($A$5:A1059,A1059))</f>
        <v>0</v>
      </c>
      <c r="AC1059" s="8">
        <f>IF(B1059="","",IF(COUNTIFS('Dietary Filters'!$C$5:$C$104,B1059)&gt;0,"Check","OK"))</f>
        <v>0</v>
      </c>
      <c r="AD1059" s="25"/>
    </row>
    <row r="1060" spans="1:30">
      <c r="A1060" s="7"/>
      <c r="B1060" s="7"/>
      <c r="C1060" s="26"/>
      <c r="D1060" s="27"/>
      <c r="E1060" s="8">
        <f>IF(B1060="","",IFERROR(INDEX(Ingredients!$B$5:$B$304,MATCH(B1060,Ingredients!$A$5:$A$304,0)),""))</f>
        <v>0</v>
      </c>
      <c r="F1060" s="8">
        <f>IF(B1060="","",IFERROR(INDEX(Ingredients!$E$5:$E$304,MATCH(B1060,Ingredients!$A$5:$A$304,0)),""))</f>
        <v>0</v>
      </c>
      <c r="G1060" s="8">
        <f>IF(B1060="","",IFERROR(INDEX(Ingredients!$D$5:$D$304,MATCH(B1060,Ingredients!$A$5:$A$304,0)),""))</f>
        <v>0</v>
      </c>
      <c r="H1060" s="8">
        <f>IF(OR(B1060="",C1060=""),"",IFERROR(C1060*G1060,""))</f>
        <v>0</v>
      </c>
      <c r="I1060" s="8">
        <f>IF(A1060="","",IFERROR(INDEX(Recipes!$D$5:$D$204,MATCH(A1060,Recipes!$A$5:$A$204,0)),""))</f>
        <v>0</v>
      </c>
      <c r="J1060" s="8">
        <f>IF(OR(H1060="",I1060="",I1060=0),"",IFERROR(H1060/I1060,""))</f>
        <v>0</v>
      </c>
      <c r="K1060" s="8">
        <f>IF(OR(B1060="",C1060=""),"",IFERROR(C1060*IFERROR(INDEX(Ingredients!$H$5:$H$304,MATCH(B1060,Ingredients!$A$5:$A$304,0)),""),""))</f>
        <v>0</v>
      </c>
      <c r="L1060" s="8">
        <f>IF(OR(B1060="",C1060=""),"",IFERROR(C1060*IFERROR(INDEX(Ingredients!$I$5:$I$304,MATCH(B1060,Ingredients!$A$5:$A$304,0)),""),""))</f>
        <v>0</v>
      </c>
      <c r="M1060" s="8">
        <f>IF(OR(B1060="",C1060=""),"",IFERROR(C1060*IFERROR(INDEX(Ingredients!$J$5:$J$304,MATCH(B1060,Ingredients!$A$5:$A$304,0)),""),""))</f>
        <v>0</v>
      </c>
      <c r="N1060" s="8">
        <f>IF(OR(B1060="",C1060=""),"",IFERROR(C1060*IFERROR(INDEX(Ingredients!$K$5:$K$304,MATCH(B1060,Ingredients!$A$5:$A$304,0)),""),""))</f>
        <v>0</v>
      </c>
      <c r="O1060" s="8">
        <f>IF(OR(B1060="",C1060=""),"",IFERROR(C1060*IFERROR(INDEX(Ingredients!$L$5:$L$304,MATCH(B1060,Ingredients!$A$5:$A$304,0)),""),""))</f>
        <v>0</v>
      </c>
      <c r="P1060" s="8">
        <f>IF(OR(H1060="",A1060=""),"",IFERROR(H1060/SUMIFS('Recipe Ingredients'!$H$5:$H$1204,'Recipe Ingredients'!$A$5:$A$1204,A1060),""))</f>
        <v>0</v>
      </c>
      <c r="Q1060" s="8">
        <f>IF(H1060="","",COUNTIFS($H$5:$H$1204,"&gt;"&amp;H1060)+1)</f>
        <v>0</v>
      </c>
      <c r="R1060" s="8">
        <f>IF(B1060="","",SUMIFS(Pantry!$C$5:$C$304,Pantry!$A$5:$A$304,B1060))</f>
        <v>0</v>
      </c>
      <c r="S1060" s="8">
        <f>IF(OR(B1060="",C1060=""),"",MAX(0,C1060-R1060))</f>
        <v>0</v>
      </c>
      <c r="T1060" s="26"/>
      <c r="U1060" s="8">
        <f>IF(OR(T1060="",T1060=0,G1060=""),"",T1060*G1060)</f>
        <v>0</v>
      </c>
      <c r="V1060" s="8">
        <f>IF(OR(S1060="",T1060="",T1060=0),"",CEILING(S1060/T1060,1))</f>
        <v>0</v>
      </c>
      <c r="W1060" s="27"/>
      <c r="X1060" s="29"/>
      <c r="Y1060" s="8">
        <f>IF(OR(C1060="",X1060=""),"",C1060*(1+X1060))</f>
        <v>0</v>
      </c>
      <c r="Z1060" s="8">
        <f>IF(B1060="","",IFERROR(INDEX(Ingredients!$O$5:$O$304,MATCH(B1060,Ingredients!$A$5:$A$304,0)),""))</f>
        <v>0</v>
      </c>
      <c r="AA1060" s="8">
        <f>IF(B1060="","",IF(R1060&gt;=C1060,"In pantry","To buy"))</f>
        <v>0</v>
      </c>
      <c r="AB1060" s="8">
        <f>IF(A1060="","",COUNTIFS($A$5:A1060,A1060))</f>
        <v>0</v>
      </c>
      <c r="AC1060" s="8">
        <f>IF(B1060="","",IF(COUNTIFS('Dietary Filters'!$C$5:$C$104,B1060)&gt;0,"Check","OK"))</f>
        <v>0</v>
      </c>
      <c r="AD1060" s="25"/>
    </row>
    <row r="1061" spans="1:30">
      <c r="A1061" s="7"/>
      <c r="B1061" s="7"/>
      <c r="C1061" s="26"/>
      <c r="D1061" s="27"/>
      <c r="E1061" s="8">
        <f>IF(B1061="","",IFERROR(INDEX(Ingredients!$B$5:$B$304,MATCH(B1061,Ingredients!$A$5:$A$304,0)),""))</f>
        <v>0</v>
      </c>
      <c r="F1061" s="8">
        <f>IF(B1061="","",IFERROR(INDEX(Ingredients!$E$5:$E$304,MATCH(B1061,Ingredients!$A$5:$A$304,0)),""))</f>
        <v>0</v>
      </c>
      <c r="G1061" s="8">
        <f>IF(B1061="","",IFERROR(INDEX(Ingredients!$D$5:$D$304,MATCH(B1061,Ingredients!$A$5:$A$304,0)),""))</f>
        <v>0</v>
      </c>
      <c r="H1061" s="8">
        <f>IF(OR(B1061="",C1061=""),"",IFERROR(C1061*G1061,""))</f>
        <v>0</v>
      </c>
      <c r="I1061" s="8">
        <f>IF(A1061="","",IFERROR(INDEX(Recipes!$D$5:$D$204,MATCH(A1061,Recipes!$A$5:$A$204,0)),""))</f>
        <v>0</v>
      </c>
      <c r="J1061" s="8">
        <f>IF(OR(H1061="",I1061="",I1061=0),"",IFERROR(H1061/I1061,""))</f>
        <v>0</v>
      </c>
      <c r="K1061" s="8">
        <f>IF(OR(B1061="",C1061=""),"",IFERROR(C1061*IFERROR(INDEX(Ingredients!$H$5:$H$304,MATCH(B1061,Ingredients!$A$5:$A$304,0)),""),""))</f>
        <v>0</v>
      </c>
      <c r="L1061" s="8">
        <f>IF(OR(B1061="",C1061=""),"",IFERROR(C1061*IFERROR(INDEX(Ingredients!$I$5:$I$304,MATCH(B1061,Ingredients!$A$5:$A$304,0)),""),""))</f>
        <v>0</v>
      </c>
      <c r="M1061" s="8">
        <f>IF(OR(B1061="",C1061=""),"",IFERROR(C1061*IFERROR(INDEX(Ingredients!$J$5:$J$304,MATCH(B1061,Ingredients!$A$5:$A$304,0)),""),""))</f>
        <v>0</v>
      </c>
      <c r="N1061" s="8">
        <f>IF(OR(B1061="",C1061=""),"",IFERROR(C1061*IFERROR(INDEX(Ingredients!$K$5:$K$304,MATCH(B1061,Ingredients!$A$5:$A$304,0)),""),""))</f>
        <v>0</v>
      </c>
      <c r="O1061" s="8">
        <f>IF(OR(B1061="",C1061=""),"",IFERROR(C1061*IFERROR(INDEX(Ingredients!$L$5:$L$304,MATCH(B1061,Ingredients!$A$5:$A$304,0)),""),""))</f>
        <v>0</v>
      </c>
      <c r="P1061" s="8">
        <f>IF(OR(H1061="",A1061=""),"",IFERROR(H1061/SUMIFS('Recipe Ingredients'!$H$5:$H$1204,'Recipe Ingredients'!$A$5:$A$1204,A1061),""))</f>
        <v>0</v>
      </c>
      <c r="Q1061" s="8">
        <f>IF(H1061="","",COUNTIFS($H$5:$H$1204,"&gt;"&amp;H1061)+1)</f>
        <v>0</v>
      </c>
      <c r="R1061" s="8">
        <f>IF(B1061="","",SUMIFS(Pantry!$C$5:$C$304,Pantry!$A$5:$A$304,B1061))</f>
        <v>0</v>
      </c>
      <c r="S1061" s="8">
        <f>IF(OR(B1061="",C1061=""),"",MAX(0,C1061-R1061))</f>
        <v>0</v>
      </c>
      <c r="T1061" s="26"/>
      <c r="U1061" s="8">
        <f>IF(OR(T1061="",T1061=0,G1061=""),"",T1061*G1061)</f>
        <v>0</v>
      </c>
      <c r="V1061" s="8">
        <f>IF(OR(S1061="",T1061="",T1061=0),"",CEILING(S1061/T1061,1))</f>
        <v>0</v>
      </c>
      <c r="W1061" s="27"/>
      <c r="X1061" s="29"/>
      <c r="Y1061" s="8">
        <f>IF(OR(C1061="",X1061=""),"",C1061*(1+X1061))</f>
        <v>0</v>
      </c>
      <c r="Z1061" s="8">
        <f>IF(B1061="","",IFERROR(INDEX(Ingredients!$O$5:$O$304,MATCH(B1061,Ingredients!$A$5:$A$304,0)),""))</f>
        <v>0</v>
      </c>
      <c r="AA1061" s="8">
        <f>IF(B1061="","",IF(R1061&gt;=C1061,"In pantry","To buy"))</f>
        <v>0</v>
      </c>
      <c r="AB1061" s="8">
        <f>IF(A1061="","",COUNTIFS($A$5:A1061,A1061))</f>
        <v>0</v>
      </c>
      <c r="AC1061" s="8">
        <f>IF(B1061="","",IF(COUNTIFS('Dietary Filters'!$C$5:$C$104,B1061)&gt;0,"Check","OK"))</f>
        <v>0</v>
      </c>
      <c r="AD1061" s="25"/>
    </row>
    <row r="1062" spans="1:30">
      <c r="A1062" s="7"/>
      <c r="B1062" s="7"/>
      <c r="C1062" s="26"/>
      <c r="D1062" s="27"/>
      <c r="E1062" s="8">
        <f>IF(B1062="","",IFERROR(INDEX(Ingredients!$B$5:$B$304,MATCH(B1062,Ingredients!$A$5:$A$304,0)),""))</f>
        <v>0</v>
      </c>
      <c r="F1062" s="8">
        <f>IF(B1062="","",IFERROR(INDEX(Ingredients!$E$5:$E$304,MATCH(B1062,Ingredients!$A$5:$A$304,0)),""))</f>
        <v>0</v>
      </c>
      <c r="G1062" s="8">
        <f>IF(B1062="","",IFERROR(INDEX(Ingredients!$D$5:$D$304,MATCH(B1062,Ingredients!$A$5:$A$304,0)),""))</f>
        <v>0</v>
      </c>
      <c r="H1062" s="8">
        <f>IF(OR(B1062="",C1062=""),"",IFERROR(C1062*G1062,""))</f>
        <v>0</v>
      </c>
      <c r="I1062" s="8">
        <f>IF(A1062="","",IFERROR(INDEX(Recipes!$D$5:$D$204,MATCH(A1062,Recipes!$A$5:$A$204,0)),""))</f>
        <v>0</v>
      </c>
      <c r="J1062" s="8">
        <f>IF(OR(H1062="",I1062="",I1062=0),"",IFERROR(H1062/I1062,""))</f>
        <v>0</v>
      </c>
      <c r="K1062" s="8">
        <f>IF(OR(B1062="",C1062=""),"",IFERROR(C1062*IFERROR(INDEX(Ingredients!$H$5:$H$304,MATCH(B1062,Ingredients!$A$5:$A$304,0)),""),""))</f>
        <v>0</v>
      </c>
      <c r="L1062" s="8">
        <f>IF(OR(B1062="",C1062=""),"",IFERROR(C1062*IFERROR(INDEX(Ingredients!$I$5:$I$304,MATCH(B1062,Ingredients!$A$5:$A$304,0)),""),""))</f>
        <v>0</v>
      </c>
      <c r="M1062" s="8">
        <f>IF(OR(B1062="",C1062=""),"",IFERROR(C1062*IFERROR(INDEX(Ingredients!$J$5:$J$304,MATCH(B1062,Ingredients!$A$5:$A$304,0)),""),""))</f>
        <v>0</v>
      </c>
      <c r="N1062" s="8">
        <f>IF(OR(B1062="",C1062=""),"",IFERROR(C1062*IFERROR(INDEX(Ingredients!$K$5:$K$304,MATCH(B1062,Ingredients!$A$5:$A$304,0)),""),""))</f>
        <v>0</v>
      </c>
      <c r="O1062" s="8">
        <f>IF(OR(B1062="",C1062=""),"",IFERROR(C1062*IFERROR(INDEX(Ingredients!$L$5:$L$304,MATCH(B1062,Ingredients!$A$5:$A$304,0)),""),""))</f>
        <v>0</v>
      </c>
      <c r="P1062" s="8">
        <f>IF(OR(H1062="",A1062=""),"",IFERROR(H1062/SUMIFS('Recipe Ingredients'!$H$5:$H$1204,'Recipe Ingredients'!$A$5:$A$1204,A1062),""))</f>
        <v>0</v>
      </c>
      <c r="Q1062" s="8">
        <f>IF(H1062="","",COUNTIFS($H$5:$H$1204,"&gt;"&amp;H1062)+1)</f>
        <v>0</v>
      </c>
      <c r="R1062" s="8">
        <f>IF(B1062="","",SUMIFS(Pantry!$C$5:$C$304,Pantry!$A$5:$A$304,B1062))</f>
        <v>0</v>
      </c>
      <c r="S1062" s="8">
        <f>IF(OR(B1062="",C1062=""),"",MAX(0,C1062-R1062))</f>
        <v>0</v>
      </c>
      <c r="T1062" s="26"/>
      <c r="U1062" s="8">
        <f>IF(OR(T1062="",T1062=0,G1062=""),"",T1062*G1062)</f>
        <v>0</v>
      </c>
      <c r="V1062" s="8">
        <f>IF(OR(S1062="",T1062="",T1062=0),"",CEILING(S1062/T1062,1))</f>
        <v>0</v>
      </c>
      <c r="W1062" s="27"/>
      <c r="X1062" s="29"/>
      <c r="Y1062" s="8">
        <f>IF(OR(C1062="",X1062=""),"",C1062*(1+X1062))</f>
        <v>0</v>
      </c>
      <c r="Z1062" s="8">
        <f>IF(B1062="","",IFERROR(INDEX(Ingredients!$O$5:$O$304,MATCH(B1062,Ingredients!$A$5:$A$304,0)),""))</f>
        <v>0</v>
      </c>
      <c r="AA1062" s="8">
        <f>IF(B1062="","",IF(R1062&gt;=C1062,"In pantry","To buy"))</f>
        <v>0</v>
      </c>
      <c r="AB1062" s="8">
        <f>IF(A1062="","",COUNTIFS($A$5:A1062,A1062))</f>
        <v>0</v>
      </c>
      <c r="AC1062" s="8">
        <f>IF(B1062="","",IF(COUNTIFS('Dietary Filters'!$C$5:$C$104,B1062)&gt;0,"Check","OK"))</f>
        <v>0</v>
      </c>
      <c r="AD1062" s="25"/>
    </row>
    <row r="1063" spans="1:30">
      <c r="A1063" s="7"/>
      <c r="B1063" s="7"/>
      <c r="C1063" s="26"/>
      <c r="D1063" s="27"/>
      <c r="E1063" s="8">
        <f>IF(B1063="","",IFERROR(INDEX(Ingredients!$B$5:$B$304,MATCH(B1063,Ingredients!$A$5:$A$304,0)),""))</f>
        <v>0</v>
      </c>
      <c r="F1063" s="8">
        <f>IF(B1063="","",IFERROR(INDEX(Ingredients!$E$5:$E$304,MATCH(B1063,Ingredients!$A$5:$A$304,0)),""))</f>
        <v>0</v>
      </c>
      <c r="G1063" s="8">
        <f>IF(B1063="","",IFERROR(INDEX(Ingredients!$D$5:$D$304,MATCH(B1063,Ingredients!$A$5:$A$304,0)),""))</f>
        <v>0</v>
      </c>
      <c r="H1063" s="8">
        <f>IF(OR(B1063="",C1063=""),"",IFERROR(C1063*G1063,""))</f>
        <v>0</v>
      </c>
      <c r="I1063" s="8">
        <f>IF(A1063="","",IFERROR(INDEX(Recipes!$D$5:$D$204,MATCH(A1063,Recipes!$A$5:$A$204,0)),""))</f>
        <v>0</v>
      </c>
      <c r="J1063" s="8">
        <f>IF(OR(H1063="",I1063="",I1063=0),"",IFERROR(H1063/I1063,""))</f>
        <v>0</v>
      </c>
      <c r="K1063" s="8">
        <f>IF(OR(B1063="",C1063=""),"",IFERROR(C1063*IFERROR(INDEX(Ingredients!$H$5:$H$304,MATCH(B1063,Ingredients!$A$5:$A$304,0)),""),""))</f>
        <v>0</v>
      </c>
      <c r="L1063" s="8">
        <f>IF(OR(B1063="",C1063=""),"",IFERROR(C1063*IFERROR(INDEX(Ingredients!$I$5:$I$304,MATCH(B1063,Ingredients!$A$5:$A$304,0)),""),""))</f>
        <v>0</v>
      </c>
      <c r="M1063" s="8">
        <f>IF(OR(B1063="",C1063=""),"",IFERROR(C1063*IFERROR(INDEX(Ingredients!$J$5:$J$304,MATCH(B1063,Ingredients!$A$5:$A$304,0)),""),""))</f>
        <v>0</v>
      </c>
      <c r="N1063" s="8">
        <f>IF(OR(B1063="",C1063=""),"",IFERROR(C1063*IFERROR(INDEX(Ingredients!$K$5:$K$304,MATCH(B1063,Ingredients!$A$5:$A$304,0)),""),""))</f>
        <v>0</v>
      </c>
      <c r="O1063" s="8">
        <f>IF(OR(B1063="",C1063=""),"",IFERROR(C1063*IFERROR(INDEX(Ingredients!$L$5:$L$304,MATCH(B1063,Ingredients!$A$5:$A$304,0)),""),""))</f>
        <v>0</v>
      </c>
      <c r="P1063" s="8">
        <f>IF(OR(H1063="",A1063=""),"",IFERROR(H1063/SUMIFS('Recipe Ingredients'!$H$5:$H$1204,'Recipe Ingredients'!$A$5:$A$1204,A1063),""))</f>
        <v>0</v>
      </c>
      <c r="Q1063" s="8">
        <f>IF(H1063="","",COUNTIFS($H$5:$H$1204,"&gt;"&amp;H1063)+1)</f>
        <v>0</v>
      </c>
      <c r="R1063" s="8">
        <f>IF(B1063="","",SUMIFS(Pantry!$C$5:$C$304,Pantry!$A$5:$A$304,B1063))</f>
        <v>0</v>
      </c>
      <c r="S1063" s="8">
        <f>IF(OR(B1063="",C1063=""),"",MAX(0,C1063-R1063))</f>
        <v>0</v>
      </c>
      <c r="T1063" s="26"/>
      <c r="U1063" s="8">
        <f>IF(OR(T1063="",T1063=0,G1063=""),"",T1063*G1063)</f>
        <v>0</v>
      </c>
      <c r="V1063" s="8">
        <f>IF(OR(S1063="",T1063="",T1063=0),"",CEILING(S1063/T1063,1))</f>
        <v>0</v>
      </c>
      <c r="W1063" s="27"/>
      <c r="X1063" s="29"/>
      <c r="Y1063" s="8">
        <f>IF(OR(C1063="",X1063=""),"",C1063*(1+X1063))</f>
        <v>0</v>
      </c>
      <c r="Z1063" s="8">
        <f>IF(B1063="","",IFERROR(INDEX(Ingredients!$O$5:$O$304,MATCH(B1063,Ingredients!$A$5:$A$304,0)),""))</f>
        <v>0</v>
      </c>
      <c r="AA1063" s="8">
        <f>IF(B1063="","",IF(R1063&gt;=C1063,"In pantry","To buy"))</f>
        <v>0</v>
      </c>
      <c r="AB1063" s="8">
        <f>IF(A1063="","",COUNTIFS($A$5:A1063,A1063))</f>
        <v>0</v>
      </c>
      <c r="AC1063" s="8">
        <f>IF(B1063="","",IF(COUNTIFS('Dietary Filters'!$C$5:$C$104,B1063)&gt;0,"Check","OK"))</f>
        <v>0</v>
      </c>
      <c r="AD1063" s="25"/>
    </row>
    <row r="1064" spans="1:30">
      <c r="A1064" s="7"/>
      <c r="B1064" s="7"/>
      <c r="C1064" s="26"/>
      <c r="D1064" s="27"/>
      <c r="E1064" s="8">
        <f>IF(B1064="","",IFERROR(INDEX(Ingredients!$B$5:$B$304,MATCH(B1064,Ingredients!$A$5:$A$304,0)),""))</f>
        <v>0</v>
      </c>
      <c r="F1064" s="8">
        <f>IF(B1064="","",IFERROR(INDEX(Ingredients!$E$5:$E$304,MATCH(B1064,Ingredients!$A$5:$A$304,0)),""))</f>
        <v>0</v>
      </c>
      <c r="G1064" s="8">
        <f>IF(B1064="","",IFERROR(INDEX(Ingredients!$D$5:$D$304,MATCH(B1064,Ingredients!$A$5:$A$304,0)),""))</f>
        <v>0</v>
      </c>
      <c r="H1064" s="8">
        <f>IF(OR(B1064="",C1064=""),"",IFERROR(C1064*G1064,""))</f>
        <v>0</v>
      </c>
      <c r="I1064" s="8">
        <f>IF(A1064="","",IFERROR(INDEX(Recipes!$D$5:$D$204,MATCH(A1064,Recipes!$A$5:$A$204,0)),""))</f>
        <v>0</v>
      </c>
      <c r="J1064" s="8">
        <f>IF(OR(H1064="",I1064="",I1064=0),"",IFERROR(H1064/I1064,""))</f>
        <v>0</v>
      </c>
      <c r="K1064" s="8">
        <f>IF(OR(B1064="",C1064=""),"",IFERROR(C1064*IFERROR(INDEX(Ingredients!$H$5:$H$304,MATCH(B1064,Ingredients!$A$5:$A$304,0)),""),""))</f>
        <v>0</v>
      </c>
      <c r="L1064" s="8">
        <f>IF(OR(B1064="",C1064=""),"",IFERROR(C1064*IFERROR(INDEX(Ingredients!$I$5:$I$304,MATCH(B1064,Ingredients!$A$5:$A$304,0)),""),""))</f>
        <v>0</v>
      </c>
      <c r="M1064" s="8">
        <f>IF(OR(B1064="",C1064=""),"",IFERROR(C1064*IFERROR(INDEX(Ingredients!$J$5:$J$304,MATCH(B1064,Ingredients!$A$5:$A$304,0)),""),""))</f>
        <v>0</v>
      </c>
      <c r="N1064" s="8">
        <f>IF(OR(B1064="",C1064=""),"",IFERROR(C1064*IFERROR(INDEX(Ingredients!$K$5:$K$304,MATCH(B1064,Ingredients!$A$5:$A$304,0)),""),""))</f>
        <v>0</v>
      </c>
      <c r="O1064" s="8">
        <f>IF(OR(B1064="",C1064=""),"",IFERROR(C1064*IFERROR(INDEX(Ingredients!$L$5:$L$304,MATCH(B1064,Ingredients!$A$5:$A$304,0)),""),""))</f>
        <v>0</v>
      </c>
      <c r="P1064" s="8">
        <f>IF(OR(H1064="",A1064=""),"",IFERROR(H1064/SUMIFS('Recipe Ingredients'!$H$5:$H$1204,'Recipe Ingredients'!$A$5:$A$1204,A1064),""))</f>
        <v>0</v>
      </c>
      <c r="Q1064" s="8">
        <f>IF(H1064="","",COUNTIFS($H$5:$H$1204,"&gt;"&amp;H1064)+1)</f>
        <v>0</v>
      </c>
      <c r="R1064" s="8">
        <f>IF(B1064="","",SUMIFS(Pantry!$C$5:$C$304,Pantry!$A$5:$A$304,B1064))</f>
        <v>0</v>
      </c>
      <c r="S1064" s="8">
        <f>IF(OR(B1064="",C1064=""),"",MAX(0,C1064-R1064))</f>
        <v>0</v>
      </c>
      <c r="T1064" s="26"/>
      <c r="U1064" s="8">
        <f>IF(OR(T1064="",T1064=0,G1064=""),"",T1064*G1064)</f>
        <v>0</v>
      </c>
      <c r="V1064" s="8">
        <f>IF(OR(S1064="",T1064="",T1064=0),"",CEILING(S1064/T1064,1))</f>
        <v>0</v>
      </c>
      <c r="W1064" s="27"/>
      <c r="X1064" s="29"/>
      <c r="Y1064" s="8">
        <f>IF(OR(C1064="",X1064=""),"",C1064*(1+X1064))</f>
        <v>0</v>
      </c>
      <c r="Z1064" s="8">
        <f>IF(B1064="","",IFERROR(INDEX(Ingredients!$O$5:$O$304,MATCH(B1064,Ingredients!$A$5:$A$304,0)),""))</f>
        <v>0</v>
      </c>
      <c r="AA1064" s="8">
        <f>IF(B1064="","",IF(R1064&gt;=C1064,"In pantry","To buy"))</f>
        <v>0</v>
      </c>
      <c r="AB1064" s="8">
        <f>IF(A1064="","",COUNTIFS($A$5:A1064,A1064))</f>
        <v>0</v>
      </c>
      <c r="AC1064" s="8">
        <f>IF(B1064="","",IF(COUNTIFS('Dietary Filters'!$C$5:$C$104,B1064)&gt;0,"Check","OK"))</f>
        <v>0</v>
      </c>
      <c r="AD1064" s="25"/>
    </row>
    <row r="1065" spans="1:30">
      <c r="A1065" s="7"/>
      <c r="B1065" s="7"/>
      <c r="C1065" s="26"/>
      <c r="D1065" s="27"/>
      <c r="E1065" s="8">
        <f>IF(B1065="","",IFERROR(INDEX(Ingredients!$B$5:$B$304,MATCH(B1065,Ingredients!$A$5:$A$304,0)),""))</f>
        <v>0</v>
      </c>
      <c r="F1065" s="8">
        <f>IF(B1065="","",IFERROR(INDEX(Ingredients!$E$5:$E$304,MATCH(B1065,Ingredients!$A$5:$A$304,0)),""))</f>
        <v>0</v>
      </c>
      <c r="G1065" s="8">
        <f>IF(B1065="","",IFERROR(INDEX(Ingredients!$D$5:$D$304,MATCH(B1065,Ingredients!$A$5:$A$304,0)),""))</f>
        <v>0</v>
      </c>
      <c r="H1065" s="8">
        <f>IF(OR(B1065="",C1065=""),"",IFERROR(C1065*G1065,""))</f>
        <v>0</v>
      </c>
      <c r="I1065" s="8">
        <f>IF(A1065="","",IFERROR(INDEX(Recipes!$D$5:$D$204,MATCH(A1065,Recipes!$A$5:$A$204,0)),""))</f>
        <v>0</v>
      </c>
      <c r="J1065" s="8">
        <f>IF(OR(H1065="",I1065="",I1065=0),"",IFERROR(H1065/I1065,""))</f>
        <v>0</v>
      </c>
      <c r="K1065" s="8">
        <f>IF(OR(B1065="",C1065=""),"",IFERROR(C1065*IFERROR(INDEX(Ingredients!$H$5:$H$304,MATCH(B1065,Ingredients!$A$5:$A$304,0)),""),""))</f>
        <v>0</v>
      </c>
      <c r="L1065" s="8">
        <f>IF(OR(B1065="",C1065=""),"",IFERROR(C1065*IFERROR(INDEX(Ingredients!$I$5:$I$304,MATCH(B1065,Ingredients!$A$5:$A$304,0)),""),""))</f>
        <v>0</v>
      </c>
      <c r="M1065" s="8">
        <f>IF(OR(B1065="",C1065=""),"",IFERROR(C1065*IFERROR(INDEX(Ingredients!$J$5:$J$304,MATCH(B1065,Ingredients!$A$5:$A$304,0)),""),""))</f>
        <v>0</v>
      </c>
      <c r="N1065" s="8">
        <f>IF(OR(B1065="",C1065=""),"",IFERROR(C1065*IFERROR(INDEX(Ingredients!$K$5:$K$304,MATCH(B1065,Ingredients!$A$5:$A$304,0)),""),""))</f>
        <v>0</v>
      </c>
      <c r="O1065" s="8">
        <f>IF(OR(B1065="",C1065=""),"",IFERROR(C1065*IFERROR(INDEX(Ingredients!$L$5:$L$304,MATCH(B1065,Ingredients!$A$5:$A$304,0)),""),""))</f>
        <v>0</v>
      </c>
      <c r="P1065" s="8">
        <f>IF(OR(H1065="",A1065=""),"",IFERROR(H1065/SUMIFS('Recipe Ingredients'!$H$5:$H$1204,'Recipe Ingredients'!$A$5:$A$1204,A1065),""))</f>
        <v>0</v>
      </c>
      <c r="Q1065" s="8">
        <f>IF(H1065="","",COUNTIFS($H$5:$H$1204,"&gt;"&amp;H1065)+1)</f>
        <v>0</v>
      </c>
      <c r="R1065" s="8">
        <f>IF(B1065="","",SUMIFS(Pantry!$C$5:$C$304,Pantry!$A$5:$A$304,B1065))</f>
        <v>0</v>
      </c>
      <c r="S1065" s="8">
        <f>IF(OR(B1065="",C1065=""),"",MAX(0,C1065-R1065))</f>
        <v>0</v>
      </c>
      <c r="T1065" s="26"/>
      <c r="U1065" s="8">
        <f>IF(OR(T1065="",T1065=0,G1065=""),"",T1065*G1065)</f>
        <v>0</v>
      </c>
      <c r="V1065" s="8">
        <f>IF(OR(S1065="",T1065="",T1065=0),"",CEILING(S1065/T1065,1))</f>
        <v>0</v>
      </c>
      <c r="W1065" s="27"/>
      <c r="X1065" s="29"/>
      <c r="Y1065" s="8">
        <f>IF(OR(C1065="",X1065=""),"",C1065*(1+X1065))</f>
        <v>0</v>
      </c>
      <c r="Z1065" s="8">
        <f>IF(B1065="","",IFERROR(INDEX(Ingredients!$O$5:$O$304,MATCH(B1065,Ingredients!$A$5:$A$304,0)),""))</f>
        <v>0</v>
      </c>
      <c r="AA1065" s="8">
        <f>IF(B1065="","",IF(R1065&gt;=C1065,"In pantry","To buy"))</f>
        <v>0</v>
      </c>
      <c r="AB1065" s="8">
        <f>IF(A1065="","",COUNTIFS($A$5:A1065,A1065))</f>
        <v>0</v>
      </c>
      <c r="AC1065" s="8">
        <f>IF(B1065="","",IF(COUNTIFS('Dietary Filters'!$C$5:$C$104,B1065)&gt;0,"Check","OK"))</f>
        <v>0</v>
      </c>
      <c r="AD1065" s="25"/>
    </row>
    <row r="1066" spans="1:30">
      <c r="A1066" s="7"/>
      <c r="B1066" s="7"/>
      <c r="C1066" s="26"/>
      <c r="D1066" s="27"/>
      <c r="E1066" s="8">
        <f>IF(B1066="","",IFERROR(INDEX(Ingredients!$B$5:$B$304,MATCH(B1066,Ingredients!$A$5:$A$304,0)),""))</f>
        <v>0</v>
      </c>
      <c r="F1066" s="8">
        <f>IF(B1066="","",IFERROR(INDEX(Ingredients!$E$5:$E$304,MATCH(B1066,Ingredients!$A$5:$A$304,0)),""))</f>
        <v>0</v>
      </c>
      <c r="G1066" s="8">
        <f>IF(B1066="","",IFERROR(INDEX(Ingredients!$D$5:$D$304,MATCH(B1066,Ingredients!$A$5:$A$304,0)),""))</f>
        <v>0</v>
      </c>
      <c r="H1066" s="8">
        <f>IF(OR(B1066="",C1066=""),"",IFERROR(C1066*G1066,""))</f>
        <v>0</v>
      </c>
      <c r="I1066" s="8">
        <f>IF(A1066="","",IFERROR(INDEX(Recipes!$D$5:$D$204,MATCH(A1066,Recipes!$A$5:$A$204,0)),""))</f>
        <v>0</v>
      </c>
      <c r="J1066" s="8">
        <f>IF(OR(H1066="",I1066="",I1066=0),"",IFERROR(H1066/I1066,""))</f>
        <v>0</v>
      </c>
      <c r="K1066" s="8">
        <f>IF(OR(B1066="",C1066=""),"",IFERROR(C1066*IFERROR(INDEX(Ingredients!$H$5:$H$304,MATCH(B1066,Ingredients!$A$5:$A$304,0)),""),""))</f>
        <v>0</v>
      </c>
      <c r="L1066" s="8">
        <f>IF(OR(B1066="",C1066=""),"",IFERROR(C1066*IFERROR(INDEX(Ingredients!$I$5:$I$304,MATCH(B1066,Ingredients!$A$5:$A$304,0)),""),""))</f>
        <v>0</v>
      </c>
      <c r="M1066" s="8">
        <f>IF(OR(B1066="",C1066=""),"",IFERROR(C1066*IFERROR(INDEX(Ingredients!$J$5:$J$304,MATCH(B1066,Ingredients!$A$5:$A$304,0)),""),""))</f>
        <v>0</v>
      </c>
      <c r="N1066" s="8">
        <f>IF(OR(B1066="",C1066=""),"",IFERROR(C1066*IFERROR(INDEX(Ingredients!$K$5:$K$304,MATCH(B1066,Ingredients!$A$5:$A$304,0)),""),""))</f>
        <v>0</v>
      </c>
      <c r="O1066" s="8">
        <f>IF(OR(B1066="",C1066=""),"",IFERROR(C1066*IFERROR(INDEX(Ingredients!$L$5:$L$304,MATCH(B1066,Ingredients!$A$5:$A$304,0)),""),""))</f>
        <v>0</v>
      </c>
      <c r="P1066" s="8">
        <f>IF(OR(H1066="",A1066=""),"",IFERROR(H1066/SUMIFS('Recipe Ingredients'!$H$5:$H$1204,'Recipe Ingredients'!$A$5:$A$1204,A1066),""))</f>
        <v>0</v>
      </c>
      <c r="Q1066" s="8">
        <f>IF(H1066="","",COUNTIFS($H$5:$H$1204,"&gt;"&amp;H1066)+1)</f>
        <v>0</v>
      </c>
      <c r="R1066" s="8">
        <f>IF(B1066="","",SUMIFS(Pantry!$C$5:$C$304,Pantry!$A$5:$A$304,B1066))</f>
        <v>0</v>
      </c>
      <c r="S1066" s="8">
        <f>IF(OR(B1066="",C1066=""),"",MAX(0,C1066-R1066))</f>
        <v>0</v>
      </c>
      <c r="T1066" s="26"/>
      <c r="U1066" s="8">
        <f>IF(OR(T1066="",T1066=0,G1066=""),"",T1066*G1066)</f>
        <v>0</v>
      </c>
      <c r="V1066" s="8">
        <f>IF(OR(S1066="",T1066="",T1066=0),"",CEILING(S1066/T1066,1))</f>
        <v>0</v>
      </c>
      <c r="W1066" s="27"/>
      <c r="X1066" s="29"/>
      <c r="Y1066" s="8">
        <f>IF(OR(C1066="",X1066=""),"",C1066*(1+X1066))</f>
        <v>0</v>
      </c>
      <c r="Z1066" s="8">
        <f>IF(B1066="","",IFERROR(INDEX(Ingredients!$O$5:$O$304,MATCH(B1066,Ingredients!$A$5:$A$304,0)),""))</f>
        <v>0</v>
      </c>
      <c r="AA1066" s="8">
        <f>IF(B1066="","",IF(R1066&gt;=C1066,"In pantry","To buy"))</f>
        <v>0</v>
      </c>
      <c r="AB1066" s="8">
        <f>IF(A1066="","",COUNTIFS($A$5:A1066,A1066))</f>
        <v>0</v>
      </c>
      <c r="AC1066" s="8">
        <f>IF(B1066="","",IF(COUNTIFS('Dietary Filters'!$C$5:$C$104,B1066)&gt;0,"Check","OK"))</f>
        <v>0</v>
      </c>
      <c r="AD1066" s="25"/>
    </row>
    <row r="1067" spans="1:30">
      <c r="A1067" s="7"/>
      <c r="B1067" s="7"/>
      <c r="C1067" s="26"/>
      <c r="D1067" s="27"/>
      <c r="E1067" s="8">
        <f>IF(B1067="","",IFERROR(INDEX(Ingredients!$B$5:$B$304,MATCH(B1067,Ingredients!$A$5:$A$304,0)),""))</f>
        <v>0</v>
      </c>
      <c r="F1067" s="8">
        <f>IF(B1067="","",IFERROR(INDEX(Ingredients!$E$5:$E$304,MATCH(B1067,Ingredients!$A$5:$A$304,0)),""))</f>
        <v>0</v>
      </c>
      <c r="G1067" s="8">
        <f>IF(B1067="","",IFERROR(INDEX(Ingredients!$D$5:$D$304,MATCH(B1067,Ingredients!$A$5:$A$304,0)),""))</f>
        <v>0</v>
      </c>
      <c r="H1067" s="8">
        <f>IF(OR(B1067="",C1067=""),"",IFERROR(C1067*G1067,""))</f>
        <v>0</v>
      </c>
      <c r="I1067" s="8">
        <f>IF(A1067="","",IFERROR(INDEX(Recipes!$D$5:$D$204,MATCH(A1067,Recipes!$A$5:$A$204,0)),""))</f>
        <v>0</v>
      </c>
      <c r="J1067" s="8">
        <f>IF(OR(H1067="",I1067="",I1067=0),"",IFERROR(H1067/I1067,""))</f>
        <v>0</v>
      </c>
      <c r="K1067" s="8">
        <f>IF(OR(B1067="",C1067=""),"",IFERROR(C1067*IFERROR(INDEX(Ingredients!$H$5:$H$304,MATCH(B1067,Ingredients!$A$5:$A$304,0)),""),""))</f>
        <v>0</v>
      </c>
      <c r="L1067" s="8">
        <f>IF(OR(B1067="",C1067=""),"",IFERROR(C1067*IFERROR(INDEX(Ingredients!$I$5:$I$304,MATCH(B1067,Ingredients!$A$5:$A$304,0)),""),""))</f>
        <v>0</v>
      </c>
      <c r="M1067" s="8">
        <f>IF(OR(B1067="",C1067=""),"",IFERROR(C1067*IFERROR(INDEX(Ingredients!$J$5:$J$304,MATCH(B1067,Ingredients!$A$5:$A$304,0)),""),""))</f>
        <v>0</v>
      </c>
      <c r="N1067" s="8">
        <f>IF(OR(B1067="",C1067=""),"",IFERROR(C1067*IFERROR(INDEX(Ingredients!$K$5:$K$304,MATCH(B1067,Ingredients!$A$5:$A$304,0)),""),""))</f>
        <v>0</v>
      </c>
      <c r="O1067" s="8">
        <f>IF(OR(B1067="",C1067=""),"",IFERROR(C1067*IFERROR(INDEX(Ingredients!$L$5:$L$304,MATCH(B1067,Ingredients!$A$5:$A$304,0)),""),""))</f>
        <v>0</v>
      </c>
      <c r="P1067" s="8">
        <f>IF(OR(H1067="",A1067=""),"",IFERROR(H1067/SUMIFS('Recipe Ingredients'!$H$5:$H$1204,'Recipe Ingredients'!$A$5:$A$1204,A1067),""))</f>
        <v>0</v>
      </c>
      <c r="Q1067" s="8">
        <f>IF(H1067="","",COUNTIFS($H$5:$H$1204,"&gt;"&amp;H1067)+1)</f>
        <v>0</v>
      </c>
      <c r="R1067" s="8">
        <f>IF(B1067="","",SUMIFS(Pantry!$C$5:$C$304,Pantry!$A$5:$A$304,B1067))</f>
        <v>0</v>
      </c>
      <c r="S1067" s="8">
        <f>IF(OR(B1067="",C1067=""),"",MAX(0,C1067-R1067))</f>
        <v>0</v>
      </c>
      <c r="T1067" s="26"/>
      <c r="U1067" s="8">
        <f>IF(OR(T1067="",T1067=0,G1067=""),"",T1067*G1067)</f>
        <v>0</v>
      </c>
      <c r="V1067" s="8">
        <f>IF(OR(S1067="",T1067="",T1067=0),"",CEILING(S1067/T1067,1))</f>
        <v>0</v>
      </c>
      <c r="W1067" s="27"/>
      <c r="X1067" s="29"/>
      <c r="Y1067" s="8">
        <f>IF(OR(C1067="",X1067=""),"",C1067*(1+X1067))</f>
        <v>0</v>
      </c>
      <c r="Z1067" s="8">
        <f>IF(B1067="","",IFERROR(INDEX(Ingredients!$O$5:$O$304,MATCH(B1067,Ingredients!$A$5:$A$304,0)),""))</f>
        <v>0</v>
      </c>
      <c r="AA1067" s="8">
        <f>IF(B1067="","",IF(R1067&gt;=C1067,"In pantry","To buy"))</f>
        <v>0</v>
      </c>
      <c r="AB1067" s="8">
        <f>IF(A1067="","",COUNTIFS($A$5:A1067,A1067))</f>
        <v>0</v>
      </c>
      <c r="AC1067" s="8">
        <f>IF(B1067="","",IF(COUNTIFS('Dietary Filters'!$C$5:$C$104,B1067)&gt;0,"Check","OK"))</f>
        <v>0</v>
      </c>
      <c r="AD1067" s="25"/>
    </row>
    <row r="1068" spans="1:30">
      <c r="A1068" s="7"/>
      <c r="B1068" s="7"/>
      <c r="C1068" s="26"/>
      <c r="D1068" s="27"/>
      <c r="E1068" s="8">
        <f>IF(B1068="","",IFERROR(INDEX(Ingredients!$B$5:$B$304,MATCH(B1068,Ingredients!$A$5:$A$304,0)),""))</f>
        <v>0</v>
      </c>
      <c r="F1068" s="8">
        <f>IF(B1068="","",IFERROR(INDEX(Ingredients!$E$5:$E$304,MATCH(B1068,Ingredients!$A$5:$A$304,0)),""))</f>
        <v>0</v>
      </c>
      <c r="G1068" s="8">
        <f>IF(B1068="","",IFERROR(INDEX(Ingredients!$D$5:$D$304,MATCH(B1068,Ingredients!$A$5:$A$304,0)),""))</f>
        <v>0</v>
      </c>
      <c r="H1068" s="8">
        <f>IF(OR(B1068="",C1068=""),"",IFERROR(C1068*G1068,""))</f>
        <v>0</v>
      </c>
      <c r="I1068" s="8">
        <f>IF(A1068="","",IFERROR(INDEX(Recipes!$D$5:$D$204,MATCH(A1068,Recipes!$A$5:$A$204,0)),""))</f>
        <v>0</v>
      </c>
      <c r="J1068" s="8">
        <f>IF(OR(H1068="",I1068="",I1068=0),"",IFERROR(H1068/I1068,""))</f>
        <v>0</v>
      </c>
      <c r="K1068" s="8">
        <f>IF(OR(B1068="",C1068=""),"",IFERROR(C1068*IFERROR(INDEX(Ingredients!$H$5:$H$304,MATCH(B1068,Ingredients!$A$5:$A$304,0)),""),""))</f>
        <v>0</v>
      </c>
      <c r="L1068" s="8">
        <f>IF(OR(B1068="",C1068=""),"",IFERROR(C1068*IFERROR(INDEX(Ingredients!$I$5:$I$304,MATCH(B1068,Ingredients!$A$5:$A$304,0)),""),""))</f>
        <v>0</v>
      </c>
      <c r="M1068" s="8">
        <f>IF(OR(B1068="",C1068=""),"",IFERROR(C1068*IFERROR(INDEX(Ingredients!$J$5:$J$304,MATCH(B1068,Ingredients!$A$5:$A$304,0)),""),""))</f>
        <v>0</v>
      </c>
      <c r="N1068" s="8">
        <f>IF(OR(B1068="",C1068=""),"",IFERROR(C1068*IFERROR(INDEX(Ingredients!$K$5:$K$304,MATCH(B1068,Ingredients!$A$5:$A$304,0)),""),""))</f>
        <v>0</v>
      </c>
      <c r="O1068" s="8">
        <f>IF(OR(B1068="",C1068=""),"",IFERROR(C1068*IFERROR(INDEX(Ingredients!$L$5:$L$304,MATCH(B1068,Ingredients!$A$5:$A$304,0)),""),""))</f>
        <v>0</v>
      </c>
      <c r="P1068" s="8">
        <f>IF(OR(H1068="",A1068=""),"",IFERROR(H1068/SUMIFS('Recipe Ingredients'!$H$5:$H$1204,'Recipe Ingredients'!$A$5:$A$1204,A1068),""))</f>
        <v>0</v>
      </c>
      <c r="Q1068" s="8">
        <f>IF(H1068="","",COUNTIFS($H$5:$H$1204,"&gt;"&amp;H1068)+1)</f>
        <v>0</v>
      </c>
      <c r="R1068" s="8">
        <f>IF(B1068="","",SUMIFS(Pantry!$C$5:$C$304,Pantry!$A$5:$A$304,B1068))</f>
        <v>0</v>
      </c>
      <c r="S1068" s="8">
        <f>IF(OR(B1068="",C1068=""),"",MAX(0,C1068-R1068))</f>
        <v>0</v>
      </c>
      <c r="T1068" s="26"/>
      <c r="U1068" s="8">
        <f>IF(OR(T1068="",T1068=0,G1068=""),"",T1068*G1068)</f>
        <v>0</v>
      </c>
      <c r="V1068" s="8">
        <f>IF(OR(S1068="",T1068="",T1068=0),"",CEILING(S1068/T1068,1))</f>
        <v>0</v>
      </c>
      <c r="W1068" s="27"/>
      <c r="X1068" s="29"/>
      <c r="Y1068" s="8">
        <f>IF(OR(C1068="",X1068=""),"",C1068*(1+X1068))</f>
        <v>0</v>
      </c>
      <c r="Z1068" s="8">
        <f>IF(B1068="","",IFERROR(INDEX(Ingredients!$O$5:$O$304,MATCH(B1068,Ingredients!$A$5:$A$304,0)),""))</f>
        <v>0</v>
      </c>
      <c r="AA1068" s="8">
        <f>IF(B1068="","",IF(R1068&gt;=C1068,"In pantry","To buy"))</f>
        <v>0</v>
      </c>
      <c r="AB1068" s="8">
        <f>IF(A1068="","",COUNTIFS($A$5:A1068,A1068))</f>
        <v>0</v>
      </c>
      <c r="AC1068" s="8">
        <f>IF(B1068="","",IF(COUNTIFS('Dietary Filters'!$C$5:$C$104,B1068)&gt;0,"Check","OK"))</f>
        <v>0</v>
      </c>
      <c r="AD1068" s="25"/>
    </row>
    <row r="1069" spans="1:30">
      <c r="A1069" s="7"/>
      <c r="B1069" s="7"/>
      <c r="C1069" s="26"/>
      <c r="D1069" s="27"/>
      <c r="E1069" s="8">
        <f>IF(B1069="","",IFERROR(INDEX(Ingredients!$B$5:$B$304,MATCH(B1069,Ingredients!$A$5:$A$304,0)),""))</f>
        <v>0</v>
      </c>
      <c r="F1069" s="8">
        <f>IF(B1069="","",IFERROR(INDEX(Ingredients!$E$5:$E$304,MATCH(B1069,Ingredients!$A$5:$A$304,0)),""))</f>
        <v>0</v>
      </c>
      <c r="G1069" s="8">
        <f>IF(B1069="","",IFERROR(INDEX(Ingredients!$D$5:$D$304,MATCH(B1069,Ingredients!$A$5:$A$304,0)),""))</f>
        <v>0</v>
      </c>
      <c r="H1069" s="8">
        <f>IF(OR(B1069="",C1069=""),"",IFERROR(C1069*G1069,""))</f>
        <v>0</v>
      </c>
      <c r="I1069" s="8">
        <f>IF(A1069="","",IFERROR(INDEX(Recipes!$D$5:$D$204,MATCH(A1069,Recipes!$A$5:$A$204,0)),""))</f>
        <v>0</v>
      </c>
      <c r="J1069" s="8">
        <f>IF(OR(H1069="",I1069="",I1069=0),"",IFERROR(H1069/I1069,""))</f>
        <v>0</v>
      </c>
      <c r="K1069" s="8">
        <f>IF(OR(B1069="",C1069=""),"",IFERROR(C1069*IFERROR(INDEX(Ingredients!$H$5:$H$304,MATCH(B1069,Ingredients!$A$5:$A$304,0)),""),""))</f>
        <v>0</v>
      </c>
      <c r="L1069" s="8">
        <f>IF(OR(B1069="",C1069=""),"",IFERROR(C1069*IFERROR(INDEX(Ingredients!$I$5:$I$304,MATCH(B1069,Ingredients!$A$5:$A$304,0)),""),""))</f>
        <v>0</v>
      </c>
      <c r="M1069" s="8">
        <f>IF(OR(B1069="",C1069=""),"",IFERROR(C1069*IFERROR(INDEX(Ingredients!$J$5:$J$304,MATCH(B1069,Ingredients!$A$5:$A$304,0)),""),""))</f>
        <v>0</v>
      </c>
      <c r="N1069" s="8">
        <f>IF(OR(B1069="",C1069=""),"",IFERROR(C1069*IFERROR(INDEX(Ingredients!$K$5:$K$304,MATCH(B1069,Ingredients!$A$5:$A$304,0)),""),""))</f>
        <v>0</v>
      </c>
      <c r="O1069" s="8">
        <f>IF(OR(B1069="",C1069=""),"",IFERROR(C1069*IFERROR(INDEX(Ingredients!$L$5:$L$304,MATCH(B1069,Ingredients!$A$5:$A$304,0)),""),""))</f>
        <v>0</v>
      </c>
      <c r="P1069" s="8">
        <f>IF(OR(H1069="",A1069=""),"",IFERROR(H1069/SUMIFS('Recipe Ingredients'!$H$5:$H$1204,'Recipe Ingredients'!$A$5:$A$1204,A1069),""))</f>
        <v>0</v>
      </c>
      <c r="Q1069" s="8">
        <f>IF(H1069="","",COUNTIFS($H$5:$H$1204,"&gt;"&amp;H1069)+1)</f>
        <v>0</v>
      </c>
      <c r="R1069" s="8">
        <f>IF(B1069="","",SUMIFS(Pantry!$C$5:$C$304,Pantry!$A$5:$A$304,B1069))</f>
        <v>0</v>
      </c>
      <c r="S1069" s="8">
        <f>IF(OR(B1069="",C1069=""),"",MAX(0,C1069-R1069))</f>
        <v>0</v>
      </c>
      <c r="T1069" s="26"/>
      <c r="U1069" s="8">
        <f>IF(OR(T1069="",T1069=0,G1069=""),"",T1069*G1069)</f>
        <v>0</v>
      </c>
      <c r="V1069" s="8">
        <f>IF(OR(S1069="",T1069="",T1069=0),"",CEILING(S1069/T1069,1))</f>
        <v>0</v>
      </c>
      <c r="W1069" s="27"/>
      <c r="X1069" s="29"/>
      <c r="Y1069" s="8">
        <f>IF(OR(C1069="",X1069=""),"",C1069*(1+X1069))</f>
        <v>0</v>
      </c>
      <c r="Z1069" s="8">
        <f>IF(B1069="","",IFERROR(INDEX(Ingredients!$O$5:$O$304,MATCH(B1069,Ingredients!$A$5:$A$304,0)),""))</f>
        <v>0</v>
      </c>
      <c r="AA1069" s="8">
        <f>IF(B1069="","",IF(R1069&gt;=C1069,"In pantry","To buy"))</f>
        <v>0</v>
      </c>
      <c r="AB1069" s="8">
        <f>IF(A1069="","",COUNTIFS($A$5:A1069,A1069))</f>
        <v>0</v>
      </c>
      <c r="AC1069" s="8">
        <f>IF(B1069="","",IF(COUNTIFS('Dietary Filters'!$C$5:$C$104,B1069)&gt;0,"Check","OK"))</f>
        <v>0</v>
      </c>
      <c r="AD1069" s="25"/>
    </row>
    <row r="1070" spans="1:30">
      <c r="A1070" s="7"/>
      <c r="B1070" s="7"/>
      <c r="C1070" s="26"/>
      <c r="D1070" s="27"/>
      <c r="E1070" s="8">
        <f>IF(B1070="","",IFERROR(INDEX(Ingredients!$B$5:$B$304,MATCH(B1070,Ingredients!$A$5:$A$304,0)),""))</f>
        <v>0</v>
      </c>
      <c r="F1070" s="8">
        <f>IF(B1070="","",IFERROR(INDEX(Ingredients!$E$5:$E$304,MATCH(B1070,Ingredients!$A$5:$A$304,0)),""))</f>
        <v>0</v>
      </c>
      <c r="G1070" s="8">
        <f>IF(B1070="","",IFERROR(INDEX(Ingredients!$D$5:$D$304,MATCH(B1070,Ingredients!$A$5:$A$304,0)),""))</f>
        <v>0</v>
      </c>
      <c r="H1070" s="8">
        <f>IF(OR(B1070="",C1070=""),"",IFERROR(C1070*G1070,""))</f>
        <v>0</v>
      </c>
      <c r="I1070" s="8">
        <f>IF(A1070="","",IFERROR(INDEX(Recipes!$D$5:$D$204,MATCH(A1070,Recipes!$A$5:$A$204,0)),""))</f>
        <v>0</v>
      </c>
      <c r="J1070" s="8">
        <f>IF(OR(H1070="",I1070="",I1070=0),"",IFERROR(H1070/I1070,""))</f>
        <v>0</v>
      </c>
      <c r="K1070" s="8">
        <f>IF(OR(B1070="",C1070=""),"",IFERROR(C1070*IFERROR(INDEX(Ingredients!$H$5:$H$304,MATCH(B1070,Ingredients!$A$5:$A$304,0)),""),""))</f>
        <v>0</v>
      </c>
      <c r="L1070" s="8">
        <f>IF(OR(B1070="",C1070=""),"",IFERROR(C1070*IFERROR(INDEX(Ingredients!$I$5:$I$304,MATCH(B1070,Ingredients!$A$5:$A$304,0)),""),""))</f>
        <v>0</v>
      </c>
      <c r="M1070" s="8">
        <f>IF(OR(B1070="",C1070=""),"",IFERROR(C1070*IFERROR(INDEX(Ingredients!$J$5:$J$304,MATCH(B1070,Ingredients!$A$5:$A$304,0)),""),""))</f>
        <v>0</v>
      </c>
      <c r="N1070" s="8">
        <f>IF(OR(B1070="",C1070=""),"",IFERROR(C1070*IFERROR(INDEX(Ingredients!$K$5:$K$304,MATCH(B1070,Ingredients!$A$5:$A$304,0)),""),""))</f>
        <v>0</v>
      </c>
      <c r="O1070" s="8">
        <f>IF(OR(B1070="",C1070=""),"",IFERROR(C1070*IFERROR(INDEX(Ingredients!$L$5:$L$304,MATCH(B1070,Ingredients!$A$5:$A$304,0)),""),""))</f>
        <v>0</v>
      </c>
      <c r="P1070" s="8">
        <f>IF(OR(H1070="",A1070=""),"",IFERROR(H1070/SUMIFS('Recipe Ingredients'!$H$5:$H$1204,'Recipe Ingredients'!$A$5:$A$1204,A1070),""))</f>
        <v>0</v>
      </c>
      <c r="Q1070" s="8">
        <f>IF(H1070="","",COUNTIFS($H$5:$H$1204,"&gt;"&amp;H1070)+1)</f>
        <v>0</v>
      </c>
      <c r="R1070" s="8">
        <f>IF(B1070="","",SUMIFS(Pantry!$C$5:$C$304,Pantry!$A$5:$A$304,B1070))</f>
        <v>0</v>
      </c>
      <c r="S1070" s="8">
        <f>IF(OR(B1070="",C1070=""),"",MAX(0,C1070-R1070))</f>
        <v>0</v>
      </c>
      <c r="T1070" s="26"/>
      <c r="U1070" s="8">
        <f>IF(OR(T1070="",T1070=0,G1070=""),"",T1070*G1070)</f>
        <v>0</v>
      </c>
      <c r="V1070" s="8">
        <f>IF(OR(S1070="",T1070="",T1070=0),"",CEILING(S1070/T1070,1))</f>
        <v>0</v>
      </c>
      <c r="W1070" s="27"/>
      <c r="X1070" s="29"/>
      <c r="Y1070" s="8">
        <f>IF(OR(C1070="",X1070=""),"",C1070*(1+X1070))</f>
        <v>0</v>
      </c>
      <c r="Z1070" s="8">
        <f>IF(B1070="","",IFERROR(INDEX(Ingredients!$O$5:$O$304,MATCH(B1070,Ingredients!$A$5:$A$304,0)),""))</f>
        <v>0</v>
      </c>
      <c r="AA1070" s="8">
        <f>IF(B1070="","",IF(R1070&gt;=C1070,"In pantry","To buy"))</f>
        <v>0</v>
      </c>
      <c r="AB1070" s="8">
        <f>IF(A1070="","",COUNTIFS($A$5:A1070,A1070))</f>
        <v>0</v>
      </c>
      <c r="AC1070" s="8">
        <f>IF(B1070="","",IF(COUNTIFS('Dietary Filters'!$C$5:$C$104,B1070)&gt;0,"Check","OK"))</f>
        <v>0</v>
      </c>
      <c r="AD1070" s="25"/>
    </row>
    <row r="1071" spans="1:30">
      <c r="A1071" s="7"/>
      <c r="B1071" s="7"/>
      <c r="C1071" s="26"/>
      <c r="D1071" s="27"/>
      <c r="E1071" s="8">
        <f>IF(B1071="","",IFERROR(INDEX(Ingredients!$B$5:$B$304,MATCH(B1071,Ingredients!$A$5:$A$304,0)),""))</f>
        <v>0</v>
      </c>
      <c r="F1071" s="8">
        <f>IF(B1071="","",IFERROR(INDEX(Ingredients!$E$5:$E$304,MATCH(B1071,Ingredients!$A$5:$A$304,0)),""))</f>
        <v>0</v>
      </c>
      <c r="G1071" s="8">
        <f>IF(B1071="","",IFERROR(INDEX(Ingredients!$D$5:$D$304,MATCH(B1071,Ingredients!$A$5:$A$304,0)),""))</f>
        <v>0</v>
      </c>
      <c r="H1071" s="8">
        <f>IF(OR(B1071="",C1071=""),"",IFERROR(C1071*G1071,""))</f>
        <v>0</v>
      </c>
      <c r="I1071" s="8">
        <f>IF(A1071="","",IFERROR(INDEX(Recipes!$D$5:$D$204,MATCH(A1071,Recipes!$A$5:$A$204,0)),""))</f>
        <v>0</v>
      </c>
      <c r="J1071" s="8">
        <f>IF(OR(H1071="",I1071="",I1071=0),"",IFERROR(H1071/I1071,""))</f>
        <v>0</v>
      </c>
      <c r="K1071" s="8">
        <f>IF(OR(B1071="",C1071=""),"",IFERROR(C1071*IFERROR(INDEX(Ingredients!$H$5:$H$304,MATCH(B1071,Ingredients!$A$5:$A$304,0)),""),""))</f>
        <v>0</v>
      </c>
      <c r="L1071" s="8">
        <f>IF(OR(B1071="",C1071=""),"",IFERROR(C1071*IFERROR(INDEX(Ingredients!$I$5:$I$304,MATCH(B1071,Ingredients!$A$5:$A$304,0)),""),""))</f>
        <v>0</v>
      </c>
      <c r="M1071" s="8">
        <f>IF(OR(B1071="",C1071=""),"",IFERROR(C1071*IFERROR(INDEX(Ingredients!$J$5:$J$304,MATCH(B1071,Ingredients!$A$5:$A$304,0)),""),""))</f>
        <v>0</v>
      </c>
      <c r="N1071" s="8">
        <f>IF(OR(B1071="",C1071=""),"",IFERROR(C1071*IFERROR(INDEX(Ingredients!$K$5:$K$304,MATCH(B1071,Ingredients!$A$5:$A$304,0)),""),""))</f>
        <v>0</v>
      </c>
      <c r="O1071" s="8">
        <f>IF(OR(B1071="",C1071=""),"",IFERROR(C1071*IFERROR(INDEX(Ingredients!$L$5:$L$304,MATCH(B1071,Ingredients!$A$5:$A$304,0)),""),""))</f>
        <v>0</v>
      </c>
      <c r="P1071" s="8">
        <f>IF(OR(H1071="",A1071=""),"",IFERROR(H1071/SUMIFS('Recipe Ingredients'!$H$5:$H$1204,'Recipe Ingredients'!$A$5:$A$1204,A1071),""))</f>
        <v>0</v>
      </c>
      <c r="Q1071" s="8">
        <f>IF(H1071="","",COUNTIFS($H$5:$H$1204,"&gt;"&amp;H1071)+1)</f>
        <v>0</v>
      </c>
      <c r="R1071" s="8">
        <f>IF(B1071="","",SUMIFS(Pantry!$C$5:$C$304,Pantry!$A$5:$A$304,B1071))</f>
        <v>0</v>
      </c>
      <c r="S1071" s="8">
        <f>IF(OR(B1071="",C1071=""),"",MAX(0,C1071-R1071))</f>
        <v>0</v>
      </c>
      <c r="T1071" s="26"/>
      <c r="U1071" s="8">
        <f>IF(OR(T1071="",T1071=0,G1071=""),"",T1071*G1071)</f>
        <v>0</v>
      </c>
      <c r="V1071" s="8">
        <f>IF(OR(S1071="",T1071="",T1071=0),"",CEILING(S1071/T1071,1))</f>
        <v>0</v>
      </c>
      <c r="W1071" s="27"/>
      <c r="X1071" s="29"/>
      <c r="Y1071" s="8">
        <f>IF(OR(C1071="",X1071=""),"",C1071*(1+X1071))</f>
        <v>0</v>
      </c>
      <c r="Z1071" s="8">
        <f>IF(B1071="","",IFERROR(INDEX(Ingredients!$O$5:$O$304,MATCH(B1071,Ingredients!$A$5:$A$304,0)),""))</f>
        <v>0</v>
      </c>
      <c r="AA1071" s="8">
        <f>IF(B1071="","",IF(R1071&gt;=C1071,"In pantry","To buy"))</f>
        <v>0</v>
      </c>
      <c r="AB1071" s="8">
        <f>IF(A1071="","",COUNTIFS($A$5:A1071,A1071))</f>
        <v>0</v>
      </c>
      <c r="AC1071" s="8">
        <f>IF(B1071="","",IF(COUNTIFS('Dietary Filters'!$C$5:$C$104,B1071)&gt;0,"Check","OK"))</f>
        <v>0</v>
      </c>
      <c r="AD1071" s="25"/>
    </row>
    <row r="1072" spans="1:30">
      <c r="A1072" s="7"/>
      <c r="B1072" s="7"/>
      <c r="C1072" s="26"/>
      <c r="D1072" s="27"/>
      <c r="E1072" s="8">
        <f>IF(B1072="","",IFERROR(INDEX(Ingredients!$B$5:$B$304,MATCH(B1072,Ingredients!$A$5:$A$304,0)),""))</f>
        <v>0</v>
      </c>
      <c r="F1072" s="8">
        <f>IF(B1072="","",IFERROR(INDEX(Ingredients!$E$5:$E$304,MATCH(B1072,Ingredients!$A$5:$A$304,0)),""))</f>
        <v>0</v>
      </c>
      <c r="G1072" s="8">
        <f>IF(B1072="","",IFERROR(INDEX(Ingredients!$D$5:$D$304,MATCH(B1072,Ingredients!$A$5:$A$304,0)),""))</f>
        <v>0</v>
      </c>
      <c r="H1072" s="8">
        <f>IF(OR(B1072="",C1072=""),"",IFERROR(C1072*G1072,""))</f>
        <v>0</v>
      </c>
      <c r="I1072" s="8">
        <f>IF(A1072="","",IFERROR(INDEX(Recipes!$D$5:$D$204,MATCH(A1072,Recipes!$A$5:$A$204,0)),""))</f>
        <v>0</v>
      </c>
      <c r="J1072" s="8">
        <f>IF(OR(H1072="",I1072="",I1072=0),"",IFERROR(H1072/I1072,""))</f>
        <v>0</v>
      </c>
      <c r="K1072" s="8">
        <f>IF(OR(B1072="",C1072=""),"",IFERROR(C1072*IFERROR(INDEX(Ingredients!$H$5:$H$304,MATCH(B1072,Ingredients!$A$5:$A$304,0)),""),""))</f>
        <v>0</v>
      </c>
      <c r="L1072" s="8">
        <f>IF(OR(B1072="",C1072=""),"",IFERROR(C1072*IFERROR(INDEX(Ingredients!$I$5:$I$304,MATCH(B1072,Ingredients!$A$5:$A$304,0)),""),""))</f>
        <v>0</v>
      </c>
      <c r="M1072" s="8">
        <f>IF(OR(B1072="",C1072=""),"",IFERROR(C1072*IFERROR(INDEX(Ingredients!$J$5:$J$304,MATCH(B1072,Ingredients!$A$5:$A$304,0)),""),""))</f>
        <v>0</v>
      </c>
      <c r="N1072" s="8">
        <f>IF(OR(B1072="",C1072=""),"",IFERROR(C1072*IFERROR(INDEX(Ingredients!$K$5:$K$304,MATCH(B1072,Ingredients!$A$5:$A$304,0)),""),""))</f>
        <v>0</v>
      </c>
      <c r="O1072" s="8">
        <f>IF(OR(B1072="",C1072=""),"",IFERROR(C1072*IFERROR(INDEX(Ingredients!$L$5:$L$304,MATCH(B1072,Ingredients!$A$5:$A$304,0)),""),""))</f>
        <v>0</v>
      </c>
      <c r="P1072" s="8">
        <f>IF(OR(H1072="",A1072=""),"",IFERROR(H1072/SUMIFS('Recipe Ingredients'!$H$5:$H$1204,'Recipe Ingredients'!$A$5:$A$1204,A1072),""))</f>
        <v>0</v>
      </c>
      <c r="Q1072" s="8">
        <f>IF(H1072="","",COUNTIFS($H$5:$H$1204,"&gt;"&amp;H1072)+1)</f>
        <v>0</v>
      </c>
      <c r="R1072" s="8">
        <f>IF(B1072="","",SUMIFS(Pantry!$C$5:$C$304,Pantry!$A$5:$A$304,B1072))</f>
        <v>0</v>
      </c>
      <c r="S1072" s="8">
        <f>IF(OR(B1072="",C1072=""),"",MAX(0,C1072-R1072))</f>
        <v>0</v>
      </c>
      <c r="T1072" s="26"/>
      <c r="U1072" s="8">
        <f>IF(OR(T1072="",T1072=0,G1072=""),"",T1072*G1072)</f>
        <v>0</v>
      </c>
      <c r="V1072" s="8">
        <f>IF(OR(S1072="",T1072="",T1072=0),"",CEILING(S1072/T1072,1))</f>
        <v>0</v>
      </c>
      <c r="W1072" s="27"/>
      <c r="X1072" s="29"/>
      <c r="Y1072" s="8">
        <f>IF(OR(C1072="",X1072=""),"",C1072*(1+X1072))</f>
        <v>0</v>
      </c>
      <c r="Z1072" s="8">
        <f>IF(B1072="","",IFERROR(INDEX(Ingredients!$O$5:$O$304,MATCH(B1072,Ingredients!$A$5:$A$304,0)),""))</f>
        <v>0</v>
      </c>
      <c r="AA1072" s="8">
        <f>IF(B1072="","",IF(R1072&gt;=C1072,"In pantry","To buy"))</f>
        <v>0</v>
      </c>
      <c r="AB1072" s="8">
        <f>IF(A1072="","",COUNTIFS($A$5:A1072,A1072))</f>
        <v>0</v>
      </c>
      <c r="AC1072" s="8">
        <f>IF(B1072="","",IF(COUNTIFS('Dietary Filters'!$C$5:$C$104,B1072)&gt;0,"Check","OK"))</f>
        <v>0</v>
      </c>
      <c r="AD1072" s="25"/>
    </row>
    <row r="1073" spans="1:30">
      <c r="A1073" s="7"/>
      <c r="B1073" s="7"/>
      <c r="C1073" s="26"/>
      <c r="D1073" s="27"/>
      <c r="E1073" s="8">
        <f>IF(B1073="","",IFERROR(INDEX(Ingredients!$B$5:$B$304,MATCH(B1073,Ingredients!$A$5:$A$304,0)),""))</f>
        <v>0</v>
      </c>
      <c r="F1073" s="8">
        <f>IF(B1073="","",IFERROR(INDEX(Ingredients!$E$5:$E$304,MATCH(B1073,Ingredients!$A$5:$A$304,0)),""))</f>
        <v>0</v>
      </c>
      <c r="G1073" s="8">
        <f>IF(B1073="","",IFERROR(INDEX(Ingredients!$D$5:$D$304,MATCH(B1073,Ingredients!$A$5:$A$304,0)),""))</f>
        <v>0</v>
      </c>
      <c r="H1073" s="8">
        <f>IF(OR(B1073="",C1073=""),"",IFERROR(C1073*G1073,""))</f>
        <v>0</v>
      </c>
      <c r="I1073" s="8">
        <f>IF(A1073="","",IFERROR(INDEX(Recipes!$D$5:$D$204,MATCH(A1073,Recipes!$A$5:$A$204,0)),""))</f>
        <v>0</v>
      </c>
      <c r="J1073" s="8">
        <f>IF(OR(H1073="",I1073="",I1073=0),"",IFERROR(H1073/I1073,""))</f>
        <v>0</v>
      </c>
      <c r="K1073" s="8">
        <f>IF(OR(B1073="",C1073=""),"",IFERROR(C1073*IFERROR(INDEX(Ingredients!$H$5:$H$304,MATCH(B1073,Ingredients!$A$5:$A$304,0)),""),""))</f>
        <v>0</v>
      </c>
      <c r="L1073" s="8">
        <f>IF(OR(B1073="",C1073=""),"",IFERROR(C1073*IFERROR(INDEX(Ingredients!$I$5:$I$304,MATCH(B1073,Ingredients!$A$5:$A$304,0)),""),""))</f>
        <v>0</v>
      </c>
      <c r="M1073" s="8">
        <f>IF(OR(B1073="",C1073=""),"",IFERROR(C1073*IFERROR(INDEX(Ingredients!$J$5:$J$304,MATCH(B1073,Ingredients!$A$5:$A$304,0)),""),""))</f>
        <v>0</v>
      </c>
      <c r="N1073" s="8">
        <f>IF(OR(B1073="",C1073=""),"",IFERROR(C1073*IFERROR(INDEX(Ingredients!$K$5:$K$304,MATCH(B1073,Ingredients!$A$5:$A$304,0)),""),""))</f>
        <v>0</v>
      </c>
      <c r="O1073" s="8">
        <f>IF(OR(B1073="",C1073=""),"",IFERROR(C1073*IFERROR(INDEX(Ingredients!$L$5:$L$304,MATCH(B1073,Ingredients!$A$5:$A$304,0)),""),""))</f>
        <v>0</v>
      </c>
      <c r="P1073" s="8">
        <f>IF(OR(H1073="",A1073=""),"",IFERROR(H1073/SUMIFS('Recipe Ingredients'!$H$5:$H$1204,'Recipe Ingredients'!$A$5:$A$1204,A1073),""))</f>
        <v>0</v>
      </c>
      <c r="Q1073" s="8">
        <f>IF(H1073="","",COUNTIFS($H$5:$H$1204,"&gt;"&amp;H1073)+1)</f>
        <v>0</v>
      </c>
      <c r="R1073" s="8">
        <f>IF(B1073="","",SUMIFS(Pantry!$C$5:$C$304,Pantry!$A$5:$A$304,B1073))</f>
        <v>0</v>
      </c>
      <c r="S1073" s="8">
        <f>IF(OR(B1073="",C1073=""),"",MAX(0,C1073-R1073))</f>
        <v>0</v>
      </c>
      <c r="T1073" s="26"/>
      <c r="U1073" s="8">
        <f>IF(OR(T1073="",T1073=0,G1073=""),"",T1073*G1073)</f>
        <v>0</v>
      </c>
      <c r="V1073" s="8">
        <f>IF(OR(S1073="",T1073="",T1073=0),"",CEILING(S1073/T1073,1))</f>
        <v>0</v>
      </c>
      <c r="W1073" s="27"/>
      <c r="X1073" s="29"/>
      <c r="Y1073" s="8">
        <f>IF(OR(C1073="",X1073=""),"",C1073*(1+X1073))</f>
        <v>0</v>
      </c>
      <c r="Z1073" s="8">
        <f>IF(B1073="","",IFERROR(INDEX(Ingredients!$O$5:$O$304,MATCH(B1073,Ingredients!$A$5:$A$304,0)),""))</f>
        <v>0</v>
      </c>
      <c r="AA1073" s="8">
        <f>IF(B1073="","",IF(R1073&gt;=C1073,"In pantry","To buy"))</f>
        <v>0</v>
      </c>
      <c r="AB1073" s="8">
        <f>IF(A1073="","",COUNTIFS($A$5:A1073,A1073))</f>
        <v>0</v>
      </c>
      <c r="AC1073" s="8">
        <f>IF(B1073="","",IF(COUNTIFS('Dietary Filters'!$C$5:$C$104,B1073)&gt;0,"Check","OK"))</f>
        <v>0</v>
      </c>
      <c r="AD1073" s="25"/>
    </row>
    <row r="1074" spans="1:30">
      <c r="A1074" s="7"/>
      <c r="B1074" s="7"/>
      <c r="C1074" s="26"/>
      <c r="D1074" s="27"/>
      <c r="E1074" s="8">
        <f>IF(B1074="","",IFERROR(INDEX(Ingredients!$B$5:$B$304,MATCH(B1074,Ingredients!$A$5:$A$304,0)),""))</f>
        <v>0</v>
      </c>
      <c r="F1074" s="8">
        <f>IF(B1074="","",IFERROR(INDEX(Ingredients!$E$5:$E$304,MATCH(B1074,Ingredients!$A$5:$A$304,0)),""))</f>
        <v>0</v>
      </c>
      <c r="G1074" s="8">
        <f>IF(B1074="","",IFERROR(INDEX(Ingredients!$D$5:$D$304,MATCH(B1074,Ingredients!$A$5:$A$304,0)),""))</f>
        <v>0</v>
      </c>
      <c r="H1074" s="8">
        <f>IF(OR(B1074="",C1074=""),"",IFERROR(C1074*G1074,""))</f>
        <v>0</v>
      </c>
      <c r="I1074" s="8">
        <f>IF(A1074="","",IFERROR(INDEX(Recipes!$D$5:$D$204,MATCH(A1074,Recipes!$A$5:$A$204,0)),""))</f>
        <v>0</v>
      </c>
      <c r="J1074" s="8">
        <f>IF(OR(H1074="",I1074="",I1074=0),"",IFERROR(H1074/I1074,""))</f>
        <v>0</v>
      </c>
      <c r="K1074" s="8">
        <f>IF(OR(B1074="",C1074=""),"",IFERROR(C1074*IFERROR(INDEX(Ingredients!$H$5:$H$304,MATCH(B1074,Ingredients!$A$5:$A$304,0)),""),""))</f>
        <v>0</v>
      </c>
      <c r="L1074" s="8">
        <f>IF(OR(B1074="",C1074=""),"",IFERROR(C1074*IFERROR(INDEX(Ingredients!$I$5:$I$304,MATCH(B1074,Ingredients!$A$5:$A$304,0)),""),""))</f>
        <v>0</v>
      </c>
      <c r="M1074" s="8">
        <f>IF(OR(B1074="",C1074=""),"",IFERROR(C1074*IFERROR(INDEX(Ingredients!$J$5:$J$304,MATCH(B1074,Ingredients!$A$5:$A$304,0)),""),""))</f>
        <v>0</v>
      </c>
      <c r="N1074" s="8">
        <f>IF(OR(B1074="",C1074=""),"",IFERROR(C1074*IFERROR(INDEX(Ingredients!$K$5:$K$304,MATCH(B1074,Ingredients!$A$5:$A$304,0)),""),""))</f>
        <v>0</v>
      </c>
      <c r="O1074" s="8">
        <f>IF(OR(B1074="",C1074=""),"",IFERROR(C1074*IFERROR(INDEX(Ingredients!$L$5:$L$304,MATCH(B1074,Ingredients!$A$5:$A$304,0)),""),""))</f>
        <v>0</v>
      </c>
      <c r="P1074" s="8">
        <f>IF(OR(H1074="",A1074=""),"",IFERROR(H1074/SUMIFS('Recipe Ingredients'!$H$5:$H$1204,'Recipe Ingredients'!$A$5:$A$1204,A1074),""))</f>
        <v>0</v>
      </c>
      <c r="Q1074" s="8">
        <f>IF(H1074="","",COUNTIFS($H$5:$H$1204,"&gt;"&amp;H1074)+1)</f>
        <v>0</v>
      </c>
      <c r="R1074" s="8">
        <f>IF(B1074="","",SUMIFS(Pantry!$C$5:$C$304,Pantry!$A$5:$A$304,B1074))</f>
        <v>0</v>
      </c>
      <c r="S1074" s="8">
        <f>IF(OR(B1074="",C1074=""),"",MAX(0,C1074-R1074))</f>
        <v>0</v>
      </c>
      <c r="T1074" s="26"/>
      <c r="U1074" s="8">
        <f>IF(OR(T1074="",T1074=0,G1074=""),"",T1074*G1074)</f>
        <v>0</v>
      </c>
      <c r="V1074" s="8">
        <f>IF(OR(S1074="",T1074="",T1074=0),"",CEILING(S1074/T1074,1))</f>
        <v>0</v>
      </c>
      <c r="W1074" s="27"/>
      <c r="X1074" s="29"/>
      <c r="Y1074" s="8">
        <f>IF(OR(C1074="",X1074=""),"",C1074*(1+X1074))</f>
        <v>0</v>
      </c>
      <c r="Z1074" s="8">
        <f>IF(B1074="","",IFERROR(INDEX(Ingredients!$O$5:$O$304,MATCH(B1074,Ingredients!$A$5:$A$304,0)),""))</f>
        <v>0</v>
      </c>
      <c r="AA1074" s="8">
        <f>IF(B1074="","",IF(R1074&gt;=C1074,"In pantry","To buy"))</f>
        <v>0</v>
      </c>
      <c r="AB1074" s="8">
        <f>IF(A1074="","",COUNTIFS($A$5:A1074,A1074))</f>
        <v>0</v>
      </c>
      <c r="AC1074" s="8">
        <f>IF(B1074="","",IF(COUNTIFS('Dietary Filters'!$C$5:$C$104,B1074)&gt;0,"Check","OK"))</f>
        <v>0</v>
      </c>
      <c r="AD1074" s="25"/>
    </row>
    <row r="1075" spans="1:30">
      <c r="A1075" s="7"/>
      <c r="B1075" s="7"/>
      <c r="C1075" s="26"/>
      <c r="D1075" s="27"/>
      <c r="E1075" s="8">
        <f>IF(B1075="","",IFERROR(INDEX(Ingredients!$B$5:$B$304,MATCH(B1075,Ingredients!$A$5:$A$304,0)),""))</f>
        <v>0</v>
      </c>
      <c r="F1075" s="8">
        <f>IF(B1075="","",IFERROR(INDEX(Ingredients!$E$5:$E$304,MATCH(B1075,Ingredients!$A$5:$A$304,0)),""))</f>
        <v>0</v>
      </c>
      <c r="G1075" s="8">
        <f>IF(B1075="","",IFERROR(INDEX(Ingredients!$D$5:$D$304,MATCH(B1075,Ingredients!$A$5:$A$304,0)),""))</f>
        <v>0</v>
      </c>
      <c r="H1075" s="8">
        <f>IF(OR(B1075="",C1075=""),"",IFERROR(C1075*G1075,""))</f>
        <v>0</v>
      </c>
      <c r="I1075" s="8">
        <f>IF(A1075="","",IFERROR(INDEX(Recipes!$D$5:$D$204,MATCH(A1075,Recipes!$A$5:$A$204,0)),""))</f>
        <v>0</v>
      </c>
      <c r="J1075" s="8">
        <f>IF(OR(H1075="",I1075="",I1075=0),"",IFERROR(H1075/I1075,""))</f>
        <v>0</v>
      </c>
      <c r="K1075" s="8">
        <f>IF(OR(B1075="",C1075=""),"",IFERROR(C1075*IFERROR(INDEX(Ingredients!$H$5:$H$304,MATCH(B1075,Ingredients!$A$5:$A$304,0)),""),""))</f>
        <v>0</v>
      </c>
      <c r="L1075" s="8">
        <f>IF(OR(B1075="",C1075=""),"",IFERROR(C1075*IFERROR(INDEX(Ingredients!$I$5:$I$304,MATCH(B1075,Ingredients!$A$5:$A$304,0)),""),""))</f>
        <v>0</v>
      </c>
      <c r="M1075" s="8">
        <f>IF(OR(B1075="",C1075=""),"",IFERROR(C1075*IFERROR(INDEX(Ingredients!$J$5:$J$304,MATCH(B1075,Ingredients!$A$5:$A$304,0)),""),""))</f>
        <v>0</v>
      </c>
      <c r="N1075" s="8">
        <f>IF(OR(B1075="",C1075=""),"",IFERROR(C1075*IFERROR(INDEX(Ingredients!$K$5:$K$304,MATCH(B1075,Ingredients!$A$5:$A$304,0)),""),""))</f>
        <v>0</v>
      </c>
      <c r="O1075" s="8">
        <f>IF(OR(B1075="",C1075=""),"",IFERROR(C1075*IFERROR(INDEX(Ingredients!$L$5:$L$304,MATCH(B1075,Ingredients!$A$5:$A$304,0)),""),""))</f>
        <v>0</v>
      </c>
      <c r="P1075" s="8">
        <f>IF(OR(H1075="",A1075=""),"",IFERROR(H1075/SUMIFS('Recipe Ingredients'!$H$5:$H$1204,'Recipe Ingredients'!$A$5:$A$1204,A1075),""))</f>
        <v>0</v>
      </c>
      <c r="Q1075" s="8">
        <f>IF(H1075="","",COUNTIFS($H$5:$H$1204,"&gt;"&amp;H1075)+1)</f>
        <v>0</v>
      </c>
      <c r="R1075" s="8">
        <f>IF(B1075="","",SUMIFS(Pantry!$C$5:$C$304,Pantry!$A$5:$A$304,B1075))</f>
        <v>0</v>
      </c>
      <c r="S1075" s="8">
        <f>IF(OR(B1075="",C1075=""),"",MAX(0,C1075-R1075))</f>
        <v>0</v>
      </c>
      <c r="T1075" s="26"/>
      <c r="U1075" s="8">
        <f>IF(OR(T1075="",T1075=0,G1075=""),"",T1075*G1075)</f>
        <v>0</v>
      </c>
      <c r="V1075" s="8">
        <f>IF(OR(S1075="",T1075="",T1075=0),"",CEILING(S1075/T1075,1))</f>
        <v>0</v>
      </c>
      <c r="W1075" s="27"/>
      <c r="X1075" s="29"/>
      <c r="Y1075" s="8">
        <f>IF(OR(C1075="",X1075=""),"",C1075*(1+X1075))</f>
        <v>0</v>
      </c>
      <c r="Z1075" s="8">
        <f>IF(B1075="","",IFERROR(INDEX(Ingredients!$O$5:$O$304,MATCH(B1075,Ingredients!$A$5:$A$304,0)),""))</f>
        <v>0</v>
      </c>
      <c r="AA1075" s="8">
        <f>IF(B1075="","",IF(R1075&gt;=C1075,"In pantry","To buy"))</f>
        <v>0</v>
      </c>
      <c r="AB1075" s="8">
        <f>IF(A1075="","",COUNTIFS($A$5:A1075,A1075))</f>
        <v>0</v>
      </c>
      <c r="AC1075" s="8">
        <f>IF(B1075="","",IF(COUNTIFS('Dietary Filters'!$C$5:$C$104,B1075)&gt;0,"Check","OK"))</f>
        <v>0</v>
      </c>
      <c r="AD1075" s="25"/>
    </row>
    <row r="1076" spans="1:30">
      <c r="A1076" s="7"/>
      <c r="B1076" s="7"/>
      <c r="C1076" s="26"/>
      <c r="D1076" s="27"/>
      <c r="E1076" s="8">
        <f>IF(B1076="","",IFERROR(INDEX(Ingredients!$B$5:$B$304,MATCH(B1076,Ingredients!$A$5:$A$304,0)),""))</f>
        <v>0</v>
      </c>
      <c r="F1076" s="8">
        <f>IF(B1076="","",IFERROR(INDEX(Ingredients!$E$5:$E$304,MATCH(B1076,Ingredients!$A$5:$A$304,0)),""))</f>
        <v>0</v>
      </c>
      <c r="G1076" s="8">
        <f>IF(B1076="","",IFERROR(INDEX(Ingredients!$D$5:$D$304,MATCH(B1076,Ingredients!$A$5:$A$304,0)),""))</f>
        <v>0</v>
      </c>
      <c r="H1076" s="8">
        <f>IF(OR(B1076="",C1076=""),"",IFERROR(C1076*G1076,""))</f>
        <v>0</v>
      </c>
      <c r="I1076" s="8">
        <f>IF(A1076="","",IFERROR(INDEX(Recipes!$D$5:$D$204,MATCH(A1076,Recipes!$A$5:$A$204,0)),""))</f>
        <v>0</v>
      </c>
      <c r="J1076" s="8">
        <f>IF(OR(H1076="",I1076="",I1076=0),"",IFERROR(H1076/I1076,""))</f>
        <v>0</v>
      </c>
      <c r="K1076" s="8">
        <f>IF(OR(B1076="",C1076=""),"",IFERROR(C1076*IFERROR(INDEX(Ingredients!$H$5:$H$304,MATCH(B1076,Ingredients!$A$5:$A$304,0)),""),""))</f>
        <v>0</v>
      </c>
      <c r="L1076" s="8">
        <f>IF(OR(B1076="",C1076=""),"",IFERROR(C1076*IFERROR(INDEX(Ingredients!$I$5:$I$304,MATCH(B1076,Ingredients!$A$5:$A$304,0)),""),""))</f>
        <v>0</v>
      </c>
      <c r="M1076" s="8">
        <f>IF(OR(B1076="",C1076=""),"",IFERROR(C1076*IFERROR(INDEX(Ingredients!$J$5:$J$304,MATCH(B1076,Ingredients!$A$5:$A$304,0)),""),""))</f>
        <v>0</v>
      </c>
      <c r="N1076" s="8">
        <f>IF(OR(B1076="",C1076=""),"",IFERROR(C1076*IFERROR(INDEX(Ingredients!$K$5:$K$304,MATCH(B1076,Ingredients!$A$5:$A$304,0)),""),""))</f>
        <v>0</v>
      </c>
      <c r="O1076" s="8">
        <f>IF(OR(B1076="",C1076=""),"",IFERROR(C1076*IFERROR(INDEX(Ingredients!$L$5:$L$304,MATCH(B1076,Ingredients!$A$5:$A$304,0)),""),""))</f>
        <v>0</v>
      </c>
      <c r="P1076" s="8">
        <f>IF(OR(H1076="",A1076=""),"",IFERROR(H1076/SUMIFS('Recipe Ingredients'!$H$5:$H$1204,'Recipe Ingredients'!$A$5:$A$1204,A1076),""))</f>
        <v>0</v>
      </c>
      <c r="Q1076" s="8">
        <f>IF(H1076="","",COUNTIFS($H$5:$H$1204,"&gt;"&amp;H1076)+1)</f>
        <v>0</v>
      </c>
      <c r="R1076" s="8">
        <f>IF(B1076="","",SUMIFS(Pantry!$C$5:$C$304,Pantry!$A$5:$A$304,B1076))</f>
        <v>0</v>
      </c>
      <c r="S1076" s="8">
        <f>IF(OR(B1076="",C1076=""),"",MAX(0,C1076-R1076))</f>
        <v>0</v>
      </c>
      <c r="T1076" s="26"/>
      <c r="U1076" s="8">
        <f>IF(OR(T1076="",T1076=0,G1076=""),"",T1076*G1076)</f>
        <v>0</v>
      </c>
      <c r="V1076" s="8">
        <f>IF(OR(S1076="",T1076="",T1076=0),"",CEILING(S1076/T1076,1))</f>
        <v>0</v>
      </c>
      <c r="W1076" s="27"/>
      <c r="X1076" s="29"/>
      <c r="Y1076" s="8">
        <f>IF(OR(C1076="",X1076=""),"",C1076*(1+X1076))</f>
        <v>0</v>
      </c>
      <c r="Z1076" s="8">
        <f>IF(B1076="","",IFERROR(INDEX(Ingredients!$O$5:$O$304,MATCH(B1076,Ingredients!$A$5:$A$304,0)),""))</f>
        <v>0</v>
      </c>
      <c r="AA1076" s="8">
        <f>IF(B1076="","",IF(R1076&gt;=C1076,"In pantry","To buy"))</f>
        <v>0</v>
      </c>
      <c r="AB1076" s="8">
        <f>IF(A1076="","",COUNTIFS($A$5:A1076,A1076))</f>
        <v>0</v>
      </c>
      <c r="AC1076" s="8">
        <f>IF(B1076="","",IF(COUNTIFS('Dietary Filters'!$C$5:$C$104,B1076)&gt;0,"Check","OK"))</f>
        <v>0</v>
      </c>
      <c r="AD1076" s="25"/>
    </row>
    <row r="1077" spans="1:30">
      <c r="A1077" s="7"/>
      <c r="B1077" s="7"/>
      <c r="C1077" s="26"/>
      <c r="D1077" s="27"/>
      <c r="E1077" s="8">
        <f>IF(B1077="","",IFERROR(INDEX(Ingredients!$B$5:$B$304,MATCH(B1077,Ingredients!$A$5:$A$304,0)),""))</f>
        <v>0</v>
      </c>
      <c r="F1077" s="8">
        <f>IF(B1077="","",IFERROR(INDEX(Ingredients!$E$5:$E$304,MATCH(B1077,Ingredients!$A$5:$A$304,0)),""))</f>
        <v>0</v>
      </c>
      <c r="G1077" s="8">
        <f>IF(B1077="","",IFERROR(INDEX(Ingredients!$D$5:$D$304,MATCH(B1077,Ingredients!$A$5:$A$304,0)),""))</f>
        <v>0</v>
      </c>
      <c r="H1077" s="8">
        <f>IF(OR(B1077="",C1077=""),"",IFERROR(C1077*G1077,""))</f>
        <v>0</v>
      </c>
      <c r="I1077" s="8">
        <f>IF(A1077="","",IFERROR(INDEX(Recipes!$D$5:$D$204,MATCH(A1077,Recipes!$A$5:$A$204,0)),""))</f>
        <v>0</v>
      </c>
      <c r="J1077" s="8">
        <f>IF(OR(H1077="",I1077="",I1077=0),"",IFERROR(H1077/I1077,""))</f>
        <v>0</v>
      </c>
      <c r="K1077" s="8">
        <f>IF(OR(B1077="",C1077=""),"",IFERROR(C1077*IFERROR(INDEX(Ingredients!$H$5:$H$304,MATCH(B1077,Ingredients!$A$5:$A$304,0)),""),""))</f>
        <v>0</v>
      </c>
      <c r="L1077" s="8">
        <f>IF(OR(B1077="",C1077=""),"",IFERROR(C1077*IFERROR(INDEX(Ingredients!$I$5:$I$304,MATCH(B1077,Ingredients!$A$5:$A$304,0)),""),""))</f>
        <v>0</v>
      </c>
      <c r="M1077" s="8">
        <f>IF(OR(B1077="",C1077=""),"",IFERROR(C1077*IFERROR(INDEX(Ingredients!$J$5:$J$304,MATCH(B1077,Ingredients!$A$5:$A$304,0)),""),""))</f>
        <v>0</v>
      </c>
      <c r="N1077" s="8">
        <f>IF(OR(B1077="",C1077=""),"",IFERROR(C1077*IFERROR(INDEX(Ingredients!$K$5:$K$304,MATCH(B1077,Ingredients!$A$5:$A$304,0)),""),""))</f>
        <v>0</v>
      </c>
      <c r="O1077" s="8">
        <f>IF(OR(B1077="",C1077=""),"",IFERROR(C1077*IFERROR(INDEX(Ingredients!$L$5:$L$304,MATCH(B1077,Ingredients!$A$5:$A$304,0)),""),""))</f>
        <v>0</v>
      </c>
      <c r="P1077" s="8">
        <f>IF(OR(H1077="",A1077=""),"",IFERROR(H1077/SUMIFS('Recipe Ingredients'!$H$5:$H$1204,'Recipe Ingredients'!$A$5:$A$1204,A1077),""))</f>
        <v>0</v>
      </c>
      <c r="Q1077" s="8">
        <f>IF(H1077="","",COUNTIFS($H$5:$H$1204,"&gt;"&amp;H1077)+1)</f>
        <v>0</v>
      </c>
      <c r="R1077" s="8">
        <f>IF(B1077="","",SUMIFS(Pantry!$C$5:$C$304,Pantry!$A$5:$A$304,B1077))</f>
        <v>0</v>
      </c>
      <c r="S1077" s="8">
        <f>IF(OR(B1077="",C1077=""),"",MAX(0,C1077-R1077))</f>
        <v>0</v>
      </c>
      <c r="T1077" s="26"/>
      <c r="U1077" s="8">
        <f>IF(OR(T1077="",T1077=0,G1077=""),"",T1077*G1077)</f>
        <v>0</v>
      </c>
      <c r="V1077" s="8">
        <f>IF(OR(S1077="",T1077="",T1077=0),"",CEILING(S1077/T1077,1))</f>
        <v>0</v>
      </c>
      <c r="W1077" s="27"/>
      <c r="X1077" s="29"/>
      <c r="Y1077" s="8">
        <f>IF(OR(C1077="",X1077=""),"",C1077*(1+X1077))</f>
        <v>0</v>
      </c>
      <c r="Z1077" s="8">
        <f>IF(B1077="","",IFERROR(INDEX(Ingredients!$O$5:$O$304,MATCH(B1077,Ingredients!$A$5:$A$304,0)),""))</f>
        <v>0</v>
      </c>
      <c r="AA1077" s="8">
        <f>IF(B1077="","",IF(R1077&gt;=C1077,"In pantry","To buy"))</f>
        <v>0</v>
      </c>
      <c r="AB1077" s="8">
        <f>IF(A1077="","",COUNTIFS($A$5:A1077,A1077))</f>
        <v>0</v>
      </c>
      <c r="AC1077" s="8">
        <f>IF(B1077="","",IF(COUNTIFS('Dietary Filters'!$C$5:$C$104,B1077)&gt;0,"Check","OK"))</f>
        <v>0</v>
      </c>
      <c r="AD1077" s="25"/>
    </row>
    <row r="1078" spans="1:30">
      <c r="A1078" s="7"/>
      <c r="B1078" s="7"/>
      <c r="C1078" s="26"/>
      <c r="D1078" s="27"/>
      <c r="E1078" s="8">
        <f>IF(B1078="","",IFERROR(INDEX(Ingredients!$B$5:$B$304,MATCH(B1078,Ingredients!$A$5:$A$304,0)),""))</f>
        <v>0</v>
      </c>
      <c r="F1078" s="8">
        <f>IF(B1078="","",IFERROR(INDEX(Ingredients!$E$5:$E$304,MATCH(B1078,Ingredients!$A$5:$A$304,0)),""))</f>
        <v>0</v>
      </c>
      <c r="G1078" s="8">
        <f>IF(B1078="","",IFERROR(INDEX(Ingredients!$D$5:$D$304,MATCH(B1078,Ingredients!$A$5:$A$304,0)),""))</f>
        <v>0</v>
      </c>
      <c r="H1078" s="8">
        <f>IF(OR(B1078="",C1078=""),"",IFERROR(C1078*G1078,""))</f>
        <v>0</v>
      </c>
      <c r="I1078" s="8">
        <f>IF(A1078="","",IFERROR(INDEX(Recipes!$D$5:$D$204,MATCH(A1078,Recipes!$A$5:$A$204,0)),""))</f>
        <v>0</v>
      </c>
      <c r="J1078" s="8">
        <f>IF(OR(H1078="",I1078="",I1078=0),"",IFERROR(H1078/I1078,""))</f>
        <v>0</v>
      </c>
      <c r="K1078" s="8">
        <f>IF(OR(B1078="",C1078=""),"",IFERROR(C1078*IFERROR(INDEX(Ingredients!$H$5:$H$304,MATCH(B1078,Ingredients!$A$5:$A$304,0)),""),""))</f>
        <v>0</v>
      </c>
      <c r="L1078" s="8">
        <f>IF(OR(B1078="",C1078=""),"",IFERROR(C1078*IFERROR(INDEX(Ingredients!$I$5:$I$304,MATCH(B1078,Ingredients!$A$5:$A$304,0)),""),""))</f>
        <v>0</v>
      </c>
      <c r="M1078" s="8">
        <f>IF(OR(B1078="",C1078=""),"",IFERROR(C1078*IFERROR(INDEX(Ingredients!$J$5:$J$304,MATCH(B1078,Ingredients!$A$5:$A$304,0)),""),""))</f>
        <v>0</v>
      </c>
      <c r="N1078" s="8">
        <f>IF(OR(B1078="",C1078=""),"",IFERROR(C1078*IFERROR(INDEX(Ingredients!$K$5:$K$304,MATCH(B1078,Ingredients!$A$5:$A$304,0)),""),""))</f>
        <v>0</v>
      </c>
      <c r="O1078" s="8">
        <f>IF(OR(B1078="",C1078=""),"",IFERROR(C1078*IFERROR(INDEX(Ingredients!$L$5:$L$304,MATCH(B1078,Ingredients!$A$5:$A$304,0)),""),""))</f>
        <v>0</v>
      </c>
      <c r="P1078" s="8">
        <f>IF(OR(H1078="",A1078=""),"",IFERROR(H1078/SUMIFS('Recipe Ingredients'!$H$5:$H$1204,'Recipe Ingredients'!$A$5:$A$1204,A1078),""))</f>
        <v>0</v>
      </c>
      <c r="Q1078" s="8">
        <f>IF(H1078="","",COUNTIFS($H$5:$H$1204,"&gt;"&amp;H1078)+1)</f>
        <v>0</v>
      </c>
      <c r="R1078" s="8">
        <f>IF(B1078="","",SUMIFS(Pantry!$C$5:$C$304,Pantry!$A$5:$A$304,B1078))</f>
        <v>0</v>
      </c>
      <c r="S1078" s="8">
        <f>IF(OR(B1078="",C1078=""),"",MAX(0,C1078-R1078))</f>
        <v>0</v>
      </c>
      <c r="T1078" s="26"/>
      <c r="U1078" s="8">
        <f>IF(OR(T1078="",T1078=0,G1078=""),"",T1078*G1078)</f>
        <v>0</v>
      </c>
      <c r="V1078" s="8">
        <f>IF(OR(S1078="",T1078="",T1078=0),"",CEILING(S1078/T1078,1))</f>
        <v>0</v>
      </c>
      <c r="W1078" s="27"/>
      <c r="X1078" s="29"/>
      <c r="Y1078" s="8">
        <f>IF(OR(C1078="",X1078=""),"",C1078*(1+X1078))</f>
        <v>0</v>
      </c>
      <c r="Z1078" s="8">
        <f>IF(B1078="","",IFERROR(INDEX(Ingredients!$O$5:$O$304,MATCH(B1078,Ingredients!$A$5:$A$304,0)),""))</f>
        <v>0</v>
      </c>
      <c r="AA1078" s="8">
        <f>IF(B1078="","",IF(R1078&gt;=C1078,"In pantry","To buy"))</f>
        <v>0</v>
      </c>
      <c r="AB1078" s="8">
        <f>IF(A1078="","",COUNTIFS($A$5:A1078,A1078))</f>
        <v>0</v>
      </c>
      <c r="AC1078" s="8">
        <f>IF(B1078="","",IF(COUNTIFS('Dietary Filters'!$C$5:$C$104,B1078)&gt;0,"Check","OK"))</f>
        <v>0</v>
      </c>
      <c r="AD1078" s="25"/>
    </row>
    <row r="1079" spans="1:30">
      <c r="A1079" s="7"/>
      <c r="B1079" s="7"/>
      <c r="C1079" s="26"/>
      <c r="D1079" s="27"/>
      <c r="E1079" s="8">
        <f>IF(B1079="","",IFERROR(INDEX(Ingredients!$B$5:$B$304,MATCH(B1079,Ingredients!$A$5:$A$304,0)),""))</f>
        <v>0</v>
      </c>
      <c r="F1079" s="8">
        <f>IF(B1079="","",IFERROR(INDEX(Ingredients!$E$5:$E$304,MATCH(B1079,Ingredients!$A$5:$A$304,0)),""))</f>
        <v>0</v>
      </c>
      <c r="G1079" s="8">
        <f>IF(B1079="","",IFERROR(INDEX(Ingredients!$D$5:$D$304,MATCH(B1079,Ingredients!$A$5:$A$304,0)),""))</f>
        <v>0</v>
      </c>
      <c r="H1079" s="8">
        <f>IF(OR(B1079="",C1079=""),"",IFERROR(C1079*G1079,""))</f>
        <v>0</v>
      </c>
      <c r="I1079" s="8">
        <f>IF(A1079="","",IFERROR(INDEX(Recipes!$D$5:$D$204,MATCH(A1079,Recipes!$A$5:$A$204,0)),""))</f>
        <v>0</v>
      </c>
      <c r="J1079" s="8">
        <f>IF(OR(H1079="",I1079="",I1079=0),"",IFERROR(H1079/I1079,""))</f>
        <v>0</v>
      </c>
      <c r="K1079" s="8">
        <f>IF(OR(B1079="",C1079=""),"",IFERROR(C1079*IFERROR(INDEX(Ingredients!$H$5:$H$304,MATCH(B1079,Ingredients!$A$5:$A$304,0)),""),""))</f>
        <v>0</v>
      </c>
      <c r="L1079" s="8">
        <f>IF(OR(B1079="",C1079=""),"",IFERROR(C1079*IFERROR(INDEX(Ingredients!$I$5:$I$304,MATCH(B1079,Ingredients!$A$5:$A$304,0)),""),""))</f>
        <v>0</v>
      </c>
      <c r="M1079" s="8">
        <f>IF(OR(B1079="",C1079=""),"",IFERROR(C1079*IFERROR(INDEX(Ingredients!$J$5:$J$304,MATCH(B1079,Ingredients!$A$5:$A$304,0)),""),""))</f>
        <v>0</v>
      </c>
      <c r="N1079" s="8">
        <f>IF(OR(B1079="",C1079=""),"",IFERROR(C1079*IFERROR(INDEX(Ingredients!$K$5:$K$304,MATCH(B1079,Ingredients!$A$5:$A$304,0)),""),""))</f>
        <v>0</v>
      </c>
      <c r="O1079" s="8">
        <f>IF(OR(B1079="",C1079=""),"",IFERROR(C1079*IFERROR(INDEX(Ingredients!$L$5:$L$304,MATCH(B1079,Ingredients!$A$5:$A$304,0)),""),""))</f>
        <v>0</v>
      </c>
      <c r="P1079" s="8">
        <f>IF(OR(H1079="",A1079=""),"",IFERROR(H1079/SUMIFS('Recipe Ingredients'!$H$5:$H$1204,'Recipe Ingredients'!$A$5:$A$1204,A1079),""))</f>
        <v>0</v>
      </c>
      <c r="Q1079" s="8">
        <f>IF(H1079="","",COUNTIFS($H$5:$H$1204,"&gt;"&amp;H1079)+1)</f>
        <v>0</v>
      </c>
      <c r="R1079" s="8">
        <f>IF(B1079="","",SUMIFS(Pantry!$C$5:$C$304,Pantry!$A$5:$A$304,B1079))</f>
        <v>0</v>
      </c>
      <c r="S1079" s="8">
        <f>IF(OR(B1079="",C1079=""),"",MAX(0,C1079-R1079))</f>
        <v>0</v>
      </c>
      <c r="T1079" s="26"/>
      <c r="U1079" s="8">
        <f>IF(OR(T1079="",T1079=0,G1079=""),"",T1079*G1079)</f>
        <v>0</v>
      </c>
      <c r="V1079" s="8">
        <f>IF(OR(S1079="",T1079="",T1079=0),"",CEILING(S1079/T1079,1))</f>
        <v>0</v>
      </c>
      <c r="W1079" s="27"/>
      <c r="X1079" s="29"/>
      <c r="Y1079" s="8">
        <f>IF(OR(C1079="",X1079=""),"",C1079*(1+X1079))</f>
        <v>0</v>
      </c>
      <c r="Z1079" s="8">
        <f>IF(B1079="","",IFERROR(INDEX(Ingredients!$O$5:$O$304,MATCH(B1079,Ingredients!$A$5:$A$304,0)),""))</f>
        <v>0</v>
      </c>
      <c r="AA1079" s="8">
        <f>IF(B1079="","",IF(R1079&gt;=C1079,"In pantry","To buy"))</f>
        <v>0</v>
      </c>
      <c r="AB1079" s="8">
        <f>IF(A1079="","",COUNTIFS($A$5:A1079,A1079))</f>
        <v>0</v>
      </c>
      <c r="AC1079" s="8">
        <f>IF(B1079="","",IF(COUNTIFS('Dietary Filters'!$C$5:$C$104,B1079)&gt;0,"Check","OK"))</f>
        <v>0</v>
      </c>
      <c r="AD1079" s="25"/>
    </row>
    <row r="1080" spans="1:30">
      <c r="A1080" s="7"/>
      <c r="B1080" s="7"/>
      <c r="C1080" s="26"/>
      <c r="D1080" s="27"/>
      <c r="E1080" s="8">
        <f>IF(B1080="","",IFERROR(INDEX(Ingredients!$B$5:$B$304,MATCH(B1080,Ingredients!$A$5:$A$304,0)),""))</f>
        <v>0</v>
      </c>
      <c r="F1080" s="8">
        <f>IF(B1080="","",IFERROR(INDEX(Ingredients!$E$5:$E$304,MATCH(B1080,Ingredients!$A$5:$A$304,0)),""))</f>
        <v>0</v>
      </c>
      <c r="G1080" s="8">
        <f>IF(B1080="","",IFERROR(INDEX(Ingredients!$D$5:$D$304,MATCH(B1080,Ingredients!$A$5:$A$304,0)),""))</f>
        <v>0</v>
      </c>
      <c r="H1080" s="8">
        <f>IF(OR(B1080="",C1080=""),"",IFERROR(C1080*G1080,""))</f>
        <v>0</v>
      </c>
      <c r="I1080" s="8">
        <f>IF(A1080="","",IFERROR(INDEX(Recipes!$D$5:$D$204,MATCH(A1080,Recipes!$A$5:$A$204,0)),""))</f>
        <v>0</v>
      </c>
      <c r="J1080" s="8">
        <f>IF(OR(H1080="",I1080="",I1080=0),"",IFERROR(H1080/I1080,""))</f>
        <v>0</v>
      </c>
      <c r="K1080" s="8">
        <f>IF(OR(B1080="",C1080=""),"",IFERROR(C1080*IFERROR(INDEX(Ingredients!$H$5:$H$304,MATCH(B1080,Ingredients!$A$5:$A$304,0)),""),""))</f>
        <v>0</v>
      </c>
      <c r="L1080" s="8">
        <f>IF(OR(B1080="",C1080=""),"",IFERROR(C1080*IFERROR(INDEX(Ingredients!$I$5:$I$304,MATCH(B1080,Ingredients!$A$5:$A$304,0)),""),""))</f>
        <v>0</v>
      </c>
      <c r="M1080" s="8">
        <f>IF(OR(B1080="",C1080=""),"",IFERROR(C1080*IFERROR(INDEX(Ingredients!$J$5:$J$304,MATCH(B1080,Ingredients!$A$5:$A$304,0)),""),""))</f>
        <v>0</v>
      </c>
      <c r="N1080" s="8">
        <f>IF(OR(B1080="",C1080=""),"",IFERROR(C1080*IFERROR(INDEX(Ingredients!$K$5:$K$304,MATCH(B1080,Ingredients!$A$5:$A$304,0)),""),""))</f>
        <v>0</v>
      </c>
      <c r="O1080" s="8">
        <f>IF(OR(B1080="",C1080=""),"",IFERROR(C1080*IFERROR(INDEX(Ingredients!$L$5:$L$304,MATCH(B1080,Ingredients!$A$5:$A$304,0)),""),""))</f>
        <v>0</v>
      </c>
      <c r="P1080" s="8">
        <f>IF(OR(H1080="",A1080=""),"",IFERROR(H1080/SUMIFS('Recipe Ingredients'!$H$5:$H$1204,'Recipe Ingredients'!$A$5:$A$1204,A1080),""))</f>
        <v>0</v>
      </c>
      <c r="Q1080" s="8">
        <f>IF(H1080="","",COUNTIFS($H$5:$H$1204,"&gt;"&amp;H1080)+1)</f>
        <v>0</v>
      </c>
      <c r="R1080" s="8">
        <f>IF(B1080="","",SUMIFS(Pantry!$C$5:$C$304,Pantry!$A$5:$A$304,B1080))</f>
        <v>0</v>
      </c>
      <c r="S1080" s="8">
        <f>IF(OR(B1080="",C1080=""),"",MAX(0,C1080-R1080))</f>
        <v>0</v>
      </c>
      <c r="T1080" s="26"/>
      <c r="U1080" s="8">
        <f>IF(OR(T1080="",T1080=0,G1080=""),"",T1080*G1080)</f>
        <v>0</v>
      </c>
      <c r="V1080" s="8">
        <f>IF(OR(S1080="",T1080="",T1080=0),"",CEILING(S1080/T1080,1))</f>
        <v>0</v>
      </c>
      <c r="W1080" s="27"/>
      <c r="X1080" s="29"/>
      <c r="Y1080" s="8">
        <f>IF(OR(C1080="",X1080=""),"",C1080*(1+X1080))</f>
        <v>0</v>
      </c>
      <c r="Z1080" s="8">
        <f>IF(B1080="","",IFERROR(INDEX(Ingredients!$O$5:$O$304,MATCH(B1080,Ingredients!$A$5:$A$304,0)),""))</f>
        <v>0</v>
      </c>
      <c r="AA1080" s="8">
        <f>IF(B1080="","",IF(R1080&gt;=C1080,"In pantry","To buy"))</f>
        <v>0</v>
      </c>
      <c r="AB1080" s="8">
        <f>IF(A1080="","",COUNTIFS($A$5:A1080,A1080))</f>
        <v>0</v>
      </c>
      <c r="AC1080" s="8">
        <f>IF(B1080="","",IF(COUNTIFS('Dietary Filters'!$C$5:$C$104,B1080)&gt;0,"Check","OK"))</f>
        <v>0</v>
      </c>
      <c r="AD1080" s="25"/>
    </row>
    <row r="1081" spans="1:30">
      <c r="A1081" s="7"/>
      <c r="B1081" s="7"/>
      <c r="C1081" s="26"/>
      <c r="D1081" s="27"/>
      <c r="E1081" s="8">
        <f>IF(B1081="","",IFERROR(INDEX(Ingredients!$B$5:$B$304,MATCH(B1081,Ingredients!$A$5:$A$304,0)),""))</f>
        <v>0</v>
      </c>
      <c r="F1081" s="8">
        <f>IF(B1081="","",IFERROR(INDEX(Ingredients!$E$5:$E$304,MATCH(B1081,Ingredients!$A$5:$A$304,0)),""))</f>
        <v>0</v>
      </c>
      <c r="G1081" s="8">
        <f>IF(B1081="","",IFERROR(INDEX(Ingredients!$D$5:$D$304,MATCH(B1081,Ingredients!$A$5:$A$304,0)),""))</f>
        <v>0</v>
      </c>
      <c r="H1081" s="8">
        <f>IF(OR(B1081="",C1081=""),"",IFERROR(C1081*G1081,""))</f>
        <v>0</v>
      </c>
      <c r="I1081" s="8">
        <f>IF(A1081="","",IFERROR(INDEX(Recipes!$D$5:$D$204,MATCH(A1081,Recipes!$A$5:$A$204,0)),""))</f>
        <v>0</v>
      </c>
      <c r="J1081" s="8">
        <f>IF(OR(H1081="",I1081="",I1081=0),"",IFERROR(H1081/I1081,""))</f>
        <v>0</v>
      </c>
      <c r="K1081" s="8">
        <f>IF(OR(B1081="",C1081=""),"",IFERROR(C1081*IFERROR(INDEX(Ingredients!$H$5:$H$304,MATCH(B1081,Ingredients!$A$5:$A$304,0)),""),""))</f>
        <v>0</v>
      </c>
      <c r="L1081" s="8">
        <f>IF(OR(B1081="",C1081=""),"",IFERROR(C1081*IFERROR(INDEX(Ingredients!$I$5:$I$304,MATCH(B1081,Ingredients!$A$5:$A$304,0)),""),""))</f>
        <v>0</v>
      </c>
      <c r="M1081" s="8">
        <f>IF(OR(B1081="",C1081=""),"",IFERROR(C1081*IFERROR(INDEX(Ingredients!$J$5:$J$304,MATCH(B1081,Ingredients!$A$5:$A$304,0)),""),""))</f>
        <v>0</v>
      </c>
      <c r="N1081" s="8">
        <f>IF(OR(B1081="",C1081=""),"",IFERROR(C1081*IFERROR(INDEX(Ingredients!$K$5:$K$304,MATCH(B1081,Ingredients!$A$5:$A$304,0)),""),""))</f>
        <v>0</v>
      </c>
      <c r="O1081" s="8">
        <f>IF(OR(B1081="",C1081=""),"",IFERROR(C1081*IFERROR(INDEX(Ingredients!$L$5:$L$304,MATCH(B1081,Ingredients!$A$5:$A$304,0)),""),""))</f>
        <v>0</v>
      </c>
      <c r="P1081" s="8">
        <f>IF(OR(H1081="",A1081=""),"",IFERROR(H1081/SUMIFS('Recipe Ingredients'!$H$5:$H$1204,'Recipe Ingredients'!$A$5:$A$1204,A1081),""))</f>
        <v>0</v>
      </c>
      <c r="Q1081" s="8">
        <f>IF(H1081="","",COUNTIFS($H$5:$H$1204,"&gt;"&amp;H1081)+1)</f>
        <v>0</v>
      </c>
      <c r="R1081" s="8">
        <f>IF(B1081="","",SUMIFS(Pantry!$C$5:$C$304,Pantry!$A$5:$A$304,B1081))</f>
        <v>0</v>
      </c>
      <c r="S1081" s="8">
        <f>IF(OR(B1081="",C1081=""),"",MAX(0,C1081-R1081))</f>
        <v>0</v>
      </c>
      <c r="T1081" s="26"/>
      <c r="U1081" s="8">
        <f>IF(OR(T1081="",T1081=0,G1081=""),"",T1081*G1081)</f>
        <v>0</v>
      </c>
      <c r="V1081" s="8">
        <f>IF(OR(S1081="",T1081="",T1081=0),"",CEILING(S1081/T1081,1))</f>
        <v>0</v>
      </c>
      <c r="W1081" s="27"/>
      <c r="X1081" s="29"/>
      <c r="Y1081" s="8">
        <f>IF(OR(C1081="",X1081=""),"",C1081*(1+X1081))</f>
        <v>0</v>
      </c>
      <c r="Z1081" s="8">
        <f>IF(B1081="","",IFERROR(INDEX(Ingredients!$O$5:$O$304,MATCH(B1081,Ingredients!$A$5:$A$304,0)),""))</f>
        <v>0</v>
      </c>
      <c r="AA1081" s="8">
        <f>IF(B1081="","",IF(R1081&gt;=C1081,"In pantry","To buy"))</f>
        <v>0</v>
      </c>
      <c r="AB1081" s="8">
        <f>IF(A1081="","",COUNTIFS($A$5:A1081,A1081))</f>
        <v>0</v>
      </c>
      <c r="AC1081" s="8">
        <f>IF(B1081="","",IF(COUNTIFS('Dietary Filters'!$C$5:$C$104,B1081)&gt;0,"Check","OK"))</f>
        <v>0</v>
      </c>
      <c r="AD1081" s="25"/>
    </row>
    <row r="1082" spans="1:30">
      <c r="A1082" s="7"/>
      <c r="B1082" s="7"/>
      <c r="C1082" s="26"/>
      <c r="D1082" s="27"/>
      <c r="E1082" s="8">
        <f>IF(B1082="","",IFERROR(INDEX(Ingredients!$B$5:$B$304,MATCH(B1082,Ingredients!$A$5:$A$304,0)),""))</f>
        <v>0</v>
      </c>
      <c r="F1082" s="8">
        <f>IF(B1082="","",IFERROR(INDEX(Ingredients!$E$5:$E$304,MATCH(B1082,Ingredients!$A$5:$A$304,0)),""))</f>
        <v>0</v>
      </c>
      <c r="G1082" s="8">
        <f>IF(B1082="","",IFERROR(INDEX(Ingredients!$D$5:$D$304,MATCH(B1082,Ingredients!$A$5:$A$304,0)),""))</f>
        <v>0</v>
      </c>
      <c r="H1082" s="8">
        <f>IF(OR(B1082="",C1082=""),"",IFERROR(C1082*G1082,""))</f>
        <v>0</v>
      </c>
      <c r="I1082" s="8">
        <f>IF(A1082="","",IFERROR(INDEX(Recipes!$D$5:$D$204,MATCH(A1082,Recipes!$A$5:$A$204,0)),""))</f>
        <v>0</v>
      </c>
      <c r="J1082" s="8">
        <f>IF(OR(H1082="",I1082="",I1082=0),"",IFERROR(H1082/I1082,""))</f>
        <v>0</v>
      </c>
      <c r="K1082" s="8">
        <f>IF(OR(B1082="",C1082=""),"",IFERROR(C1082*IFERROR(INDEX(Ingredients!$H$5:$H$304,MATCH(B1082,Ingredients!$A$5:$A$304,0)),""),""))</f>
        <v>0</v>
      </c>
      <c r="L1082" s="8">
        <f>IF(OR(B1082="",C1082=""),"",IFERROR(C1082*IFERROR(INDEX(Ingredients!$I$5:$I$304,MATCH(B1082,Ingredients!$A$5:$A$304,0)),""),""))</f>
        <v>0</v>
      </c>
      <c r="M1082" s="8">
        <f>IF(OR(B1082="",C1082=""),"",IFERROR(C1082*IFERROR(INDEX(Ingredients!$J$5:$J$304,MATCH(B1082,Ingredients!$A$5:$A$304,0)),""),""))</f>
        <v>0</v>
      </c>
      <c r="N1082" s="8">
        <f>IF(OR(B1082="",C1082=""),"",IFERROR(C1082*IFERROR(INDEX(Ingredients!$K$5:$K$304,MATCH(B1082,Ingredients!$A$5:$A$304,0)),""),""))</f>
        <v>0</v>
      </c>
      <c r="O1082" s="8">
        <f>IF(OR(B1082="",C1082=""),"",IFERROR(C1082*IFERROR(INDEX(Ingredients!$L$5:$L$304,MATCH(B1082,Ingredients!$A$5:$A$304,0)),""),""))</f>
        <v>0</v>
      </c>
      <c r="P1082" s="8">
        <f>IF(OR(H1082="",A1082=""),"",IFERROR(H1082/SUMIFS('Recipe Ingredients'!$H$5:$H$1204,'Recipe Ingredients'!$A$5:$A$1204,A1082),""))</f>
        <v>0</v>
      </c>
      <c r="Q1082" s="8">
        <f>IF(H1082="","",COUNTIFS($H$5:$H$1204,"&gt;"&amp;H1082)+1)</f>
        <v>0</v>
      </c>
      <c r="R1082" s="8">
        <f>IF(B1082="","",SUMIFS(Pantry!$C$5:$C$304,Pantry!$A$5:$A$304,B1082))</f>
        <v>0</v>
      </c>
      <c r="S1082" s="8">
        <f>IF(OR(B1082="",C1082=""),"",MAX(0,C1082-R1082))</f>
        <v>0</v>
      </c>
      <c r="T1082" s="26"/>
      <c r="U1082" s="8">
        <f>IF(OR(T1082="",T1082=0,G1082=""),"",T1082*G1082)</f>
        <v>0</v>
      </c>
      <c r="V1082" s="8">
        <f>IF(OR(S1082="",T1082="",T1082=0),"",CEILING(S1082/T1082,1))</f>
        <v>0</v>
      </c>
      <c r="W1082" s="27"/>
      <c r="X1082" s="29"/>
      <c r="Y1082" s="8">
        <f>IF(OR(C1082="",X1082=""),"",C1082*(1+X1082))</f>
        <v>0</v>
      </c>
      <c r="Z1082" s="8">
        <f>IF(B1082="","",IFERROR(INDEX(Ingredients!$O$5:$O$304,MATCH(B1082,Ingredients!$A$5:$A$304,0)),""))</f>
        <v>0</v>
      </c>
      <c r="AA1082" s="8">
        <f>IF(B1082="","",IF(R1082&gt;=C1082,"In pantry","To buy"))</f>
        <v>0</v>
      </c>
      <c r="AB1082" s="8">
        <f>IF(A1082="","",COUNTIFS($A$5:A1082,A1082))</f>
        <v>0</v>
      </c>
      <c r="AC1082" s="8">
        <f>IF(B1082="","",IF(COUNTIFS('Dietary Filters'!$C$5:$C$104,B1082)&gt;0,"Check","OK"))</f>
        <v>0</v>
      </c>
      <c r="AD1082" s="25"/>
    </row>
    <row r="1083" spans="1:30">
      <c r="A1083" s="7"/>
      <c r="B1083" s="7"/>
      <c r="C1083" s="26"/>
      <c r="D1083" s="27"/>
      <c r="E1083" s="8">
        <f>IF(B1083="","",IFERROR(INDEX(Ingredients!$B$5:$B$304,MATCH(B1083,Ingredients!$A$5:$A$304,0)),""))</f>
        <v>0</v>
      </c>
      <c r="F1083" s="8">
        <f>IF(B1083="","",IFERROR(INDEX(Ingredients!$E$5:$E$304,MATCH(B1083,Ingredients!$A$5:$A$304,0)),""))</f>
        <v>0</v>
      </c>
      <c r="G1083" s="8">
        <f>IF(B1083="","",IFERROR(INDEX(Ingredients!$D$5:$D$304,MATCH(B1083,Ingredients!$A$5:$A$304,0)),""))</f>
        <v>0</v>
      </c>
      <c r="H1083" s="8">
        <f>IF(OR(B1083="",C1083=""),"",IFERROR(C1083*G1083,""))</f>
        <v>0</v>
      </c>
      <c r="I1083" s="8">
        <f>IF(A1083="","",IFERROR(INDEX(Recipes!$D$5:$D$204,MATCH(A1083,Recipes!$A$5:$A$204,0)),""))</f>
        <v>0</v>
      </c>
      <c r="J1083" s="8">
        <f>IF(OR(H1083="",I1083="",I1083=0),"",IFERROR(H1083/I1083,""))</f>
        <v>0</v>
      </c>
      <c r="K1083" s="8">
        <f>IF(OR(B1083="",C1083=""),"",IFERROR(C1083*IFERROR(INDEX(Ingredients!$H$5:$H$304,MATCH(B1083,Ingredients!$A$5:$A$304,0)),""),""))</f>
        <v>0</v>
      </c>
      <c r="L1083" s="8">
        <f>IF(OR(B1083="",C1083=""),"",IFERROR(C1083*IFERROR(INDEX(Ingredients!$I$5:$I$304,MATCH(B1083,Ingredients!$A$5:$A$304,0)),""),""))</f>
        <v>0</v>
      </c>
      <c r="M1083" s="8">
        <f>IF(OR(B1083="",C1083=""),"",IFERROR(C1083*IFERROR(INDEX(Ingredients!$J$5:$J$304,MATCH(B1083,Ingredients!$A$5:$A$304,0)),""),""))</f>
        <v>0</v>
      </c>
      <c r="N1083" s="8">
        <f>IF(OR(B1083="",C1083=""),"",IFERROR(C1083*IFERROR(INDEX(Ingredients!$K$5:$K$304,MATCH(B1083,Ingredients!$A$5:$A$304,0)),""),""))</f>
        <v>0</v>
      </c>
      <c r="O1083" s="8">
        <f>IF(OR(B1083="",C1083=""),"",IFERROR(C1083*IFERROR(INDEX(Ingredients!$L$5:$L$304,MATCH(B1083,Ingredients!$A$5:$A$304,0)),""),""))</f>
        <v>0</v>
      </c>
      <c r="P1083" s="8">
        <f>IF(OR(H1083="",A1083=""),"",IFERROR(H1083/SUMIFS('Recipe Ingredients'!$H$5:$H$1204,'Recipe Ingredients'!$A$5:$A$1204,A1083),""))</f>
        <v>0</v>
      </c>
      <c r="Q1083" s="8">
        <f>IF(H1083="","",COUNTIFS($H$5:$H$1204,"&gt;"&amp;H1083)+1)</f>
        <v>0</v>
      </c>
      <c r="R1083" s="8">
        <f>IF(B1083="","",SUMIFS(Pantry!$C$5:$C$304,Pantry!$A$5:$A$304,B1083))</f>
        <v>0</v>
      </c>
      <c r="S1083" s="8">
        <f>IF(OR(B1083="",C1083=""),"",MAX(0,C1083-R1083))</f>
        <v>0</v>
      </c>
      <c r="T1083" s="26"/>
      <c r="U1083" s="8">
        <f>IF(OR(T1083="",T1083=0,G1083=""),"",T1083*G1083)</f>
        <v>0</v>
      </c>
      <c r="V1083" s="8">
        <f>IF(OR(S1083="",T1083="",T1083=0),"",CEILING(S1083/T1083,1))</f>
        <v>0</v>
      </c>
      <c r="W1083" s="27"/>
      <c r="X1083" s="29"/>
      <c r="Y1083" s="8">
        <f>IF(OR(C1083="",X1083=""),"",C1083*(1+X1083))</f>
        <v>0</v>
      </c>
      <c r="Z1083" s="8">
        <f>IF(B1083="","",IFERROR(INDEX(Ingredients!$O$5:$O$304,MATCH(B1083,Ingredients!$A$5:$A$304,0)),""))</f>
        <v>0</v>
      </c>
      <c r="AA1083" s="8">
        <f>IF(B1083="","",IF(R1083&gt;=C1083,"In pantry","To buy"))</f>
        <v>0</v>
      </c>
      <c r="AB1083" s="8">
        <f>IF(A1083="","",COUNTIFS($A$5:A1083,A1083))</f>
        <v>0</v>
      </c>
      <c r="AC1083" s="8">
        <f>IF(B1083="","",IF(COUNTIFS('Dietary Filters'!$C$5:$C$104,B1083)&gt;0,"Check","OK"))</f>
        <v>0</v>
      </c>
      <c r="AD1083" s="25"/>
    </row>
    <row r="1084" spans="1:30">
      <c r="A1084" s="7"/>
      <c r="B1084" s="7"/>
      <c r="C1084" s="26"/>
      <c r="D1084" s="27"/>
      <c r="E1084" s="8">
        <f>IF(B1084="","",IFERROR(INDEX(Ingredients!$B$5:$B$304,MATCH(B1084,Ingredients!$A$5:$A$304,0)),""))</f>
        <v>0</v>
      </c>
      <c r="F1084" s="8">
        <f>IF(B1084="","",IFERROR(INDEX(Ingredients!$E$5:$E$304,MATCH(B1084,Ingredients!$A$5:$A$304,0)),""))</f>
        <v>0</v>
      </c>
      <c r="G1084" s="8">
        <f>IF(B1084="","",IFERROR(INDEX(Ingredients!$D$5:$D$304,MATCH(B1084,Ingredients!$A$5:$A$304,0)),""))</f>
        <v>0</v>
      </c>
      <c r="H1084" s="8">
        <f>IF(OR(B1084="",C1084=""),"",IFERROR(C1084*G1084,""))</f>
        <v>0</v>
      </c>
      <c r="I1084" s="8">
        <f>IF(A1084="","",IFERROR(INDEX(Recipes!$D$5:$D$204,MATCH(A1084,Recipes!$A$5:$A$204,0)),""))</f>
        <v>0</v>
      </c>
      <c r="J1084" s="8">
        <f>IF(OR(H1084="",I1084="",I1084=0),"",IFERROR(H1084/I1084,""))</f>
        <v>0</v>
      </c>
      <c r="K1084" s="8">
        <f>IF(OR(B1084="",C1084=""),"",IFERROR(C1084*IFERROR(INDEX(Ingredients!$H$5:$H$304,MATCH(B1084,Ingredients!$A$5:$A$304,0)),""),""))</f>
        <v>0</v>
      </c>
      <c r="L1084" s="8">
        <f>IF(OR(B1084="",C1084=""),"",IFERROR(C1084*IFERROR(INDEX(Ingredients!$I$5:$I$304,MATCH(B1084,Ingredients!$A$5:$A$304,0)),""),""))</f>
        <v>0</v>
      </c>
      <c r="M1084" s="8">
        <f>IF(OR(B1084="",C1084=""),"",IFERROR(C1084*IFERROR(INDEX(Ingredients!$J$5:$J$304,MATCH(B1084,Ingredients!$A$5:$A$304,0)),""),""))</f>
        <v>0</v>
      </c>
      <c r="N1084" s="8">
        <f>IF(OR(B1084="",C1084=""),"",IFERROR(C1084*IFERROR(INDEX(Ingredients!$K$5:$K$304,MATCH(B1084,Ingredients!$A$5:$A$304,0)),""),""))</f>
        <v>0</v>
      </c>
      <c r="O1084" s="8">
        <f>IF(OR(B1084="",C1084=""),"",IFERROR(C1084*IFERROR(INDEX(Ingredients!$L$5:$L$304,MATCH(B1084,Ingredients!$A$5:$A$304,0)),""),""))</f>
        <v>0</v>
      </c>
      <c r="P1084" s="8">
        <f>IF(OR(H1084="",A1084=""),"",IFERROR(H1084/SUMIFS('Recipe Ingredients'!$H$5:$H$1204,'Recipe Ingredients'!$A$5:$A$1204,A1084),""))</f>
        <v>0</v>
      </c>
      <c r="Q1084" s="8">
        <f>IF(H1084="","",COUNTIFS($H$5:$H$1204,"&gt;"&amp;H1084)+1)</f>
        <v>0</v>
      </c>
      <c r="R1084" s="8">
        <f>IF(B1084="","",SUMIFS(Pantry!$C$5:$C$304,Pantry!$A$5:$A$304,B1084))</f>
        <v>0</v>
      </c>
      <c r="S1084" s="8">
        <f>IF(OR(B1084="",C1084=""),"",MAX(0,C1084-R1084))</f>
        <v>0</v>
      </c>
      <c r="T1084" s="26"/>
      <c r="U1084" s="8">
        <f>IF(OR(T1084="",T1084=0,G1084=""),"",T1084*G1084)</f>
        <v>0</v>
      </c>
      <c r="V1084" s="8">
        <f>IF(OR(S1084="",T1084="",T1084=0),"",CEILING(S1084/T1084,1))</f>
        <v>0</v>
      </c>
      <c r="W1084" s="27"/>
      <c r="X1084" s="29"/>
      <c r="Y1084" s="8">
        <f>IF(OR(C1084="",X1084=""),"",C1084*(1+X1084))</f>
        <v>0</v>
      </c>
      <c r="Z1084" s="8">
        <f>IF(B1084="","",IFERROR(INDEX(Ingredients!$O$5:$O$304,MATCH(B1084,Ingredients!$A$5:$A$304,0)),""))</f>
        <v>0</v>
      </c>
      <c r="AA1084" s="8">
        <f>IF(B1084="","",IF(R1084&gt;=C1084,"In pantry","To buy"))</f>
        <v>0</v>
      </c>
      <c r="AB1084" s="8">
        <f>IF(A1084="","",COUNTIFS($A$5:A1084,A1084))</f>
        <v>0</v>
      </c>
      <c r="AC1084" s="8">
        <f>IF(B1084="","",IF(COUNTIFS('Dietary Filters'!$C$5:$C$104,B1084)&gt;0,"Check","OK"))</f>
        <v>0</v>
      </c>
      <c r="AD1084" s="25"/>
    </row>
    <row r="1085" spans="1:30">
      <c r="A1085" s="7"/>
      <c r="B1085" s="7"/>
      <c r="C1085" s="26"/>
      <c r="D1085" s="27"/>
      <c r="E1085" s="8">
        <f>IF(B1085="","",IFERROR(INDEX(Ingredients!$B$5:$B$304,MATCH(B1085,Ingredients!$A$5:$A$304,0)),""))</f>
        <v>0</v>
      </c>
      <c r="F1085" s="8">
        <f>IF(B1085="","",IFERROR(INDEX(Ingredients!$E$5:$E$304,MATCH(B1085,Ingredients!$A$5:$A$304,0)),""))</f>
        <v>0</v>
      </c>
      <c r="G1085" s="8">
        <f>IF(B1085="","",IFERROR(INDEX(Ingredients!$D$5:$D$304,MATCH(B1085,Ingredients!$A$5:$A$304,0)),""))</f>
        <v>0</v>
      </c>
      <c r="H1085" s="8">
        <f>IF(OR(B1085="",C1085=""),"",IFERROR(C1085*G1085,""))</f>
        <v>0</v>
      </c>
      <c r="I1085" s="8">
        <f>IF(A1085="","",IFERROR(INDEX(Recipes!$D$5:$D$204,MATCH(A1085,Recipes!$A$5:$A$204,0)),""))</f>
        <v>0</v>
      </c>
      <c r="J1085" s="8">
        <f>IF(OR(H1085="",I1085="",I1085=0),"",IFERROR(H1085/I1085,""))</f>
        <v>0</v>
      </c>
      <c r="K1085" s="8">
        <f>IF(OR(B1085="",C1085=""),"",IFERROR(C1085*IFERROR(INDEX(Ingredients!$H$5:$H$304,MATCH(B1085,Ingredients!$A$5:$A$304,0)),""),""))</f>
        <v>0</v>
      </c>
      <c r="L1085" s="8">
        <f>IF(OR(B1085="",C1085=""),"",IFERROR(C1085*IFERROR(INDEX(Ingredients!$I$5:$I$304,MATCH(B1085,Ingredients!$A$5:$A$304,0)),""),""))</f>
        <v>0</v>
      </c>
      <c r="M1085" s="8">
        <f>IF(OR(B1085="",C1085=""),"",IFERROR(C1085*IFERROR(INDEX(Ingredients!$J$5:$J$304,MATCH(B1085,Ingredients!$A$5:$A$304,0)),""),""))</f>
        <v>0</v>
      </c>
      <c r="N1085" s="8">
        <f>IF(OR(B1085="",C1085=""),"",IFERROR(C1085*IFERROR(INDEX(Ingredients!$K$5:$K$304,MATCH(B1085,Ingredients!$A$5:$A$304,0)),""),""))</f>
        <v>0</v>
      </c>
      <c r="O1085" s="8">
        <f>IF(OR(B1085="",C1085=""),"",IFERROR(C1085*IFERROR(INDEX(Ingredients!$L$5:$L$304,MATCH(B1085,Ingredients!$A$5:$A$304,0)),""),""))</f>
        <v>0</v>
      </c>
      <c r="P1085" s="8">
        <f>IF(OR(H1085="",A1085=""),"",IFERROR(H1085/SUMIFS('Recipe Ingredients'!$H$5:$H$1204,'Recipe Ingredients'!$A$5:$A$1204,A1085),""))</f>
        <v>0</v>
      </c>
      <c r="Q1085" s="8">
        <f>IF(H1085="","",COUNTIFS($H$5:$H$1204,"&gt;"&amp;H1085)+1)</f>
        <v>0</v>
      </c>
      <c r="R1085" s="8">
        <f>IF(B1085="","",SUMIFS(Pantry!$C$5:$C$304,Pantry!$A$5:$A$304,B1085))</f>
        <v>0</v>
      </c>
      <c r="S1085" s="8">
        <f>IF(OR(B1085="",C1085=""),"",MAX(0,C1085-R1085))</f>
        <v>0</v>
      </c>
      <c r="T1085" s="26"/>
      <c r="U1085" s="8">
        <f>IF(OR(T1085="",T1085=0,G1085=""),"",T1085*G1085)</f>
        <v>0</v>
      </c>
      <c r="V1085" s="8">
        <f>IF(OR(S1085="",T1085="",T1085=0),"",CEILING(S1085/T1085,1))</f>
        <v>0</v>
      </c>
      <c r="W1085" s="27"/>
      <c r="X1085" s="29"/>
      <c r="Y1085" s="8">
        <f>IF(OR(C1085="",X1085=""),"",C1085*(1+X1085))</f>
        <v>0</v>
      </c>
      <c r="Z1085" s="8">
        <f>IF(B1085="","",IFERROR(INDEX(Ingredients!$O$5:$O$304,MATCH(B1085,Ingredients!$A$5:$A$304,0)),""))</f>
        <v>0</v>
      </c>
      <c r="AA1085" s="8">
        <f>IF(B1085="","",IF(R1085&gt;=C1085,"In pantry","To buy"))</f>
        <v>0</v>
      </c>
      <c r="AB1085" s="8">
        <f>IF(A1085="","",COUNTIFS($A$5:A1085,A1085))</f>
        <v>0</v>
      </c>
      <c r="AC1085" s="8">
        <f>IF(B1085="","",IF(COUNTIFS('Dietary Filters'!$C$5:$C$104,B1085)&gt;0,"Check","OK"))</f>
        <v>0</v>
      </c>
      <c r="AD1085" s="25"/>
    </row>
    <row r="1086" spans="1:30">
      <c r="A1086" s="7"/>
      <c r="B1086" s="7"/>
      <c r="C1086" s="26"/>
      <c r="D1086" s="27"/>
      <c r="E1086" s="8">
        <f>IF(B1086="","",IFERROR(INDEX(Ingredients!$B$5:$B$304,MATCH(B1086,Ingredients!$A$5:$A$304,0)),""))</f>
        <v>0</v>
      </c>
      <c r="F1086" s="8">
        <f>IF(B1086="","",IFERROR(INDEX(Ingredients!$E$5:$E$304,MATCH(B1086,Ingredients!$A$5:$A$304,0)),""))</f>
        <v>0</v>
      </c>
      <c r="G1086" s="8">
        <f>IF(B1086="","",IFERROR(INDEX(Ingredients!$D$5:$D$304,MATCH(B1086,Ingredients!$A$5:$A$304,0)),""))</f>
        <v>0</v>
      </c>
      <c r="H1086" s="8">
        <f>IF(OR(B1086="",C1086=""),"",IFERROR(C1086*G1086,""))</f>
        <v>0</v>
      </c>
      <c r="I1086" s="8">
        <f>IF(A1086="","",IFERROR(INDEX(Recipes!$D$5:$D$204,MATCH(A1086,Recipes!$A$5:$A$204,0)),""))</f>
        <v>0</v>
      </c>
      <c r="J1086" s="8">
        <f>IF(OR(H1086="",I1086="",I1086=0),"",IFERROR(H1086/I1086,""))</f>
        <v>0</v>
      </c>
      <c r="K1086" s="8">
        <f>IF(OR(B1086="",C1086=""),"",IFERROR(C1086*IFERROR(INDEX(Ingredients!$H$5:$H$304,MATCH(B1086,Ingredients!$A$5:$A$304,0)),""),""))</f>
        <v>0</v>
      </c>
      <c r="L1086" s="8">
        <f>IF(OR(B1086="",C1086=""),"",IFERROR(C1086*IFERROR(INDEX(Ingredients!$I$5:$I$304,MATCH(B1086,Ingredients!$A$5:$A$304,0)),""),""))</f>
        <v>0</v>
      </c>
      <c r="M1086" s="8">
        <f>IF(OR(B1086="",C1086=""),"",IFERROR(C1086*IFERROR(INDEX(Ingredients!$J$5:$J$304,MATCH(B1086,Ingredients!$A$5:$A$304,0)),""),""))</f>
        <v>0</v>
      </c>
      <c r="N1086" s="8">
        <f>IF(OR(B1086="",C1086=""),"",IFERROR(C1086*IFERROR(INDEX(Ingredients!$K$5:$K$304,MATCH(B1086,Ingredients!$A$5:$A$304,0)),""),""))</f>
        <v>0</v>
      </c>
      <c r="O1086" s="8">
        <f>IF(OR(B1086="",C1086=""),"",IFERROR(C1086*IFERROR(INDEX(Ingredients!$L$5:$L$304,MATCH(B1086,Ingredients!$A$5:$A$304,0)),""),""))</f>
        <v>0</v>
      </c>
      <c r="P1086" s="8">
        <f>IF(OR(H1086="",A1086=""),"",IFERROR(H1086/SUMIFS('Recipe Ingredients'!$H$5:$H$1204,'Recipe Ingredients'!$A$5:$A$1204,A1086),""))</f>
        <v>0</v>
      </c>
      <c r="Q1086" s="8">
        <f>IF(H1086="","",COUNTIFS($H$5:$H$1204,"&gt;"&amp;H1086)+1)</f>
        <v>0</v>
      </c>
      <c r="R1086" s="8">
        <f>IF(B1086="","",SUMIFS(Pantry!$C$5:$C$304,Pantry!$A$5:$A$304,B1086))</f>
        <v>0</v>
      </c>
      <c r="S1086" s="8">
        <f>IF(OR(B1086="",C1086=""),"",MAX(0,C1086-R1086))</f>
        <v>0</v>
      </c>
      <c r="T1086" s="26"/>
      <c r="U1086" s="8">
        <f>IF(OR(T1086="",T1086=0,G1086=""),"",T1086*G1086)</f>
        <v>0</v>
      </c>
      <c r="V1086" s="8">
        <f>IF(OR(S1086="",T1086="",T1086=0),"",CEILING(S1086/T1086,1))</f>
        <v>0</v>
      </c>
      <c r="W1086" s="27"/>
      <c r="X1086" s="29"/>
      <c r="Y1086" s="8">
        <f>IF(OR(C1086="",X1086=""),"",C1086*(1+X1086))</f>
        <v>0</v>
      </c>
      <c r="Z1086" s="8">
        <f>IF(B1086="","",IFERROR(INDEX(Ingredients!$O$5:$O$304,MATCH(B1086,Ingredients!$A$5:$A$304,0)),""))</f>
        <v>0</v>
      </c>
      <c r="AA1086" s="8">
        <f>IF(B1086="","",IF(R1086&gt;=C1086,"In pantry","To buy"))</f>
        <v>0</v>
      </c>
      <c r="AB1086" s="8">
        <f>IF(A1086="","",COUNTIFS($A$5:A1086,A1086))</f>
        <v>0</v>
      </c>
      <c r="AC1086" s="8">
        <f>IF(B1086="","",IF(COUNTIFS('Dietary Filters'!$C$5:$C$104,B1086)&gt;0,"Check","OK"))</f>
        <v>0</v>
      </c>
      <c r="AD1086" s="25"/>
    </row>
    <row r="1087" spans="1:30">
      <c r="A1087" s="7"/>
      <c r="B1087" s="7"/>
      <c r="C1087" s="26"/>
      <c r="D1087" s="27"/>
      <c r="E1087" s="8">
        <f>IF(B1087="","",IFERROR(INDEX(Ingredients!$B$5:$B$304,MATCH(B1087,Ingredients!$A$5:$A$304,0)),""))</f>
        <v>0</v>
      </c>
      <c r="F1087" s="8">
        <f>IF(B1087="","",IFERROR(INDEX(Ingredients!$E$5:$E$304,MATCH(B1087,Ingredients!$A$5:$A$304,0)),""))</f>
        <v>0</v>
      </c>
      <c r="G1087" s="8">
        <f>IF(B1087="","",IFERROR(INDEX(Ingredients!$D$5:$D$304,MATCH(B1087,Ingredients!$A$5:$A$304,0)),""))</f>
        <v>0</v>
      </c>
      <c r="H1087" s="8">
        <f>IF(OR(B1087="",C1087=""),"",IFERROR(C1087*G1087,""))</f>
        <v>0</v>
      </c>
      <c r="I1087" s="8">
        <f>IF(A1087="","",IFERROR(INDEX(Recipes!$D$5:$D$204,MATCH(A1087,Recipes!$A$5:$A$204,0)),""))</f>
        <v>0</v>
      </c>
      <c r="J1087" s="8">
        <f>IF(OR(H1087="",I1087="",I1087=0),"",IFERROR(H1087/I1087,""))</f>
        <v>0</v>
      </c>
      <c r="K1087" s="8">
        <f>IF(OR(B1087="",C1087=""),"",IFERROR(C1087*IFERROR(INDEX(Ingredients!$H$5:$H$304,MATCH(B1087,Ingredients!$A$5:$A$304,0)),""),""))</f>
        <v>0</v>
      </c>
      <c r="L1087" s="8">
        <f>IF(OR(B1087="",C1087=""),"",IFERROR(C1087*IFERROR(INDEX(Ingredients!$I$5:$I$304,MATCH(B1087,Ingredients!$A$5:$A$304,0)),""),""))</f>
        <v>0</v>
      </c>
      <c r="M1087" s="8">
        <f>IF(OR(B1087="",C1087=""),"",IFERROR(C1087*IFERROR(INDEX(Ingredients!$J$5:$J$304,MATCH(B1087,Ingredients!$A$5:$A$304,0)),""),""))</f>
        <v>0</v>
      </c>
      <c r="N1087" s="8">
        <f>IF(OR(B1087="",C1087=""),"",IFERROR(C1087*IFERROR(INDEX(Ingredients!$K$5:$K$304,MATCH(B1087,Ingredients!$A$5:$A$304,0)),""),""))</f>
        <v>0</v>
      </c>
      <c r="O1087" s="8">
        <f>IF(OR(B1087="",C1087=""),"",IFERROR(C1087*IFERROR(INDEX(Ingredients!$L$5:$L$304,MATCH(B1087,Ingredients!$A$5:$A$304,0)),""),""))</f>
        <v>0</v>
      </c>
      <c r="P1087" s="8">
        <f>IF(OR(H1087="",A1087=""),"",IFERROR(H1087/SUMIFS('Recipe Ingredients'!$H$5:$H$1204,'Recipe Ingredients'!$A$5:$A$1204,A1087),""))</f>
        <v>0</v>
      </c>
      <c r="Q1087" s="8">
        <f>IF(H1087="","",COUNTIFS($H$5:$H$1204,"&gt;"&amp;H1087)+1)</f>
        <v>0</v>
      </c>
      <c r="R1087" s="8">
        <f>IF(B1087="","",SUMIFS(Pantry!$C$5:$C$304,Pantry!$A$5:$A$304,B1087))</f>
        <v>0</v>
      </c>
      <c r="S1087" s="8">
        <f>IF(OR(B1087="",C1087=""),"",MAX(0,C1087-R1087))</f>
        <v>0</v>
      </c>
      <c r="T1087" s="26"/>
      <c r="U1087" s="8">
        <f>IF(OR(T1087="",T1087=0,G1087=""),"",T1087*G1087)</f>
        <v>0</v>
      </c>
      <c r="V1087" s="8">
        <f>IF(OR(S1087="",T1087="",T1087=0),"",CEILING(S1087/T1087,1))</f>
        <v>0</v>
      </c>
      <c r="W1087" s="27"/>
      <c r="X1087" s="29"/>
      <c r="Y1087" s="8">
        <f>IF(OR(C1087="",X1087=""),"",C1087*(1+X1087))</f>
        <v>0</v>
      </c>
      <c r="Z1087" s="8">
        <f>IF(B1087="","",IFERROR(INDEX(Ingredients!$O$5:$O$304,MATCH(B1087,Ingredients!$A$5:$A$304,0)),""))</f>
        <v>0</v>
      </c>
      <c r="AA1087" s="8">
        <f>IF(B1087="","",IF(R1087&gt;=C1087,"In pantry","To buy"))</f>
        <v>0</v>
      </c>
      <c r="AB1087" s="8">
        <f>IF(A1087="","",COUNTIFS($A$5:A1087,A1087))</f>
        <v>0</v>
      </c>
      <c r="AC1087" s="8">
        <f>IF(B1087="","",IF(COUNTIFS('Dietary Filters'!$C$5:$C$104,B1087)&gt;0,"Check","OK"))</f>
        <v>0</v>
      </c>
      <c r="AD1087" s="25"/>
    </row>
    <row r="1088" spans="1:30">
      <c r="A1088" s="7"/>
      <c r="B1088" s="7"/>
      <c r="C1088" s="26"/>
      <c r="D1088" s="27"/>
      <c r="E1088" s="8">
        <f>IF(B1088="","",IFERROR(INDEX(Ingredients!$B$5:$B$304,MATCH(B1088,Ingredients!$A$5:$A$304,0)),""))</f>
        <v>0</v>
      </c>
      <c r="F1088" s="8">
        <f>IF(B1088="","",IFERROR(INDEX(Ingredients!$E$5:$E$304,MATCH(B1088,Ingredients!$A$5:$A$304,0)),""))</f>
        <v>0</v>
      </c>
      <c r="G1088" s="8">
        <f>IF(B1088="","",IFERROR(INDEX(Ingredients!$D$5:$D$304,MATCH(B1088,Ingredients!$A$5:$A$304,0)),""))</f>
        <v>0</v>
      </c>
      <c r="H1088" s="8">
        <f>IF(OR(B1088="",C1088=""),"",IFERROR(C1088*G1088,""))</f>
        <v>0</v>
      </c>
      <c r="I1088" s="8">
        <f>IF(A1088="","",IFERROR(INDEX(Recipes!$D$5:$D$204,MATCH(A1088,Recipes!$A$5:$A$204,0)),""))</f>
        <v>0</v>
      </c>
      <c r="J1088" s="8">
        <f>IF(OR(H1088="",I1088="",I1088=0),"",IFERROR(H1088/I1088,""))</f>
        <v>0</v>
      </c>
      <c r="K1088" s="8">
        <f>IF(OR(B1088="",C1088=""),"",IFERROR(C1088*IFERROR(INDEX(Ingredients!$H$5:$H$304,MATCH(B1088,Ingredients!$A$5:$A$304,0)),""),""))</f>
        <v>0</v>
      </c>
      <c r="L1088" s="8">
        <f>IF(OR(B1088="",C1088=""),"",IFERROR(C1088*IFERROR(INDEX(Ingredients!$I$5:$I$304,MATCH(B1088,Ingredients!$A$5:$A$304,0)),""),""))</f>
        <v>0</v>
      </c>
      <c r="M1088" s="8">
        <f>IF(OR(B1088="",C1088=""),"",IFERROR(C1088*IFERROR(INDEX(Ingredients!$J$5:$J$304,MATCH(B1088,Ingredients!$A$5:$A$304,0)),""),""))</f>
        <v>0</v>
      </c>
      <c r="N1088" s="8">
        <f>IF(OR(B1088="",C1088=""),"",IFERROR(C1088*IFERROR(INDEX(Ingredients!$K$5:$K$304,MATCH(B1088,Ingredients!$A$5:$A$304,0)),""),""))</f>
        <v>0</v>
      </c>
      <c r="O1088" s="8">
        <f>IF(OR(B1088="",C1088=""),"",IFERROR(C1088*IFERROR(INDEX(Ingredients!$L$5:$L$304,MATCH(B1088,Ingredients!$A$5:$A$304,0)),""),""))</f>
        <v>0</v>
      </c>
      <c r="P1088" s="8">
        <f>IF(OR(H1088="",A1088=""),"",IFERROR(H1088/SUMIFS('Recipe Ingredients'!$H$5:$H$1204,'Recipe Ingredients'!$A$5:$A$1204,A1088),""))</f>
        <v>0</v>
      </c>
      <c r="Q1088" s="8">
        <f>IF(H1088="","",COUNTIFS($H$5:$H$1204,"&gt;"&amp;H1088)+1)</f>
        <v>0</v>
      </c>
      <c r="R1088" s="8">
        <f>IF(B1088="","",SUMIFS(Pantry!$C$5:$C$304,Pantry!$A$5:$A$304,B1088))</f>
        <v>0</v>
      </c>
      <c r="S1088" s="8">
        <f>IF(OR(B1088="",C1088=""),"",MAX(0,C1088-R1088))</f>
        <v>0</v>
      </c>
      <c r="T1088" s="26"/>
      <c r="U1088" s="8">
        <f>IF(OR(T1088="",T1088=0,G1088=""),"",T1088*G1088)</f>
        <v>0</v>
      </c>
      <c r="V1088" s="8">
        <f>IF(OR(S1088="",T1088="",T1088=0),"",CEILING(S1088/T1088,1))</f>
        <v>0</v>
      </c>
      <c r="W1088" s="27"/>
      <c r="X1088" s="29"/>
      <c r="Y1088" s="8">
        <f>IF(OR(C1088="",X1088=""),"",C1088*(1+X1088))</f>
        <v>0</v>
      </c>
      <c r="Z1088" s="8">
        <f>IF(B1088="","",IFERROR(INDEX(Ingredients!$O$5:$O$304,MATCH(B1088,Ingredients!$A$5:$A$304,0)),""))</f>
        <v>0</v>
      </c>
      <c r="AA1088" s="8">
        <f>IF(B1088="","",IF(R1088&gt;=C1088,"In pantry","To buy"))</f>
        <v>0</v>
      </c>
      <c r="AB1088" s="8">
        <f>IF(A1088="","",COUNTIFS($A$5:A1088,A1088))</f>
        <v>0</v>
      </c>
      <c r="AC1088" s="8">
        <f>IF(B1088="","",IF(COUNTIFS('Dietary Filters'!$C$5:$C$104,B1088)&gt;0,"Check","OK"))</f>
        <v>0</v>
      </c>
      <c r="AD1088" s="25"/>
    </row>
    <row r="1089" spans="1:30">
      <c r="A1089" s="7"/>
      <c r="B1089" s="7"/>
      <c r="C1089" s="26"/>
      <c r="D1089" s="27"/>
      <c r="E1089" s="8">
        <f>IF(B1089="","",IFERROR(INDEX(Ingredients!$B$5:$B$304,MATCH(B1089,Ingredients!$A$5:$A$304,0)),""))</f>
        <v>0</v>
      </c>
      <c r="F1089" s="8">
        <f>IF(B1089="","",IFERROR(INDEX(Ingredients!$E$5:$E$304,MATCH(B1089,Ingredients!$A$5:$A$304,0)),""))</f>
        <v>0</v>
      </c>
      <c r="G1089" s="8">
        <f>IF(B1089="","",IFERROR(INDEX(Ingredients!$D$5:$D$304,MATCH(B1089,Ingredients!$A$5:$A$304,0)),""))</f>
        <v>0</v>
      </c>
      <c r="H1089" s="8">
        <f>IF(OR(B1089="",C1089=""),"",IFERROR(C1089*G1089,""))</f>
        <v>0</v>
      </c>
      <c r="I1089" s="8">
        <f>IF(A1089="","",IFERROR(INDEX(Recipes!$D$5:$D$204,MATCH(A1089,Recipes!$A$5:$A$204,0)),""))</f>
        <v>0</v>
      </c>
      <c r="J1089" s="8">
        <f>IF(OR(H1089="",I1089="",I1089=0),"",IFERROR(H1089/I1089,""))</f>
        <v>0</v>
      </c>
      <c r="K1089" s="8">
        <f>IF(OR(B1089="",C1089=""),"",IFERROR(C1089*IFERROR(INDEX(Ingredients!$H$5:$H$304,MATCH(B1089,Ingredients!$A$5:$A$304,0)),""),""))</f>
        <v>0</v>
      </c>
      <c r="L1089" s="8">
        <f>IF(OR(B1089="",C1089=""),"",IFERROR(C1089*IFERROR(INDEX(Ingredients!$I$5:$I$304,MATCH(B1089,Ingredients!$A$5:$A$304,0)),""),""))</f>
        <v>0</v>
      </c>
      <c r="M1089" s="8">
        <f>IF(OR(B1089="",C1089=""),"",IFERROR(C1089*IFERROR(INDEX(Ingredients!$J$5:$J$304,MATCH(B1089,Ingredients!$A$5:$A$304,0)),""),""))</f>
        <v>0</v>
      </c>
      <c r="N1089" s="8">
        <f>IF(OR(B1089="",C1089=""),"",IFERROR(C1089*IFERROR(INDEX(Ingredients!$K$5:$K$304,MATCH(B1089,Ingredients!$A$5:$A$304,0)),""),""))</f>
        <v>0</v>
      </c>
      <c r="O1089" s="8">
        <f>IF(OR(B1089="",C1089=""),"",IFERROR(C1089*IFERROR(INDEX(Ingredients!$L$5:$L$304,MATCH(B1089,Ingredients!$A$5:$A$304,0)),""),""))</f>
        <v>0</v>
      </c>
      <c r="P1089" s="8">
        <f>IF(OR(H1089="",A1089=""),"",IFERROR(H1089/SUMIFS('Recipe Ingredients'!$H$5:$H$1204,'Recipe Ingredients'!$A$5:$A$1204,A1089),""))</f>
        <v>0</v>
      </c>
      <c r="Q1089" s="8">
        <f>IF(H1089="","",COUNTIFS($H$5:$H$1204,"&gt;"&amp;H1089)+1)</f>
        <v>0</v>
      </c>
      <c r="R1089" s="8">
        <f>IF(B1089="","",SUMIFS(Pantry!$C$5:$C$304,Pantry!$A$5:$A$304,B1089))</f>
        <v>0</v>
      </c>
      <c r="S1089" s="8">
        <f>IF(OR(B1089="",C1089=""),"",MAX(0,C1089-R1089))</f>
        <v>0</v>
      </c>
      <c r="T1089" s="26"/>
      <c r="U1089" s="8">
        <f>IF(OR(T1089="",T1089=0,G1089=""),"",T1089*G1089)</f>
        <v>0</v>
      </c>
      <c r="V1089" s="8">
        <f>IF(OR(S1089="",T1089="",T1089=0),"",CEILING(S1089/T1089,1))</f>
        <v>0</v>
      </c>
      <c r="W1089" s="27"/>
      <c r="X1089" s="29"/>
      <c r="Y1089" s="8">
        <f>IF(OR(C1089="",X1089=""),"",C1089*(1+X1089))</f>
        <v>0</v>
      </c>
      <c r="Z1089" s="8">
        <f>IF(B1089="","",IFERROR(INDEX(Ingredients!$O$5:$O$304,MATCH(B1089,Ingredients!$A$5:$A$304,0)),""))</f>
        <v>0</v>
      </c>
      <c r="AA1089" s="8">
        <f>IF(B1089="","",IF(R1089&gt;=C1089,"In pantry","To buy"))</f>
        <v>0</v>
      </c>
      <c r="AB1089" s="8">
        <f>IF(A1089="","",COUNTIFS($A$5:A1089,A1089))</f>
        <v>0</v>
      </c>
      <c r="AC1089" s="8">
        <f>IF(B1089="","",IF(COUNTIFS('Dietary Filters'!$C$5:$C$104,B1089)&gt;0,"Check","OK"))</f>
        <v>0</v>
      </c>
      <c r="AD1089" s="25"/>
    </row>
    <row r="1090" spans="1:30">
      <c r="A1090" s="7"/>
      <c r="B1090" s="7"/>
      <c r="C1090" s="26"/>
      <c r="D1090" s="27"/>
      <c r="E1090" s="8">
        <f>IF(B1090="","",IFERROR(INDEX(Ingredients!$B$5:$B$304,MATCH(B1090,Ingredients!$A$5:$A$304,0)),""))</f>
        <v>0</v>
      </c>
      <c r="F1090" s="8">
        <f>IF(B1090="","",IFERROR(INDEX(Ingredients!$E$5:$E$304,MATCH(B1090,Ingredients!$A$5:$A$304,0)),""))</f>
        <v>0</v>
      </c>
      <c r="G1090" s="8">
        <f>IF(B1090="","",IFERROR(INDEX(Ingredients!$D$5:$D$304,MATCH(B1090,Ingredients!$A$5:$A$304,0)),""))</f>
        <v>0</v>
      </c>
      <c r="H1090" s="8">
        <f>IF(OR(B1090="",C1090=""),"",IFERROR(C1090*G1090,""))</f>
        <v>0</v>
      </c>
      <c r="I1090" s="8">
        <f>IF(A1090="","",IFERROR(INDEX(Recipes!$D$5:$D$204,MATCH(A1090,Recipes!$A$5:$A$204,0)),""))</f>
        <v>0</v>
      </c>
      <c r="J1090" s="8">
        <f>IF(OR(H1090="",I1090="",I1090=0),"",IFERROR(H1090/I1090,""))</f>
        <v>0</v>
      </c>
      <c r="K1090" s="8">
        <f>IF(OR(B1090="",C1090=""),"",IFERROR(C1090*IFERROR(INDEX(Ingredients!$H$5:$H$304,MATCH(B1090,Ingredients!$A$5:$A$304,0)),""),""))</f>
        <v>0</v>
      </c>
      <c r="L1090" s="8">
        <f>IF(OR(B1090="",C1090=""),"",IFERROR(C1090*IFERROR(INDEX(Ingredients!$I$5:$I$304,MATCH(B1090,Ingredients!$A$5:$A$304,0)),""),""))</f>
        <v>0</v>
      </c>
      <c r="M1090" s="8">
        <f>IF(OR(B1090="",C1090=""),"",IFERROR(C1090*IFERROR(INDEX(Ingredients!$J$5:$J$304,MATCH(B1090,Ingredients!$A$5:$A$304,0)),""),""))</f>
        <v>0</v>
      </c>
      <c r="N1090" s="8">
        <f>IF(OR(B1090="",C1090=""),"",IFERROR(C1090*IFERROR(INDEX(Ingredients!$K$5:$K$304,MATCH(B1090,Ingredients!$A$5:$A$304,0)),""),""))</f>
        <v>0</v>
      </c>
      <c r="O1090" s="8">
        <f>IF(OR(B1090="",C1090=""),"",IFERROR(C1090*IFERROR(INDEX(Ingredients!$L$5:$L$304,MATCH(B1090,Ingredients!$A$5:$A$304,0)),""),""))</f>
        <v>0</v>
      </c>
      <c r="P1090" s="8">
        <f>IF(OR(H1090="",A1090=""),"",IFERROR(H1090/SUMIFS('Recipe Ingredients'!$H$5:$H$1204,'Recipe Ingredients'!$A$5:$A$1204,A1090),""))</f>
        <v>0</v>
      </c>
      <c r="Q1090" s="8">
        <f>IF(H1090="","",COUNTIFS($H$5:$H$1204,"&gt;"&amp;H1090)+1)</f>
        <v>0</v>
      </c>
      <c r="R1090" s="8">
        <f>IF(B1090="","",SUMIFS(Pantry!$C$5:$C$304,Pantry!$A$5:$A$304,B1090))</f>
        <v>0</v>
      </c>
      <c r="S1090" s="8">
        <f>IF(OR(B1090="",C1090=""),"",MAX(0,C1090-R1090))</f>
        <v>0</v>
      </c>
      <c r="T1090" s="26"/>
      <c r="U1090" s="8">
        <f>IF(OR(T1090="",T1090=0,G1090=""),"",T1090*G1090)</f>
        <v>0</v>
      </c>
      <c r="V1090" s="8">
        <f>IF(OR(S1090="",T1090="",T1090=0),"",CEILING(S1090/T1090,1))</f>
        <v>0</v>
      </c>
      <c r="W1090" s="27"/>
      <c r="X1090" s="29"/>
      <c r="Y1090" s="8">
        <f>IF(OR(C1090="",X1090=""),"",C1090*(1+X1090))</f>
        <v>0</v>
      </c>
      <c r="Z1090" s="8">
        <f>IF(B1090="","",IFERROR(INDEX(Ingredients!$O$5:$O$304,MATCH(B1090,Ingredients!$A$5:$A$304,0)),""))</f>
        <v>0</v>
      </c>
      <c r="AA1090" s="8">
        <f>IF(B1090="","",IF(R1090&gt;=C1090,"In pantry","To buy"))</f>
        <v>0</v>
      </c>
      <c r="AB1090" s="8">
        <f>IF(A1090="","",COUNTIFS($A$5:A1090,A1090))</f>
        <v>0</v>
      </c>
      <c r="AC1090" s="8">
        <f>IF(B1090="","",IF(COUNTIFS('Dietary Filters'!$C$5:$C$104,B1090)&gt;0,"Check","OK"))</f>
        <v>0</v>
      </c>
      <c r="AD1090" s="25"/>
    </row>
    <row r="1091" spans="1:30">
      <c r="A1091" s="7"/>
      <c r="B1091" s="7"/>
      <c r="C1091" s="26"/>
      <c r="D1091" s="27"/>
      <c r="E1091" s="8">
        <f>IF(B1091="","",IFERROR(INDEX(Ingredients!$B$5:$B$304,MATCH(B1091,Ingredients!$A$5:$A$304,0)),""))</f>
        <v>0</v>
      </c>
      <c r="F1091" s="8">
        <f>IF(B1091="","",IFERROR(INDEX(Ingredients!$E$5:$E$304,MATCH(B1091,Ingredients!$A$5:$A$304,0)),""))</f>
        <v>0</v>
      </c>
      <c r="G1091" s="8">
        <f>IF(B1091="","",IFERROR(INDEX(Ingredients!$D$5:$D$304,MATCH(B1091,Ingredients!$A$5:$A$304,0)),""))</f>
        <v>0</v>
      </c>
      <c r="H1091" s="8">
        <f>IF(OR(B1091="",C1091=""),"",IFERROR(C1091*G1091,""))</f>
        <v>0</v>
      </c>
      <c r="I1091" s="8">
        <f>IF(A1091="","",IFERROR(INDEX(Recipes!$D$5:$D$204,MATCH(A1091,Recipes!$A$5:$A$204,0)),""))</f>
        <v>0</v>
      </c>
      <c r="J1091" s="8">
        <f>IF(OR(H1091="",I1091="",I1091=0),"",IFERROR(H1091/I1091,""))</f>
        <v>0</v>
      </c>
      <c r="K1091" s="8">
        <f>IF(OR(B1091="",C1091=""),"",IFERROR(C1091*IFERROR(INDEX(Ingredients!$H$5:$H$304,MATCH(B1091,Ingredients!$A$5:$A$304,0)),""),""))</f>
        <v>0</v>
      </c>
      <c r="L1091" s="8">
        <f>IF(OR(B1091="",C1091=""),"",IFERROR(C1091*IFERROR(INDEX(Ingredients!$I$5:$I$304,MATCH(B1091,Ingredients!$A$5:$A$304,0)),""),""))</f>
        <v>0</v>
      </c>
      <c r="M1091" s="8">
        <f>IF(OR(B1091="",C1091=""),"",IFERROR(C1091*IFERROR(INDEX(Ingredients!$J$5:$J$304,MATCH(B1091,Ingredients!$A$5:$A$304,0)),""),""))</f>
        <v>0</v>
      </c>
      <c r="N1091" s="8">
        <f>IF(OR(B1091="",C1091=""),"",IFERROR(C1091*IFERROR(INDEX(Ingredients!$K$5:$K$304,MATCH(B1091,Ingredients!$A$5:$A$304,0)),""),""))</f>
        <v>0</v>
      </c>
      <c r="O1091" s="8">
        <f>IF(OR(B1091="",C1091=""),"",IFERROR(C1091*IFERROR(INDEX(Ingredients!$L$5:$L$304,MATCH(B1091,Ingredients!$A$5:$A$304,0)),""),""))</f>
        <v>0</v>
      </c>
      <c r="P1091" s="8">
        <f>IF(OR(H1091="",A1091=""),"",IFERROR(H1091/SUMIFS('Recipe Ingredients'!$H$5:$H$1204,'Recipe Ingredients'!$A$5:$A$1204,A1091),""))</f>
        <v>0</v>
      </c>
      <c r="Q1091" s="8">
        <f>IF(H1091="","",COUNTIFS($H$5:$H$1204,"&gt;"&amp;H1091)+1)</f>
        <v>0</v>
      </c>
      <c r="R1091" s="8">
        <f>IF(B1091="","",SUMIFS(Pantry!$C$5:$C$304,Pantry!$A$5:$A$304,B1091))</f>
        <v>0</v>
      </c>
      <c r="S1091" s="8">
        <f>IF(OR(B1091="",C1091=""),"",MAX(0,C1091-R1091))</f>
        <v>0</v>
      </c>
      <c r="T1091" s="26"/>
      <c r="U1091" s="8">
        <f>IF(OR(T1091="",T1091=0,G1091=""),"",T1091*G1091)</f>
        <v>0</v>
      </c>
      <c r="V1091" s="8">
        <f>IF(OR(S1091="",T1091="",T1091=0),"",CEILING(S1091/T1091,1))</f>
        <v>0</v>
      </c>
      <c r="W1091" s="27"/>
      <c r="X1091" s="29"/>
      <c r="Y1091" s="8">
        <f>IF(OR(C1091="",X1091=""),"",C1091*(1+X1091))</f>
        <v>0</v>
      </c>
      <c r="Z1091" s="8">
        <f>IF(B1091="","",IFERROR(INDEX(Ingredients!$O$5:$O$304,MATCH(B1091,Ingredients!$A$5:$A$304,0)),""))</f>
        <v>0</v>
      </c>
      <c r="AA1091" s="8">
        <f>IF(B1091="","",IF(R1091&gt;=C1091,"In pantry","To buy"))</f>
        <v>0</v>
      </c>
      <c r="AB1091" s="8">
        <f>IF(A1091="","",COUNTIFS($A$5:A1091,A1091))</f>
        <v>0</v>
      </c>
      <c r="AC1091" s="8">
        <f>IF(B1091="","",IF(COUNTIFS('Dietary Filters'!$C$5:$C$104,B1091)&gt;0,"Check","OK"))</f>
        <v>0</v>
      </c>
      <c r="AD1091" s="25"/>
    </row>
    <row r="1092" spans="1:30">
      <c r="A1092" s="7"/>
      <c r="B1092" s="7"/>
      <c r="C1092" s="26"/>
      <c r="D1092" s="27"/>
      <c r="E1092" s="8">
        <f>IF(B1092="","",IFERROR(INDEX(Ingredients!$B$5:$B$304,MATCH(B1092,Ingredients!$A$5:$A$304,0)),""))</f>
        <v>0</v>
      </c>
      <c r="F1092" s="8">
        <f>IF(B1092="","",IFERROR(INDEX(Ingredients!$E$5:$E$304,MATCH(B1092,Ingredients!$A$5:$A$304,0)),""))</f>
        <v>0</v>
      </c>
      <c r="G1092" s="8">
        <f>IF(B1092="","",IFERROR(INDEX(Ingredients!$D$5:$D$304,MATCH(B1092,Ingredients!$A$5:$A$304,0)),""))</f>
        <v>0</v>
      </c>
      <c r="H1092" s="8">
        <f>IF(OR(B1092="",C1092=""),"",IFERROR(C1092*G1092,""))</f>
        <v>0</v>
      </c>
      <c r="I1092" s="8">
        <f>IF(A1092="","",IFERROR(INDEX(Recipes!$D$5:$D$204,MATCH(A1092,Recipes!$A$5:$A$204,0)),""))</f>
        <v>0</v>
      </c>
      <c r="J1092" s="8">
        <f>IF(OR(H1092="",I1092="",I1092=0),"",IFERROR(H1092/I1092,""))</f>
        <v>0</v>
      </c>
      <c r="K1092" s="8">
        <f>IF(OR(B1092="",C1092=""),"",IFERROR(C1092*IFERROR(INDEX(Ingredients!$H$5:$H$304,MATCH(B1092,Ingredients!$A$5:$A$304,0)),""),""))</f>
        <v>0</v>
      </c>
      <c r="L1092" s="8">
        <f>IF(OR(B1092="",C1092=""),"",IFERROR(C1092*IFERROR(INDEX(Ingredients!$I$5:$I$304,MATCH(B1092,Ingredients!$A$5:$A$304,0)),""),""))</f>
        <v>0</v>
      </c>
      <c r="M1092" s="8">
        <f>IF(OR(B1092="",C1092=""),"",IFERROR(C1092*IFERROR(INDEX(Ingredients!$J$5:$J$304,MATCH(B1092,Ingredients!$A$5:$A$304,0)),""),""))</f>
        <v>0</v>
      </c>
      <c r="N1092" s="8">
        <f>IF(OR(B1092="",C1092=""),"",IFERROR(C1092*IFERROR(INDEX(Ingredients!$K$5:$K$304,MATCH(B1092,Ingredients!$A$5:$A$304,0)),""),""))</f>
        <v>0</v>
      </c>
      <c r="O1092" s="8">
        <f>IF(OR(B1092="",C1092=""),"",IFERROR(C1092*IFERROR(INDEX(Ingredients!$L$5:$L$304,MATCH(B1092,Ingredients!$A$5:$A$304,0)),""),""))</f>
        <v>0</v>
      </c>
      <c r="P1092" s="8">
        <f>IF(OR(H1092="",A1092=""),"",IFERROR(H1092/SUMIFS('Recipe Ingredients'!$H$5:$H$1204,'Recipe Ingredients'!$A$5:$A$1204,A1092),""))</f>
        <v>0</v>
      </c>
      <c r="Q1092" s="8">
        <f>IF(H1092="","",COUNTIFS($H$5:$H$1204,"&gt;"&amp;H1092)+1)</f>
        <v>0</v>
      </c>
      <c r="R1092" s="8">
        <f>IF(B1092="","",SUMIFS(Pantry!$C$5:$C$304,Pantry!$A$5:$A$304,B1092))</f>
        <v>0</v>
      </c>
      <c r="S1092" s="8">
        <f>IF(OR(B1092="",C1092=""),"",MAX(0,C1092-R1092))</f>
        <v>0</v>
      </c>
      <c r="T1092" s="26"/>
      <c r="U1092" s="8">
        <f>IF(OR(T1092="",T1092=0,G1092=""),"",T1092*G1092)</f>
        <v>0</v>
      </c>
      <c r="V1092" s="8">
        <f>IF(OR(S1092="",T1092="",T1092=0),"",CEILING(S1092/T1092,1))</f>
        <v>0</v>
      </c>
      <c r="W1092" s="27"/>
      <c r="X1092" s="29"/>
      <c r="Y1092" s="8">
        <f>IF(OR(C1092="",X1092=""),"",C1092*(1+X1092))</f>
        <v>0</v>
      </c>
      <c r="Z1092" s="8">
        <f>IF(B1092="","",IFERROR(INDEX(Ingredients!$O$5:$O$304,MATCH(B1092,Ingredients!$A$5:$A$304,0)),""))</f>
        <v>0</v>
      </c>
      <c r="AA1092" s="8">
        <f>IF(B1092="","",IF(R1092&gt;=C1092,"In pantry","To buy"))</f>
        <v>0</v>
      </c>
      <c r="AB1092" s="8">
        <f>IF(A1092="","",COUNTIFS($A$5:A1092,A1092))</f>
        <v>0</v>
      </c>
      <c r="AC1092" s="8">
        <f>IF(B1092="","",IF(COUNTIFS('Dietary Filters'!$C$5:$C$104,B1092)&gt;0,"Check","OK"))</f>
        <v>0</v>
      </c>
      <c r="AD1092" s="25"/>
    </row>
    <row r="1093" spans="1:30">
      <c r="A1093" s="7"/>
      <c r="B1093" s="7"/>
      <c r="C1093" s="26"/>
      <c r="D1093" s="27"/>
      <c r="E1093" s="8">
        <f>IF(B1093="","",IFERROR(INDEX(Ingredients!$B$5:$B$304,MATCH(B1093,Ingredients!$A$5:$A$304,0)),""))</f>
        <v>0</v>
      </c>
      <c r="F1093" s="8">
        <f>IF(B1093="","",IFERROR(INDEX(Ingredients!$E$5:$E$304,MATCH(B1093,Ingredients!$A$5:$A$304,0)),""))</f>
        <v>0</v>
      </c>
      <c r="G1093" s="8">
        <f>IF(B1093="","",IFERROR(INDEX(Ingredients!$D$5:$D$304,MATCH(B1093,Ingredients!$A$5:$A$304,0)),""))</f>
        <v>0</v>
      </c>
      <c r="H1093" s="8">
        <f>IF(OR(B1093="",C1093=""),"",IFERROR(C1093*G1093,""))</f>
        <v>0</v>
      </c>
      <c r="I1093" s="8">
        <f>IF(A1093="","",IFERROR(INDEX(Recipes!$D$5:$D$204,MATCH(A1093,Recipes!$A$5:$A$204,0)),""))</f>
        <v>0</v>
      </c>
      <c r="J1093" s="8">
        <f>IF(OR(H1093="",I1093="",I1093=0),"",IFERROR(H1093/I1093,""))</f>
        <v>0</v>
      </c>
      <c r="K1093" s="8">
        <f>IF(OR(B1093="",C1093=""),"",IFERROR(C1093*IFERROR(INDEX(Ingredients!$H$5:$H$304,MATCH(B1093,Ingredients!$A$5:$A$304,0)),""),""))</f>
        <v>0</v>
      </c>
      <c r="L1093" s="8">
        <f>IF(OR(B1093="",C1093=""),"",IFERROR(C1093*IFERROR(INDEX(Ingredients!$I$5:$I$304,MATCH(B1093,Ingredients!$A$5:$A$304,0)),""),""))</f>
        <v>0</v>
      </c>
      <c r="M1093" s="8">
        <f>IF(OR(B1093="",C1093=""),"",IFERROR(C1093*IFERROR(INDEX(Ingredients!$J$5:$J$304,MATCH(B1093,Ingredients!$A$5:$A$304,0)),""),""))</f>
        <v>0</v>
      </c>
      <c r="N1093" s="8">
        <f>IF(OR(B1093="",C1093=""),"",IFERROR(C1093*IFERROR(INDEX(Ingredients!$K$5:$K$304,MATCH(B1093,Ingredients!$A$5:$A$304,0)),""),""))</f>
        <v>0</v>
      </c>
      <c r="O1093" s="8">
        <f>IF(OR(B1093="",C1093=""),"",IFERROR(C1093*IFERROR(INDEX(Ingredients!$L$5:$L$304,MATCH(B1093,Ingredients!$A$5:$A$304,0)),""),""))</f>
        <v>0</v>
      </c>
      <c r="P1093" s="8">
        <f>IF(OR(H1093="",A1093=""),"",IFERROR(H1093/SUMIFS('Recipe Ingredients'!$H$5:$H$1204,'Recipe Ingredients'!$A$5:$A$1204,A1093),""))</f>
        <v>0</v>
      </c>
      <c r="Q1093" s="8">
        <f>IF(H1093="","",COUNTIFS($H$5:$H$1204,"&gt;"&amp;H1093)+1)</f>
        <v>0</v>
      </c>
      <c r="R1093" s="8">
        <f>IF(B1093="","",SUMIFS(Pantry!$C$5:$C$304,Pantry!$A$5:$A$304,B1093))</f>
        <v>0</v>
      </c>
      <c r="S1093" s="8">
        <f>IF(OR(B1093="",C1093=""),"",MAX(0,C1093-R1093))</f>
        <v>0</v>
      </c>
      <c r="T1093" s="26"/>
      <c r="U1093" s="8">
        <f>IF(OR(T1093="",T1093=0,G1093=""),"",T1093*G1093)</f>
        <v>0</v>
      </c>
      <c r="V1093" s="8">
        <f>IF(OR(S1093="",T1093="",T1093=0),"",CEILING(S1093/T1093,1))</f>
        <v>0</v>
      </c>
      <c r="W1093" s="27"/>
      <c r="X1093" s="29"/>
      <c r="Y1093" s="8">
        <f>IF(OR(C1093="",X1093=""),"",C1093*(1+X1093))</f>
        <v>0</v>
      </c>
      <c r="Z1093" s="8">
        <f>IF(B1093="","",IFERROR(INDEX(Ingredients!$O$5:$O$304,MATCH(B1093,Ingredients!$A$5:$A$304,0)),""))</f>
        <v>0</v>
      </c>
      <c r="AA1093" s="8">
        <f>IF(B1093="","",IF(R1093&gt;=C1093,"In pantry","To buy"))</f>
        <v>0</v>
      </c>
      <c r="AB1093" s="8">
        <f>IF(A1093="","",COUNTIFS($A$5:A1093,A1093))</f>
        <v>0</v>
      </c>
      <c r="AC1093" s="8">
        <f>IF(B1093="","",IF(COUNTIFS('Dietary Filters'!$C$5:$C$104,B1093)&gt;0,"Check","OK"))</f>
        <v>0</v>
      </c>
      <c r="AD1093" s="25"/>
    </row>
    <row r="1094" spans="1:30">
      <c r="A1094" s="7"/>
      <c r="B1094" s="7"/>
      <c r="C1094" s="26"/>
      <c r="D1094" s="27"/>
      <c r="E1094" s="8">
        <f>IF(B1094="","",IFERROR(INDEX(Ingredients!$B$5:$B$304,MATCH(B1094,Ingredients!$A$5:$A$304,0)),""))</f>
        <v>0</v>
      </c>
      <c r="F1094" s="8">
        <f>IF(B1094="","",IFERROR(INDEX(Ingredients!$E$5:$E$304,MATCH(B1094,Ingredients!$A$5:$A$304,0)),""))</f>
        <v>0</v>
      </c>
      <c r="G1094" s="8">
        <f>IF(B1094="","",IFERROR(INDEX(Ingredients!$D$5:$D$304,MATCH(B1094,Ingredients!$A$5:$A$304,0)),""))</f>
        <v>0</v>
      </c>
      <c r="H1094" s="8">
        <f>IF(OR(B1094="",C1094=""),"",IFERROR(C1094*G1094,""))</f>
        <v>0</v>
      </c>
      <c r="I1094" s="8">
        <f>IF(A1094="","",IFERROR(INDEX(Recipes!$D$5:$D$204,MATCH(A1094,Recipes!$A$5:$A$204,0)),""))</f>
        <v>0</v>
      </c>
      <c r="J1094" s="8">
        <f>IF(OR(H1094="",I1094="",I1094=0),"",IFERROR(H1094/I1094,""))</f>
        <v>0</v>
      </c>
      <c r="K1094" s="8">
        <f>IF(OR(B1094="",C1094=""),"",IFERROR(C1094*IFERROR(INDEX(Ingredients!$H$5:$H$304,MATCH(B1094,Ingredients!$A$5:$A$304,0)),""),""))</f>
        <v>0</v>
      </c>
      <c r="L1094" s="8">
        <f>IF(OR(B1094="",C1094=""),"",IFERROR(C1094*IFERROR(INDEX(Ingredients!$I$5:$I$304,MATCH(B1094,Ingredients!$A$5:$A$304,0)),""),""))</f>
        <v>0</v>
      </c>
      <c r="M1094" s="8">
        <f>IF(OR(B1094="",C1094=""),"",IFERROR(C1094*IFERROR(INDEX(Ingredients!$J$5:$J$304,MATCH(B1094,Ingredients!$A$5:$A$304,0)),""),""))</f>
        <v>0</v>
      </c>
      <c r="N1094" s="8">
        <f>IF(OR(B1094="",C1094=""),"",IFERROR(C1094*IFERROR(INDEX(Ingredients!$K$5:$K$304,MATCH(B1094,Ingredients!$A$5:$A$304,0)),""),""))</f>
        <v>0</v>
      </c>
      <c r="O1094" s="8">
        <f>IF(OR(B1094="",C1094=""),"",IFERROR(C1094*IFERROR(INDEX(Ingredients!$L$5:$L$304,MATCH(B1094,Ingredients!$A$5:$A$304,0)),""),""))</f>
        <v>0</v>
      </c>
      <c r="P1094" s="8">
        <f>IF(OR(H1094="",A1094=""),"",IFERROR(H1094/SUMIFS('Recipe Ingredients'!$H$5:$H$1204,'Recipe Ingredients'!$A$5:$A$1204,A1094),""))</f>
        <v>0</v>
      </c>
      <c r="Q1094" s="8">
        <f>IF(H1094="","",COUNTIFS($H$5:$H$1204,"&gt;"&amp;H1094)+1)</f>
        <v>0</v>
      </c>
      <c r="R1094" s="8">
        <f>IF(B1094="","",SUMIFS(Pantry!$C$5:$C$304,Pantry!$A$5:$A$304,B1094))</f>
        <v>0</v>
      </c>
      <c r="S1094" s="8">
        <f>IF(OR(B1094="",C1094=""),"",MAX(0,C1094-R1094))</f>
        <v>0</v>
      </c>
      <c r="T1094" s="26"/>
      <c r="U1094" s="8">
        <f>IF(OR(T1094="",T1094=0,G1094=""),"",T1094*G1094)</f>
        <v>0</v>
      </c>
      <c r="V1094" s="8">
        <f>IF(OR(S1094="",T1094="",T1094=0),"",CEILING(S1094/T1094,1))</f>
        <v>0</v>
      </c>
      <c r="W1094" s="27"/>
      <c r="X1094" s="29"/>
      <c r="Y1094" s="8">
        <f>IF(OR(C1094="",X1094=""),"",C1094*(1+X1094))</f>
        <v>0</v>
      </c>
      <c r="Z1094" s="8">
        <f>IF(B1094="","",IFERROR(INDEX(Ingredients!$O$5:$O$304,MATCH(B1094,Ingredients!$A$5:$A$304,0)),""))</f>
        <v>0</v>
      </c>
      <c r="AA1094" s="8">
        <f>IF(B1094="","",IF(R1094&gt;=C1094,"In pantry","To buy"))</f>
        <v>0</v>
      </c>
      <c r="AB1094" s="8">
        <f>IF(A1094="","",COUNTIFS($A$5:A1094,A1094))</f>
        <v>0</v>
      </c>
      <c r="AC1094" s="8">
        <f>IF(B1094="","",IF(COUNTIFS('Dietary Filters'!$C$5:$C$104,B1094)&gt;0,"Check","OK"))</f>
        <v>0</v>
      </c>
      <c r="AD1094" s="25"/>
    </row>
    <row r="1095" spans="1:30">
      <c r="A1095" s="7"/>
      <c r="B1095" s="7"/>
      <c r="C1095" s="26"/>
      <c r="D1095" s="27"/>
      <c r="E1095" s="8">
        <f>IF(B1095="","",IFERROR(INDEX(Ingredients!$B$5:$B$304,MATCH(B1095,Ingredients!$A$5:$A$304,0)),""))</f>
        <v>0</v>
      </c>
      <c r="F1095" s="8">
        <f>IF(B1095="","",IFERROR(INDEX(Ingredients!$E$5:$E$304,MATCH(B1095,Ingredients!$A$5:$A$304,0)),""))</f>
        <v>0</v>
      </c>
      <c r="G1095" s="8">
        <f>IF(B1095="","",IFERROR(INDEX(Ingredients!$D$5:$D$304,MATCH(B1095,Ingredients!$A$5:$A$304,0)),""))</f>
        <v>0</v>
      </c>
      <c r="H1095" s="8">
        <f>IF(OR(B1095="",C1095=""),"",IFERROR(C1095*G1095,""))</f>
        <v>0</v>
      </c>
      <c r="I1095" s="8">
        <f>IF(A1095="","",IFERROR(INDEX(Recipes!$D$5:$D$204,MATCH(A1095,Recipes!$A$5:$A$204,0)),""))</f>
        <v>0</v>
      </c>
      <c r="J1095" s="8">
        <f>IF(OR(H1095="",I1095="",I1095=0),"",IFERROR(H1095/I1095,""))</f>
        <v>0</v>
      </c>
      <c r="K1095" s="8">
        <f>IF(OR(B1095="",C1095=""),"",IFERROR(C1095*IFERROR(INDEX(Ingredients!$H$5:$H$304,MATCH(B1095,Ingredients!$A$5:$A$304,0)),""),""))</f>
        <v>0</v>
      </c>
      <c r="L1095" s="8">
        <f>IF(OR(B1095="",C1095=""),"",IFERROR(C1095*IFERROR(INDEX(Ingredients!$I$5:$I$304,MATCH(B1095,Ingredients!$A$5:$A$304,0)),""),""))</f>
        <v>0</v>
      </c>
      <c r="M1095" s="8">
        <f>IF(OR(B1095="",C1095=""),"",IFERROR(C1095*IFERROR(INDEX(Ingredients!$J$5:$J$304,MATCH(B1095,Ingredients!$A$5:$A$304,0)),""),""))</f>
        <v>0</v>
      </c>
      <c r="N1095" s="8">
        <f>IF(OR(B1095="",C1095=""),"",IFERROR(C1095*IFERROR(INDEX(Ingredients!$K$5:$K$304,MATCH(B1095,Ingredients!$A$5:$A$304,0)),""),""))</f>
        <v>0</v>
      </c>
      <c r="O1095" s="8">
        <f>IF(OR(B1095="",C1095=""),"",IFERROR(C1095*IFERROR(INDEX(Ingredients!$L$5:$L$304,MATCH(B1095,Ingredients!$A$5:$A$304,0)),""),""))</f>
        <v>0</v>
      </c>
      <c r="P1095" s="8">
        <f>IF(OR(H1095="",A1095=""),"",IFERROR(H1095/SUMIFS('Recipe Ingredients'!$H$5:$H$1204,'Recipe Ingredients'!$A$5:$A$1204,A1095),""))</f>
        <v>0</v>
      </c>
      <c r="Q1095" s="8">
        <f>IF(H1095="","",COUNTIFS($H$5:$H$1204,"&gt;"&amp;H1095)+1)</f>
        <v>0</v>
      </c>
      <c r="R1095" s="8">
        <f>IF(B1095="","",SUMIFS(Pantry!$C$5:$C$304,Pantry!$A$5:$A$304,B1095))</f>
        <v>0</v>
      </c>
      <c r="S1095" s="8">
        <f>IF(OR(B1095="",C1095=""),"",MAX(0,C1095-R1095))</f>
        <v>0</v>
      </c>
      <c r="T1095" s="26"/>
      <c r="U1095" s="8">
        <f>IF(OR(T1095="",T1095=0,G1095=""),"",T1095*G1095)</f>
        <v>0</v>
      </c>
      <c r="V1095" s="8">
        <f>IF(OR(S1095="",T1095="",T1095=0),"",CEILING(S1095/T1095,1))</f>
        <v>0</v>
      </c>
      <c r="W1095" s="27"/>
      <c r="X1095" s="29"/>
      <c r="Y1095" s="8">
        <f>IF(OR(C1095="",X1095=""),"",C1095*(1+X1095))</f>
        <v>0</v>
      </c>
      <c r="Z1095" s="8">
        <f>IF(B1095="","",IFERROR(INDEX(Ingredients!$O$5:$O$304,MATCH(B1095,Ingredients!$A$5:$A$304,0)),""))</f>
        <v>0</v>
      </c>
      <c r="AA1095" s="8">
        <f>IF(B1095="","",IF(R1095&gt;=C1095,"In pantry","To buy"))</f>
        <v>0</v>
      </c>
      <c r="AB1095" s="8">
        <f>IF(A1095="","",COUNTIFS($A$5:A1095,A1095))</f>
        <v>0</v>
      </c>
      <c r="AC1095" s="8">
        <f>IF(B1095="","",IF(COUNTIFS('Dietary Filters'!$C$5:$C$104,B1095)&gt;0,"Check","OK"))</f>
        <v>0</v>
      </c>
      <c r="AD1095" s="25"/>
    </row>
    <row r="1096" spans="1:30">
      <c r="A1096" s="7"/>
      <c r="B1096" s="7"/>
      <c r="C1096" s="26"/>
      <c r="D1096" s="27"/>
      <c r="E1096" s="8">
        <f>IF(B1096="","",IFERROR(INDEX(Ingredients!$B$5:$B$304,MATCH(B1096,Ingredients!$A$5:$A$304,0)),""))</f>
        <v>0</v>
      </c>
      <c r="F1096" s="8">
        <f>IF(B1096="","",IFERROR(INDEX(Ingredients!$E$5:$E$304,MATCH(B1096,Ingredients!$A$5:$A$304,0)),""))</f>
        <v>0</v>
      </c>
      <c r="G1096" s="8">
        <f>IF(B1096="","",IFERROR(INDEX(Ingredients!$D$5:$D$304,MATCH(B1096,Ingredients!$A$5:$A$304,0)),""))</f>
        <v>0</v>
      </c>
      <c r="H1096" s="8">
        <f>IF(OR(B1096="",C1096=""),"",IFERROR(C1096*G1096,""))</f>
        <v>0</v>
      </c>
      <c r="I1096" s="8">
        <f>IF(A1096="","",IFERROR(INDEX(Recipes!$D$5:$D$204,MATCH(A1096,Recipes!$A$5:$A$204,0)),""))</f>
        <v>0</v>
      </c>
      <c r="J1096" s="8">
        <f>IF(OR(H1096="",I1096="",I1096=0),"",IFERROR(H1096/I1096,""))</f>
        <v>0</v>
      </c>
      <c r="K1096" s="8">
        <f>IF(OR(B1096="",C1096=""),"",IFERROR(C1096*IFERROR(INDEX(Ingredients!$H$5:$H$304,MATCH(B1096,Ingredients!$A$5:$A$304,0)),""),""))</f>
        <v>0</v>
      </c>
      <c r="L1096" s="8">
        <f>IF(OR(B1096="",C1096=""),"",IFERROR(C1096*IFERROR(INDEX(Ingredients!$I$5:$I$304,MATCH(B1096,Ingredients!$A$5:$A$304,0)),""),""))</f>
        <v>0</v>
      </c>
      <c r="M1096" s="8">
        <f>IF(OR(B1096="",C1096=""),"",IFERROR(C1096*IFERROR(INDEX(Ingredients!$J$5:$J$304,MATCH(B1096,Ingredients!$A$5:$A$304,0)),""),""))</f>
        <v>0</v>
      </c>
      <c r="N1096" s="8">
        <f>IF(OR(B1096="",C1096=""),"",IFERROR(C1096*IFERROR(INDEX(Ingredients!$K$5:$K$304,MATCH(B1096,Ingredients!$A$5:$A$304,0)),""),""))</f>
        <v>0</v>
      </c>
      <c r="O1096" s="8">
        <f>IF(OR(B1096="",C1096=""),"",IFERROR(C1096*IFERROR(INDEX(Ingredients!$L$5:$L$304,MATCH(B1096,Ingredients!$A$5:$A$304,0)),""),""))</f>
        <v>0</v>
      </c>
      <c r="P1096" s="8">
        <f>IF(OR(H1096="",A1096=""),"",IFERROR(H1096/SUMIFS('Recipe Ingredients'!$H$5:$H$1204,'Recipe Ingredients'!$A$5:$A$1204,A1096),""))</f>
        <v>0</v>
      </c>
      <c r="Q1096" s="8">
        <f>IF(H1096="","",COUNTIFS($H$5:$H$1204,"&gt;"&amp;H1096)+1)</f>
        <v>0</v>
      </c>
      <c r="R1096" s="8">
        <f>IF(B1096="","",SUMIFS(Pantry!$C$5:$C$304,Pantry!$A$5:$A$304,B1096))</f>
        <v>0</v>
      </c>
      <c r="S1096" s="8">
        <f>IF(OR(B1096="",C1096=""),"",MAX(0,C1096-R1096))</f>
        <v>0</v>
      </c>
      <c r="T1096" s="26"/>
      <c r="U1096" s="8">
        <f>IF(OR(T1096="",T1096=0,G1096=""),"",T1096*G1096)</f>
        <v>0</v>
      </c>
      <c r="V1096" s="8">
        <f>IF(OR(S1096="",T1096="",T1096=0),"",CEILING(S1096/T1096,1))</f>
        <v>0</v>
      </c>
      <c r="W1096" s="27"/>
      <c r="X1096" s="29"/>
      <c r="Y1096" s="8">
        <f>IF(OR(C1096="",X1096=""),"",C1096*(1+X1096))</f>
        <v>0</v>
      </c>
      <c r="Z1096" s="8">
        <f>IF(B1096="","",IFERROR(INDEX(Ingredients!$O$5:$O$304,MATCH(B1096,Ingredients!$A$5:$A$304,0)),""))</f>
        <v>0</v>
      </c>
      <c r="AA1096" s="8">
        <f>IF(B1096="","",IF(R1096&gt;=C1096,"In pantry","To buy"))</f>
        <v>0</v>
      </c>
      <c r="AB1096" s="8">
        <f>IF(A1096="","",COUNTIFS($A$5:A1096,A1096))</f>
        <v>0</v>
      </c>
      <c r="AC1096" s="8">
        <f>IF(B1096="","",IF(COUNTIFS('Dietary Filters'!$C$5:$C$104,B1096)&gt;0,"Check","OK"))</f>
        <v>0</v>
      </c>
      <c r="AD1096" s="25"/>
    </row>
    <row r="1097" spans="1:30">
      <c r="A1097" s="7"/>
      <c r="B1097" s="7"/>
      <c r="C1097" s="26"/>
      <c r="D1097" s="27"/>
      <c r="E1097" s="8">
        <f>IF(B1097="","",IFERROR(INDEX(Ingredients!$B$5:$B$304,MATCH(B1097,Ingredients!$A$5:$A$304,0)),""))</f>
        <v>0</v>
      </c>
      <c r="F1097" s="8">
        <f>IF(B1097="","",IFERROR(INDEX(Ingredients!$E$5:$E$304,MATCH(B1097,Ingredients!$A$5:$A$304,0)),""))</f>
        <v>0</v>
      </c>
      <c r="G1097" s="8">
        <f>IF(B1097="","",IFERROR(INDEX(Ingredients!$D$5:$D$304,MATCH(B1097,Ingredients!$A$5:$A$304,0)),""))</f>
        <v>0</v>
      </c>
      <c r="H1097" s="8">
        <f>IF(OR(B1097="",C1097=""),"",IFERROR(C1097*G1097,""))</f>
        <v>0</v>
      </c>
      <c r="I1097" s="8">
        <f>IF(A1097="","",IFERROR(INDEX(Recipes!$D$5:$D$204,MATCH(A1097,Recipes!$A$5:$A$204,0)),""))</f>
        <v>0</v>
      </c>
      <c r="J1097" s="8">
        <f>IF(OR(H1097="",I1097="",I1097=0),"",IFERROR(H1097/I1097,""))</f>
        <v>0</v>
      </c>
      <c r="K1097" s="8">
        <f>IF(OR(B1097="",C1097=""),"",IFERROR(C1097*IFERROR(INDEX(Ingredients!$H$5:$H$304,MATCH(B1097,Ingredients!$A$5:$A$304,0)),""),""))</f>
        <v>0</v>
      </c>
      <c r="L1097" s="8">
        <f>IF(OR(B1097="",C1097=""),"",IFERROR(C1097*IFERROR(INDEX(Ingredients!$I$5:$I$304,MATCH(B1097,Ingredients!$A$5:$A$304,0)),""),""))</f>
        <v>0</v>
      </c>
      <c r="M1097" s="8">
        <f>IF(OR(B1097="",C1097=""),"",IFERROR(C1097*IFERROR(INDEX(Ingredients!$J$5:$J$304,MATCH(B1097,Ingredients!$A$5:$A$304,0)),""),""))</f>
        <v>0</v>
      </c>
      <c r="N1097" s="8">
        <f>IF(OR(B1097="",C1097=""),"",IFERROR(C1097*IFERROR(INDEX(Ingredients!$K$5:$K$304,MATCH(B1097,Ingredients!$A$5:$A$304,0)),""),""))</f>
        <v>0</v>
      </c>
      <c r="O1097" s="8">
        <f>IF(OR(B1097="",C1097=""),"",IFERROR(C1097*IFERROR(INDEX(Ingredients!$L$5:$L$304,MATCH(B1097,Ingredients!$A$5:$A$304,0)),""),""))</f>
        <v>0</v>
      </c>
      <c r="P1097" s="8">
        <f>IF(OR(H1097="",A1097=""),"",IFERROR(H1097/SUMIFS('Recipe Ingredients'!$H$5:$H$1204,'Recipe Ingredients'!$A$5:$A$1204,A1097),""))</f>
        <v>0</v>
      </c>
      <c r="Q1097" s="8">
        <f>IF(H1097="","",COUNTIFS($H$5:$H$1204,"&gt;"&amp;H1097)+1)</f>
        <v>0</v>
      </c>
      <c r="R1097" s="8">
        <f>IF(B1097="","",SUMIFS(Pantry!$C$5:$C$304,Pantry!$A$5:$A$304,B1097))</f>
        <v>0</v>
      </c>
      <c r="S1097" s="8">
        <f>IF(OR(B1097="",C1097=""),"",MAX(0,C1097-R1097))</f>
        <v>0</v>
      </c>
      <c r="T1097" s="26"/>
      <c r="U1097" s="8">
        <f>IF(OR(T1097="",T1097=0,G1097=""),"",T1097*G1097)</f>
        <v>0</v>
      </c>
      <c r="V1097" s="8">
        <f>IF(OR(S1097="",T1097="",T1097=0),"",CEILING(S1097/T1097,1))</f>
        <v>0</v>
      </c>
      <c r="W1097" s="27"/>
      <c r="X1097" s="29"/>
      <c r="Y1097" s="8">
        <f>IF(OR(C1097="",X1097=""),"",C1097*(1+X1097))</f>
        <v>0</v>
      </c>
      <c r="Z1097" s="8">
        <f>IF(B1097="","",IFERROR(INDEX(Ingredients!$O$5:$O$304,MATCH(B1097,Ingredients!$A$5:$A$304,0)),""))</f>
        <v>0</v>
      </c>
      <c r="AA1097" s="8">
        <f>IF(B1097="","",IF(R1097&gt;=C1097,"In pantry","To buy"))</f>
        <v>0</v>
      </c>
      <c r="AB1097" s="8">
        <f>IF(A1097="","",COUNTIFS($A$5:A1097,A1097))</f>
        <v>0</v>
      </c>
      <c r="AC1097" s="8">
        <f>IF(B1097="","",IF(COUNTIFS('Dietary Filters'!$C$5:$C$104,B1097)&gt;0,"Check","OK"))</f>
        <v>0</v>
      </c>
      <c r="AD1097" s="25"/>
    </row>
    <row r="1098" spans="1:30">
      <c r="A1098" s="7"/>
      <c r="B1098" s="7"/>
      <c r="C1098" s="26"/>
      <c r="D1098" s="27"/>
      <c r="E1098" s="8">
        <f>IF(B1098="","",IFERROR(INDEX(Ingredients!$B$5:$B$304,MATCH(B1098,Ingredients!$A$5:$A$304,0)),""))</f>
        <v>0</v>
      </c>
      <c r="F1098" s="8">
        <f>IF(B1098="","",IFERROR(INDEX(Ingredients!$E$5:$E$304,MATCH(B1098,Ingredients!$A$5:$A$304,0)),""))</f>
        <v>0</v>
      </c>
      <c r="G1098" s="8">
        <f>IF(B1098="","",IFERROR(INDEX(Ingredients!$D$5:$D$304,MATCH(B1098,Ingredients!$A$5:$A$304,0)),""))</f>
        <v>0</v>
      </c>
      <c r="H1098" s="8">
        <f>IF(OR(B1098="",C1098=""),"",IFERROR(C1098*G1098,""))</f>
        <v>0</v>
      </c>
      <c r="I1098" s="8">
        <f>IF(A1098="","",IFERROR(INDEX(Recipes!$D$5:$D$204,MATCH(A1098,Recipes!$A$5:$A$204,0)),""))</f>
        <v>0</v>
      </c>
      <c r="J1098" s="8">
        <f>IF(OR(H1098="",I1098="",I1098=0),"",IFERROR(H1098/I1098,""))</f>
        <v>0</v>
      </c>
      <c r="K1098" s="8">
        <f>IF(OR(B1098="",C1098=""),"",IFERROR(C1098*IFERROR(INDEX(Ingredients!$H$5:$H$304,MATCH(B1098,Ingredients!$A$5:$A$304,0)),""),""))</f>
        <v>0</v>
      </c>
      <c r="L1098" s="8">
        <f>IF(OR(B1098="",C1098=""),"",IFERROR(C1098*IFERROR(INDEX(Ingredients!$I$5:$I$304,MATCH(B1098,Ingredients!$A$5:$A$304,0)),""),""))</f>
        <v>0</v>
      </c>
      <c r="M1098" s="8">
        <f>IF(OR(B1098="",C1098=""),"",IFERROR(C1098*IFERROR(INDEX(Ingredients!$J$5:$J$304,MATCH(B1098,Ingredients!$A$5:$A$304,0)),""),""))</f>
        <v>0</v>
      </c>
      <c r="N1098" s="8">
        <f>IF(OR(B1098="",C1098=""),"",IFERROR(C1098*IFERROR(INDEX(Ingredients!$K$5:$K$304,MATCH(B1098,Ingredients!$A$5:$A$304,0)),""),""))</f>
        <v>0</v>
      </c>
      <c r="O1098" s="8">
        <f>IF(OR(B1098="",C1098=""),"",IFERROR(C1098*IFERROR(INDEX(Ingredients!$L$5:$L$304,MATCH(B1098,Ingredients!$A$5:$A$304,0)),""),""))</f>
        <v>0</v>
      </c>
      <c r="P1098" s="8">
        <f>IF(OR(H1098="",A1098=""),"",IFERROR(H1098/SUMIFS('Recipe Ingredients'!$H$5:$H$1204,'Recipe Ingredients'!$A$5:$A$1204,A1098),""))</f>
        <v>0</v>
      </c>
      <c r="Q1098" s="8">
        <f>IF(H1098="","",COUNTIFS($H$5:$H$1204,"&gt;"&amp;H1098)+1)</f>
        <v>0</v>
      </c>
      <c r="R1098" s="8">
        <f>IF(B1098="","",SUMIFS(Pantry!$C$5:$C$304,Pantry!$A$5:$A$304,B1098))</f>
        <v>0</v>
      </c>
      <c r="S1098" s="8">
        <f>IF(OR(B1098="",C1098=""),"",MAX(0,C1098-R1098))</f>
        <v>0</v>
      </c>
      <c r="T1098" s="26"/>
      <c r="U1098" s="8">
        <f>IF(OR(T1098="",T1098=0,G1098=""),"",T1098*G1098)</f>
        <v>0</v>
      </c>
      <c r="V1098" s="8">
        <f>IF(OR(S1098="",T1098="",T1098=0),"",CEILING(S1098/T1098,1))</f>
        <v>0</v>
      </c>
      <c r="W1098" s="27"/>
      <c r="X1098" s="29"/>
      <c r="Y1098" s="8">
        <f>IF(OR(C1098="",X1098=""),"",C1098*(1+X1098))</f>
        <v>0</v>
      </c>
      <c r="Z1098" s="8">
        <f>IF(B1098="","",IFERROR(INDEX(Ingredients!$O$5:$O$304,MATCH(B1098,Ingredients!$A$5:$A$304,0)),""))</f>
        <v>0</v>
      </c>
      <c r="AA1098" s="8">
        <f>IF(B1098="","",IF(R1098&gt;=C1098,"In pantry","To buy"))</f>
        <v>0</v>
      </c>
      <c r="AB1098" s="8">
        <f>IF(A1098="","",COUNTIFS($A$5:A1098,A1098))</f>
        <v>0</v>
      </c>
      <c r="AC1098" s="8">
        <f>IF(B1098="","",IF(COUNTIFS('Dietary Filters'!$C$5:$C$104,B1098)&gt;0,"Check","OK"))</f>
        <v>0</v>
      </c>
      <c r="AD1098" s="25"/>
    </row>
    <row r="1099" spans="1:30">
      <c r="A1099" s="7"/>
      <c r="B1099" s="7"/>
      <c r="C1099" s="26"/>
      <c r="D1099" s="27"/>
      <c r="E1099" s="8">
        <f>IF(B1099="","",IFERROR(INDEX(Ingredients!$B$5:$B$304,MATCH(B1099,Ingredients!$A$5:$A$304,0)),""))</f>
        <v>0</v>
      </c>
      <c r="F1099" s="8">
        <f>IF(B1099="","",IFERROR(INDEX(Ingredients!$E$5:$E$304,MATCH(B1099,Ingredients!$A$5:$A$304,0)),""))</f>
        <v>0</v>
      </c>
      <c r="G1099" s="8">
        <f>IF(B1099="","",IFERROR(INDEX(Ingredients!$D$5:$D$304,MATCH(B1099,Ingredients!$A$5:$A$304,0)),""))</f>
        <v>0</v>
      </c>
      <c r="H1099" s="8">
        <f>IF(OR(B1099="",C1099=""),"",IFERROR(C1099*G1099,""))</f>
        <v>0</v>
      </c>
      <c r="I1099" s="8">
        <f>IF(A1099="","",IFERROR(INDEX(Recipes!$D$5:$D$204,MATCH(A1099,Recipes!$A$5:$A$204,0)),""))</f>
        <v>0</v>
      </c>
      <c r="J1099" s="8">
        <f>IF(OR(H1099="",I1099="",I1099=0),"",IFERROR(H1099/I1099,""))</f>
        <v>0</v>
      </c>
      <c r="K1099" s="8">
        <f>IF(OR(B1099="",C1099=""),"",IFERROR(C1099*IFERROR(INDEX(Ingredients!$H$5:$H$304,MATCH(B1099,Ingredients!$A$5:$A$304,0)),""),""))</f>
        <v>0</v>
      </c>
      <c r="L1099" s="8">
        <f>IF(OR(B1099="",C1099=""),"",IFERROR(C1099*IFERROR(INDEX(Ingredients!$I$5:$I$304,MATCH(B1099,Ingredients!$A$5:$A$304,0)),""),""))</f>
        <v>0</v>
      </c>
      <c r="M1099" s="8">
        <f>IF(OR(B1099="",C1099=""),"",IFERROR(C1099*IFERROR(INDEX(Ingredients!$J$5:$J$304,MATCH(B1099,Ingredients!$A$5:$A$304,0)),""),""))</f>
        <v>0</v>
      </c>
      <c r="N1099" s="8">
        <f>IF(OR(B1099="",C1099=""),"",IFERROR(C1099*IFERROR(INDEX(Ingredients!$K$5:$K$304,MATCH(B1099,Ingredients!$A$5:$A$304,0)),""),""))</f>
        <v>0</v>
      </c>
      <c r="O1099" s="8">
        <f>IF(OR(B1099="",C1099=""),"",IFERROR(C1099*IFERROR(INDEX(Ingredients!$L$5:$L$304,MATCH(B1099,Ingredients!$A$5:$A$304,0)),""),""))</f>
        <v>0</v>
      </c>
      <c r="P1099" s="8">
        <f>IF(OR(H1099="",A1099=""),"",IFERROR(H1099/SUMIFS('Recipe Ingredients'!$H$5:$H$1204,'Recipe Ingredients'!$A$5:$A$1204,A1099),""))</f>
        <v>0</v>
      </c>
      <c r="Q1099" s="8">
        <f>IF(H1099="","",COUNTIFS($H$5:$H$1204,"&gt;"&amp;H1099)+1)</f>
        <v>0</v>
      </c>
      <c r="R1099" s="8">
        <f>IF(B1099="","",SUMIFS(Pantry!$C$5:$C$304,Pantry!$A$5:$A$304,B1099))</f>
        <v>0</v>
      </c>
      <c r="S1099" s="8">
        <f>IF(OR(B1099="",C1099=""),"",MAX(0,C1099-R1099))</f>
        <v>0</v>
      </c>
      <c r="T1099" s="26"/>
      <c r="U1099" s="8">
        <f>IF(OR(T1099="",T1099=0,G1099=""),"",T1099*G1099)</f>
        <v>0</v>
      </c>
      <c r="V1099" s="8">
        <f>IF(OR(S1099="",T1099="",T1099=0),"",CEILING(S1099/T1099,1))</f>
        <v>0</v>
      </c>
      <c r="W1099" s="27"/>
      <c r="X1099" s="29"/>
      <c r="Y1099" s="8">
        <f>IF(OR(C1099="",X1099=""),"",C1099*(1+X1099))</f>
        <v>0</v>
      </c>
      <c r="Z1099" s="8">
        <f>IF(B1099="","",IFERROR(INDEX(Ingredients!$O$5:$O$304,MATCH(B1099,Ingredients!$A$5:$A$304,0)),""))</f>
        <v>0</v>
      </c>
      <c r="AA1099" s="8">
        <f>IF(B1099="","",IF(R1099&gt;=C1099,"In pantry","To buy"))</f>
        <v>0</v>
      </c>
      <c r="AB1099" s="8">
        <f>IF(A1099="","",COUNTIFS($A$5:A1099,A1099))</f>
        <v>0</v>
      </c>
      <c r="AC1099" s="8">
        <f>IF(B1099="","",IF(COUNTIFS('Dietary Filters'!$C$5:$C$104,B1099)&gt;0,"Check","OK"))</f>
        <v>0</v>
      </c>
      <c r="AD1099" s="25"/>
    </row>
    <row r="1100" spans="1:30">
      <c r="A1100" s="7"/>
      <c r="B1100" s="7"/>
      <c r="C1100" s="26"/>
      <c r="D1100" s="27"/>
      <c r="E1100" s="8">
        <f>IF(B1100="","",IFERROR(INDEX(Ingredients!$B$5:$B$304,MATCH(B1100,Ingredients!$A$5:$A$304,0)),""))</f>
        <v>0</v>
      </c>
      <c r="F1100" s="8">
        <f>IF(B1100="","",IFERROR(INDEX(Ingredients!$E$5:$E$304,MATCH(B1100,Ingredients!$A$5:$A$304,0)),""))</f>
        <v>0</v>
      </c>
      <c r="G1100" s="8">
        <f>IF(B1100="","",IFERROR(INDEX(Ingredients!$D$5:$D$304,MATCH(B1100,Ingredients!$A$5:$A$304,0)),""))</f>
        <v>0</v>
      </c>
      <c r="H1100" s="8">
        <f>IF(OR(B1100="",C1100=""),"",IFERROR(C1100*G1100,""))</f>
        <v>0</v>
      </c>
      <c r="I1100" s="8">
        <f>IF(A1100="","",IFERROR(INDEX(Recipes!$D$5:$D$204,MATCH(A1100,Recipes!$A$5:$A$204,0)),""))</f>
        <v>0</v>
      </c>
      <c r="J1100" s="8">
        <f>IF(OR(H1100="",I1100="",I1100=0),"",IFERROR(H1100/I1100,""))</f>
        <v>0</v>
      </c>
      <c r="K1100" s="8">
        <f>IF(OR(B1100="",C1100=""),"",IFERROR(C1100*IFERROR(INDEX(Ingredients!$H$5:$H$304,MATCH(B1100,Ingredients!$A$5:$A$304,0)),""),""))</f>
        <v>0</v>
      </c>
      <c r="L1100" s="8">
        <f>IF(OR(B1100="",C1100=""),"",IFERROR(C1100*IFERROR(INDEX(Ingredients!$I$5:$I$304,MATCH(B1100,Ingredients!$A$5:$A$304,0)),""),""))</f>
        <v>0</v>
      </c>
      <c r="M1100" s="8">
        <f>IF(OR(B1100="",C1100=""),"",IFERROR(C1100*IFERROR(INDEX(Ingredients!$J$5:$J$304,MATCH(B1100,Ingredients!$A$5:$A$304,0)),""),""))</f>
        <v>0</v>
      </c>
      <c r="N1100" s="8">
        <f>IF(OR(B1100="",C1100=""),"",IFERROR(C1100*IFERROR(INDEX(Ingredients!$K$5:$K$304,MATCH(B1100,Ingredients!$A$5:$A$304,0)),""),""))</f>
        <v>0</v>
      </c>
      <c r="O1100" s="8">
        <f>IF(OR(B1100="",C1100=""),"",IFERROR(C1100*IFERROR(INDEX(Ingredients!$L$5:$L$304,MATCH(B1100,Ingredients!$A$5:$A$304,0)),""),""))</f>
        <v>0</v>
      </c>
      <c r="P1100" s="8">
        <f>IF(OR(H1100="",A1100=""),"",IFERROR(H1100/SUMIFS('Recipe Ingredients'!$H$5:$H$1204,'Recipe Ingredients'!$A$5:$A$1204,A1100),""))</f>
        <v>0</v>
      </c>
      <c r="Q1100" s="8">
        <f>IF(H1100="","",COUNTIFS($H$5:$H$1204,"&gt;"&amp;H1100)+1)</f>
        <v>0</v>
      </c>
      <c r="R1100" s="8">
        <f>IF(B1100="","",SUMIFS(Pantry!$C$5:$C$304,Pantry!$A$5:$A$304,B1100))</f>
        <v>0</v>
      </c>
      <c r="S1100" s="8">
        <f>IF(OR(B1100="",C1100=""),"",MAX(0,C1100-R1100))</f>
        <v>0</v>
      </c>
      <c r="T1100" s="26"/>
      <c r="U1100" s="8">
        <f>IF(OR(T1100="",T1100=0,G1100=""),"",T1100*G1100)</f>
        <v>0</v>
      </c>
      <c r="V1100" s="8">
        <f>IF(OR(S1100="",T1100="",T1100=0),"",CEILING(S1100/T1100,1))</f>
        <v>0</v>
      </c>
      <c r="W1100" s="27"/>
      <c r="X1100" s="29"/>
      <c r="Y1100" s="8">
        <f>IF(OR(C1100="",X1100=""),"",C1100*(1+X1100))</f>
        <v>0</v>
      </c>
      <c r="Z1100" s="8">
        <f>IF(B1100="","",IFERROR(INDEX(Ingredients!$O$5:$O$304,MATCH(B1100,Ingredients!$A$5:$A$304,0)),""))</f>
        <v>0</v>
      </c>
      <c r="AA1100" s="8">
        <f>IF(B1100="","",IF(R1100&gt;=C1100,"In pantry","To buy"))</f>
        <v>0</v>
      </c>
      <c r="AB1100" s="8">
        <f>IF(A1100="","",COUNTIFS($A$5:A1100,A1100))</f>
        <v>0</v>
      </c>
      <c r="AC1100" s="8">
        <f>IF(B1100="","",IF(COUNTIFS('Dietary Filters'!$C$5:$C$104,B1100)&gt;0,"Check","OK"))</f>
        <v>0</v>
      </c>
      <c r="AD1100" s="25"/>
    </row>
    <row r="1101" spans="1:30">
      <c r="A1101" s="7"/>
      <c r="B1101" s="7"/>
      <c r="C1101" s="26"/>
      <c r="D1101" s="27"/>
      <c r="E1101" s="8">
        <f>IF(B1101="","",IFERROR(INDEX(Ingredients!$B$5:$B$304,MATCH(B1101,Ingredients!$A$5:$A$304,0)),""))</f>
        <v>0</v>
      </c>
      <c r="F1101" s="8">
        <f>IF(B1101="","",IFERROR(INDEX(Ingredients!$E$5:$E$304,MATCH(B1101,Ingredients!$A$5:$A$304,0)),""))</f>
        <v>0</v>
      </c>
      <c r="G1101" s="8">
        <f>IF(B1101="","",IFERROR(INDEX(Ingredients!$D$5:$D$304,MATCH(B1101,Ingredients!$A$5:$A$304,0)),""))</f>
        <v>0</v>
      </c>
      <c r="H1101" s="8">
        <f>IF(OR(B1101="",C1101=""),"",IFERROR(C1101*G1101,""))</f>
        <v>0</v>
      </c>
      <c r="I1101" s="8">
        <f>IF(A1101="","",IFERROR(INDEX(Recipes!$D$5:$D$204,MATCH(A1101,Recipes!$A$5:$A$204,0)),""))</f>
        <v>0</v>
      </c>
      <c r="J1101" s="8">
        <f>IF(OR(H1101="",I1101="",I1101=0),"",IFERROR(H1101/I1101,""))</f>
        <v>0</v>
      </c>
      <c r="K1101" s="8">
        <f>IF(OR(B1101="",C1101=""),"",IFERROR(C1101*IFERROR(INDEX(Ingredients!$H$5:$H$304,MATCH(B1101,Ingredients!$A$5:$A$304,0)),""),""))</f>
        <v>0</v>
      </c>
      <c r="L1101" s="8">
        <f>IF(OR(B1101="",C1101=""),"",IFERROR(C1101*IFERROR(INDEX(Ingredients!$I$5:$I$304,MATCH(B1101,Ingredients!$A$5:$A$304,0)),""),""))</f>
        <v>0</v>
      </c>
      <c r="M1101" s="8">
        <f>IF(OR(B1101="",C1101=""),"",IFERROR(C1101*IFERROR(INDEX(Ingredients!$J$5:$J$304,MATCH(B1101,Ingredients!$A$5:$A$304,0)),""),""))</f>
        <v>0</v>
      </c>
      <c r="N1101" s="8">
        <f>IF(OR(B1101="",C1101=""),"",IFERROR(C1101*IFERROR(INDEX(Ingredients!$K$5:$K$304,MATCH(B1101,Ingredients!$A$5:$A$304,0)),""),""))</f>
        <v>0</v>
      </c>
      <c r="O1101" s="8">
        <f>IF(OR(B1101="",C1101=""),"",IFERROR(C1101*IFERROR(INDEX(Ingredients!$L$5:$L$304,MATCH(B1101,Ingredients!$A$5:$A$304,0)),""),""))</f>
        <v>0</v>
      </c>
      <c r="P1101" s="8">
        <f>IF(OR(H1101="",A1101=""),"",IFERROR(H1101/SUMIFS('Recipe Ingredients'!$H$5:$H$1204,'Recipe Ingredients'!$A$5:$A$1204,A1101),""))</f>
        <v>0</v>
      </c>
      <c r="Q1101" s="8">
        <f>IF(H1101="","",COUNTIFS($H$5:$H$1204,"&gt;"&amp;H1101)+1)</f>
        <v>0</v>
      </c>
      <c r="R1101" s="8">
        <f>IF(B1101="","",SUMIFS(Pantry!$C$5:$C$304,Pantry!$A$5:$A$304,B1101))</f>
        <v>0</v>
      </c>
      <c r="S1101" s="8">
        <f>IF(OR(B1101="",C1101=""),"",MAX(0,C1101-R1101))</f>
        <v>0</v>
      </c>
      <c r="T1101" s="26"/>
      <c r="U1101" s="8">
        <f>IF(OR(T1101="",T1101=0,G1101=""),"",T1101*G1101)</f>
        <v>0</v>
      </c>
      <c r="V1101" s="8">
        <f>IF(OR(S1101="",T1101="",T1101=0),"",CEILING(S1101/T1101,1))</f>
        <v>0</v>
      </c>
      <c r="W1101" s="27"/>
      <c r="X1101" s="29"/>
      <c r="Y1101" s="8">
        <f>IF(OR(C1101="",X1101=""),"",C1101*(1+X1101))</f>
        <v>0</v>
      </c>
      <c r="Z1101" s="8">
        <f>IF(B1101="","",IFERROR(INDEX(Ingredients!$O$5:$O$304,MATCH(B1101,Ingredients!$A$5:$A$304,0)),""))</f>
        <v>0</v>
      </c>
      <c r="AA1101" s="8">
        <f>IF(B1101="","",IF(R1101&gt;=C1101,"In pantry","To buy"))</f>
        <v>0</v>
      </c>
      <c r="AB1101" s="8">
        <f>IF(A1101="","",COUNTIFS($A$5:A1101,A1101))</f>
        <v>0</v>
      </c>
      <c r="AC1101" s="8">
        <f>IF(B1101="","",IF(COUNTIFS('Dietary Filters'!$C$5:$C$104,B1101)&gt;0,"Check","OK"))</f>
        <v>0</v>
      </c>
      <c r="AD1101" s="25"/>
    </row>
    <row r="1102" spans="1:30">
      <c r="A1102" s="7"/>
      <c r="B1102" s="7"/>
      <c r="C1102" s="26"/>
      <c r="D1102" s="27"/>
      <c r="E1102" s="8">
        <f>IF(B1102="","",IFERROR(INDEX(Ingredients!$B$5:$B$304,MATCH(B1102,Ingredients!$A$5:$A$304,0)),""))</f>
        <v>0</v>
      </c>
      <c r="F1102" s="8">
        <f>IF(B1102="","",IFERROR(INDEX(Ingredients!$E$5:$E$304,MATCH(B1102,Ingredients!$A$5:$A$304,0)),""))</f>
        <v>0</v>
      </c>
      <c r="G1102" s="8">
        <f>IF(B1102="","",IFERROR(INDEX(Ingredients!$D$5:$D$304,MATCH(B1102,Ingredients!$A$5:$A$304,0)),""))</f>
        <v>0</v>
      </c>
      <c r="H1102" s="8">
        <f>IF(OR(B1102="",C1102=""),"",IFERROR(C1102*G1102,""))</f>
        <v>0</v>
      </c>
      <c r="I1102" s="8">
        <f>IF(A1102="","",IFERROR(INDEX(Recipes!$D$5:$D$204,MATCH(A1102,Recipes!$A$5:$A$204,0)),""))</f>
        <v>0</v>
      </c>
      <c r="J1102" s="8">
        <f>IF(OR(H1102="",I1102="",I1102=0),"",IFERROR(H1102/I1102,""))</f>
        <v>0</v>
      </c>
      <c r="K1102" s="8">
        <f>IF(OR(B1102="",C1102=""),"",IFERROR(C1102*IFERROR(INDEX(Ingredients!$H$5:$H$304,MATCH(B1102,Ingredients!$A$5:$A$304,0)),""),""))</f>
        <v>0</v>
      </c>
      <c r="L1102" s="8">
        <f>IF(OR(B1102="",C1102=""),"",IFERROR(C1102*IFERROR(INDEX(Ingredients!$I$5:$I$304,MATCH(B1102,Ingredients!$A$5:$A$304,0)),""),""))</f>
        <v>0</v>
      </c>
      <c r="M1102" s="8">
        <f>IF(OR(B1102="",C1102=""),"",IFERROR(C1102*IFERROR(INDEX(Ingredients!$J$5:$J$304,MATCH(B1102,Ingredients!$A$5:$A$304,0)),""),""))</f>
        <v>0</v>
      </c>
      <c r="N1102" s="8">
        <f>IF(OR(B1102="",C1102=""),"",IFERROR(C1102*IFERROR(INDEX(Ingredients!$K$5:$K$304,MATCH(B1102,Ingredients!$A$5:$A$304,0)),""),""))</f>
        <v>0</v>
      </c>
      <c r="O1102" s="8">
        <f>IF(OR(B1102="",C1102=""),"",IFERROR(C1102*IFERROR(INDEX(Ingredients!$L$5:$L$304,MATCH(B1102,Ingredients!$A$5:$A$304,0)),""),""))</f>
        <v>0</v>
      </c>
      <c r="P1102" s="8">
        <f>IF(OR(H1102="",A1102=""),"",IFERROR(H1102/SUMIFS('Recipe Ingredients'!$H$5:$H$1204,'Recipe Ingredients'!$A$5:$A$1204,A1102),""))</f>
        <v>0</v>
      </c>
      <c r="Q1102" s="8">
        <f>IF(H1102="","",COUNTIFS($H$5:$H$1204,"&gt;"&amp;H1102)+1)</f>
        <v>0</v>
      </c>
      <c r="R1102" s="8">
        <f>IF(B1102="","",SUMIFS(Pantry!$C$5:$C$304,Pantry!$A$5:$A$304,B1102))</f>
        <v>0</v>
      </c>
      <c r="S1102" s="8">
        <f>IF(OR(B1102="",C1102=""),"",MAX(0,C1102-R1102))</f>
        <v>0</v>
      </c>
      <c r="T1102" s="26"/>
      <c r="U1102" s="8">
        <f>IF(OR(T1102="",T1102=0,G1102=""),"",T1102*G1102)</f>
        <v>0</v>
      </c>
      <c r="V1102" s="8">
        <f>IF(OR(S1102="",T1102="",T1102=0),"",CEILING(S1102/T1102,1))</f>
        <v>0</v>
      </c>
      <c r="W1102" s="27"/>
      <c r="X1102" s="29"/>
      <c r="Y1102" s="8">
        <f>IF(OR(C1102="",X1102=""),"",C1102*(1+X1102))</f>
        <v>0</v>
      </c>
      <c r="Z1102" s="8">
        <f>IF(B1102="","",IFERROR(INDEX(Ingredients!$O$5:$O$304,MATCH(B1102,Ingredients!$A$5:$A$304,0)),""))</f>
        <v>0</v>
      </c>
      <c r="AA1102" s="8">
        <f>IF(B1102="","",IF(R1102&gt;=C1102,"In pantry","To buy"))</f>
        <v>0</v>
      </c>
      <c r="AB1102" s="8">
        <f>IF(A1102="","",COUNTIFS($A$5:A1102,A1102))</f>
        <v>0</v>
      </c>
      <c r="AC1102" s="8">
        <f>IF(B1102="","",IF(COUNTIFS('Dietary Filters'!$C$5:$C$104,B1102)&gt;0,"Check","OK"))</f>
        <v>0</v>
      </c>
      <c r="AD1102" s="25"/>
    </row>
    <row r="1103" spans="1:30">
      <c r="A1103" s="7"/>
      <c r="B1103" s="7"/>
      <c r="C1103" s="26"/>
      <c r="D1103" s="27"/>
      <c r="E1103" s="8">
        <f>IF(B1103="","",IFERROR(INDEX(Ingredients!$B$5:$B$304,MATCH(B1103,Ingredients!$A$5:$A$304,0)),""))</f>
        <v>0</v>
      </c>
      <c r="F1103" s="8">
        <f>IF(B1103="","",IFERROR(INDEX(Ingredients!$E$5:$E$304,MATCH(B1103,Ingredients!$A$5:$A$304,0)),""))</f>
        <v>0</v>
      </c>
      <c r="G1103" s="8">
        <f>IF(B1103="","",IFERROR(INDEX(Ingredients!$D$5:$D$304,MATCH(B1103,Ingredients!$A$5:$A$304,0)),""))</f>
        <v>0</v>
      </c>
      <c r="H1103" s="8">
        <f>IF(OR(B1103="",C1103=""),"",IFERROR(C1103*G1103,""))</f>
        <v>0</v>
      </c>
      <c r="I1103" s="8">
        <f>IF(A1103="","",IFERROR(INDEX(Recipes!$D$5:$D$204,MATCH(A1103,Recipes!$A$5:$A$204,0)),""))</f>
        <v>0</v>
      </c>
      <c r="J1103" s="8">
        <f>IF(OR(H1103="",I1103="",I1103=0),"",IFERROR(H1103/I1103,""))</f>
        <v>0</v>
      </c>
      <c r="K1103" s="8">
        <f>IF(OR(B1103="",C1103=""),"",IFERROR(C1103*IFERROR(INDEX(Ingredients!$H$5:$H$304,MATCH(B1103,Ingredients!$A$5:$A$304,0)),""),""))</f>
        <v>0</v>
      </c>
      <c r="L1103" s="8">
        <f>IF(OR(B1103="",C1103=""),"",IFERROR(C1103*IFERROR(INDEX(Ingredients!$I$5:$I$304,MATCH(B1103,Ingredients!$A$5:$A$304,0)),""),""))</f>
        <v>0</v>
      </c>
      <c r="M1103" s="8">
        <f>IF(OR(B1103="",C1103=""),"",IFERROR(C1103*IFERROR(INDEX(Ingredients!$J$5:$J$304,MATCH(B1103,Ingredients!$A$5:$A$304,0)),""),""))</f>
        <v>0</v>
      </c>
      <c r="N1103" s="8">
        <f>IF(OR(B1103="",C1103=""),"",IFERROR(C1103*IFERROR(INDEX(Ingredients!$K$5:$K$304,MATCH(B1103,Ingredients!$A$5:$A$304,0)),""),""))</f>
        <v>0</v>
      </c>
      <c r="O1103" s="8">
        <f>IF(OR(B1103="",C1103=""),"",IFERROR(C1103*IFERROR(INDEX(Ingredients!$L$5:$L$304,MATCH(B1103,Ingredients!$A$5:$A$304,0)),""),""))</f>
        <v>0</v>
      </c>
      <c r="P1103" s="8">
        <f>IF(OR(H1103="",A1103=""),"",IFERROR(H1103/SUMIFS('Recipe Ingredients'!$H$5:$H$1204,'Recipe Ingredients'!$A$5:$A$1204,A1103),""))</f>
        <v>0</v>
      </c>
      <c r="Q1103" s="8">
        <f>IF(H1103="","",COUNTIFS($H$5:$H$1204,"&gt;"&amp;H1103)+1)</f>
        <v>0</v>
      </c>
      <c r="R1103" s="8">
        <f>IF(B1103="","",SUMIFS(Pantry!$C$5:$C$304,Pantry!$A$5:$A$304,B1103))</f>
        <v>0</v>
      </c>
      <c r="S1103" s="8">
        <f>IF(OR(B1103="",C1103=""),"",MAX(0,C1103-R1103))</f>
        <v>0</v>
      </c>
      <c r="T1103" s="26"/>
      <c r="U1103" s="8">
        <f>IF(OR(T1103="",T1103=0,G1103=""),"",T1103*G1103)</f>
        <v>0</v>
      </c>
      <c r="V1103" s="8">
        <f>IF(OR(S1103="",T1103="",T1103=0),"",CEILING(S1103/T1103,1))</f>
        <v>0</v>
      </c>
      <c r="W1103" s="27"/>
      <c r="X1103" s="29"/>
      <c r="Y1103" s="8">
        <f>IF(OR(C1103="",X1103=""),"",C1103*(1+X1103))</f>
        <v>0</v>
      </c>
      <c r="Z1103" s="8">
        <f>IF(B1103="","",IFERROR(INDEX(Ingredients!$O$5:$O$304,MATCH(B1103,Ingredients!$A$5:$A$304,0)),""))</f>
        <v>0</v>
      </c>
      <c r="AA1103" s="8">
        <f>IF(B1103="","",IF(R1103&gt;=C1103,"In pantry","To buy"))</f>
        <v>0</v>
      </c>
      <c r="AB1103" s="8">
        <f>IF(A1103="","",COUNTIFS($A$5:A1103,A1103))</f>
        <v>0</v>
      </c>
      <c r="AC1103" s="8">
        <f>IF(B1103="","",IF(COUNTIFS('Dietary Filters'!$C$5:$C$104,B1103)&gt;0,"Check","OK"))</f>
        <v>0</v>
      </c>
      <c r="AD1103" s="25"/>
    </row>
    <row r="1104" spans="1:30">
      <c r="A1104" s="7"/>
      <c r="B1104" s="7"/>
      <c r="C1104" s="26"/>
      <c r="D1104" s="27"/>
      <c r="E1104" s="8">
        <f>IF(B1104="","",IFERROR(INDEX(Ingredients!$B$5:$B$304,MATCH(B1104,Ingredients!$A$5:$A$304,0)),""))</f>
        <v>0</v>
      </c>
      <c r="F1104" s="8">
        <f>IF(B1104="","",IFERROR(INDEX(Ingredients!$E$5:$E$304,MATCH(B1104,Ingredients!$A$5:$A$304,0)),""))</f>
        <v>0</v>
      </c>
      <c r="G1104" s="8">
        <f>IF(B1104="","",IFERROR(INDEX(Ingredients!$D$5:$D$304,MATCH(B1104,Ingredients!$A$5:$A$304,0)),""))</f>
        <v>0</v>
      </c>
      <c r="H1104" s="8">
        <f>IF(OR(B1104="",C1104=""),"",IFERROR(C1104*G1104,""))</f>
        <v>0</v>
      </c>
      <c r="I1104" s="8">
        <f>IF(A1104="","",IFERROR(INDEX(Recipes!$D$5:$D$204,MATCH(A1104,Recipes!$A$5:$A$204,0)),""))</f>
        <v>0</v>
      </c>
      <c r="J1104" s="8">
        <f>IF(OR(H1104="",I1104="",I1104=0),"",IFERROR(H1104/I1104,""))</f>
        <v>0</v>
      </c>
      <c r="K1104" s="8">
        <f>IF(OR(B1104="",C1104=""),"",IFERROR(C1104*IFERROR(INDEX(Ingredients!$H$5:$H$304,MATCH(B1104,Ingredients!$A$5:$A$304,0)),""),""))</f>
        <v>0</v>
      </c>
      <c r="L1104" s="8">
        <f>IF(OR(B1104="",C1104=""),"",IFERROR(C1104*IFERROR(INDEX(Ingredients!$I$5:$I$304,MATCH(B1104,Ingredients!$A$5:$A$304,0)),""),""))</f>
        <v>0</v>
      </c>
      <c r="M1104" s="8">
        <f>IF(OR(B1104="",C1104=""),"",IFERROR(C1104*IFERROR(INDEX(Ingredients!$J$5:$J$304,MATCH(B1104,Ingredients!$A$5:$A$304,0)),""),""))</f>
        <v>0</v>
      </c>
      <c r="N1104" s="8">
        <f>IF(OR(B1104="",C1104=""),"",IFERROR(C1104*IFERROR(INDEX(Ingredients!$K$5:$K$304,MATCH(B1104,Ingredients!$A$5:$A$304,0)),""),""))</f>
        <v>0</v>
      </c>
      <c r="O1104" s="8">
        <f>IF(OR(B1104="",C1104=""),"",IFERROR(C1104*IFERROR(INDEX(Ingredients!$L$5:$L$304,MATCH(B1104,Ingredients!$A$5:$A$304,0)),""),""))</f>
        <v>0</v>
      </c>
      <c r="P1104" s="8">
        <f>IF(OR(H1104="",A1104=""),"",IFERROR(H1104/SUMIFS('Recipe Ingredients'!$H$5:$H$1204,'Recipe Ingredients'!$A$5:$A$1204,A1104),""))</f>
        <v>0</v>
      </c>
      <c r="Q1104" s="8">
        <f>IF(H1104="","",COUNTIFS($H$5:$H$1204,"&gt;"&amp;H1104)+1)</f>
        <v>0</v>
      </c>
      <c r="R1104" s="8">
        <f>IF(B1104="","",SUMIFS(Pantry!$C$5:$C$304,Pantry!$A$5:$A$304,B1104))</f>
        <v>0</v>
      </c>
      <c r="S1104" s="8">
        <f>IF(OR(B1104="",C1104=""),"",MAX(0,C1104-R1104))</f>
        <v>0</v>
      </c>
      <c r="T1104" s="26"/>
      <c r="U1104" s="8">
        <f>IF(OR(T1104="",T1104=0,G1104=""),"",T1104*G1104)</f>
        <v>0</v>
      </c>
      <c r="V1104" s="8">
        <f>IF(OR(S1104="",T1104="",T1104=0),"",CEILING(S1104/T1104,1))</f>
        <v>0</v>
      </c>
      <c r="W1104" s="27"/>
      <c r="X1104" s="29"/>
      <c r="Y1104" s="8">
        <f>IF(OR(C1104="",X1104=""),"",C1104*(1+X1104))</f>
        <v>0</v>
      </c>
      <c r="Z1104" s="8">
        <f>IF(B1104="","",IFERROR(INDEX(Ingredients!$O$5:$O$304,MATCH(B1104,Ingredients!$A$5:$A$304,0)),""))</f>
        <v>0</v>
      </c>
      <c r="AA1104" s="8">
        <f>IF(B1104="","",IF(R1104&gt;=C1104,"In pantry","To buy"))</f>
        <v>0</v>
      </c>
      <c r="AB1104" s="8">
        <f>IF(A1104="","",COUNTIFS($A$5:A1104,A1104))</f>
        <v>0</v>
      </c>
      <c r="AC1104" s="8">
        <f>IF(B1104="","",IF(COUNTIFS('Dietary Filters'!$C$5:$C$104,B1104)&gt;0,"Check","OK"))</f>
        <v>0</v>
      </c>
      <c r="AD1104" s="25"/>
    </row>
    <row r="1105" spans="1:30">
      <c r="A1105" s="7"/>
      <c r="B1105" s="7"/>
      <c r="C1105" s="26"/>
      <c r="D1105" s="27"/>
      <c r="E1105" s="8">
        <f>IF(B1105="","",IFERROR(INDEX(Ingredients!$B$5:$B$304,MATCH(B1105,Ingredients!$A$5:$A$304,0)),""))</f>
        <v>0</v>
      </c>
      <c r="F1105" s="8">
        <f>IF(B1105="","",IFERROR(INDEX(Ingredients!$E$5:$E$304,MATCH(B1105,Ingredients!$A$5:$A$304,0)),""))</f>
        <v>0</v>
      </c>
      <c r="G1105" s="8">
        <f>IF(B1105="","",IFERROR(INDEX(Ingredients!$D$5:$D$304,MATCH(B1105,Ingredients!$A$5:$A$304,0)),""))</f>
        <v>0</v>
      </c>
      <c r="H1105" s="8">
        <f>IF(OR(B1105="",C1105=""),"",IFERROR(C1105*G1105,""))</f>
        <v>0</v>
      </c>
      <c r="I1105" s="8">
        <f>IF(A1105="","",IFERROR(INDEX(Recipes!$D$5:$D$204,MATCH(A1105,Recipes!$A$5:$A$204,0)),""))</f>
        <v>0</v>
      </c>
      <c r="J1105" s="8">
        <f>IF(OR(H1105="",I1105="",I1105=0),"",IFERROR(H1105/I1105,""))</f>
        <v>0</v>
      </c>
      <c r="K1105" s="8">
        <f>IF(OR(B1105="",C1105=""),"",IFERROR(C1105*IFERROR(INDEX(Ingredients!$H$5:$H$304,MATCH(B1105,Ingredients!$A$5:$A$304,0)),""),""))</f>
        <v>0</v>
      </c>
      <c r="L1105" s="8">
        <f>IF(OR(B1105="",C1105=""),"",IFERROR(C1105*IFERROR(INDEX(Ingredients!$I$5:$I$304,MATCH(B1105,Ingredients!$A$5:$A$304,0)),""),""))</f>
        <v>0</v>
      </c>
      <c r="M1105" s="8">
        <f>IF(OR(B1105="",C1105=""),"",IFERROR(C1105*IFERROR(INDEX(Ingredients!$J$5:$J$304,MATCH(B1105,Ingredients!$A$5:$A$304,0)),""),""))</f>
        <v>0</v>
      </c>
      <c r="N1105" s="8">
        <f>IF(OR(B1105="",C1105=""),"",IFERROR(C1105*IFERROR(INDEX(Ingredients!$K$5:$K$304,MATCH(B1105,Ingredients!$A$5:$A$304,0)),""),""))</f>
        <v>0</v>
      </c>
      <c r="O1105" s="8">
        <f>IF(OR(B1105="",C1105=""),"",IFERROR(C1105*IFERROR(INDEX(Ingredients!$L$5:$L$304,MATCH(B1105,Ingredients!$A$5:$A$304,0)),""),""))</f>
        <v>0</v>
      </c>
      <c r="P1105" s="8">
        <f>IF(OR(H1105="",A1105=""),"",IFERROR(H1105/SUMIFS('Recipe Ingredients'!$H$5:$H$1204,'Recipe Ingredients'!$A$5:$A$1204,A1105),""))</f>
        <v>0</v>
      </c>
      <c r="Q1105" s="8">
        <f>IF(H1105="","",COUNTIFS($H$5:$H$1204,"&gt;"&amp;H1105)+1)</f>
        <v>0</v>
      </c>
      <c r="R1105" s="8">
        <f>IF(B1105="","",SUMIFS(Pantry!$C$5:$C$304,Pantry!$A$5:$A$304,B1105))</f>
        <v>0</v>
      </c>
      <c r="S1105" s="8">
        <f>IF(OR(B1105="",C1105=""),"",MAX(0,C1105-R1105))</f>
        <v>0</v>
      </c>
      <c r="T1105" s="26"/>
      <c r="U1105" s="8">
        <f>IF(OR(T1105="",T1105=0,G1105=""),"",T1105*G1105)</f>
        <v>0</v>
      </c>
      <c r="V1105" s="8">
        <f>IF(OR(S1105="",T1105="",T1105=0),"",CEILING(S1105/T1105,1))</f>
        <v>0</v>
      </c>
      <c r="W1105" s="27"/>
      <c r="X1105" s="29"/>
      <c r="Y1105" s="8">
        <f>IF(OR(C1105="",X1105=""),"",C1105*(1+X1105))</f>
        <v>0</v>
      </c>
      <c r="Z1105" s="8">
        <f>IF(B1105="","",IFERROR(INDEX(Ingredients!$O$5:$O$304,MATCH(B1105,Ingredients!$A$5:$A$304,0)),""))</f>
        <v>0</v>
      </c>
      <c r="AA1105" s="8">
        <f>IF(B1105="","",IF(R1105&gt;=C1105,"In pantry","To buy"))</f>
        <v>0</v>
      </c>
      <c r="AB1105" s="8">
        <f>IF(A1105="","",COUNTIFS($A$5:A1105,A1105))</f>
        <v>0</v>
      </c>
      <c r="AC1105" s="8">
        <f>IF(B1105="","",IF(COUNTIFS('Dietary Filters'!$C$5:$C$104,B1105)&gt;0,"Check","OK"))</f>
        <v>0</v>
      </c>
      <c r="AD1105" s="25"/>
    </row>
    <row r="1106" spans="1:30">
      <c r="A1106" s="7"/>
      <c r="B1106" s="7"/>
      <c r="C1106" s="26"/>
      <c r="D1106" s="27"/>
      <c r="E1106" s="8">
        <f>IF(B1106="","",IFERROR(INDEX(Ingredients!$B$5:$B$304,MATCH(B1106,Ingredients!$A$5:$A$304,0)),""))</f>
        <v>0</v>
      </c>
      <c r="F1106" s="8">
        <f>IF(B1106="","",IFERROR(INDEX(Ingredients!$E$5:$E$304,MATCH(B1106,Ingredients!$A$5:$A$304,0)),""))</f>
        <v>0</v>
      </c>
      <c r="G1106" s="8">
        <f>IF(B1106="","",IFERROR(INDEX(Ingredients!$D$5:$D$304,MATCH(B1106,Ingredients!$A$5:$A$304,0)),""))</f>
        <v>0</v>
      </c>
      <c r="H1106" s="8">
        <f>IF(OR(B1106="",C1106=""),"",IFERROR(C1106*G1106,""))</f>
        <v>0</v>
      </c>
      <c r="I1106" s="8">
        <f>IF(A1106="","",IFERROR(INDEX(Recipes!$D$5:$D$204,MATCH(A1106,Recipes!$A$5:$A$204,0)),""))</f>
        <v>0</v>
      </c>
      <c r="J1106" s="8">
        <f>IF(OR(H1106="",I1106="",I1106=0),"",IFERROR(H1106/I1106,""))</f>
        <v>0</v>
      </c>
      <c r="K1106" s="8">
        <f>IF(OR(B1106="",C1106=""),"",IFERROR(C1106*IFERROR(INDEX(Ingredients!$H$5:$H$304,MATCH(B1106,Ingredients!$A$5:$A$304,0)),""),""))</f>
        <v>0</v>
      </c>
      <c r="L1106" s="8">
        <f>IF(OR(B1106="",C1106=""),"",IFERROR(C1106*IFERROR(INDEX(Ingredients!$I$5:$I$304,MATCH(B1106,Ingredients!$A$5:$A$304,0)),""),""))</f>
        <v>0</v>
      </c>
      <c r="M1106" s="8">
        <f>IF(OR(B1106="",C1106=""),"",IFERROR(C1106*IFERROR(INDEX(Ingredients!$J$5:$J$304,MATCH(B1106,Ingredients!$A$5:$A$304,0)),""),""))</f>
        <v>0</v>
      </c>
      <c r="N1106" s="8">
        <f>IF(OR(B1106="",C1106=""),"",IFERROR(C1106*IFERROR(INDEX(Ingredients!$K$5:$K$304,MATCH(B1106,Ingredients!$A$5:$A$304,0)),""),""))</f>
        <v>0</v>
      </c>
      <c r="O1106" s="8">
        <f>IF(OR(B1106="",C1106=""),"",IFERROR(C1106*IFERROR(INDEX(Ingredients!$L$5:$L$304,MATCH(B1106,Ingredients!$A$5:$A$304,0)),""),""))</f>
        <v>0</v>
      </c>
      <c r="P1106" s="8">
        <f>IF(OR(H1106="",A1106=""),"",IFERROR(H1106/SUMIFS('Recipe Ingredients'!$H$5:$H$1204,'Recipe Ingredients'!$A$5:$A$1204,A1106),""))</f>
        <v>0</v>
      </c>
      <c r="Q1106" s="8">
        <f>IF(H1106="","",COUNTIFS($H$5:$H$1204,"&gt;"&amp;H1106)+1)</f>
        <v>0</v>
      </c>
      <c r="R1106" s="8">
        <f>IF(B1106="","",SUMIFS(Pantry!$C$5:$C$304,Pantry!$A$5:$A$304,B1106))</f>
        <v>0</v>
      </c>
      <c r="S1106" s="8">
        <f>IF(OR(B1106="",C1106=""),"",MAX(0,C1106-R1106))</f>
        <v>0</v>
      </c>
      <c r="T1106" s="26"/>
      <c r="U1106" s="8">
        <f>IF(OR(T1106="",T1106=0,G1106=""),"",T1106*G1106)</f>
        <v>0</v>
      </c>
      <c r="V1106" s="8">
        <f>IF(OR(S1106="",T1106="",T1106=0),"",CEILING(S1106/T1106,1))</f>
        <v>0</v>
      </c>
      <c r="W1106" s="27"/>
      <c r="X1106" s="29"/>
      <c r="Y1106" s="8">
        <f>IF(OR(C1106="",X1106=""),"",C1106*(1+X1106))</f>
        <v>0</v>
      </c>
      <c r="Z1106" s="8">
        <f>IF(B1106="","",IFERROR(INDEX(Ingredients!$O$5:$O$304,MATCH(B1106,Ingredients!$A$5:$A$304,0)),""))</f>
        <v>0</v>
      </c>
      <c r="AA1106" s="8">
        <f>IF(B1106="","",IF(R1106&gt;=C1106,"In pantry","To buy"))</f>
        <v>0</v>
      </c>
      <c r="AB1106" s="8">
        <f>IF(A1106="","",COUNTIFS($A$5:A1106,A1106))</f>
        <v>0</v>
      </c>
      <c r="AC1106" s="8">
        <f>IF(B1106="","",IF(COUNTIFS('Dietary Filters'!$C$5:$C$104,B1106)&gt;0,"Check","OK"))</f>
        <v>0</v>
      </c>
      <c r="AD1106" s="25"/>
    </row>
    <row r="1107" spans="1:30">
      <c r="A1107" s="7"/>
      <c r="B1107" s="7"/>
      <c r="C1107" s="26"/>
      <c r="D1107" s="27"/>
      <c r="E1107" s="8">
        <f>IF(B1107="","",IFERROR(INDEX(Ingredients!$B$5:$B$304,MATCH(B1107,Ingredients!$A$5:$A$304,0)),""))</f>
        <v>0</v>
      </c>
      <c r="F1107" s="8">
        <f>IF(B1107="","",IFERROR(INDEX(Ingredients!$E$5:$E$304,MATCH(B1107,Ingredients!$A$5:$A$304,0)),""))</f>
        <v>0</v>
      </c>
      <c r="G1107" s="8">
        <f>IF(B1107="","",IFERROR(INDEX(Ingredients!$D$5:$D$304,MATCH(B1107,Ingredients!$A$5:$A$304,0)),""))</f>
        <v>0</v>
      </c>
      <c r="H1107" s="8">
        <f>IF(OR(B1107="",C1107=""),"",IFERROR(C1107*G1107,""))</f>
        <v>0</v>
      </c>
      <c r="I1107" s="8">
        <f>IF(A1107="","",IFERROR(INDEX(Recipes!$D$5:$D$204,MATCH(A1107,Recipes!$A$5:$A$204,0)),""))</f>
        <v>0</v>
      </c>
      <c r="J1107" s="8">
        <f>IF(OR(H1107="",I1107="",I1107=0),"",IFERROR(H1107/I1107,""))</f>
        <v>0</v>
      </c>
      <c r="K1107" s="8">
        <f>IF(OR(B1107="",C1107=""),"",IFERROR(C1107*IFERROR(INDEX(Ingredients!$H$5:$H$304,MATCH(B1107,Ingredients!$A$5:$A$304,0)),""),""))</f>
        <v>0</v>
      </c>
      <c r="L1107" s="8">
        <f>IF(OR(B1107="",C1107=""),"",IFERROR(C1107*IFERROR(INDEX(Ingredients!$I$5:$I$304,MATCH(B1107,Ingredients!$A$5:$A$304,0)),""),""))</f>
        <v>0</v>
      </c>
      <c r="M1107" s="8">
        <f>IF(OR(B1107="",C1107=""),"",IFERROR(C1107*IFERROR(INDEX(Ingredients!$J$5:$J$304,MATCH(B1107,Ingredients!$A$5:$A$304,0)),""),""))</f>
        <v>0</v>
      </c>
      <c r="N1107" s="8">
        <f>IF(OR(B1107="",C1107=""),"",IFERROR(C1107*IFERROR(INDEX(Ingredients!$K$5:$K$304,MATCH(B1107,Ingredients!$A$5:$A$304,0)),""),""))</f>
        <v>0</v>
      </c>
      <c r="O1107" s="8">
        <f>IF(OR(B1107="",C1107=""),"",IFERROR(C1107*IFERROR(INDEX(Ingredients!$L$5:$L$304,MATCH(B1107,Ingredients!$A$5:$A$304,0)),""),""))</f>
        <v>0</v>
      </c>
      <c r="P1107" s="8">
        <f>IF(OR(H1107="",A1107=""),"",IFERROR(H1107/SUMIFS('Recipe Ingredients'!$H$5:$H$1204,'Recipe Ingredients'!$A$5:$A$1204,A1107),""))</f>
        <v>0</v>
      </c>
      <c r="Q1107" s="8">
        <f>IF(H1107="","",COUNTIFS($H$5:$H$1204,"&gt;"&amp;H1107)+1)</f>
        <v>0</v>
      </c>
      <c r="R1107" s="8">
        <f>IF(B1107="","",SUMIFS(Pantry!$C$5:$C$304,Pantry!$A$5:$A$304,B1107))</f>
        <v>0</v>
      </c>
      <c r="S1107" s="8">
        <f>IF(OR(B1107="",C1107=""),"",MAX(0,C1107-R1107))</f>
        <v>0</v>
      </c>
      <c r="T1107" s="26"/>
      <c r="U1107" s="8">
        <f>IF(OR(T1107="",T1107=0,G1107=""),"",T1107*G1107)</f>
        <v>0</v>
      </c>
      <c r="V1107" s="8">
        <f>IF(OR(S1107="",T1107="",T1107=0),"",CEILING(S1107/T1107,1))</f>
        <v>0</v>
      </c>
      <c r="W1107" s="27"/>
      <c r="X1107" s="29"/>
      <c r="Y1107" s="8">
        <f>IF(OR(C1107="",X1107=""),"",C1107*(1+X1107))</f>
        <v>0</v>
      </c>
      <c r="Z1107" s="8">
        <f>IF(B1107="","",IFERROR(INDEX(Ingredients!$O$5:$O$304,MATCH(B1107,Ingredients!$A$5:$A$304,0)),""))</f>
        <v>0</v>
      </c>
      <c r="AA1107" s="8">
        <f>IF(B1107="","",IF(R1107&gt;=C1107,"In pantry","To buy"))</f>
        <v>0</v>
      </c>
      <c r="AB1107" s="8">
        <f>IF(A1107="","",COUNTIFS($A$5:A1107,A1107))</f>
        <v>0</v>
      </c>
      <c r="AC1107" s="8">
        <f>IF(B1107="","",IF(COUNTIFS('Dietary Filters'!$C$5:$C$104,B1107)&gt;0,"Check","OK"))</f>
        <v>0</v>
      </c>
      <c r="AD1107" s="25"/>
    </row>
    <row r="1108" spans="1:30">
      <c r="A1108" s="7"/>
      <c r="B1108" s="7"/>
      <c r="C1108" s="26"/>
      <c r="D1108" s="27"/>
      <c r="E1108" s="8">
        <f>IF(B1108="","",IFERROR(INDEX(Ingredients!$B$5:$B$304,MATCH(B1108,Ingredients!$A$5:$A$304,0)),""))</f>
        <v>0</v>
      </c>
      <c r="F1108" s="8">
        <f>IF(B1108="","",IFERROR(INDEX(Ingredients!$E$5:$E$304,MATCH(B1108,Ingredients!$A$5:$A$304,0)),""))</f>
        <v>0</v>
      </c>
      <c r="G1108" s="8">
        <f>IF(B1108="","",IFERROR(INDEX(Ingredients!$D$5:$D$304,MATCH(B1108,Ingredients!$A$5:$A$304,0)),""))</f>
        <v>0</v>
      </c>
      <c r="H1108" s="8">
        <f>IF(OR(B1108="",C1108=""),"",IFERROR(C1108*G1108,""))</f>
        <v>0</v>
      </c>
      <c r="I1108" s="8">
        <f>IF(A1108="","",IFERROR(INDEX(Recipes!$D$5:$D$204,MATCH(A1108,Recipes!$A$5:$A$204,0)),""))</f>
        <v>0</v>
      </c>
      <c r="J1108" s="8">
        <f>IF(OR(H1108="",I1108="",I1108=0),"",IFERROR(H1108/I1108,""))</f>
        <v>0</v>
      </c>
      <c r="K1108" s="8">
        <f>IF(OR(B1108="",C1108=""),"",IFERROR(C1108*IFERROR(INDEX(Ingredients!$H$5:$H$304,MATCH(B1108,Ingredients!$A$5:$A$304,0)),""),""))</f>
        <v>0</v>
      </c>
      <c r="L1108" s="8">
        <f>IF(OR(B1108="",C1108=""),"",IFERROR(C1108*IFERROR(INDEX(Ingredients!$I$5:$I$304,MATCH(B1108,Ingredients!$A$5:$A$304,0)),""),""))</f>
        <v>0</v>
      </c>
      <c r="M1108" s="8">
        <f>IF(OR(B1108="",C1108=""),"",IFERROR(C1108*IFERROR(INDEX(Ingredients!$J$5:$J$304,MATCH(B1108,Ingredients!$A$5:$A$304,0)),""),""))</f>
        <v>0</v>
      </c>
      <c r="N1108" s="8">
        <f>IF(OR(B1108="",C1108=""),"",IFERROR(C1108*IFERROR(INDEX(Ingredients!$K$5:$K$304,MATCH(B1108,Ingredients!$A$5:$A$304,0)),""),""))</f>
        <v>0</v>
      </c>
      <c r="O1108" s="8">
        <f>IF(OR(B1108="",C1108=""),"",IFERROR(C1108*IFERROR(INDEX(Ingredients!$L$5:$L$304,MATCH(B1108,Ingredients!$A$5:$A$304,0)),""),""))</f>
        <v>0</v>
      </c>
      <c r="P1108" s="8">
        <f>IF(OR(H1108="",A1108=""),"",IFERROR(H1108/SUMIFS('Recipe Ingredients'!$H$5:$H$1204,'Recipe Ingredients'!$A$5:$A$1204,A1108),""))</f>
        <v>0</v>
      </c>
      <c r="Q1108" s="8">
        <f>IF(H1108="","",COUNTIFS($H$5:$H$1204,"&gt;"&amp;H1108)+1)</f>
        <v>0</v>
      </c>
      <c r="R1108" s="8">
        <f>IF(B1108="","",SUMIFS(Pantry!$C$5:$C$304,Pantry!$A$5:$A$304,B1108))</f>
        <v>0</v>
      </c>
      <c r="S1108" s="8">
        <f>IF(OR(B1108="",C1108=""),"",MAX(0,C1108-R1108))</f>
        <v>0</v>
      </c>
      <c r="T1108" s="26"/>
      <c r="U1108" s="8">
        <f>IF(OR(T1108="",T1108=0,G1108=""),"",T1108*G1108)</f>
        <v>0</v>
      </c>
      <c r="V1108" s="8">
        <f>IF(OR(S1108="",T1108="",T1108=0),"",CEILING(S1108/T1108,1))</f>
        <v>0</v>
      </c>
      <c r="W1108" s="27"/>
      <c r="X1108" s="29"/>
      <c r="Y1108" s="8">
        <f>IF(OR(C1108="",X1108=""),"",C1108*(1+X1108))</f>
        <v>0</v>
      </c>
      <c r="Z1108" s="8">
        <f>IF(B1108="","",IFERROR(INDEX(Ingredients!$O$5:$O$304,MATCH(B1108,Ingredients!$A$5:$A$304,0)),""))</f>
        <v>0</v>
      </c>
      <c r="AA1108" s="8">
        <f>IF(B1108="","",IF(R1108&gt;=C1108,"In pantry","To buy"))</f>
        <v>0</v>
      </c>
      <c r="AB1108" s="8">
        <f>IF(A1108="","",COUNTIFS($A$5:A1108,A1108))</f>
        <v>0</v>
      </c>
      <c r="AC1108" s="8">
        <f>IF(B1108="","",IF(COUNTIFS('Dietary Filters'!$C$5:$C$104,B1108)&gt;0,"Check","OK"))</f>
        <v>0</v>
      </c>
      <c r="AD1108" s="25"/>
    </row>
    <row r="1109" spans="1:30">
      <c r="A1109" s="7"/>
      <c r="B1109" s="7"/>
      <c r="C1109" s="26"/>
      <c r="D1109" s="27"/>
      <c r="E1109" s="8">
        <f>IF(B1109="","",IFERROR(INDEX(Ingredients!$B$5:$B$304,MATCH(B1109,Ingredients!$A$5:$A$304,0)),""))</f>
        <v>0</v>
      </c>
      <c r="F1109" s="8">
        <f>IF(B1109="","",IFERROR(INDEX(Ingredients!$E$5:$E$304,MATCH(B1109,Ingredients!$A$5:$A$304,0)),""))</f>
        <v>0</v>
      </c>
      <c r="G1109" s="8">
        <f>IF(B1109="","",IFERROR(INDEX(Ingredients!$D$5:$D$304,MATCH(B1109,Ingredients!$A$5:$A$304,0)),""))</f>
        <v>0</v>
      </c>
      <c r="H1109" s="8">
        <f>IF(OR(B1109="",C1109=""),"",IFERROR(C1109*G1109,""))</f>
        <v>0</v>
      </c>
      <c r="I1109" s="8">
        <f>IF(A1109="","",IFERROR(INDEX(Recipes!$D$5:$D$204,MATCH(A1109,Recipes!$A$5:$A$204,0)),""))</f>
        <v>0</v>
      </c>
      <c r="J1109" s="8">
        <f>IF(OR(H1109="",I1109="",I1109=0),"",IFERROR(H1109/I1109,""))</f>
        <v>0</v>
      </c>
      <c r="K1109" s="8">
        <f>IF(OR(B1109="",C1109=""),"",IFERROR(C1109*IFERROR(INDEX(Ingredients!$H$5:$H$304,MATCH(B1109,Ingredients!$A$5:$A$304,0)),""),""))</f>
        <v>0</v>
      </c>
      <c r="L1109" s="8">
        <f>IF(OR(B1109="",C1109=""),"",IFERROR(C1109*IFERROR(INDEX(Ingredients!$I$5:$I$304,MATCH(B1109,Ingredients!$A$5:$A$304,0)),""),""))</f>
        <v>0</v>
      </c>
      <c r="M1109" s="8">
        <f>IF(OR(B1109="",C1109=""),"",IFERROR(C1109*IFERROR(INDEX(Ingredients!$J$5:$J$304,MATCH(B1109,Ingredients!$A$5:$A$304,0)),""),""))</f>
        <v>0</v>
      </c>
      <c r="N1109" s="8">
        <f>IF(OR(B1109="",C1109=""),"",IFERROR(C1109*IFERROR(INDEX(Ingredients!$K$5:$K$304,MATCH(B1109,Ingredients!$A$5:$A$304,0)),""),""))</f>
        <v>0</v>
      </c>
      <c r="O1109" s="8">
        <f>IF(OR(B1109="",C1109=""),"",IFERROR(C1109*IFERROR(INDEX(Ingredients!$L$5:$L$304,MATCH(B1109,Ingredients!$A$5:$A$304,0)),""),""))</f>
        <v>0</v>
      </c>
      <c r="P1109" s="8">
        <f>IF(OR(H1109="",A1109=""),"",IFERROR(H1109/SUMIFS('Recipe Ingredients'!$H$5:$H$1204,'Recipe Ingredients'!$A$5:$A$1204,A1109),""))</f>
        <v>0</v>
      </c>
      <c r="Q1109" s="8">
        <f>IF(H1109="","",COUNTIFS($H$5:$H$1204,"&gt;"&amp;H1109)+1)</f>
        <v>0</v>
      </c>
      <c r="R1109" s="8">
        <f>IF(B1109="","",SUMIFS(Pantry!$C$5:$C$304,Pantry!$A$5:$A$304,B1109))</f>
        <v>0</v>
      </c>
      <c r="S1109" s="8">
        <f>IF(OR(B1109="",C1109=""),"",MAX(0,C1109-R1109))</f>
        <v>0</v>
      </c>
      <c r="T1109" s="26"/>
      <c r="U1109" s="8">
        <f>IF(OR(T1109="",T1109=0,G1109=""),"",T1109*G1109)</f>
        <v>0</v>
      </c>
      <c r="V1109" s="8">
        <f>IF(OR(S1109="",T1109="",T1109=0),"",CEILING(S1109/T1109,1))</f>
        <v>0</v>
      </c>
      <c r="W1109" s="27"/>
      <c r="X1109" s="29"/>
      <c r="Y1109" s="8">
        <f>IF(OR(C1109="",X1109=""),"",C1109*(1+X1109))</f>
        <v>0</v>
      </c>
      <c r="Z1109" s="8">
        <f>IF(B1109="","",IFERROR(INDEX(Ingredients!$O$5:$O$304,MATCH(B1109,Ingredients!$A$5:$A$304,0)),""))</f>
        <v>0</v>
      </c>
      <c r="AA1109" s="8">
        <f>IF(B1109="","",IF(R1109&gt;=C1109,"In pantry","To buy"))</f>
        <v>0</v>
      </c>
      <c r="AB1109" s="8">
        <f>IF(A1109="","",COUNTIFS($A$5:A1109,A1109))</f>
        <v>0</v>
      </c>
      <c r="AC1109" s="8">
        <f>IF(B1109="","",IF(COUNTIFS('Dietary Filters'!$C$5:$C$104,B1109)&gt;0,"Check","OK"))</f>
        <v>0</v>
      </c>
      <c r="AD1109" s="25"/>
    </row>
    <row r="1110" spans="1:30">
      <c r="A1110" s="7"/>
      <c r="B1110" s="7"/>
      <c r="C1110" s="26"/>
      <c r="D1110" s="27"/>
      <c r="E1110" s="8">
        <f>IF(B1110="","",IFERROR(INDEX(Ingredients!$B$5:$B$304,MATCH(B1110,Ingredients!$A$5:$A$304,0)),""))</f>
        <v>0</v>
      </c>
      <c r="F1110" s="8">
        <f>IF(B1110="","",IFERROR(INDEX(Ingredients!$E$5:$E$304,MATCH(B1110,Ingredients!$A$5:$A$304,0)),""))</f>
        <v>0</v>
      </c>
      <c r="G1110" s="8">
        <f>IF(B1110="","",IFERROR(INDEX(Ingredients!$D$5:$D$304,MATCH(B1110,Ingredients!$A$5:$A$304,0)),""))</f>
        <v>0</v>
      </c>
      <c r="H1110" s="8">
        <f>IF(OR(B1110="",C1110=""),"",IFERROR(C1110*G1110,""))</f>
        <v>0</v>
      </c>
      <c r="I1110" s="8">
        <f>IF(A1110="","",IFERROR(INDEX(Recipes!$D$5:$D$204,MATCH(A1110,Recipes!$A$5:$A$204,0)),""))</f>
        <v>0</v>
      </c>
      <c r="J1110" s="8">
        <f>IF(OR(H1110="",I1110="",I1110=0),"",IFERROR(H1110/I1110,""))</f>
        <v>0</v>
      </c>
      <c r="K1110" s="8">
        <f>IF(OR(B1110="",C1110=""),"",IFERROR(C1110*IFERROR(INDEX(Ingredients!$H$5:$H$304,MATCH(B1110,Ingredients!$A$5:$A$304,0)),""),""))</f>
        <v>0</v>
      </c>
      <c r="L1110" s="8">
        <f>IF(OR(B1110="",C1110=""),"",IFERROR(C1110*IFERROR(INDEX(Ingredients!$I$5:$I$304,MATCH(B1110,Ingredients!$A$5:$A$304,0)),""),""))</f>
        <v>0</v>
      </c>
      <c r="M1110" s="8">
        <f>IF(OR(B1110="",C1110=""),"",IFERROR(C1110*IFERROR(INDEX(Ingredients!$J$5:$J$304,MATCH(B1110,Ingredients!$A$5:$A$304,0)),""),""))</f>
        <v>0</v>
      </c>
      <c r="N1110" s="8">
        <f>IF(OR(B1110="",C1110=""),"",IFERROR(C1110*IFERROR(INDEX(Ingredients!$K$5:$K$304,MATCH(B1110,Ingredients!$A$5:$A$304,0)),""),""))</f>
        <v>0</v>
      </c>
      <c r="O1110" s="8">
        <f>IF(OR(B1110="",C1110=""),"",IFERROR(C1110*IFERROR(INDEX(Ingredients!$L$5:$L$304,MATCH(B1110,Ingredients!$A$5:$A$304,0)),""),""))</f>
        <v>0</v>
      </c>
      <c r="P1110" s="8">
        <f>IF(OR(H1110="",A1110=""),"",IFERROR(H1110/SUMIFS('Recipe Ingredients'!$H$5:$H$1204,'Recipe Ingredients'!$A$5:$A$1204,A1110),""))</f>
        <v>0</v>
      </c>
      <c r="Q1110" s="8">
        <f>IF(H1110="","",COUNTIFS($H$5:$H$1204,"&gt;"&amp;H1110)+1)</f>
        <v>0</v>
      </c>
      <c r="R1110" s="8">
        <f>IF(B1110="","",SUMIFS(Pantry!$C$5:$C$304,Pantry!$A$5:$A$304,B1110))</f>
        <v>0</v>
      </c>
      <c r="S1110" s="8">
        <f>IF(OR(B1110="",C1110=""),"",MAX(0,C1110-R1110))</f>
        <v>0</v>
      </c>
      <c r="T1110" s="26"/>
      <c r="U1110" s="8">
        <f>IF(OR(T1110="",T1110=0,G1110=""),"",T1110*G1110)</f>
        <v>0</v>
      </c>
      <c r="V1110" s="8">
        <f>IF(OR(S1110="",T1110="",T1110=0),"",CEILING(S1110/T1110,1))</f>
        <v>0</v>
      </c>
      <c r="W1110" s="27"/>
      <c r="X1110" s="29"/>
      <c r="Y1110" s="8">
        <f>IF(OR(C1110="",X1110=""),"",C1110*(1+X1110))</f>
        <v>0</v>
      </c>
      <c r="Z1110" s="8">
        <f>IF(B1110="","",IFERROR(INDEX(Ingredients!$O$5:$O$304,MATCH(B1110,Ingredients!$A$5:$A$304,0)),""))</f>
        <v>0</v>
      </c>
      <c r="AA1110" s="8">
        <f>IF(B1110="","",IF(R1110&gt;=C1110,"In pantry","To buy"))</f>
        <v>0</v>
      </c>
      <c r="AB1110" s="8">
        <f>IF(A1110="","",COUNTIFS($A$5:A1110,A1110))</f>
        <v>0</v>
      </c>
      <c r="AC1110" s="8">
        <f>IF(B1110="","",IF(COUNTIFS('Dietary Filters'!$C$5:$C$104,B1110)&gt;0,"Check","OK"))</f>
        <v>0</v>
      </c>
      <c r="AD1110" s="25"/>
    </row>
    <row r="1111" spans="1:30">
      <c r="A1111" s="7"/>
      <c r="B1111" s="7"/>
      <c r="C1111" s="26"/>
      <c r="D1111" s="27"/>
      <c r="E1111" s="8">
        <f>IF(B1111="","",IFERROR(INDEX(Ingredients!$B$5:$B$304,MATCH(B1111,Ingredients!$A$5:$A$304,0)),""))</f>
        <v>0</v>
      </c>
      <c r="F1111" s="8">
        <f>IF(B1111="","",IFERROR(INDEX(Ingredients!$E$5:$E$304,MATCH(B1111,Ingredients!$A$5:$A$304,0)),""))</f>
        <v>0</v>
      </c>
      <c r="G1111" s="8">
        <f>IF(B1111="","",IFERROR(INDEX(Ingredients!$D$5:$D$304,MATCH(B1111,Ingredients!$A$5:$A$304,0)),""))</f>
        <v>0</v>
      </c>
      <c r="H1111" s="8">
        <f>IF(OR(B1111="",C1111=""),"",IFERROR(C1111*G1111,""))</f>
        <v>0</v>
      </c>
      <c r="I1111" s="8">
        <f>IF(A1111="","",IFERROR(INDEX(Recipes!$D$5:$D$204,MATCH(A1111,Recipes!$A$5:$A$204,0)),""))</f>
        <v>0</v>
      </c>
      <c r="J1111" s="8">
        <f>IF(OR(H1111="",I1111="",I1111=0),"",IFERROR(H1111/I1111,""))</f>
        <v>0</v>
      </c>
      <c r="K1111" s="8">
        <f>IF(OR(B1111="",C1111=""),"",IFERROR(C1111*IFERROR(INDEX(Ingredients!$H$5:$H$304,MATCH(B1111,Ingredients!$A$5:$A$304,0)),""),""))</f>
        <v>0</v>
      </c>
      <c r="L1111" s="8">
        <f>IF(OR(B1111="",C1111=""),"",IFERROR(C1111*IFERROR(INDEX(Ingredients!$I$5:$I$304,MATCH(B1111,Ingredients!$A$5:$A$304,0)),""),""))</f>
        <v>0</v>
      </c>
      <c r="M1111" s="8">
        <f>IF(OR(B1111="",C1111=""),"",IFERROR(C1111*IFERROR(INDEX(Ingredients!$J$5:$J$304,MATCH(B1111,Ingredients!$A$5:$A$304,0)),""),""))</f>
        <v>0</v>
      </c>
      <c r="N1111" s="8">
        <f>IF(OR(B1111="",C1111=""),"",IFERROR(C1111*IFERROR(INDEX(Ingredients!$K$5:$K$304,MATCH(B1111,Ingredients!$A$5:$A$304,0)),""),""))</f>
        <v>0</v>
      </c>
      <c r="O1111" s="8">
        <f>IF(OR(B1111="",C1111=""),"",IFERROR(C1111*IFERROR(INDEX(Ingredients!$L$5:$L$304,MATCH(B1111,Ingredients!$A$5:$A$304,0)),""),""))</f>
        <v>0</v>
      </c>
      <c r="P1111" s="8">
        <f>IF(OR(H1111="",A1111=""),"",IFERROR(H1111/SUMIFS('Recipe Ingredients'!$H$5:$H$1204,'Recipe Ingredients'!$A$5:$A$1204,A1111),""))</f>
        <v>0</v>
      </c>
      <c r="Q1111" s="8">
        <f>IF(H1111="","",COUNTIFS($H$5:$H$1204,"&gt;"&amp;H1111)+1)</f>
        <v>0</v>
      </c>
      <c r="R1111" s="8">
        <f>IF(B1111="","",SUMIFS(Pantry!$C$5:$C$304,Pantry!$A$5:$A$304,B1111))</f>
        <v>0</v>
      </c>
      <c r="S1111" s="8">
        <f>IF(OR(B1111="",C1111=""),"",MAX(0,C1111-R1111))</f>
        <v>0</v>
      </c>
      <c r="T1111" s="26"/>
      <c r="U1111" s="8">
        <f>IF(OR(T1111="",T1111=0,G1111=""),"",T1111*G1111)</f>
        <v>0</v>
      </c>
      <c r="V1111" s="8">
        <f>IF(OR(S1111="",T1111="",T1111=0),"",CEILING(S1111/T1111,1))</f>
        <v>0</v>
      </c>
      <c r="W1111" s="27"/>
      <c r="X1111" s="29"/>
      <c r="Y1111" s="8">
        <f>IF(OR(C1111="",X1111=""),"",C1111*(1+X1111))</f>
        <v>0</v>
      </c>
      <c r="Z1111" s="8">
        <f>IF(B1111="","",IFERROR(INDEX(Ingredients!$O$5:$O$304,MATCH(B1111,Ingredients!$A$5:$A$304,0)),""))</f>
        <v>0</v>
      </c>
      <c r="AA1111" s="8">
        <f>IF(B1111="","",IF(R1111&gt;=C1111,"In pantry","To buy"))</f>
        <v>0</v>
      </c>
      <c r="AB1111" s="8">
        <f>IF(A1111="","",COUNTIFS($A$5:A1111,A1111))</f>
        <v>0</v>
      </c>
      <c r="AC1111" s="8">
        <f>IF(B1111="","",IF(COUNTIFS('Dietary Filters'!$C$5:$C$104,B1111)&gt;0,"Check","OK"))</f>
        <v>0</v>
      </c>
      <c r="AD1111" s="25"/>
    </row>
    <row r="1112" spans="1:30">
      <c r="A1112" s="7"/>
      <c r="B1112" s="7"/>
      <c r="C1112" s="26"/>
      <c r="D1112" s="27"/>
      <c r="E1112" s="8">
        <f>IF(B1112="","",IFERROR(INDEX(Ingredients!$B$5:$B$304,MATCH(B1112,Ingredients!$A$5:$A$304,0)),""))</f>
        <v>0</v>
      </c>
      <c r="F1112" s="8">
        <f>IF(B1112="","",IFERROR(INDEX(Ingredients!$E$5:$E$304,MATCH(B1112,Ingredients!$A$5:$A$304,0)),""))</f>
        <v>0</v>
      </c>
      <c r="G1112" s="8">
        <f>IF(B1112="","",IFERROR(INDEX(Ingredients!$D$5:$D$304,MATCH(B1112,Ingredients!$A$5:$A$304,0)),""))</f>
        <v>0</v>
      </c>
      <c r="H1112" s="8">
        <f>IF(OR(B1112="",C1112=""),"",IFERROR(C1112*G1112,""))</f>
        <v>0</v>
      </c>
      <c r="I1112" s="8">
        <f>IF(A1112="","",IFERROR(INDEX(Recipes!$D$5:$D$204,MATCH(A1112,Recipes!$A$5:$A$204,0)),""))</f>
        <v>0</v>
      </c>
      <c r="J1112" s="8">
        <f>IF(OR(H1112="",I1112="",I1112=0),"",IFERROR(H1112/I1112,""))</f>
        <v>0</v>
      </c>
      <c r="K1112" s="8">
        <f>IF(OR(B1112="",C1112=""),"",IFERROR(C1112*IFERROR(INDEX(Ingredients!$H$5:$H$304,MATCH(B1112,Ingredients!$A$5:$A$304,0)),""),""))</f>
        <v>0</v>
      </c>
      <c r="L1112" s="8">
        <f>IF(OR(B1112="",C1112=""),"",IFERROR(C1112*IFERROR(INDEX(Ingredients!$I$5:$I$304,MATCH(B1112,Ingredients!$A$5:$A$304,0)),""),""))</f>
        <v>0</v>
      </c>
      <c r="M1112" s="8">
        <f>IF(OR(B1112="",C1112=""),"",IFERROR(C1112*IFERROR(INDEX(Ingredients!$J$5:$J$304,MATCH(B1112,Ingredients!$A$5:$A$304,0)),""),""))</f>
        <v>0</v>
      </c>
      <c r="N1112" s="8">
        <f>IF(OR(B1112="",C1112=""),"",IFERROR(C1112*IFERROR(INDEX(Ingredients!$K$5:$K$304,MATCH(B1112,Ingredients!$A$5:$A$304,0)),""),""))</f>
        <v>0</v>
      </c>
      <c r="O1112" s="8">
        <f>IF(OR(B1112="",C1112=""),"",IFERROR(C1112*IFERROR(INDEX(Ingredients!$L$5:$L$304,MATCH(B1112,Ingredients!$A$5:$A$304,0)),""),""))</f>
        <v>0</v>
      </c>
      <c r="P1112" s="8">
        <f>IF(OR(H1112="",A1112=""),"",IFERROR(H1112/SUMIFS('Recipe Ingredients'!$H$5:$H$1204,'Recipe Ingredients'!$A$5:$A$1204,A1112),""))</f>
        <v>0</v>
      </c>
      <c r="Q1112" s="8">
        <f>IF(H1112="","",COUNTIFS($H$5:$H$1204,"&gt;"&amp;H1112)+1)</f>
        <v>0</v>
      </c>
      <c r="R1112" s="8">
        <f>IF(B1112="","",SUMIFS(Pantry!$C$5:$C$304,Pantry!$A$5:$A$304,B1112))</f>
        <v>0</v>
      </c>
      <c r="S1112" s="8">
        <f>IF(OR(B1112="",C1112=""),"",MAX(0,C1112-R1112))</f>
        <v>0</v>
      </c>
      <c r="T1112" s="26"/>
      <c r="U1112" s="8">
        <f>IF(OR(T1112="",T1112=0,G1112=""),"",T1112*G1112)</f>
        <v>0</v>
      </c>
      <c r="V1112" s="8">
        <f>IF(OR(S1112="",T1112="",T1112=0),"",CEILING(S1112/T1112,1))</f>
        <v>0</v>
      </c>
      <c r="W1112" s="27"/>
      <c r="X1112" s="29"/>
      <c r="Y1112" s="8">
        <f>IF(OR(C1112="",X1112=""),"",C1112*(1+X1112))</f>
        <v>0</v>
      </c>
      <c r="Z1112" s="8">
        <f>IF(B1112="","",IFERROR(INDEX(Ingredients!$O$5:$O$304,MATCH(B1112,Ingredients!$A$5:$A$304,0)),""))</f>
        <v>0</v>
      </c>
      <c r="AA1112" s="8">
        <f>IF(B1112="","",IF(R1112&gt;=C1112,"In pantry","To buy"))</f>
        <v>0</v>
      </c>
      <c r="AB1112" s="8">
        <f>IF(A1112="","",COUNTIFS($A$5:A1112,A1112))</f>
        <v>0</v>
      </c>
      <c r="AC1112" s="8">
        <f>IF(B1112="","",IF(COUNTIFS('Dietary Filters'!$C$5:$C$104,B1112)&gt;0,"Check","OK"))</f>
        <v>0</v>
      </c>
      <c r="AD1112" s="25"/>
    </row>
    <row r="1113" spans="1:30">
      <c r="A1113" s="7"/>
      <c r="B1113" s="7"/>
      <c r="C1113" s="26"/>
      <c r="D1113" s="27"/>
      <c r="E1113" s="8">
        <f>IF(B1113="","",IFERROR(INDEX(Ingredients!$B$5:$B$304,MATCH(B1113,Ingredients!$A$5:$A$304,0)),""))</f>
        <v>0</v>
      </c>
      <c r="F1113" s="8">
        <f>IF(B1113="","",IFERROR(INDEX(Ingredients!$E$5:$E$304,MATCH(B1113,Ingredients!$A$5:$A$304,0)),""))</f>
        <v>0</v>
      </c>
      <c r="G1113" s="8">
        <f>IF(B1113="","",IFERROR(INDEX(Ingredients!$D$5:$D$304,MATCH(B1113,Ingredients!$A$5:$A$304,0)),""))</f>
        <v>0</v>
      </c>
      <c r="H1113" s="8">
        <f>IF(OR(B1113="",C1113=""),"",IFERROR(C1113*G1113,""))</f>
        <v>0</v>
      </c>
      <c r="I1113" s="8">
        <f>IF(A1113="","",IFERROR(INDEX(Recipes!$D$5:$D$204,MATCH(A1113,Recipes!$A$5:$A$204,0)),""))</f>
        <v>0</v>
      </c>
      <c r="J1113" s="8">
        <f>IF(OR(H1113="",I1113="",I1113=0),"",IFERROR(H1113/I1113,""))</f>
        <v>0</v>
      </c>
      <c r="K1113" s="8">
        <f>IF(OR(B1113="",C1113=""),"",IFERROR(C1113*IFERROR(INDEX(Ingredients!$H$5:$H$304,MATCH(B1113,Ingredients!$A$5:$A$304,0)),""),""))</f>
        <v>0</v>
      </c>
      <c r="L1113" s="8">
        <f>IF(OR(B1113="",C1113=""),"",IFERROR(C1113*IFERROR(INDEX(Ingredients!$I$5:$I$304,MATCH(B1113,Ingredients!$A$5:$A$304,0)),""),""))</f>
        <v>0</v>
      </c>
      <c r="M1113" s="8">
        <f>IF(OR(B1113="",C1113=""),"",IFERROR(C1113*IFERROR(INDEX(Ingredients!$J$5:$J$304,MATCH(B1113,Ingredients!$A$5:$A$304,0)),""),""))</f>
        <v>0</v>
      </c>
      <c r="N1113" s="8">
        <f>IF(OR(B1113="",C1113=""),"",IFERROR(C1113*IFERROR(INDEX(Ingredients!$K$5:$K$304,MATCH(B1113,Ingredients!$A$5:$A$304,0)),""),""))</f>
        <v>0</v>
      </c>
      <c r="O1113" s="8">
        <f>IF(OR(B1113="",C1113=""),"",IFERROR(C1113*IFERROR(INDEX(Ingredients!$L$5:$L$304,MATCH(B1113,Ingredients!$A$5:$A$304,0)),""),""))</f>
        <v>0</v>
      </c>
      <c r="P1113" s="8">
        <f>IF(OR(H1113="",A1113=""),"",IFERROR(H1113/SUMIFS('Recipe Ingredients'!$H$5:$H$1204,'Recipe Ingredients'!$A$5:$A$1204,A1113),""))</f>
        <v>0</v>
      </c>
      <c r="Q1113" s="8">
        <f>IF(H1113="","",COUNTIFS($H$5:$H$1204,"&gt;"&amp;H1113)+1)</f>
        <v>0</v>
      </c>
      <c r="R1113" s="8">
        <f>IF(B1113="","",SUMIFS(Pantry!$C$5:$C$304,Pantry!$A$5:$A$304,B1113))</f>
        <v>0</v>
      </c>
      <c r="S1113" s="8">
        <f>IF(OR(B1113="",C1113=""),"",MAX(0,C1113-R1113))</f>
        <v>0</v>
      </c>
      <c r="T1113" s="26"/>
      <c r="U1113" s="8">
        <f>IF(OR(T1113="",T1113=0,G1113=""),"",T1113*G1113)</f>
        <v>0</v>
      </c>
      <c r="V1113" s="8">
        <f>IF(OR(S1113="",T1113="",T1113=0),"",CEILING(S1113/T1113,1))</f>
        <v>0</v>
      </c>
      <c r="W1113" s="27"/>
      <c r="X1113" s="29"/>
      <c r="Y1113" s="8">
        <f>IF(OR(C1113="",X1113=""),"",C1113*(1+X1113))</f>
        <v>0</v>
      </c>
      <c r="Z1113" s="8">
        <f>IF(B1113="","",IFERROR(INDEX(Ingredients!$O$5:$O$304,MATCH(B1113,Ingredients!$A$5:$A$304,0)),""))</f>
        <v>0</v>
      </c>
      <c r="AA1113" s="8">
        <f>IF(B1113="","",IF(R1113&gt;=C1113,"In pantry","To buy"))</f>
        <v>0</v>
      </c>
      <c r="AB1113" s="8">
        <f>IF(A1113="","",COUNTIFS($A$5:A1113,A1113))</f>
        <v>0</v>
      </c>
      <c r="AC1113" s="8">
        <f>IF(B1113="","",IF(COUNTIFS('Dietary Filters'!$C$5:$C$104,B1113)&gt;0,"Check","OK"))</f>
        <v>0</v>
      </c>
      <c r="AD1113" s="25"/>
    </row>
    <row r="1114" spans="1:30">
      <c r="A1114" s="7"/>
      <c r="B1114" s="7"/>
      <c r="C1114" s="26"/>
      <c r="D1114" s="27"/>
      <c r="E1114" s="8">
        <f>IF(B1114="","",IFERROR(INDEX(Ingredients!$B$5:$B$304,MATCH(B1114,Ingredients!$A$5:$A$304,0)),""))</f>
        <v>0</v>
      </c>
      <c r="F1114" s="8">
        <f>IF(B1114="","",IFERROR(INDEX(Ingredients!$E$5:$E$304,MATCH(B1114,Ingredients!$A$5:$A$304,0)),""))</f>
        <v>0</v>
      </c>
      <c r="G1114" s="8">
        <f>IF(B1114="","",IFERROR(INDEX(Ingredients!$D$5:$D$304,MATCH(B1114,Ingredients!$A$5:$A$304,0)),""))</f>
        <v>0</v>
      </c>
      <c r="H1114" s="8">
        <f>IF(OR(B1114="",C1114=""),"",IFERROR(C1114*G1114,""))</f>
        <v>0</v>
      </c>
      <c r="I1114" s="8">
        <f>IF(A1114="","",IFERROR(INDEX(Recipes!$D$5:$D$204,MATCH(A1114,Recipes!$A$5:$A$204,0)),""))</f>
        <v>0</v>
      </c>
      <c r="J1114" s="8">
        <f>IF(OR(H1114="",I1114="",I1114=0),"",IFERROR(H1114/I1114,""))</f>
        <v>0</v>
      </c>
      <c r="K1114" s="8">
        <f>IF(OR(B1114="",C1114=""),"",IFERROR(C1114*IFERROR(INDEX(Ingredients!$H$5:$H$304,MATCH(B1114,Ingredients!$A$5:$A$304,0)),""),""))</f>
        <v>0</v>
      </c>
      <c r="L1114" s="8">
        <f>IF(OR(B1114="",C1114=""),"",IFERROR(C1114*IFERROR(INDEX(Ingredients!$I$5:$I$304,MATCH(B1114,Ingredients!$A$5:$A$304,0)),""),""))</f>
        <v>0</v>
      </c>
      <c r="M1114" s="8">
        <f>IF(OR(B1114="",C1114=""),"",IFERROR(C1114*IFERROR(INDEX(Ingredients!$J$5:$J$304,MATCH(B1114,Ingredients!$A$5:$A$304,0)),""),""))</f>
        <v>0</v>
      </c>
      <c r="N1114" s="8">
        <f>IF(OR(B1114="",C1114=""),"",IFERROR(C1114*IFERROR(INDEX(Ingredients!$K$5:$K$304,MATCH(B1114,Ingredients!$A$5:$A$304,0)),""),""))</f>
        <v>0</v>
      </c>
      <c r="O1114" s="8">
        <f>IF(OR(B1114="",C1114=""),"",IFERROR(C1114*IFERROR(INDEX(Ingredients!$L$5:$L$304,MATCH(B1114,Ingredients!$A$5:$A$304,0)),""),""))</f>
        <v>0</v>
      </c>
      <c r="P1114" s="8">
        <f>IF(OR(H1114="",A1114=""),"",IFERROR(H1114/SUMIFS('Recipe Ingredients'!$H$5:$H$1204,'Recipe Ingredients'!$A$5:$A$1204,A1114),""))</f>
        <v>0</v>
      </c>
      <c r="Q1114" s="8">
        <f>IF(H1114="","",COUNTIFS($H$5:$H$1204,"&gt;"&amp;H1114)+1)</f>
        <v>0</v>
      </c>
      <c r="R1114" s="8">
        <f>IF(B1114="","",SUMIFS(Pantry!$C$5:$C$304,Pantry!$A$5:$A$304,B1114))</f>
        <v>0</v>
      </c>
      <c r="S1114" s="8">
        <f>IF(OR(B1114="",C1114=""),"",MAX(0,C1114-R1114))</f>
        <v>0</v>
      </c>
      <c r="T1114" s="26"/>
      <c r="U1114" s="8">
        <f>IF(OR(T1114="",T1114=0,G1114=""),"",T1114*G1114)</f>
        <v>0</v>
      </c>
      <c r="V1114" s="8">
        <f>IF(OR(S1114="",T1114="",T1114=0),"",CEILING(S1114/T1114,1))</f>
        <v>0</v>
      </c>
      <c r="W1114" s="27"/>
      <c r="X1114" s="29"/>
      <c r="Y1114" s="8">
        <f>IF(OR(C1114="",X1114=""),"",C1114*(1+X1114))</f>
        <v>0</v>
      </c>
      <c r="Z1114" s="8">
        <f>IF(B1114="","",IFERROR(INDEX(Ingredients!$O$5:$O$304,MATCH(B1114,Ingredients!$A$5:$A$304,0)),""))</f>
        <v>0</v>
      </c>
      <c r="AA1114" s="8">
        <f>IF(B1114="","",IF(R1114&gt;=C1114,"In pantry","To buy"))</f>
        <v>0</v>
      </c>
      <c r="AB1114" s="8">
        <f>IF(A1114="","",COUNTIFS($A$5:A1114,A1114))</f>
        <v>0</v>
      </c>
      <c r="AC1114" s="8">
        <f>IF(B1114="","",IF(COUNTIFS('Dietary Filters'!$C$5:$C$104,B1114)&gt;0,"Check","OK"))</f>
        <v>0</v>
      </c>
      <c r="AD1114" s="25"/>
    </row>
    <row r="1115" spans="1:30">
      <c r="A1115" s="7"/>
      <c r="B1115" s="7"/>
      <c r="C1115" s="26"/>
      <c r="D1115" s="27"/>
      <c r="E1115" s="8">
        <f>IF(B1115="","",IFERROR(INDEX(Ingredients!$B$5:$B$304,MATCH(B1115,Ingredients!$A$5:$A$304,0)),""))</f>
        <v>0</v>
      </c>
      <c r="F1115" s="8">
        <f>IF(B1115="","",IFERROR(INDEX(Ingredients!$E$5:$E$304,MATCH(B1115,Ingredients!$A$5:$A$304,0)),""))</f>
        <v>0</v>
      </c>
      <c r="G1115" s="8">
        <f>IF(B1115="","",IFERROR(INDEX(Ingredients!$D$5:$D$304,MATCH(B1115,Ingredients!$A$5:$A$304,0)),""))</f>
        <v>0</v>
      </c>
      <c r="H1115" s="8">
        <f>IF(OR(B1115="",C1115=""),"",IFERROR(C1115*G1115,""))</f>
        <v>0</v>
      </c>
      <c r="I1115" s="8">
        <f>IF(A1115="","",IFERROR(INDEX(Recipes!$D$5:$D$204,MATCH(A1115,Recipes!$A$5:$A$204,0)),""))</f>
        <v>0</v>
      </c>
      <c r="J1115" s="8">
        <f>IF(OR(H1115="",I1115="",I1115=0),"",IFERROR(H1115/I1115,""))</f>
        <v>0</v>
      </c>
      <c r="K1115" s="8">
        <f>IF(OR(B1115="",C1115=""),"",IFERROR(C1115*IFERROR(INDEX(Ingredients!$H$5:$H$304,MATCH(B1115,Ingredients!$A$5:$A$304,0)),""),""))</f>
        <v>0</v>
      </c>
      <c r="L1115" s="8">
        <f>IF(OR(B1115="",C1115=""),"",IFERROR(C1115*IFERROR(INDEX(Ingredients!$I$5:$I$304,MATCH(B1115,Ingredients!$A$5:$A$304,0)),""),""))</f>
        <v>0</v>
      </c>
      <c r="M1115" s="8">
        <f>IF(OR(B1115="",C1115=""),"",IFERROR(C1115*IFERROR(INDEX(Ingredients!$J$5:$J$304,MATCH(B1115,Ingredients!$A$5:$A$304,0)),""),""))</f>
        <v>0</v>
      </c>
      <c r="N1115" s="8">
        <f>IF(OR(B1115="",C1115=""),"",IFERROR(C1115*IFERROR(INDEX(Ingredients!$K$5:$K$304,MATCH(B1115,Ingredients!$A$5:$A$304,0)),""),""))</f>
        <v>0</v>
      </c>
      <c r="O1115" s="8">
        <f>IF(OR(B1115="",C1115=""),"",IFERROR(C1115*IFERROR(INDEX(Ingredients!$L$5:$L$304,MATCH(B1115,Ingredients!$A$5:$A$304,0)),""),""))</f>
        <v>0</v>
      </c>
      <c r="P1115" s="8">
        <f>IF(OR(H1115="",A1115=""),"",IFERROR(H1115/SUMIFS('Recipe Ingredients'!$H$5:$H$1204,'Recipe Ingredients'!$A$5:$A$1204,A1115),""))</f>
        <v>0</v>
      </c>
      <c r="Q1115" s="8">
        <f>IF(H1115="","",COUNTIFS($H$5:$H$1204,"&gt;"&amp;H1115)+1)</f>
        <v>0</v>
      </c>
      <c r="R1115" s="8">
        <f>IF(B1115="","",SUMIFS(Pantry!$C$5:$C$304,Pantry!$A$5:$A$304,B1115))</f>
        <v>0</v>
      </c>
      <c r="S1115" s="8">
        <f>IF(OR(B1115="",C1115=""),"",MAX(0,C1115-R1115))</f>
        <v>0</v>
      </c>
      <c r="T1115" s="26"/>
      <c r="U1115" s="8">
        <f>IF(OR(T1115="",T1115=0,G1115=""),"",T1115*G1115)</f>
        <v>0</v>
      </c>
      <c r="V1115" s="8">
        <f>IF(OR(S1115="",T1115="",T1115=0),"",CEILING(S1115/T1115,1))</f>
        <v>0</v>
      </c>
      <c r="W1115" s="27"/>
      <c r="X1115" s="29"/>
      <c r="Y1115" s="8">
        <f>IF(OR(C1115="",X1115=""),"",C1115*(1+X1115))</f>
        <v>0</v>
      </c>
      <c r="Z1115" s="8">
        <f>IF(B1115="","",IFERROR(INDEX(Ingredients!$O$5:$O$304,MATCH(B1115,Ingredients!$A$5:$A$304,0)),""))</f>
        <v>0</v>
      </c>
      <c r="AA1115" s="8">
        <f>IF(B1115="","",IF(R1115&gt;=C1115,"In pantry","To buy"))</f>
        <v>0</v>
      </c>
      <c r="AB1115" s="8">
        <f>IF(A1115="","",COUNTIFS($A$5:A1115,A1115))</f>
        <v>0</v>
      </c>
      <c r="AC1115" s="8">
        <f>IF(B1115="","",IF(COUNTIFS('Dietary Filters'!$C$5:$C$104,B1115)&gt;0,"Check","OK"))</f>
        <v>0</v>
      </c>
      <c r="AD1115" s="25"/>
    </row>
    <row r="1116" spans="1:30">
      <c r="A1116" s="7"/>
      <c r="B1116" s="7"/>
      <c r="C1116" s="26"/>
      <c r="D1116" s="27"/>
      <c r="E1116" s="8">
        <f>IF(B1116="","",IFERROR(INDEX(Ingredients!$B$5:$B$304,MATCH(B1116,Ingredients!$A$5:$A$304,0)),""))</f>
        <v>0</v>
      </c>
      <c r="F1116" s="8">
        <f>IF(B1116="","",IFERROR(INDEX(Ingredients!$E$5:$E$304,MATCH(B1116,Ingredients!$A$5:$A$304,0)),""))</f>
        <v>0</v>
      </c>
      <c r="G1116" s="8">
        <f>IF(B1116="","",IFERROR(INDEX(Ingredients!$D$5:$D$304,MATCH(B1116,Ingredients!$A$5:$A$304,0)),""))</f>
        <v>0</v>
      </c>
      <c r="H1116" s="8">
        <f>IF(OR(B1116="",C1116=""),"",IFERROR(C1116*G1116,""))</f>
        <v>0</v>
      </c>
      <c r="I1116" s="8">
        <f>IF(A1116="","",IFERROR(INDEX(Recipes!$D$5:$D$204,MATCH(A1116,Recipes!$A$5:$A$204,0)),""))</f>
        <v>0</v>
      </c>
      <c r="J1116" s="8">
        <f>IF(OR(H1116="",I1116="",I1116=0),"",IFERROR(H1116/I1116,""))</f>
        <v>0</v>
      </c>
      <c r="K1116" s="8">
        <f>IF(OR(B1116="",C1116=""),"",IFERROR(C1116*IFERROR(INDEX(Ingredients!$H$5:$H$304,MATCH(B1116,Ingredients!$A$5:$A$304,0)),""),""))</f>
        <v>0</v>
      </c>
      <c r="L1116" s="8">
        <f>IF(OR(B1116="",C1116=""),"",IFERROR(C1116*IFERROR(INDEX(Ingredients!$I$5:$I$304,MATCH(B1116,Ingredients!$A$5:$A$304,0)),""),""))</f>
        <v>0</v>
      </c>
      <c r="M1116" s="8">
        <f>IF(OR(B1116="",C1116=""),"",IFERROR(C1116*IFERROR(INDEX(Ingredients!$J$5:$J$304,MATCH(B1116,Ingredients!$A$5:$A$304,0)),""),""))</f>
        <v>0</v>
      </c>
      <c r="N1116" s="8">
        <f>IF(OR(B1116="",C1116=""),"",IFERROR(C1116*IFERROR(INDEX(Ingredients!$K$5:$K$304,MATCH(B1116,Ingredients!$A$5:$A$304,0)),""),""))</f>
        <v>0</v>
      </c>
      <c r="O1116" s="8">
        <f>IF(OR(B1116="",C1116=""),"",IFERROR(C1116*IFERROR(INDEX(Ingredients!$L$5:$L$304,MATCH(B1116,Ingredients!$A$5:$A$304,0)),""),""))</f>
        <v>0</v>
      </c>
      <c r="P1116" s="8">
        <f>IF(OR(H1116="",A1116=""),"",IFERROR(H1116/SUMIFS('Recipe Ingredients'!$H$5:$H$1204,'Recipe Ingredients'!$A$5:$A$1204,A1116),""))</f>
        <v>0</v>
      </c>
      <c r="Q1116" s="8">
        <f>IF(H1116="","",COUNTIFS($H$5:$H$1204,"&gt;"&amp;H1116)+1)</f>
        <v>0</v>
      </c>
      <c r="R1116" s="8">
        <f>IF(B1116="","",SUMIFS(Pantry!$C$5:$C$304,Pantry!$A$5:$A$304,B1116))</f>
        <v>0</v>
      </c>
      <c r="S1116" s="8">
        <f>IF(OR(B1116="",C1116=""),"",MAX(0,C1116-R1116))</f>
        <v>0</v>
      </c>
      <c r="T1116" s="26"/>
      <c r="U1116" s="8">
        <f>IF(OR(T1116="",T1116=0,G1116=""),"",T1116*G1116)</f>
        <v>0</v>
      </c>
      <c r="V1116" s="8">
        <f>IF(OR(S1116="",T1116="",T1116=0),"",CEILING(S1116/T1116,1))</f>
        <v>0</v>
      </c>
      <c r="W1116" s="27"/>
      <c r="X1116" s="29"/>
      <c r="Y1116" s="8">
        <f>IF(OR(C1116="",X1116=""),"",C1116*(1+X1116))</f>
        <v>0</v>
      </c>
      <c r="Z1116" s="8">
        <f>IF(B1116="","",IFERROR(INDEX(Ingredients!$O$5:$O$304,MATCH(B1116,Ingredients!$A$5:$A$304,0)),""))</f>
        <v>0</v>
      </c>
      <c r="AA1116" s="8">
        <f>IF(B1116="","",IF(R1116&gt;=C1116,"In pantry","To buy"))</f>
        <v>0</v>
      </c>
      <c r="AB1116" s="8">
        <f>IF(A1116="","",COUNTIFS($A$5:A1116,A1116))</f>
        <v>0</v>
      </c>
      <c r="AC1116" s="8">
        <f>IF(B1116="","",IF(COUNTIFS('Dietary Filters'!$C$5:$C$104,B1116)&gt;0,"Check","OK"))</f>
        <v>0</v>
      </c>
      <c r="AD1116" s="25"/>
    </row>
    <row r="1117" spans="1:30">
      <c r="A1117" s="7"/>
      <c r="B1117" s="7"/>
      <c r="C1117" s="26"/>
      <c r="D1117" s="27"/>
      <c r="E1117" s="8">
        <f>IF(B1117="","",IFERROR(INDEX(Ingredients!$B$5:$B$304,MATCH(B1117,Ingredients!$A$5:$A$304,0)),""))</f>
        <v>0</v>
      </c>
      <c r="F1117" s="8">
        <f>IF(B1117="","",IFERROR(INDEX(Ingredients!$E$5:$E$304,MATCH(B1117,Ingredients!$A$5:$A$304,0)),""))</f>
        <v>0</v>
      </c>
      <c r="G1117" s="8">
        <f>IF(B1117="","",IFERROR(INDEX(Ingredients!$D$5:$D$304,MATCH(B1117,Ingredients!$A$5:$A$304,0)),""))</f>
        <v>0</v>
      </c>
      <c r="H1117" s="8">
        <f>IF(OR(B1117="",C1117=""),"",IFERROR(C1117*G1117,""))</f>
        <v>0</v>
      </c>
      <c r="I1117" s="8">
        <f>IF(A1117="","",IFERROR(INDEX(Recipes!$D$5:$D$204,MATCH(A1117,Recipes!$A$5:$A$204,0)),""))</f>
        <v>0</v>
      </c>
      <c r="J1117" s="8">
        <f>IF(OR(H1117="",I1117="",I1117=0),"",IFERROR(H1117/I1117,""))</f>
        <v>0</v>
      </c>
      <c r="K1117" s="8">
        <f>IF(OR(B1117="",C1117=""),"",IFERROR(C1117*IFERROR(INDEX(Ingredients!$H$5:$H$304,MATCH(B1117,Ingredients!$A$5:$A$304,0)),""),""))</f>
        <v>0</v>
      </c>
      <c r="L1117" s="8">
        <f>IF(OR(B1117="",C1117=""),"",IFERROR(C1117*IFERROR(INDEX(Ingredients!$I$5:$I$304,MATCH(B1117,Ingredients!$A$5:$A$304,0)),""),""))</f>
        <v>0</v>
      </c>
      <c r="M1117" s="8">
        <f>IF(OR(B1117="",C1117=""),"",IFERROR(C1117*IFERROR(INDEX(Ingredients!$J$5:$J$304,MATCH(B1117,Ingredients!$A$5:$A$304,0)),""),""))</f>
        <v>0</v>
      </c>
      <c r="N1117" s="8">
        <f>IF(OR(B1117="",C1117=""),"",IFERROR(C1117*IFERROR(INDEX(Ingredients!$K$5:$K$304,MATCH(B1117,Ingredients!$A$5:$A$304,0)),""),""))</f>
        <v>0</v>
      </c>
      <c r="O1117" s="8">
        <f>IF(OR(B1117="",C1117=""),"",IFERROR(C1117*IFERROR(INDEX(Ingredients!$L$5:$L$304,MATCH(B1117,Ingredients!$A$5:$A$304,0)),""),""))</f>
        <v>0</v>
      </c>
      <c r="P1117" s="8">
        <f>IF(OR(H1117="",A1117=""),"",IFERROR(H1117/SUMIFS('Recipe Ingredients'!$H$5:$H$1204,'Recipe Ingredients'!$A$5:$A$1204,A1117),""))</f>
        <v>0</v>
      </c>
      <c r="Q1117" s="8">
        <f>IF(H1117="","",COUNTIFS($H$5:$H$1204,"&gt;"&amp;H1117)+1)</f>
        <v>0</v>
      </c>
      <c r="R1117" s="8">
        <f>IF(B1117="","",SUMIFS(Pantry!$C$5:$C$304,Pantry!$A$5:$A$304,B1117))</f>
        <v>0</v>
      </c>
      <c r="S1117" s="8">
        <f>IF(OR(B1117="",C1117=""),"",MAX(0,C1117-R1117))</f>
        <v>0</v>
      </c>
      <c r="T1117" s="26"/>
      <c r="U1117" s="8">
        <f>IF(OR(T1117="",T1117=0,G1117=""),"",T1117*G1117)</f>
        <v>0</v>
      </c>
      <c r="V1117" s="8">
        <f>IF(OR(S1117="",T1117="",T1117=0),"",CEILING(S1117/T1117,1))</f>
        <v>0</v>
      </c>
      <c r="W1117" s="27"/>
      <c r="X1117" s="29"/>
      <c r="Y1117" s="8">
        <f>IF(OR(C1117="",X1117=""),"",C1117*(1+X1117))</f>
        <v>0</v>
      </c>
      <c r="Z1117" s="8">
        <f>IF(B1117="","",IFERROR(INDEX(Ingredients!$O$5:$O$304,MATCH(B1117,Ingredients!$A$5:$A$304,0)),""))</f>
        <v>0</v>
      </c>
      <c r="AA1117" s="8">
        <f>IF(B1117="","",IF(R1117&gt;=C1117,"In pantry","To buy"))</f>
        <v>0</v>
      </c>
      <c r="AB1117" s="8">
        <f>IF(A1117="","",COUNTIFS($A$5:A1117,A1117))</f>
        <v>0</v>
      </c>
      <c r="AC1117" s="8">
        <f>IF(B1117="","",IF(COUNTIFS('Dietary Filters'!$C$5:$C$104,B1117)&gt;0,"Check","OK"))</f>
        <v>0</v>
      </c>
      <c r="AD1117" s="25"/>
    </row>
    <row r="1118" spans="1:30">
      <c r="A1118" s="7"/>
      <c r="B1118" s="7"/>
      <c r="C1118" s="26"/>
      <c r="D1118" s="27"/>
      <c r="E1118" s="8">
        <f>IF(B1118="","",IFERROR(INDEX(Ingredients!$B$5:$B$304,MATCH(B1118,Ingredients!$A$5:$A$304,0)),""))</f>
        <v>0</v>
      </c>
      <c r="F1118" s="8">
        <f>IF(B1118="","",IFERROR(INDEX(Ingredients!$E$5:$E$304,MATCH(B1118,Ingredients!$A$5:$A$304,0)),""))</f>
        <v>0</v>
      </c>
      <c r="G1118" s="8">
        <f>IF(B1118="","",IFERROR(INDEX(Ingredients!$D$5:$D$304,MATCH(B1118,Ingredients!$A$5:$A$304,0)),""))</f>
        <v>0</v>
      </c>
      <c r="H1118" s="8">
        <f>IF(OR(B1118="",C1118=""),"",IFERROR(C1118*G1118,""))</f>
        <v>0</v>
      </c>
      <c r="I1118" s="8">
        <f>IF(A1118="","",IFERROR(INDEX(Recipes!$D$5:$D$204,MATCH(A1118,Recipes!$A$5:$A$204,0)),""))</f>
        <v>0</v>
      </c>
      <c r="J1118" s="8">
        <f>IF(OR(H1118="",I1118="",I1118=0),"",IFERROR(H1118/I1118,""))</f>
        <v>0</v>
      </c>
      <c r="K1118" s="8">
        <f>IF(OR(B1118="",C1118=""),"",IFERROR(C1118*IFERROR(INDEX(Ingredients!$H$5:$H$304,MATCH(B1118,Ingredients!$A$5:$A$304,0)),""),""))</f>
        <v>0</v>
      </c>
      <c r="L1118" s="8">
        <f>IF(OR(B1118="",C1118=""),"",IFERROR(C1118*IFERROR(INDEX(Ingredients!$I$5:$I$304,MATCH(B1118,Ingredients!$A$5:$A$304,0)),""),""))</f>
        <v>0</v>
      </c>
      <c r="M1118" s="8">
        <f>IF(OR(B1118="",C1118=""),"",IFERROR(C1118*IFERROR(INDEX(Ingredients!$J$5:$J$304,MATCH(B1118,Ingredients!$A$5:$A$304,0)),""),""))</f>
        <v>0</v>
      </c>
      <c r="N1118" s="8">
        <f>IF(OR(B1118="",C1118=""),"",IFERROR(C1118*IFERROR(INDEX(Ingredients!$K$5:$K$304,MATCH(B1118,Ingredients!$A$5:$A$304,0)),""),""))</f>
        <v>0</v>
      </c>
      <c r="O1118" s="8">
        <f>IF(OR(B1118="",C1118=""),"",IFERROR(C1118*IFERROR(INDEX(Ingredients!$L$5:$L$304,MATCH(B1118,Ingredients!$A$5:$A$304,0)),""),""))</f>
        <v>0</v>
      </c>
      <c r="P1118" s="8">
        <f>IF(OR(H1118="",A1118=""),"",IFERROR(H1118/SUMIFS('Recipe Ingredients'!$H$5:$H$1204,'Recipe Ingredients'!$A$5:$A$1204,A1118),""))</f>
        <v>0</v>
      </c>
      <c r="Q1118" s="8">
        <f>IF(H1118="","",COUNTIFS($H$5:$H$1204,"&gt;"&amp;H1118)+1)</f>
        <v>0</v>
      </c>
      <c r="R1118" s="8">
        <f>IF(B1118="","",SUMIFS(Pantry!$C$5:$C$304,Pantry!$A$5:$A$304,B1118))</f>
        <v>0</v>
      </c>
      <c r="S1118" s="8">
        <f>IF(OR(B1118="",C1118=""),"",MAX(0,C1118-R1118))</f>
        <v>0</v>
      </c>
      <c r="T1118" s="26"/>
      <c r="U1118" s="8">
        <f>IF(OR(T1118="",T1118=0,G1118=""),"",T1118*G1118)</f>
        <v>0</v>
      </c>
      <c r="V1118" s="8">
        <f>IF(OR(S1118="",T1118="",T1118=0),"",CEILING(S1118/T1118,1))</f>
        <v>0</v>
      </c>
      <c r="W1118" s="27"/>
      <c r="X1118" s="29"/>
      <c r="Y1118" s="8">
        <f>IF(OR(C1118="",X1118=""),"",C1118*(1+X1118))</f>
        <v>0</v>
      </c>
      <c r="Z1118" s="8">
        <f>IF(B1118="","",IFERROR(INDEX(Ingredients!$O$5:$O$304,MATCH(B1118,Ingredients!$A$5:$A$304,0)),""))</f>
        <v>0</v>
      </c>
      <c r="AA1118" s="8">
        <f>IF(B1118="","",IF(R1118&gt;=C1118,"In pantry","To buy"))</f>
        <v>0</v>
      </c>
      <c r="AB1118" s="8">
        <f>IF(A1118="","",COUNTIFS($A$5:A1118,A1118))</f>
        <v>0</v>
      </c>
      <c r="AC1118" s="8">
        <f>IF(B1118="","",IF(COUNTIFS('Dietary Filters'!$C$5:$C$104,B1118)&gt;0,"Check","OK"))</f>
        <v>0</v>
      </c>
      <c r="AD1118" s="25"/>
    </row>
    <row r="1119" spans="1:30">
      <c r="A1119" s="7"/>
      <c r="B1119" s="7"/>
      <c r="C1119" s="26"/>
      <c r="D1119" s="27"/>
      <c r="E1119" s="8">
        <f>IF(B1119="","",IFERROR(INDEX(Ingredients!$B$5:$B$304,MATCH(B1119,Ingredients!$A$5:$A$304,0)),""))</f>
        <v>0</v>
      </c>
      <c r="F1119" s="8">
        <f>IF(B1119="","",IFERROR(INDEX(Ingredients!$E$5:$E$304,MATCH(B1119,Ingredients!$A$5:$A$304,0)),""))</f>
        <v>0</v>
      </c>
      <c r="G1119" s="8">
        <f>IF(B1119="","",IFERROR(INDEX(Ingredients!$D$5:$D$304,MATCH(B1119,Ingredients!$A$5:$A$304,0)),""))</f>
        <v>0</v>
      </c>
      <c r="H1119" s="8">
        <f>IF(OR(B1119="",C1119=""),"",IFERROR(C1119*G1119,""))</f>
        <v>0</v>
      </c>
      <c r="I1119" s="8">
        <f>IF(A1119="","",IFERROR(INDEX(Recipes!$D$5:$D$204,MATCH(A1119,Recipes!$A$5:$A$204,0)),""))</f>
        <v>0</v>
      </c>
      <c r="J1119" s="8">
        <f>IF(OR(H1119="",I1119="",I1119=0),"",IFERROR(H1119/I1119,""))</f>
        <v>0</v>
      </c>
      <c r="K1119" s="8">
        <f>IF(OR(B1119="",C1119=""),"",IFERROR(C1119*IFERROR(INDEX(Ingredients!$H$5:$H$304,MATCH(B1119,Ingredients!$A$5:$A$304,0)),""),""))</f>
        <v>0</v>
      </c>
      <c r="L1119" s="8">
        <f>IF(OR(B1119="",C1119=""),"",IFERROR(C1119*IFERROR(INDEX(Ingredients!$I$5:$I$304,MATCH(B1119,Ingredients!$A$5:$A$304,0)),""),""))</f>
        <v>0</v>
      </c>
      <c r="M1119" s="8">
        <f>IF(OR(B1119="",C1119=""),"",IFERROR(C1119*IFERROR(INDEX(Ingredients!$J$5:$J$304,MATCH(B1119,Ingredients!$A$5:$A$304,0)),""),""))</f>
        <v>0</v>
      </c>
      <c r="N1119" s="8">
        <f>IF(OR(B1119="",C1119=""),"",IFERROR(C1119*IFERROR(INDEX(Ingredients!$K$5:$K$304,MATCH(B1119,Ingredients!$A$5:$A$304,0)),""),""))</f>
        <v>0</v>
      </c>
      <c r="O1119" s="8">
        <f>IF(OR(B1119="",C1119=""),"",IFERROR(C1119*IFERROR(INDEX(Ingredients!$L$5:$L$304,MATCH(B1119,Ingredients!$A$5:$A$304,0)),""),""))</f>
        <v>0</v>
      </c>
      <c r="P1119" s="8">
        <f>IF(OR(H1119="",A1119=""),"",IFERROR(H1119/SUMIFS('Recipe Ingredients'!$H$5:$H$1204,'Recipe Ingredients'!$A$5:$A$1204,A1119),""))</f>
        <v>0</v>
      </c>
      <c r="Q1119" s="8">
        <f>IF(H1119="","",COUNTIFS($H$5:$H$1204,"&gt;"&amp;H1119)+1)</f>
        <v>0</v>
      </c>
      <c r="R1119" s="8">
        <f>IF(B1119="","",SUMIFS(Pantry!$C$5:$C$304,Pantry!$A$5:$A$304,B1119))</f>
        <v>0</v>
      </c>
      <c r="S1119" s="8">
        <f>IF(OR(B1119="",C1119=""),"",MAX(0,C1119-R1119))</f>
        <v>0</v>
      </c>
      <c r="T1119" s="26"/>
      <c r="U1119" s="8">
        <f>IF(OR(T1119="",T1119=0,G1119=""),"",T1119*G1119)</f>
        <v>0</v>
      </c>
      <c r="V1119" s="8">
        <f>IF(OR(S1119="",T1119="",T1119=0),"",CEILING(S1119/T1119,1))</f>
        <v>0</v>
      </c>
      <c r="W1119" s="27"/>
      <c r="X1119" s="29"/>
      <c r="Y1119" s="8">
        <f>IF(OR(C1119="",X1119=""),"",C1119*(1+X1119))</f>
        <v>0</v>
      </c>
      <c r="Z1119" s="8">
        <f>IF(B1119="","",IFERROR(INDEX(Ingredients!$O$5:$O$304,MATCH(B1119,Ingredients!$A$5:$A$304,0)),""))</f>
        <v>0</v>
      </c>
      <c r="AA1119" s="8">
        <f>IF(B1119="","",IF(R1119&gt;=C1119,"In pantry","To buy"))</f>
        <v>0</v>
      </c>
      <c r="AB1119" s="8">
        <f>IF(A1119="","",COUNTIFS($A$5:A1119,A1119))</f>
        <v>0</v>
      </c>
      <c r="AC1119" s="8">
        <f>IF(B1119="","",IF(COUNTIFS('Dietary Filters'!$C$5:$C$104,B1119)&gt;0,"Check","OK"))</f>
        <v>0</v>
      </c>
      <c r="AD1119" s="25"/>
    </row>
    <row r="1120" spans="1:30">
      <c r="A1120" s="7"/>
      <c r="B1120" s="7"/>
      <c r="C1120" s="26"/>
      <c r="D1120" s="27"/>
      <c r="E1120" s="8">
        <f>IF(B1120="","",IFERROR(INDEX(Ingredients!$B$5:$B$304,MATCH(B1120,Ingredients!$A$5:$A$304,0)),""))</f>
        <v>0</v>
      </c>
      <c r="F1120" s="8">
        <f>IF(B1120="","",IFERROR(INDEX(Ingredients!$E$5:$E$304,MATCH(B1120,Ingredients!$A$5:$A$304,0)),""))</f>
        <v>0</v>
      </c>
      <c r="G1120" s="8">
        <f>IF(B1120="","",IFERROR(INDEX(Ingredients!$D$5:$D$304,MATCH(B1120,Ingredients!$A$5:$A$304,0)),""))</f>
        <v>0</v>
      </c>
      <c r="H1120" s="8">
        <f>IF(OR(B1120="",C1120=""),"",IFERROR(C1120*G1120,""))</f>
        <v>0</v>
      </c>
      <c r="I1120" s="8">
        <f>IF(A1120="","",IFERROR(INDEX(Recipes!$D$5:$D$204,MATCH(A1120,Recipes!$A$5:$A$204,0)),""))</f>
        <v>0</v>
      </c>
      <c r="J1120" s="8">
        <f>IF(OR(H1120="",I1120="",I1120=0),"",IFERROR(H1120/I1120,""))</f>
        <v>0</v>
      </c>
      <c r="K1120" s="8">
        <f>IF(OR(B1120="",C1120=""),"",IFERROR(C1120*IFERROR(INDEX(Ingredients!$H$5:$H$304,MATCH(B1120,Ingredients!$A$5:$A$304,0)),""),""))</f>
        <v>0</v>
      </c>
      <c r="L1120" s="8">
        <f>IF(OR(B1120="",C1120=""),"",IFERROR(C1120*IFERROR(INDEX(Ingredients!$I$5:$I$304,MATCH(B1120,Ingredients!$A$5:$A$304,0)),""),""))</f>
        <v>0</v>
      </c>
      <c r="M1120" s="8">
        <f>IF(OR(B1120="",C1120=""),"",IFERROR(C1120*IFERROR(INDEX(Ingredients!$J$5:$J$304,MATCH(B1120,Ingredients!$A$5:$A$304,0)),""),""))</f>
        <v>0</v>
      </c>
      <c r="N1120" s="8">
        <f>IF(OR(B1120="",C1120=""),"",IFERROR(C1120*IFERROR(INDEX(Ingredients!$K$5:$K$304,MATCH(B1120,Ingredients!$A$5:$A$304,0)),""),""))</f>
        <v>0</v>
      </c>
      <c r="O1120" s="8">
        <f>IF(OR(B1120="",C1120=""),"",IFERROR(C1120*IFERROR(INDEX(Ingredients!$L$5:$L$304,MATCH(B1120,Ingredients!$A$5:$A$304,0)),""),""))</f>
        <v>0</v>
      </c>
      <c r="P1120" s="8">
        <f>IF(OR(H1120="",A1120=""),"",IFERROR(H1120/SUMIFS('Recipe Ingredients'!$H$5:$H$1204,'Recipe Ingredients'!$A$5:$A$1204,A1120),""))</f>
        <v>0</v>
      </c>
      <c r="Q1120" s="8">
        <f>IF(H1120="","",COUNTIFS($H$5:$H$1204,"&gt;"&amp;H1120)+1)</f>
        <v>0</v>
      </c>
      <c r="R1120" s="8">
        <f>IF(B1120="","",SUMIFS(Pantry!$C$5:$C$304,Pantry!$A$5:$A$304,B1120))</f>
        <v>0</v>
      </c>
      <c r="S1120" s="8">
        <f>IF(OR(B1120="",C1120=""),"",MAX(0,C1120-R1120))</f>
        <v>0</v>
      </c>
      <c r="T1120" s="26"/>
      <c r="U1120" s="8">
        <f>IF(OR(T1120="",T1120=0,G1120=""),"",T1120*G1120)</f>
        <v>0</v>
      </c>
      <c r="V1120" s="8">
        <f>IF(OR(S1120="",T1120="",T1120=0),"",CEILING(S1120/T1120,1))</f>
        <v>0</v>
      </c>
      <c r="W1120" s="27"/>
      <c r="X1120" s="29"/>
      <c r="Y1120" s="8">
        <f>IF(OR(C1120="",X1120=""),"",C1120*(1+X1120))</f>
        <v>0</v>
      </c>
      <c r="Z1120" s="8">
        <f>IF(B1120="","",IFERROR(INDEX(Ingredients!$O$5:$O$304,MATCH(B1120,Ingredients!$A$5:$A$304,0)),""))</f>
        <v>0</v>
      </c>
      <c r="AA1120" s="8">
        <f>IF(B1120="","",IF(R1120&gt;=C1120,"In pantry","To buy"))</f>
        <v>0</v>
      </c>
      <c r="AB1120" s="8">
        <f>IF(A1120="","",COUNTIFS($A$5:A1120,A1120))</f>
        <v>0</v>
      </c>
      <c r="AC1120" s="8">
        <f>IF(B1120="","",IF(COUNTIFS('Dietary Filters'!$C$5:$C$104,B1120)&gt;0,"Check","OK"))</f>
        <v>0</v>
      </c>
      <c r="AD1120" s="25"/>
    </row>
    <row r="1121" spans="1:30">
      <c r="A1121" s="7"/>
      <c r="B1121" s="7"/>
      <c r="C1121" s="26"/>
      <c r="D1121" s="27"/>
      <c r="E1121" s="8">
        <f>IF(B1121="","",IFERROR(INDEX(Ingredients!$B$5:$B$304,MATCH(B1121,Ingredients!$A$5:$A$304,0)),""))</f>
        <v>0</v>
      </c>
      <c r="F1121" s="8">
        <f>IF(B1121="","",IFERROR(INDEX(Ingredients!$E$5:$E$304,MATCH(B1121,Ingredients!$A$5:$A$304,0)),""))</f>
        <v>0</v>
      </c>
      <c r="G1121" s="8">
        <f>IF(B1121="","",IFERROR(INDEX(Ingredients!$D$5:$D$304,MATCH(B1121,Ingredients!$A$5:$A$304,0)),""))</f>
        <v>0</v>
      </c>
      <c r="H1121" s="8">
        <f>IF(OR(B1121="",C1121=""),"",IFERROR(C1121*G1121,""))</f>
        <v>0</v>
      </c>
      <c r="I1121" s="8">
        <f>IF(A1121="","",IFERROR(INDEX(Recipes!$D$5:$D$204,MATCH(A1121,Recipes!$A$5:$A$204,0)),""))</f>
        <v>0</v>
      </c>
      <c r="J1121" s="8">
        <f>IF(OR(H1121="",I1121="",I1121=0),"",IFERROR(H1121/I1121,""))</f>
        <v>0</v>
      </c>
      <c r="K1121" s="8">
        <f>IF(OR(B1121="",C1121=""),"",IFERROR(C1121*IFERROR(INDEX(Ingredients!$H$5:$H$304,MATCH(B1121,Ingredients!$A$5:$A$304,0)),""),""))</f>
        <v>0</v>
      </c>
      <c r="L1121" s="8">
        <f>IF(OR(B1121="",C1121=""),"",IFERROR(C1121*IFERROR(INDEX(Ingredients!$I$5:$I$304,MATCH(B1121,Ingredients!$A$5:$A$304,0)),""),""))</f>
        <v>0</v>
      </c>
      <c r="M1121" s="8">
        <f>IF(OR(B1121="",C1121=""),"",IFERROR(C1121*IFERROR(INDEX(Ingredients!$J$5:$J$304,MATCH(B1121,Ingredients!$A$5:$A$304,0)),""),""))</f>
        <v>0</v>
      </c>
      <c r="N1121" s="8">
        <f>IF(OR(B1121="",C1121=""),"",IFERROR(C1121*IFERROR(INDEX(Ingredients!$K$5:$K$304,MATCH(B1121,Ingredients!$A$5:$A$304,0)),""),""))</f>
        <v>0</v>
      </c>
      <c r="O1121" s="8">
        <f>IF(OR(B1121="",C1121=""),"",IFERROR(C1121*IFERROR(INDEX(Ingredients!$L$5:$L$304,MATCH(B1121,Ingredients!$A$5:$A$304,0)),""),""))</f>
        <v>0</v>
      </c>
      <c r="P1121" s="8">
        <f>IF(OR(H1121="",A1121=""),"",IFERROR(H1121/SUMIFS('Recipe Ingredients'!$H$5:$H$1204,'Recipe Ingredients'!$A$5:$A$1204,A1121),""))</f>
        <v>0</v>
      </c>
      <c r="Q1121" s="8">
        <f>IF(H1121="","",COUNTIFS($H$5:$H$1204,"&gt;"&amp;H1121)+1)</f>
        <v>0</v>
      </c>
      <c r="R1121" s="8">
        <f>IF(B1121="","",SUMIFS(Pantry!$C$5:$C$304,Pantry!$A$5:$A$304,B1121))</f>
        <v>0</v>
      </c>
      <c r="S1121" s="8">
        <f>IF(OR(B1121="",C1121=""),"",MAX(0,C1121-R1121))</f>
        <v>0</v>
      </c>
      <c r="T1121" s="26"/>
      <c r="U1121" s="8">
        <f>IF(OR(T1121="",T1121=0,G1121=""),"",T1121*G1121)</f>
        <v>0</v>
      </c>
      <c r="V1121" s="8">
        <f>IF(OR(S1121="",T1121="",T1121=0),"",CEILING(S1121/T1121,1))</f>
        <v>0</v>
      </c>
      <c r="W1121" s="27"/>
      <c r="X1121" s="29"/>
      <c r="Y1121" s="8">
        <f>IF(OR(C1121="",X1121=""),"",C1121*(1+X1121))</f>
        <v>0</v>
      </c>
      <c r="Z1121" s="8">
        <f>IF(B1121="","",IFERROR(INDEX(Ingredients!$O$5:$O$304,MATCH(B1121,Ingredients!$A$5:$A$304,0)),""))</f>
        <v>0</v>
      </c>
      <c r="AA1121" s="8">
        <f>IF(B1121="","",IF(R1121&gt;=C1121,"In pantry","To buy"))</f>
        <v>0</v>
      </c>
      <c r="AB1121" s="8">
        <f>IF(A1121="","",COUNTIFS($A$5:A1121,A1121))</f>
        <v>0</v>
      </c>
      <c r="AC1121" s="8">
        <f>IF(B1121="","",IF(COUNTIFS('Dietary Filters'!$C$5:$C$104,B1121)&gt;0,"Check","OK"))</f>
        <v>0</v>
      </c>
      <c r="AD1121" s="25"/>
    </row>
    <row r="1122" spans="1:30">
      <c r="A1122" s="7"/>
      <c r="B1122" s="7"/>
      <c r="C1122" s="26"/>
      <c r="D1122" s="27"/>
      <c r="E1122" s="8">
        <f>IF(B1122="","",IFERROR(INDEX(Ingredients!$B$5:$B$304,MATCH(B1122,Ingredients!$A$5:$A$304,0)),""))</f>
        <v>0</v>
      </c>
      <c r="F1122" s="8">
        <f>IF(B1122="","",IFERROR(INDEX(Ingredients!$E$5:$E$304,MATCH(B1122,Ingredients!$A$5:$A$304,0)),""))</f>
        <v>0</v>
      </c>
      <c r="G1122" s="8">
        <f>IF(B1122="","",IFERROR(INDEX(Ingredients!$D$5:$D$304,MATCH(B1122,Ingredients!$A$5:$A$304,0)),""))</f>
        <v>0</v>
      </c>
      <c r="H1122" s="8">
        <f>IF(OR(B1122="",C1122=""),"",IFERROR(C1122*G1122,""))</f>
        <v>0</v>
      </c>
      <c r="I1122" s="8">
        <f>IF(A1122="","",IFERROR(INDEX(Recipes!$D$5:$D$204,MATCH(A1122,Recipes!$A$5:$A$204,0)),""))</f>
        <v>0</v>
      </c>
      <c r="J1122" s="8">
        <f>IF(OR(H1122="",I1122="",I1122=0),"",IFERROR(H1122/I1122,""))</f>
        <v>0</v>
      </c>
      <c r="K1122" s="8">
        <f>IF(OR(B1122="",C1122=""),"",IFERROR(C1122*IFERROR(INDEX(Ingredients!$H$5:$H$304,MATCH(B1122,Ingredients!$A$5:$A$304,0)),""),""))</f>
        <v>0</v>
      </c>
      <c r="L1122" s="8">
        <f>IF(OR(B1122="",C1122=""),"",IFERROR(C1122*IFERROR(INDEX(Ingredients!$I$5:$I$304,MATCH(B1122,Ingredients!$A$5:$A$304,0)),""),""))</f>
        <v>0</v>
      </c>
      <c r="M1122" s="8">
        <f>IF(OR(B1122="",C1122=""),"",IFERROR(C1122*IFERROR(INDEX(Ingredients!$J$5:$J$304,MATCH(B1122,Ingredients!$A$5:$A$304,0)),""),""))</f>
        <v>0</v>
      </c>
      <c r="N1122" s="8">
        <f>IF(OR(B1122="",C1122=""),"",IFERROR(C1122*IFERROR(INDEX(Ingredients!$K$5:$K$304,MATCH(B1122,Ingredients!$A$5:$A$304,0)),""),""))</f>
        <v>0</v>
      </c>
      <c r="O1122" s="8">
        <f>IF(OR(B1122="",C1122=""),"",IFERROR(C1122*IFERROR(INDEX(Ingredients!$L$5:$L$304,MATCH(B1122,Ingredients!$A$5:$A$304,0)),""),""))</f>
        <v>0</v>
      </c>
      <c r="P1122" s="8">
        <f>IF(OR(H1122="",A1122=""),"",IFERROR(H1122/SUMIFS('Recipe Ingredients'!$H$5:$H$1204,'Recipe Ingredients'!$A$5:$A$1204,A1122),""))</f>
        <v>0</v>
      </c>
      <c r="Q1122" s="8">
        <f>IF(H1122="","",COUNTIFS($H$5:$H$1204,"&gt;"&amp;H1122)+1)</f>
        <v>0</v>
      </c>
      <c r="R1122" s="8">
        <f>IF(B1122="","",SUMIFS(Pantry!$C$5:$C$304,Pantry!$A$5:$A$304,B1122))</f>
        <v>0</v>
      </c>
      <c r="S1122" s="8">
        <f>IF(OR(B1122="",C1122=""),"",MAX(0,C1122-R1122))</f>
        <v>0</v>
      </c>
      <c r="T1122" s="26"/>
      <c r="U1122" s="8">
        <f>IF(OR(T1122="",T1122=0,G1122=""),"",T1122*G1122)</f>
        <v>0</v>
      </c>
      <c r="V1122" s="8">
        <f>IF(OR(S1122="",T1122="",T1122=0),"",CEILING(S1122/T1122,1))</f>
        <v>0</v>
      </c>
      <c r="W1122" s="27"/>
      <c r="X1122" s="29"/>
      <c r="Y1122" s="8">
        <f>IF(OR(C1122="",X1122=""),"",C1122*(1+X1122))</f>
        <v>0</v>
      </c>
      <c r="Z1122" s="8">
        <f>IF(B1122="","",IFERROR(INDEX(Ingredients!$O$5:$O$304,MATCH(B1122,Ingredients!$A$5:$A$304,0)),""))</f>
        <v>0</v>
      </c>
      <c r="AA1122" s="8">
        <f>IF(B1122="","",IF(R1122&gt;=C1122,"In pantry","To buy"))</f>
        <v>0</v>
      </c>
      <c r="AB1122" s="8">
        <f>IF(A1122="","",COUNTIFS($A$5:A1122,A1122))</f>
        <v>0</v>
      </c>
      <c r="AC1122" s="8">
        <f>IF(B1122="","",IF(COUNTIFS('Dietary Filters'!$C$5:$C$104,B1122)&gt;0,"Check","OK"))</f>
        <v>0</v>
      </c>
      <c r="AD1122" s="25"/>
    </row>
    <row r="1123" spans="1:30">
      <c r="A1123" s="7"/>
      <c r="B1123" s="7"/>
      <c r="C1123" s="26"/>
      <c r="D1123" s="27"/>
      <c r="E1123" s="8">
        <f>IF(B1123="","",IFERROR(INDEX(Ingredients!$B$5:$B$304,MATCH(B1123,Ingredients!$A$5:$A$304,0)),""))</f>
        <v>0</v>
      </c>
      <c r="F1123" s="8">
        <f>IF(B1123="","",IFERROR(INDEX(Ingredients!$E$5:$E$304,MATCH(B1123,Ingredients!$A$5:$A$304,0)),""))</f>
        <v>0</v>
      </c>
      <c r="G1123" s="8">
        <f>IF(B1123="","",IFERROR(INDEX(Ingredients!$D$5:$D$304,MATCH(B1123,Ingredients!$A$5:$A$304,0)),""))</f>
        <v>0</v>
      </c>
      <c r="H1123" s="8">
        <f>IF(OR(B1123="",C1123=""),"",IFERROR(C1123*G1123,""))</f>
        <v>0</v>
      </c>
      <c r="I1123" s="8">
        <f>IF(A1123="","",IFERROR(INDEX(Recipes!$D$5:$D$204,MATCH(A1123,Recipes!$A$5:$A$204,0)),""))</f>
        <v>0</v>
      </c>
      <c r="J1123" s="8">
        <f>IF(OR(H1123="",I1123="",I1123=0),"",IFERROR(H1123/I1123,""))</f>
        <v>0</v>
      </c>
      <c r="K1123" s="8">
        <f>IF(OR(B1123="",C1123=""),"",IFERROR(C1123*IFERROR(INDEX(Ingredients!$H$5:$H$304,MATCH(B1123,Ingredients!$A$5:$A$304,0)),""),""))</f>
        <v>0</v>
      </c>
      <c r="L1123" s="8">
        <f>IF(OR(B1123="",C1123=""),"",IFERROR(C1123*IFERROR(INDEX(Ingredients!$I$5:$I$304,MATCH(B1123,Ingredients!$A$5:$A$304,0)),""),""))</f>
        <v>0</v>
      </c>
      <c r="M1123" s="8">
        <f>IF(OR(B1123="",C1123=""),"",IFERROR(C1123*IFERROR(INDEX(Ingredients!$J$5:$J$304,MATCH(B1123,Ingredients!$A$5:$A$304,0)),""),""))</f>
        <v>0</v>
      </c>
      <c r="N1123" s="8">
        <f>IF(OR(B1123="",C1123=""),"",IFERROR(C1123*IFERROR(INDEX(Ingredients!$K$5:$K$304,MATCH(B1123,Ingredients!$A$5:$A$304,0)),""),""))</f>
        <v>0</v>
      </c>
      <c r="O1123" s="8">
        <f>IF(OR(B1123="",C1123=""),"",IFERROR(C1123*IFERROR(INDEX(Ingredients!$L$5:$L$304,MATCH(B1123,Ingredients!$A$5:$A$304,0)),""),""))</f>
        <v>0</v>
      </c>
      <c r="P1123" s="8">
        <f>IF(OR(H1123="",A1123=""),"",IFERROR(H1123/SUMIFS('Recipe Ingredients'!$H$5:$H$1204,'Recipe Ingredients'!$A$5:$A$1204,A1123),""))</f>
        <v>0</v>
      </c>
      <c r="Q1123" s="8">
        <f>IF(H1123="","",COUNTIFS($H$5:$H$1204,"&gt;"&amp;H1123)+1)</f>
        <v>0</v>
      </c>
      <c r="R1123" s="8">
        <f>IF(B1123="","",SUMIFS(Pantry!$C$5:$C$304,Pantry!$A$5:$A$304,B1123))</f>
        <v>0</v>
      </c>
      <c r="S1123" s="8">
        <f>IF(OR(B1123="",C1123=""),"",MAX(0,C1123-R1123))</f>
        <v>0</v>
      </c>
      <c r="T1123" s="26"/>
      <c r="U1123" s="8">
        <f>IF(OR(T1123="",T1123=0,G1123=""),"",T1123*G1123)</f>
        <v>0</v>
      </c>
      <c r="V1123" s="8">
        <f>IF(OR(S1123="",T1123="",T1123=0),"",CEILING(S1123/T1123,1))</f>
        <v>0</v>
      </c>
      <c r="W1123" s="27"/>
      <c r="X1123" s="29"/>
      <c r="Y1123" s="8">
        <f>IF(OR(C1123="",X1123=""),"",C1123*(1+X1123))</f>
        <v>0</v>
      </c>
      <c r="Z1123" s="8">
        <f>IF(B1123="","",IFERROR(INDEX(Ingredients!$O$5:$O$304,MATCH(B1123,Ingredients!$A$5:$A$304,0)),""))</f>
        <v>0</v>
      </c>
      <c r="AA1123" s="8">
        <f>IF(B1123="","",IF(R1123&gt;=C1123,"In pantry","To buy"))</f>
        <v>0</v>
      </c>
      <c r="AB1123" s="8">
        <f>IF(A1123="","",COUNTIFS($A$5:A1123,A1123))</f>
        <v>0</v>
      </c>
      <c r="AC1123" s="8">
        <f>IF(B1123="","",IF(COUNTIFS('Dietary Filters'!$C$5:$C$104,B1123)&gt;0,"Check","OK"))</f>
        <v>0</v>
      </c>
      <c r="AD1123" s="25"/>
    </row>
    <row r="1124" spans="1:30">
      <c r="A1124" s="7"/>
      <c r="B1124" s="7"/>
      <c r="C1124" s="26"/>
      <c r="D1124" s="27"/>
      <c r="E1124" s="8">
        <f>IF(B1124="","",IFERROR(INDEX(Ingredients!$B$5:$B$304,MATCH(B1124,Ingredients!$A$5:$A$304,0)),""))</f>
        <v>0</v>
      </c>
      <c r="F1124" s="8">
        <f>IF(B1124="","",IFERROR(INDEX(Ingredients!$E$5:$E$304,MATCH(B1124,Ingredients!$A$5:$A$304,0)),""))</f>
        <v>0</v>
      </c>
      <c r="G1124" s="8">
        <f>IF(B1124="","",IFERROR(INDEX(Ingredients!$D$5:$D$304,MATCH(B1124,Ingredients!$A$5:$A$304,0)),""))</f>
        <v>0</v>
      </c>
      <c r="H1124" s="8">
        <f>IF(OR(B1124="",C1124=""),"",IFERROR(C1124*G1124,""))</f>
        <v>0</v>
      </c>
      <c r="I1124" s="8">
        <f>IF(A1124="","",IFERROR(INDEX(Recipes!$D$5:$D$204,MATCH(A1124,Recipes!$A$5:$A$204,0)),""))</f>
        <v>0</v>
      </c>
      <c r="J1124" s="8">
        <f>IF(OR(H1124="",I1124="",I1124=0),"",IFERROR(H1124/I1124,""))</f>
        <v>0</v>
      </c>
      <c r="K1124" s="8">
        <f>IF(OR(B1124="",C1124=""),"",IFERROR(C1124*IFERROR(INDEX(Ingredients!$H$5:$H$304,MATCH(B1124,Ingredients!$A$5:$A$304,0)),""),""))</f>
        <v>0</v>
      </c>
      <c r="L1124" s="8">
        <f>IF(OR(B1124="",C1124=""),"",IFERROR(C1124*IFERROR(INDEX(Ingredients!$I$5:$I$304,MATCH(B1124,Ingredients!$A$5:$A$304,0)),""),""))</f>
        <v>0</v>
      </c>
      <c r="M1124" s="8">
        <f>IF(OR(B1124="",C1124=""),"",IFERROR(C1124*IFERROR(INDEX(Ingredients!$J$5:$J$304,MATCH(B1124,Ingredients!$A$5:$A$304,0)),""),""))</f>
        <v>0</v>
      </c>
      <c r="N1124" s="8">
        <f>IF(OR(B1124="",C1124=""),"",IFERROR(C1124*IFERROR(INDEX(Ingredients!$K$5:$K$304,MATCH(B1124,Ingredients!$A$5:$A$304,0)),""),""))</f>
        <v>0</v>
      </c>
      <c r="O1124" s="8">
        <f>IF(OR(B1124="",C1124=""),"",IFERROR(C1124*IFERROR(INDEX(Ingredients!$L$5:$L$304,MATCH(B1124,Ingredients!$A$5:$A$304,0)),""),""))</f>
        <v>0</v>
      </c>
      <c r="P1124" s="8">
        <f>IF(OR(H1124="",A1124=""),"",IFERROR(H1124/SUMIFS('Recipe Ingredients'!$H$5:$H$1204,'Recipe Ingredients'!$A$5:$A$1204,A1124),""))</f>
        <v>0</v>
      </c>
      <c r="Q1124" s="8">
        <f>IF(H1124="","",COUNTIFS($H$5:$H$1204,"&gt;"&amp;H1124)+1)</f>
        <v>0</v>
      </c>
      <c r="R1124" s="8">
        <f>IF(B1124="","",SUMIFS(Pantry!$C$5:$C$304,Pantry!$A$5:$A$304,B1124))</f>
        <v>0</v>
      </c>
      <c r="S1124" s="8">
        <f>IF(OR(B1124="",C1124=""),"",MAX(0,C1124-R1124))</f>
        <v>0</v>
      </c>
      <c r="T1124" s="26"/>
      <c r="U1124" s="8">
        <f>IF(OR(T1124="",T1124=0,G1124=""),"",T1124*G1124)</f>
        <v>0</v>
      </c>
      <c r="V1124" s="8">
        <f>IF(OR(S1124="",T1124="",T1124=0),"",CEILING(S1124/T1124,1))</f>
        <v>0</v>
      </c>
      <c r="W1124" s="27"/>
      <c r="X1124" s="29"/>
      <c r="Y1124" s="8">
        <f>IF(OR(C1124="",X1124=""),"",C1124*(1+X1124))</f>
        <v>0</v>
      </c>
      <c r="Z1124" s="8">
        <f>IF(B1124="","",IFERROR(INDEX(Ingredients!$O$5:$O$304,MATCH(B1124,Ingredients!$A$5:$A$304,0)),""))</f>
        <v>0</v>
      </c>
      <c r="AA1124" s="8">
        <f>IF(B1124="","",IF(R1124&gt;=C1124,"In pantry","To buy"))</f>
        <v>0</v>
      </c>
      <c r="AB1124" s="8">
        <f>IF(A1124="","",COUNTIFS($A$5:A1124,A1124))</f>
        <v>0</v>
      </c>
      <c r="AC1124" s="8">
        <f>IF(B1124="","",IF(COUNTIFS('Dietary Filters'!$C$5:$C$104,B1124)&gt;0,"Check","OK"))</f>
        <v>0</v>
      </c>
      <c r="AD1124" s="25"/>
    </row>
    <row r="1125" spans="1:30">
      <c r="A1125" s="7"/>
      <c r="B1125" s="7"/>
      <c r="C1125" s="26"/>
      <c r="D1125" s="27"/>
      <c r="E1125" s="8">
        <f>IF(B1125="","",IFERROR(INDEX(Ingredients!$B$5:$B$304,MATCH(B1125,Ingredients!$A$5:$A$304,0)),""))</f>
        <v>0</v>
      </c>
      <c r="F1125" s="8">
        <f>IF(B1125="","",IFERROR(INDEX(Ingredients!$E$5:$E$304,MATCH(B1125,Ingredients!$A$5:$A$304,0)),""))</f>
        <v>0</v>
      </c>
      <c r="G1125" s="8">
        <f>IF(B1125="","",IFERROR(INDEX(Ingredients!$D$5:$D$304,MATCH(B1125,Ingredients!$A$5:$A$304,0)),""))</f>
        <v>0</v>
      </c>
      <c r="H1125" s="8">
        <f>IF(OR(B1125="",C1125=""),"",IFERROR(C1125*G1125,""))</f>
        <v>0</v>
      </c>
      <c r="I1125" s="8">
        <f>IF(A1125="","",IFERROR(INDEX(Recipes!$D$5:$D$204,MATCH(A1125,Recipes!$A$5:$A$204,0)),""))</f>
        <v>0</v>
      </c>
      <c r="J1125" s="8">
        <f>IF(OR(H1125="",I1125="",I1125=0),"",IFERROR(H1125/I1125,""))</f>
        <v>0</v>
      </c>
      <c r="K1125" s="8">
        <f>IF(OR(B1125="",C1125=""),"",IFERROR(C1125*IFERROR(INDEX(Ingredients!$H$5:$H$304,MATCH(B1125,Ingredients!$A$5:$A$304,0)),""),""))</f>
        <v>0</v>
      </c>
      <c r="L1125" s="8">
        <f>IF(OR(B1125="",C1125=""),"",IFERROR(C1125*IFERROR(INDEX(Ingredients!$I$5:$I$304,MATCH(B1125,Ingredients!$A$5:$A$304,0)),""),""))</f>
        <v>0</v>
      </c>
      <c r="M1125" s="8">
        <f>IF(OR(B1125="",C1125=""),"",IFERROR(C1125*IFERROR(INDEX(Ingredients!$J$5:$J$304,MATCH(B1125,Ingredients!$A$5:$A$304,0)),""),""))</f>
        <v>0</v>
      </c>
      <c r="N1125" s="8">
        <f>IF(OR(B1125="",C1125=""),"",IFERROR(C1125*IFERROR(INDEX(Ingredients!$K$5:$K$304,MATCH(B1125,Ingredients!$A$5:$A$304,0)),""),""))</f>
        <v>0</v>
      </c>
      <c r="O1125" s="8">
        <f>IF(OR(B1125="",C1125=""),"",IFERROR(C1125*IFERROR(INDEX(Ingredients!$L$5:$L$304,MATCH(B1125,Ingredients!$A$5:$A$304,0)),""),""))</f>
        <v>0</v>
      </c>
      <c r="P1125" s="8">
        <f>IF(OR(H1125="",A1125=""),"",IFERROR(H1125/SUMIFS('Recipe Ingredients'!$H$5:$H$1204,'Recipe Ingredients'!$A$5:$A$1204,A1125),""))</f>
        <v>0</v>
      </c>
      <c r="Q1125" s="8">
        <f>IF(H1125="","",COUNTIFS($H$5:$H$1204,"&gt;"&amp;H1125)+1)</f>
        <v>0</v>
      </c>
      <c r="R1125" s="8">
        <f>IF(B1125="","",SUMIFS(Pantry!$C$5:$C$304,Pantry!$A$5:$A$304,B1125))</f>
        <v>0</v>
      </c>
      <c r="S1125" s="8">
        <f>IF(OR(B1125="",C1125=""),"",MAX(0,C1125-R1125))</f>
        <v>0</v>
      </c>
      <c r="T1125" s="26"/>
      <c r="U1125" s="8">
        <f>IF(OR(T1125="",T1125=0,G1125=""),"",T1125*G1125)</f>
        <v>0</v>
      </c>
      <c r="V1125" s="8">
        <f>IF(OR(S1125="",T1125="",T1125=0),"",CEILING(S1125/T1125,1))</f>
        <v>0</v>
      </c>
      <c r="W1125" s="27"/>
      <c r="X1125" s="29"/>
      <c r="Y1125" s="8">
        <f>IF(OR(C1125="",X1125=""),"",C1125*(1+X1125))</f>
        <v>0</v>
      </c>
      <c r="Z1125" s="8">
        <f>IF(B1125="","",IFERROR(INDEX(Ingredients!$O$5:$O$304,MATCH(B1125,Ingredients!$A$5:$A$304,0)),""))</f>
        <v>0</v>
      </c>
      <c r="AA1125" s="8">
        <f>IF(B1125="","",IF(R1125&gt;=C1125,"In pantry","To buy"))</f>
        <v>0</v>
      </c>
      <c r="AB1125" s="8">
        <f>IF(A1125="","",COUNTIFS($A$5:A1125,A1125))</f>
        <v>0</v>
      </c>
      <c r="AC1125" s="8">
        <f>IF(B1125="","",IF(COUNTIFS('Dietary Filters'!$C$5:$C$104,B1125)&gt;0,"Check","OK"))</f>
        <v>0</v>
      </c>
      <c r="AD1125" s="25"/>
    </row>
    <row r="1126" spans="1:30">
      <c r="A1126" s="7"/>
      <c r="B1126" s="7"/>
      <c r="C1126" s="26"/>
      <c r="D1126" s="27"/>
      <c r="E1126" s="8">
        <f>IF(B1126="","",IFERROR(INDEX(Ingredients!$B$5:$B$304,MATCH(B1126,Ingredients!$A$5:$A$304,0)),""))</f>
        <v>0</v>
      </c>
      <c r="F1126" s="8">
        <f>IF(B1126="","",IFERROR(INDEX(Ingredients!$E$5:$E$304,MATCH(B1126,Ingredients!$A$5:$A$304,0)),""))</f>
        <v>0</v>
      </c>
      <c r="G1126" s="8">
        <f>IF(B1126="","",IFERROR(INDEX(Ingredients!$D$5:$D$304,MATCH(B1126,Ingredients!$A$5:$A$304,0)),""))</f>
        <v>0</v>
      </c>
      <c r="H1126" s="8">
        <f>IF(OR(B1126="",C1126=""),"",IFERROR(C1126*G1126,""))</f>
        <v>0</v>
      </c>
      <c r="I1126" s="8">
        <f>IF(A1126="","",IFERROR(INDEX(Recipes!$D$5:$D$204,MATCH(A1126,Recipes!$A$5:$A$204,0)),""))</f>
        <v>0</v>
      </c>
      <c r="J1126" s="8">
        <f>IF(OR(H1126="",I1126="",I1126=0),"",IFERROR(H1126/I1126,""))</f>
        <v>0</v>
      </c>
      <c r="K1126" s="8">
        <f>IF(OR(B1126="",C1126=""),"",IFERROR(C1126*IFERROR(INDEX(Ingredients!$H$5:$H$304,MATCH(B1126,Ingredients!$A$5:$A$304,0)),""),""))</f>
        <v>0</v>
      </c>
      <c r="L1126" s="8">
        <f>IF(OR(B1126="",C1126=""),"",IFERROR(C1126*IFERROR(INDEX(Ingredients!$I$5:$I$304,MATCH(B1126,Ingredients!$A$5:$A$304,0)),""),""))</f>
        <v>0</v>
      </c>
      <c r="M1126" s="8">
        <f>IF(OR(B1126="",C1126=""),"",IFERROR(C1126*IFERROR(INDEX(Ingredients!$J$5:$J$304,MATCH(B1126,Ingredients!$A$5:$A$304,0)),""),""))</f>
        <v>0</v>
      </c>
      <c r="N1126" s="8">
        <f>IF(OR(B1126="",C1126=""),"",IFERROR(C1126*IFERROR(INDEX(Ingredients!$K$5:$K$304,MATCH(B1126,Ingredients!$A$5:$A$304,0)),""),""))</f>
        <v>0</v>
      </c>
      <c r="O1126" s="8">
        <f>IF(OR(B1126="",C1126=""),"",IFERROR(C1126*IFERROR(INDEX(Ingredients!$L$5:$L$304,MATCH(B1126,Ingredients!$A$5:$A$304,0)),""),""))</f>
        <v>0</v>
      </c>
      <c r="P1126" s="8">
        <f>IF(OR(H1126="",A1126=""),"",IFERROR(H1126/SUMIFS('Recipe Ingredients'!$H$5:$H$1204,'Recipe Ingredients'!$A$5:$A$1204,A1126),""))</f>
        <v>0</v>
      </c>
      <c r="Q1126" s="8">
        <f>IF(H1126="","",COUNTIFS($H$5:$H$1204,"&gt;"&amp;H1126)+1)</f>
        <v>0</v>
      </c>
      <c r="R1126" s="8">
        <f>IF(B1126="","",SUMIFS(Pantry!$C$5:$C$304,Pantry!$A$5:$A$304,B1126))</f>
        <v>0</v>
      </c>
      <c r="S1126" s="8">
        <f>IF(OR(B1126="",C1126=""),"",MAX(0,C1126-R1126))</f>
        <v>0</v>
      </c>
      <c r="T1126" s="26"/>
      <c r="U1126" s="8">
        <f>IF(OR(T1126="",T1126=0,G1126=""),"",T1126*G1126)</f>
        <v>0</v>
      </c>
      <c r="V1126" s="8">
        <f>IF(OR(S1126="",T1126="",T1126=0),"",CEILING(S1126/T1126,1))</f>
        <v>0</v>
      </c>
      <c r="W1126" s="27"/>
      <c r="X1126" s="29"/>
      <c r="Y1126" s="8">
        <f>IF(OR(C1126="",X1126=""),"",C1126*(1+X1126))</f>
        <v>0</v>
      </c>
      <c r="Z1126" s="8">
        <f>IF(B1126="","",IFERROR(INDEX(Ingredients!$O$5:$O$304,MATCH(B1126,Ingredients!$A$5:$A$304,0)),""))</f>
        <v>0</v>
      </c>
      <c r="AA1126" s="8">
        <f>IF(B1126="","",IF(R1126&gt;=C1126,"In pantry","To buy"))</f>
        <v>0</v>
      </c>
      <c r="AB1126" s="8">
        <f>IF(A1126="","",COUNTIFS($A$5:A1126,A1126))</f>
        <v>0</v>
      </c>
      <c r="AC1126" s="8">
        <f>IF(B1126="","",IF(COUNTIFS('Dietary Filters'!$C$5:$C$104,B1126)&gt;0,"Check","OK"))</f>
        <v>0</v>
      </c>
      <c r="AD1126" s="25"/>
    </row>
    <row r="1127" spans="1:30">
      <c r="A1127" s="7"/>
      <c r="B1127" s="7"/>
      <c r="C1127" s="26"/>
      <c r="D1127" s="27"/>
      <c r="E1127" s="8">
        <f>IF(B1127="","",IFERROR(INDEX(Ingredients!$B$5:$B$304,MATCH(B1127,Ingredients!$A$5:$A$304,0)),""))</f>
        <v>0</v>
      </c>
      <c r="F1127" s="8">
        <f>IF(B1127="","",IFERROR(INDEX(Ingredients!$E$5:$E$304,MATCH(B1127,Ingredients!$A$5:$A$304,0)),""))</f>
        <v>0</v>
      </c>
      <c r="G1127" s="8">
        <f>IF(B1127="","",IFERROR(INDEX(Ingredients!$D$5:$D$304,MATCH(B1127,Ingredients!$A$5:$A$304,0)),""))</f>
        <v>0</v>
      </c>
      <c r="H1127" s="8">
        <f>IF(OR(B1127="",C1127=""),"",IFERROR(C1127*G1127,""))</f>
        <v>0</v>
      </c>
      <c r="I1127" s="8">
        <f>IF(A1127="","",IFERROR(INDEX(Recipes!$D$5:$D$204,MATCH(A1127,Recipes!$A$5:$A$204,0)),""))</f>
        <v>0</v>
      </c>
      <c r="J1127" s="8">
        <f>IF(OR(H1127="",I1127="",I1127=0),"",IFERROR(H1127/I1127,""))</f>
        <v>0</v>
      </c>
      <c r="K1127" s="8">
        <f>IF(OR(B1127="",C1127=""),"",IFERROR(C1127*IFERROR(INDEX(Ingredients!$H$5:$H$304,MATCH(B1127,Ingredients!$A$5:$A$304,0)),""),""))</f>
        <v>0</v>
      </c>
      <c r="L1127" s="8">
        <f>IF(OR(B1127="",C1127=""),"",IFERROR(C1127*IFERROR(INDEX(Ingredients!$I$5:$I$304,MATCH(B1127,Ingredients!$A$5:$A$304,0)),""),""))</f>
        <v>0</v>
      </c>
      <c r="M1127" s="8">
        <f>IF(OR(B1127="",C1127=""),"",IFERROR(C1127*IFERROR(INDEX(Ingredients!$J$5:$J$304,MATCH(B1127,Ingredients!$A$5:$A$304,0)),""),""))</f>
        <v>0</v>
      </c>
      <c r="N1127" s="8">
        <f>IF(OR(B1127="",C1127=""),"",IFERROR(C1127*IFERROR(INDEX(Ingredients!$K$5:$K$304,MATCH(B1127,Ingredients!$A$5:$A$304,0)),""),""))</f>
        <v>0</v>
      </c>
      <c r="O1127" s="8">
        <f>IF(OR(B1127="",C1127=""),"",IFERROR(C1127*IFERROR(INDEX(Ingredients!$L$5:$L$304,MATCH(B1127,Ingredients!$A$5:$A$304,0)),""),""))</f>
        <v>0</v>
      </c>
      <c r="P1127" s="8">
        <f>IF(OR(H1127="",A1127=""),"",IFERROR(H1127/SUMIFS('Recipe Ingredients'!$H$5:$H$1204,'Recipe Ingredients'!$A$5:$A$1204,A1127),""))</f>
        <v>0</v>
      </c>
      <c r="Q1127" s="8">
        <f>IF(H1127="","",COUNTIFS($H$5:$H$1204,"&gt;"&amp;H1127)+1)</f>
        <v>0</v>
      </c>
      <c r="R1127" s="8">
        <f>IF(B1127="","",SUMIFS(Pantry!$C$5:$C$304,Pantry!$A$5:$A$304,B1127))</f>
        <v>0</v>
      </c>
      <c r="S1127" s="8">
        <f>IF(OR(B1127="",C1127=""),"",MAX(0,C1127-R1127))</f>
        <v>0</v>
      </c>
      <c r="T1127" s="26"/>
      <c r="U1127" s="8">
        <f>IF(OR(T1127="",T1127=0,G1127=""),"",T1127*G1127)</f>
        <v>0</v>
      </c>
      <c r="V1127" s="8">
        <f>IF(OR(S1127="",T1127="",T1127=0),"",CEILING(S1127/T1127,1))</f>
        <v>0</v>
      </c>
      <c r="W1127" s="27"/>
      <c r="X1127" s="29"/>
      <c r="Y1127" s="8">
        <f>IF(OR(C1127="",X1127=""),"",C1127*(1+X1127))</f>
        <v>0</v>
      </c>
      <c r="Z1127" s="8">
        <f>IF(B1127="","",IFERROR(INDEX(Ingredients!$O$5:$O$304,MATCH(B1127,Ingredients!$A$5:$A$304,0)),""))</f>
        <v>0</v>
      </c>
      <c r="AA1127" s="8">
        <f>IF(B1127="","",IF(R1127&gt;=C1127,"In pantry","To buy"))</f>
        <v>0</v>
      </c>
      <c r="AB1127" s="8">
        <f>IF(A1127="","",COUNTIFS($A$5:A1127,A1127))</f>
        <v>0</v>
      </c>
      <c r="AC1127" s="8">
        <f>IF(B1127="","",IF(COUNTIFS('Dietary Filters'!$C$5:$C$104,B1127)&gt;0,"Check","OK"))</f>
        <v>0</v>
      </c>
      <c r="AD1127" s="25"/>
    </row>
    <row r="1128" spans="1:30">
      <c r="A1128" s="7"/>
      <c r="B1128" s="7"/>
      <c r="C1128" s="26"/>
      <c r="D1128" s="27"/>
      <c r="E1128" s="8">
        <f>IF(B1128="","",IFERROR(INDEX(Ingredients!$B$5:$B$304,MATCH(B1128,Ingredients!$A$5:$A$304,0)),""))</f>
        <v>0</v>
      </c>
      <c r="F1128" s="8">
        <f>IF(B1128="","",IFERROR(INDEX(Ingredients!$E$5:$E$304,MATCH(B1128,Ingredients!$A$5:$A$304,0)),""))</f>
        <v>0</v>
      </c>
      <c r="G1128" s="8">
        <f>IF(B1128="","",IFERROR(INDEX(Ingredients!$D$5:$D$304,MATCH(B1128,Ingredients!$A$5:$A$304,0)),""))</f>
        <v>0</v>
      </c>
      <c r="H1128" s="8">
        <f>IF(OR(B1128="",C1128=""),"",IFERROR(C1128*G1128,""))</f>
        <v>0</v>
      </c>
      <c r="I1128" s="8">
        <f>IF(A1128="","",IFERROR(INDEX(Recipes!$D$5:$D$204,MATCH(A1128,Recipes!$A$5:$A$204,0)),""))</f>
        <v>0</v>
      </c>
      <c r="J1128" s="8">
        <f>IF(OR(H1128="",I1128="",I1128=0),"",IFERROR(H1128/I1128,""))</f>
        <v>0</v>
      </c>
      <c r="K1128" s="8">
        <f>IF(OR(B1128="",C1128=""),"",IFERROR(C1128*IFERROR(INDEX(Ingredients!$H$5:$H$304,MATCH(B1128,Ingredients!$A$5:$A$304,0)),""),""))</f>
        <v>0</v>
      </c>
      <c r="L1128" s="8">
        <f>IF(OR(B1128="",C1128=""),"",IFERROR(C1128*IFERROR(INDEX(Ingredients!$I$5:$I$304,MATCH(B1128,Ingredients!$A$5:$A$304,0)),""),""))</f>
        <v>0</v>
      </c>
      <c r="M1128" s="8">
        <f>IF(OR(B1128="",C1128=""),"",IFERROR(C1128*IFERROR(INDEX(Ingredients!$J$5:$J$304,MATCH(B1128,Ingredients!$A$5:$A$304,0)),""),""))</f>
        <v>0</v>
      </c>
      <c r="N1128" s="8">
        <f>IF(OR(B1128="",C1128=""),"",IFERROR(C1128*IFERROR(INDEX(Ingredients!$K$5:$K$304,MATCH(B1128,Ingredients!$A$5:$A$304,0)),""),""))</f>
        <v>0</v>
      </c>
      <c r="O1128" s="8">
        <f>IF(OR(B1128="",C1128=""),"",IFERROR(C1128*IFERROR(INDEX(Ingredients!$L$5:$L$304,MATCH(B1128,Ingredients!$A$5:$A$304,0)),""),""))</f>
        <v>0</v>
      </c>
      <c r="P1128" s="8">
        <f>IF(OR(H1128="",A1128=""),"",IFERROR(H1128/SUMIFS('Recipe Ingredients'!$H$5:$H$1204,'Recipe Ingredients'!$A$5:$A$1204,A1128),""))</f>
        <v>0</v>
      </c>
      <c r="Q1128" s="8">
        <f>IF(H1128="","",COUNTIFS($H$5:$H$1204,"&gt;"&amp;H1128)+1)</f>
        <v>0</v>
      </c>
      <c r="R1128" s="8">
        <f>IF(B1128="","",SUMIFS(Pantry!$C$5:$C$304,Pantry!$A$5:$A$304,B1128))</f>
        <v>0</v>
      </c>
      <c r="S1128" s="8">
        <f>IF(OR(B1128="",C1128=""),"",MAX(0,C1128-R1128))</f>
        <v>0</v>
      </c>
      <c r="T1128" s="26"/>
      <c r="U1128" s="8">
        <f>IF(OR(T1128="",T1128=0,G1128=""),"",T1128*G1128)</f>
        <v>0</v>
      </c>
      <c r="V1128" s="8">
        <f>IF(OR(S1128="",T1128="",T1128=0),"",CEILING(S1128/T1128,1))</f>
        <v>0</v>
      </c>
      <c r="W1128" s="27"/>
      <c r="X1128" s="29"/>
      <c r="Y1128" s="8">
        <f>IF(OR(C1128="",X1128=""),"",C1128*(1+X1128))</f>
        <v>0</v>
      </c>
      <c r="Z1128" s="8">
        <f>IF(B1128="","",IFERROR(INDEX(Ingredients!$O$5:$O$304,MATCH(B1128,Ingredients!$A$5:$A$304,0)),""))</f>
        <v>0</v>
      </c>
      <c r="AA1128" s="8">
        <f>IF(B1128="","",IF(R1128&gt;=C1128,"In pantry","To buy"))</f>
        <v>0</v>
      </c>
      <c r="AB1128" s="8">
        <f>IF(A1128="","",COUNTIFS($A$5:A1128,A1128))</f>
        <v>0</v>
      </c>
      <c r="AC1128" s="8">
        <f>IF(B1128="","",IF(COUNTIFS('Dietary Filters'!$C$5:$C$104,B1128)&gt;0,"Check","OK"))</f>
        <v>0</v>
      </c>
      <c r="AD1128" s="25"/>
    </row>
    <row r="1129" spans="1:30">
      <c r="A1129" s="7"/>
      <c r="B1129" s="7"/>
      <c r="C1129" s="26"/>
      <c r="D1129" s="27"/>
      <c r="E1129" s="8">
        <f>IF(B1129="","",IFERROR(INDEX(Ingredients!$B$5:$B$304,MATCH(B1129,Ingredients!$A$5:$A$304,0)),""))</f>
        <v>0</v>
      </c>
      <c r="F1129" s="8">
        <f>IF(B1129="","",IFERROR(INDEX(Ingredients!$E$5:$E$304,MATCH(B1129,Ingredients!$A$5:$A$304,0)),""))</f>
        <v>0</v>
      </c>
      <c r="G1129" s="8">
        <f>IF(B1129="","",IFERROR(INDEX(Ingredients!$D$5:$D$304,MATCH(B1129,Ingredients!$A$5:$A$304,0)),""))</f>
        <v>0</v>
      </c>
      <c r="H1129" s="8">
        <f>IF(OR(B1129="",C1129=""),"",IFERROR(C1129*G1129,""))</f>
        <v>0</v>
      </c>
      <c r="I1129" s="8">
        <f>IF(A1129="","",IFERROR(INDEX(Recipes!$D$5:$D$204,MATCH(A1129,Recipes!$A$5:$A$204,0)),""))</f>
        <v>0</v>
      </c>
      <c r="J1129" s="8">
        <f>IF(OR(H1129="",I1129="",I1129=0),"",IFERROR(H1129/I1129,""))</f>
        <v>0</v>
      </c>
      <c r="K1129" s="8">
        <f>IF(OR(B1129="",C1129=""),"",IFERROR(C1129*IFERROR(INDEX(Ingredients!$H$5:$H$304,MATCH(B1129,Ingredients!$A$5:$A$304,0)),""),""))</f>
        <v>0</v>
      </c>
      <c r="L1129" s="8">
        <f>IF(OR(B1129="",C1129=""),"",IFERROR(C1129*IFERROR(INDEX(Ingredients!$I$5:$I$304,MATCH(B1129,Ingredients!$A$5:$A$304,0)),""),""))</f>
        <v>0</v>
      </c>
      <c r="M1129" s="8">
        <f>IF(OR(B1129="",C1129=""),"",IFERROR(C1129*IFERROR(INDEX(Ingredients!$J$5:$J$304,MATCH(B1129,Ingredients!$A$5:$A$304,0)),""),""))</f>
        <v>0</v>
      </c>
      <c r="N1129" s="8">
        <f>IF(OR(B1129="",C1129=""),"",IFERROR(C1129*IFERROR(INDEX(Ingredients!$K$5:$K$304,MATCH(B1129,Ingredients!$A$5:$A$304,0)),""),""))</f>
        <v>0</v>
      </c>
      <c r="O1129" s="8">
        <f>IF(OR(B1129="",C1129=""),"",IFERROR(C1129*IFERROR(INDEX(Ingredients!$L$5:$L$304,MATCH(B1129,Ingredients!$A$5:$A$304,0)),""),""))</f>
        <v>0</v>
      </c>
      <c r="P1129" s="8">
        <f>IF(OR(H1129="",A1129=""),"",IFERROR(H1129/SUMIFS('Recipe Ingredients'!$H$5:$H$1204,'Recipe Ingredients'!$A$5:$A$1204,A1129),""))</f>
        <v>0</v>
      </c>
      <c r="Q1129" s="8">
        <f>IF(H1129="","",COUNTIFS($H$5:$H$1204,"&gt;"&amp;H1129)+1)</f>
        <v>0</v>
      </c>
      <c r="R1129" s="8">
        <f>IF(B1129="","",SUMIFS(Pantry!$C$5:$C$304,Pantry!$A$5:$A$304,B1129))</f>
        <v>0</v>
      </c>
      <c r="S1129" s="8">
        <f>IF(OR(B1129="",C1129=""),"",MAX(0,C1129-R1129))</f>
        <v>0</v>
      </c>
      <c r="T1129" s="26"/>
      <c r="U1129" s="8">
        <f>IF(OR(T1129="",T1129=0,G1129=""),"",T1129*G1129)</f>
        <v>0</v>
      </c>
      <c r="V1129" s="8">
        <f>IF(OR(S1129="",T1129="",T1129=0),"",CEILING(S1129/T1129,1))</f>
        <v>0</v>
      </c>
      <c r="W1129" s="27"/>
      <c r="X1129" s="29"/>
      <c r="Y1129" s="8">
        <f>IF(OR(C1129="",X1129=""),"",C1129*(1+X1129))</f>
        <v>0</v>
      </c>
      <c r="Z1129" s="8">
        <f>IF(B1129="","",IFERROR(INDEX(Ingredients!$O$5:$O$304,MATCH(B1129,Ingredients!$A$5:$A$304,0)),""))</f>
        <v>0</v>
      </c>
      <c r="AA1129" s="8">
        <f>IF(B1129="","",IF(R1129&gt;=C1129,"In pantry","To buy"))</f>
        <v>0</v>
      </c>
      <c r="AB1129" s="8">
        <f>IF(A1129="","",COUNTIFS($A$5:A1129,A1129))</f>
        <v>0</v>
      </c>
      <c r="AC1129" s="8">
        <f>IF(B1129="","",IF(COUNTIFS('Dietary Filters'!$C$5:$C$104,B1129)&gt;0,"Check","OK"))</f>
        <v>0</v>
      </c>
      <c r="AD1129" s="25"/>
    </row>
    <row r="1130" spans="1:30">
      <c r="A1130" s="7"/>
      <c r="B1130" s="7"/>
      <c r="C1130" s="26"/>
      <c r="D1130" s="27"/>
      <c r="E1130" s="8">
        <f>IF(B1130="","",IFERROR(INDEX(Ingredients!$B$5:$B$304,MATCH(B1130,Ingredients!$A$5:$A$304,0)),""))</f>
        <v>0</v>
      </c>
      <c r="F1130" s="8">
        <f>IF(B1130="","",IFERROR(INDEX(Ingredients!$E$5:$E$304,MATCH(B1130,Ingredients!$A$5:$A$304,0)),""))</f>
        <v>0</v>
      </c>
      <c r="G1130" s="8">
        <f>IF(B1130="","",IFERROR(INDEX(Ingredients!$D$5:$D$304,MATCH(B1130,Ingredients!$A$5:$A$304,0)),""))</f>
        <v>0</v>
      </c>
      <c r="H1130" s="8">
        <f>IF(OR(B1130="",C1130=""),"",IFERROR(C1130*G1130,""))</f>
        <v>0</v>
      </c>
      <c r="I1130" s="8">
        <f>IF(A1130="","",IFERROR(INDEX(Recipes!$D$5:$D$204,MATCH(A1130,Recipes!$A$5:$A$204,0)),""))</f>
        <v>0</v>
      </c>
      <c r="J1130" s="8">
        <f>IF(OR(H1130="",I1130="",I1130=0),"",IFERROR(H1130/I1130,""))</f>
        <v>0</v>
      </c>
      <c r="K1130" s="8">
        <f>IF(OR(B1130="",C1130=""),"",IFERROR(C1130*IFERROR(INDEX(Ingredients!$H$5:$H$304,MATCH(B1130,Ingredients!$A$5:$A$304,0)),""),""))</f>
        <v>0</v>
      </c>
      <c r="L1130" s="8">
        <f>IF(OR(B1130="",C1130=""),"",IFERROR(C1130*IFERROR(INDEX(Ingredients!$I$5:$I$304,MATCH(B1130,Ingredients!$A$5:$A$304,0)),""),""))</f>
        <v>0</v>
      </c>
      <c r="M1130" s="8">
        <f>IF(OR(B1130="",C1130=""),"",IFERROR(C1130*IFERROR(INDEX(Ingredients!$J$5:$J$304,MATCH(B1130,Ingredients!$A$5:$A$304,0)),""),""))</f>
        <v>0</v>
      </c>
      <c r="N1130" s="8">
        <f>IF(OR(B1130="",C1130=""),"",IFERROR(C1130*IFERROR(INDEX(Ingredients!$K$5:$K$304,MATCH(B1130,Ingredients!$A$5:$A$304,0)),""),""))</f>
        <v>0</v>
      </c>
      <c r="O1130" s="8">
        <f>IF(OR(B1130="",C1130=""),"",IFERROR(C1130*IFERROR(INDEX(Ingredients!$L$5:$L$304,MATCH(B1130,Ingredients!$A$5:$A$304,0)),""),""))</f>
        <v>0</v>
      </c>
      <c r="P1130" s="8">
        <f>IF(OR(H1130="",A1130=""),"",IFERROR(H1130/SUMIFS('Recipe Ingredients'!$H$5:$H$1204,'Recipe Ingredients'!$A$5:$A$1204,A1130),""))</f>
        <v>0</v>
      </c>
      <c r="Q1130" s="8">
        <f>IF(H1130="","",COUNTIFS($H$5:$H$1204,"&gt;"&amp;H1130)+1)</f>
        <v>0</v>
      </c>
      <c r="R1130" s="8">
        <f>IF(B1130="","",SUMIFS(Pantry!$C$5:$C$304,Pantry!$A$5:$A$304,B1130))</f>
        <v>0</v>
      </c>
      <c r="S1130" s="8">
        <f>IF(OR(B1130="",C1130=""),"",MAX(0,C1130-R1130))</f>
        <v>0</v>
      </c>
      <c r="T1130" s="26"/>
      <c r="U1130" s="8">
        <f>IF(OR(T1130="",T1130=0,G1130=""),"",T1130*G1130)</f>
        <v>0</v>
      </c>
      <c r="V1130" s="8">
        <f>IF(OR(S1130="",T1130="",T1130=0),"",CEILING(S1130/T1130,1))</f>
        <v>0</v>
      </c>
      <c r="W1130" s="27"/>
      <c r="X1130" s="29"/>
      <c r="Y1130" s="8">
        <f>IF(OR(C1130="",X1130=""),"",C1130*(1+X1130))</f>
        <v>0</v>
      </c>
      <c r="Z1130" s="8">
        <f>IF(B1130="","",IFERROR(INDEX(Ingredients!$O$5:$O$304,MATCH(B1130,Ingredients!$A$5:$A$304,0)),""))</f>
        <v>0</v>
      </c>
      <c r="AA1130" s="8">
        <f>IF(B1130="","",IF(R1130&gt;=C1130,"In pantry","To buy"))</f>
        <v>0</v>
      </c>
      <c r="AB1130" s="8">
        <f>IF(A1130="","",COUNTIFS($A$5:A1130,A1130))</f>
        <v>0</v>
      </c>
      <c r="AC1130" s="8">
        <f>IF(B1130="","",IF(COUNTIFS('Dietary Filters'!$C$5:$C$104,B1130)&gt;0,"Check","OK"))</f>
        <v>0</v>
      </c>
      <c r="AD1130" s="25"/>
    </row>
    <row r="1131" spans="1:30">
      <c r="A1131" s="7"/>
      <c r="B1131" s="7"/>
      <c r="C1131" s="26"/>
      <c r="D1131" s="27"/>
      <c r="E1131" s="8">
        <f>IF(B1131="","",IFERROR(INDEX(Ingredients!$B$5:$B$304,MATCH(B1131,Ingredients!$A$5:$A$304,0)),""))</f>
        <v>0</v>
      </c>
      <c r="F1131" s="8">
        <f>IF(B1131="","",IFERROR(INDEX(Ingredients!$E$5:$E$304,MATCH(B1131,Ingredients!$A$5:$A$304,0)),""))</f>
        <v>0</v>
      </c>
      <c r="G1131" s="8">
        <f>IF(B1131="","",IFERROR(INDEX(Ingredients!$D$5:$D$304,MATCH(B1131,Ingredients!$A$5:$A$304,0)),""))</f>
        <v>0</v>
      </c>
      <c r="H1131" s="8">
        <f>IF(OR(B1131="",C1131=""),"",IFERROR(C1131*G1131,""))</f>
        <v>0</v>
      </c>
      <c r="I1131" s="8">
        <f>IF(A1131="","",IFERROR(INDEX(Recipes!$D$5:$D$204,MATCH(A1131,Recipes!$A$5:$A$204,0)),""))</f>
        <v>0</v>
      </c>
      <c r="J1131" s="8">
        <f>IF(OR(H1131="",I1131="",I1131=0),"",IFERROR(H1131/I1131,""))</f>
        <v>0</v>
      </c>
      <c r="K1131" s="8">
        <f>IF(OR(B1131="",C1131=""),"",IFERROR(C1131*IFERROR(INDEX(Ingredients!$H$5:$H$304,MATCH(B1131,Ingredients!$A$5:$A$304,0)),""),""))</f>
        <v>0</v>
      </c>
      <c r="L1131" s="8">
        <f>IF(OR(B1131="",C1131=""),"",IFERROR(C1131*IFERROR(INDEX(Ingredients!$I$5:$I$304,MATCH(B1131,Ingredients!$A$5:$A$304,0)),""),""))</f>
        <v>0</v>
      </c>
      <c r="M1131" s="8">
        <f>IF(OR(B1131="",C1131=""),"",IFERROR(C1131*IFERROR(INDEX(Ingredients!$J$5:$J$304,MATCH(B1131,Ingredients!$A$5:$A$304,0)),""),""))</f>
        <v>0</v>
      </c>
      <c r="N1131" s="8">
        <f>IF(OR(B1131="",C1131=""),"",IFERROR(C1131*IFERROR(INDEX(Ingredients!$K$5:$K$304,MATCH(B1131,Ingredients!$A$5:$A$304,0)),""),""))</f>
        <v>0</v>
      </c>
      <c r="O1131" s="8">
        <f>IF(OR(B1131="",C1131=""),"",IFERROR(C1131*IFERROR(INDEX(Ingredients!$L$5:$L$304,MATCH(B1131,Ingredients!$A$5:$A$304,0)),""),""))</f>
        <v>0</v>
      </c>
      <c r="P1131" s="8">
        <f>IF(OR(H1131="",A1131=""),"",IFERROR(H1131/SUMIFS('Recipe Ingredients'!$H$5:$H$1204,'Recipe Ingredients'!$A$5:$A$1204,A1131),""))</f>
        <v>0</v>
      </c>
      <c r="Q1131" s="8">
        <f>IF(H1131="","",COUNTIFS($H$5:$H$1204,"&gt;"&amp;H1131)+1)</f>
        <v>0</v>
      </c>
      <c r="R1131" s="8">
        <f>IF(B1131="","",SUMIFS(Pantry!$C$5:$C$304,Pantry!$A$5:$A$304,B1131))</f>
        <v>0</v>
      </c>
      <c r="S1131" s="8">
        <f>IF(OR(B1131="",C1131=""),"",MAX(0,C1131-R1131))</f>
        <v>0</v>
      </c>
      <c r="T1131" s="26"/>
      <c r="U1131" s="8">
        <f>IF(OR(T1131="",T1131=0,G1131=""),"",T1131*G1131)</f>
        <v>0</v>
      </c>
      <c r="V1131" s="8">
        <f>IF(OR(S1131="",T1131="",T1131=0),"",CEILING(S1131/T1131,1))</f>
        <v>0</v>
      </c>
      <c r="W1131" s="27"/>
      <c r="X1131" s="29"/>
      <c r="Y1131" s="8">
        <f>IF(OR(C1131="",X1131=""),"",C1131*(1+X1131))</f>
        <v>0</v>
      </c>
      <c r="Z1131" s="8">
        <f>IF(B1131="","",IFERROR(INDEX(Ingredients!$O$5:$O$304,MATCH(B1131,Ingredients!$A$5:$A$304,0)),""))</f>
        <v>0</v>
      </c>
      <c r="AA1131" s="8">
        <f>IF(B1131="","",IF(R1131&gt;=C1131,"In pantry","To buy"))</f>
        <v>0</v>
      </c>
      <c r="AB1131" s="8">
        <f>IF(A1131="","",COUNTIFS($A$5:A1131,A1131))</f>
        <v>0</v>
      </c>
      <c r="AC1131" s="8">
        <f>IF(B1131="","",IF(COUNTIFS('Dietary Filters'!$C$5:$C$104,B1131)&gt;0,"Check","OK"))</f>
        <v>0</v>
      </c>
      <c r="AD1131" s="25"/>
    </row>
    <row r="1132" spans="1:30">
      <c r="A1132" s="7"/>
      <c r="B1132" s="7"/>
      <c r="C1132" s="26"/>
      <c r="D1132" s="27"/>
      <c r="E1132" s="8">
        <f>IF(B1132="","",IFERROR(INDEX(Ingredients!$B$5:$B$304,MATCH(B1132,Ingredients!$A$5:$A$304,0)),""))</f>
        <v>0</v>
      </c>
      <c r="F1132" s="8">
        <f>IF(B1132="","",IFERROR(INDEX(Ingredients!$E$5:$E$304,MATCH(B1132,Ingredients!$A$5:$A$304,0)),""))</f>
        <v>0</v>
      </c>
      <c r="G1132" s="8">
        <f>IF(B1132="","",IFERROR(INDEX(Ingredients!$D$5:$D$304,MATCH(B1132,Ingredients!$A$5:$A$304,0)),""))</f>
        <v>0</v>
      </c>
      <c r="H1132" s="8">
        <f>IF(OR(B1132="",C1132=""),"",IFERROR(C1132*G1132,""))</f>
        <v>0</v>
      </c>
      <c r="I1132" s="8">
        <f>IF(A1132="","",IFERROR(INDEX(Recipes!$D$5:$D$204,MATCH(A1132,Recipes!$A$5:$A$204,0)),""))</f>
        <v>0</v>
      </c>
      <c r="J1132" s="8">
        <f>IF(OR(H1132="",I1132="",I1132=0),"",IFERROR(H1132/I1132,""))</f>
        <v>0</v>
      </c>
      <c r="K1132" s="8">
        <f>IF(OR(B1132="",C1132=""),"",IFERROR(C1132*IFERROR(INDEX(Ingredients!$H$5:$H$304,MATCH(B1132,Ingredients!$A$5:$A$304,0)),""),""))</f>
        <v>0</v>
      </c>
      <c r="L1132" s="8">
        <f>IF(OR(B1132="",C1132=""),"",IFERROR(C1132*IFERROR(INDEX(Ingredients!$I$5:$I$304,MATCH(B1132,Ingredients!$A$5:$A$304,0)),""),""))</f>
        <v>0</v>
      </c>
      <c r="M1132" s="8">
        <f>IF(OR(B1132="",C1132=""),"",IFERROR(C1132*IFERROR(INDEX(Ingredients!$J$5:$J$304,MATCH(B1132,Ingredients!$A$5:$A$304,0)),""),""))</f>
        <v>0</v>
      </c>
      <c r="N1132" s="8">
        <f>IF(OR(B1132="",C1132=""),"",IFERROR(C1132*IFERROR(INDEX(Ingredients!$K$5:$K$304,MATCH(B1132,Ingredients!$A$5:$A$304,0)),""),""))</f>
        <v>0</v>
      </c>
      <c r="O1132" s="8">
        <f>IF(OR(B1132="",C1132=""),"",IFERROR(C1132*IFERROR(INDEX(Ingredients!$L$5:$L$304,MATCH(B1132,Ingredients!$A$5:$A$304,0)),""),""))</f>
        <v>0</v>
      </c>
      <c r="P1132" s="8">
        <f>IF(OR(H1132="",A1132=""),"",IFERROR(H1132/SUMIFS('Recipe Ingredients'!$H$5:$H$1204,'Recipe Ingredients'!$A$5:$A$1204,A1132),""))</f>
        <v>0</v>
      </c>
      <c r="Q1132" s="8">
        <f>IF(H1132="","",COUNTIFS($H$5:$H$1204,"&gt;"&amp;H1132)+1)</f>
        <v>0</v>
      </c>
      <c r="R1132" s="8">
        <f>IF(B1132="","",SUMIFS(Pantry!$C$5:$C$304,Pantry!$A$5:$A$304,B1132))</f>
        <v>0</v>
      </c>
      <c r="S1132" s="8">
        <f>IF(OR(B1132="",C1132=""),"",MAX(0,C1132-R1132))</f>
        <v>0</v>
      </c>
      <c r="T1132" s="26"/>
      <c r="U1132" s="8">
        <f>IF(OR(T1132="",T1132=0,G1132=""),"",T1132*G1132)</f>
        <v>0</v>
      </c>
      <c r="V1132" s="8">
        <f>IF(OR(S1132="",T1132="",T1132=0),"",CEILING(S1132/T1132,1))</f>
        <v>0</v>
      </c>
      <c r="W1132" s="27"/>
      <c r="X1132" s="29"/>
      <c r="Y1132" s="8">
        <f>IF(OR(C1132="",X1132=""),"",C1132*(1+X1132))</f>
        <v>0</v>
      </c>
      <c r="Z1132" s="8">
        <f>IF(B1132="","",IFERROR(INDEX(Ingredients!$O$5:$O$304,MATCH(B1132,Ingredients!$A$5:$A$304,0)),""))</f>
        <v>0</v>
      </c>
      <c r="AA1132" s="8">
        <f>IF(B1132="","",IF(R1132&gt;=C1132,"In pantry","To buy"))</f>
        <v>0</v>
      </c>
      <c r="AB1132" s="8">
        <f>IF(A1132="","",COUNTIFS($A$5:A1132,A1132))</f>
        <v>0</v>
      </c>
      <c r="AC1132" s="8">
        <f>IF(B1132="","",IF(COUNTIFS('Dietary Filters'!$C$5:$C$104,B1132)&gt;0,"Check","OK"))</f>
        <v>0</v>
      </c>
      <c r="AD1132" s="25"/>
    </row>
    <row r="1133" spans="1:30">
      <c r="A1133" s="7"/>
      <c r="B1133" s="7"/>
      <c r="C1133" s="26"/>
      <c r="D1133" s="27"/>
      <c r="E1133" s="8">
        <f>IF(B1133="","",IFERROR(INDEX(Ingredients!$B$5:$B$304,MATCH(B1133,Ingredients!$A$5:$A$304,0)),""))</f>
        <v>0</v>
      </c>
      <c r="F1133" s="8">
        <f>IF(B1133="","",IFERROR(INDEX(Ingredients!$E$5:$E$304,MATCH(B1133,Ingredients!$A$5:$A$304,0)),""))</f>
        <v>0</v>
      </c>
      <c r="G1133" s="8">
        <f>IF(B1133="","",IFERROR(INDEX(Ingredients!$D$5:$D$304,MATCH(B1133,Ingredients!$A$5:$A$304,0)),""))</f>
        <v>0</v>
      </c>
      <c r="H1133" s="8">
        <f>IF(OR(B1133="",C1133=""),"",IFERROR(C1133*G1133,""))</f>
        <v>0</v>
      </c>
      <c r="I1133" s="8">
        <f>IF(A1133="","",IFERROR(INDEX(Recipes!$D$5:$D$204,MATCH(A1133,Recipes!$A$5:$A$204,0)),""))</f>
        <v>0</v>
      </c>
      <c r="J1133" s="8">
        <f>IF(OR(H1133="",I1133="",I1133=0),"",IFERROR(H1133/I1133,""))</f>
        <v>0</v>
      </c>
      <c r="K1133" s="8">
        <f>IF(OR(B1133="",C1133=""),"",IFERROR(C1133*IFERROR(INDEX(Ingredients!$H$5:$H$304,MATCH(B1133,Ingredients!$A$5:$A$304,0)),""),""))</f>
        <v>0</v>
      </c>
      <c r="L1133" s="8">
        <f>IF(OR(B1133="",C1133=""),"",IFERROR(C1133*IFERROR(INDEX(Ingredients!$I$5:$I$304,MATCH(B1133,Ingredients!$A$5:$A$304,0)),""),""))</f>
        <v>0</v>
      </c>
      <c r="M1133" s="8">
        <f>IF(OR(B1133="",C1133=""),"",IFERROR(C1133*IFERROR(INDEX(Ingredients!$J$5:$J$304,MATCH(B1133,Ingredients!$A$5:$A$304,0)),""),""))</f>
        <v>0</v>
      </c>
      <c r="N1133" s="8">
        <f>IF(OR(B1133="",C1133=""),"",IFERROR(C1133*IFERROR(INDEX(Ingredients!$K$5:$K$304,MATCH(B1133,Ingredients!$A$5:$A$304,0)),""),""))</f>
        <v>0</v>
      </c>
      <c r="O1133" s="8">
        <f>IF(OR(B1133="",C1133=""),"",IFERROR(C1133*IFERROR(INDEX(Ingredients!$L$5:$L$304,MATCH(B1133,Ingredients!$A$5:$A$304,0)),""),""))</f>
        <v>0</v>
      </c>
      <c r="P1133" s="8">
        <f>IF(OR(H1133="",A1133=""),"",IFERROR(H1133/SUMIFS('Recipe Ingredients'!$H$5:$H$1204,'Recipe Ingredients'!$A$5:$A$1204,A1133),""))</f>
        <v>0</v>
      </c>
      <c r="Q1133" s="8">
        <f>IF(H1133="","",COUNTIFS($H$5:$H$1204,"&gt;"&amp;H1133)+1)</f>
        <v>0</v>
      </c>
      <c r="R1133" s="8">
        <f>IF(B1133="","",SUMIFS(Pantry!$C$5:$C$304,Pantry!$A$5:$A$304,B1133))</f>
        <v>0</v>
      </c>
      <c r="S1133" s="8">
        <f>IF(OR(B1133="",C1133=""),"",MAX(0,C1133-R1133))</f>
        <v>0</v>
      </c>
      <c r="T1133" s="26"/>
      <c r="U1133" s="8">
        <f>IF(OR(T1133="",T1133=0,G1133=""),"",T1133*G1133)</f>
        <v>0</v>
      </c>
      <c r="V1133" s="8">
        <f>IF(OR(S1133="",T1133="",T1133=0),"",CEILING(S1133/T1133,1))</f>
        <v>0</v>
      </c>
      <c r="W1133" s="27"/>
      <c r="X1133" s="29"/>
      <c r="Y1133" s="8">
        <f>IF(OR(C1133="",X1133=""),"",C1133*(1+X1133))</f>
        <v>0</v>
      </c>
      <c r="Z1133" s="8">
        <f>IF(B1133="","",IFERROR(INDEX(Ingredients!$O$5:$O$304,MATCH(B1133,Ingredients!$A$5:$A$304,0)),""))</f>
        <v>0</v>
      </c>
      <c r="AA1133" s="8">
        <f>IF(B1133="","",IF(R1133&gt;=C1133,"In pantry","To buy"))</f>
        <v>0</v>
      </c>
      <c r="AB1133" s="8">
        <f>IF(A1133="","",COUNTIFS($A$5:A1133,A1133))</f>
        <v>0</v>
      </c>
      <c r="AC1133" s="8">
        <f>IF(B1133="","",IF(COUNTIFS('Dietary Filters'!$C$5:$C$104,B1133)&gt;0,"Check","OK"))</f>
        <v>0</v>
      </c>
      <c r="AD1133" s="25"/>
    </row>
    <row r="1134" spans="1:30">
      <c r="A1134" s="7"/>
      <c r="B1134" s="7"/>
      <c r="C1134" s="26"/>
      <c r="D1134" s="27"/>
      <c r="E1134" s="8">
        <f>IF(B1134="","",IFERROR(INDEX(Ingredients!$B$5:$B$304,MATCH(B1134,Ingredients!$A$5:$A$304,0)),""))</f>
        <v>0</v>
      </c>
      <c r="F1134" s="8">
        <f>IF(B1134="","",IFERROR(INDEX(Ingredients!$E$5:$E$304,MATCH(B1134,Ingredients!$A$5:$A$304,0)),""))</f>
        <v>0</v>
      </c>
      <c r="G1134" s="8">
        <f>IF(B1134="","",IFERROR(INDEX(Ingredients!$D$5:$D$304,MATCH(B1134,Ingredients!$A$5:$A$304,0)),""))</f>
        <v>0</v>
      </c>
      <c r="H1134" s="8">
        <f>IF(OR(B1134="",C1134=""),"",IFERROR(C1134*G1134,""))</f>
        <v>0</v>
      </c>
      <c r="I1134" s="8">
        <f>IF(A1134="","",IFERROR(INDEX(Recipes!$D$5:$D$204,MATCH(A1134,Recipes!$A$5:$A$204,0)),""))</f>
        <v>0</v>
      </c>
      <c r="J1134" s="8">
        <f>IF(OR(H1134="",I1134="",I1134=0),"",IFERROR(H1134/I1134,""))</f>
        <v>0</v>
      </c>
      <c r="K1134" s="8">
        <f>IF(OR(B1134="",C1134=""),"",IFERROR(C1134*IFERROR(INDEX(Ingredients!$H$5:$H$304,MATCH(B1134,Ingredients!$A$5:$A$304,0)),""),""))</f>
        <v>0</v>
      </c>
      <c r="L1134" s="8">
        <f>IF(OR(B1134="",C1134=""),"",IFERROR(C1134*IFERROR(INDEX(Ingredients!$I$5:$I$304,MATCH(B1134,Ingredients!$A$5:$A$304,0)),""),""))</f>
        <v>0</v>
      </c>
      <c r="M1134" s="8">
        <f>IF(OR(B1134="",C1134=""),"",IFERROR(C1134*IFERROR(INDEX(Ingredients!$J$5:$J$304,MATCH(B1134,Ingredients!$A$5:$A$304,0)),""),""))</f>
        <v>0</v>
      </c>
      <c r="N1134" s="8">
        <f>IF(OR(B1134="",C1134=""),"",IFERROR(C1134*IFERROR(INDEX(Ingredients!$K$5:$K$304,MATCH(B1134,Ingredients!$A$5:$A$304,0)),""),""))</f>
        <v>0</v>
      </c>
      <c r="O1134" s="8">
        <f>IF(OR(B1134="",C1134=""),"",IFERROR(C1134*IFERROR(INDEX(Ingredients!$L$5:$L$304,MATCH(B1134,Ingredients!$A$5:$A$304,0)),""),""))</f>
        <v>0</v>
      </c>
      <c r="P1134" s="8">
        <f>IF(OR(H1134="",A1134=""),"",IFERROR(H1134/SUMIFS('Recipe Ingredients'!$H$5:$H$1204,'Recipe Ingredients'!$A$5:$A$1204,A1134),""))</f>
        <v>0</v>
      </c>
      <c r="Q1134" s="8">
        <f>IF(H1134="","",COUNTIFS($H$5:$H$1204,"&gt;"&amp;H1134)+1)</f>
        <v>0</v>
      </c>
      <c r="R1134" s="8">
        <f>IF(B1134="","",SUMIFS(Pantry!$C$5:$C$304,Pantry!$A$5:$A$304,B1134))</f>
        <v>0</v>
      </c>
      <c r="S1134" s="8">
        <f>IF(OR(B1134="",C1134=""),"",MAX(0,C1134-R1134))</f>
        <v>0</v>
      </c>
      <c r="T1134" s="26"/>
      <c r="U1134" s="8">
        <f>IF(OR(T1134="",T1134=0,G1134=""),"",T1134*G1134)</f>
        <v>0</v>
      </c>
      <c r="V1134" s="8">
        <f>IF(OR(S1134="",T1134="",T1134=0),"",CEILING(S1134/T1134,1))</f>
        <v>0</v>
      </c>
      <c r="W1134" s="27"/>
      <c r="X1134" s="29"/>
      <c r="Y1134" s="8">
        <f>IF(OR(C1134="",X1134=""),"",C1134*(1+X1134))</f>
        <v>0</v>
      </c>
      <c r="Z1134" s="8">
        <f>IF(B1134="","",IFERROR(INDEX(Ingredients!$O$5:$O$304,MATCH(B1134,Ingredients!$A$5:$A$304,0)),""))</f>
        <v>0</v>
      </c>
      <c r="AA1134" s="8">
        <f>IF(B1134="","",IF(R1134&gt;=C1134,"In pantry","To buy"))</f>
        <v>0</v>
      </c>
      <c r="AB1134" s="8">
        <f>IF(A1134="","",COUNTIFS($A$5:A1134,A1134))</f>
        <v>0</v>
      </c>
      <c r="AC1134" s="8">
        <f>IF(B1134="","",IF(COUNTIFS('Dietary Filters'!$C$5:$C$104,B1134)&gt;0,"Check","OK"))</f>
        <v>0</v>
      </c>
      <c r="AD1134" s="25"/>
    </row>
    <row r="1135" spans="1:30">
      <c r="A1135" s="7"/>
      <c r="B1135" s="7"/>
      <c r="C1135" s="26"/>
      <c r="D1135" s="27"/>
      <c r="E1135" s="8">
        <f>IF(B1135="","",IFERROR(INDEX(Ingredients!$B$5:$B$304,MATCH(B1135,Ingredients!$A$5:$A$304,0)),""))</f>
        <v>0</v>
      </c>
      <c r="F1135" s="8">
        <f>IF(B1135="","",IFERROR(INDEX(Ingredients!$E$5:$E$304,MATCH(B1135,Ingredients!$A$5:$A$304,0)),""))</f>
        <v>0</v>
      </c>
      <c r="G1135" s="8">
        <f>IF(B1135="","",IFERROR(INDEX(Ingredients!$D$5:$D$304,MATCH(B1135,Ingredients!$A$5:$A$304,0)),""))</f>
        <v>0</v>
      </c>
      <c r="H1135" s="8">
        <f>IF(OR(B1135="",C1135=""),"",IFERROR(C1135*G1135,""))</f>
        <v>0</v>
      </c>
      <c r="I1135" s="8">
        <f>IF(A1135="","",IFERROR(INDEX(Recipes!$D$5:$D$204,MATCH(A1135,Recipes!$A$5:$A$204,0)),""))</f>
        <v>0</v>
      </c>
      <c r="J1135" s="8">
        <f>IF(OR(H1135="",I1135="",I1135=0),"",IFERROR(H1135/I1135,""))</f>
        <v>0</v>
      </c>
      <c r="K1135" s="8">
        <f>IF(OR(B1135="",C1135=""),"",IFERROR(C1135*IFERROR(INDEX(Ingredients!$H$5:$H$304,MATCH(B1135,Ingredients!$A$5:$A$304,0)),""),""))</f>
        <v>0</v>
      </c>
      <c r="L1135" s="8">
        <f>IF(OR(B1135="",C1135=""),"",IFERROR(C1135*IFERROR(INDEX(Ingredients!$I$5:$I$304,MATCH(B1135,Ingredients!$A$5:$A$304,0)),""),""))</f>
        <v>0</v>
      </c>
      <c r="M1135" s="8">
        <f>IF(OR(B1135="",C1135=""),"",IFERROR(C1135*IFERROR(INDEX(Ingredients!$J$5:$J$304,MATCH(B1135,Ingredients!$A$5:$A$304,0)),""),""))</f>
        <v>0</v>
      </c>
      <c r="N1135" s="8">
        <f>IF(OR(B1135="",C1135=""),"",IFERROR(C1135*IFERROR(INDEX(Ingredients!$K$5:$K$304,MATCH(B1135,Ingredients!$A$5:$A$304,0)),""),""))</f>
        <v>0</v>
      </c>
      <c r="O1135" s="8">
        <f>IF(OR(B1135="",C1135=""),"",IFERROR(C1135*IFERROR(INDEX(Ingredients!$L$5:$L$304,MATCH(B1135,Ingredients!$A$5:$A$304,0)),""),""))</f>
        <v>0</v>
      </c>
      <c r="P1135" s="8">
        <f>IF(OR(H1135="",A1135=""),"",IFERROR(H1135/SUMIFS('Recipe Ingredients'!$H$5:$H$1204,'Recipe Ingredients'!$A$5:$A$1204,A1135),""))</f>
        <v>0</v>
      </c>
      <c r="Q1135" s="8">
        <f>IF(H1135="","",COUNTIFS($H$5:$H$1204,"&gt;"&amp;H1135)+1)</f>
        <v>0</v>
      </c>
      <c r="R1135" s="8">
        <f>IF(B1135="","",SUMIFS(Pantry!$C$5:$C$304,Pantry!$A$5:$A$304,B1135))</f>
        <v>0</v>
      </c>
      <c r="S1135" s="8">
        <f>IF(OR(B1135="",C1135=""),"",MAX(0,C1135-R1135))</f>
        <v>0</v>
      </c>
      <c r="T1135" s="26"/>
      <c r="U1135" s="8">
        <f>IF(OR(T1135="",T1135=0,G1135=""),"",T1135*G1135)</f>
        <v>0</v>
      </c>
      <c r="V1135" s="8">
        <f>IF(OR(S1135="",T1135="",T1135=0),"",CEILING(S1135/T1135,1))</f>
        <v>0</v>
      </c>
      <c r="W1135" s="27"/>
      <c r="X1135" s="29"/>
      <c r="Y1135" s="8">
        <f>IF(OR(C1135="",X1135=""),"",C1135*(1+X1135))</f>
        <v>0</v>
      </c>
      <c r="Z1135" s="8">
        <f>IF(B1135="","",IFERROR(INDEX(Ingredients!$O$5:$O$304,MATCH(B1135,Ingredients!$A$5:$A$304,0)),""))</f>
        <v>0</v>
      </c>
      <c r="AA1135" s="8">
        <f>IF(B1135="","",IF(R1135&gt;=C1135,"In pantry","To buy"))</f>
        <v>0</v>
      </c>
      <c r="AB1135" s="8">
        <f>IF(A1135="","",COUNTIFS($A$5:A1135,A1135))</f>
        <v>0</v>
      </c>
      <c r="AC1135" s="8">
        <f>IF(B1135="","",IF(COUNTIFS('Dietary Filters'!$C$5:$C$104,B1135)&gt;0,"Check","OK"))</f>
        <v>0</v>
      </c>
      <c r="AD1135" s="25"/>
    </row>
    <row r="1136" spans="1:30">
      <c r="A1136" s="7"/>
      <c r="B1136" s="7"/>
      <c r="C1136" s="26"/>
      <c r="D1136" s="27"/>
      <c r="E1136" s="8">
        <f>IF(B1136="","",IFERROR(INDEX(Ingredients!$B$5:$B$304,MATCH(B1136,Ingredients!$A$5:$A$304,0)),""))</f>
        <v>0</v>
      </c>
      <c r="F1136" s="8">
        <f>IF(B1136="","",IFERROR(INDEX(Ingredients!$E$5:$E$304,MATCH(B1136,Ingredients!$A$5:$A$304,0)),""))</f>
        <v>0</v>
      </c>
      <c r="G1136" s="8">
        <f>IF(B1136="","",IFERROR(INDEX(Ingredients!$D$5:$D$304,MATCH(B1136,Ingredients!$A$5:$A$304,0)),""))</f>
        <v>0</v>
      </c>
      <c r="H1136" s="8">
        <f>IF(OR(B1136="",C1136=""),"",IFERROR(C1136*G1136,""))</f>
        <v>0</v>
      </c>
      <c r="I1136" s="8">
        <f>IF(A1136="","",IFERROR(INDEX(Recipes!$D$5:$D$204,MATCH(A1136,Recipes!$A$5:$A$204,0)),""))</f>
        <v>0</v>
      </c>
      <c r="J1136" s="8">
        <f>IF(OR(H1136="",I1136="",I1136=0),"",IFERROR(H1136/I1136,""))</f>
        <v>0</v>
      </c>
      <c r="K1136" s="8">
        <f>IF(OR(B1136="",C1136=""),"",IFERROR(C1136*IFERROR(INDEX(Ingredients!$H$5:$H$304,MATCH(B1136,Ingredients!$A$5:$A$304,0)),""),""))</f>
        <v>0</v>
      </c>
      <c r="L1136" s="8">
        <f>IF(OR(B1136="",C1136=""),"",IFERROR(C1136*IFERROR(INDEX(Ingredients!$I$5:$I$304,MATCH(B1136,Ingredients!$A$5:$A$304,0)),""),""))</f>
        <v>0</v>
      </c>
      <c r="M1136" s="8">
        <f>IF(OR(B1136="",C1136=""),"",IFERROR(C1136*IFERROR(INDEX(Ingredients!$J$5:$J$304,MATCH(B1136,Ingredients!$A$5:$A$304,0)),""),""))</f>
        <v>0</v>
      </c>
      <c r="N1136" s="8">
        <f>IF(OR(B1136="",C1136=""),"",IFERROR(C1136*IFERROR(INDEX(Ingredients!$K$5:$K$304,MATCH(B1136,Ingredients!$A$5:$A$304,0)),""),""))</f>
        <v>0</v>
      </c>
      <c r="O1136" s="8">
        <f>IF(OR(B1136="",C1136=""),"",IFERROR(C1136*IFERROR(INDEX(Ingredients!$L$5:$L$304,MATCH(B1136,Ingredients!$A$5:$A$304,0)),""),""))</f>
        <v>0</v>
      </c>
      <c r="P1136" s="8">
        <f>IF(OR(H1136="",A1136=""),"",IFERROR(H1136/SUMIFS('Recipe Ingredients'!$H$5:$H$1204,'Recipe Ingredients'!$A$5:$A$1204,A1136),""))</f>
        <v>0</v>
      </c>
      <c r="Q1136" s="8">
        <f>IF(H1136="","",COUNTIFS($H$5:$H$1204,"&gt;"&amp;H1136)+1)</f>
        <v>0</v>
      </c>
      <c r="R1136" s="8">
        <f>IF(B1136="","",SUMIFS(Pantry!$C$5:$C$304,Pantry!$A$5:$A$304,B1136))</f>
        <v>0</v>
      </c>
      <c r="S1136" s="8">
        <f>IF(OR(B1136="",C1136=""),"",MAX(0,C1136-R1136))</f>
        <v>0</v>
      </c>
      <c r="T1136" s="26"/>
      <c r="U1136" s="8">
        <f>IF(OR(T1136="",T1136=0,G1136=""),"",T1136*G1136)</f>
        <v>0</v>
      </c>
      <c r="V1136" s="8">
        <f>IF(OR(S1136="",T1136="",T1136=0),"",CEILING(S1136/T1136,1))</f>
        <v>0</v>
      </c>
      <c r="W1136" s="27"/>
      <c r="X1136" s="29"/>
      <c r="Y1136" s="8">
        <f>IF(OR(C1136="",X1136=""),"",C1136*(1+X1136))</f>
        <v>0</v>
      </c>
      <c r="Z1136" s="8">
        <f>IF(B1136="","",IFERROR(INDEX(Ingredients!$O$5:$O$304,MATCH(B1136,Ingredients!$A$5:$A$304,0)),""))</f>
        <v>0</v>
      </c>
      <c r="AA1136" s="8">
        <f>IF(B1136="","",IF(R1136&gt;=C1136,"In pantry","To buy"))</f>
        <v>0</v>
      </c>
      <c r="AB1136" s="8">
        <f>IF(A1136="","",COUNTIFS($A$5:A1136,A1136))</f>
        <v>0</v>
      </c>
      <c r="AC1136" s="8">
        <f>IF(B1136="","",IF(COUNTIFS('Dietary Filters'!$C$5:$C$104,B1136)&gt;0,"Check","OK"))</f>
        <v>0</v>
      </c>
      <c r="AD1136" s="25"/>
    </row>
    <row r="1137" spans="1:30">
      <c r="A1137" s="7"/>
      <c r="B1137" s="7"/>
      <c r="C1137" s="26"/>
      <c r="D1137" s="27"/>
      <c r="E1137" s="8">
        <f>IF(B1137="","",IFERROR(INDEX(Ingredients!$B$5:$B$304,MATCH(B1137,Ingredients!$A$5:$A$304,0)),""))</f>
        <v>0</v>
      </c>
      <c r="F1137" s="8">
        <f>IF(B1137="","",IFERROR(INDEX(Ingredients!$E$5:$E$304,MATCH(B1137,Ingredients!$A$5:$A$304,0)),""))</f>
        <v>0</v>
      </c>
      <c r="G1137" s="8">
        <f>IF(B1137="","",IFERROR(INDEX(Ingredients!$D$5:$D$304,MATCH(B1137,Ingredients!$A$5:$A$304,0)),""))</f>
        <v>0</v>
      </c>
      <c r="H1137" s="8">
        <f>IF(OR(B1137="",C1137=""),"",IFERROR(C1137*G1137,""))</f>
        <v>0</v>
      </c>
      <c r="I1137" s="8">
        <f>IF(A1137="","",IFERROR(INDEX(Recipes!$D$5:$D$204,MATCH(A1137,Recipes!$A$5:$A$204,0)),""))</f>
        <v>0</v>
      </c>
      <c r="J1137" s="8">
        <f>IF(OR(H1137="",I1137="",I1137=0),"",IFERROR(H1137/I1137,""))</f>
        <v>0</v>
      </c>
      <c r="K1137" s="8">
        <f>IF(OR(B1137="",C1137=""),"",IFERROR(C1137*IFERROR(INDEX(Ingredients!$H$5:$H$304,MATCH(B1137,Ingredients!$A$5:$A$304,0)),""),""))</f>
        <v>0</v>
      </c>
      <c r="L1137" s="8">
        <f>IF(OR(B1137="",C1137=""),"",IFERROR(C1137*IFERROR(INDEX(Ingredients!$I$5:$I$304,MATCH(B1137,Ingredients!$A$5:$A$304,0)),""),""))</f>
        <v>0</v>
      </c>
      <c r="M1137" s="8">
        <f>IF(OR(B1137="",C1137=""),"",IFERROR(C1137*IFERROR(INDEX(Ingredients!$J$5:$J$304,MATCH(B1137,Ingredients!$A$5:$A$304,0)),""),""))</f>
        <v>0</v>
      </c>
      <c r="N1137" s="8">
        <f>IF(OR(B1137="",C1137=""),"",IFERROR(C1137*IFERROR(INDEX(Ingredients!$K$5:$K$304,MATCH(B1137,Ingredients!$A$5:$A$304,0)),""),""))</f>
        <v>0</v>
      </c>
      <c r="O1137" s="8">
        <f>IF(OR(B1137="",C1137=""),"",IFERROR(C1137*IFERROR(INDEX(Ingredients!$L$5:$L$304,MATCH(B1137,Ingredients!$A$5:$A$304,0)),""),""))</f>
        <v>0</v>
      </c>
      <c r="P1137" s="8">
        <f>IF(OR(H1137="",A1137=""),"",IFERROR(H1137/SUMIFS('Recipe Ingredients'!$H$5:$H$1204,'Recipe Ingredients'!$A$5:$A$1204,A1137),""))</f>
        <v>0</v>
      </c>
      <c r="Q1137" s="8">
        <f>IF(H1137="","",COUNTIFS($H$5:$H$1204,"&gt;"&amp;H1137)+1)</f>
        <v>0</v>
      </c>
      <c r="R1137" s="8">
        <f>IF(B1137="","",SUMIFS(Pantry!$C$5:$C$304,Pantry!$A$5:$A$304,B1137))</f>
        <v>0</v>
      </c>
      <c r="S1137" s="8">
        <f>IF(OR(B1137="",C1137=""),"",MAX(0,C1137-R1137))</f>
        <v>0</v>
      </c>
      <c r="T1137" s="26"/>
      <c r="U1137" s="8">
        <f>IF(OR(T1137="",T1137=0,G1137=""),"",T1137*G1137)</f>
        <v>0</v>
      </c>
      <c r="V1137" s="8">
        <f>IF(OR(S1137="",T1137="",T1137=0),"",CEILING(S1137/T1137,1))</f>
        <v>0</v>
      </c>
      <c r="W1137" s="27"/>
      <c r="X1137" s="29"/>
      <c r="Y1137" s="8">
        <f>IF(OR(C1137="",X1137=""),"",C1137*(1+X1137))</f>
        <v>0</v>
      </c>
      <c r="Z1137" s="8">
        <f>IF(B1137="","",IFERROR(INDEX(Ingredients!$O$5:$O$304,MATCH(B1137,Ingredients!$A$5:$A$304,0)),""))</f>
        <v>0</v>
      </c>
      <c r="AA1137" s="8">
        <f>IF(B1137="","",IF(R1137&gt;=C1137,"In pantry","To buy"))</f>
        <v>0</v>
      </c>
      <c r="AB1137" s="8">
        <f>IF(A1137="","",COUNTIFS($A$5:A1137,A1137))</f>
        <v>0</v>
      </c>
      <c r="AC1137" s="8">
        <f>IF(B1137="","",IF(COUNTIFS('Dietary Filters'!$C$5:$C$104,B1137)&gt;0,"Check","OK"))</f>
        <v>0</v>
      </c>
      <c r="AD1137" s="25"/>
    </row>
    <row r="1138" spans="1:30">
      <c r="A1138" s="7"/>
      <c r="B1138" s="7"/>
      <c r="C1138" s="26"/>
      <c r="D1138" s="27"/>
      <c r="E1138" s="8">
        <f>IF(B1138="","",IFERROR(INDEX(Ingredients!$B$5:$B$304,MATCH(B1138,Ingredients!$A$5:$A$304,0)),""))</f>
        <v>0</v>
      </c>
      <c r="F1138" s="8">
        <f>IF(B1138="","",IFERROR(INDEX(Ingredients!$E$5:$E$304,MATCH(B1138,Ingredients!$A$5:$A$304,0)),""))</f>
        <v>0</v>
      </c>
      <c r="G1138" s="8">
        <f>IF(B1138="","",IFERROR(INDEX(Ingredients!$D$5:$D$304,MATCH(B1138,Ingredients!$A$5:$A$304,0)),""))</f>
        <v>0</v>
      </c>
      <c r="H1138" s="8">
        <f>IF(OR(B1138="",C1138=""),"",IFERROR(C1138*G1138,""))</f>
        <v>0</v>
      </c>
      <c r="I1138" s="8">
        <f>IF(A1138="","",IFERROR(INDEX(Recipes!$D$5:$D$204,MATCH(A1138,Recipes!$A$5:$A$204,0)),""))</f>
        <v>0</v>
      </c>
      <c r="J1138" s="8">
        <f>IF(OR(H1138="",I1138="",I1138=0),"",IFERROR(H1138/I1138,""))</f>
        <v>0</v>
      </c>
      <c r="K1138" s="8">
        <f>IF(OR(B1138="",C1138=""),"",IFERROR(C1138*IFERROR(INDEX(Ingredients!$H$5:$H$304,MATCH(B1138,Ingredients!$A$5:$A$304,0)),""),""))</f>
        <v>0</v>
      </c>
      <c r="L1138" s="8">
        <f>IF(OR(B1138="",C1138=""),"",IFERROR(C1138*IFERROR(INDEX(Ingredients!$I$5:$I$304,MATCH(B1138,Ingredients!$A$5:$A$304,0)),""),""))</f>
        <v>0</v>
      </c>
      <c r="M1138" s="8">
        <f>IF(OR(B1138="",C1138=""),"",IFERROR(C1138*IFERROR(INDEX(Ingredients!$J$5:$J$304,MATCH(B1138,Ingredients!$A$5:$A$304,0)),""),""))</f>
        <v>0</v>
      </c>
      <c r="N1138" s="8">
        <f>IF(OR(B1138="",C1138=""),"",IFERROR(C1138*IFERROR(INDEX(Ingredients!$K$5:$K$304,MATCH(B1138,Ingredients!$A$5:$A$304,0)),""),""))</f>
        <v>0</v>
      </c>
      <c r="O1138" s="8">
        <f>IF(OR(B1138="",C1138=""),"",IFERROR(C1138*IFERROR(INDEX(Ingredients!$L$5:$L$304,MATCH(B1138,Ingredients!$A$5:$A$304,0)),""),""))</f>
        <v>0</v>
      </c>
      <c r="P1138" s="8">
        <f>IF(OR(H1138="",A1138=""),"",IFERROR(H1138/SUMIFS('Recipe Ingredients'!$H$5:$H$1204,'Recipe Ingredients'!$A$5:$A$1204,A1138),""))</f>
        <v>0</v>
      </c>
      <c r="Q1138" s="8">
        <f>IF(H1138="","",COUNTIFS($H$5:$H$1204,"&gt;"&amp;H1138)+1)</f>
        <v>0</v>
      </c>
      <c r="R1138" s="8">
        <f>IF(B1138="","",SUMIFS(Pantry!$C$5:$C$304,Pantry!$A$5:$A$304,B1138))</f>
        <v>0</v>
      </c>
      <c r="S1138" s="8">
        <f>IF(OR(B1138="",C1138=""),"",MAX(0,C1138-R1138))</f>
        <v>0</v>
      </c>
      <c r="T1138" s="26"/>
      <c r="U1138" s="8">
        <f>IF(OR(T1138="",T1138=0,G1138=""),"",T1138*G1138)</f>
        <v>0</v>
      </c>
      <c r="V1138" s="8">
        <f>IF(OR(S1138="",T1138="",T1138=0),"",CEILING(S1138/T1138,1))</f>
        <v>0</v>
      </c>
      <c r="W1138" s="27"/>
      <c r="X1138" s="29"/>
      <c r="Y1138" s="8">
        <f>IF(OR(C1138="",X1138=""),"",C1138*(1+X1138))</f>
        <v>0</v>
      </c>
      <c r="Z1138" s="8">
        <f>IF(B1138="","",IFERROR(INDEX(Ingredients!$O$5:$O$304,MATCH(B1138,Ingredients!$A$5:$A$304,0)),""))</f>
        <v>0</v>
      </c>
      <c r="AA1138" s="8">
        <f>IF(B1138="","",IF(R1138&gt;=C1138,"In pantry","To buy"))</f>
        <v>0</v>
      </c>
      <c r="AB1138" s="8">
        <f>IF(A1138="","",COUNTIFS($A$5:A1138,A1138))</f>
        <v>0</v>
      </c>
      <c r="AC1138" s="8">
        <f>IF(B1138="","",IF(COUNTIFS('Dietary Filters'!$C$5:$C$104,B1138)&gt;0,"Check","OK"))</f>
        <v>0</v>
      </c>
      <c r="AD1138" s="25"/>
    </row>
    <row r="1139" spans="1:30">
      <c r="A1139" s="7"/>
      <c r="B1139" s="7"/>
      <c r="C1139" s="26"/>
      <c r="D1139" s="27"/>
      <c r="E1139" s="8">
        <f>IF(B1139="","",IFERROR(INDEX(Ingredients!$B$5:$B$304,MATCH(B1139,Ingredients!$A$5:$A$304,0)),""))</f>
        <v>0</v>
      </c>
      <c r="F1139" s="8">
        <f>IF(B1139="","",IFERROR(INDEX(Ingredients!$E$5:$E$304,MATCH(B1139,Ingredients!$A$5:$A$304,0)),""))</f>
        <v>0</v>
      </c>
      <c r="G1139" s="8">
        <f>IF(B1139="","",IFERROR(INDEX(Ingredients!$D$5:$D$304,MATCH(B1139,Ingredients!$A$5:$A$304,0)),""))</f>
        <v>0</v>
      </c>
      <c r="H1139" s="8">
        <f>IF(OR(B1139="",C1139=""),"",IFERROR(C1139*G1139,""))</f>
        <v>0</v>
      </c>
      <c r="I1139" s="8">
        <f>IF(A1139="","",IFERROR(INDEX(Recipes!$D$5:$D$204,MATCH(A1139,Recipes!$A$5:$A$204,0)),""))</f>
        <v>0</v>
      </c>
      <c r="J1139" s="8">
        <f>IF(OR(H1139="",I1139="",I1139=0),"",IFERROR(H1139/I1139,""))</f>
        <v>0</v>
      </c>
      <c r="K1139" s="8">
        <f>IF(OR(B1139="",C1139=""),"",IFERROR(C1139*IFERROR(INDEX(Ingredients!$H$5:$H$304,MATCH(B1139,Ingredients!$A$5:$A$304,0)),""),""))</f>
        <v>0</v>
      </c>
      <c r="L1139" s="8">
        <f>IF(OR(B1139="",C1139=""),"",IFERROR(C1139*IFERROR(INDEX(Ingredients!$I$5:$I$304,MATCH(B1139,Ingredients!$A$5:$A$304,0)),""),""))</f>
        <v>0</v>
      </c>
      <c r="M1139" s="8">
        <f>IF(OR(B1139="",C1139=""),"",IFERROR(C1139*IFERROR(INDEX(Ingredients!$J$5:$J$304,MATCH(B1139,Ingredients!$A$5:$A$304,0)),""),""))</f>
        <v>0</v>
      </c>
      <c r="N1139" s="8">
        <f>IF(OR(B1139="",C1139=""),"",IFERROR(C1139*IFERROR(INDEX(Ingredients!$K$5:$K$304,MATCH(B1139,Ingredients!$A$5:$A$304,0)),""),""))</f>
        <v>0</v>
      </c>
      <c r="O1139" s="8">
        <f>IF(OR(B1139="",C1139=""),"",IFERROR(C1139*IFERROR(INDEX(Ingredients!$L$5:$L$304,MATCH(B1139,Ingredients!$A$5:$A$304,0)),""),""))</f>
        <v>0</v>
      </c>
      <c r="P1139" s="8">
        <f>IF(OR(H1139="",A1139=""),"",IFERROR(H1139/SUMIFS('Recipe Ingredients'!$H$5:$H$1204,'Recipe Ingredients'!$A$5:$A$1204,A1139),""))</f>
        <v>0</v>
      </c>
      <c r="Q1139" s="8">
        <f>IF(H1139="","",COUNTIFS($H$5:$H$1204,"&gt;"&amp;H1139)+1)</f>
        <v>0</v>
      </c>
      <c r="R1139" s="8">
        <f>IF(B1139="","",SUMIFS(Pantry!$C$5:$C$304,Pantry!$A$5:$A$304,B1139))</f>
        <v>0</v>
      </c>
      <c r="S1139" s="8">
        <f>IF(OR(B1139="",C1139=""),"",MAX(0,C1139-R1139))</f>
        <v>0</v>
      </c>
      <c r="T1139" s="26"/>
      <c r="U1139" s="8">
        <f>IF(OR(T1139="",T1139=0,G1139=""),"",T1139*G1139)</f>
        <v>0</v>
      </c>
      <c r="V1139" s="8">
        <f>IF(OR(S1139="",T1139="",T1139=0),"",CEILING(S1139/T1139,1))</f>
        <v>0</v>
      </c>
      <c r="W1139" s="27"/>
      <c r="X1139" s="29"/>
      <c r="Y1139" s="8">
        <f>IF(OR(C1139="",X1139=""),"",C1139*(1+X1139))</f>
        <v>0</v>
      </c>
      <c r="Z1139" s="8">
        <f>IF(B1139="","",IFERROR(INDEX(Ingredients!$O$5:$O$304,MATCH(B1139,Ingredients!$A$5:$A$304,0)),""))</f>
        <v>0</v>
      </c>
      <c r="AA1139" s="8">
        <f>IF(B1139="","",IF(R1139&gt;=C1139,"In pantry","To buy"))</f>
        <v>0</v>
      </c>
      <c r="AB1139" s="8">
        <f>IF(A1139="","",COUNTIFS($A$5:A1139,A1139))</f>
        <v>0</v>
      </c>
      <c r="AC1139" s="8">
        <f>IF(B1139="","",IF(COUNTIFS('Dietary Filters'!$C$5:$C$104,B1139)&gt;0,"Check","OK"))</f>
        <v>0</v>
      </c>
      <c r="AD1139" s="25"/>
    </row>
    <row r="1140" spans="1:30">
      <c r="A1140" s="7"/>
      <c r="B1140" s="7"/>
      <c r="C1140" s="26"/>
      <c r="D1140" s="27"/>
      <c r="E1140" s="8">
        <f>IF(B1140="","",IFERROR(INDEX(Ingredients!$B$5:$B$304,MATCH(B1140,Ingredients!$A$5:$A$304,0)),""))</f>
        <v>0</v>
      </c>
      <c r="F1140" s="8">
        <f>IF(B1140="","",IFERROR(INDEX(Ingredients!$E$5:$E$304,MATCH(B1140,Ingredients!$A$5:$A$304,0)),""))</f>
        <v>0</v>
      </c>
      <c r="G1140" s="8">
        <f>IF(B1140="","",IFERROR(INDEX(Ingredients!$D$5:$D$304,MATCH(B1140,Ingredients!$A$5:$A$304,0)),""))</f>
        <v>0</v>
      </c>
      <c r="H1140" s="8">
        <f>IF(OR(B1140="",C1140=""),"",IFERROR(C1140*G1140,""))</f>
        <v>0</v>
      </c>
      <c r="I1140" s="8">
        <f>IF(A1140="","",IFERROR(INDEX(Recipes!$D$5:$D$204,MATCH(A1140,Recipes!$A$5:$A$204,0)),""))</f>
        <v>0</v>
      </c>
      <c r="J1140" s="8">
        <f>IF(OR(H1140="",I1140="",I1140=0),"",IFERROR(H1140/I1140,""))</f>
        <v>0</v>
      </c>
      <c r="K1140" s="8">
        <f>IF(OR(B1140="",C1140=""),"",IFERROR(C1140*IFERROR(INDEX(Ingredients!$H$5:$H$304,MATCH(B1140,Ingredients!$A$5:$A$304,0)),""),""))</f>
        <v>0</v>
      </c>
      <c r="L1140" s="8">
        <f>IF(OR(B1140="",C1140=""),"",IFERROR(C1140*IFERROR(INDEX(Ingredients!$I$5:$I$304,MATCH(B1140,Ingredients!$A$5:$A$304,0)),""),""))</f>
        <v>0</v>
      </c>
      <c r="M1140" s="8">
        <f>IF(OR(B1140="",C1140=""),"",IFERROR(C1140*IFERROR(INDEX(Ingredients!$J$5:$J$304,MATCH(B1140,Ingredients!$A$5:$A$304,0)),""),""))</f>
        <v>0</v>
      </c>
      <c r="N1140" s="8">
        <f>IF(OR(B1140="",C1140=""),"",IFERROR(C1140*IFERROR(INDEX(Ingredients!$K$5:$K$304,MATCH(B1140,Ingredients!$A$5:$A$304,0)),""),""))</f>
        <v>0</v>
      </c>
      <c r="O1140" s="8">
        <f>IF(OR(B1140="",C1140=""),"",IFERROR(C1140*IFERROR(INDEX(Ingredients!$L$5:$L$304,MATCH(B1140,Ingredients!$A$5:$A$304,0)),""),""))</f>
        <v>0</v>
      </c>
      <c r="P1140" s="8">
        <f>IF(OR(H1140="",A1140=""),"",IFERROR(H1140/SUMIFS('Recipe Ingredients'!$H$5:$H$1204,'Recipe Ingredients'!$A$5:$A$1204,A1140),""))</f>
        <v>0</v>
      </c>
      <c r="Q1140" s="8">
        <f>IF(H1140="","",COUNTIFS($H$5:$H$1204,"&gt;"&amp;H1140)+1)</f>
        <v>0</v>
      </c>
      <c r="R1140" s="8">
        <f>IF(B1140="","",SUMIFS(Pantry!$C$5:$C$304,Pantry!$A$5:$A$304,B1140))</f>
        <v>0</v>
      </c>
      <c r="S1140" s="8">
        <f>IF(OR(B1140="",C1140=""),"",MAX(0,C1140-R1140))</f>
        <v>0</v>
      </c>
      <c r="T1140" s="26"/>
      <c r="U1140" s="8">
        <f>IF(OR(T1140="",T1140=0,G1140=""),"",T1140*G1140)</f>
        <v>0</v>
      </c>
      <c r="V1140" s="8">
        <f>IF(OR(S1140="",T1140="",T1140=0),"",CEILING(S1140/T1140,1))</f>
        <v>0</v>
      </c>
      <c r="W1140" s="27"/>
      <c r="X1140" s="29"/>
      <c r="Y1140" s="8">
        <f>IF(OR(C1140="",X1140=""),"",C1140*(1+X1140))</f>
        <v>0</v>
      </c>
      <c r="Z1140" s="8">
        <f>IF(B1140="","",IFERROR(INDEX(Ingredients!$O$5:$O$304,MATCH(B1140,Ingredients!$A$5:$A$304,0)),""))</f>
        <v>0</v>
      </c>
      <c r="AA1140" s="8">
        <f>IF(B1140="","",IF(R1140&gt;=C1140,"In pantry","To buy"))</f>
        <v>0</v>
      </c>
      <c r="AB1140" s="8">
        <f>IF(A1140="","",COUNTIFS($A$5:A1140,A1140))</f>
        <v>0</v>
      </c>
      <c r="AC1140" s="8">
        <f>IF(B1140="","",IF(COUNTIFS('Dietary Filters'!$C$5:$C$104,B1140)&gt;0,"Check","OK"))</f>
        <v>0</v>
      </c>
      <c r="AD1140" s="25"/>
    </row>
    <row r="1141" spans="1:30">
      <c r="A1141" s="7"/>
      <c r="B1141" s="7"/>
      <c r="C1141" s="26"/>
      <c r="D1141" s="27"/>
      <c r="E1141" s="8">
        <f>IF(B1141="","",IFERROR(INDEX(Ingredients!$B$5:$B$304,MATCH(B1141,Ingredients!$A$5:$A$304,0)),""))</f>
        <v>0</v>
      </c>
      <c r="F1141" s="8">
        <f>IF(B1141="","",IFERROR(INDEX(Ingredients!$E$5:$E$304,MATCH(B1141,Ingredients!$A$5:$A$304,0)),""))</f>
        <v>0</v>
      </c>
      <c r="G1141" s="8">
        <f>IF(B1141="","",IFERROR(INDEX(Ingredients!$D$5:$D$304,MATCH(B1141,Ingredients!$A$5:$A$304,0)),""))</f>
        <v>0</v>
      </c>
      <c r="H1141" s="8">
        <f>IF(OR(B1141="",C1141=""),"",IFERROR(C1141*G1141,""))</f>
        <v>0</v>
      </c>
      <c r="I1141" s="8">
        <f>IF(A1141="","",IFERROR(INDEX(Recipes!$D$5:$D$204,MATCH(A1141,Recipes!$A$5:$A$204,0)),""))</f>
        <v>0</v>
      </c>
      <c r="J1141" s="8">
        <f>IF(OR(H1141="",I1141="",I1141=0),"",IFERROR(H1141/I1141,""))</f>
        <v>0</v>
      </c>
      <c r="K1141" s="8">
        <f>IF(OR(B1141="",C1141=""),"",IFERROR(C1141*IFERROR(INDEX(Ingredients!$H$5:$H$304,MATCH(B1141,Ingredients!$A$5:$A$304,0)),""),""))</f>
        <v>0</v>
      </c>
      <c r="L1141" s="8">
        <f>IF(OR(B1141="",C1141=""),"",IFERROR(C1141*IFERROR(INDEX(Ingredients!$I$5:$I$304,MATCH(B1141,Ingredients!$A$5:$A$304,0)),""),""))</f>
        <v>0</v>
      </c>
      <c r="M1141" s="8">
        <f>IF(OR(B1141="",C1141=""),"",IFERROR(C1141*IFERROR(INDEX(Ingredients!$J$5:$J$304,MATCH(B1141,Ingredients!$A$5:$A$304,0)),""),""))</f>
        <v>0</v>
      </c>
      <c r="N1141" s="8">
        <f>IF(OR(B1141="",C1141=""),"",IFERROR(C1141*IFERROR(INDEX(Ingredients!$K$5:$K$304,MATCH(B1141,Ingredients!$A$5:$A$304,0)),""),""))</f>
        <v>0</v>
      </c>
      <c r="O1141" s="8">
        <f>IF(OR(B1141="",C1141=""),"",IFERROR(C1141*IFERROR(INDEX(Ingredients!$L$5:$L$304,MATCH(B1141,Ingredients!$A$5:$A$304,0)),""),""))</f>
        <v>0</v>
      </c>
      <c r="P1141" s="8">
        <f>IF(OR(H1141="",A1141=""),"",IFERROR(H1141/SUMIFS('Recipe Ingredients'!$H$5:$H$1204,'Recipe Ingredients'!$A$5:$A$1204,A1141),""))</f>
        <v>0</v>
      </c>
      <c r="Q1141" s="8">
        <f>IF(H1141="","",COUNTIFS($H$5:$H$1204,"&gt;"&amp;H1141)+1)</f>
        <v>0</v>
      </c>
      <c r="R1141" s="8">
        <f>IF(B1141="","",SUMIFS(Pantry!$C$5:$C$304,Pantry!$A$5:$A$304,B1141))</f>
        <v>0</v>
      </c>
      <c r="S1141" s="8">
        <f>IF(OR(B1141="",C1141=""),"",MAX(0,C1141-R1141))</f>
        <v>0</v>
      </c>
      <c r="T1141" s="26"/>
      <c r="U1141" s="8">
        <f>IF(OR(T1141="",T1141=0,G1141=""),"",T1141*G1141)</f>
        <v>0</v>
      </c>
      <c r="V1141" s="8">
        <f>IF(OR(S1141="",T1141="",T1141=0),"",CEILING(S1141/T1141,1))</f>
        <v>0</v>
      </c>
      <c r="W1141" s="27"/>
      <c r="X1141" s="29"/>
      <c r="Y1141" s="8">
        <f>IF(OR(C1141="",X1141=""),"",C1141*(1+X1141))</f>
        <v>0</v>
      </c>
      <c r="Z1141" s="8">
        <f>IF(B1141="","",IFERROR(INDEX(Ingredients!$O$5:$O$304,MATCH(B1141,Ingredients!$A$5:$A$304,0)),""))</f>
        <v>0</v>
      </c>
      <c r="AA1141" s="8">
        <f>IF(B1141="","",IF(R1141&gt;=C1141,"In pantry","To buy"))</f>
        <v>0</v>
      </c>
      <c r="AB1141" s="8">
        <f>IF(A1141="","",COUNTIFS($A$5:A1141,A1141))</f>
        <v>0</v>
      </c>
      <c r="AC1141" s="8">
        <f>IF(B1141="","",IF(COUNTIFS('Dietary Filters'!$C$5:$C$104,B1141)&gt;0,"Check","OK"))</f>
        <v>0</v>
      </c>
      <c r="AD1141" s="25"/>
    </row>
    <row r="1142" spans="1:30">
      <c r="A1142" s="7"/>
      <c r="B1142" s="7"/>
      <c r="C1142" s="26"/>
      <c r="D1142" s="27"/>
      <c r="E1142" s="8">
        <f>IF(B1142="","",IFERROR(INDEX(Ingredients!$B$5:$B$304,MATCH(B1142,Ingredients!$A$5:$A$304,0)),""))</f>
        <v>0</v>
      </c>
      <c r="F1142" s="8">
        <f>IF(B1142="","",IFERROR(INDEX(Ingredients!$E$5:$E$304,MATCH(B1142,Ingredients!$A$5:$A$304,0)),""))</f>
        <v>0</v>
      </c>
      <c r="G1142" s="8">
        <f>IF(B1142="","",IFERROR(INDEX(Ingredients!$D$5:$D$304,MATCH(B1142,Ingredients!$A$5:$A$304,0)),""))</f>
        <v>0</v>
      </c>
      <c r="H1142" s="8">
        <f>IF(OR(B1142="",C1142=""),"",IFERROR(C1142*G1142,""))</f>
        <v>0</v>
      </c>
      <c r="I1142" s="8">
        <f>IF(A1142="","",IFERROR(INDEX(Recipes!$D$5:$D$204,MATCH(A1142,Recipes!$A$5:$A$204,0)),""))</f>
        <v>0</v>
      </c>
      <c r="J1142" s="8">
        <f>IF(OR(H1142="",I1142="",I1142=0),"",IFERROR(H1142/I1142,""))</f>
        <v>0</v>
      </c>
      <c r="K1142" s="8">
        <f>IF(OR(B1142="",C1142=""),"",IFERROR(C1142*IFERROR(INDEX(Ingredients!$H$5:$H$304,MATCH(B1142,Ingredients!$A$5:$A$304,0)),""),""))</f>
        <v>0</v>
      </c>
      <c r="L1142" s="8">
        <f>IF(OR(B1142="",C1142=""),"",IFERROR(C1142*IFERROR(INDEX(Ingredients!$I$5:$I$304,MATCH(B1142,Ingredients!$A$5:$A$304,0)),""),""))</f>
        <v>0</v>
      </c>
      <c r="M1142" s="8">
        <f>IF(OR(B1142="",C1142=""),"",IFERROR(C1142*IFERROR(INDEX(Ingredients!$J$5:$J$304,MATCH(B1142,Ingredients!$A$5:$A$304,0)),""),""))</f>
        <v>0</v>
      </c>
      <c r="N1142" s="8">
        <f>IF(OR(B1142="",C1142=""),"",IFERROR(C1142*IFERROR(INDEX(Ingredients!$K$5:$K$304,MATCH(B1142,Ingredients!$A$5:$A$304,0)),""),""))</f>
        <v>0</v>
      </c>
      <c r="O1142" s="8">
        <f>IF(OR(B1142="",C1142=""),"",IFERROR(C1142*IFERROR(INDEX(Ingredients!$L$5:$L$304,MATCH(B1142,Ingredients!$A$5:$A$304,0)),""),""))</f>
        <v>0</v>
      </c>
      <c r="P1142" s="8">
        <f>IF(OR(H1142="",A1142=""),"",IFERROR(H1142/SUMIFS('Recipe Ingredients'!$H$5:$H$1204,'Recipe Ingredients'!$A$5:$A$1204,A1142),""))</f>
        <v>0</v>
      </c>
      <c r="Q1142" s="8">
        <f>IF(H1142="","",COUNTIFS($H$5:$H$1204,"&gt;"&amp;H1142)+1)</f>
        <v>0</v>
      </c>
      <c r="R1142" s="8">
        <f>IF(B1142="","",SUMIFS(Pantry!$C$5:$C$304,Pantry!$A$5:$A$304,B1142))</f>
        <v>0</v>
      </c>
      <c r="S1142" s="8">
        <f>IF(OR(B1142="",C1142=""),"",MAX(0,C1142-R1142))</f>
        <v>0</v>
      </c>
      <c r="T1142" s="26"/>
      <c r="U1142" s="8">
        <f>IF(OR(T1142="",T1142=0,G1142=""),"",T1142*G1142)</f>
        <v>0</v>
      </c>
      <c r="V1142" s="8">
        <f>IF(OR(S1142="",T1142="",T1142=0),"",CEILING(S1142/T1142,1))</f>
        <v>0</v>
      </c>
      <c r="W1142" s="27"/>
      <c r="X1142" s="29"/>
      <c r="Y1142" s="8">
        <f>IF(OR(C1142="",X1142=""),"",C1142*(1+X1142))</f>
        <v>0</v>
      </c>
      <c r="Z1142" s="8">
        <f>IF(B1142="","",IFERROR(INDEX(Ingredients!$O$5:$O$304,MATCH(B1142,Ingredients!$A$5:$A$304,0)),""))</f>
        <v>0</v>
      </c>
      <c r="AA1142" s="8">
        <f>IF(B1142="","",IF(R1142&gt;=C1142,"In pantry","To buy"))</f>
        <v>0</v>
      </c>
      <c r="AB1142" s="8">
        <f>IF(A1142="","",COUNTIFS($A$5:A1142,A1142))</f>
        <v>0</v>
      </c>
      <c r="AC1142" s="8">
        <f>IF(B1142="","",IF(COUNTIFS('Dietary Filters'!$C$5:$C$104,B1142)&gt;0,"Check","OK"))</f>
        <v>0</v>
      </c>
      <c r="AD1142" s="25"/>
    </row>
    <row r="1143" spans="1:30">
      <c r="A1143" s="7"/>
      <c r="B1143" s="7"/>
      <c r="C1143" s="26"/>
      <c r="D1143" s="27"/>
      <c r="E1143" s="8">
        <f>IF(B1143="","",IFERROR(INDEX(Ingredients!$B$5:$B$304,MATCH(B1143,Ingredients!$A$5:$A$304,0)),""))</f>
        <v>0</v>
      </c>
      <c r="F1143" s="8">
        <f>IF(B1143="","",IFERROR(INDEX(Ingredients!$E$5:$E$304,MATCH(B1143,Ingredients!$A$5:$A$304,0)),""))</f>
        <v>0</v>
      </c>
      <c r="G1143" s="8">
        <f>IF(B1143="","",IFERROR(INDEX(Ingredients!$D$5:$D$304,MATCH(B1143,Ingredients!$A$5:$A$304,0)),""))</f>
        <v>0</v>
      </c>
      <c r="H1143" s="8">
        <f>IF(OR(B1143="",C1143=""),"",IFERROR(C1143*G1143,""))</f>
        <v>0</v>
      </c>
      <c r="I1143" s="8">
        <f>IF(A1143="","",IFERROR(INDEX(Recipes!$D$5:$D$204,MATCH(A1143,Recipes!$A$5:$A$204,0)),""))</f>
        <v>0</v>
      </c>
      <c r="J1143" s="8">
        <f>IF(OR(H1143="",I1143="",I1143=0),"",IFERROR(H1143/I1143,""))</f>
        <v>0</v>
      </c>
      <c r="K1143" s="8">
        <f>IF(OR(B1143="",C1143=""),"",IFERROR(C1143*IFERROR(INDEX(Ingredients!$H$5:$H$304,MATCH(B1143,Ingredients!$A$5:$A$304,0)),""),""))</f>
        <v>0</v>
      </c>
      <c r="L1143" s="8">
        <f>IF(OR(B1143="",C1143=""),"",IFERROR(C1143*IFERROR(INDEX(Ingredients!$I$5:$I$304,MATCH(B1143,Ingredients!$A$5:$A$304,0)),""),""))</f>
        <v>0</v>
      </c>
      <c r="M1143" s="8">
        <f>IF(OR(B1143="",C1143=""),"",IFERROR(C1143*IFERROR(INDEX(Ingredients!$J$5:$J$304,MATCH(B1143,Ingredients!$A$5:$A$304,0)),""),""))</f>
        <v>0</v>
      </c>
      <c r="N1143" s="8">
        <f>IF(OR(B1143="",C1143=""),"",IFERROR(C1143*IFERROR(INDEX(Ingredients!$K$5:$K$304,MATCH(B1143,Ingredients!$A$5:$A$304,0)),""),""))</f>
        <v>0</v>
      </c>
      <c r="O1143" s="8">
        <f>IF(OR(B1143="",C1143=""),"",IFERROR(C1143*IFERROR(INDEX(Ingredients!$L$5:$L$304,MATCH(B1143,Ingredients!$A$5:$A$304,0)),""),""))</f>
        <v>0</v>
      </c>
      <c r="P1143" s="8">
        <f>IF(OR(H1143="",A1143=""),"",IFERROR(H1143/SUMIFS('Recipe Ingredients'!$H$5:$H$1204,'Recipe Ingredients'!$A$5:$A$1204,A1143),""))</f>
        <v>0</v>
      </c>
      <c r="Q1143" s="8">
        <f>IF(H1143="","",COUNTIFS($H$5:$H$1204,"&gt;"&amp;H1143)+1)</f>
        <v>0</v>
      </c>
      <c r="R1143" s="8">
        <f>IF(B1143="","",SUMIFS(Pantry!$C$5:$C$304,Pantry!$A$5:$A$304,B1143))</f>
        <v>0</v>
      </c>
      <c r="S1143" s="8">
        <f>IF(OR(B1143="",C1143=""),"",MAX(0,C1143-R1143))</f>
        <v>0</v>
      </c>
      <c r="T1143" s="26"/>
      <c r="U1143" s="8">
        <f>IF(OR(T1143="",T1143=0,G1143=""),"",T1143*G1143)</f>
        <v>0</v>
      </c>
      <c r="V1143" s="8">
        <f>IF(OR(S1143="",T1143="",T1143=0),"",CEILING(S1143/T1143,1))</f>
        <v>0</v>
      </c>
      <c r="W1143" s="27"/>
      <c r="X1143" s="29"/>
      <c r="Y1143" s="8">
        <f>IF(OR(C1143="",X1143=""),"",C1143*(1+X1143))</f>
        <v>0</v>
      </c>
      <c r="Z1143" s="8">
        <f>IF(B1143="","",IFERROR(INDEX(Ingredients!$O$5:$O$304,MATCH(B1143,Ingredients!$A$5:$A$304,0)),""))</f>
        <v>0</v>
      </c>
      <c r="AA1143" s="8">
        <f>IF(B1143="","",IF(R1143&gt;=C1143,"In pantry","To buy"))</f>
        <v>0</v>
      </c>
      <c r="AB1143" s="8">
        <f>IF(A1143="","",COUNTIFS($A$5:A1143,A1143))</f>
        <v>0</v>
      </c>
      <c r="AC1143" s="8">
        <f>IF(B1143="","",IF(COUNTIFS('Dietary Filters'!$C$5:$C$104,B1143)&gt;0,"Check","OK"))</f>
        <v>0</v>
      </c>
      <c r="AD1143" s="25"/>
    </row>
    <row r="1144" spans="1:30">
      <c r="A1144" s="7"/>
      <c r="B1144" s="7"/>
      <c r="C1144" s="26"/>
      <c r="D1144" s="27"/>
      <c r="E1144" s="8">
        <f>IF(B1144="","",IFERROR(INDEX(Ingredients!$B$5:$B$304,MATCH(B1144,Ingredients!$A$5:$A$304,0)),""))</f>
        <v>0</v>
      </c>
      <c r="F1144" s="8">
        <f>IF(B1144="","",IFERROR(INDEX(Ingredients!$E$5:$E$304,MATCH(B1144,Ingredients!$A$5:$A$304,0)),""))</f>
        <v>0</v>
      </c>
      <c r="G1144" s="8">
        <f>IF(B1144="","",IFERROR(INDEX(Ingredients!$D$5:$D$304,MATCH(B1144,Ingredients!$A$5:$A$304,0)),""))</f>
        <v>0</v>
      </c>
      <c r="H1144" s="8">
        <f>IF(OR(B1144="",C1144=""),"",IFERROR(C1144*G1144,""))</f>
        <v>0</v>
      </c>
      <c r="I1144" s="8">
        <f>IF(A1144="","",IFERROR(INDEX(Recipes!$D$5:$D$204,MATCH(A1144,Recipes!$A$5:$A$204,0)),""))</f>
        <v>0</v>
      </c>
      <c r="J1144" s="8">
        <f>IF(OR(H1144="",I1144="",I1144=0),"",IFERROR(H1144/I1144,""))</f>
        <v>0</v>
      </c>
      <c r="K1144" s="8">
        <f>IF(OR(B1144="",C1144=""),"",IFERROR(C1144*IFERROR(INDEX(Ingredients!$H$5:$H$304,MATCH(B1144,Ingredients!$A$5:$A$304,0)),""),""))</f>
        <v>0</v>
      </c>
      <c r="L1144" s="8">
        <f>IF(OR(B1144="",C1144=""),"",IFERROR(C1144*IFERROR(INDEX(Ingredients!$I$5:$I$304,MATCH(B1144,Ingredients!$A$5:$A$304,0)),""),""))</f>
        <v>0</v>
      </c>
      <c r="M1144" s="8">
        <f>IF(OR(B1144="",C1144=""),"",IFERROR(C1144*IFERROR(INDEX(Ingredients!$J$5:$J$304,MATCH(B1144,Ingredients!$A$5:$A$304,0)),""),""))</f>
        <v>0</v>
      </c>
      <c r="N1144" s="8">
        <f>IF(OR(B1144="",C1144=""),"",IFERROR(C1144*IFERROR(INDEX(Ingredients!$K$5:$K$304,MATCH(B1144,Ingredients!$A$5:$A$304,0)),""),""))</f>
        <v>0</v>
      </c>
      <c r="O1144" s="8">
        <f>IF(OR(B1144="",C1144=""),"",IFERROR(C1144*IFERROR(INDEX(Ingredients!$L$5:$L$304,MATCH(B1144,Ingredients!$A$5:$A$304,0)),""),""))</f>
        <v>0</v>
      </c>
      <c r="P1144" s="8">
        <f>IF(OR(H1144="",A1144=""),"",IFERROR(H1144/SUMIFS('Recipe Ingredients'!$H$5:$H$1204,'Recipe Ingredients'!$A$5:$A$1204,A1144),""))</f>
        <v>0</v>
      </c>
      <c r="Q1144" s="8">
        <f>IF(H1144="","",COUNTIFS($H$5:$H$1204,"&gt;"&amp;H1144)+1)</f>
        <v>0</v>
      </c>
      <c r="R1144" s="8">
        <f>IF(B1144="","",SUMIFS(Pantry!$C$5:$C$304,Pantry!$A$5:$A$304,B1144))</f>
        <v>0</v>
      </c>
      <c r="S1144" s="8">
        <f>IF(OR(B1144="",C1144=""),"",MAX(0,C1144-R1144))</f>
        <v>0</v>
      </c>
      <c r="T1144" s="26"/>
      <c r="U1144" s="8">
        <f>IF(OR(T1144="",T1144=0,G1144=""),"",T1144*G1144)</f>
        <v>0</v>
      </c>
      <c r="V1144" s="8">
        <f>IF(OR(S1144="",T1144="",T1144=0),"",CEILING(S1144/T1144,1))</f>
        <v>0</v>
      </c>
      <c r="W1144" s="27"/>
      <c r="X1144" s="29"/>
      <c r="Y1144" s="8">
        <f>IF(OR(C1144="",X1144=""),"",C1144*(1+X1144))</f>
        <v>0</v>
      </c>
      <c r="Z1144" s="8">
        <f>IF(B1144="","",IFERROR(INDEX(Ingredients!$O$5:$O$304,MATCH(B1144,Ingredients!$A$5:$A$304,0)),""))</f>
        <v>0</v>
      </c>
      <c r="AA1144" s="8">
        <f>IF(B1144="","",IF(R1144&gt;=C1144,"In pantry","To buy"))</f>
        <v>0</v>
      </c>
      <c r="AB1144" s="8">
        <f>IF(A1144="","",COUNTIFS($A$5:A1144,A1144))</f>
        <v>0</v>
      </c>
      <c r="AC1144" s="8">
        <f>IF(B1144="","",IF(COUNTIFS('Dietary Filters'!$C$5:$C$104,B1144)&gt;0,"Check","OK"))</f>
        <v>0</v>
      </c>
      <c r="AD1144" s="25"/>
    </row>
    <row r="1145" spans="1:30">
      <c r="A1145" s="7"/>
      <c r="B1145" s="7"/>
      <c r="C1145" s="26"/>
      <c r="D1145" s="27"/>
      <c r="E1145" s="8">
        <f>IF(B1145="","",IFERROR(INDEX(Ingredients!$B$5:$B$304,MATCH(B1145,Ingredients!$A$5:$A$304,0)),""))</f>
        <v>0</v>
      </c>
      <c r="F1145" s="8">
        <f>IF(B1145="","",IFERROR(INDEX(Ingredients!$E$5:$E$304,MATCH(B1145,Ingredients!$A$5:$A$304,0)),""))</f>
        <v>0</v>
      </c>
      <c r="G1145" s="8">
        <f>IF(B1145="","",IFERROR(INDEX(Ingredients!$D$5:$D$304,MATCH(B1145,Ingredients!$A$5:$A$304,0)),""))</f>
        <v>0</v>
      </c>
      <c r="H1145" s="8">
        <f>IF(OR(B1145="",C1145=""),"",IFERROR(C1145*G1145,""))</f>
        <v>0</v>
      </c>
      <c r="I1145" s="8">
        <f>IF(A1145="","",IFERROR(INDEX(Recipes!$D$5:$D$204,MATCH(A1145,Recipes!$A$5:$A$204,0)),""))</f>
        <v>0</v>
      </c>
      <c r="J1145" s="8">
        <f>IF(OR(H1145="",I1145="",I1145=0),"",IFERROR(H1145/I1145,""))</f>
        <v>0</v>
      </c>
      <c r="K1145" s="8">
        <f>IF(OR(B1145="",C1145=""),"",IFERROR(C1145*IFERROR(INDEX(Ingredients!$H$5:$H$304,MATCH(B1145,Ingredients!$A$5:$A$304,0)),""),""))</f>
        <v>0</v>
      </c>
      <c r="L1145" s="8">
        <f>IF(OR(B1145="",C1145=""),"",IFERROR(C1145*IFERROR(INDEX(Ingredients!$I$5:$I$304,MATCH(B1145,Ingredients!$A$5:$A$304,0)),""),""))</f>
        <v>0</v>
      </c>
      <c r="M1145" s="8">
        <f>IF(OR(B1145="",C1145=""),"",IFERROR(C1145*IFERROR(INDEX(Ingredients!$J$5:$J$304,MATCH(B1145,Ingredients!$A$5:$A$304,0)),""),""))</f>
        <v>0</v>
      </c>
      <c r="N1145" s="8">
        <f>IF(OR(B1145="",C1145=""),"",IFERROR(C1145*IFERROR(INDEX(Ingredients!$K$5:$K$304,MATCH(B1145,Ingredients!$A$5:$A$304,0)),""),""))</f>
        <v>0</v>
      </c>
      <c r="O1145" s="8">
        <f>IF(OR(B1145="",C1145=""),"",IFERROR(C1145*IFERROR(INDEX(Ingredients!$L$5:$L$304,MATCH(B1145,Ingredients!$A$5:$A$304,0)),""),""))</f>
        <v>0</v>
      </c>
      <c r="P1145" s="8">
        <f>IF(OR(H1145="",A1145=""),"",IFERROR(H1145/SUMIFS('Recipe Ingredients'!$H$5:$H$1204,'Recipe Ingredients'!$A$5:$A$1204,A1145),""))</f>
        <v>0</v>
      </c>
      <c r="Q1145" s="8">
        <f>IF(H1145="","",COUNTIFS($H$5:$H$1204,"&gt;"&amp;H1145)+1)</f>
        <v>0</v>
      </c>
      <c r="R1145" s="8">
        <f>IF(B1145="","",SUMIFS(Pantry!$C$5:$C$304,Pantry!$A$5:$A$304,B1145))</f>
        <v>0</v>
      </c>
      <c r="S1145" s="8">
        <f>IF(OR(B1145="",C1145=""),"",MAX(0,C1145-R1145))</f>
        <v>0</v>
      </c>
      <c r="T1145" s="26"/>
      <c r="U1145" s="8">
        <f>IF(OR(T1145="",T1145=0,G1145=""),"",T1145*G1145)</f>
        <v>0</v>
      </c>
      <c r="V1145" s="8">
        <f>IF(OR(S1145="",T1145="",T1145=0),"",CEILING(S1145/T1145,1))</f>
        <v>0</v>
      </c>
      <c r="W1145" s="27"/>
      <c r="X1145" s="29"/>
      <c r="Y1145" s="8">
        <f>IF(OR(C1145="",X1145=""),"",C1145*(1+X1145))</f>
        <v>0</v>
      </c>
      <c r="Z1145" s="8">
        <f>IF(B1145="","",IFERROR(INDEX(Ingredients!$O$5:$O$304,MATCH(B1145,Ingredients!$A$5:$A$304,0)),""))</f>
        <v>0</v>
      </c>
      <c r="AA1145" s="8">
        <f>IF(B1145="","",IF(R1145&gt;=C1145,"In pantry","To buy"))</f>
        <v>0</v>
      </c>
      <c r="AB1145" s="8">
        <f>IF(A1145="","",COUNTIFS($A$5:A1145,A1145))</f>
        <v>0</v>
      </c>
      <c r="AC1145" s="8">
        <f>IF(B1145="","",IF(COUNTIFS('Dietary Filters'!$C$5:$C$104,B1145)&gt;0,"Check","OK"))</f>
        <v>0</v>
      </c>
      <c r="AD1145" s="25"/>
    </row>
    <row r="1146" spans="1:30">
      <c r="A1146" s="7"/>
      <c r="B1146" s="7"/>
      <c r="C1146" s="26"/>
      <c r="D1146" s="27"/>
      <c r="E1146" s="8">
        <f>IF(B1146="","",IFERROR(INDEX(Ingredients!$B$5:$B$304,MATCH(B1146,Ingredients!$A$5:$A$304,0)),""))</f>
        <v>0</v>
      </c>
      <c r="F1146" s="8">
        <f>IF(B1146="","",IFERROR(INDEX(Ingredients!$E$5:$E$304,MATCH(B1146,Ingredients!$A$5:$A$304,0)),""))</f>
        <v>0</v>
      </c>
      <c r="G1146" s="8">
        <f>IF(B1146="","",IFERROR(INDEX(Ingredients!$D$5:$D$304,MATCH(B1146,Ingredients!$A$5:$A$304,0)),""))</f>
        <v>0</v>
      </c>
      <c r="H1146" s="8">
        <f>IF(OR(B1146="",C1146=""),"",IFERROR(C1146*G1146,""))</f>
        <v>0</v>
      </c>
      <c r="I1146" s="8">
        <f>IF(A1146="","",IFERROR(INDEX(Recipes!$D$5:$D$204,MATCH(A1146,Recipes!$A$5:$A$204,0)),""))</f>
        <v>0</v>
      </c>
      <c r="J1146" s="8">
        <f>IF(OR(H1146="",I1146="",I1146=0),"",IFERROR(H1146/I1146,""))</f>
        <v>0</v>
      </c>
      <c r="K1146" s="8">
        <f>IF(OR(B1146="",C1146=""),"",IFERROR(C1146*IFERROR(INDEX(Ingredients!$H$5:$H$304,MATCH(B1146,Ingredients!$A$5:$A$304,0)),""),""))</f>
        <v>0</v>
      </c>
      <c r="L1146" s="8">
        <f>IF(OR(B1146="",C1146=""),"",IFERROR(C1146*IFERROR(INDEX(Ingredients!$I$5:$I$304,MATCH(B1146,Ingredients!$A$5:$A$304,0)),""),""))</f>
        <v>0</v>
      </c>
      <c r="M1146" s="8">
        <f>IF(OR(B1146="",C1146=""),"",IFERROR(C1146*IFERROR(INDEX(Ingredients!$J$5:$J$304,MATCH(B1146,Ingredients!$A$5:$A$304,0)),""),""))</f>
        <v>0</v>
      </c>
      <c r="N1146" s="8">
        <f>IF(OR(B1146="",C1146=""),"",IFERROR(C1146*IFERROR(INDEX(Ingredients!$K$5:$K$304,MATCH(B1146,Ingredients!$A$5:$A$304,0)),""),""))</f>
        <v>0</v>
      </c>
      <c r="O1146" s="8">
        <f>IF(OR(B1146="",C1146=""),"",IFERROR(C1146*IFERROR(INDEX(Ingredients!$L$5:$L$304,MATCH(B1146,Ingredients!$A$5:$A$304,0)),""),""))</f>
        <v>0</v>
      </c>
      <c r="P1146" s="8">
        <f>IF(OR(H1146="",A1146=""),"",IFERROR(H1146/SUMIFS('Recipe Ingredients'!$H$5:$H$1204,'Recipe Ingredients'!$A$5:$A$1204,A1146),""))</f>
        <v>0</v>
      </c>
      <c r="Q1146" s="8">
        <f>IF(H1146="","",COUNTIFS($H$5:$H$1204,"&gt;"&amp;H1146)+1)</f>
        <v>0</v>
      </c>
      <c r="R1146" s="8">
        <f>IF(B1146="","",SUMIFS(Pantry!$C$5:$C$304,Pantry!$A$5:$A$304,B1146))</f>
        <v>0</v>
      </c>
      <c r="S1146" s="8">
        <f>IF(OR(B1146="",C1146=""),"",MAX(0,C1146-R1146))</f>
        <v>0</v>
      </c>
      <c r="T1146" s="26"/>
      <c r="U1146" s="8">
        <f>IF(OR(T1146="",T1146=0,G1146=""),"",T1146*G1146)</f>
        <v>0</v>
      </c>
      <c r="V1146" s="8">
        <f>IF(OR(S1146="",T1146="",T1146=0),"",CEILING(S1146/T1146,1))</f>
        <v>0</v>
      </c>
      <c r="W1146" s="27"/>
      <c r="X1146" s="29"/>
      <c r="Y1146" s="8">
        <f>IF(OR(C1146="",X1146=""),"",C1146*(1+X1146))</f>
        <v>0</v>
      </c>
      <c r="Z1146" s="8">
        <f>IF(B1146="","",IFERROR(INDEX(Ingredients!$O$5:$O$304,MATCH(B1146,Ingredients!$A$5:$A$304,0)),""))</f>
        <v>0</v>
      </c>
      <c r="AA1146" s="8">
        <f>IF(B1146="","",IF(R1146&gt;=C1146,"In pantry","To buy"))</f>
        <v>0</v>
      </c>
      <c r="AB1146" s="8">
        <f>IF(A1146="","",COUNTIFS($A$5:A1146,A1146))</f>
        <v>0</v>
      </c>
      <c r="AC1146" s="8">
        <f>IF(B1146="","",IF(COUNTIFS('Dietary Filters'!$C$5:$C$104,B1146)&gt;0,"Check","OK"))</f>
        <v>0</v>
      </c>
      <c r="AD1146" s="25"/>
    </row>
    <row r="1147" spans="1:30">
      <c r="A1147" s="7"/>
      <c r="B1147" s="7"/>
      <c r="C1147" s="26"/>
      <c r="D1147" s="27"/>
      <c r="E1147" s="8">
        <f>IF(B1147="","",IFERROR(INDEX(Ingredients!$B$5:$B$304,MATCH(B1147,Ingredients!$A$5:$A$304,0)),""))</f>
        <v>0</v>
      </c>
      <c r="F1147" s="8">
        <f>IF(B1147="","",IFERROR(INDEX(Ingredients!$E$5:$E$304,MATCH(B1147,Ingredients!$A$5:$A$304,0)),""))</f>
        <v>0</v>
      </c>
      <c r="G1147" s="8">
        <f>IF(B1147="","",IFERROR(INDEX(Ingredients!$D$5:$D$304,MATCH(B1147,Ingredients!$A$5:$A$304,0)),""))</f>
        <v>0</v>
      </c>
      <c r="H1147" s="8">
        <f>IF(OR(B1147="",C1147=""),"",IFERROR(C1147*G1147,""))</f>
        <v>0</v>
      </c>
      <c r="I1147" s="8">
        <f>IF(A1147="","",IFERROR(INDEX(Recipes!$D$5:$D$204,MATCH(A1147,Recipes!$A$5:$A$204,0)),""))</f>
        <v>0</v>
      </c>
      <c r="J1147" s="8">
        <f>IF(OR(H1147="",I1147="",I1147=0),"",IFERROR(H1147/I1147,""))</f>
        <v>0</v>
      </c>
      <c r="K1147" s="8">
        <f>IF(OR(B1147="",C1147=""),"",IFERROR(C1147*IFERROR(INDEX(Ingredients!$H$5:$H$304,MATCH(B1147,Ingredients!$A$5:$A$304,0)),""),""))</f>
        <v>0</v>
      </c>
      <c r="L1147" s="8">
        <f>IF(OR(B1147="",C1147=""),"",IFERROR(C1147*IFERROR(INDEX(Ingredients!$I$5:$I$304,MATCH(B1147,Ingredients!$A$5:$A$304,0)),""),""))</f>
        <v>0</v>
      </c>
      <c r="M1147" s="8">
        <f>IF(OR(B1147="",C1147=""),"",IFERROR(C1147*IFERROR(INDEX(Ingredients!$J$5:$J$304,MATCH(B1147,Ingredients!$A$5:$A$304,0)),""),""))</f>
        <v>0</v>
      </c>
      <c r="N1147" s="8">
        <f>IF(OR(B1147="",C1147=""),"",IFERROR(C1147*IFERROR(INDEX(Ingredients!$K$5:$K$304,MATCH(B1147,Ingredients!$A$5:$A$304,0)),""),""))</f>
        <v>0</v>
      </c>
      <c r="O1147" s="8">
        <f>IF(OR(B1147="",C1147=""),"",IFERROR(C1147*IFERROR(INDEX(Ingredients!$L$5:$L$304,MATCH(B1147,Ingredients!$A$5:$A$304,0)),""),""))</f>
        <v>0</v>
      </c>
      <c r="P1147" s="8">
        <f>IF(OR(H1147="",A1147=""),"",IFERROR(H1147/SUMIFS('Recipe Ingredients'!$H$5:$H$1204,'Recipe Ingredients'!$A$5:$A$1204,A1147),""))</f>
        <v>0</v>
      </c>
      <c r="Q1147" s="8">
        <f>IF(H1147="","",COUNTIFS($H$5:$H$1204,"&gt;"&amp;H1147)+1)</f>
        <v>0</v>
      </c>
      <c r="R1147" s="8">
        <f>IF(B1147="","",SUMIFS(Pantry!$C$5:$C$304,Pantry!$A$5:$A$304,B1147))</f>
        <v>0</v>
      </c>
      <c r="S1147" s="8">
        <f>IF(OR(B1147="",C1147=""),"",MAX(0,C1147-R1147))</f>
        <v>0</v>
      </c>
      <c r="T1147" s="26"/>
      <c r="U1147" s="8">
        <f>IF(OR(T1147="",T1147=0,G1147=""),"",T1147*G1147)</f>
        <v>0</v>
      </c>
      <c r="V1147" s="8">
        <f>IF(OR(S1147="",T1147="",T1147=0),"",CEILING(S1147/T1147,1))</f>
        <v>0</v>
      </c>
      <c r="W1147" s="27"/>
      <c r="X1147" s="29"/>
      <c r="Y1147" s="8">
        <f>IF(OR(C1147="",X1147=""),"",C1147*(1+X1147))</f>
        <v>0</v>
      </c>
      <c r="Z1147" s="8">
        <f>IF(B1147="","",IFERROR(INDEX(Ingredients!$O$5:$O$304,MATCH(B1147,Ingredients!$A$5:$A$304,0)),""))</f>
        <v>0</v>
      </c>
      <c r="AA1147" s="8">
        <f>IF(B1147="","",IF(R1147&gt;=C1147,"In pantry","To buy"))</f>
        <v>0</v>
      </c>
      <c r="AB1147" s="8">
        <f>IF(A1147="","",COUNTIFS($A$5:A1147,A1147))</f>
        <v>0</v>
      </c>
      <c r="AC1147" s="8">
        <f>IF(B1147="","",IF(COUNTIFS('Dietary Filters'!$C$5:$C$104,B1147)&gt;0,"Check","OK"))</f>
        <v>0</v>
      </c>
      <c r="AD1147" s="25"/>
    </row>
    <row r="1148" spans="1:30">
      <c r="A1148" s="7"/>
      <c r="B1148" s="7"/>
      <c r="C1148" s="26"/>
      <c r="D1148" s="27"/>
      <c r="E1148" s="8">
        <f>IF(B1148="","",IFERROR(INDEX(Ingredients!$B$5:$B$304,MATCH(B1148,Ingredients!$A$5:$A$304,0)),""))</f>
        <v>0</v>
      </c>
      <c r="F1148" s="8">
        <f>IF(B1148="","",IFERROR(INDEX(Ingredients!$E$5:$E$304,MATCH(B1148,Ingredients!$A$5:$A$304,0)),""))</f>
        <v>0</v>
      </c>
      <c r="G1148" s="8">
        <f>IF(B1148="","",IFERROR(INDEX(Ingredients!$D$5:$D$304,MATCH(B1148,Ingredients!$A$5:$A$304,0)),""))</f>
        <v>0</v>
      </c>
      <c r="H1148" s="8">
        <f>IF(OR(B1148="",C1148=""),"",IFERROR(C1148*G1148,""))</f>
        <v>0</v>
      </c>
      <c r="I1148" s="8">
        <f>IF(A1148="","",IFERROR(INDEX(Recipes!$D$5:$D$204,MATCH(A1148,Recipes!$A$5:$A$204,0)),""))</f>
        <v>0</v>
      </c>
      <c r="J1148" s="8">
        <f>IF(OR(H1148="",I1148="",I1148=0),"",IFERROR(H1148/I1148,""))</f>
        <v>0</v>
      </c>
      <c r="K1148" s="8">
        <f>IF(OR(B1148="",C1148=""),"",IFERROR(C1148*IFERROR(INDEX(Ingredients!$H$5:$H$304,MATCH(B1148,Ingredients!$A$5:$A$304,0)),""),""))</f>
        <v>0</v>
      </c>
      <c r="L1148" s="8">
        <f>IF(OR(B1148="",C1148=""),"",IFERROR(C1148*IFERROR(INDEX(Ingredients!$I$5:$I$304,MATCH(B1148,Ingredients!$A$5:$A$304,0)),""),""))</f>
        <v>0</v>
      </c>
      <c r="M1148" s="8">
        <f>IF(OR(B1148="",C1148=""),"",IFERROR(C1148*IFERROR(INDEX(Ingredients!$J$5:$J$304,MATCH(B1148,Ingredients!$A$5:$A$304,0)),""),""))</f>
        <v>0</v>
      </c>
      <c r="N1148" s="8">
        <f>IF(OR(B1148="",C1148=""),"",IFERROR(C1148*IFERROR(INDEX(Ingredients!$K$5:$K$304,MATCH(B1148,Ingredients!$A$5:$A$304,0)),""),""))</f>
        <v>0</v>
      </c>
      <c r="O1148" s="8">
        <f>IF(OR(B1148="",C1148=""),"",IFERROR(C1148*IFERROR(INDEX(Ingredients!$L$5:$L$304,MATCH(B1148,Ingredients!$A$5:$A$304,0)),""),""))</f>
        <v>0</v>
      </c>
      <c r="P1148" s="8">
        <f>IF(OR(H1148="",A1148=""),"",IFERROR(H1148/SUMIFS('Recipe Ingredients'!$H$5:$H$1204,'Recipe Ingredients'!$A$5:$A$1204,A1148),""))</f>
        <v>0</v>
      </c>
      <c r="Q1148" s="8">
        <f>IF(H1148="","",COUNTIFS($H$5:$H$1204,"&gt;"&amp;H1148)+1)</f>
        <v>0</v>
      </c>
      <c r="R1148" s="8">
        <f>IF(B1148="","",SUMIFS(Pantry!$C$5:$C$304,Pantry!$A$5:$A$304,B1148))</f>
        <v>0</v>
      </c>
      <c r="S1148" s="8">
        <f>IF(OR(B1148="",C1148=""),"",MAX(0,C1148-R1148))</f>
        <v>0</v>
      </c>
      <c r="T1148" s="26"/>
      <c r="U1148" s="8">
        <f>IF(OR(T1148="",T1148=0,G1148=""),"",T1148*G1148)</f>
        <v>0</v>
      </c>
      <c r="V1148" s="8">
        <f>IF(OR(S1148="",T1148="",T1148=0),"",CEILING(S1148/T1148,1))</f>
        <v>0</v>
      </c>
      <c r="W1148" s="27"/>
      <c r="X1148" s="29"/>
      <c r="Y1148" s="8">
        <f>IF(OR(C1148="",X1148=""),"",C1148*(1+X1148))</f>
        <v>0</v>
      </c>
      <c r="Z1148" s="8">
        <f>IF(B1148="","",IFERROR(INDEX(Ingredients!$O$5:$O$304,MATCH(B1148,Ingredients!$A$5:$A$304,0)),""))</f>
        <v>0</v>
      </c>
      <c r="AA1148" s="8">
        <f>IF(B1148="","",IF(R1148&gt;=C1148,"In pantry","To buy"))</f>
        <v>0</v>
      </c>
      <c r="AB1148" s="8">
        <f>IF(A1148="","",COUNTIFS($A$5:A1148,A1148))</f>
        <v>0</v>
      </c>
      <c r="AC1148" s="8">
        <f>IF(B1148="","",IF(COUNTIFS('Dietary Filters'!$C$5:$C$104,B1148)&gt;0,"Check","OK"))</f>
        <v>0</v>
      </c>
      <c r="AD1148" s="25"/>
    </row>
    <row r="1149" spans="1:30">
      <c r="A1149" s="7"/>
      <c r="B1149" s="7"/>
      <c r="C1149" s="26"/>
      <c r="D1149" s="27"/>
      <c r="E1149" s="8">
        <f>IF(B1149="","",IFERROR(INDEX(Ingredients!$B$5:$B$304,MATCH(B1149,Ingredients!$A$5:$A$304,0)),""))</f>
        <v>0</v>
      </c>
      <c r="F1149" s="8">
        <f>IF(B1149="","",IFERROR(INDEX(Ingredients!$E$5:$E$304,MATCH(B1149,Ingredients!$A$5:$A$304,0)),""))</f>
        <v>0</v>
      </c>
      <c r="G1149" s="8">
        <f>IF(B1149="","",IFERROR(INDEX(Ingredients!$D$5:$D$304,MATCH(B1149,Ingredients!$A$5:$A$304,0)),""))</f>
        <v>0</v>
      </c>
      <c r="H1149" s="8">
        <f>IF(OR(B1149="",C1149=""),"",IFERROR(C1149*G1149,""))</f>
        <v>0</v>
      </c>
      <c r="I1149" s="8">
        <f>IF(A1149="","",IFERROR(INDEX(Recipes!$D$5:$D$204,MATCH(A1149,Recipes!$A$5:$A$204,0)),""))</f>
        <v>0</v>
      </c>
      <c r="J1149" s="8">
        <f>IF(OR(H1149="",I1149="",I1149=0),"",IFERROR(H1149/I1149,""))</f>
        <v>0</v>
      </c>
      <c r="K1149" s="8">
        <f>IF(OR(B1149="",C1149=""),"",IFERROR(C1149*IFERROR(INDEX(Ingredients!$H$5:$H$304,MATCH(B1149,Ingredients!$A$5:$A$304,0)),""),""))</f>
        <v>0</v>
      </c>
      <c r="L1149" s="8">
        <f>IF(OR(B1149="",C1149=""),"",IFERROR(C1149*IFERROR(INDEX(Ingredients!$I$5:$I$304,MATCH(B1149,Ingredients!$A$5:$A$304,0)),""),""))</f>
        <v>0</v>
      </c>
      <c r="M1149" s="8">
        <f>IF(OR(B1149="",C1149=""),"",IFERROR(C1149*IFERROR(INDEX(Ingredients!$J$5:$J$304,MATCH(B1149,Ingredients!$A$5:$A$304,0)),""),""))</f>
        <v>0</v>
      </c>
      <c r="N1149" s="8">
        <f>IF(OR(B1149="",C1149=""),"",IFERROR(C1149*IFERROR(INDEX(Ingredients!$K$5:$K$304,MATCH(B1149,Ingredients!$A$5:$A$304,0)),""),""))</f>
        <v>0</v>
      </c>
      <c r="O1149" s="8">
        <f>IF(OR(B1149="",C1149=""),"",IFERROR(C1149*IFERROR(INDEX(Ingredients!$L$5:$L$304,MATCH(B1149,Ingredients!$A$5:$A$304,0)),""),""))</f>
        <v>0</v>
      </c>
      <c r="P1149" s="8">
        <f>IF(OR(H1149="",A1149=""),"",IFERROR(H1149/SUMIFS('Recipe Ingredients'!$H$5:$H$1204,'Recipe Ingredients'!$A$5:$A$1204,A1149),""))</f>
        <v>0</v>
      </c>
      <c r="Q1149" s="8">
        <f>IF(H1149="","",COUNTIFS($H$5:$H$1204,"&gt;"&amp;H1149)+1)</f>
        <v>0</v>
      </c>
      <c r="R1149" s="8">
        <f>IF(B1149="","",SUMIFS(Pantry!$C$5:$C$304,Pantry!$A$5:$A$304,B1149))</f>
        <v>0</v>
      </c>
      <c r="S1149" s="8">
        <f>IF(OR(B1149="",C1149=""),"",MAX(0,C1149-R1149))</f>
        <v>0</v>
      </c>
      <c r="T1149" s="26"/>
      <c r="U1149" s="8">
        <f>IF(OR(T1149="",T1149=0,G1149=""),"",T1149*G1149)</f>
        <v>0</v>
      </c>
      <c r="V1149" s="8">
        <f>IF(OR(S1149="",T1149="",T1149=0),"",CEILING(S1149/T1149,1))</f>
        <v>0</v>
      </c>
      <c r="W1149" s="27"/>
      <c r="X1149" s="29"/>
      <c r="Y1149" s="8">
        <f>IF(OR(C1149="",X1149=""),"",C1149*(1+X1149))</f>
        <v>0</v>
      </c>
      <c r="Z1149" s="8">
        <f>IF(B1149="","",IFERROR(INDEX(Ingredients!$O$5:$O$304,MATCH(B1149,Ingredients!$A$5:$A$304,0)),""))</f>
        <v>0</v>
      </c>
      <c r="AA1149" s="8">
        <f>IF(B1149="","",IF(R1149&gt;=C1149,"In pantry","To buy"))</f>
        <v>0</v>
      </c>
      <c r="AB1149" s="8">
        <f>IF(A1149="","",COUNTIFS($A$5:A1149,A1149))</f>
        <v>0</v>
      </c>
      <c r="AC1149" s="8">
        <f>IF(B1149="","",IF(COUNTIFS('Dietary Filters'!$C$5:$C$104,B1149)&gt;0,"Check","OK"))</f>
        <v>0</v>
      </c>
      <c r="AD1149" s="25"/>
    </row>
    <row r="1150" spans="1:30">
      <c r="A1150" s="7"/>
      <c r="B1150" s="7"/>
      <c r="C1150" s="26"/>
      <c r="D1150" s="27"/>
      <c r="E1150" s="8">
        <f>IF(B1150="","",IFERROR(INDEX(Ingredients!$B$5:$B$304,MATCH(B1150,Ingredients!$A$5:$A$304,0)),""))</f>
        <v>0</v>
      </c>
      <c r="F1150" s="8">
        <f>IF(B1150="","",IFERROR(INDEX(Ingredients!$E$5:$E$304,MATCH(B1150,Ingredients!$A$5:$A$304,0)),""))</f>
        <v>0</v>
      </c>
      <c r="G1150" s="8">
        <f>IF(B1150="","",IFERROR(INDEX(Ingredients!$D$5:$D$304,MATCH(B1150,Ingredients!$A$5:$A$304,0)),""))</f>
        <v>0</v>
      </c>
      <c r="H1150" s="8">
        <f>IF(OR(B1150="",C1150=""),"",IFERROR(C1150*G1150,""))</f>
        <v>0</v>
      </c>
      <c r="I1150" s="8">
        <f>IF(A1150="","",IFERROR(INDEX(Recipes!$D$5:$D$204,MATCH(A1150,Recipes!$A$5:$A$204,0)),""))</f>
        <v>0</v>
      </c>
      <c r="J1150" s="8">
        <f>IF(OR(H1150="",I1150="",I1150=0),"",IFERROR(H1150/I1150,""))</f>
        <v>0</v>
      </c>
      <c r="K1150" s="8">
        <f>IF(OR(B1150="",C1150=""),"",IFERROR(C1150*IFERROR(INDEX(Ingredients!$H$5:$H$304,MATCH(B1150,Ingredients!$A$5:$A$304,0)),""),""))</f>
        <v>0</v>
      </c>
      <c r="L1150" s="8">
        <f>IF(OR(B1150="",C1150=""),"",IFERROR(C1150*IFERROR(INDEX(Ingredients!$I$5:$I$304,MATCH(B1150,Ingredients!$A$5:$A$304,0)),""),""))</f>
        <v>0</v>
      </c>
      <c r="M1150" s="8">
        <f>IF(OR(B1150="",C1150=""),"",IFERROR(C1150*IFERROR(INDEX(Ingredients!$J$5:$J$304,MATCH(B1150,Ingredients!$A$5:$A$304,0)),""),""))</f>
        <v>0</v>
      </c>
      <c r="N1150" s="8">
        <f>IF(OR(B1150="",C1150=""),"",IFERROR(C1150*IFERROR(INDEX(Ingredients!$K$5:$K$304,MATCH(B1150,Ingredients!$A$5:$A$304,0)),""),""))</f>
        <v>0</v>
      </c>
      <c r="O1150" s="8">
        <f>IF(OR(B1150="",C1150=""),"",IFERROR(C1150*IFERROR(INDEX(Ingredients!$L$5:$L$304,MATCH(B1150,Ingredients!$A$5:$A$304,0)),""),""))</f>
        <v>0</v>
      </c>
      <c r="P1150" s="8">
        <f>IF(OR(H1150="",A1150=""),"",IFERROR(H1150/SUMIFS('Recipe Ingredients'!$H$5:$H$1204,'Recipe Ingredients'!$A$5:$A$1204,A1150),""))</f>
        <v>0</v>
      </c>
      <c r="Q1150" s="8">
        <f>IF(H1150="","",COUNTIFS($H$5:$H$1204,"&gt;"&amp;H1150)+1)</f>
        <v>0</v>
      </c>
      <c r="R1150" s="8">
        <f>IF(B1150="","",SUMIFS(Pantry!$C$5:$C$304,Pantry!$A$5:$A$304,B1150))</f>
        <v>0</v>
      </c>
      <c r="S1150" s="8">
        <f>IF(OR(B1150="",C1150=""),"",MAX(0,C1150-R1150))</f>
        <v>0</v>
      </c>
      <c r="T1150" s="26"/>
      <c r="U1150" s="8">
        <f>IF(OR(T1150="",T1150=0,G1150=""),"",T1150*G1150)</f>
        <v>0</v>
      </c>
      <c r="V1150" s="8">
        <f>IF(OR(S1150="",T1150="",T1150=0),"",CEILING(S1150/T1150,1))</f>
        <v>0</v>
      </c>
      <c r="W1150" s="27"/>
      <c r="X1150" s="29"/>
      <c r="Y1150" s="8">
        <f>IF(OR(C1150="",X1150=""),"",C1150*(1+X1150))</f>
        <v>0</v>
      </c>
      <c r="Z1150" s="8">
        <f>IF(B1150="","",IFERROR(INDEX(Ingredients!$O$5:$O$304,MATCH(B1150,Ingredients!$A$5:$A$304,0)),""))</f>
        <v>0</v>
      </c>
      <c r="AA1150" s="8">
        <f>IF(B1150="","",IF(R1150&gt;=C1150,"In pantry","To buy"))</f>
        <v>0</v>
      </c>
      <c r="AB1150" s="8">
        <f>IF(A1150="","",COUNTIFS($A$5:A1150,A1150))</f>
        <v>0</v>
      </c>
      <c r="AC1150" s="8">
        <f>IF(B1150="","",IF(COUNTIFS('Dietary Filters'!$C$5:$C$104,B1150)&gt;0,"Check","OK"))</f>
        <v>0</v>
      </c>
      <c r="AD1150" s="25"/>
    </row>
    <row r="1151" spans="1:30">
      <c r="A1151" s="7"/>
      <c r="B1151" s="7"/>
      <c r="C1151" s="26"/>
      <c r="D1151" s="27"/>
      <c r="E1151" s="8">
        <f>IF(B1151="","",IFERROR(INDEX(Ingredients!$B$5:$B$304,MATCH(B1151,Ingredients!$A$5:$A$304,0)),""))</f>
        <v>0</v>
      </c>
      <c r="F1151" s="8">
        <f>IF(B1151="","",IFERROR(INDEX(Ingredients!$E$5:$E$304,MATCH(B1151,Ingredients!$A$5:$A$304,0)),""))</f>
        <v>0</v>
      </c>
      <c r="G1151" s="8">
        <f>IF(B1151="","",IFERROR(INDEX(Ingredients!$D$5:$D$304,MATCH(B1151,Ingredients!$A$5:$A$304,0)),""))</f>
        <v>0</v>
      </c>
      <c r="H1151" s="8">
        <f>IF(OR(B1151="",C1151=""),"",IFERROR(C1151*G1151,""))</f>
        <v>0</v>
      </c>
      <c r="I1151" s="8">
        <f>IF(A1151="","",IFERROR(INDEX(Recipes!$D$5:$D$204,MATCH(A1151,Recipes!$A$5:$A$204,0)),""))</f>
        <v>0</v>
      </c>
      <c r="J1151" s="8">
        <f>IF(OR(H1151="",I1151="",I1151=0),"",IFERROR(H1151/I1151,""))</f>
        <v>0</v>
      </c>
      <c r="K1151" s="8">
        <f>IF(OR(B1151="",C1151=""),"",IFERROR(C1151*IFERROR(INDEX(Ingredients!$H$5:$H$304,MATCH(B1151,Ingredients!$A$5:$A$304,0)),""),""))</f>
        <v>0</v>
      </c>
      <c r="L1151" s="8">
        <f>IF(OR(B1151="",C1151=""),"",IFERROR(C1151*IFERROR(INDEX(Ingredients!$I$5:$I$304,MATCH(B1151,Ingredients!$A$5:$A$304,0)),""),""))</f>
        <v>0</v>
      </c>
      <c r="M1151" s="8">
        <f>IF(OR(B1151="",C1151=""),"",IFERROR(C1151*IFERROR(INDEX(Ingredients!$J$5:$J$304,MATCH(B1151,Ingredients!$A$5:$A$304,0)),""),""))</f>
        <v>0</v>
      </c>
      <c r="N1151" s="8">
        <f>IF(OR(B1151="",C1151=""),"",IFERROR(C1151*IFERROR(INDEX(Ingredients!$K$5:$K$304,MATCH(B1151,Ingredients!$A$5:$A$304,0)),""),""))</f>
        <v>0</v>
      </c>
      <c r="O1151" s="8">
        <f>IF(OR(B1151="",C1151=""),"",IFERROR(C1151*IFERROR(INDEX(Ingredients!$L$5:$L$304,MATCH(B1151,Ingredients!$A$5:$A$304,0)),""),""))</f>
        <v>0</v>
      </c>
      <c r="P1151" s="8">
        <f>IF(OR(H1151="",A1151=""),"",IFERROR(H1151/SUMIFS('Recipe Ingredients'!$H$5:$H$1204,'Recipe Ingredients'!$A$5:$A$1204,A1151),""))</f>
        <v>0</v>
      </c>
      <c r="Q1151" s="8">
        <f>IF(H1151="","",COUNTIFS($H$5:$H$1204,"&gt;"&amp;H1151)+1)</f>
        <v>0</v>
      </c>
      <c r="R1151" s="8">
        <f>IF(B1151="","",SUMIFS(Pantry!$C$5:$C$304,Pantry!$A$5:$A$304,B1151))</f>
        <v>0</v>
      </c>
      <c r="S1151" s="8">
        <f>IF(OR(B1151="",C1151=""),"",MAX(0,C1151-R1151))</f>
        <v>0</v>
      </c>
      <c r="T1151" s="26"/>
      <c r="U1151" s="8">
        <f>IF(OR(T1151="",T1151=0,G1151=""),"",T1151*G1151)</f>
        <v>0</v>
      </c>
      <c r="V1151" s="8">
        <f>IF(OR(S1151="",T1151="",T1151=0),"",CEILING(S1151/T1151,1))</f>
        <v>0</v>
      </c>
      <c r="W1151" s="27"/>
      <c r="X1151" s="29"/>
      <c r="Y1151" s="8">
        <f>IF(OR(C1151="",X1151=""),"",C1151*(1+X1151))</f>
        <v>0</v>
      </c>
      <c r="Z1151" s="8">
        <f>IF(B1151="","",IFERROR(INDEX(Ingredients!$O$5:$O$304,MATCH(B1151,Ingredients!$A$5:$A$304,0)),""))</f>
        <v>0</v>
      </c>
      <c r="AA1151" s="8">
        <f>IF(B1151="","",IF(R1151&gt;=C1151,"In pantry","To buy"))</f>
        <v>0</v>
      </c>
      <c r="AB1151" s="8">
        <f>IF(A1151="","",COUNTIFS($A$5:A1151,A1151))</f>
        <v>0</v>
      </c>
      <c r="AC1151" s="8">
        <f>IF(B1151="","",IF(COUNTIFS('Dietary Filters'!$C$5:$C$104,B1151)&gt;0,"Check","OK"))</f>
        <v>0</v>
      </c>
      <c r="AD1151" s="25"/>
    </row>
    <row r="1152" spans="1:30">
      <c r="A1152" s="7"/>
      <c r="B1152" s="7"/>
      <c r="C1152" s="26"/>
      <c r="D1152" s="27"/>
      <c r="E1152" s="8">
        <f>IF(B1152="","",IFERROR(INDEX(Ingredients!$B$5:$B$304,MATCH(B1152,Ingredients!$A$5:$A$304,0)),""))</f>
        <v>0</v>
      </c>
      <c r="F1152" s="8">
        <f>IF(B1152="","",IFERROR(INDEX(Ingredients!$E$5:$E$304,MATCH(B1152,Ingredients!$A$5:$A$304,0)),""))</f>
        <v>0</v>
      </c>
      <c r="G1152" s="8">
        <f>IF(B1152="","",IFERROR(INDEX(Ingredients!$D$5:$D$304,MATCH(B1152,Ingredients!$A$5:$A$304,0)),""))</f>
        <v>0</v>
      </c>
      <c r="H1152" s="8">
        <f>IF(OR(B1152="",C1152=""),"",IFERROR(C1152*G1152,""))</f>
        <v>0</v>
      </c>
      <c r="I1152" s="8">
        <f>IF(A1152="","",IFERROR(INDEX(Recipes!$D$5:$D$204,MATCH(A1152,Recipes!$A$5:$A$204,0)),""))</f>
        <v>0</v>
      </c>
      <c r="J1152" s="8">
        <f>IF(OR(H1152="",I1152="",I1152=0),"",IFERROR(H1152/I1152,""))</f>
        <v>0</v>
      </c>
      <c r="K1152" s="8">
        <f>IF(OR(B1152="",C1152=""),"",IFERROR(C1152*IFERROR(INDEX(Ingredients!$H$5:$H$304,MATCH(B1152,Ingredients!$A$5:$A$304,0)),""),""))</f>
        <v>0</v>
      </c>
      <c r="L1152" s="8">
        <f>IF(OR(B1152="",C1152=""),"",IFERROR(C1152*IFERROR(INDEX(Ingredients!$I$5:$I$304,MATCH(B1152,Ingredients!$A$5:$A$304,0)),""),""))</f>
        <v>0</v>
      </c>
      <c r="M1152" s="8">
        <f>IF(OR(B1152="",C1152=""),"",IFERROR(C1152*IFERROR(INDEX(Ingredients!$J$5:$J$304,MATCH(B1152,Ingredients!$A$5:$A$304,0)),""),""))</f>
        <v>0</v>
      </c>
      <c r="N1152" s="8">
        <f>IF(OR(B1152="",C1152=""),"",IFERROR(C1152*IFERROR(INDEX(Ingredients!$K$5:$K$304,MATCH(B1152,Ingredients!$A$5:$A$304,0)),""),""))</f>
        <v>0</v>
      </c>
      <c r="O1152" s="8">
        <f>IF(OR(B1152="",C1152=""),"",IFERROR(C1152*IFERROR(INDEX(Ingredients!$L$5:$L$304,MATCH(B1152,Ingredients!$A$5:$A$304,0)),""),""))</f>
        <v>0</v>
      </c>
      <c r="P1152" s="8">
        <f>IF(OR(H1152="",A1152=""),"",IFERROR(H1152/SUMIFS('Recipe Ingredients'!$H$5:$H$1204,'Recipe Ingredients'!$A$5:$A$1204,A1152),""))</f>
        <v>0</v>
      </c>
      <c r="Q1152" s="8">
        <f>IF(H1152="","",COUNTIFS($H$5:$H$1204,"&gt;"&amp;H1152)+1)</f>
        <v>0</v>
      </c>
      <c r="R1152" s="8">
        <f>IF(B1152="","",SUMIFS(Pantry!$C$5:$C$304,Pantry!$A$5:$A$304,B1152))</f>
        <v>0</v>
      </c>
      <c r="S1152" s="8">
        <f>IF(OR(B1152="",C1152=""),"",MAX(0,C1152-R1152))</f>
        <v>0</v>
      </c>
      <c r="T1152" s="26"/>
      <c r="U1152" s="8">
        <f>IF(OR(T1152="",T1152=0,G1152=""),"",T1152*G1152)</f>
        <v>0</v>
      </c>
      <c r="V1152" s="8">
        <f>IF(OR(S1152="",T1152="",T1152=0),"",CEILING(S1152/T1152,1))</f>
        <v>0</v>
      </c>
      <c r="W1152" s="27"/>
      <c r="X1152" s="29"/>
      <c r="Y1152" s="8">
        <f>IF(OR(C1152="",X1152=""),"",C1152*(1+X1152))</f>
        <v>0</v>
      </c>
      <c r="Z1152" s="8">
        <f>IF(B1152="","",IFERROR(INDEX(Ingredients!$O$5:$O$304,MATCH(B1152,Ingredients!$A$5:$A$304,0)),""))</f>
        <v>0</v>
      </c>
      <c r="AA1152" s="8">
        <f>IF(B1152="","",IF(R1152&gt;=C1152,"In pantry","To buy"))</f>
        <v>0</v>
      </c>
      <c r="AB1152" s="8">
        <f>IF(A1152="","",COUNTIFS($A$5:A1152,A1152))</f>
        <v>0</v>
      </c>
      <c r="AC1152" s="8">
        <f>IF(B1152="","",IF(COUNTIFS('Dietary Filters'!$C$5:$C$104,B1152)&gt;0,"Check","OK"))</f>
        <v>0</v>
      </c>
      <c r="AD1152" s="25"/>
    </row>
    <row r="1153" spans="1:30">
      <c r="A1153" s="7"/>
      <c r="B1153" s="7"/>
      <c r="C1153" s="26"/>
      <c r="D1153" s="27"/>
      <c r="E1153" s="8">
        <f>IF(B1153="","",IFERROR(INDEX(Ingredients!$B$5:$B$304,MATCH(B1153,Ingredients!$A$5:$A$304,0)),""))</f>
        <v>0</v>
      </c>
      <c r="F1153" s="8">
        <f>IF(B1153="","",IFERROR(INDEX(Ingredients!$E$5:$E$304,MATCH(B1153,Ingredients!$A$5:$A$304,0)),""))</f>
        <v>0</v>
      </c>
      <c r="G1153" s="8">
        <f>IF(B1153="","",IFERROR(INDEX(Ingredients!$D$5:$D$304,MATCH(B1153,Ingredients!$A$5:$A$304,0)),""))</f>
        <v>0</v>
      </c>
      <c r="H1153" s="8">
        <f>IF(OR(B1153="",C1153=""),"",IFERROR(C1153*G1153,""))</f>
        <v>0</v>
      </c>
      <c r="I1153" s="8">
        <f>IF(A1153="","",IFERROR(INDEX(Recipes!$D$5:$D$204,MATCH(A1153,Recipes!$A$5:$A$204,0)),""))</f>
        <v>0</v>
      </c>
      <c r="J1153" s="8">
        <f>IF(OR(H1153="",I1153="",I1153=0),"",IFERROR(H1153/I1153,""))</f>
        <v>0</v>
      </c>
      <c r="K1153" s="8">
        <f>IF(OR(B1153="",C1153=""),"",IFERROR(C1153*IFERROR(INDEX(Ingredients!$H$5:$H$304,MATCH(B1153,Ingredients!$A$5:$A$304,0)),""),""))</f>
        <v>0</v>
      </c>
      <c r="L1153" s="8">
        <f>IF(OR(B1153="",C1153=""),"",IFERROR(C1153*IFERROR(INDEX(Ingredients!$I$5:$I$304,MATCH(B1153,Ingredients!$A$5:$A$304,0)),""),""))</f>
        <v>0</v>
      </c>
      <c r="M1153" s="8">
        <f>IF(OR(B1153="",C1153=""),"",IFERROR(C1153*IFERROR(INDEX(Ingredients!$J$5:$J$304,MATCH(B1153,Ingredients!$A$5:$A$304,0)),""),""))</f>
        <v>0</v>
      </c>
      <c r="N1153" s="8">
        <f>IF(OR(B1153="",C1153=""),"",IFERROR(C1153*IFERROR(INDEX(Ingredients!$K$5:$K$304,MATCH(B1153,Ingredients!$A$5:$A$304,0)),""),""))</f>
        <v>0</v>
      </c>
      <c r="O1153" s="8">
        <f>IF(OR(B1153="",C1153=""),"",IFERROR(C1153*IFERROR(INDEX(Ingredients!$L$5:$L$304,MATCH(B1153,Ingredients!$A$5:$A$304,0)),""),""))</f>
        <v>0</v>
      </c>
      <c r="P1153" s="8">
        <f>IF(OR(H1153="",A1153=""),"",IFERROR(H1153/SUMIFS('Recipe Ingredients'!$H$5:$H$1204,'Recipe Ingredients'!$A$5:$A$1204,A1153),""))</f>
        <v>0</v>
      </c>
      <c r="Q1153" s="8">
        <f>IF(H1153="","",COUNTIFS($H$5:$H$1204,"&gt;"&amp;H1153)+1)</f>
        <v>0</v>
      </c>
      <c r="R1153" s="8">
        <f>IF(B1153="","",SUMIFS(Pantry!$C$5:$C$304,Pantry!$A$5:$A$304,B1153))</f>
        <v>0</v>
      </c>
      <c r="S1153" s="8">
        <f>IF(OR(B1153="",C1153=""),"",MAX(0,C1153-R1153))</f>
        <v>0</v>
      </c>
      <c r="T1153" s="26"/>
      <c r="U1153" s="8">
        <f>IF(OR(T1153="",T1153=0,G1153=""),"",T1153*G1153)</f>
        <v>0</v>
      </c>
      <c r="V1153" s="8">
        <f>IF(OR(S1153="",T1153="",T1153=0),"",CEILING(S1153/T1153,1))</f>
        <v>0</v>
      </c>
      <c r="W1153" s="27"/>
      <c r="X1153" s="29"/>
      <c r="Y1153" s="8">
        <f>IF(OR(C1153="",X1153=""),"",C1153*(1+X1153))</f>
        <v>0</v>
      </c>
      <c r="Z1153" s="8">
        <f>IF(B1153="","",IFERROR(INDEX(Ingredients!$O$5:$O$304,MATCH(B1153,Ingredients!$A$5:$A$304,0)),""))</f>
        <v>0</v>
      </c>
      <c r="AA1153" s="8">
        <f>IF(B1153="","",IF(R1153&gt;=C1153,"In pantry","To buy"))</f>
        <v>0</v>
      </c>
      <c r="AB1153" s="8">
        <f>IF(A1153="","",COUNTIFS($A$5:A1153,A1153))</f>
        <v>0</v>
      </c>
      <c r="AC1153" s="8">
        <f>IF(B1153="","",IF(COUNTIFS('Dietary Filters'!$C$5:$C$104,B1153)&gt;0,"Check","OK"))</f>
        <v>0</v>
      </c>
      <c r="AD1153" s="25"/>
    </row>
    <row r="1154" spans="1:30">
      <c r="A1154" s="7"/>
      <c r="B1154" s="7"/>
      <c r="C1154" s="26"/>
      <c r="D1154" s="27"/>
      <c r="E1154" s="8">
        <f>IF(B1154="","",IFERROR(INDEX(Ingredients!$B$5:$B$304,MATCH(B1154,Ingredients!$A$5:$A$304,0)),""))</f>
        <v>0</v>
      </c>
      <c r="F1154" s="8">
        <f>IF(B1154="","",IFERROR(INDEX(Ingredients!$E$5:$E$304,MATCH(B1154,Ingredients!$A$5:$A$304,0)),""))</f>
        <v>0</v>
      </c>
      <c r="G1154" s="8">
        <f>IF(B1154="","",IFERROR(INDEX(Ingredients!$D$5:$D$304,MATCH(B1154,Ingredients!$A$5:$A$304,0)),""))</f>
        <v>0</v>
      </c>
      <c r="H1154" s="8">
        <f>IF(OR(B1154="",C1154=""),"",IFERROR(C1154*G1154,""))</f>
        <v>0</v>
      </c>
      <c r="I1154" s="8">
        <f>IF(A1154="","",IFERROR(INDEX(Recipes!$D$5:$D$204,MATCH(A1154,Recipes!$A$5:$A$204,0)),""))</f>
        <v>0</v>
      </c>
      <c r="J1154" s="8">
        <f>IF(OR(H1154="",I1154="",I1154=0),"",IFERROR(H1154/I1154,""))</f>
        <v>0</v>
      </c>
      <c r="K1154" s="8">
        <f>IF(OR(B1154="",C1154=""),"",IFERROR(C1154*IFERROR(INDEX(Ingredients!$H$5:$H$304,MATCH(B1154,Ingredients!$A$5:$A$304,0)),""),""))</f>
        <v>0</v>
      </c>
      <c r="L1154" s="8">
        <f>IF(OR(B1154="",C1154=""),"",IFERROR(C1154*IFERROR(INDEX(Ingredients!$I$5:$I$304,MATCH(B1154,Ingredients!$A$5:$A$304,0)),""),""))</f>
        <v>0</v>
      </c>
      <c r="M1154" s="8">
        <f>IF(OR(B1154="",C1154=""),"",IFERROR(C1154*IFERROR(INDEX(Ingredients!$J$5:$J$304,MATCH(B1154,Ingredients!$A$5:$A$304,0)),""),""))</f>
        <v>0</v>
      </c>
      <c r="N1154" s="8">
        <f>IF(OR(B1154="",C1154=""),"",IFERROR(C1154*IFERROR(INDEX(Ingredients!$K$5:$K$304,MATCH(B1154,Ingredients!$A$5:$A$304,0)),""),""))</f>
        <v>0</v>
      </c>
      <c r="O1154" s="8">
        <f>IF(OR(B1154="",C1154=""),"",IFERROR(C1154*IFERROR(INDEX(Ingredients!$L$5:$L$304,MATCH(B1154,Ingredients!$A$5:$A$304,0)),""),""))</f>
        <v>0</v>
      </c>
      <c r="P1154" s="8">
        <f>IF(OR(H1154="",A1154=""),"",IFERROR(H1154/SUMIFS('Recipe Ingredients'!$H$5:$H$1204,'Recipe Ingredients'!$A$5:$A$1204,A1154),""))</f>
        <v>0</v>
      </c>
      <c r="Q1154" s="8">
        <f>IF(H1154="","",COUNTIFS($H$5:$H$1204,"&gt;"&amp;H1154)+1)</f>
        <v>0</v>
      </c>
      <c r="R1154" s="8">
        <f>IF(B1154="","",SUMIFS(Pantry!$C$5:$C$304,Pantry!$A$5:$A$304,B1154))</f>
        <v>0</v>
      </c>
      <c r="S1154" s="8">
        <f>IF(OR(B1154="",C1154=""),"",MAX(0,C1154-R1154))</f>
        <v>0</v>
      </c>
      <c r="T1154" s="26"/>
      <c r="U1154" s="8">
        <f>IF(OR(T1154="",T1154=0,G1154=""),"",T1154*G1154)</f>
        <v>0</v>
      </c>
      <c r="V1154" s="8">
        <f>IF(OR(S1154="",T1154="",T1154=0),"",CEILING(S1154/T1154,1))</f>
        <v>0</v>
      </c>
      <c r="W1154" s="27"/>
      <c r="X1154" s="29"/>
      <c r="Y1154" s="8">
        <f>IF(OR(C1154="",X1154=""),"",C1154*(1+X1154))</f>
        <v>0</v>
      </c>
      <c r="Z1154" s="8">
        <f>IF(B1154="","",IFERROR(INDEX(Ingredients!$O$5:$O$304,MATCH(B1154,Ingredients!$A$5:$A$304,0)),""))</f>
        <v>0</v>
      </c>
      <c r="AA1154" s="8">
        <f>IF(B1154="","",IF(R1154&gt;=C1154,"In pantry","To buy"))</f>
        <v>0</v>
      </c>
      <c r="AB1154" s="8">
        <f>IF(A1154="","",COUNTIFS($A$5:A1154,A1154))</f>
        <v>0</v>
      </c>
      <c r="AC1154" s="8">
        <f>IF(B1154="","",IF(COUNTIFS('Dietary Filters'!$C$5:$C$104,B1154)&gt;0,"Check","OK"))</f>
        <v>0</v>
      </c>
      <c r="AD1154" s="25"/>
    </row>
    <row r="1155" spans="1:30">
      <c r="A1155" s="7"/>
      <c r="B1155" s="7"/>
      <c r="C1155" s="26"/>
      <c r="D1155" s="27"/>
      <c r="E1155" s="8">
        <f>IF(B1155="","",IFERROR(INDEX(Ingredients!$B$5:$B$304,MATCH(B1155,Ingredients!$A$5:$A$304,0)),""))</f>
        <v>0</v>
      </c>
      <c r="F1155" s="8">
        <f>IF(B1155="","",IFERROR(INDEX(Ingredients!$E$5:$E$304,MATCH(B1155,Ingredients!$A$5:$A$304,0)),""))</f>
        <v>0</v>
      </c>
      <c r="G1155" s="8">
        <f>IF(B1155="","",IFERROR(INDEX(Ingredients!$D$5:$D$304,MATCH(B1155,Ingredients!$A$5:$A$304,0)),""))</f>
        <v>0</v>
      </c>
      <c r="H1155" s="8">
        <f>IF(OR(B1155="",C1155=""),"",IFERROR(C1155*G1155,""))</f>
        <v>0</v>
      </c>
      <c r="I1155" s="8">
        <f>IF(A1155="","",IFERROR(INDEX(Recipes!$D$5:$D$204,MATCH(A1155,Recipes!$A$5:$A$204,0)),""))</f>
        <v>0</v>
      </c>
      <c r="J1155" s="8">
        <f>IF(OR(H1155="",I1155="",I1155=0),"",IFERROR(H1155/I1155,""))</f>
        <v>0</v>
      </c>
      <c r="K1155" s="8">
        <f>IF(OR(B1155="",C1155=""),"",IFERROR(C1155*IFERROR(INDEX(Ingredients!$H$5:$H$304,MATCH(B1155,Ingredients!$A$5:$A$304,0)),""),""))</f>
        <v>0</v>
      </c>
      <c r="L1155" s="8">
        <f>IF(OR(B1155="",C1155=""),"",IFERROR(C1155*IFERROR(INDEX(Ingredients!$I$5:$I$304,MATCH(B1155,Ingredients!$A$5:$A$304,0)),""),""))</f>
        <v>0</v>
      </c>
      <c r="M1155" s="8">
        <f>IF(OR(B1155="",C1155=""),"",IFERROR(C1155*IFERROR(INDEX(Ingredients!$J$5:$J$304,MATCH(B1155,Ingredients!$A$5:$A$304,0)),""),""))</f>
        <v>0</v>
      </c>
      <c r="N1155" s="8">
        <f>IF(OR(B1155="",C1155=""),"",IFERROR(C1155*IFERROR(INDEX(Ingredients!$K$5:$K$304,MATCH(B1155,Ingredients!$A$5:$A$304,0)),""),""))</f>
        <v>0</v>
      </c>
      <c r="O1155" s="8">
        <f>IF(OR(B1155="",C1155=""),"",IFERROR(C1155*IFERROR(INDEX(Ingredients!$L$5:$L$304,MATCH(B1155,Ingredients!$A$5:$A$304,0)),""),""))</f>
        <v>0</v>
      </c>
      <c r="P1155" s="8">
        <f>IF(OR(H1155="",A1155=""),"",IFERROR(H1155/SUMIFS('Recipe Ingredients'!$H$5:$H$1204,'Recipe Ingredients'!$A$5:$A$1204,A1155),""))</f>
        <v>0</v>
      </c>
      <c r="Q1155" s="8">
        <f>IF(H1155="","",COUNTIFS($H$5:$H$1204,"&gt;"&amp;H1155)+1)</f>
        <v>0</v>
      </c>
      <c r="R1155" s="8">
        <f>IF(B1155="","",SUMIFS(Pantry!$C$5:$C$304,Pantry!$A$5:$A$304,B1155))</f>
        <v>0</v>
      </c>
      <c r="S1155" s="8">
        <f>IF(OR(B1155="",C1155=""),"",MAX(0,C1155-R1155))</f>
        <v>0</v>
      </c>
      <c r="T1155" s="26"/>
      <c r="U1155" s="8">
        <f>IF(OR(T1155="",T1155=0,G1155=""),"",T1155*G1155)</f>
        <v>0</v>
      </c>
      <c r="V1155" s="8">
        <f>IF(OR(S1155="",T1155="",T1155=0),"",CEILING(S1155/T1155,1))</f>
        <v>0</v>
      </c>
      <c r="W1155" s="27"/>
      <c r="X1155" s="29"/>
      <c r="Y1155" s="8">
        <f>IF(OR(C1155="",X1155=""),"",C1155*(1+X1155))</f>
        <v>0</v>
      </c>
      <c r="Z1155" s="8">
        <f>IF(B1155="","",IFERROR(INDEX(Ingredients!$O$5:$O$304,MATCH(B1155,Ingredients!$A$5:$A$304,0)),""))</f>
        <v>0</v>
      </c>
      <c r="AA1155" s="8">
        <f>IF(B1155="","",IF(R1155&gt;=C1155,"In pantry","To buy"))</f>
        <v>0</v>
      </c>
      <c r="AB1155" s="8">
        <f>IF(A1155="","",COUNTIFS($A$5:A1155,A1155))</f>
        <v>0</v>
      </c>
      <c r="AC1155" s="8">
        <f>IF(B1155="","",IF(COUNTIFS('Dietary Filters'!$C$5:$C$104,B1155)&gt;0,"Check","OK"))</f>
        <v>0</v>
      </c>
      <c r="AD1155" s="25"/>
    </row>
    <row r="1156" spans="1:30">
      <c r="A1156" s="7"/>
      <c r="B1156" s="7"/>
      <c r="C1156" s="26"/>
      <c r="D1156" s="27"/>
      <c r="E1156" s="8">
        <f>IF(B1156="","",IFERROR(INDEX(Ingredients!$B$5:$B$304,MATCH(B1156,Ingredients!$A$5:$A$304,0)),""))</f>
        <v>0</v>
      </c>
      <c r="F1156" s="8">
        <f>IF(B1156="","",IFERROR(INDEX(Ingredients!$E$5:$E$304,MATCH(B1156,Ingredients!$A$5:$A$304,0)),""))</f>
        <v>0</v>
      </c>
      <c r="G1156" s="8">
        <f>IF(B1156="","",IFERROR(INDEX(Ingredients!$D$5:$D$304,MATCH(B1156,Ingredients!$A$5:$A$304,0)),""))</f>
        <v>0</v>
      </c>
      <c r="H1156" s="8">
        <f>IF(OR(B1156="",C1156=""),"",IFERROR(C1156*G1156,""))</f>
        <v>0</v>
      </c>
      <c r="I1156" s="8">
        <f>IF(A1156="","",IFERROR(INDEX(Recipes!$D$5:$D$204,MATCH(A1156,Recipes!$A$5:$A$204,0)),""))</f>
        <v>0</v>
      </c>
      <c r="J1156" s="8">
        <f>IF(OR(H1156="",I1156="",I1156=0),"",IFERROR(H1156/I1156,""))</f>
        <v>0</v>
      </c>
      <c r="K1156" s="8">
        <f>IF(OR(B1156="",C1156=""),"",IFERROR(C1156*IFERROR(INDEX(Ingredients!$H$5:$H$304,MATCH(B1156,Ingredients!$A$5:$A$304,0)),""),""))</f>
        <v>0</v>
      </c>
      <c r="L1156" s="8">
        <f>IF(OR(B1156="",C1156=""),"",IFERROR(C1156*IFERROR(INDEX(Ingredients!$I$5:$I$304,MATCH(B1156,Ingredients!$A$5:$A$304,0)),""),""))</f>
        <v>0</v>
      </c>
      <c r="M1156" s="8">
        <f>IF(OR(B1156="",C1156=""),"",IFERROR(C1156*IFERROR(INDEX(Ingredients!$J$5:$J$304,MATCH(B1156,Ingredients!$A$5:$A$304,0)),""),""))</f>
        <v>0</v>
      </c>
      <c r="N1156" s="8">
        <f>IF(OR(B1156="",C1156=""),"",IFERROR(C1156*IFERROR(INDEX(Ingredients!$K$5:$K$304,MATCH(B1156,Ingredients!$A$5:$A$304,0)),""),""))</f>
        <v>0</v>
      </c>
      <c r="O1156" s="8">
        <f>IF(OR(B1156="",C1156=""),"",IFERROR(C1156*IFERROR(INDEX(Ingredients!$L$5:$L$304,MATCH(B1156,Ingredients!$A$5:$A$304,0)),""),""))</f>
        <v>0</v>
      </c>
      <c r="P1156" s="8">
        <f>IF(OR(H1156="",A1156=""),"",IFERROR(H1156/SUMIFS('Recipe Ingredients'!$H$5:$H$1204,'Recipe Ingredients'!$A$5:$A$1204,A1156),""))</f>
        <v>0</v>
      </c>
      <c r="Q1156" s="8">
        <f>IF(H1156="","",COUNTIFS($H$5:$H$1204,"&gt;"&amp;H1156)+1)</f>
        <v>0</v>
      </c>
      <c r="R1156" s="8">
        <f>IF(B1156="","",SUMIFS(Pantry!$C$5:$C$304,Pantry!$A$5:$A$304,B1156))</f>
        <v>0</v>
      </c>
      <c r="S1156" s="8">
        <f>IF(OR(B1156="",C1156=""),"",MAX(0,C1156-R1156))</f>
        <v>0</v>
      </c>
      <c r="T1156" s="26"/>
      <c r="U1156" s="8">
        <f>IF(OR(T1156="",T1156=0,G1156=""),"",T1156*G1156)</f>
        <v>0</v>
      </c>
      <c r="V1156" s="8">
        <f>IF(OR(S1156="",T1156="",T1156=0),"",CEILING(S1156/T1156,1))</f>
        <v>0</v>
      </c>
      <c r="W1156" s="27"/>
      <c r="X1156" s="29"/>
      <c r="Y1156" s="8">
        <f>IF(OR(C1156="",X1156=""),"",C1156*(1+X1156))</f>
        <v>0</v>
      </c>
      <c r="Z1156" s="8">
        <f>IF(B1156="","",IFERROR(INDEX(Ingredients!$O$5:$O$304,MATCH(B1156,Ingredients!$A$5:$A$304,0)),""))</f>
        <v>0</v>
      </c>
      <c r="AA1156" s="8">
        <f>IF(B1156="","",IF(R1156&gt;=C1156,"In pantry","To buy"))</f>
        <v>0</v>
      </c>
      <c r="AB1156" s="8">
        <f>IF(A1156="","",COUNTIFS($A$5:A1156,A1156))</f>
        <v>0</v>
      </c>
      <c r="AC1156" s="8">
        <f>IF(B1156="","",IF(COUNTIFS('Dietary Filters'!$C$5:$C$104,B1156)&gt;0,"Check","OK"))</f>
        <v>0</v>
      </c>
      <c r="AD1156" s="25"/>
    </row>
    <row r="1157" spans="1:30">
      <c r="A1157" s="7"/>
      <c r="B1157" s="7"/>
      <c r="C1157" s="26"/>
      <c r="D1157" s="27"/>
      <c r="E1157" s="8">
        <f>IF(B1157="","",IFERROR(INDEX(Ingredients!$B$5:$B$304,MATCH(B1157,Ingredients!$A$5:$A$304,0)),""))</f>
        <v>0</v>
      </c>
      <c r="F1157" s="8">
        <f>IF(B1157="","",IFERROR(INDEX(Ingredients!$E$5:$E$304,MATCH(B1157,Ingredients!$A$5:$A$304,0)),""))</f>
        <v>0</v>
      </c>
      <c r="G1157" s="8">
        <f>IF(B1157="","",IFERROR(INDEX(Ingredients!$D$5:$D$304,MATCH(B1157,Ingredients!$A$5:$A$304,0)),""))</f>
        <v>0</v>
      </c>
      <c r="H1157" s="8">
        <f>IF(OR(B1157="",C1157=""),"",IFERROR(C1157*G1157,""))</f>
        <v>0</v>
      </c>
      <c r="I1157" s="8">
        <f>IF(A1157="","",IFERROR(INDEX(Recipes!$D$5:$D$204,MATCH(A1157,Recipes!$A$5:$A$204,0)),""))</f>
        <v>0</v>
      </c>
      <c r="J1157" s="8">
        <f>IF(OR(H1157="",I1157="",I1157=0),"",IFERROR(H1157/I1157,""))</f>
        <v>0</v>
      </c>
      <c r="K1157" s="8">
        <f>IF(OR(B1157="",C1157=""),"",IFERROR(C1157*IFERROR(INDEX(Ingredients!$H$5:$H$304,MATCH(B1157,Ingredients!$A$5:$A$304,0)),""),""))</f>
        <v>0</v>
      </c>
      <c r="L1157" s="8">
        <f>IF(OR(B1157="",C1157=""),"",IFERROR(C1157*IFERROR(INDEX(Ingredients!$I$5:$I$304,MATCH(B1157,Ingredients!$A$5:$A$304,0)),""),""))</f>
        <v>0</v>
      </c>
      <c r="M1157" s="8">
        <f>IF(OR(B1157="",C1157=""),"",IFERROR(C1157*IFERROR(INDEX(Ingredients!$J$5:$J$304,MATCH(B1157,Ingredients!$A$5:$A$304,0)),""),""))</f>
        <v>0</v>
      </c>
      <c r="N1157" s="8">
        <f>IF(OR(B1157="",C1157=""),"",IFERROR(C1157*IFERROR(INDEX(Ingredients!$K$5:$K$304,MATCH(B1157,Ingredients!$A$5:$A$304,0)),""),""))</f>
        <v>0</v>
      </c>
      <c r="O1157" s="8">
        <f>IF(OR(B1157="",C1157=""),"",IFERROR(C1157*IFERROR(INDEX(Ingredients!$L$5:$L$304,MATCH(B1157,Ingredients!$A$5:$A$304,0)),""),""))</f>
        <v>0</v>
      </c>
      <c r="P1157" s="8">
        <f>IF(OR(H1157="",A1157=""),"",IFERROR(H1157/SUMIFS('Recipe Ingredients'!$H$5:$H$1204,'Recipe Ingredients'!$A$5:$A$1204,A1157),""))</f>
        <v>0</v>
      </c>
      <c r="Q1157" s="8">
        <f>IF(H1157="","",COUNTIFS($H$5:$H$1204,"&gt;"&amp;H1157)+1)</f>
        <v>0</v>
      </c>
      <c r="R1157" s="8">
        <f>IF(B1157="","",SUMIFS(Pantry!$C$5:$C$304,Pantry!$A$5:$A$304,B1157))</f>
        <v>0</v>
      </c>
      <c r="S1157" s="8">
        <f>IF(OR(B1157="",C1157=""),"",MAX(0,C1157-R1157))</f>
        <v>0</v>
      </c>
      <c r="T1157" s="26"/>
      <c r="U1157" s="8">
        <f>IF(OR(T1157="",T1157=0,G1157=""),"",T1157*G1157)</f>
        <v>0</v>
      </c>
      <c r="V1157" s="8">
        <f>IF(OR(S1157="",T1157="",T1157=0),"",CEILING(S1157/T1157,1))</f>
        <v>0</v>
      </c>
      <c r="W1157" s="27"/>
      <c r="X1157" s="29"/>
      <c r="Y1157" s="8">
        <f>IF(OR(C1157="",X1157=""),"",C1157*(1+X1157))</f>
        <v>0</v>
      </c>
      <c r="Z1157" s="8">
        <f>IF(B1157="","",IFERROR(INDEX(Ingredients!$O$5:$O$304,MATCH(B1157,Ingredients!$A$5:$A$304,0)),""))</f>
        <v>0</v>
      </c>
      <c r="AA1157" s="8">
        <f>IF(B1157="","",IF(R1157&gt;=C1157,"In pantry","To buy"))</f>
        <v>0</v>
      </c>
      <c r="AB1157" s="8">
        <f>IF(A1157="","",COUNTIFS($A$5:A1157,A1157))</f>
        <v>0</v>
      </c>
      <c r="AC1157" s="8">
        <f>IF(B1157="","",IF(COUNTIFS('Dietary Filters'!$C$5:$C$104,B1157)&gt;0,"Check","OK"))</f>
        <v>0</v>
      </c>
      <c r="AD1157" s="25"/>
    </row>
    <row r="1158" spans="1:30">
      <c r="A1158" s="7"/>
      <c r="B1158" s="7"/>
      <c r="C1158" s="26"/>
      <c r="D1158" s="27"/>
      <c r="E1158" s="8">
        <f>IF(B1158="","",IFERROR(INDEX(Ingredients!$B$5:$B$304,MATCH(B1158,Ingredients!$A$5:$A$304,0)),""))</f>
        <v>0</v>
      </c>
      <c r="F1158" s="8">
        <f>IF(B1158="","",IFERROR(INDEX(Ingredients!$E$5:$E$304,MATCH(B1158,Ingredients!$A$5:$A$304,0)),""))</f>
        <v>0</v>
      </c>
      <c r="G1158" s="8">
        <f>IF(B1158="","",IFERROR(INDEX(Ingredients!$D$5:$D$304,MATCH(B1158,Ingredients!$A$5:$A$304,0)),""))</f>
        <v>0</v>
      </c>
      <c r="H1158" s="8">
        <f>IF(OR(B1158="",C1158=""),"",IFERROR(C1158*G1158,""))</f>
        <v>0</v>
      </c>
      <c r="I1158" s="8">
        <f>IF(A1158="","",IFERROR(INDEX(Recipes!$D$5:$D$204,MATCH(A1158,Recipes!$A$5:$A$204,0)),""))</f>
        <v>0</v>
      </c>
      <c r="J1158" s="8">
        <f>IF(OR(H1158="",I1158="",I1158=0),"",IFERROR(H1158/I1158,""))</f>
        <v>0</v>
      </c>
      <c r="K1158" s="8">
        <f>IF(OR(B1158="",C1158=""),"",IFERROR(C1158*IFERROR(INDEX(Ingredients!$H$5:$H$304,MATCH(B1158,Ingredients!$A$5:$A$304,0)),""),""))</f>
        <v>0</v>
      </c>
      <c r="L1158" s="8">
        <f>IF(OR(B1158="",C1158=""),"",IFERROR(C1158*IFERROR(INDEX(Ingredients!$I$5:$I$304,MATCH(B1158,Ingredients!$A$5:$A$304,0)),""),""))</f>
        <v>0</v>
      </c>
      <c r="M1158" s="8">
        <f>IF(OR(B1158="",C1158=""),"",IFERROR(C1158*IFERROR(INDEX(Ingredients!$J$5:$J$304,MATCH(B1158,Ingredients!$A$5:$A$304,0)),""),""))</f>
        <v>0</v>
      </c>
      <c r="N1158" s="8">
        <f>IF(OR(B1158="",C1158=""),"",IFERROR(C1158*IFERROR(INDEX(Ingredients!$K$5:$K$304,MATCH(B1158,Ingredients!$A$5:$A$304,0)),""),""))</f>
        <v>0</v>
      </c>
      <c r="O1158" s="8">
        <f>IF(OR(B1158="",C1158=""),"",IFERROR(C1158*IFERROR(INDEX(Ingredients!$L$5:$L$304,MATCH(B1158,Ingredients!$A$5:$A$304,0)),""),""))</f>
        <v>0</v>
      </c>
      <c r="P1158" s="8">
        <f>IF(OR(H1158="",A1158=""),"",IFERROR(H1158/SUMIFS('Recipe Ingredients'!$H$5:$H$1204,'Recipe Ingredients'!$A$5:$A$1204,A1158),""))</f>
        <v>0</v>
      </c>
      <c r="Q1158" s="8">
        <f>IF(H1158="","",COUNTIFS($H$5:$H$1204,"&gt;"&amp;H1158)+1)</f>
        <v>0</v>
      </c>
      <c r="R1158" s="8">
        <f>IF(B1158="","",SUMIFS(Pantry!$C$5:$C$304,Pantry!$A$5:$A$304,B1158))</f>
        <v>0</v>
      </c>
      <c r="S1158" s="8">
        <f>IF(OR(B1158="",C1158=""),"",MAX(0,C1158-R1158))</f>
        <v>0</v>
      </c>
      <c r="T1158" s="26"/>
      <c r="U1158" s="8">
        <f>IF(OR(T1158="",T1158=0,G1158=""),"",T1158*G1158)</f>
        <v>0</v>
      </c>
      <c r="V1158" s="8">
        <f>IF(OR(S1158="",T1158="",T1158=0),"",CEILING(S1158/T1158,1))</f>
        <v>0</v>
      </c>
      <c r="W1158" s="27"/>
      <c r="X1158" s="29"/>
      <c r="Y1158" s="8">
        <f>IF(OR(C1158="",X1158=""),"",C1158*(1+X1158))</f>
        <v>0</v>
      </c>
      <c r="Z1158" s="8">
        <f>IF(B1158="","",IFERROR(INDEX(Ingredients!$O$5:$O$304,MATCH(B1158,Ingredients!$A$5:$A$304,0)),""))</f>
        <v>0</v>
      </c>
      <c r="AA1158" s="8">
        <f>IF(B1158="","",IF(R1158&gt;=C1158,"In pantry","To buy"))</f>
        <v>0</v>
      </c>
      <c r="AB1158" s="8">
        <f>IF(A1158="","",COUNTIFS($A$5:A1158,A1158))</f>
        <v>0</v>
      </c>
      <c r="AC1158" s="8">
        <f>IF(B1158="","",IF(COUNTIFS('Dietary Filters'!$C$5:$C$104,B1158)&gt;0,"Check","OK"))</f>
        <v>0</v>
      </c>
      <c r="AD1158" s="25"/>
    </row>
    <row r="1159" spans="1:30">
      <c r="A1159" s="7"/>
      <c r="B1159" s="7"/>
      <c r="C1159" s="26"/>
      <c r="D1159" s="27"/>
      <c r="E1159" s="8">
        <f>IF(B1159="","",IFERROR(INDEX(Ingredients!$B$5:$B$304,MATCH(B1159,Ingredients!$A$5:$A$304,0)),""))</f>
        <v>0</v>
      </c>
      <c r="F1159" s="8">
        <f>IF(B1159="","",IFERROR(INDEX(Ingredients!$E$5:$E$304,MATCH(B1159,Ingredients!$A$5:$A$304,0)),""))</f>
        <v>0</v>
      </c>
      <c r="G1159" s="8">
        <f>IF(B1159="","",IFERROR(INDEX(Ingredients!$D$5:$D$304,MATCH(B1159,Ingredients!$A$5:$A$304,0)),""))</f>
        <v>0</v>
      </c>
      <c r="H1159" s="8">
        <f>IF(OR(B1159="",C1159=""),"",IFERROR(C1159*G1159,""))</f>
        <v>0</v>
      </c>
      <c r="I1159" s="8">
        <f>IF(A1159="","",IFERROR(INDEX(Recipes!$D$5:$D$204,MATCH(A1159,Recipes!$A$5:$A$204,0)),""))</f>
        <v>0</v>
      </c>
      <c r="J1159" s="8">
        <f>IF(OR(H1159="",I1159="",I1159=0),"",IFERROR(H1159/I1159,""))</f>
        <v>0</v>
      </c>
      <c r="K1159" s="8">
        <f>IF(OR(B1159="",C1159=""),"",IFERROR(C1159*IFERROR(INDEX(Ingredients!$H$5:$H$304,MATCH(B1159,Ingredients!$A$5:$A$304,0)),""),""))</f>
        <v>0</v>
      </c>
      <c r="L1159" s="8">
        <f>IF(OR(B1159="",C1159=""),"",IFERROR(C1159*IFERROR(INDEX(Ingredients!$I$5:$I$304,MATCH(B1159,Ingredients!$A$5:$A$304,0)),""),""))</f>
        <v>0</v>
      </c>
      <c r="M1159" s="8">
        <f>IF(OR(B1159="",C1159=""),"",IFERROR(C1159*IFERROR(INDEX(Ingredients!$J$5:$J$304,MATCH(B1159,Ingredients!$A$5:$A$304,0)),""),""))</f>
        <v>0</v>
      </c>
      <c r="N1159" s="8">
        <f>IF(OR(B1159="",C1159=""),"",IFERROR(C1159*IFERROR(INDEX(Ingredients!$K$5:$K$304,MATCH(B1159,Ingredients!$A$5:$A$304,0)),""),""))</f>
        <v>0</v>
      </c>
      <c r="O1159" s="8">
        <f>IF(OR(B1159="",C1159=""),"",IFERROR(C1159*IFERROR(INDEX(Ingredients!$L$5:$L$304,MATCH(B1159,Ingredients!$A$5:$A$304,0)),""),""))</f>
        <v>0</v>
      </c>
      <c r="P1159" s="8">
        <f>IF(OR(H1159="",A1159=""),"",IFERROR(H1159/SUMIFS('Recipe Ingredients'!$H$5:$H$1204,'Recipe Ingredients'!$A$5:$A$1204,A1159),""))</f>
        <v>0</v>
      </c>
      <c r="Q1159" s="8">
        <f>IF(H1159="","",COUNTIFS($H$5:$H$1204,"&gt;"&amp;H1159)+1)</f>
        <v>0</v>
      </c>
      <c r="R1159" s="8">
        <f>IF(B1159="","",SUMIFS(Pantry!$C$5:$C$304,Pantry!$A$5:$A$304,B1159))</f>
        <v>0</v>
      </c>
      <c r="S1159" s="8">
        <f>IF(OR(B1159="",C1159=""),"",MAX(0,C1159-R1159))</f>
        <v>0</v>
      </c>
      <c r="T1159" s="26"/>
      <c r="U1159" s="8">
        <f>IF(OR(T1159="",T1159=0,G1159=""),"",T1159*G1159)</f>
        <v>0</v>
      </c>
      <c r="V1159" s="8">
        <f>IF(OR(S1159="",T1159="",T1159=0),"",CEILING(S1159/T1159,1))</f>
        <v>0</v>
      </c>
      <c r="W1159" s="27"/>
      <c r="X1159" s="29"/>
      <c r="Y1159" s="8">
        <f>IF(OR(C1159="",X1159=""),"",C1159*(1+X1159))</f>
        <v>0</v>
      </c>
      <c r="Z1159" s="8">
        <f>IF(B1159="","",IFERROR(INDEX(Ingredients!$O$5:$O$304,MATCH(B1159,Ingredients!$A$5:$A$304,0)),""))</f>
        <v>0</v>
      </c>
      <c r="AA1159" s="8">
        <f>IF(B1159="","",IF(R1159&gt;=C1159,"In pantry","To buy"))</f>
        <v>0</v>
      </c>
      <c r="AB1159" s="8">
        <f>IF(A1159="","",COUNTIFS($A$5:A1159,A1159))</f>
        <v>0</v>
      </c>
      <c r="AC1159" s="8">
        <f>IF(B1159="","",IF(COUNTIFS('Dietary Filters'!$C$5:$C$104,B1159)&gt;0,"Check","OK"))</f>
        <v>0</v>
      </c>
      <c r="AD1159" s="25"/>
    </row>
    <row r="1160" spans="1:30">
      <c r="A1160" s="7"/>
      <c r="B1160" s="7"/>
      <c r="C1160" s="26"/>
      <c r="D1160" s="27"/>
      <c r="E1160" s="8">
        <f>IF(B1160="","",IFERROR(INDEX(Ingredients!$B$5:$B$304,MATCH(B1160,Ingredients!$A$5:$A$304,0)),""))</f>
        <v>0</v>
      </c>
      <c r="F1160" s="8">
        <f>IF(B1160="","",IFERROR(INDEX(Ingredients!$E$5:$E$304,MATCH(B1160,Ingredients!$A$5:$A$304,0)),""))</f>
        <v>0</v>
      </c>
      <c r="G1160" s="8">
        <f>IF(B1160="","",IFERROR(INDEX(Ingredients!$D$5:$D$304,MATCH(B1160,Ingredients!$A$5:$A$304,0)),""))</f>
        <v>0</v>
      </c>
      <c r="H1160" s="8">
        <f>IF(OR(B1160="",C1160=""),"",IFERROR(C1160*G1160,""))</f>
        <v>0</v>
      </c>
      <c r="I1160" s="8">
        <f>IF(A1160="","",IFERROR(INDEX(Recipes!$D$5:$D$204,MATCH(A1160,Recipes!$A$5:$A$204,0)),""))</f>
        <v>0</v>
      </c>
      <c r="J1160" s="8">
        <f>IF(OR(H1160="",I1160="",I1160=0),"",IFERROR(H1160/I1160,""))</f>
        <v>0</v>
      </c>
      <c r="K1160" s="8">
        <f>IF(OR(B1160="",C1160=""),"",IFERROR(C1160*IFERROR(INDEX(Ingredients!$H$5:$H$304,MATCH(B1160,Ingredients!$A$5:$A$304,0)),""),""))</f>
        <v>0</v>
      </c>
      <c r="L1160" s="8">
        <f>IF(OR(B1160="",C1160=""),"",IFERROR(C1160*IFERROR(INDEX(Ingredients!$I$5:$I$304,MATCH(B1160,Ingredients!$A$5:$A$304,0)),""),""))</f>
        <v>0</v>
      </c>
      <c r="M1160" s="8">
        <f>IF(OR(B1160="",C1160=""),"",IFERROR(C1160*IFERROR(INDEX(Ingredients!$J$5:$J$304,MATCH(B1160,Ingredients!$A$5:$A$304,0)),""),""))</f>
        <v>0</v>
      </c>
      <c r="N1160" s="8">
        <f>IF(OR(B1160="",C1160=""),"",IFERROR(C1160*IFERROR(INDEX(Ingredients!$K$5:$K$304,MATCH(B1160,Ingredients!$A$5:$A$304,0)),""),""))</f>
        <v>0</v>
      </c>
      <c r="O1160" s="8">
        <f>IF(OR(B1160="",C1160=""),"",IFERROR(C1160*IFERROR(INDEX(Ingredients!$L$5:$L$304,MATCH(B1160,Ingredients!$A$5:$A$304,0)),""),""))</f>
        <v>0</v>
      </c>
      <c r="P1160" s="8">
        <f>IF(OR(H1160="",A1160=""),"",IFERROR(H1160/SUMIFS('Recipe Ingredients'!$H$5:$H$1204,'Recipe Ingredients'!$A$5:$A$1204,A1160),""))</f>
        <v>0</v>
      </c>
      <c r="Q1160" s="8">
        <f>IF(H1160="","",COUNTIFS($H$5:$H$1204,"&gt;"&amp;H1160)+1)</f>
        <v>0</v>
      </c>
      <c r="R1160" s="8">
        <f>IF(B1160="","",SUMIFS(Pantry!$C$5:$C$304,Pantry!$A$5:$A$304,B1160))</f>
        <v>0</v>
      </c>
      <c r="S1160" s="8">
        <f>IF(OR(B1160="",C1160=""),"",MAX(0,C1160-R1160))</f>
        <v>0</v>
      </c>
      <c r="T1160" s="26"/>
      <c r="U1160" s="8">
        <f>IF(OR(T1160="",T1160=0,G1160=""),"",T1160*G1160)</f>
        <v>0</v>
      </c>
      <c r="V1160" s="8">
        <f>IF(OR(S1160="",T1160="",T1160=0),"",CEILING(S1160/T1160,1))</f>
        <v>0</v>
      </c>
      <c r="W1160" s="27"/>
      <c r="X1160" s="29"/>
      <c r="Y1160" s="8">
        <f>IF(OR(C1160="",X1160=""),"",C1160*(1+X1160))</f>
        <v>0</v>
      </c>
      <c r="Z1160" s="8">
        <f>IF(B1160="","",IFERROR(INDEX(Ingredients!$O$5:$O$304,MATCH(B1160,Ingredients!$A$5:$A$304,0)),""))</f>
        <v>0</v>
      </c>
      <c r="AA1160" s="8">
        <f>IF(B1160="","",IF(R1160&gt;=C1160,"In pantry","To buy"))</f>
        <v>0</v>
      </c>
      <c r="AB1160" s="8">
        <f>IF(A1160="","",COUNTIFS($A$5:A1160,A1160))</f>
        <v>0</v>
      </c>
      <c r="AC1160" s="8">
        <f>IF(B1160="","",IF(COUNTIFS('Dietary Filters'!$C$5:$C$104,B1160)&gt;0,"Check","OK"))</f>
        <v>0</v>
      </c>
      <c r="AD1160" s="25"/>
    </row>
    <row r="1161" spans="1:30">
      <c r="A1161" s="7"/>
      <c r="B1161" s="7"/>
      <c r="C1161" s="26"/>
      <c r="D1161" s="27"/>
      <c r="E1161" s="8">
        <f>IF(B1161="","",IFERROR(INDEX(Ingredients!$B$5:$B$304,MATCH(B1161,Ingredients!$A$5:$A$304,0)),""))</f>
        <v>0</v>
      </c>
      <c r="F1161" s="8">
        <f>IF(B1161="","",IFERROR(INDEX(Ingredients!$E$5:$E$304,MATCH(B1161,Ingredients!$A$5:$A$304,0)),""))</f>
        <v>0</v>
      </c>
      <c r="G1161" s="8">
        <f>IF(B1161="","",IFERROR(INDEX(Ingredients!$D$5:$D$304,MATCH(B1161,Ingredients!$A$5:$A$304,0)),""))</f>
        <v>0</v>
      </c>
      <c r="H1161" s="8">
        <f>IF(OR(B1161="",C1161=""),"",IFERROR(C1161*G1161,""))</f>
        <v>0</v>
      </c>
      <c r="I1161" s="8">
        <f>IF(A1161="","",IFERROR(INDEX(Recipes!$D$5:$D$204,MATCH(A1161,Recipes!$A$5:$A$204,0)),""))</f>
        <v>0</v>
      </c>
      <c r="J1161" s="8">
        <f>IF(OR(H1161="",I1161="",I1161=0),"",IFERROR(H1161/I1161,""))</f>
        <v>0</v>
      </c>
      <c r="K1161" s="8">
        <f>IF(OR(B1161="",C1161=""),"",IFERROR(C1161*IFERROR(INDEX(Ingredients!$H$5:$H$304,MATCH(B1161,Ingredients!$A$5:$A$304,0)),""),""))</f>
        <v>0</v>
      </c>
      <c r="L1161" s="8">
        <f>IF(OR(B1161="",C1161=""),"",IFERROR(C1161*IFERROR(INDEX(Ingredients!$I$5:$I$304,MATCH(B1161,Ingredients!$A$5:$A$304,0)),""),""))</f>
        <v>0</v>
      </c>
      <c r="M1161" s="8">
        <f>IF(OR(B1161="",C1161=""),"",IFERROR(C1161*IFERROR(INDEX(Ingredients!$J$5:$J$304,MATCH(B1161,Ingredients!$A$5:$A$304,0)),""),""))</f>
        <v>0</v>
      </c>
      <c r="N1161" s="8">
        <f>IF(OR(B1161="",C1161=""),"",IFERROR(C1161*IFERROR(INDEX(Ingredients!$K$5:$K$304,MATCH(B1161,Ingredients!$A$5:$A$304,0)),""),""))</f>
        <v>0</v>
      </c>
      <c r="O1161" s="8">
        <f>IF(OR(B1161="",C1161=""),"",IFERROR(C1161*IFERROR(INDEX(Ingredients!$L$5:$L$304,MATCH(B1161,Ingredients!$A$5:$A$304,0)),""),""))</f>
        <v>0</v>
      </c>
      <c r="P1161" s="8">
        <f>IF(OR(H1161="",A1161=""),"",IFERROR(H1161/SUMIFS('Recipe Ingredients'!$H$5:$H$1204,'Recipe Ingredients'!$A$5:$A$1204,A1161),""))</f>
        <v>0</v>
      </c>
      <c r="Q1161" s="8">
        <f>IF(H1161="","",COUNTIFS($H$5:$H$1204,"&gt;"&amp;H1161)+1)</f>
        <v>0</v>
      </c>
      <c r="R1161" s="8">
        <f>IF(B1161="","",SUMIFS(Pantry!$C$5:$C$304,Pantry!$A$5:$A$304,B1161))</f>
        <v>0</v>
      </c>
      <c r="S1161" s="8">
        <f>IF(OR(B1161="",C1161=""),"",MAX(0,C1161-R1161))</f>
        <v>0</v>
      </c>
      <c r="T1161" s="26"/>
      <c r="U1161" s="8">
        <f>IF(OR(T1161="",T1161=0,G1161=""),"",T1161*G1161)</f>
        <v>0</v>
      </c>
      <c r="V1161" s="8">
        <f>IF(OR(S1161="",T1161="",T1161=0),"",CEILING(S1161/T1161,1))</f>
        <v>0</v>
      </c>
      <c r="W1161" s="27"/>
      <c r="X1161" s="29"/>
      <c r="Y1161" s="8">
        <f>IF(OR(C1161="",X1161=""),"",C1161*(1+X1161))</f>
        <v>0</v>
      </c>
      <c r="Z1161" s="8">
        <f>IF(B1161="","",IFERROR(INDEX(Ingredients!$O$5:$O$304,MATCH(B1161,Ingredients!$A$5:$A$304,0)),""))</f>
        <v>0</v>
      </c>
      <c r="AA1161" s="8">
        <f>IF(B1161="","",IF(R1161&gt;=C1161,"In pantry","To buy"))</f>
        <v>0</v>
      </c>
      <c r="AB1161" s="8">
        <f>IF(A1161="","",COUNTIFS($A$5:A1161,A1161))</f>
        <v>0</v>
      </c>
      <c r="AC1161" s="8">
        <f>IF(B1161="","",IF(COUNTIFS('Dietary Filters'!$C$5:$C$104,B1161)&gt;0,"Check","OK"))</f>
        <v>0</v>
      </c>
      <c r="AD1161" s="25"/>
    </row>
    <row r="1162" spans="1:30">
      <c r="A1162" s="7"/>
      <c r="B1162" s="7"/>
      <c r="C1162" s="26"/>
      <c r="D1162" s="27"/>
      <c r="E1162" s="8">
        <f>IF(B1162="","",IFERROR(INDEX(Ingredients!$B$5:$B$304,MATCH(B1162,Ingredients!$A$5:$A$304,0)),""))</f>
        <v>0</v>
      </c>
      <c r="F1162" s="8">
        <f>IF(B1162="","",IFERROR(INDEX(Ingredients!$E$5:$E$304,MATCH(B1162,Ingredients!$A$5:$A$304,0)),""))</f>
        <v>0</v>
      </c>
      <c r="G1162" s="8">
        <f>IF(B1162="","",IFERROR(INDEX(Ingredients!$D$5:$D$304,MATCH(B1162,Ingredients!$A$5:$A$304,0)),""))</f>
        <v>0</v>
      </c>
      <c r="H1162" s="8">
        <f>IF(OR(B1162="",C1162=""),"",IFERROR(C1162*G1162,""))</f>
        <v>0</v>
      </c>
      <c r="I1162" s="8">
        <f>IF(A1162="","",IFERROR(INDEX(Recipes!$D$5:$D$204,MATCH(A1162,Recipes!$A$5:$A$204,0)),""))</f>
        <v>0</v>
      </c>
      <c r="J1162" s="8">
        <f>IF(OR(H1162="",I1162="",I1162=0),"",IFERROR(H1162/I1162,""))</f>
        <v>0</v>
      </c>
      <c r="K1162" s="8">
        <f>IF(OR(B1162="",C1162=""),"",IFERROR(C1162*IFERROR(INDEX(Ingredients!$H$5:$H$304,MATCH(B1162,Ingredients!$A$5:$A$304,0)),""),""))</f>
        <v>0</v>
      </c>
      <c r="L1162" s="8">
        <f>IF(OR(B1162="",C1162=""),"",IFERROR(C1162*IFERROR(INDEX(Ingredients!$I$5:$I$304,MATCH(B1162,Ingredients!$A$5:$A$304,0)),""),""))</f>
        <v>0</v>
      </c>
      <c r="M1162" s="8">
        <f>IF(OR(B1162="",C1162=""),"",IFERROR(C1162*IFERROR(INDEX(Ingredients!$J$5:$J$304,MATCH(B1162,Ingredients!$A$5:$A$304,0)),""),""))</f>
        <v>0</v>
      </c>
      <c r="N1162" s="8">
        <f>IF(OR(B1162="",C1162=""),"",IFERROR(C1162*IFERROR(INDEX(Ingredients!$K$5:$K$304,MATCH(B1162,Ingredients!$A$5:$A$304,0)),""),""))</f>
        <v>0</v>
      </c>
      <c r="O1162" s="8">
        <f>IF(OR(B1162="",C1162=""),"",IFERROR(C1162*IFERROR(INDEX(Ingredients!$L$5:$L$304,MATCH(B1162,Ingredients!$A$5:$A$304,0)),""),""))</f>
        <v>0</v>
      </c>
      <c r="P1162" s="8">
        <f>IF(OR(H1162="",A1162=""),"",IFERROR(H1162/SUMIFS('Recipe Ingredients'!$H$5:$H$1204,'Recipe Ingredients'!$A$5:$A$1204,A1162),""))</f>
        <v>0</v>
      </c>
      <c r="Q1162" s="8">
        <f>IF(H1162="","",COUNTIFS($H$5:$H$1204,"&gt;"&amp;H1162)+1)</f>
        <v>0</v>
      </c>
      <c r="R1162" s="8">
        <f>IF(B1162="","",SUMIFS(Pantry!$C$5:$C$304,Pantry!$A$5:$A$304,B1162))</f>
        <v>0</v>
      </c>
      <c r="S1162" s="8">
        <f>IF(OR(B1162="",C1162=""),"",MAX(0,C1162-R1162))</f>
        <v>0</v>
      </c>
      <c r="T1162" s="26"/>
      <c r="U1162" s="8">
        <f>IF(OR(T1162="",T1162=0,G1162=""),"",T1162*G1162)</f>
        <v>0</v>
      </c>
      <c r="V1162" s="8">
        <f>IF(OR(S1162="",T1162="",T1162=0),"",CEILING(S1162/T1162,1))</f>
        <v>0</v>
      </c>
      <c r="W1162" s="27"/>
      <c r="X1162" s="29"/>
      <c r="Y1162" s="8">
        <f>IF(OR(C1162="",X1162=""),"",C1162*(1+X1162))</f>
        <v>0</v>
      </c>
      <c r="Z1162" s="8">
        <f>IF(B1162="","",IFERROR(INDEX(Ingredients!$O$5:$O$304,MATCH(B1162,Ingredients!$A$5:$A$304,0)),""))</f>
        <v>0</v>
      </c>
      <c r="AA1162" s="8">
        <f>IF(B1162="","",IF(R1162&gt;=C1162,"In pantry","To buy"))</f>
        <v>0</v>
      </c>
      <c r="AB1162" s="8">
        <f>IF(A1162="","",COUNTIFS($A$5:A1162,A1162))</f>
        <v>0</v>
      </c>
      <c r="AC1162" s="8">
        <f>IF(B1162="","",IF(COUNTIFS('Dietary Filters'!$C$5:$C$104,B1162)&gt;0,"Check","OK"))</f>
        <v>0</v>
      </c>
      <c r="AD1162" s="25"/>
    </row>
    <row r="1163" spans="1:30">
      <c r="A1163" s="7"/>
      <c r="B1163" s="7"/>
      <c r="C1163" s="26"/>
      <c r="D1163" s="27"/>
      <c r="E1163" s="8">
        <f>IF(B1163="","",IFERROR(INDEX(Ingredients!$B$5:$B$304,MATCH(B1163,Ingredients!$A$5:$A$304,0)),""))</f>
        <v>0</v>
      </c>
      <c r="F1163" s="8">
        <f>IF(B1163="","",IFERROR(INDEX(Ingredients!$E$5:$E$304,MATCH(B1163,Ingredients!$A$5:$A$304,0)),""))</f>
        <v>0</v>
      </c>
      <c r="G1163" s="8">
        <f>IF(B1163="","",IFERROR(INDEX(Ingredients!$D$5:$D$304,MATCH(B1163,Ingredients!$A$5:$A$304,0)),""))</f>
        <v>0</v>
      </c>
      <c r="H1163" s="8">
        <f>IF(OR(B1163="",C1163=""),"",IFERROR(C1163*G1163,""))</f>
        <v>0</v>
      </c>
      <c r="I1163" s="8">
        <f>IF(A1163="","",IFERROR(INDEX(Recipes!$D$5:$D$204,MATCH(A1163,Recipes!$A$5:$A$204,0)),""))</f>
        <v>0</v>
      </c>
      <c r="J1163" s="8">
        <f>IF(OR(H1163="",I1163="",I1163=0),"",IFERROR(H1163/I1163,""))</f>
        <v>0</v>
      </c>
      <c r="K1163" s="8">
        <f>IF(OR(B1163="",C1163=""),"",IFERROR(C1163*IFERROR(INDEX(Ingredients!$H$5:$H$304,MATCH(B1163,Ingredients!$A$5:$A$304,0)),""),""))</f>
        <v>0</v>
      </c>
      <c r="L1163" s="8">
        <f>IF(OR(B1163="",C1163=""),"",IFERROR(C1163*IFERROR(INDEX(Ingredients!$I$5:$I$304,MATCH(B1163,Ingredients!$A$5:$A$304,0)),""),""))</f>
        <v>0</v>
      </c>
      <c r="M1163" s="8">
        <f>IF(OR(B1163="",C1163=""),"",IFERROR(C1163*IFERROR(INDEX(Ingredients!$J$5:$J$304,MATCH(B1163,Ingredients!$A$5:$A$304,0)),""),""))</f>
        <v>0</v>
      </c>
      <c r="N1163" s="8">
        <f>IF(OR(B1163="",C1163=""),"",IFERROR(C1163*IFERROR(INDEX(Ingredients!$K$5:$K$304,MATCH(B1163,Ingredients!$A$5:$A$304,0)),""),""))</f>
        <v>0</v>
      </c>
      <c r="O1163" s="8">
        <f>IF(OR(B1163="",C1163=""),"",IFERROR(C1163*IFERROR(INDEX(Ingredients!$L$5:$L$304,MATCH(B1163,Ingredients!$A$5:$A$304,0)),""),""))</f>
        <v>0</v>
      </c>
      <c r="P1163" s="8">
        <f>IF(OR(H1163="",A1163=""),"",IFERROR(H1163/SUMIFS('Recipe Ingredients'!$H$5:$H$1204,'Recipe Ingredients'!$A$5:$A$1204,A1163),""))</f>
        <v>0</v>
      </c>
      <c r="Q1163" s="8">
        <f>IF(H1163="","",COUNTIFS($H$5:$H$1204,"&gt;"&amp;H1163)+1)</f>
        <v>0</v>
      </c>
      <c r="R1163" s="8">
        <f>IF(B1163="","",SUMIFS(Pantry!$C$5:$C$304,Pantry!$A$5:$A$304,B1163))</f>
        <v>0</v>
      </c>
      <c r="S1163" s="8">
        <f>IF(OR(B1163="",C1163=""),"",MAX(0,C1163-R1163))</f>
        <v>0</v>
      </c>
      <c r="T1163" s="26"/>
      <c r="U1163" s="8">
        <f>IF(OR(T1163="",T1163=0,G1163=""),"",T1163*G1163)</f>
        <v>0</v>
      </c>
      <c r="V1163" s="8">
        <f>IF(OR(S1163="",T1163="",T1163=0),"",CEILING(S1163/T1163,1))</f>
        <v>0</v>
      </c>
      <c r="W1163" s="27"/>
      <c r="X1163" s="29"/>
      <c r="Y1163" s="8">
        <f>IF(OR(C1163="",X1163=""),"",C1163*(1+X1163))</f>
        <v>0</v>
      </c>
      <c r="Z1163" s="8">
        <f>IF(B1163="","",IFERROR(INDEX(Ingredients!$O$5:$O$304,MATCH(B1163,Ingredients!$A$5:$A$304,0)),""))</f>
        <v>0</v>
      </c>
      <c r="AA1163" s="8">
        <f>IF(B1163="","",IF(R1163&gt;=C1163,"In pantry","To buy"))</f>
        <v>0</v>
      </c>
      <c r="AB1163" s="8">
        <f>IF(A1163="","",COUNTIFS($A$5:A1163,A1163))</f>
        <v>0</v>
      </c>
      <c r="AC1163" s="8">
        <f>IF(B1163="","",IF(COUNTIFS('Dietary Filters'!$C$5:$C$104,B1163)&gt;0,"Check","OK"))</f>
        <v>0</v>
      </c>
      <c r="AD1163" s="25"/>
    </row>
    <row r="1164" spans="1:30">
      <c r="A1164" s="7"/>
      <c r="B1164" s="7"/>
      <c r="C1164" s="26"/>
      <c r="D1164" s="27"/>
      <c r="E1164" s="8">
        <f>IF(B1164="","",IFERROR(INDEX(Ingredients!$B$5:$B$304,MATCH(B1164,Ingredients!$A$5:$A$304,0)),""))</f>
        <v>0</v>
      </c>
      <c r="F1164" s="8">
        <f>IF(B1164="","",IFERROR(INDEX(Ingredients!$E$5:$E$304,MATCH(B1164,Ingredients!$A$5:$A$304,0)),""))</f>
        <v>0</v>
      </c>
      <c r="G1164" s="8">
        <f>IF(B1164="","",IFERROR(INDEX(Ingredients!$D$5:$D$304,MATCH(B1164,Ingredients!$A$5:$A$304,0)),""))</f>
        <v>0</v>
      </c>
      <c r="H1164" s="8">
        <f>IF(OR(B1164="",C1164=""),"",IFERROR(C1164*G1164,""))</f>
        <v>0</v>
      </c>
      <c r="I1164" s="8">
        <f>IF(A1164="","",IFERROR(INDEX(Recipes!$D$5:$D$204,MATCH(A1164,Recipes!$A$5:$A$204,0)),""))</f>
        <v>0</v>
      </c>
      <c r="J1164" s="8">
        <f>IF(OR(H1164="",I1164="",I1164=0),"",IFERROR(H1164/I1164,""))</f>
        <v>0</v>
      </c>
      <c r="K1164" s="8">
        <f>IF(OR(B1164="",C1164=""),"",IFERROR(C1164*IFERROR(INDEX(Ingredients!$H$5:$H$304,MATCH(B1164,Ingredients!$A$5:$A$304,0)),""),""))</f>
        <v>0</v>
      </c>
      <c r="L1164" s="8">
        <f>IF(OR(B1164="",C1164=""),"",IFERROR(C1164*IFERROR(INDEX(Ingredients!$I$5:$I$304,MATCH(B1164,Ingredients!$A$5:$A$304,0)),""),""))</f>
        <v>0</v>
      </c>
      <c r="M1164" s="8">
        <f>IF(OR(B1164="",C1164=""),"",IFERROR(C1164*IFERROR(INDEX(Ingredients!$J$5:$J$304,MATCH(B1164,Ingredients!$A$5:$A$304,0)),""),""))</f>
        <v>0</v>
      </c>
      <c r="N1164" s="8">
        <f>IF(OR(B1164="",C1164=""),"",IFERROR(C1164*IFERROR(INDEX(Ingredients!$K$5:$K$304,MATCH(B1164,Ingredients!$A$5:$A$304,0)),""),""))</f>
        <v>0</v>
      </c>
      <c r="O1164" s="8">
        <f>IF(OR(B1164="",C1164=""),"",IFERROR(C1164*IFERROR(INDEX(Ingredients!$L$5:$L$304,MATCH(B1164,Ingredients!$A$5:$A$304,0)),""),""))</f>
        <v>0</v>
      </c>
      <c r="P1164" s="8">
        <f>IF(OR(H1164="",A1164=""),"",IFERROR(H1164/SUMIFS('Recipe Ingredients'!$H$5:$H$1204,'Recipe Ingredients'!$A$5:$A$1204,A1164),""))</f>
        <v>0</v>
      </c>
      <c r="Q1164" s="8">
        <f>IF(H1164="","",COUNTIFS($H$5:$H$1204,"&gt;"&amp;H1164)+1)</f>
        <v>0</v>
      </c>
      <c r="R1164" s="8">
        <f>IF(B1164="","",SUMIFS(Pantry!$C$5:$C$304,Pantry!$A$5:$A$304,B1164))</f>
        <v>0</v>
      </c>
      <c r="S1164" s="8">
        <f>IF(OR(B1164="",C1164=""),"",MAX(0,C1164-R1164))</f>
        <v>0</v>
      </c>
      <c r="T1164" s="26"/>
      <c r="U1164" s="8">
        <f>IF(OR(T1164="",T1164=0,G1164=""),"",T1164*G1164)</f>
        <v>0</v>
      </c>
      <c r="V1164" s="8">
        <f>IF(OR(S1164="",T1164="",T1164=0),"",CEILING(S1164/T1164,1))</f>
        <v>0</v>
      </c>
      <c r="W1164" s="27"/>
      <c r="X1164" s="29"/>
      <c r="Y1164" s="8">
        <f>IF(OR(C1164="",X1164=""),"",C1164*(1+X1164))</f>
        <v>0</v>
      </c>
      <c r="Z1164" s="8">
        <f>IF(B1164="","",IFERROR(INDEX(Ingredients!$O$5:$O$304,MATCH(B1164,Ingredients!$A$5:$A$304,0)),""))</f>
        <v>0</v>
      </c>
      <c r="AA1164" s="8">
        <f>IF(B1164="","",IF(R1164&gt;=C1164,"In pantry","To buy"))</f>
        <v>0</v>
      </c>
      <c r="AB1164" s="8">
        <f>IF(A1164="","",COUNTIFS($A$5:A1164,A1164))</f>
        <v>0</v>
      </c>
      <c r="AC1164" s="8">
        <f>IF(B1164="","",IF(COUNTIFS('Dietary Filters'!$C$5:$C$104,B1164)&gt;0,"Check","OK"))</f>
        <v>0</v>
      </c>
      <c r="AD1164" s="25"/>
    </row>
    <row r="1165" spans="1:30">
      <c r="A1165" s="7"/>
      <c r="B1165" s="7"/>
      <c r="C1165" s="26"/>
      <c r="D1165" s="27"/>
      <c r="E1165" s="8">
        <f>IF(B1165="","",IFERROR(INDEX(Ingredients!$B$5:$B$304,MATCH(B1165,Ingredients!$A$5:$A$304,0)),""))</f>
        <v>0</v>
      </c>
      <c r="F1165" s="8">
        <f>IF(B1165="","",IFERROR(INDEX(Ingredients!$E$5:$E$304,MATCH(B1165,Ingredients!$A$5:$A$304,0)),""))</f>
        <v>0</v>
      </c>
      <c r="G1165" s="8">
        <f>IF(B1165="","",IFERROR(INDEX(Ingredients!$D$5:$D$304,MATCH(B1165,Ingredients!$A$5:$A$304,0)),""))</f>
        <v>0</v>
      </c>
      <c r="H1165" s="8">
        <f>IF(OR(B1165="",C1165=""),"",IFERROR(C1165*G1165,""))</f>
        <v>0</v>
      </c>
      <c r="I1165" s="8">
        <f>IF(A1165="","",IFERROR(INDEX(Recipes!$D$5:$D$204,MATCH(A1165,Recipes!$A$5:$A$204,0)),""))</f>
        <v>0</v>
      </c>
      <c r="J1165" s="8">
        <f>IF(OR(H1165="",I1165="",I1165=0),"",IFERROR(H1165/I1165,""))</f>
        <v>0</v>
      </c>
      <c r="K1165" s="8">
        <f>IF(OR(B1165="",C1165=""),"",IFERROR(C1165*IFERROR(INDEX(Ingredients!$H$5:$H$304,MATCH(B1165,Ingredients!$A$5:$A$304,0)),""),""))</f>
        <v>0</v>
      </c>
      <c r="L1165" s="8">
        <f>IF(OR(B1165="",C1165=""),"",IFERROR(C1165*IFERROR(INDEX(Ingredients!$I$5:$I$304,MATCH(B1165,Ingredients!$A$5:$A$304,0)),""),""))</f>
        <v>0</v>
      </c>
      <c r="M1165" s="8">
        <f>IF(OR(B1165="",C1165=""),"",IFERROR(C1165*IFERROR(INDEX(Ingredients!$J$5:$J$304,MATCH(B1165,Ingredients!$A$5:$A$304,0)),""),""))</f>
        <v>0</v>
      </c>
      <c r="N1165" s="8">
        <f>IF(OR(B1165="",C1165=""),"",IFERROR(C1165*IFERROR(INDEX(Ingredients!$K$5:$K$304,MATCH(B1165,Ingredients!$A$5:$A$304,0)),""),""))</f>
        <v>0</v>
      </c>
      <c r="O1165" s="8">
        <f>IF(OR(B1165="",C1165=""),"",IFERROR(C1165*IFERROR(INDEX(Ingredients!$L$5:$L$304,MATCH(B1165,Ingredients!$A$5:$A$304,0)),""),""))</f>
        <v>0</v>
      </c>
      <c r="P1165" s="8">
        <f>IF(OR(H1165="",A1165=""),"",IFERROR(H1165/SUMIFS('Recipe Ingredients'!$H$5:$H$1204,'Recipe Ingredients'!$A$5:$A$1204,A1165),""))</f>
        <v>0</v>
      </c>
      <c r="Q1165" s="8">
        <f>IF(H1165="","",COUNTIFS($H$5:$H$1204,"&gt;"&amp;H1165)+1)</f>
        <v>0</v>
      </c>
      <c r="R1165" s="8">
        <f>IF(B1165="","",SUMIFS(Pantry!$C$5:$C$304,Pantry!$A$5:$A$304,B1165))</f>
        <v>0</v>
      </c>
      <c r="S1165" s="8">
        <f>IF(OR(B1165="",C1165=""),"",MAX(0,C1165-R1165))</f>
        <v>0</v>
      </c>
      <c r="T1165" s="26"/>
      <c r="U1165" s="8">
        <f>IF(OR(T1165="",T1165=0,G1165=""),"",T1165*G1165)</f>
        <v>0</v>
      </c>
      <c r="V1165" s="8">
        <f>IF(OR(S1165="",T1165="",T1165=0),"",CEILING(S1165/T1165,1))</f>
        <v>0</v>
      </c>
      <c r="W1165" s="27"/>
      <c r="X1165" s="29"/>
      <c r="Y1165" s="8">
        <f>IF(OR(C1165="",X1165=""),"",C1165*(1+X1165))</f>
        <v>0</v>
      </c>
      <c r="Z1165" s="8">
        <f>IF(B1165="","",IFERROR(INDEX(Ingredients!$O$5:$O$304,MATCH(B1165,Ingredients!$A$5:$A$304,0)),""))</f>
        <v>0</v>
      </c>
      <c r="AA1165" s="8">
        <f>IF(B1165="","",IF(R1165&gt;=C1165,"In pantry","To buy"))</f>
        <v>0</v>
      </c>
      <c r="AB1165" s="8">
        <f>IF(A1165="","",COUNTIFS($A$5:A1165,A1165))</f>
        <v>0</v>
      </c>
      <c r="AC1165" s="8">
        <f>IF(B1165="","",IF(COUNTIFS('Dietary Filters'!$C$5:$C$104,B1165)&gt;0,"Check","OK"))</f>
        <v>0</v>
      </c>
      <c r="AD1165" s="25"/>
    </row>
    <row r="1166" spans="1:30">
      <c r="A1166" s="7"/>
      <c r="B1166" s="7"/>
      <c r="C1166" s="26"/>
      <c r="D1166" s="27"/>
      <c r="E1166" s="8">
        <f>IF(B1166="","",IFERROR(INDEX(Ingredients!$B$5:$B$304,MATCH(B1166,Ingredients!$A$5:$A$304,0)),""))</f>
        <v>0</v>
      </c>
      <c r="F1166" s="8">
        <f>IF(B1166="","",IFERROR(INDEX(Ingredients!$E$5:$E$304,MATCH(B1166,Ingredients!$A$5:$A$304,0)),""))</f>
        <v>0</v>
      </c>
      <c r="G1166" s="8">
        <f>IF(B1166="","",IFERROR(INDEX(Ingredients!$D$5:$D$304,MATCH(B1166,Ingredients!$A$5:$A$304,0)),""))</f>
        <v>0</v>
      </c>
      <c r="H1166" s="8">
        <f>IF(OR(B1166="",C1166=""),"",IFERROR(C1166*G1166,""))</f>
        <v>0</v>
      </c>
      <c r="I1166" s="8">
        <f>IF(A1166="","",IFERROR(INDEX(Recipes!$D$5:$D$204,MATCH(A1166,Recipes!$A$5:$A$204,0)),""))</f>
        <v>0</v>
      </c>
      <c r="J1166" s="8">
        <f>IF(OR(H1166="",I1166="",I1166=0),"",IFERROR(H1166/I1166,""))</f>
        <v>0</v>
      </c>
      <c r="K1166" s="8">
        <f>IF(OR(B1166="",C1166=""),"",IFERROR(C1166*IFERROR(INDEX(Ingredients!$H$5:$H$304,MATCH(B1166,Ingredients!$A$5:$A$304,0)),""),""))</f>
        <v>0</v>
      </c>
      <c r="L1166" s="8">
        <f>IF(OR(B1166="",C1166=""),"",IFERROR(C1166*IFERROR(INDEX(Ingredients!$I$5:$I$304,MATCH(B1166,Ingredients!$A$5:$A$304,0)),""),""))</f>
        <v>0</v>
      </c>
      <c r="M1166" s="8">
        <f>IF(OR(B1166="",C1166=""),"",IFERROR(C1166*IFERROR(INDEX(Ingredients!$J$5:$J$304,MATCH(B1166,Ingredients!$A$5:$A$304,0)),""),""))</f>
        <v>0</v>
      </c>
      <c r="N1166" s="8">
        <f>IF(OR(B1166="",C1166=""),"",IFERROR(C1166*IFERROR(INDEX(Ingredients!$K$5:$K$304,MATCH(B1166,Ingredients!$A$5:$A$304,0)),""),""))</f>
        <v>0</v>
      </c>
      <c r="O1166" s="8">
        <f>IF(OR(B1166="",C1166=""),"",IFERROR(C1166*IFERROR(INDEX(Ingredients!$L$5:$L$304,MATCH(B1166,Ingredients!$A$5:$A$304,0)),""),""))</f>
        <v>0</v>
      </c>
      <c r="P1166" s="8">
        <f>IF(OR(H1166="",A1166=""),"",IFERROR(H1166/SUMIFS('Recipe Ingredients'!$H$5:$H$1204,'Recipe Ingredients'!$A$5:$A$1204,A1166),""))</f>
        <v>0</v>
      </c>
      <c r="Q1166" s="8">
        <f>IF(H1166="","",COUNTIFS($H$5:$H$1204,"&gt;"&amp;H1166)+1)</f>
        <v>0</v>
      </c>
      <c r="R1166" s="8">
        <f>IF(B1166="","",SUMIFS(Pantry!$C$5:$C$304,Pantry!$A$5:$A$304,B1166))</f>
        <v>0</v>
      </c>
      <c r="S1166" s="8">
        <f>IF(OR(B1166="",C1166=""),"",MAX(0,C1166-R1166))</f>
        <v>0</v>
      </c>
      <c r="T1166" s="26"/>
      <c r="U1166" s="8">
        <f>IF(OR(T1166="",T1166=0,G1166=""),"",T1166*G1166)</f>
        <v>0</v>
      </c>
      <c r="V1166" s="8">
        <f>IF(OR(S1166="",T1166="",T1166=0),"",CEILING(S1166/T1166,1))</f>
        <v>0</v>
      </c>
      <c r="W1166" s="27"/>
      <c r="X1166" s="29"/>
      <c r="Y1166" s="8">
        <f>IF(OR(C1166="",X1166=""),"",C1166*(1+X1166))</f>
        <v>0</v>
      </c>
      <c r="Z1166" s="8">
        <f>IF(B1166="","",IFERROR(INDEX(Ingredients!$O$5:$O$304,MATCH(B1166,Ingredients!$A$5:$A$304,0)),""))</f>
        <v>0</v>
      </c>
      <c r="AA1166" s="8">
        <f>IF(B1166="","",IF(R1166&gt;=C1166,"In pantry","To buy"))</f>
        <v>0</v>
      </c>
      <c r="AB1166" s="8">
        <f>IF(A1166="","",COUNTIFS($A$5:A1166,A1166))</f>
        <v>0</v>
      </c>
      <c r="AC1166" s="8">
        <f>IF(B1166="","",IF(COUNTIFS('Dietary Filters'!$C$5:$C$104,B1166)&gt;0,"Check","OK"))</f>
        <v>0</v>
      </c>
      <c r="AD1166" s="25"/>
    </row>
    <row r="1167" spans="1:30">
      <c r="A1167" s="7"/>
      <c r="B1167" s="7"/>
      <c r="C1167" s="26"/>
      <c r="D1167" s="27"/>
      <c r="E1167" s="8">
        <f>IF(B1167="","",IFERROR(INDEX(Ingredients!$B$5:$B$304,MATCH(B1167,Ingredients!$A$5:$A$304,0)),""))</f>
        <v>0</v>
      </c>
      <c r="F1167" s="8">
        <f>IF(B1167="","",IFERROR(INDEX(Ingredients!$E$5:$E$304,MATCH(B1167,Ingredients!$A$5:$A$304,0)),""))</f>
        <v>0</v>
      </c>
      <c r="G1167" s="8">
        <f>IF(B1167="","",IFERROR(INDEX(Ingredients!$D$5:$D$304,MATCH(B1167,Ingredients!$A$5:$A$304,0)),""))</f>
        <v>0</v>
      </c>
      <c r="H1167" s="8">
        <f>IF(OR(B1167="",C1167=""),"",IFERROR(C1167*G1167,""))</f>
        <v>0</v>
      </c>
      <c r="I1167" s="8">
        <f>IF(A1167="","",IFERROR(INDEX(Recipes!$D$5:$D$204,MATCH(A1167,Recipes!$A$5:$A$204,0)),""))</f>
        <v>0</v>
      </c>
      <c r="J1167" s="8">
        <f>IF(OR(H1167="",I1167="",I1167=0),"",IFERROR(H1167/I1167,""))</f>
        <v>0</v>
      </c>
      <c r="K1167" s="8">
        <f>IF(OR(B1167="",C1167=""),"",IFERROR(C1167*IFERROR(INDEX(Ingredients!$H$5:$H$304,MATCH(B1167,Ingredients!$A$5:$A$304,0)),""),""))</f>
        <v>0</v>
      </c>
      <c r="L1167" s="8">
        <f>IF(OR(B1167="",C1167=""),"",IFERROR(C1167*IFERROR(INDEX(Ingredients!$I$5:$I$304,MATCH(B1167,Ingredients!$A$5:$A$304,0)),""),""))</f>
        <v>0</v>
      </c>
      <c r="M1167" s="8">
        <f>IF(OR(B1167="",C1167=""),"",IFERROR(C1167*IFERROR(INDEX(Ingredients!$J$5:$J$304,MATCH(B1167,Ingredients!$A$5:$A$304,0)),""),""))</f>
        <v>0</v>
      </c>
      <c r="N1167" s="8">
        <f>IF(OR(B1167="",C1167=""),"",IFERROR(C1167*IFERROR(INDEX(Ingredients!$K$5:$K$304,MATCH(B1167,Ingredients!$A$5:$A$304,0)),""),""))</f>
        <v>0</v>
      </c>
      <c r="O1167" s="8">
        <f>IF(OR(B1167="",C1167=""),"",IFERROR(C1167*IFERROR(INDEX(Ingredients!$L$5:$L$304,MATCH(B1167,Ingredients!$A$5:$A$304,0)),""),""))</f>
        <v>0</v>
      </c>
      <c r="P1167" s="8">
        <f>IF(OR(H1167="",A1167=""),"",IFERROR(H1167/SUMIFS('Recipe Ingredients'!$H$5:$H$1204,'Recipe Ingredients'!$A$5:$A$1204,A1167),""))</f>
        <v>0</v>
      </c>
      <c r="Q1167" s="8">
        <f>IF(H1167="","",COUNTIFS($H$5:$H$1204,"&gt;"&amp;H1167)+1)</f>
        <v>0</v>
      </c>
      <c r="R1167" s="8">
        <f>IF(B1167="","",SUMIFS(Pantry!$C$5:$C$304,Pantry!$A$5:$A$304,B1167))</f>
        <v>0</v>
      </c>
      <c r="S1167" s="8">
        <f>IF(OR(B1167="",C1167=""),"",MAX(0,C1167-R1167))</f>
        <v>0</v>
      </c>
      <c r="T1167" s="26"/>
      <c r="U1167" s="8">
        <f>IF(OR(T1167="",T1167=0,G1167=""),"",T1167*G1167)</f>
        <v>0</v>
      </c>
      <c r="V1167" s="8">
        <f>IF(OR(S1167="",T1167="",T1167=0),"",CEILING(S1167/T1167,1))</f>
        <v>0</v>
      </c>
      <c r="W1167" s="27"/>
      <c r="X1167" s="29"/>
      <c r="Y1167" s="8">
        <f>IF(OR(C1167="",X1167=""),"",C1167*(1+X1167))</f>
        <v>0</v>
      </c>
      <c r="Z1167" s="8">
        <f>IF(B1167="","",IFERROR(INDEX(Ingredients!$O$5:$O$304,MATCH(B1167,Ingredients!$A$5:$A$304,0)),""))</f>
        <v>0</v>
      </c>
      <c r="AA1167" s="8">
        <f>IF(B1167="","",IF(R1167&gt;=C1167,"In pantry","To buy"))</f>
        <v>0</v>
      </c>
      <c r="AB1167" s="8">
        <f>IF(A1167="","",COUNTIFS($A$5:A1167,A1167))</f>
        <v>0</v>
      </c>
      <c r="AC1167" s="8">
        <f>IF(B1167="","",IF(COUNTIFS('Dietary Filters'!$C$5:$C$104,B1167)&gt;0,"Check","OK"))</f>
        <v>0</v>
      </c>
      <c r="AD1167" s="25"/>
    </row>
    <row r="1168" spans="1:30">
      <c r="A1168" s="7"/>
      <c r="B1168" s="7"/>
      <c r="C1168" s="26"/>
      <c r="D1168" s="27"/>
      <c r="E1168" s="8">
        <f>IF(B1168="","",IFERROR(INDEX(Ingredients!$B$5:$B$304,MATCH(B1168,Ingredients!$A$5:$A$304,0)),""))</f>
        <v>0</v>
      </c>
      <c r="F1168" s="8">
        <f>IF(B1168="","",IFERROR(INDEX(Ingredients!$E$5:$E$304,MATCH(B1168,Ingredients!$A$5:$A$304,0)),""))</f>
        <v>0</v>
      </c>
      <c r="G1168" s="8">
        <f>IF(B1168="","",IFERROR(INDEX(Ingredients!$D$5:$D$304,MATCH(B1168,Ingredients!$A$5:$A$304,0)),""))</f>
        <v>0</v>
      </c>
      <c r="H1168" s="8">
        <f>IF(OR(B1168="",C1168=""),"",IFERROR(C1168*G1168,""))</f>
        <v>0</v>
      </c>
      <c r="I1168" s="8">
        <f>IF(A1168="","",IFERROR(INDEX(Recipes!$D$5:$D$204,MATCH(A1168,Recipes!$A$5:$A$204,0)),""))</f>
        <v>0</v>
      </c>
      <c r="J1168" s="8">
        <f>IF(OR(H1168="",I1168="",I1168=0),"",IFERROR(H1168/I1168,""))</f>
        <v>0</v>
      </c>
      <c r="K1168" s="8">
        <f>IF(OR(B1168="",C1168=""),"",IFERROR(C1168*IFERROR(INDEX(Ingredients!$H$5:$H$304,MATCH(B1168,Ingredients!$A$5:$A$304,0)),""),""))</f>
        <v>0</v>
      </c>
      <c r="L1168" s="8">
        <f>IF(OR(B1168="",C1168=""),"",IFERROR(C1168*IFERROR(INDEX(Ingredients!$I$5:$I$304,MATCH(B1168,Ingredients!$A$5:$A$304,0)),""),""))</f>
        <v>0</v>
      </c>
      <c r="M1168" s="8">
        <f>IF(OR(B1168="",C1168=""),"",IFERROR(C1168*IFERROR(INDEX(Ingredients!$J$5:$J$304,MATCH(B1168,Ingredients!$A$5:$A$304,0)),""),""))</f>
        <v>0</v>
      </c>
      <c r="N1168" s="8">
        <f>IF(OR(B1168="",C1168=""),"",IFERROR(C1168*IFERROR(INDEX(Ingredients!$K$5:$K$304,MATCH(B1168,Ingredients!$A$5:$A$304,0)),""),""))</f>
        <v>0</v>
      </c>
      <c r="O1168" s="8">
        <f>IF(OR(B1168="",C1168=""),"",IFERROR(C1168*IFERROR(INDEX(Ingredients!$L$5:$L$304,MATCH(B1168,Ingredients!$A$5:$A$304,0)),""),""))</f>
        <v>0</v>
      </c>
      <c r="P1168" s="8">
        <f>IF(OR(H1168="",A1168=""),"",IFERROR(H1168/SUMIFS('Recipe Ingredients'!$H$5:$H$1204,'Recipe Ingredients'!$A$5:$A$1204,A1168),""))</f>
        <v>0</v>
      </c>
      <c r="Q1168" s="8">
        <f>IF(H1168="","",COUNTIFS($H$5:$H$1204,"&gt;"&amp;H1168)+1)</f>
        <v>0</v>
      </c>
      <c r="R1168" s="8">
        <f>IF(B1168="","",SUMIFS(Pantry!$C$5:$C$304,Pantry!$A$5:$A$304,B1168))</f>
        <v>0</v>
      </c>
      <c r="S1168" s="8">
        <f>IF(OR(B1168="",C1168=""),"",MAX(0,C1168-R1168))</f>
        <v>0</v>
      </c>
      <c r="T1168" s="26"/>
      <c r="U1168" s="8">
        <f>IF(OR(T1168="",T1168=0,G1168=""),"",T1168*G1168)</f>
        <v>0</v>
      </c>
      <c r="V1168" s="8">
        <f>IF(OR(S1168="",T1168="",T1168=0),"",CEILING(S1168/T1168,1))</f>
        <v>0</v>
      </c>
      <c r="W1168" s="27"/>
      <c r="X1168" s="29"/>
      <c r="Y1168" s="8">
        <f>IF(OR(C1168="",X1168=""),"",C1168*(1+X1168))</f>
        <v>0</v>
      </c>
      <c r="Z1168" s="8">
        <f>IF(B1168="","",IFERROR(INDEX(Ingredients!$O$5:$O$304,MATCH(B1168,Ingredients!$A$5:$A$304,0)),""))</f>
        <v>0</v>
      </c>
      <c r="AA1168" s="8">
        <f>IF(B1168="","",IF(R1168&gt;=C1168,"In pantry","To buy"))</f>
        <v>0</v>
      </c>
      <c r="AB1168" s="8">
        <f>IF(A1168="","",COUNTIFS($A$5:A1168,A1168))</f>
        <v>0</v>
      </c>
      <c r="AC1168" s="8">
        <f>IF(B1168="","",IF(COUNTIFS('Dietary Filters'!$C$5:$C$104,B1168)&gt;0,"Check","OK"))</f>
        <v>0</v>
      </c>
      <c r="AD1168" s="25"/>
    </row>
    <row r="1169" spans="1:30">
      <c r="A1169" s="7"/>
      <c r="B1169" s="7"/>
      <c r="C1169" s="26"/>
      <c r="D1169" s="27"/>
      <c r="E1169" s="8">
        <f>IF(B1169="","",IFERROR(INDEX(Ingredients!$B$5:$B$304,MATCH(B1169,Ingredients!$A$5:$A$304,0)),""))</f>
        <v>0</v>
      </c>
      <c r="F1169" s="8">
        <f>IF(B1169="","",IFERROR(INDEX(Ingredients!$E$5:$E$304,MATCH(B1169,Ingredients!$A$5:$A$304,0)),""))</f>
        <v>0</v>
      </c>
      <c r="G1169" s="8">
        <f>IF(B1169="","",IFERROR(INDEX(Ingredients!$D$5:$D$304,MATCH(B1169,Ingredients!$A$5:$A$304,0)),""))</f>
        <v>0</v>
      </c>
      <c r="H1169" s="8">
        <f>IF(OR(B1169="",C1169=""),"",IFERROR(C1169*G1169,""))</f>
        <v>0</v>
      </c>
      <c r="I1169" s="8">
        <f>IF(A1169="","",IFERROR(INDEX(Recipes!$D$5:$D$204,MATCH(A1169,Recipes!$A$5:$A$204,0)),""))</f>
        <v>0</v>
      </c>
      <c r="J1169" s="8">
        <f>IF(OR(H1169="",I1169="",I1169=0),"",IFERROR(H1169/I1169,""))</f>
        <v>0</v>
      </c>
      <c r="K1169" s="8">
        <f>IF(OR(B1169="",C1169=""),"",IFERROR(C1169*IFERROR(INDEX(Ingredients!$H$5:$H$304,MATCH(B1169,Ingredients!$A$5:$A$304,0)),""),""))</f>
        <v>0</v>
      </c>
      <c r="L1169" s="8">
        <f>IF(OR(B1169="",C1169=""),"",IFERROR(C1169*IFERROR(INDEX(Ingredients!$I$5:$I$304,MATCH(B1169,Ingredients!$A$5:$A$304,0)),""),""))</f>
        <v>0</v>
      </c>
      <c r="M1169" s="8">
        <f>IF(OR(B1169="",C1169=""),"",IFERROR(C1169*IFERROR(INDEX(Ingredients!$J$5:$J$304,MATCH(B1169,Ingredients!$A$5:$A$304,0)),""),""))</f>
        <v>0</v>
      </c>
      <c r="N1169" s="8">
        <f>IF(OR(B1169="",C1169=""),"",IFERROR(C1169*IFERROR(INDEX(Ingredients!$K$5:$K$304,MATCH(B1169,Ingredients!$A$5:$A$304,0)),""),""))</f>
        <v>0</v>
      </c>
      <c r="O1169" s="8">
        <f>IF(OR(B1169="",C1169=""),"",IFERROR(C1169*IFERROR(INDEX(Ingredients!$L$5:$L$304,MATCH(B1169,Ingredients!$A$5:$A$304,0)),""),""))</f>
        <v>0</v>
      </c>
      <c r="P1169" s="8">
        <f>IF(OR(H1169="",A1169=""),"",IFERROR(H1169/SUMIFS('Recipe Ingredients'!$H$5:$H$1204,'Recipe Ingredients'!$A$5:$A$1204,A1169),""))</f>
        <v>0</v>
      </c>
      <c r="Q1169" s="8">
        <f>IF(H1169="","",COUNTIFS($H$5:$H$1204,"&gt;"&amp;H1169)+1)</f>
        <v>0</v>
      </c>
      <c r="R1169" s="8">
        <f>IF(B1169="","",SUMIFS(Pantry!$C$5:$C$304,Pantry!$A$5:$A$304,B1169))</f>
        <v>0</v>
      </c>
      <c r="S1169" s="8">
        <f>IF(OR(B1169="",C1169=""),"",MAX(0,C1169-R1169))</f>
        <v>0</v>
      </c>
      <c r="T1169" s="26"/>
      <c r="U1169" s="8">
        <f>IF(OR(T1169="",T1169=0,G1169=""),"",T1169*G1169)</f>
        <v>0</v>
      </c>
      <c r="V1169" s="8">
        <f>IF(OR(S1169="",T1169="",T1169=0),"",CEILING(S1169/T1169,1))</f>
        <v>0</v>
      </c>
      <c r="W1169" s="27"/>
      <c r="X1169" s="29"/>
      <c r="Y1169" s="8">
        <f>IF(OR(C1169="",X1169=""),"",C1169*(1+X1169))</f>
        <v>0</v>
      </c>
      <c r="Z1169" s="8">
        <f>IF(B1169="","",IFERROR(INDEX(Ingredients!$O$5:$O$304,MATCH(B1169,Ingredients!$A$5:$A$304,0)),""))</f>
        <v>0</v>
      </c>
      <c r="AA1169" s="8">
        <f>IF(B1169="","",IF(R1169&gt;=C1169,"In pantry","To buy"))</f>
        <v>0</v>
      </c>
      <c r="AB1169" s="8">
        <f>IF(A1169="","",COUNTIFS($A$5:A1169,A1169))</f>
        <v>0</v>
      </c>
      <c r="AC1169" s="8">
        <f>IF(B1169="","",IF(COUNTIFS('Dietary Filters'!$C$5:$C$104,B1169)&gt;0,"Check","OK"))</f>
        <v>0</v>
      </c>
      <c r="AD1169" s="25"/>
    </row>
    <row r="1170" spans="1:30">
      <c r="A1170" s="7"/>
      <c r="B1170" s="7"/>
      <c r="C1170" s="26"/>
      <c r="D1170" s="27"/>
      <c r="E1170" s="8">
        <f>IF(B1170="","",IFERROR(INDEX(Ingredients!$B$5:$B$304,MATCH(B1170,Ingredients!$A$5:$A$304,0)),""))</f>
        <v>0</v>
      </c>
      <c r="F1170" s="8">
        <f>IF(B1170="","",IFERROR(INDEX(Ingredients!$E$5:$E$304,MATCH(B1170,Ingredients!$A$5:$A$304,0)),""))</f>
        <v>0</v>
      </c>
      <c r="G1170" s="8">
        <f>IF(B1170="","",IFERROR(INDEX(Ingredients!$D$5:$D$304,MATCH(B1170,Ingredients!$A$5:$A$304,0)),""))</f>
        <v>0</v>
      </c>
      <c r="H1170" s="8">
        <f>IF(OR(B1170="",C1170=""),"",IFERROR(C1170*G1170,""))</f>
        <v>0</v>
      </c>
      <c r="I1170" s="8">
        <f>IF(A1170="","",IFERROR(INDEX(Recipes!$D$5:$D$204,MATCH(A1170,Recipes!$A$5:$A$204,0)),""))</f>
        <v>0</v>
      </c>
      <c r="J1170" s="8">
        <f>IF(OR(H1170="",I1170="",I1170=0),"",IFERROR(H1170/I1170,""))</f>
        <v>0</v>
      </c>
      <c r="K1170" s="8">
        <f>IF(OR(B1170="",C1170=""),"",IFERROR(C1170*IFERROR(INDEX(Ingredients!$H$5:$H$304,MATCH(B1170,Ingredients!$A$5:$A$304,0)),""),""))</f>
        <v>0</v>
      </c>
      <c r="L1170" s="8">
        <f>IF(OR(B1170="",C1170=""),"",IFERROR(C1170*IFERROR(INDEX(Ingredients!$I$5:$I$304,MATCH(B1170,Ingredients!$A$5:$A$304,0)),""),""))</f>
        <v>0</v>
      </c>
      <c r="M1170" s="8">
        <f>IF(OR(B1170="",C1170=""),"",IFERROR(C1170*IFERROR(INDEX(Ingredients!$J$5:$J$304,MATCH(B1170,Ingredients!$A$5:$A$304,0)),""),""))</f>
        <v>0</v>
      </c>
      <c r="N1170" s="8">
        <f>IF(OR(B1170="",C1170=""),"",IFERROR(C1170*IFERROR(INDEX(Ingredients!$K$5:$K$304,MATCH(B1170,Ingredients!$A$5:$A$304,0)),""),""))</f>
        <v>0</v>
      </c>
      <c r="O1170" s="8">
        <f>IF(OR(B1170="",C1170=""),"",IFERROR(C1170*IFERROR(INDEX(Ingredients!$L$5:$L$304,MATCH(B1170,Ingredients!$A$5:$A$304,0)),""),""))</f>
        <v>0</v>
      </c>
      <c r="P1170" s="8">
        <f>IF(OR(H1170="",A1170=""),"",IFERROR(H1170/SUMIFS('Recipe Ingredients'!$H$5:$H$1204,'Recipe Ingredients'!$A$5:$A$1204,A1170),""))</f>
        <v>0</v>
      </c>
      <c r="Q1170" s="8">
        <f>IF(H1170="","",COUNTIFS($H$5:$H$1204,"&gt;"&amp;H1170)+1)</f>
        <v>0</v>
      </c>
      <c r="R1170" s="8">
        <f>IF(B1170="","",SUMIFS(Pantry!$C$5:$C$304,Pantry!$A$5:$A$304,B1170))</f>
        <v>0</v>
      </c>
      <c r="S1170" s="8">
        <f>IF(OR(B1170="",C1170=""),"",MAX(0,C1170-R1170))</f>
        <v>0</v>
      </c>
      <c r="T1170" s="26"/>
      <c r="U1170" s="8">
        <f>IF(OR(T1170="",T1170=0,G1170=""),"",T1170*G1170)</f>
        <v>0</v>
      </c>
      <c r="V1170" s="8">
        <f>IF(OR(S1170="",T1170="",T1170=0),"",CEILING(S1170/T1170,1))</f>
        <v>0</v>
      </c>
      <c r="W1170" s="27"/>
      <c r="X1170" s="29"/>
      <c r="Y1170" s="8">
        <f>IF(OR(C1170="",X1170=""),"",C1170*(1+X1170))</f>
        <v>0</v>
      </c>
      <c r="Z1170" s="8">
        <f>IF(B1170="","",IFERROR(INDEX(Ingredients!$O$5:$O$304,MATCH(B1170,Ingredients!$A$5:$A$304,0)),""))</f>
        <v>0</v>
      </c>
      <c r="AA1170" s="8">
        <f>IF(B1170="","",IF(R1170&gt;=C1170,"In pantry","To buy"))</f>
        <v>0</v>
      </c>
      <c r="AB1170" s="8">
        <f>IF(A1170="","",COUNTIFS($A$5:A1170,A1170))</f>
        <v>0</v>
      </c>
      <c r="AC1170" s="8">
        <f>IF(B1170="","",IF(COUNTIFS('Dietary Filters'!$C$5:$C$104,B1170)&gt;0,"Check","OK"))</f>
        <v>0</v>
      </c>
      <c r="AD1170" s="25"/>
    </row>
    <row r="1171" spans="1:30">
      <c r="A1171" s="7"/>
      <c r="B1171" s="7"/>
      <c r="C1171" s="26"/>
      <c r="D1171" s="27"/>
      <c r="E1171" s="8">
        <f>IF(B1171="","",IFERROR(INDEX(Ingredients!$B$5:$B$304,MATCH(B1171,Ingredients!$A$5:$A$304,0)),""))</f>
        <v>0</v>
      </c>
      <c r="F1171" s="8">
        <f>IF(B1171="","",IFERROR(INDEX(Ingredients!$E$5:$E$304,MATCH(B1171,Ingredients!$A$5:$A$304,0)),""))</f>
        <v>0</v>
      </c>
      <c r="G1171" s="8">
        <f>IF(B1171="","",IFERROR(INDEX(Ingredients!$D$5:$D$304,MATCH(B1171,Ingredients!$A$5:$A$304,0)),""))</f>
        <v>0</v>
      </c>
      <c r="H1171" s="8">
        <f>IF(OR(B1171="",C1171=""),"",IFERROR(C1171*G1171,""))</f>
        <v>0</v>
      </c>
      <c r="I1171" s="8">
        <f>IF(A1171="","",IFERROR(INDEX(Recipes!$D$5:$D$204,MATCH(A1171,Recipes!$A$5:$A$204,0)),""))</f>
        <v>0</v>
      </c>
      <c r="J1171" s="8">
        <f>IF(OR(H1171="",I1171="",I1171=0),"",IFERROR(H1171/I1171,""))</f>
        <v>0</v>
      </c>
      <c r="K1171" s="8">
        <f>IF(OR(B1171="",C1171=""),"",IFERROR(C1171*IFERROR(INDEX(Ingredients!$H$5:$H$304,MATCH(B1171,Ingredients!$A$5:$A$304,0)),""),""))</f>
        <v>0</v>
      </c>
      <c r="L1171" s="8">
        <f>IF(OR(B1171="",C1171=""),"",IFERROR(C1171*IFERROR(INDEX(Ingredients!$I$5:$I$304,MATCH(B1171,Ingredients!$A$5:$A$304,0)),""),""))</f>
        <v>0</v>
      </c>
      <c r="M1171" s="8">
        <f>IF(OR(B1171="",C1171=""),"",IFERROR(C1171*IFERROR(INDEX(Ingredients!$J$5:$J$304,MATCH(B1171,Ingredients!$A$5:$A$304,0)),""),""))</f>
        <v>0</v>
      </c>
      <c r="N1171" s="8">
        <f>IF(OR(B1171="",C1171=""),"",IFERROR(C1171*IFERROR(INDEX(Ingredients!$K$5:$K$304,MATCH(B1171,Ingredients!$A$5:$A$304,0)),""),""))</f>
        <v>0</v>
      </c>
      <c r="O1171" s="8">
        <f>IF(OR(B1171="",C1171=""),"",IFERROR(C1171*IFERROR(INDEX(Ingredients!$L$5:$L$304,MATCH(B1171,Ingredients!$A$5:$A$304,0)),""),""))</f>
        <v>0</v>
      </c>
      <c r="P1171" s="8">
        <f>IF(OR(H1171="",A1171=""),"",IFERROR(H1171/SUMIFS('Recipe Ingredients'!$H$5:$H$1204,'Recipe Ingredients'!$A$5:$A$1204,A1171),""))</f>
        <v>0</v>
      </c>
      <c r="Q1171" s="8">
        <f>IF(H1171="","",COUNTIFS($H$5:$H$1204,"&gt;"&amp;H1171)+1)</f>
        <v>0</v>
      </c>
      <c r="R1171" s="8">
        <f>IF(B1171="","",SUMIFS(Pantry!$C$5:$C$304,Pantry!$A$5:$A$304,B1171))</f>
        <v>0</v>
      </c>
      <c r="S1171" s="8">
        <f>IF(OR(B1171="",C1171=""),"",MAX(0,C1171-R1171))</f>
        <v>0</v>
      </c>
      <c r="T1171" s="26"/>
      <c r="U1171" s="8">
        <f>IF(OR(T1171="",T1171=0,G1171=""),"",T1171*G1171)</f>
        <v>0</v>
      </c>
      <c r="V1171" s="8">
        <f>IF(OR(S1171="",T1171="",T1171=0),"",CEILING(S1171/T1171,1))</f>
        <v>0</v>
      </c>
      <c r="W1171" s="27"/>
      <c r="X1171" s="29"/>
      <c r="Y1171" s="8">
        <f>IF(OR(C1171="",X1171=""),"",C1171*(1+X1171))</f>
        <v>0</v>
      </c>
      <c r="Z1171" s="8">
        <f>IF(B1171="","",IFERROR(INDEX(Ingredients!$O$5:$O$304,MATCH(B1171,Ingredients!$A$5:$A$304,0)),""))</f>
        <v>0</v>
      </c>
      <c r="AA1171" s="8">
        <f>IF(B1171="","",IF(R1171&gt;=C1171,"In pantry","To buy"))</f>
        <v>0</v>
      </c>
      <c r="AB1171" s="8">
        <f>IF(A1171="","",COUNTIFS($A$5:A1171,A1171))</f>
        <v>0</v>
      </c>
      <c r="AC1171" s="8">
        <f>IF(B1171="","",IF(COUNTIFS('Dietary Filters'!$C$5:$C$104,B1171)&gt;0,"Check","OK"))</f>
        <v>0</v>
      </c>
      <c r="AD1171" s="25"/>
    </row>
    <row r="1172" spans="1:30">
      <c r="A1172" s="7"/>
      <c r="B1172" s="7"/>
      <c r="C1172" s="26"/>
      <c r="D1172" s="27"/>
      <c r="E1172" s="8">
        <f>IF(B1172="","",IFERROR(INDEX(Ingredients!$B$5:$B$304,MATCH(B1172,Ingredients!$A$5:$A$304,0)),""))</f>
        <v>0</v>
      </c>
      <c r="F1172" s="8">
        <f>IF(B1172="","",IFERROR(INDEX(Ingredients!$E$5:$E$304,MATCH(B1172,Ingredients!$A$5:$A$304,0)),""))</f>
        <v>0</v>
      </c>
      <c r="G1172" s="8">
        <f>IF(B1172="","",IFERROR(INDEX(Ingredients!$D$5:$D$304,MATCH(B1172,Ingredients!$A$5:$A$304,0)),""))</f>
        <v>0</v>
      </c>
      <c r="H1172" s="8">
        <f>IF(OR(B1172="",C1172=""),"",IFERROR(C1172*G1172,""))</f>
        <v>0</v>
      </c>
      <c r="I1172" s="8">
        <f>IF(A1172="","",IFERROR(INDEX(Recipes!$D$5:$D$204,MATCH(A1172,Recipes!$A$5:$A$204,0)),""))</f>
        <v>0</v>
      </c>
      <c r="J1172" s="8">
        <f>IF(OR(H1172="",I1172="",I1172=0),"",IFERROR(H1172/I1172,""))</f>
        <v>0</v>
      </c>
      <c r="K1172" s="8">
        <f>IF(OR(B1172="",C1172=""),"",IFERROR(C1172*IFERROR(INDEX(Ingredients!$H$5:$H$304,MATCH(B1172,Ingredients!$A$5:$A$304,0)),""),""))</f>
        <v>0</v>
      </c>
      <c r="L1172" s="8">
        <f>IF(OR(B1172="",C1172=""),"",IFERROR(C1172*IFERROR(INDEX(Ingredients!$I$5:$I$304,MATCH(B1172,Ingredients!$A$5:$A$304,0)),""),""))</f>
        <v>0</v>
      </c>
      <c r="M1172" s="8">
        <f>IF(OR(B1172="",C1172=""),"",IFERROR(C1172*IFERROR(INDEX(Ingredients!$J$5:$J$304,MATCH(B1172,Ingredients!$A$5:$A$304,0)),""),""))</f>
        <v>0</v>
      </c>
      <c r="N1172" s="8">
        <f>IF(OR(B1172="",C1172=""),"",IFERROR(C1172*IFERROR(INDEX(Ingredients!$K$5:$K$304,MATCH(B1172,Ingredients!$A$5:$A$304,0)),""),""))</f>
        <v>0</v>
      </c>
      <c r="O1172" s="8">
        <f>IF(OR(B1172="",C1172=""),"",IFERROR(C1172*IFERROR(INDEX(Ingredients!$L$5:$L$304,MATCH(B1172,Ingredients!$A$5:$A$304,0)),""),""))</f>
        <v>0</v>
      </c>
      <c r="P1172" s="8">
        <f>IF(OR(H1172="",A1172=""),"",IFERROR(H1172/SUMIFS('Recipe Ingredients'!$H$5:$H$1204,'Recipe Ingredients'!$A$5:$A$1204,A1172),""))</f>
        <v>0</v>
      </c>
      <c r="Q1172" s="8">
        <f>IF(H1172="","",COUNTIFS($H$5:$H$1204,"&gt;"&amp;H1172)+1)</f>
        <v>0</v>
      </c>
      <c r="R1172" s="8">
        <f>IF(B1172="","",SUMIFS(Pantry!$C$5:$C$304,Pantry!$A$5:$A$304,B1172))</f>
        <v>0</v>
      </c>
      <c r="S1172" s="8">
        <f>IF(OR(B1172="",C1172=""),"",MAX(0,C1172-R1172))</f>
        <v>0</v>
      </c>
      <c r="T1172" s="26"/>
      <c r="U1172" s="8">
        <f>IF(OR(T1172="",T1172=0,G1172=""),"",T1172*G1172)</f>
        <v>0</v>
      </c>
      <c r="V1172" s="8">
        <f>IF(OR(S1172="",T1172="",T1172=0),"",CEILING(S1172/T1172,1))</f>
        <v>0</v>
      </c>
      <c r="W1172" s="27"/>
      <c r="X1172" s="29"/>
      <c r="Y1172" s="8">
        <f>IF(OR(C1172="",X1172=""),"",C1172*(1+X1172))</f>
        <v>0</v>
      </c>
      <c r="Z1172" s="8">
        <f>IF(B1172="","",IFERROR(INDEX(Ingredients!$O$5:$O$304,MATCH(B1172,Ingredients!$A$5:$A$304,0)),""))</f>
        <v>0</v>
      </c>
      <c r="AA1172" s="8">
        <f>IF(B1172="","",IF(R1172&gt;=C1172,"In pantry","To buy"))</f>
        <v>0</v>
      </c>
      <c r="AB1172" s="8">
        <f>IF(A1172="","",COUNTIFS($A$5:A1172,A1172))</f>
        <v>0</v>
      </c>
      <c r="AC1172" s="8">
        <f>IF(B1172="","",IF(COUNTIFS('Dietary Filters'!$C$5:$C$104,B1172)&gt;0,"Check","OK"))</f>
        <v>0</v>
      </c>
      <c r="AD1172" s="25"/>
    </row>
    <row r="1173" spans="1:30">
      <c r="A1173" s="7"/>
      <c r="B1173" s="7"/>
      <c r="C1173" s="26"/>
      <c r="D1173" s="27"/>
      <c r="E1173" s="8">
        <f>IF(B1173="","",IFERROR(INDEX(Ingredients!$B$5:$B$304,MATCH(B1173,Ingredients!$A$5:$A$304,0)),""))</f>
        <v>0</v>
      </c>
      <c r="F1173" s="8">
        <f>IF(B1173="","",IFERROR(INDEX(Ingredients!$E$5:$E$304,MATCH(B1173,Ingredients!$A$5:$A$304,0)),""))</f>
        <v>0</v>
      </c>
      <c r="G1173" s="8">
        <f>IF(B1173="","",IFERROR(INDEX(Ingredients!$D$5:$D$304,MATCH(B1173,Ingredients!$A$5:$A$304,0)),""))</f>
        <v>0</v>
      </c>
      <c r="H1173" s="8">
        <f>IF(OR(B1173="",C1173=""),"",IFERROR(C1173*G1173,""))</f>
        <v>0</v>
      </c>
      <c r="I1173" s="8">
        <f>IF(A1173="","",IFERROR(INDEX(Recipes!$D$5:$D$204,MATCH(A1173,Recipes!$A$5:$A$204,0)),""))</f>
        <v>0</v>
      </c>
      <c r="J1173" s="8">
        <f>IF(OR(H1173="",I1173="",I1173=0),"",IFERROR(H1173/I1173,""))</f>
        <v>0</v>
      </c>
      <c r="K1173" s="8">
        <f>IF(OR(B1173="",C1173=""),"",IFERROR(C1173*IFERROR(INDEX(Ingredients!$H$5:$H$304,MATCH(B1173,Ingredients!$A$5:$A$304,0)),""),""))</f>
        <v>0</v>
      </c>
      <c r="L1173" s="8">
        <f>IF(OR(B1173="",C1173=""),"",IFERROR(C1173*IFERROR(INDEX(Ingredients!$I$5:$I$304,MATCH(B1173,Ingredients!$A$5:$A$304,0)),""),""))</f>
        <v>0</v>
      </c>
      <c r="M1173" s="8">
        <f>IF(OR(B1173="",C1173=""),"",IFERROR(C1173*IFERROR(INDEX(Ingredients!$J$5:$J$304,MATCH(B1173,Ingredients!$A$5:$A$304,0)),""),""))</f>
        <v>0</v>
      </c>
      <c r="N1173" s="8">
        <f>IF(OR(B1173="",C1173=""),"",IFERROR(C1173*IFERROR(INDEX(Ingredients!$K$5:$K$304,MATCH(B1173,Ingredients!$A$5:$A$304,0)),""),""))</f>
        <v>0</v>
      </c>
      <c r="O1173" s="8">
        <f>IF(OR(B1173="",C1173=""),"",IFERROR(C1173*IFERROR(INDEX(Ingredients!$L$5:$L$304,MATCH(B1173,Ingredients!$A$5:$A$304,0)),""),""))</f>
        <v>0</v>
      </c>
      <c r="P1173" s="8">
        <f>IF(OR(H1173="",A1173=""),"",IFERROR(H1173/SUMIFS('Recipe Ingredients'!$H$5:$H$1204,'Recipe Ingredients'!$A$5:$A$1204,A1173),""))</f>
        <v>0</v>
      </c>
      <c r="Q1173" s="8">
        <f>IF(H1173="","",COUNTIFS($H$5:$H$1204,"&gt;"&amp;H1173)+1)</f>
        <v>0</v>
      </c>
      <c r="R1173" s="8">
        <f>IF(B1173="","",SUMIFS(Pantry!$C$5:$C$304,Pantry!$A$5:$A$304,B1173))</f>
        <v>0</v>
      </c>
      <c r="S1173" s="8">
        <f>IF(OR(B1173="",C1173=""),"",MAX(0,C1173-R1173))</f>
        <v>0</v>
      </c>
      <c r="T1173" s="26"/>
      <c r="U1173" s="8">
        <f>IF(OR(T1173="",T1173=0,G1173=""),"",T1173*G1173)</f>
        <v>0</v>
      </c>
      <c r="V1173" s="8">
        <f>IF(OR(S1173="",T1173="",T1173=0),"",CEILING(S1173/T1173,1))</f>
        <v>0</v>
      </c>
      <c r="W1173" s="27"/>
      <c r="X1173" s="29"/>
      <c r="Y1173" s="8">
        <f>IF(OR(C1173="",X1173=""),"",C1173*(1+X1173))</f>
        <v>0</v>
      </c>
      <c r="Z1173" s="8">
        <f>IF(B1173="","",IFERROR(INDEX(Ingredients!$O$5:$O$304,MATCH(B1173,Ingredients!$A$5:$A$304,0)),""))</f>
        <v>0</v>
      </c>
      <c r="AA1173" s="8">
        <f>IF(B1173="","",IF(R1173&gt;=C1173,"In pantry","To buy"))</f>
        <v>0</v>
      </c>
      <c r="AB1173" s="8">
        <f>IF(A1173="","",COUNTIFS($A$5:A1173,A1173))</f>
        <v>0</v>
      </c>
      <c r="AC1173" s="8">
        <f>IF(B1173="","",IF(COUNTIFS('Dietary Filters'!$C$5:$C$104,B1173)&gt;0,"Check","OK"))</f>
        <v>0</v>
      </c>
      <c r="AD1173" s="25"/>
    </row>
    <row r="1174" spans="1:30">
      <c r="A1174" s="7"/>
      <c r="B1174" s="7"/>
      <c r="C1174" s="26"/>
      <c r="D1174" s="27"/>
      <c r="E1174" s="8">
        <f>IF(B1174="","",IFERROR(INDEX(Ingredients!$B$5:$B$304,MATCH(B1174,Ingredients!$A$5:$A$304,0)),""))</f>
        <v>0</v>
      </c>
      <c r="F1174" s="8">
        <f>IF(B1174="","",IFERROR(INDEX(Ingredients!$E$5:$E$304,MATCH(B1174,Ingredients!$A$5:$A$304,0)),""))</f>
        <v>0</v>
      </c>
      <c r="G1174" s="8">
        <f>IF(B1174="","",IFERROR(INDEX(Ingredients!$D$5:$D$304,MATCH(B1174,Ingredients!$A$5:$A$304,0)),""))</f>
        <v>0</v>
      </c>
      <c r="H1174" s="8">
        <f>IF(OR(B1174="",C1174=""),"",IFERROR(C1174*G1174,""))</f>
        <v>0</v>
      </c>
      <c r="I1174" s="8">
        <f>IF(A1174="","",IFERROR(INDEX(Recipes!$D$5:$D$204,MATCH(A1174,Recipes!$A$5:$A$204,0)),""))</f>
        <v>0</v>
      </c>
      <c r="J1174" s="8">
        <f>IF(OR(H1174="",I1174="",I1174=0),"",IFERROR(H1174/I1174,""))</f>
        <v>0</v>
      </c>
      <c r="K1174" s="8">
        <f>IF(OR(B1174="",C1174=""),"",IFERROR(C1174*IFERROR(INDEX(Ingredients!$H$5:$H$304,MATCH(B1174,Ingredients!$A$5:$A$304,0)),""),""))</f>
        <v>0</v>
      </c>
      <c r="L1174" s="8">
        <f>IF(OR(B1174="",C1174=""),"",IFERROR(C1174*IFERROR(INDEX(Ingredients!$I$5:$I$304,MATCH(B1174,Ingredients!$A$5:$A$304,0)),""),""))</f>
        <v>0</v>
      </c>
      <c r="M1174" s="8">
        <f>IF(OR(B1174="",C1174=""),"",IFERROR(C1174*IFERROR(INDEX(Ingredients!$J$5:$J$304,MATCH(B1174,Ingredients!$A$5:$A$304,0)),""),""))</f>
        <v>0</v>
      </c>
      <c r="N1174" s="8">
        <f>IF(OR(B1174="",C1174=""),"",IFERROR(C1174*IFERROR(INDEX(Ingredients!$K$5:$K$304,MATCH(B1174,Ingredients!$A$5:$A$304,0)),""),""))</f>
        <v>0</v>
      </c>
      <c r="O1174" s="8">
        <f>IF(OR(B1174="",C1174=""),"",IFERROR(C1174*IFERROR(INDEX(Ingredients!$L$5:$L$304,MATCH(B1174,Ingredients!$A$5:$A$304,0)),""),""))</f>
        <v>0</v>
      </c>
      <c r="P1174" s="8">
        <f>IF(OR(H1174="",A1174=""),"",IFERROR(H1174/SUMIFS('Recipe Ingredients'!$H$5:$H$1204,'Recipe Ingredients'!$A$5:$A$1204,A1174),""))</f>
        <v>0</v>
      </c>
      <c r="Q1174" s="8">
        <f>IF(H1174="","",COUNTIFS($H$5:$H$1204,"&gt;"&amp;H1174)+1)</f>
        <v>0</v>
      </c>
      <c r="R1174" s="8">
        <f>IF(B1174="","",SUMIFS(Pantry!$C$5:$C$304,Pantry!$A$5:$A$304,B1174))</f>
        <v>0</v>
      </c>
      <c r="S1174" s="8">
        <f>IF(OR(B1174="",C1174=""),"",MAX(0,C1174-R1174))</f>
        <v>0</v>
      </c>
      <c r="T1174" s="26"/>
      <c r="U1174" s="8">
        <f>IF(OR(T1174="",T1174=0,G1174=""),"",T1174*G1174)</f>
        <v>0</v>
      </c>
      <c r="V1174" s="8">
        <f>IF(OR(S1174="",T1174="",T1174=0),"",CEILING(S1174/T1174,1))</f>
        <v>0</v>
      </c>
      <c r="W1174" s="27"/>
      <c r="X1174" s="29"/>
      <c r="Y1174" s="8">
        <f>IF(OR(C1174="",X1174=""),"",C1174*(1+X1174))</f>
        <v>0</v>
      </c>
      <c r="Z1174" s="8">
        <f>IF(B1174="","",IFERROR(INDEX(Ingredients!$O$5:$O$304,MATCH(B1174,Ingredients!$A$5:$A$304,0)),""))</f>
        <v>0</v>
      </c>
      <c r="AA1174" s="8">
        <f>IF(B1174="","",IF(R1174&gt;=C1174,"In pantry","To buy"))</f>
        <v>0</v>
      </c>
      <c r="AB1174" s="8">
        <f>IF(A1174="","",COUNTIFS($A$5:A1174,A1174))</f>
        <v>0</v>
      </c>
      <c r="AC1174" s="8">
        <f>IF(B1174="","",IF(COUNTIFS('Dietary Filters'!$C$5:$C$104,B1174)&gt;0,"Check","OK"))</f>
        <v>0</v>
      </c>
      <c r="AD1174" s="25"/>
    </row>
    <row r="1175" spans="1:30">
      <c r="A1175" s="7"/>
      <c r="B1175" s="7"/>
      <c r="C1175" s="26"/>
      <c r="D1175" s="27"/>
      <c r="E1175" s="8">
        <f>IF(B1175="","",IFERROR(INDEX(Ingredients!$B$5:$B$304,MATCH(B1175,Ingredients!$A$5:$A$304,0)),""))</f>
        <v>0</v>
      </c>
      <c r="F1175" s="8">
        <f>IF(B1175="","",IFERROR(INDEX(Ingredients!$E$5:$E$304,MATCH(B1175,Ingredients!$A$5:$A$304,0)),""))</f>
        <v>0</v>
      </c>
      <c r="G1175" s="8">
        <f>IF(B1175="","",IFERROR(INDEX(Ingredients!$D$5:$D$304,MATCH(B1175,Ingredients!$A$5:$A$304,0)),""))</f>
        <v>0</v>
      </c>
      <c r="H1175" s="8">
        <f>IF(OR(B1175="",C1175=""),"",IFERROR(C1175*G1175,""))</f>
        <v>0</v>
      </c>
      <c r="I1175" s="8">
        <f>IF(A1175="","",IFERROR(INDEX(Recipes!$D$5:$D$204,MATCH(A1175,Recipes!$A$5:$A$204,0)),""))</f>
        <v>0</v>
      </c>
      <c r="J1175" s="8">
        <f>IF(OR(H1175="",I1175="",I1175=0),"",IFERROR(H1175/I1175,""))</f>
        <v>0</v>
      </c>
      <c r="K1175" s="8">
        <f>IF(OR(B1175="",C1175=""),"",IFERROR(C1175*IFERROR(INDEX(Ingredients!$H$5:$H$304,MATCH(B1175,Ingredients!$A$5:$A$304,0)),""),""))</f>
        <v>0</v>
      </c>
      <c r="L1175" s="8">
        <f>IF(OR(B1175="",C1175=""),"",IFERROR(C1175*IFERROR(INDEX(Ingredients!$I$5:$I$304,MATCH(B1175,Ingredients!$A$5:$A$304,0)),""),""))</f>
        <v>0</v>
      </c>
      <c r="M1175" s="8">
        <f>IF(OR(B1175="",C1175=""),"",IFERROR(C1175*IFERROR(INDEX(Ingredients!$J$5:$J$304,MATCH(B1175,Ingredients!$A$5:$A$304,0)),""),""))</f>
        <v>0</v>
      </c>
      <c r="N1175" s="8">
        <f>IF(OR(B1175="",C1175=""),"",IFERROR(C1175*IFERROR(INDEX(Ingredients!$K$5:$K$304,MATCH(B1175,Ingredients!$A$5:$A$304,0)),""),""))</f>
        <v>0</v>
      </c>
      <c r="O1175" s="8">
        <f>IF(OR(B1175="",C1175=""),"",IFERROR(C1175*IFERROR(INDEX(Ingredients!$L$5:$L$304,MATCH(B1175,Ingredients!$A$5:$A$304,0)),""),""))</f>
        <v>0</v>
      </c>
      <c r="P1175" s="8">
        <f>IF(OR(H1175="",A1175=""),"",IFERROR(H1175/SUMIFS('Recipe Ingredients'!$H$5:$H$1204,'Recipe Ingredients'!$A$5:$A$1204,A1175),""))</f>
        <v>0</v>
      </c>
      <c r="Q1175" s="8">
        <f>IF(H1175="","",COUNTIFS($H$5:$H$1204,"&gt;"&amp;H1175)+1)</f>
        <v>0</v>
      </c>
      <c r="R1175" s="8">
        <f>IF(B1175="","",SUMIFS(Pantry!$C$5:$C$304,Pantry!$A$5:$A$304,B1175))</f>
        <v>0</v>
      </c>
      <c r="S1175" s="8">
        <f>IF(OR(B1175="",C1175=""),"",MAX(0,C1175-R1175))</f>
        <v>0</v>
      </c>
      <c r="T1175" s="26"/>
      <c r="U1175" s="8">
        <f>IF(OR(T1175="",T1175=0,G1175=""),"",T1175*G1175)</f>
        <v>0</v>
      </c>
      <c r="V1175" s="8">
        <f>IF(OR(S1175="",T1175="",T1175=0),"",CEILING(S1175/T1175,1))</f>
        <v>0</v>
      </c>
      <c r="W1175" s="27"/>
      <c r="X1175" s="29"/>
      <c r="Y1175" s="8">
        <f>IF(OR(C1175="",X1175=""),"",C1175*(1+X1175))</f>
        <v>0</v>
      </c>
      <c r="Z1175" s="8">
        <f>IF(B1175="","",IFERROR(INDEX(Ingredients!$O$5:$O$304,MATCH(B1175,Ingredients!$A$5:$A$304,0)),""))</f>
        <v>0</v>
      </c>
      <c r="AA1175" s="8">
        <f>IF(B1175="","",IF(R1175&gt;=C1175,"In pantry","To buy"))</f>
        <v>0</v>
      </c>
      <c r="AB1175" s="8">
        <f>IF(A1175="","",COUNTIFS($A$5:A1175,A1175))</f>
        <v>0</v>
      </c>
      <c r="AC1175" s="8">
        <f>IF(B1175="","",IF(COUNTIFS('Dietary Filters'!$C$5:$C$104,B1175)&gt;0,"Check","OK"))</f>
        <v>0</v>
      </c>
      <c r="AD1175" s="25"/>
    </row>
    <row r="1176" spans="1:30">
      <c r="A1176" s="7"/>
      <c r="B1176" s="7"/>
      <c r="C1176" s="26"/>
      <c r="D1176" s="27"/>
      <c r="E1176" s="8">
        <f>IF(B1176="","",IFERROR(INDEX(Ingredients!$B$5:$B$304,MATCH(B1176,Ingredients!$A$5:$A$304,0)),""))</f>
        <v>0</v>
      </c>
      <c r="F1176" s="8">
        <f>IF(B1176="","",IFERROR(INDEX(Ingredients!$E$5:$E$304,MATCH(B1176,Ingredients!$A$5:$A$304,0)),""))</f>
        <v>0</v>
      </c>
      <c r="G1176" s="8">
        <f>IF(B1176="","",IFERROR(INDEX(Ingredients!$D$5:$D$304,MATCH(B1176,Ingredients!$A$5:$A$304,0)),""))</f>
        <v>0</v>
      </c>
      <c r="H1176" s="8">
        <f>IF(OR(B1176="",C1176=""),"",IFERROR(C1176*G1176,""))</f>
        <v>0</v>
      </c>
      <c r="I1176" s="8">
        <f>IF(A1176="","",IFERROR(INDEX(Recipes!$D$5:$D$204,MATCH(A1176,Recipes!$A$5:$A$204,0)),""))</f>
        <v>0</v>
      </c>
      <c r="J1176" s="8">
        <f>IF(OR(H1176="",I1176="",I1176=0),"",IFERROR(H1176/I1176,""))</f>
        <v>0</v>
      </c>
      <c r="K1176" s="8">
        <f>IF(OR(B1176="",C1176=""),"",IFERROR(C1176*IFERROR(INDEX(Ingredients!$H$5:$H$304,MATCH(B1176,Ingredients!$A$5:$A$304,0)),""),""))</f>
        <v>0</v>
      </c>
      <c r="L1176" s="8">
        <f>IF(OR(B1176="",C1176=""),"",IFERROR(C1176*IFERROR(INDEX(Ingredients!$I$5:$I$304,MATCH(B1176,Ingredients!$A$5:$A$304,0)),""),""))</f>
        <v>0</v>
      </c>
      <c r="M1176" s="8">
        <f>IF(OR(B1176="",C1176=""),"",IFERROR(C1176*IFERROR(INDEX(Ingredients!$J$5:$J$304,MATCH(B1176,Ingredients!$A$5:$A$304,0)),""),""))</f>
        <v>0</v>
      </c>
      <c r="N1176" s="8">
        <f>IF(OR(B1176="",C1176=""),"",IFERROR(C1176*IFERROR(INDEX(Ingredients!$K$5:$K$304,MATCH(B1176,Ingredients!$A$5:$A$304,0)),""),""))</f>
        <v>0</v>
      </c>
      <c r="O1176" s="8">
        <f>IF(OR(B1176="",C1176=""),"",IFERROR(C1176*IFERROR(INDEX(Ingredients!$L$5:$L$304,MATCH(B1176,Ingredients!$A$5:$A$304,0)),""),""))</f>
        <v>0</v>
      </c>
      <c r="P1176" s="8">
        <f>IF(OR(H1176="",A1176=""),"",IFERROR(H1176/SUMIFS('Recipe Ingredients'!$H$5:$H$1204,'Recipe Ingredients'!$A$5:$A$1204,A1176),""))</f>
        <v>0</v>
      </c>
      <c r="Q1176" s="8">
        <f>IF(H1176="","",COUNTIFS($H$5:$H$1204,"&gt;"&amp;H1176)+1)</f>
        <v>0</v>
      </c>
      <c r="R1176" s="8">
        <f>IF(B1176="","",SUMIFS(Pantry!$C$5:$C$304,Pantry!$A$5:$A$304,B1176))</f>
        <v>0</v>
      </c>
      <c r="S1176" s="8">
        <f>IF(OR(B1176="",C1176=""),"",MAX(0,C1176-R1176))</f>
        <v>0</v>
      </c>
      <c r="T1176" s="26"/>
      <c r="U1176" s="8">
        <f>IF(OR(T1176="",T1176=0,G1176=""),"",T1176*G1176)</f>
        <v>0</v>
      </c>
      <c r="V1176" s="8">
        <f>IF(OR(S1176="",T1176="",T1176=0),"",CEILING(S1176/T1176,1))</f>
        <v>0</v>
      </c>
      <c r="W1176" s="27"/>
      <c r="X1176" s="29"/>
      <c r="Y1176" s="8">
        <f>IF(OR(C1176="",X1176=""),"",C1176*(1+X1176))</f>
        <v>0</v>
      </c>
      <c r="Z1176" s="8">
        <f>IF(B1176="","",IFERROR(INDEX(Ingredients!$O$5:$O$304,MATCH(B1176,Ingredients!$A$5:$A$304,0)),""))</f>
        <v>0</v>
      </c>
      <c r="AA1176" s="8">
        <f>IF(B1176="","",IF(R1176&gt;=C1176,"In pantry","To buy"))</f>
        <v>0</v>
      </c>
      <c r="AB1176" s="8">
        <f>IF(A1176="","",COUNTIFS($A$5:A1176,A1176))</f>
        <v>0</v>
      </c>
      <c r="AC1176" s="8">
        <f>IF(B1176="","",IF(COUNTIFS('Dietary Filters'!$C$5:$C$104,B1176)&gt;0,"Check","OK"))</f>
        <v>0</v>
      </c>
      <c r="AD1176" s="25"/>
    </row>
    <row r="1177" spans="1:30">
      <c r="A1177" s="7"/>
      <c r="B1177" s="7"/>
      <c r="C1177" s="26"/>
      <c r="D1177" s="27"/>
      <c r="E1177" s="8">
        <f>IF(B1177="","",IFERROR(INDEX(Ingredients!$B$5:$B$304,MATCH(B1177,Ingredients!$A$5:$A$304,0)),""))</f>
        <v>0</v>
      </c>
      <c r="F1177" s="8">
        <f>IF(B1177="","",IFERROR(INDEX(Ingredients!$E$5:$E$304,MATCH(B1177,Ingredients!$A$5:$A$304,0)),""))</f>
        <v>0</v>
      </c>
      <c r="G1177" s="8">
        <f>IF(B1177="","",IFERROR(INDEX(Ingredients!$D$5:$D$304,MATCH(B1177,Ingredients!$A$5:$A$304,0)),""))</f>
        <v>0</v>
      </c>
      <c r="H1177" s="8">
        <f>IF(OR(B1177="",C1177=""),"",IFERROR(C1177*G1177,""))</f>
        <v>0</v>
      </c>
      <c r="I1177" s="8">
        <f>IF(A1177="","",IFERROR(INDEX(Recipes!$D$5:$D$204,MATCH(A1177,Recipes!$A$5:$A$204,0)),""))</f>
        <v>0</v>
      </c>
      <c r="J1177" s="8">
        <f>IF(OR(H1177="",I1177="",I1177=0),"",IFERROR(H1177/I1177,""))</f>
        <v>0</v>
      </c>
      <c r="K1177" s="8">
        <f>IF(OR(B1177="",C1177=""),"",IFERROR(C1177*IFERROR(INDEX(Ingredients!$H$5:$H$304,MATCH(B1177,Ingredients!$A$5:$A$304,0)),""),""))</f>
        <v>0</v>
      </c>
      <c r="L1177" s="8">
        <f>IF(OR(B1177="",C1177=""),"",IFERROR(C1177*IFERROR(INDEX(Ingredients!$I$5:$I$304,MATCH(B1177,Ingredients!$A$5:$A$304,0)),""),""))</f>
        <v>0</v>
      </c>
      <c r="M1177" s="8">
        <f>IF(OR(B1177="",C1177=""),"",IFERROR(C1177*IFERROR(INDEX(Ingredients!$J$5:$J$304,MATCH(B1177,Ingredients!$A$5:$A$304,0)),""),""))</f>
        <v>0</v>
      </c>
      <c r="N1177" s="8">
        <f>IF(OR(B1177="",C1177=""),"",IFERROR(C1177*IFERROR(INDEX(Ingredients!$K$5:$K$304,MATCH(B1177,Ingredients!$A$5:$A$304,0)),""),""))</f>
        <v>0</v>
      </c>
      <c r="O1177" s="8">
        <f>IF(OR(B1177="",C1177=""),"",IFERROR(C1177*IFERROR(INDEX(Ingredients!$L$5:$L$304,MATCH(B1177,Ingredients!$A$5:$A$304,0)),""),""))</f>
        <v>0</v>
      </c>
      <c r="P1177" s="8">
        <f>IF(OR(H1177="",A1177=""),"",IFERROR(H1177/SUMIFS('Recipe Ingredients'!$H$5:$H$1204,'Recipe Ingredients'!$A$5:$A$1204,A1177),""))</f>
        <v>0</v>
      </c>
      <c r="Q1177" s="8">
        <f>IF(H1177="","",COUNTIFS($H$5:$H$1204,"&gt;"&amp;H1177)+1)</f>
        <v>0</v>
      </c>
      <c r="R1177" s="8">
        <f>IF(B1177="","",SUMIFS(Pantry!$C$5:$C$304,Pantry!$A$5:$A$304,B1177))</f>
        <v>0</v>
      </c>
      <c r="S1177" s="8">
        <f>IF(OR(B1177="",C1177=""),"",MAX(0,C1177-R1177))</f>
        <v>0</v>
      </c>
      <c r="T1177" s="26"/>
      <c r="U1177" s="8">
        <f>IF(OR(T1177="",T1177=0,G1177=""),"",T1177*G1177)</f>
        <v>0</v>
      </c>
      <c r="V1177" s="8">
        <f>IF(OR(S1177="",T1177="",T1177=0),"",CEILING(S1177/T1177,1))</f>
        <v>0</v>
      </c>
      <c r="W1177" s="27"/>
      <c r="X1177" s="29"/>
      <c r="Y1177" s="8">
        <f>IF(OR(C1177="",X1177=""),"",C1177*(1+X1177))</f>
        <v>0</v>
      </c>
      <c r="Z1177" s="8">
        <f>IF(B1177="","",IFERROR(INDEX(Ingredients!$O$5:$O$304,MATCH(B1177,Ingredients!$A$5:$A$304,0)),""))</f>
        <v>0</v>
      </c>
      <c r="AA1177" s="8">
        <f>IF(B1177="","",IF(R1177&gt;=C1177,"In pantry","To buy"))</f>
        <v>0</v>
      </c>
      <c r="AB1177" s="8">
        <f>IF(A1177="","",COUNTIFS($A$5:A1177,A1177))</f>
        <v>0</v>
      </c>
      <c r="AC1177" s="8">
        <f>IF(B1177="","",IF(COUNTIFS('Dietary Filters'!$C$5:$C$104,B1177)&gt;0,"Check","OK"))</f>
        <v>0</v>
      </c>
      <c r="AD1177" s="25"/>
    </row>
    <row r="1178" spans="1:30">
      <c r="A1178" s="7"/>
      <c r="B1178" s="7"/>
      <c r="C1178" s="26"/>
      <c r="D1178" s="27"/>
      <c r="E1178" s="8">
        <f>IF(B1178="","",IFERROR(INDEX(Ingredients!$B$5:$B$304,MATCH(B1178,Ingredients!$A$5:$A$304,0)),""))</f>
        <v>0</v>
      </c>
      <c r="F1178" s="8">
        <f>IF(B1178="","",IFERROR(INDEX(Ingredients!$E$5:$E$304,MATCH(B1178,Ingredients!$A$5:$A$304,0)),""))</f>
        <v>0</v>
      </c>
      <c r="G1178" s="8">
        <f>IF(B1178="","",IFERROR(INDEX(Ingredients!$D$5:$D$304,MATCH(B1178,Ingredients!$A$5:$A$304,0)),""))</f>
        <v>0</v>
      </c>
      <c r="H1178" s="8">
        <f>IF(OR(B1178="",C1178=""),"",IFERROR(C1178*G1178,""))</f>
        <v>0</v>
      </c>
      <c r="I1178" s="8">
        <f>IF(A1178="","",IFERROR(INDEX(Recipes!$D$5:$D$204,MATCH(A1178,Recipes!$A$5:$A$204,0)),""))</f>
        <v>0</v>
      </c>
      <c r="J1178" s="8">
        <f>IF(OR(H1178="",I1178="",I1178=0),"",IFERROR(H1178/I1178,""))</f>
        <v>0</v>
      </c>
      <c r="K1178" s="8">
        <f>IF(OR(B1178="",C1178=""),"",IFERROR(C1178*IFERROR(INDEX(Ingredients!$H$5:$H$304,MATCH(B1178,Ingredients!$A$5:$A$304,0)),""),""))</f>
        <v>0</v>
      </c>
      <c r="L1178" s="8">
        <f>IF(OR(B1178="",C1178=""),"",IFERROR(C1178*IFERROR(INDEX(Ingredients!$I$5:$I$304,MATCH(B1178,Ingredients!$A$5:$A$304,0)),""),""))</f>
        <v>0</v>
      </c>
      <c r="M1178" s="8">
        <f>IF(OR(B1178="",C1178=""),"",IFERROR(C1178*IFERROR(INDEX(Ingredients!$J$5:$J$304,MATCH(B1178,Ingredients!$A$5:$A$304,0)),""),""))</f>
        <v>0</v>
      </c>
      <c r="N1178" s="8">
        <f>IF(OR(B1178="",C1178=""),"",IFERROR(C1178*IFERROR(INDEX(Ingredients!$K$5:$K$304,MATCH(B1178,Ingredients!$A$5:$A$304,0)),""),""))</f>
        <v>0</v>
      </c>
      <c r="O1178" s="8">
        <f>IF(OR(B1178="",C1178=""),"",IFERROR(C1178*IFERROR(INDEX(Ingredients!$L$5:$L$304,MATCH(B1178,Ingredients!$A$5:$A$304,0)),""),""))</f>
        <v>0</v>
      </c>
      <c r="P1178" s="8">
        <f>IF(OR(H1178="",A1178=""),"",IFERROR(H1178/SUMIFS('Recipe Ingredients'!$H$5:$H$1204,'Recipe Ingredients'!$A$5:$A$1204,A1178),""))</f>
        <v>0</v>
      </c>
      <c r="Q1178" s="8">
        <f>IF(H1178="","",COUNTIFS($H$5:$H$1204,"&gt;"&amp;H1178)+1)</f>
        <v>0</v>
      </c>
      <c r="R1178" s="8">
        <f>IF(B1178="","",SUMIFS(Pantry!$C$5:$C$304,Pantry!$A$5:$A$304,B1178))</f>
        <v>0</v>
      </c>
      <c r="S1178" s="8">
        <f>IF(OR(B1178="",C1178=""),"",MAX(0,C1178-R1178))</f>
        <v>0</v>
      </c>
      <c r="T1178" s="26"/>
      <c r="U1178" s="8">
        <f>IF(OR(T1178="",T1178=0,G1178=""),"",T1178*G1178)</f>
        <v>0</v>
      </c>
      <c r="V1178" s="8">
        <f>IF(OR(S1178="",T1178="",T1178=0),"",CEILING(S1178/T1178,1))</f>
        <v>0</v>
      </c>
      <c r="W1178" s="27"/>
      <c r="X1178" s="29"/>
      <c r="Y1178" s="8">
        <f>IF(OR(C1178="",X1178=""),"",C1178*(1+X1178))</f>
        <v>0</v>
      </c>
      <c r="Z1178" s="8">
        <f>IF(B1178="","",IFERROR(INDEX(Ingredients!$O$5:$O$304,MATCH(B1178,Ingredients!$A$5:$A$304,0)),""))</f>
        <v>0</v>
      </c>
      <c r="AA1178" s="8">
        <f>IF(B1178="","",IF(R1178&gt;=C1178,"In pantry","To buy"))</f>
        <v>0</v>
      </c>
      <c r="AB1178" s="8">
        <f>IF(A1178="","",COUNTIFS($A$5:A1178,A1178))</f>
        <v>0</v>
      </c>
      <c r="AC1178" s="8">
        <f>IF(B1178="","",IF(COUNTIFS('Dietary Filters'!$C$5:$C$104,B1178)&gt;0,"Check","OK"))</f>
        <v>0</v>
      </c>
      <c r="AD1178" s="25"/>
    </row>
    <row r="1179" spans="1:30">
      <c r="A1179" s="7"/>
      <c r="B1179" s="7"/>
      <c r="C1179" s="26"/>
      <c r="D1179" s="27"/>
      <c r="E1179" s="8">
        <f>IF(B1179="","",IFERROR(INDEX(Ingredients!$B$5:$B$304,MATCH(B1179,Ingredients!$A$5:$A$304,0)),""))</f>
        <v>0</v>
      </c>
      <c r="F1179" s="8">
        <f>IF(B1179="","",IFERROR(INDEX(Ingredients!$E$5:$E$304,MATCH(B1179,Ingredients!$A$5:$A$304,0)),""))</f>
        <v>0</v>
      </c>
      <c r="G1179" s="8">
        <f>IF(B1179="","",IFERROR(INDEX(Ingredients!$D$5:$D$304,MATCH(B1179,Ingredients!$A$5:$A$304,0)),""))</f>
        <v>0</v>
      </c>
      <c r="H1179" s="8">
        <f>IF(OR(B1179="",C1179=""),"",IFERROR(C1179*G1179,""))</f>
        <v>0</v>
      </c>
      <c r="I1179" s="8">
        <f>IF(A1179="","",IFERROR(INDEX(Recipes!$D$5:$D$204,MATCH(A1179,Recipes!$A$5:$A$204,0)),""))</f>
        <v>0</v>
      </c>
      <c r="J1179" s="8">
        <f>IF(OR(H1179="",I1179="",I1179=0),"",IFERROR(H1179/I1179,""))</f>
        <v>0</v>
      </c>
      <c r="K1179" s="8">
        <f>IF(OR(B1179="",C1179=""),"",IFERROR(C1179*IFERROR(INDEX(Ingredients!$H$5:$H$304,MATCH(B1179,Ingredients!$A$5:$A$304,0)),""),""))</f>
        <v>0</v>
      </c>
      <c r="L1179" s="8">
        <f>IF(OR(B1179="",C1179=""),"",IFERROR(C1179*IFERROR(INDEX(Ingredients!$I$5:$I$304,MATCH(B1179,Ingredients!$A$5:$A$304,0)),""),""))</f>
        <v>0</v>
      </c>
      <c r="M1179" s="8">
        <f>IF(OR(B1179="",C1179=""),"",IFERROR(C1179*IFERROR(INDEX(Ingredients!$J$5:$J$304,MATCH(B1179,Ingredients!$A$5:$A$304,0)),""),""))</f>
        <v>0</v>
      </c>
      <c r="N1179" s="8">
        <f>IF(OR(B1179="",C1179=""),"",IFERROR(C1179*IFERROR(INDEX(Ingredients!$K$5:$K$304,MATCH(B1179,Ingredients!$A$5:$A$304,0)),""),""))</f>
        <v>0</v>
      </c>
      <c r="O1179" s="8">
        <f>IF(OR(B1179="",C1179=""),"",IFERROR(C1179*IFERROR(INDEX(Ingredients!$L$5:$L$304,MATCH(B1179,Ingredients!$A$5:$A$304,0)),""),""))</f>
        <v>0</v>
      </c>
      <c r="P1179" s="8">
        <f>IF(OR(H1179="",A1179=""),"",IFERROR(H1179/SUMIFS('Recipe Ingredients'!$H$5:$H$1204,'Recipe Ingredients'!$A$5:$A$1204,A1179),""))</f>
        <v>0</v>
      </c>
      <c r="Q1179" s="8">
        <f>IF(H1179="","",COUNTIFS($H$5:$H$1204,"&gt;"&amp;H1179)+1)</f>
        <v>0</v>
      </c>
      <c r="R1179" s="8">
        <f>IF(B1179="","",SUMIFS(Pantry!$C$5:$C$304,Pantry!$A$5:$A$304,B1179))</f>
        <v>0</v>
      </c>
      <c r="S1179" s="8">
        <f>IF(OR(B1179="",C1179=""),"",MAX(0,C1179-R1179))</f>
        <v>0</v>
      </c>
      <c r="T1179" s="26"/>
      <c r="U1179" s="8">
        <f>IF(OR(T1179="",T1179=0,G1179=""),"",T1179*G1179)</f>
        <v>0</v>
      </c>
      <c r="V1179" s="8">
        <f>IF(OR(S1179="",T1179="",T1179=0),"",CEILING(S1179/T1179,1))</f>
        <v>0</v>
      </c>
      <c r="W1179" s="27"/>
      <c r="X1179" s="29"/>
      <c r="Y1179" s="8">
        <f>IF(OR(C1179="",X1179=""),"",C1179*(1+X1179))</f>
        <v>0</v>
      </c>
      <c r="Z1179" s="8">
        <f>IF(B1179="","",IFERROR(INDEX(Ingredients!$O$5:$O$304,MATCH(B1179,Ingredients!$A$5:$A$304,0)),""))</f>
        <v>0</v>
      </c>
      <c r="AA1179" s="8">
        <f>IF(B1179="","",IF(R1179&gt;=C1179,"In pantry","To buy"))</f>
        <v>0</v>
      </c>
      <c r="AB1179" s="8">
        <f>IF(A1179="","",COUNTIFS($A$5:A1179,A1179))</f>
        <v>0</v>
      </c>
      <c r="AC1179" s="8">
        <f>IF(B1179="","",IF(COUNTIFS('Dietary Filters'!$C$5:$C$104,B1179)&gt;0,"Check","OK"))</f>
        <v>0</v>
      </c>
      <c r="AD1179" s="25"/>
    </row>
    <row r="1180" spans="1:30">
      <c r="A1180" s="7"/>
      <c r="B1180" s="7"/>
      <c r="C1180" s="26"/>
      <c r="D1180" s="27"/>
      <c r="E1180" s="8">
        <f>IF(B1180="","",IFERROR(INDEX(Ingredients!$B$5:$B$304,MATCH(B1180,Ingredients!$A$5:$A$304,0)),""))</f>
        <v>0</v>
      </c>
      <c r="F1180" s="8">
        <f>IF(B1180="","",IFERROR(INDEX(Ingredients!$E$5:$E$304,MATCH(B1180,Ingredients!$A$5:$A$304,0)),""))</f>
        <v>0</v>
      </c>
      <c r="G1180" s="8">
        <f>IF(B1180="","",IFERROR(INDEX(Ingredients!$D$5:$D$304,MATCH(B1180,Ingredients!$A$5:$A$304,0)),""))</f>
        <v>0</v>
      </c>
      <c r="H1180" s="8">
        <f>IF(OR(B1180="",C1180=""),"",IFERROR(C1180*G1180,""))</f>
        <v>0</v>
      </c>
      <c r="I1180" s="8">
        <f>IF(A1180="","",IFERROR(INDEX(Recipes!$D$5:$D$204,MATCH(A1180,Recipes!$A$5:$A$204,0)),""))</f>
        <v>0</v>
      </c>
      <c r="J1180" s="8">
        <f>IF(OR(H1180="",I1180="",I1180=0),"",IFERROR(H1180/I1180,""))</f>
        <v>0</v>
      </c>
      <c r="K1180" s="8">
        <f>IF(OR(B1180="",C1180=""),"",IFERROR(C1180*IFERROR(INDEX(Ingredients!$H$5:$H$304,MATCH(B1180,Ingredients!$A$5:$A$304,0)),""),""))</f>
        <v>0</v>
      </c>
      <c r="L1180" s="8">
        <f>IF(OR(B1180="",C1180=""),"",IFERROR(C1180*IFERROR(INDEX(Ingredients!$I$5:$I$304,MATCH(B1180,Ingredients!$A$5:$A$304,0)),""),""))</f>
        <v>0</v>
      </c>
      <c r="M1180" s="8">
        <f>IF(OR(B1180="",C1180=""),"",IFERROR(C1180*IFERROR(INDEX(Ingredients!$J$5:$J$304,MATCH(B1180,Ingredients!$A$5:$A$304,0)),""),""))</f>
        <v>0</v>
      </c>
      <c r="N1180" s="8">
        <f>IF(OR(B1180="",C1180=""),"",IFERROR(C1180*IFERROR(INDEX(Ingredients!$K$5:$K$304,MATCH(B1180,Ingredients!$A$5:$A$304,0)),""),""))</f>
        <v>0</v>
      </c>
      <c r="O1180" s="8">
        <f>IF(OR(B1180="",C1180=""),"",IFERROR(C1180*IFERROR(INDEX(Ingredients!$L$5:$L$304,MATCH(B1180,Ingredients!$A$5:$A$304,0)),""),""))</f>
        <v>0</v>
      </c>
      <c r="P1180" s="8">
        <f>IF(OR(H1180="",A1180=""),"",IFERROR(H1180/SUMIFS('Recipe Ingredients'!$H$5:$H$1204,'Recipe Ingredients'!$A$5:$A$1204,A1180),""))</f>
        <v>0</v>
      </c>
      <c r="Q1180" s="8">
        <f>IF(H1180="","",COUNTIFS($H$5:$H$1204,"&gt;"&amp;H1180)+1)</f>
        <v>0</v>
      </c>
      <c r="R1180" s="8">
        <f>IF(B1180="","",SUMIFS(Pantry!$C$5:$C$304,Pantry!$A$5:$A$304,B1180))</f>
        <v>0</v>
      </c>
      <c r="S1180" s="8">
        <f>IF(OR(B1180="",C1180=""),"",MAX(0,C1180-R1180))</f>
        <v>0</v>
      </c>
      <c r="T1180" s="26"/>
      <c r="U1180" s="8">
        <f>IF(OR(T1180="",T1180=0,G1180=""),"",T1180*G1180)</f>
        <v>0</v>
      </c>
      <c r="V1180" s="8">
        <f>IF(OR(S1180="",T1180="",T1180=0),"",CEILING(S1180/T1180,1))</f>
        <v>0</v>
      </c>
      <c r="W1180" s="27"/>
      <c r="X1180" s="29"/>
      <c r="Y1180" s="8">
        <f>IF(OR(C1180="",X1180=""),"",C1180*(1+X1180))</f>
        <v>0</v>
      </c>
      <c r="Z1180" s="8">
        <f>IF(B1180="","",IFERROR(INDEX(Ingredients!$O$5:$O$304,MATCH(B1180,Ingredients!$A$5:$A$304,0)),""))</f>
        <v>0</v>
      </c>
      <c r="AA1180" s="8">
        <f>IF(B1180="","",IF(R1180&gt;=C1180,"In pantry","To buy"))</f>
        <v>0</v>
      </c>
      <c r="AB1180" s="8">
        <f>IF(A1180="","",COUNTIFS($A$5:A1180,A1180))</f>
        <v>0</v>
      </c>
      <c r="AC1180" s="8">
        <f>IF(B1180="","",IF(COUNTIFS('Dietary Filters'!$C$5:$C$104,B1180)&gt;0,"Check","OK"))</f>
        <v>0</v>
      </c>
      <c r="AD1180" s="25"/>
    </row>
    <row r="1181" spans="1:30">
      <c r="A1181" s="7"/>
      <c r="B1181" s="7"/>
      <c r="C1181" s="26"/>
      <c r="D1181" s="27"/>
      <c r="E1181" s="8">
        <f>IF(B1181="","",IFERROR(INDEX(Ingredients!$B$5:$B$304,MATCH(B1181,Ingredients!$A$5:$A$304,0)),""))</f>
        <v>0</v>
      </c>
      <c r="F1181" s="8">
        <f>IF(B1181="","",IFERROR(INDEX(Ingredients!$E$5:$E$304,MATCH(B1181,Ingredients!$A$5:$A$304,0)),""))</f>
        <v>0</v>
      </c>
      <c r="G1181" s="8">
        <f>IF(B1181="","",IFERROR(INDEX(Ingredients!$D$5:$D$304,MATCH(B1181,Ingredients!$A$5:$A$304,0)),""))</f>
        <v>0</v>
      </c>
      <c r="H1181" s="8">
        <f>IF(OR(B1181="",C1181=""),"",IFERROR(C1181*G1181,""))</f>
        <v>0</v>
      </c>
      <c r="I1181" s="8">
        <f>IF(A1181="","",IFERROR(INDEX(Recipes!$D$5:$D$204,MATCH(A1181,Recipes!$A$5:$A$204,0)),""))</f>
        <v>0</v>
      </c>
      <c r="J1181" s="8">
        <f>IF(OR(H1181="",I1181="",I1181=0),"",IFERROR(H1181/I1181,""))</f>
        <v>0</v>
      </c>
      <c r="K1181" s="8">
        <f>IF(OR(B1181="",C1181=""),"",IFERROR(C1181*IFERROR(INDEX(Ingredients!$H$5:$H$304,MATCH(B1181,Ingredients!$A$5:$A$304,0)),""),""))</f>
        <v>0</v>
      </c>
      <c r="L1181" s="8">
        <f>IF(OR(B1181="",C1181=""),"",IFERROR(C1181*IFERROR(INDEX(Ingredients!$I$5:$I$304,MATCH(B1181,Ingredients!$A$5:$A$304,0)),""),""))</f>
        <v>0</v>
      </c>
      <c r="M1181" s="8">
        <f>IF(OR(B1181="",C1181=""),"",IFERROR(C1181*IFERROR(INDEX(Ingredients!$J$5:$J$304,MATCH(B1181,Ingredients!$A$5:$A$304,0)),""),""))</f>
        <v>0</v>
      </c>
      <c r="N1181" s="8">
        <f>IF(OR(B1181="",C1181=""),"",IFERROR(C1181*IFERROR(INDEX(Ingredients!$K$5:$K$304,MATCH(B1181,Ingredients!$A$5:$A$304,0)),""),""))</f>
        <v>0</v>
      </c>
      <c r="O1181" s="8">
        <f>IF(OR(B1181="",C1181=""),"",IFERROR(C1181*IFERROR(INDEX(Ingredients!$L$5:$L$304,MATCH(B1181,Ingredients!$A$5:$A$304,0)),""),""))</f>
        <v>0</v>
      </c>
      <c r="P1181" s="8">
        <f>IF(OR(H1181="",A1181=""),"",IFERROR(H1181/SUMIFS('Recipe Ingredients'!$H$5:$H$1204,'Recipe Ingredients'!$A$5:$A$1204,A1181),""))</f>
        <v>0</v>
      </c>
      <c r="Q1181" s="8">
        <f>IF(H1181="","",COUNTIFS($H$5:$H$1204,"&gt;"&amp;H1181)+1)</f>
        <v>0</v>
      </c>
      <c r="R1181" s="8">
        <f>IF(B1181="","",SUMIFS(Pantry!$C$5:$C$304,Pantry!$A$5:$A$304,B1181))</f>
        <v>0</v>
      </c>
      <c r="S1181" s="8">
        <f>IF(OR(B1181="",C1181=""),"",MAX(0,C1181-R1181))</f>
        <v>0</v>
      </c>
      <c r="T1181" s="26"/>
      <c r="U1181" s="8">
        <f>IF(OR(T1181="",T1181=0,G1181=""),"",T1181*G1181)</f>
        <v>0</v>
      </c>
      <c r="V1181" s="8">
        <f>IF(OR(S1181="",T1181="",T1181=0),"",CEILING(S1181/T1181,1))</f>
        <v>0</v>
      </c>
      <c r="W1181" s="27"/>
      <c r="X1181" s="29"/>
      <c r="Y1181" s="8">
        <f>IF(OR(C1181="",X1181=""),"",C1181*(1+X1181))</f>
        <v>0</v>
      </c>
      <c r="Z1181" s="8">
        <f>IF(B1181="","",IFERROR(INDEX(Ingredients!$O$5:$O$304,MATCH(B1181,Ingredients!$A$5:$A$304,0)),""))</f>
        <v>0</v>
      </c>
      <c r="AA1181" s="8">
        <f>IF(B1181="","",IF(R1181&gt;=C1181,"In pantry","To buy"))</f>
        <v>0</v>
      </c>
      <c r="AB1181" s="8">
        <f>IF(A1181="","",COUNTIFS($A$5:A1181,A1181))</f>
        <v>0</v>
      </c>
      <c r="AC1181" s="8">
        <f>IF(B1181="","",IF(COUNTIFS('Dietary Filters'!$C$5:$C$104,B1181)&gt;0,"Check","OK"))</f>
        <v>0</v>
      </c>
      <c r="AD1181" s="25"/>
    </row>
    <row r="1182" spans="1:30">
      <c r="A1182" s="7"/>
      <c r="B1182" s="7"/>
      <c r="C1182" s="26"/>
      <c r="D1182" s="27"/>
      <c r="E1182" s="8">
        <f>IF(B1182="","",IFERROR(INDEX(Ingredients!$B$5:$B$304,MATCH(B1182,Ingredients!$A$5:$A$304,0)),""))</f>
        <v>0</v>
      </c>
      <c r="F1182" s="8">
        <f>IF(B1182="","",IFERROR(INDEX(Ingredients!$E$5:$E$304,MATCH(B1182,Ingredients!$A$5:$A$304,0)),""))</f>
        <v>0</v>
      </c>
      <c r="G1182" s="8">
        <f>IF(B1182="","",IFERROR(INDEX(Ingredients!$D$5:$D$304,MATCH(B1182,Ingredients!$A$5:$A$304,0)),""))</f>
        <v>0</v>
      </c>
      <c r="H1182" s="8">
        <f>IF(OR(B1182="",C1182=""),"",IFERROR(C1182*G1182,""))</f>
        <v>0</v>
      </c>
      <c r="I1182" s="8">
        <f>IF(A1182="","",IFERROR(INDEX(Recipes!$D$5:$D$204,MATCH(A1182,Recipes!$A$5:$A$204,0)),""))</f>
        <v>0</v>
      </c>
      <c r="J1182" s="8">
        <f>IF(OR(H1182="",I1182="",I1182=0),"",IFERROR(H1182/I1182,""))</f>
        <v>0</v>
      </c>
      <c r="K1182" s="8">
        <f>IF(OR(B1182="",C1182=""),"",IFERROR(C1182*IFERROR(INDEX(Ingredients!$H$5:$H$304,MATCH(B1182,Ingredients!$A$5:$A$304,0)),""),""))</f>
        <v>0</v>
      </c>
      <c r="L1182" s="8">
        <f>IF(OR(B1182="",C1182=""),"",IFERROR(C1182*IFERROR(INDEX(Ingredients!$I$5:$I$304,MATCH(B1182,Ingredients!$A$5:$A$304,0)),""),""))</f>
        <v>0</v>
      </c>
      <c r="M1182" s="8">
        <f>IF(OR(B1182="",C1182=""),"",IFERROR(C1182*IFERROR(INDEX(Ingredients!$J$5:$J$304,MATCH(B1182,Ingredients!$A$5:$A$304,0)),""),""))</f>
        <v>0</v>
      </c>
      <c r="N1182" s="8">
        <f>IF(OR(B1182="",C1182=""),"",IFERROR(C1182*IFERROR(INDEX(Ingredients!$K$5:$K$304,MATCH(B1182,Ingredients!$A$5:$A$304,0)),""),""))</f>
        <v>0</v>
      </c>
      <c r="O1182" s="8">
        <f>IF(OR(B1182="",C1182=""),"",IFERROR(C1182*IFERROR(INDEX(Ingredients!$L$5:$L$304,MATCH(B1182,Ingredients!$A$5:$A$304,0)),""),""))</f>
        <v>0</v>
      </c>
      <c r="P1182" s="8">
        <f>IF(OR(H1182="",A1182=""),"",IFERROR(H1182/SUMIFS('Recipe Ingredients'!$H$5:$H$1204,'Recipe Ingredients'!$A$5:$A$1204,A1182),""))</f>
        <v>0</v>
      </c>
      <c r="Q1182" s="8">
        <f>IF(H1182="","",COUNTIFS($H$5:$H$1204,"&gt;"&amp;H1182)+1)</f>
        <v>0</v>
      </c>
      <c r="R1182" s="8">
        <f>IF(B1182="","",SUMIFS(Pantry!$C$5:$C$304,Pantry!$A$5:$A$304,B1182))</f>
        <v>0</v>
      </c>
      <c r="S1182" s="8">
        <f>IF(OR(B1182="",C1182=""),"",MAX(0,C1182-R1182))</f>
        <v>0</v>
      </c>
      <c r="T1182" s="26"/>
      <c r="U1182" s="8">
        <f>IF(OR(T1182="",T1182=0,G1182=""),"",T1182*G1182)</f>
        <v>0</v>
      </c>
      <c r="V1182" s="8">
        <f>IF(OR(S1182="",T1182="",T1182=0),"",CEILING(S1182/T1182,1))</f>
        <v>0</v>
      </c>
      <c r="W1182" s="27"/>
      <c r="X1182" s="29"/>
      <c r="Y1182" s="8">
        <f>IF(OR(C1182="",X1182=""),"",C1182*(1+X1182))</f>
        <v>0</v>
      </c>
      <c r="Z1182" s="8">
        <f>IF(B1182="","",IFERROR(INDEX(Ingredients!$O$5:$O$304,MATCH(B1182,Ingredients!$A$5:$A$304,0)),""))</f>
        <v>0</v>
      </c>
      <c r="AA1182" s="8">
        <f>IF(B1182="","",IF(R1182&gt;=C1182,"In pantry","To buy"))</f>
        <v>0</v>
      </c>
      <c r="AB1182" s="8">
        <f>IF(A1182="","",COUNTIFS($A$5:A1182,A1182))</f>
        <v>0</v>
      </c>
      <c r="AC1182" s="8">
        <f>IF(B1182="","",IF(COUNTIFS('Dietary Filters'!$C$5:$C$104,B1182)&gt;0,"Check","OK"))</f>
        <v>0</v>
      </c>
      <c r="AD1182" s="25"/>
    </row>
    <row r="1183" spans="1:30">
      <c r="A1183" s="7"/>
      <c r="B1183" s="7"/>
      <c r="C1183" s="26"/>
      <c r="D1183" s="27"/>
      <c r="E1183" s="8">
        <f>IF(B1183="","",IFERROR(INDEX(Ingredients!$B$5:$B$304,MATCH(B1183,Ingredients!$A$5:$A$304,0)),""))</f>
        <v>0</v>
      </c>
      <c r="F1183" s="8">
        <f>IF(B1183="","",IFERROR(INDEX(Ingredients!$E$5:$E$304,MATCH(B1183,Ingredients!$A$5:$A$304,0)),""))</f>
        <v>0</v>
      </c>
      <c r="G1183" s="8">
        <f>IF(B1183="","",IFERROR(INDEX(Ingredients!$D$5:$D$304,MATCH(B1183,Ingredients!$A$5:$A$304,0)),""))</f>
        <v>0</v>
      </c>
      <c r="H1183" s="8">
        <f>IF(OR(B1183="",C1183=""),"",IFERROR(C1183*G1183,""))</f>
        <v>0</v>
      </c>
      <c r="I1183" s="8">
        <f>IF(A1183="","",IFERROR(INDEX(Recipes!$D$5:$D$204,MATCH(A1183,Recipes!$A$5:$A$204,0)),""))</f>
        <v>0</v>
      </c>
      <c r="J1183" s="8">
        <f>IF(OR(H1183="",I1183="",I1183=0),"",IFERROR(H1183/I1183,""))</f>
        <v>0</v>
      </c>
      <c r="K1183" s="8">
        <f>IF(OR(B1183="",C1183=""),"",IFERROR(C1183*IFERROR(INDEX(Ingredients!$H$5:$H$304,MATCH(B1183,Ingredients!$A$5:$A$304,0)),""),""))</f>
        <v>0</v>
      </c>
      <c r="L1183" s="8">
        <f>IF(OR(B1183="",C1183=""),"",IFERROR(C1183*IFERROR(INDEX(Ingredients!$I$5:$I$304,MATCH(B1183,Ingredients!$A$5:$A$304,0)),""),""))</f>
        <v>0</v>
      </c>
      <c r="M1183" s="8">
        <f>IF(OR(B1183="",C1183=""),"",IFERROR(C1183*IFERROR(INDEX(Ingredients!$J$5:$J$304,MATCH(B1183,Ingredients!$A$5:$A$304,0)),""),""))</f>
        <v>0</v>
      </c>
      <c r="N1183" s="8">
        <f>IF(OR(B1183="",C1183=""),"",IFERROR(C1183*IFERROR(INDEX(Ingredients!$K$5:$K$304,MATCH(B1183,Ingredients!$A$5:$A$304,0)),""),""))</f>
        <v>0</v>
      </c>
      <c r="O1183" s="8">
        <f>IF(OR(B1183="",C1183=""),"",IFERROR(C1183*IFERROR(INDEX(Ingredients!$L$5:$L$304,MATCH(B1183,Ingredients!$A$5:$A$304,0)),""),""))</f>
        <v>0</v>
      </c>
      <c r="P1183" s="8">
        <f>IF(OR(H1183="",A1183=""),"",IFERROR(H1183/SUMIFS('Recipe Ingredients'!$H$5:$H$1204,'Recipe Ingredients'!$A$5:$A$1204,A1183),""))</f>
        <v>0</v>
      </c>
      <c r="Q1183" s="8">
        <f>IF(H1183="","",COUNTIFS($H$5:$H$1204,"&gt;"&amp;H1183)+1)</f>
        <v>0</v>
      </c>
      <c r="R1183" s="8">
        <f>IF(B1183="","",SUMIFS(Pantry!$C$5:$C$304,Pantry!$A$5:$A$304,B1183))</f>
        <v>0</v>
      </c>
      <c r="S1183" s="8">
        <f>IF(OR(B1183="",C1183=""),"",MAX(0,C1183-R1183))</f>
        <v>0</v>
      </c>
      <c r="T1183" s="26"/>
      <c r="U1183" s="8">
        <f>IF(OR(T1183="",T1183=0,G1183=""),"",T1183*G1183)</f>
        <v>0</v>
      </c>
      <c r="V1183" s="8">
        <f>IF(OR(S1183="",T1183="",T1183=0),"",CEILING(S1183/T1183,1))</f>
        <v>0</v>
      </c>
      <c r="W1183" s="27"/>
      <c r="X1183" s="29"/>
      <c r="Y1183" s="8">
        <f>IF(OR(C1183="",X1183=""),"",C1183*(1+X1183))</f>
        <v>0</v>
      </c>
      <c r="Z1183" s="8">
        <f>IF(B1183="","",IFERROR(INDEX(Ingredients!$O$5:$O$304,MATCH(B1183,Ingredients!$A$5:$A$304,0)),""))</f>
        <v>0</v>
      </c>
      <c r="AA1183" s="8">
        <f>IF(B1183="","",IF(R1183&gt;=C1183,"In pantry","To buy"))</f>
        <v>0</v>
      </c>
      <c r="AB1183" s="8">
        <f>IF(A1183="","",COUNTIFS($A$5:A1183,A1183))</f>
        <v>0</v>
      </c>
      <c r="AC1183" s="8">
        <f>IF(B1183="","",IF(COUNTIFS('Dietary Filters'!$C$5:$C$104,B1183)&gt;0,"Check","OK"))</f>
        <v>0</v>
      </c>
      <c r="AD1183" s="25"/>
    </row>
    <row r="1184" spans="1:30">
      <c r="A1184" s="7"/>
      <c r="B1184" s="7"/>
      <c r="C1184" s="26"/>
      <c r="D1184" s="27"/>
      <c r="E1184" s="8">
        <f>IF(B1184="","",IFERROR(INDEX(Ingredients!$B$5:$B$304,MATCH(B1184,Ingredients!$A$5:$A$304,0)),""))</f>
        <v>0</v>
      </c>
      <c r="F1184" s="8">
        <f>IF(B1184="","",IFERROR(INDEX(Ingredients!$E$5:$E$304,MATCH(B1184,Ingredients!$A$5:$A$304,0)),""))</f>
        <v>0</v>
      </c>
      <c r="G1184" s="8">
        <f>IF(B1184="","",IFERROR(INDEX(Ingredients!$D$5:$D$304,MATCH(B1184,Ingredients!$A$5:$A$304,0)),""))</f>
        <v>0</v>
      </c>
      <c r="H1184" s="8">
        <f>IF(OR(B1184="",C1184=""),"",IFERROR(C1184*G1184,""))</f>
        <v>0</v>
      </c>
      <c r="I1184" s="8">
        <f>IF(A1184="","",IFERROR(INDEX(Recipes!$D$5:$D$204,MATCH(A1184,Recipes!$A$5:$A$204,0)),""))</f>
        <v>0</v>
      </c>
      <c r="J1184" s="8">
        <f>IF(OR(H1184="",I1184="",I1184=0),"",IFERROR(H1184/I1184,""))</f>
        <v>0</v>
      </c>
      <c r="K1184" s="8">
        <f>IF(OR(B1184="",C1184=""),"",IFERROR(C1184*IFERROR(INDEX(Ingredients!$H$5:$H$304,MATCH(B1184,Ingredients!$A$5:$A$304,0)),""),""))</f>
        <v>0</v>
      </c>
      <c r="L1184" s="8">
        <f>IF(OR(B1184="",C1184=""),"",IFERROR(C1184*IFERROR(INDEX(Ingredients!$I$5:$I$304,MATCH(B1184,Ingredients!$A$5:$A$304,0)),""),""))</f>
        <v>0</v>
      </c>
      <c r="M1184" s="8">
        <f>IF(OR(B1184="",C1184=""),"",IFERROR(C1184*IFERROR(INDEX(Ingredients!$J$5:$J$304,MATCH(B1184,Ingredients!$A$5:$A$304,0)),""),""))</f>
        <v>0</v>
      </c>
      <c r="N1184" s="8">
        <f>IF(OR(B1184="",C1184=""),"",IFERROR(C1184*IFERROR(INDEX(Ingredients!$K$5:$K$304,MATCH(B1184,Ingredients!$A$5:$A$304,0)),""),""))</f>
        <v>0</v>
      </c>
      <c r="O1184" s="8">
        <f>IF(OR(B1184="",C1184=""),"",IFERROR(C1184*IFERROR(INDEX(Ingredients!$L$5:$L$304,MATCH(B1184,Ingredients!$A$5:$A$304,0)),""),""))</f>
        <v>0</v>
      </c>
      <c r="P1184" s="8">
        <f>IF(OR(H1184="",A1184=""),"",IFERROR(H1184/SUMIFS('Recipe Ingredients'!$H$5:$H$1204,'Recipe Ingredients'!$A$5:$A$1204,A1184),""))</f>
        <v>0</v>
      </c>
      <c r="Q1184" s="8">
        <f>IF(H1184="","",COUNTIFS($H$5:$H$1204,"&gt;"&amp;H1184)+1)</f>
        <v>0</v>
      </c>
      <c r="R1184" s="8">
        <f>IF(B1184="","",SUMIFS(Pantry!$C$5:$C$304,Pantry!$A$5:$A$304,B1184))</f>
        <v>0</v>
      </c>
      <c r="S1184" s="8">
        <f>IF(OR(B1184="",C1184=""),"",MAX(0,C1184-R1184))</f>
        <v>0</v>
      </c>
      <c r="T1184" s="26"/>
      <c r="U1184" s="8">
        <f>IF(OR(T1184="",T1184=0,G1184=""),"",T1184*G1184)</f>
        <v>0</v>
      </c>
      <c r="V1184" s="8">
        <f>IF(OR(S1184="",T1184="",T1184=0),"",CEILING(S1184/T1184,1))</f>
        <v>0</v>
      </c>
      <c r="W1184" s="27"/>
      <c r="X1184" s="29"/>
      <c r="Y1184" s="8">
        <f>IF(OR(C1184="",X1184=""),"",C1184*(1+X1184))</f>
        <v>0</v>
      </c>
      <c r="Z1184" s="8">
        <f>IF(B1184="","",IFERROR(INDEX(Ingredients!$O$5:$O$304,MATCH(B1184,Ingredients!$A$5:$A$304,0)),""))</f>
        <v>0</v>
      </c>
      <c r="AA1184" s="8">
        <f>IF(B1184="","",IF(R1184&gt;=C1184,"In pantry","To buy"))</f>
        <v>0</v>
      </c>
      <c r="AB1184" s="8">
        <f>IF(A1184="","",COUNTIFS($A$5:A1184,A1184))</f>
        <v>0</v>
      </c>
      <c r="AC1184" s="8">
        <f>IF(B1184="","",IF(COUNTIFS('Dietary Filters'!$C$5:$C$104,B1184)&gt;0,"Check","OK"))</f>
        <v>0</v>
      </c>
      <c r="AD1184" s="25"/>
    </row>
    <row r="1185" spans="1:30">
      <c r="A1185" s="7"/>
      <c r="B1185" s="7"/>
      <c r="C1185" s="26"/>
      <c r="D1185" s="27"/>
      <c r="E1185" s="8">
        <f>IF(B1185="","",IFERROR(INDEX(Ingredients!$B$5:$B$304,MATCH(B1185,Ingredients!$A$5:$A$304,0)),""))</f>
        <v>0</v>
      </c>
      <c r="F1185" s="8">
        <f>IF(B1185="","",IFERROR(INDEX(Ingredients!$E$5:$E$304,MATCH(B1185,Ingredients!$A$5:$A$304,0)),""))</f>
        <v>0</v>
      </c>
      <c r="G1185" s="8">
        <f>IF(B1185="","",IFERROR(INDEX(Ingredients!$D$5:$D$304,MATCH(B1185,Ingredients!$A$5:$A$304,0)),""))</f>
        <v>0</v>
      </c>
      <c r="H1185" s="8">
        <f>IF(OR(B1185="",C1185=""),"",IFERROR(C1185*G1185,""))</f>
        <v>0</v>
      </c>
      <c r="I1185" s="8">
        <f>IF(A1185="","",IFERROR(INDEX(Recipes!$D$5:$D$204,MATCH(A1185,Recipes!$A$5:$A$204,0)),""))</f>
        <v>0</v>
      </c>
      <c r="J1185" s="8">
        <f>IF(OR(H1185="",I1185="",I1185=0),"",IFERROR(H1185/I1185,""))</f>
        <v>0</v>
      </c>
      <c r="K1185" s="8">
        <f>IF(OR(B1185="",C1185=""),"",IFERROR(C1185*IFERROR(INDEX(Ingredients!$H$5:$H$304,MATCH(B1185,Ingredients!$A$5:$A$304,0)),""),""))</f>
        <v>0</v>
      </c>
      <c r="L1185" s="8">
        <f>IF(OR(B1185="",C1185=""),"",IFERROR(C1185*IFERROR(INDEX(Ingredients!$I$5:$I$304,MATCH(B1185,Ingredients!$A$5:$A$304,0)),""),""))</f>
        <v>0</v>
      </c>
      <c r="M1185" s="8">
        <f>IF(OR(B1185="",C1185=""),"",IFERROR(C1185*IFERROR(INDEX(Ingredients!$J$5:$J$304,MATCH(B1185,Ingredients!$A$5:$A$304,0)),""),""))</f>
        <v>0</v>
      </c>
      <c r="N1185" s="8">
        <f>IF(OR(B1185="",C1185=""),"",IFERROR(C1185*IFERROR(INDEX(Ingredients!$K$5:$K$304,MATCH(B1185,Ingredients!$A$5:$A$304,0)),""),""))</f>
        <v>0</v>
      </c>
      <c r="O1185" s="8">
        <f>IF(OR(B1185="",C1185=""),"",IFERROR(C1185*IFERROR(INDEX(Ingredients!$L$5:$L$304,MATCH(B1185,Ingredients!$A$5:$A$304,0)),""),""))</f>
        <v>0</v>
      </c>
      <c r="P1185" s="8">
        <f>IF(OR(H1185="",A1185=""),"",IFERROR(H1185/SUMIFS('Recipe Ingredients'!$H$5:$H$1204,'Recipe Ingredients'!$A$5:$A$1204,A1185),""))</f>
        <v>0</v>
      </c>
      <c r="Q1185" s="8">
        <f>IF(H1185="","",COUNTIFS($H$5:$H$1204,"&gt;"&amp;H1185)+1)</f>
        <v>0</v>
      </c>
      <c r="R1185" s="8">
        <f>IF(B1185="","",SUMIFS(Pantry!$C$5:$C$304,Pantry!$A$5:$A$304,B1185))</f>
        <v>0</v>
      </c>
      <c r="S1185" s="8">
        <f>IF(OR(B1185="",C1185=""),"",MAX(0,C1185-R1185))</f>
        <v>0</v>
      </c>
      <c r="T1185" s="26"/>
      <c r="U1185" s="8">
        <f>IF(OR(T1185="",T1185=0,G1185=""),"",T1185*G1185)</f>
        <v>0</v>
      </c>
      <c r="V1185" s="8">
        <f>IF(OR(S1185="",T1185="",T1185=0),"",CEILING(S1185/T1185,1))</f>
        <v>0</v>
      </c>
      <c r="W1185" s="27"/>
      <c r="X1185" s="29"/>
      <c r="Y1185" s="8">
        <f>IF(OR(C1185="",X1185=""),"",C1185*(1+X1185))</f>
        <v>0</v>
      </c>
      <c r="Z1185" s="8">
        <f>IF(B1185="","",IFERROR(INDEX(Ingredients!$O$5:$O$304,MATCH(B1185,Ingredients!$A$5:$A$304,0)),""))</f>
        <v>0</v>
      </c>
      <c r="AA1185" s="8">
        <f>IF(B1185="","",IF(R1185&gt;=C1185,"In pantry","To buy"))</f>
        <v>0</v>
      </c>
      <c r="AB1185" s="8">
        <f>IF(A1185="","",COUNTIFS($A$5:A1185,A1185))</f>
        <v>0</v>
      </c>
      <c r="AC1185" s="8">
        <f>IF(B1185="","",IF(COUNTIFS('Dietary Filters'!$C$5:$C$104,B1185)&gt;0,"Check","OK"))</f>
        <v>0</v>
      </c>
      <c r="AD1185" s="25"/>
    </row>
    <row r="1186" spans="1:30">
      <c r="A1186" s="7"/>
      <c r="B1186" s="7"/>
      <c r="C1186" s="26"/>
      <c r="D1186" s="27"/>
      <c r="E1186" s="8">
        <f>IF(B1186="","",IFERROR(INDEX(Ingredients!$B$5:$B$304,MATCH(B1186,Ingredients!$A$5:$A$304,0)),""))</f>
        <v>0</v>
      </c>
      <c r="F1186" s="8">
        <f>IF(B1186="","",IFERROR(INDEX(Ingredients!$E$5:$E$304,MATCH(B1186,Ingredients!$A$5:$A$304,0)),""))</f>
        <v>0</v>
      </c>
      <c r="G1186" s="8">
        <f>IF(B1186="","",IFERROR(INDEX(Ingredients!$D$5:$D$304,MATCH(B1186,Ingredients!$A$5:$A$304,0)),""))</f>
        <v>0</v>
      </c>
      <c r="H1186" s="8">
        <f>IF(OR(B1186="",C1186=""),"",IFERROR(C1186*G1186,""))</f>
        <v>0</v>
      </c>
      <c r="I1186" s="8">
        <f>IF(A1186="","",IFERROR(INDEX(Recipes!$D$5:$D$204,MATCH(A1186,Recipes!$A$5:$A$204,0)),""))</f>
        <v>0</v>
      </c>
      <c r="J1186" s="8">
        <f>IF(OR(H1186="",I1186="",I1186=0),"",IFERROR(H1186/I1186,""))</f>
        <v>0</v>
      </c>
      <c r="K1186" s="8">
        <f>IF(OR(B1186="",C1186=""),"",IFERROR(C1186*IFERROR(INDEX(Ingredients!$H$5:$H$304,MATCH(B1186,Ingredients!$A$5:$A$304,0)),""),""))</f>
        <v>0</v>
      </c>
      <c r="L1186" s="8">
        <f>IF(OR(B1186="",C1186=""),"",IFERROR(C1186*IFERROR(INDEX(Ingredients!$I$5:$I$304,MATCH(B1186,Ingredients!$A$5:$A$304,0)),""),""))</f>
        <v>0</v>
      </c>
      <c r="M1186" s="8">
        <f>IF(OR(B1186="",C1186=""),"",IFERROR(C1186*IFERROR(INDEX(Ingredients!$J$5:$J$304,MATCH(B1186,Ingredients!$A$5:$A$304,0)),""),""))</f>
        <v>0</v>
      </c>
      <c r="N1186" s="8">
        <f>IF(OR(B1186="",C1186=""),"",IFERROR(C1186*IFERROR(INDEX(Ingredients!$K$5:$K$304,MATCH(B1186,Ingredients!$A$5:$A$304,0)),""),""))</f>
        <v>0</v>
      </c>
      <c r="O1186" s="8">
        <f>IF(OR(B1186="",C1186=""),"",IFERROR(C1186*IFERROR(INDEX(Ingredients!$L$5:$L$304,MATCH(B1186,Ingredients!$A$5:$A$304,0)),""),""))</f>
        <v>0</v>
      </c>
      <c r="P1186" s="8">
        <f>IF(OR(H1186="",A1186=""),"",IFERROR(H1186/SUMIFS('Recipe Ingredients'!$H$5:$H$1204,'Recipe Ingredients'!$A$5:$A$1204,A1186),""))</f>
        <v>0</v>
      </c>
      <c r="Q1186" s="8">
        <f>IF(H1186="","",COUNTIFS($H$5:$H$1204,"&gt;"&amp;H1186)+1)</f>
        <v>0</v>
      </c>
      <c r="R1186" s="8">
        <f>IF(B1186="","",SUMIFS(Pantry!$C$5:$C$304,Pantry!$A$5:$A$304,B1186))</f>
        <v>0</v>
      </c>
      <c r="S1186" s="8">
        <f>IF(OR(B1186="",C1186=""),"",MAX(0,C1186-R1186))</f>
        <v>0</v>
      </c>
      <c r="T1186" s="26"/>
      <c r="U1186" s="8">
        <f>IF(OR(T1186="",T1186=0,G1186=""),"",T1186*G1186)</f>
        <v>0</v>
      </c>
      <c r="V1186" s="8">
        <f>IF(OR(S1186="",T1186="",T1186=0),"",CEILING(S1186/T1186,1))</f>
        <v>0</v>
      </c>
      <c r="W1186" s="27"/>
      <c r="X1186" s="29"/>
      <c r="Y1186" s="8">
        <f>IF(OR(C1186="",X1186=""),"",C1186*(1+X1186))</f>
        <v>0</v>
      </c>
      <c r="Z1186" s="8">
        <f>IF(B1186="","",IFERROR(INDEX(Ingredients!$O$5:$O$304,MATCH(B1186,Ingredients!$A$5:$A$304,0)),""))</f>
        <v>0</v>
      </c>
      <c r="AA1186" s="8">
        <f>IF(B1186="","",IF(R1186&gt;=C1186,"In pantry","To buy"))</f>
        <v>0</v>
      </c>
      <c r="AB1186" s="8">
        <f>IF(A1186="","",COUNTIFS($A$5:A1186,A1186))</f>
        <v>0</v>
      </c>
      <c r="AC1186" s="8">
        <f>IF(B1186="","",IF(COUNTIFS('Dietary Filters'!$C$5:$C$104,B1186)&gt;0,"Check","OK"))</f>
        <v>0</v>
      </c>
      <c r="AD1186" s="25"/>
    </row>
    <row r="1187" spans="1:30">
      <c r="A1187" s="7"/>
      <c r="B1187" s="7"/>
      <c r="C1187" s="26"/>
      <c r="D1187" s="27"/>
      <c r="E1187" s="8">
        <f>IF(B1187="","",IFERROR(INDEX(Ingredients!$B$5:$B$304,MATCH(B1187,Ingredients!$A$5:$A$304,0)),""))</f>
        <v>0</v>
      </c>
      <c r="F1187" s="8">
        <f>IF(B1187="","",IFERROR(INDEX(Ingredients!$E$5:$E$304,MATCH(B1187,Ingredients!$A$5:$A$304,0)),""))</f>
        <v>0</v>
      </c>
      <c r="G1187" s="8">
        <f>IF(B1187="","",IFERROR(INDEX(Ingredients!$D$5:$D$304,MATCH(B1187,Ingredients!$A$5:$A$304,0)),""))</f>
        <v>0</v>
      </c>
      <c r="H1187" s="8">
        <f>IF(OR(B1187="",C1187=""),"",IFERROR(C1187*G1187,""))</f>
        <v>0</v>
      </c>
      <c r="I1187" s="8">
        <f>IF(A1187="","",IFERROR(INDEX(Recipes!$D$5:$D$204,MATCH(A1187,Recipes!$A$5:$A$204,0)),""))</f>
        <v>0</v>
      </c>
      <c r="J1187" s="8">
        <f>IF(OR(H1187="",I1187="",I1187=0),"",IFERROR(H1187/I1187,""))</f>
        <v>0</v>
      </c>
      <c r="K1187" s="8">
        <f>IF(OR(B1187="",C1187=""),"",IFERROR(C1187*IFERROR(INDEX(Ingredients!$H$5:$H$304,MATCH(B1187,Ingredients!$A$5:$A$304,0)),""),""))</f>
        <v>0</v>
      </c>
      <c r="L1187" s="8">
        <f>IF(OR(B1187="",C1187=""),"",IFERROR(C1187*IFERROR(INDEX(Ingredients!$I$5:$I$304,MATCH(B1187,Ingredients!$A$5:$A$304,0)),""),""))</f>
        <v>0</v>
      </c>
      <c r="M1187" s="8">
        <f>IF(OR(B1187="",C1187=""),"",IFERROR(C1187*IFERROR(INDEX(Ingredients!$J$5:$J$304,MATCH(B1187,Ingredients!$A$5:$A$304,0)),""),""))</f>
        <v>0</v>
      </c>
      <c r="N1187" s="8">
        <f>IF(OR(B1187="",C1187=""),"",IFERROR(C1187*IFERROR(INDEX(Ingredients!$K$5:$K$304,MATCH(B1187,Ingredients!$A$5:$A$304,0)),""),""))</f>
        <v>0</v>
      </c>
      <c r="O1187" s="8">
        <f>IF(OR(B1187="",C1187=""),"",IFERROR(C1187*IFERROR(INDEX(Ingredients!$L$5:$L$304,MATCH(B1187,Ingredients!$A$5:$A$304,0)),""),""))</f>
        <v>0</v>
      </c>
      <c r="P1187" s="8">
        <f>IF(OR(H1187="",A1187=""),"",IFERROR(H1187/SUMIFS('Recipe Ingredients'!$H$5:$H$1204,'Recipe Ingredients'!$A$5:$A$1204,A1187),""))</f>
        <v>0</v>
      </c>
      <c r="Q1187" s="8">
        <f>IF(H1187="","",COUNTIFS($H$5:$H$1204,"&gt;"&amp;H1187)+1)</f>
        <v>0</v>
      </c>
      <c r="R1187" s="8">
        <f>IF(B1187="","",SUMIFS(Pantry!$C$5:$C$304,Pantry!$A$5:$A$304,B1187))</f>
        <v>0</v>
      </c>
      <c r="S1187" s="8">
        <f>IF(OR(B1187="",C1187=""),"",MAX(0,C1187-R1187))</f>
        <v>0</v>
      </c>
      <c r="T1187" s="26"/>
      <c r="U1187" s="8">
        <f>IF(OR(T1187="",T1187=0,G1187=""),"",T1187*G1187)</f>
        <v>0</v>
      </c>
      <c r="V1187" s="8">
        <f>IF(OR(S1187="",T1187="",T1187=0),"",CEILING(S1187/T1187,1))</f>
        <v>0</v>
      </c>
      <c r="W1187" s="27"/>
      <c r="X1187" s="29"/>
      <c r="Y1187" s="8">
        <f>IF(OR(C1187="",X1187=""),"",C1187*(1+X1187))</f>
        <v>0</v>
      </c>
      <c r="Z1187" s="8">
        <f>IF(B1187="","",IFERROR(INDEX(Ingredients!$O$5:$O$304,MATCH(B1187,Ingredients!$A$5:$A$304,0)),""))</f>
        <v>0</v>
      </c>
      <c r="AA1187" s="8">
        <f>IF(B1187="","",IF(R1187&gt;=C1187,"In pantry","To buy"))</f>
        <v>0</v>
      </c>
      <c r="AB1187" s="8">
        <f>IF(A1187="","",COUNTIFS($A$5:A1187,A1187))</f>
        <v>0</v>
      </c>
      <c r="AC1187" s="8">
        <f>IF(B1187="","",IF(COUNTIFS('Dietary Filters'!$C$5:$C$104,B1187)&gt;0,"Check","OK"))</f>
        <v>0</v>
      </c>
      <c r="AD1187" s="25"/>
    </row>
    <row r="1188" spans="1:30">
      <c r="A1188" s="7"/>
      <c r="B1188" s="7"/>
      <c r="C1188" s="26"/>
      <c r="D1188" s="27"/>
      <c r="E1188" s="8">
        <f>IF(B1188="","",IFERROR(INDEX(Ingredients!$B$5:$B$304,MATCH(B1188,Ingredients!$A$5:$A$304,0)),""))</f>
        <v>0</v>
      </c>
      <c r="F1188" s="8">
        <f>IF(B1188="","",IFERROR(INDEX(Ingredients!$E$5:$E$304,MATCH(B1188,Ingredients!$A$5:$A$304,0)),""))</f>
        <v>0</v>
      </c>
      <c r="G1188" s="8">
        <f>IF(B1188="","",IFERROR(INDEX(Ingredients!$D$5:$D$304,MATCH(B1188,Ingredients!$A$5:$A$304,0)),""))</f>
        <v>0</v>
      </c>
      <c r="H1188" s="8">
        <f>IF(OR(B1188="",C1188=""),"",IFERROR(C1188*G1188,""))</f>
        <v>0</v>
      </c>
      <c r="I1188" s="8">
        <f>IF(A1188="","",IFERROR(INDEX(Recipes!$D$5:$D$204,MATCH(A1188,Recipes!$A$5:$A$204,0)),""))</f>
        <v>0</v>
      </c>
      <c r="J1188" s="8">
        <f>IF(OR(H1188="",I1188="",I1188=0),"",IFERROR(H1188/I1188,""))</f>
        <v>0</v>
      </c>
      <c r="K1188" s="8">
        <f>IF(OR(B1188="",C1188=""),"",IFERROR(C1188*IFERROR(INDEX(Ingredients!$H$5:$H$304,MATCH(B1188,Ingredients!$A$5:$A$304,0)),""),""))</f>
        <v>0</v>
      </c>
      <c r="L1188" s="8">
        <f>IF(OR(B1188="",C1188=""),"",IFERROR(C1188*IFERROR(INDEX(Ingredients!$I$5:$I$304,MATCH(B1188,Ingredients!$A$5:$A$304,0)),""),""))</f>
        <v>0</v>
      </c>
      <c r="M1188" s="8">
        <f>IF(OR(B1188="",C1188=""),"",IFERROR(C1188*IFERROR(INDEX(Ingredients!$J$5:$J$304,MATCH(B1188,Ingredients!$A$5:$A$304,0)),""),""))</f>
        <v>0</v>
      </c>
      <c r="N1188" s="8">
        <f>IF(OR(B1188="",C1188=""),"",IFERROR(C1188*IFERROR(INDEX(Ingredients!$K$5:$K$304,MATCH(B1188,Ingredients!$A$5:$A$304,0)),""),""))</f>
        <v>0</v>
      </c>
      <c r="O1188" s="8">
        <f>IF(OR(B1188="",C1188=""),"",IFERROR(C1188*IFERROR(INDEX(Ingredients!$L$5:$L$304,MATCH(B1188,Ingredients!$A$5:$A$304,0)),""),""))</f>
        <v>0</v>
      </c>
      <c r="P1188" s="8">
        <f>IF(OR(H1188="",A1188=""),"",IFERROR(H1188/SUMIFS('Recipe Ingredients'!$H$5:$H$1204,'Recipe Ingredients'!$A$5:$A$1204,A1188),""))</f>
        <v>0</v>
      </c>
      <c r="Q1188" s="8">
        <f>IF(H1188="","",COUNTIFS($H$5:$H$1204,"&gt;"&amp;H1188)+1)</f>
        <v>0</v>
      </c>
      <c r="R1188" s="8">
        <f>IF(B1188="","",SUMIFS(Pantry!$C$5:$C$304,Pantry!$A$5:$A$304,B1188))</f>
        <v>0</v>
      </c>
      <c r="S1188" s="8">
        <f>IF(OR(B1188="",C1188=""),"",MAX(0,C1188-R1188))</f>
        <v>0</v>
      </c>
      <c r="T1188" s="26"/>
      <c r="U1188" s="8">
        <f>IF(OR(T1188="",T1188=0,G1188=""),"",T1188*G1188)</f>
        <v>0</v>
      </c>
      <c r="V1188" s="8">
        <f>IF(OR(S1188="",T1188="",T1188=0),"",CEILING(S1188/T1188,1))</f>
        <v>0</v>
      </c>
      <c r="W1188" s="27"/>
      <c r="X1188" s="29"/>
      <c r="Y1188" s="8">
        <f>IF(OR(C1188="",X1188=""),"",C1188*(1+X1188))</f>
        <v>0</v>
      </c>
      <c r="Z1188" s="8">
        <f>IF(B1188="","",IFERROR(INDEX(Ingredients!$O$5:$O$304,MATCH(B1188,Ingredients!$A$5:$A$304,0)),""))</f>
        <v>0</v>
      </c>
      <c r="AA1188" s="8">
        <f>IF(B1188="","",IF(R1188&gt;=C1188,"In pantry","To buy"))</f>
        <v>0</v>
      </c>
      <c r="AB1188" s="8">
        <f>IF(A1188="","",COUNTIFS($A$5:A1188,A1188))</f>
        <v>0</v>
      </c>
      <c r="AC1188" s="8">
        <f>IF(B1188="","",IF(COUNTIFS('Dietary Filters'!$C$5:$C$104,B1188)&gt;0,"Check","OK"))</f>
        <v>0</v>
      </c>
      <c r="AD1188" s="25"/>
    </row>
    <row r="1189" spans="1:30">
      <c r="A1189" s="7"/>
      <c r="B1189" s="7"/>
      <c r="C1189" s="26"/>
      <c r="D1189" s="27"/>
      <c r="E1189" s="8">
        <f>IF(B1189="","",IFERROR(INDEX(Ingredients!$B$5:$B$304,MATCH(B1189,Ingredients!$A$5:$A$304,0)),""))</f>
        <v>0</v>
      </c>
      <c r="F1189" s="8">
        <f>IF(B1189="","",IFERROR(INDEX(Ingredients!$E$5:$E$304,MATCH(B1189,Ingredients!$A$5:$A$304,0)),""))</f>
        <v>0</v>
      </c>
      <c r="G1189" s="8">
        <f>IF(B1189="","",IFERROR(INDEX(Ingredients!$D$5:$D$304,MATCH(B1189,Ingredients!$A$5:$A$304,0)),""))</f>
        <v>0</v>
      </c>
      <c r="H1189" s="8">
        <f>IF(OR(B1189="",C1189=""),"",IFERROR(C1189*G1189,""))</f>
        <v>0</v>
      </c>
      <c r="I1189" s="8">
        <f>IF(A1189="","",IFERROR(INDEX(Recipes!$D$5:$D$204,MATCH(A1189,Recipes!$A$5:$A$204,0)),""))</f>
        <v>0</v>
      </c>
      <c r="J1189" s="8">
        <f>IF(OR(H1189="",I1189="",I1189=0),"",IFERROR(H1189/I1189,""))</f>
        <v>0</v>
      </c>
      <c r="K1189" s="8">
        <f>IF(OR(B1189="",C1189=""),"",IFERROR(C1189*IFERROR(INDEX(Ingredients!$H$5:$H$304,MATCH(B1189,Ingredients!$A$5:$A$304,0)),""),""))</f>
        <v>0</v>
      </c>
      <c r="L1189" s="8">
        <f>IF(OR(B1189="",C1189=""),"",IFERROR(C1189*IFERROR(INDEX(Ingredients!$I$5:$I$304,MATCH(B1189,Ingredients!$A$5:$A$304,0)),""),""))</f>
        <v>0</v>
      </c>
      <c r="M1189" s="8">
        <f>IF(OR(B1189="",C1189=""),"",IFERROR(C1189*IFERROR(INDEX(Ingredients!$J$5:$J$304,MATCH(B1189,Ingredients!$A$5:$A$304,0)),""),""))</f>
        <v>0</v>
      </c>
      <c r="N1189" s="8">
        <f>IF(OR(B1189="",C1189=""),"",IFERROR(C1189*IFERROR(INDEX(Ingredients!$K$5:$K$304,MATCH(B1189,Ingredients!$A$5:$A$304,0)),""),""))</f>
        <v>0</v>
      </c>
      <c r="O1189" s="8">
        <f>IF(OR(B1189="",C1189=""),"",IFERROR(C1189*IFERROR(INDEX(Ingredients!$L$5:$L$304,MATCH(B1189,Ingredients!$A$5:$A$304,0)),""),""))</f>
        <v>0</v>
      </c>
      <c r="P1189" s="8">
        <f>IF(OR(H1189="",A1189=""),"",IFERROR(H1189/SUMIFS('Recipe Ingredients'!$H$5:$H$1204,'Recipe Ingredients'!$A$5:$A$1204,A1189),""))</f>
        <v>0</v>
      </c>
      <c r="Q1189" s="8">
        <f>IF(H1189="","",COUNTIFS($H$5:$H$1204,"&gt;"&amp;H1189)+1)</f>
        <v>0</v>
      </c>
      <c r="R1189" s="8">
        <f>IF(B1189="","",SUMIFS(Pantry!$C$5:$C$304,Pantry!$A$5:$A$304,B1189))</f>
        <v>0</v>
      </c>
      <c r="S1189" s="8">
        <f>IF(OR(B1189="",C1189=""),"",MAX(0,C1189-R1189))</f>
        <v>0</v>
      </c>
      <c r="T1189" s="26"/>
      <c r="U1189" s="8">
        <f>IF(OR(T1189="",T1189=0,G1189=""),"",T1189*G1189)</f>
        <v>0</v>
      </c>
      <c r="V1189" s="8">
        <f>IF(OR(S1189="",T1189="",T1189=0),"",CEILING(S1189/T1189,1))</f>
        <v>0</v>
      </c>
      <c r="W1189" s="27"/>
      <c r="X1189" s="29"/>
      <c r="Y1189" s="8">
        <f>IF(OR(C1189="",X1189=""),"",C1189*(1+X1189))</f>
        <v>0</v>
      </c>
      <c r="Z1189" s="8">
        <f>IF(B1189="","",IFERROR(INDEX(Ingredients!$O$5:$O$304,MATCH(B1189,Ingredients!$A$5:$A$304,0)),""))</f>
        <v>0</v>
      </c>
      <c r="AA1189" s="8">
        <f>IF(B1189="","",IF(R1189&gt;=C1189,"In pantry","To buy"))</f>
        <v>0</v>
      </c>
      <c r="AB1189" s="8">
        <f>IF(A1189="","",COUNTIFS($A$5:A1189,A1189))</f>
        <v>0</v>
      </c>
      <c r="AC1189" s="8">
        <f>IF(B1189="","",IF(COUNTIFS('Dietary Filters'!$C$5:$C$104,B1189)&gt;0,"Check","OK"))</f>
        <v>0</v>
      </c>
      <c r="AD1189" s="25"/>
    </row>
    <row r="1190" spans="1:30">
      <c r="A1190" s="7"/>
      <c r="B1190" s="7"/>
      <c r="C1190" s="26"/>
      <c r="D1190" s="27"/>
      <c r="E1190" s="8">
        <f>IF(B1190="","",IFERROR(INDEX(Ingredients!$B$5:$B$304,MATCH(B1190,Ingredients!$A$5:$A$304,0)),""))</f>
        <v>0</v>
      </c>
      <c r="F1190" s="8">
        <f>IF(B1190="","",IFERROR(INDEX(Ingredients!$E$5:$E$304,MATCH(B1190,Ingredients!$A$5:$A$304,0)),""))</f>
        <v>0</v>
      </c>
      <c r="G1190" s="8">
        <f>IF(B1190="","",IFERROR(INDEX(Ingredients!$D$5:$D$304,MATCH(B1190,Ingredients!$A$5:$A$304,0)),""))</f>
        <v>0</v>
      </c>
      <c r="H1190" s="8">
        <f>IF(OR(B1190="",C1190=""),"",IFERROR(C1190*G1190,""))</f>
        <v>0</v>
      </c>
      <c r="I1190" s="8">
        <f>IF(A1190="","",IFERROR(INDEX(Recipes!$D$5:$D$204,MATCH(A1190,Recipes!$A$5:$A$204,0)),""))</f>
        <v>0</v>
      </c>
      <c r="J1190" s="8">
        <f>IF(OR(H1190="",I1190="",I1190=0),"",IFERROR(H1190/I1190,""))</f>
        <v>0</v>
      </c>
      <c r="K1190" s="8">
        <f>IF(OR(B1190="",C1190=""),"",IFERROR(C1190*IFERROR(INDEX(Ingredients!$H$5:$H$304,MATCH(B1190,Ingredients!$A$5:$A$304,0)),""),""))</f>
        <v>0</v>
      </c>
      <c r="L1190" s="8">
        <f>IF(OR(B1190="",C1190=""),"",IFERROR(C1190*IFERROR(INDEX(Ingredients!$I$5:$I$304,MATCH(B1190,Ingredients!$A$5:$A$304,0)),""),""))</f>
        <v>0</v>
      </c>
      <c r="M1190" s="8">
        <f>IF(OR(B1190="",C1190=""),"",IFERROR(C1190*IFERROR(INDEX(Ingredients!$J$5:$J$304,MATCH(B1190,Ingredients!$A$5:$A$304,0)),""),""))</f>
        <v>0</v>
      </c>
      <c r="N1190" s="8">
        <f>IF(OR(B1190="",C1190=""),"",IFERROR(C1190*IFERROR(INDEX(Ingredients!$K$5:$K$304,MATCH(B1190,Ingredients!$A$5:$A$304,0)),""),""))</f>
        <v>0</v>
      </c>
      <c r="O1190" s="8">
        <f>IF(OR(B1190="",C1190=""),"",IFERROR(C1190*IFERROR(INDEX(Ingredients!$L$5:$L$304,MATCH(B1190,Ingredients!$A$5:$A$304,0)),""),""))</f>
        <v>0</v>
      </c>
      <c r="P1190" s="8">
        <f>IF(OR(H1190="",A1190=""),"",IFERROR(H1190/SUMIFS('Recipe Ingredients'!$H$5:$H$1204,'Recipe Ingredients'!$A$5:$A$1204,A1190),""))</f>
        <v>0</v>
      </c>
      <c r="Q1190" s="8">
        <f>IF(H1190="","",COUNTIFS($H$5:$H$1204,"&gt;"&amp;H1190)+1)</f>
        <v>0</v>
      </c>
      <c r="R1190" s="8">
        <f>IF(B1190="","",SUMIFS(Pantry!$C$5:$C$304,Pantry!$A$5:$A$304,B1190))</f>
        <v>0</v>
      </c>
      <c r="S1190" s="8">
        <f>IF(OR(B1190="",C1190=""),"",MAX(0,C1190-R1190))</f>
        <v>0</v>
      </c>
      <c r="T1190" s="26"/>
      <c r="U1190" s="8">
        <f>IF(OR(T1190="",T1190=0,G1190=""),"",T1190*G1190)</f>
        <v>0</v>
      </c>
      <c r="V1190" s="8">
        <f>IF(OR(S1190="",T1190="",T1190=0),"",CEILING(S1190/T1190,1))</f>
        <v>0</v>
      </c>
      <c r="W1190" s="27"/>
      <c r="X1190" s="29"/>
      <c r="Y1190" s="8">
        <f>IF(OR(C1190="",X1190=""),"",C1190*(1+X1190))</f>
        <v>0</v>
      </c>
      <c r="Z1190" s="8">
        <f>IF(B1190="","",IFERROR(INDEX(Ingredients!$O$5:$O$304,MATCH(B1190,Ingredients!$A$5:$A$304,0)),""))</f>
        <v>0</v>
      </c>
      <c r="AA1190" s="8">
        <f>IF(B1190="","",IF(R1190&gt;=C1190,"In pantry","To buy"))</f>
        <v>0</v>
      </c>
      <c r="AB1190" s="8">
        <f>IF(A1190="","",COUNTIFS($A$5:A1190,A1190))</f>
        <v>0</v>
      </c>
      <c r="AC1190" s="8">
        <f>IF(B1190="","",IF(COUNTIFS('Dietary Filters'!$C$5:$C$104,B1190)&gt;0,"Check","OK"))</f>
        <v>0</v>
      </c>
      <c r="AD1190" s="25"/>
    </row>
    <row r="1191" spans="1:30">
      <c r="A1191" s="7"/>
      <c r="B1191" s="7"/>
      <c r="C1191" s="26"/>
      <c r="D1191" s="27"/>
      <c r="E1191" s="8">
        <f>IF(B1191="","",IFERROR(INDEX(Ingredients!$B$5:$B$304,MATCH(B1191,Ingredients!$A$5:$A$304,0)),""))</f>
        <v>0</v>
      </c>
      <c r="F1191" s="8">
        <f>IF(B1191="","",IFERROR(INDEX(Ingredients!$E$5:$E$304,MATCH(B1191,Ingredients!$A$5:$A$304,0)),""))</f>
        <v>0</v>
      </c>
      <c r="G1191" s="8">
        <f>IF(B1191="","",IFERROR(INDEX(Ingredients!$D$5:$D$304,MATCH(B1191,Ingredients!$A$5:$A$304,0)),""))</f>
        <v>0</v>
      </c>
      <c r="H1191" s="8">
        <f>IF(OR(B1191="",C1191=""),"",IFERROR(C1191*G1191,""))</f>
        <v>0</v>
      </c>
      <c r="I1191" s="8">
        <f>IF(A1191="","",IFERROR(INDEX(Recipes!$D$5:$D$204,MATCH(A1191,Recipes!$A$5:$A$204,0)),""))</f>
        <v>0</v>
      </c>
      <c r="J1191" s="8">
        <f>IF(OR(H1191="",I1191="",I1191=0),"",IFERROR(H1191/I1191,""))</f>
        <v>0</v>
      </c>
      <c r="K1191" s="8">
        <f>IF(OR(B1191="",C1191=""),"",IFERROR(C1191*IFERROR(INDEX(Ingredients!$H$5:$H$304,MATCH(B1191,Ingredients!$A$5:$A$304,0)),""),""))</f>
        <v>0</v>
      </c>
      <c r="L1191" s="8">
        <f>IF(OR(B1191="",C1191=""),"",IFERROR(C1191*IFERROR(INDEX(Ingredients!$I$5:$I$304,MATCH(B1191,Ingredients!$A$5:$A$304,0)),""),""))</f>
        <v>0</v>
      </c>
      <c r="M1191" s="8">
        <f>IF(OR(B1191="",C1191=""),"",IFERROR(C1191*IFERROR(INDEX(Ingredients!$J$5:$J$304,MATCH(B1191,Ingredients!$A$5:$A$304,0)),""),""))</f>
        <v>0</v>
      </c>
      <c r="N1191" s="8">
        <f>IF(OR(B1191="",C1191=""),"",IFERROR(C1191*IFERROR(INDEX(Ingredients!$K$5:$K$304,MATCH(B1191,Ingredients!$A$5:$A$304,0)),""),""))</f>
        <v>0</v>
      </c>
      <c r="O1191" s="8">
        <f>IF(OR(B1191="",C1191=""),"",IFERROR(C1191*IFERROR(INDEX(Ingredients!$L$5:$L$304,MATCH(B1191,Ingredients!$A$5:$A$304,0)),""),""))</f>
        <v>0</v>
      </c>
      <c r="P1191" s="8">
        <f>IF(OR(H1191="",A1191=""),"",IFERROR(H1191/SUMIFS('Recipe Ingredients'!$H$5:$H$1204,'Recipe Ingredients'!$A$5:$A$1204,A1191),""))</f>
        <v>0</v>
      </c>
      <c r="Q1191" s="8">
        <f>IF(H1191="","",COUNTIFS($H$5:$H$1204,"&gt;"&amp;H1191)+1)</f>
        <v>0</v>
      </c>
      <c r="R1191" s="8">
        <f>IF(B1191="","",SUMIFS(Pantry!$C$5:$C$304,Pantry!$A$5:$A$304,B1191))</f>
        <v>0</v>
      </c>
      <c r="S1191" s="8">
        <f>IF(OR(B1191="",C1191=""),"",MAX(0,C1191-R1191))</f>
        <v>0</v>
      </c>
      <c r="T1191" s="26"/>
      <c r="U1191" s="8">
        <f>IF(OR(T1191="",T1191=0,G1191=""),"",T1191*G1191)</f>
        <v>0</v>
      </c>
      <c r="V1191" s="8">
        <f>IF(OR(S1191="",T1191="",T1191=0),"",CEILING(S1191/T1191,1))</f>
        <v>0</v>
      </c>
      <c r="W1191" s="27"/>
      <c r="X1191" s="29"/>
      <c r="Y1191" s="8">
        <f>IF(OR(C1191="",X1191=""),"",C1191*(1+X1191))</f>
        <v>0</v>
      </c>
      <c r="Z1191" s="8">
        <f>IF(B1191="","",IFERROR(INDEX(Ingredients!$O$5:$O$304,MATCH(B1191,Ingredients!$A$5:$A$304,0)),""))</f>
        <v>0</v>
      </c>
      <c r="AA1191" s="8">
        <f>IF(B1191="","",IF(R1191&gt;=C1191,"In pantry","To buy"))</f>
        <v>0</v>
      </c>
      <c r="AB1191" s="8">
        <f>IF(A1191="","",COUNTIFS($A$5:A1191,A1191))</f>
        <v>0</v>
      </c>
      <c r="AC1191" s="8">
        <f>IF(B1191="","",IF(COUNTIFS('Dietary Filters'!$C$5:$C$104,B1191)&gt;0,"Check","OK"))</f>
        <v>0</v>
      </c>
      <c r="AD1191" s="25"/>
    </row>
    <row r="1192" spans="1:30">
      <c r="A1192" s="7"/>
      <c r="B1192" s="7"/>
      <c r="C1192" s="26"/>
      <c r="D1192" s="27"/>
      <c r="E1192" s="8">
        <f>IF(B1192="","",IFERROR(INDEX(Ingredients!$B$5:$B$304,MATCH(B1192,Ingredients!$A$5:$A$304,0)),""))</f>
        <v>0</v>
      </c>
      <c r="F1192" s="8">
        <f>IF(B1192="","",IFERROR(INDEX(Ingredients!$E$5:$E$304,MATCH(B1192,Ingredients!$A$5:$A$304,0)),""))</f>
        <v>0</v>
      </c>
      <c r="G1192" s="8">
        <f>IF(B1192="","",IFERROR(INDEX(Ingredients!$D$5:$D$304,MATCH(B1192,Ingredients!$A$5:$A$304,0)),""))</f>
        <v>0</v>
      </c>
      <c r="H1192" s="8">
        <f>IF(OR(B1192="",C1192=""),"",IFERROR(C1192*G1192,""))</f>
        <v>0</v>
      </c>
      <c r="I1192" s="8">
        <f>IF(A1192="","",IFERROR(INDEX(Recipes!$D$5:$D$204,MATCH(A1192,Recipes!$A$5:$A$204,0)),""))</f>
        <v>0</v>
      </c>
      <c r="J1192" s="8">
        <f>IF(OR(H1192="",I1192="",I1192=0),"",IFERROR(H1192/I1192,""))</f>
        <v>0</v>
      </c>
      <c r="K1192" s="8">
        <f>IF(OR(B1192="",C1192=""),"",IFERROR(C1192*IFERROR(INDEX(Ingredients!$H$5:$H$304,MATCH(B1192,Ingredients!$A$5:$A$304,0)),""),""))</f>
        <v>0</v>
      </c>
      <c r="L1192" s="8">
        <f>IF(OR(B1192="",C1192=""),"",IFERROR(C1192*IFERROR(INDEX(Ingredients!$I$5:$I$304,MATCH(B1192,Ingredients!$A$5:$A$304,0)),""),""))</f>
        <v>0</v>
      </c>
      <c r="M1192" s="8">
        <f>IF(OR(B1192="",C1192=""),"",IFERROR(C1192*IFERROR(INDEX(Ingredients!$J$5:$J$304,MATCH(B1192,Ingredients!$A$5:$A$304,0)),""),""))</f>
        <v>0</v>
      </c>
      <c r="N1192" s="8">
        <f>IF(OR(B1192="",C1192=""),"",IFERROR(C1192*IFERROR(INDEX(Ingredients!$K$5:$K$304,MATCH(B1192,Ingredients!$A$5:$A$304,0)),""),""))</f>
        <v>0</v>
      </c>
      <c r="O1192" s="8">
        <f>IF(OR(B1192="",C1192=""),"",IFERROR(C1192*IFERROR(INDEX(Ingredients!$L$5:$L$304,MATCH(B1192,Ingredients!$A$5:$A$304,0)),""),""))</f>
        <v>0</v>
      </c>
      <c r="P1192" s="8">
        <f>IF(OR(H1192="",A1192=""),"",IFERROR(H1192/SUMIFS('Recipe Ingredients'!$H$5:$H$1204,'Recipe Ingredients'!$A$5:$A$1204,A1192),""))</f>
        <v>0</v>
      </c>
      <c r="Q1192" s="8">
        <f>IF(H1192="","",COUNTIFS($H$5:$H$1204,"&gt;"&amp;H1192)+1)</f>
        <v>0</v>
      </c>
      <c r="R1192" s="8">
        <f>IF(B1192="","",SUMIFS(Pantry!$C$5:$C$304,Pantry!$A$5:$A$304,B1192))</f>
        <v>0</v>
      </c>
      <c r="S1192" s="8">
        <f>IF(OR(B1192="",C1192=""),"",MAX(0,C1192-R1192))</f>
        <v>0</v>
      </c>
      <c r="T1192" s="26"/>
      <c r="U1192" s="8">
        <f>IF(OR(T1192="",T1192=0,G1192=""),"",T1192*G1192)</f>
        <v>0</v>
      </c>
      <c r="V1192" s="8">
        <f>IF(OR(S1192="",T1192="",T1192=0),"",CEILING(S1192/T1192,1))</f>
        <v>0</v>
      </c>
      <c r="W1192" s="27"/>
      <c r="X1192" s="29"/>
      <c r="Y1192" s="8">
        <f>IF(OR(C1192="",X1192=""),"",C1192*(1+X1192))</f>
        <v>0</v>
      </c>
      <c r="Z1192" s="8">
        <f>IF(B1192="","",IFERROR(INDEX(Ingredients!$O$5:$O$304,MATCH(B1192,Ingredients!$A$5:$A$304,0)),""))</f>
        <v>0</v>
      </c>
      <c r="AA1192" s="8">
        <f>IF(B1192="","",IF(R1192&gt;=C1192,"In pantry","To buy"))</f>
        <v>0</v>
      </c>
      <c r="AB1192" s="8">
        <f>IF(A1192="","",COUNTIFS($A$5:A1192,A1192))</f>
        <v>0</v>
      </c>
      <c r="AC1192" s="8">
        <f>IF(B1192="","",IF(COUNTIFS('Dietary Filters'!$C$5:$C$104,B1192)&gt;0,"Check","OK"))</f>
        <v>0</v>
      </c>
      <c r="AD1192" s="25"/>
    </row>
    <row r="1193" spans="1:30">
      <c r="A1193" s="7"/>
      <c r="B1193" s="7"/>
      <c r="C1193" s="26"/>
      <c r="D1193" s="27"/>
      <c r="E1193" s="8">
        <f>IF(B1193="","",IFERROR(INDEX(Ingredients!$B$5:$B$304,MATCH(B1193,Ingredients!$A$5:$A$304,0)),""))</f>
        <v>0</v>
      </c>
      <c r="F1193" s="8">
        <f>IF(B1193="","",IFERROR(INDEX(Ingredients!$E$5:$E$304,MATCH(B1193,Ingredients!$A$5:$A$304,0)),""))</f>
        <v>0</v>
      </c>
      <c r="G1193" s="8">
        <f>IF(B1193="","",IFERROR(INDEX(Ingredients!$D$5:$D$304,MATCH(B1193,Ingredients!$A$5:$A$304,0)),""))</f>
        <v>0</v>
      </c>
      <c r="H1193" s="8">
        <f>IF(OR(B1193="",C1193=""),"",IFERROR(C1193*G1193,""))</f>
        <v>0</v>
      </c>
      <c r="I1193" s="8">
        <f>IF(A1193="","",IFERROR(INDEX(Recipes!$D$5:$D$204,MATCH(A1193,Recipes!$A$5:$A$204,0)),""))</f>
        <v>0</v>
      </c>
      <c r="J1193" s="8">
        <f>IF(OR(H1193="",I1193="",I1193=0),"",IFERROR(H1193/I1193,""))</f>
        <v>0</v>
      </c>
      <c r="K1193" s="8">
        <f>IF(OR(B1193="",C1193=""),"",IFERROR(C1193*IFERROR(INDEX(Ingredients!$H$5:$H$304,MATCH(B1193,Ingredients!$A$5:$A$304,0)),""),""))</f>
        <v>0</v>
      </c>
      <c r="L1193" s="8">
        <f>IF(OR(B1193="",C1193=""),"",IFERROR(C1193*IFERROR(INDEX(Ingredients!$I$5:$I$304,MATCH(B1193,Ingredients!$A$5:$A$304,0)),""),""))</f>
        <v>0</v>
      </c>
      <c r="M1193" s="8">
        <f>IF(OR(B1193="",C1193=""),"",IFERROR(C1193*IFERROR(INDEX(Ingredients!$J$5:$J$304,MATCH(B1193,Ingredients!$A$5:$A$304,0)),""),""))</f>
        <v>0</v>
      </c>
      <c r="N1193" s="8">
        <f>IF(OR(B1193="",C1193=""),"",IFERROR(C1193*IFERROR(INDEX(Ingredients!$K$5:$K$304,MATCH(B1193,Ingredients!$A$5:$A$304,0)),""),""))</f>
        <v>0</v>
      </c>
      <c r="O1193" s="8">
        <f>IF(OR(B1193="",C1193=""),"",IFERROR(C1193*IFERROR(INDEX(Ingredients!$L$5:$L$304,MATCH(B1193,Ingredients!$A$5:$A$304,0)),""),""))</f>
        <v>0</v>
      </c>
      <c r="P1193" s="8">
        <f>IF(OR(H1193="",A1193=""),"",IFERROR(H1193/SUMIFS('Recipe Ingredients'!$H$5:$H$1204,'Recipe Ingredients'!$A$5:$A$1204,A1193),""))</f>
        <v>0</v>
      </c>
      <c r="Q1193" s="8">
        <f>IF(H1193="","",COUNTIFS($H$5:$H$1204,"&gt;"&amp;H1193)+1)</f>
        <v>0</v>
      </c>
      <c r="R1193" s="8">
        <f>IF(B1193="","",SUMIFS(Pantry!$C$5:$C$304,Pantry!$A$5:$A$304,B1193))</f>
        <v>0</v>
      </c>
      <c r="S1193" s="8">
        <f>IF(OR(B1193="",C1193=""),"",MAX(0,C1193-R1193))</f>
        <v>0</v>
      </c>
      <c r="T1193" s="26"/>
      <c r="U1193" s="8">
        <f>IF(OR(T1193="",T1193=0,G1193=""),"",T1193*G1193)</f>
        <v>0</v>
      </c>
      <c r="V1193" s="8">
        <f>IF(OR(S1193="",T1193="",T1193=0),"",CEILING(S1193/T1193,1))</f>
        <v>0</v>
      </c>
      <c r="W1193" s="27"/>
      <c r="X1193" s="29"/>
      <c r="Y1193" s="8">
        <f>IF(OR(C1193="",X1193=""),"",C1193*(1+X1193))</f>
        <v>0</v>
      </c>
      <c r="Z1193" s="8">
        <f>IF(B1193="","",IFERROR(INDEX(Ingredients!$O$5:$O$304,MATCH(B1193,Ingredients!$A$5:$A$304,0)),""))</f>
        <v>0</v>
      </c>
      <c r="AA1193" s="8">
        <f>IF(B1193="","",IF(R1193&gt;=C1193,"In pantry","To buy"))</f>
        <v>0</v>
      </c>
      <c r="AB1193" s="8">
        <f>IF(A1193="","",COUNTIFS($A$5:A1193,A1193))</f>
        <v>0</v>
      </c>
      <c r="AC1193" s="8">
        <f>IF(B1193="","",IF(COUNTIFS('Dietary Filters'!$C$5:$C$104,B1193)&gt;0,"Check","OK"))</f>
        <v>0</v>
      </c>
      <c r="AD1193" s="25"/>
    </row>
    <row r="1194" spans="1:30">
      <c r="A1194" s="7"/>
      <c r="B1194" s="7"/>
      <c r="C1194" s="26"/>
      <c r="D1194" s="27"/>
      <c r="E1194" s="8">
        <f>IF(B1194="","",IFERROR(INDEX(Ingredients!$B$5:$B$304,MATCH(B1194,Ingredients!$A$5:$A$304,0)),""))</f>
        <v>0</v>
      </c>
      <c r="F1194" s="8">
        <f>IF(B1194="","",IFERROR(INDEX(Ingredients!$E$5:$E$304,MATCH(B1194,Ingredients!$A$5:$A$304,0)),""))</f>
        <v>0</v>
      </c>
      <c r="G1194" s="8">
        <f>IF(B1194="","",IFERROR(INDEX(Ingredients!$D$5:$D$304,MATCH(B1194,Ingredients!$A$5:$A$304,0)),""))</f>
        <v>0</v>
      </c>
      <c r="H1194" s="8">
        <f>IF(OR(B1194="",C1194=""),"",IFERROR(C1194*G1194,""))</f>
        <v>0</v>
      </c>
      <c r="I1194" s="8">
        <f>IF(A1194="","",IFERROR(INDEX(Recipes!$D$5:$D$204,MATCH(A1194,Recipes!$A$5:$A$204,0)),""))</f>
        <v>0</v>
      </c>
      <c r="J1194" s="8">
        <f>IF(OR(H1194="",I1194="",I1194=0),"",IFERROR(H1194/I1194,""))</f>
        <v>0</v>
      </c>
      <c r="K1194" s="8">
        <f>IF(OR(B1194="",C1194=""),"",IFERROR(C1194*IFERROR(INDEX(Ingredients!$H$5:$H$304,MATCH(B1194,Ingredients!$A$5:$A$304,0)),""),""))</f>
        <v>0</v>
      </c>
      <c r="L1194" s="8">
        <f>IF(OR(B1194="",C1194=""),"",IFERROR(C1194*IFERROR(INDEX(Ingredients!$I$5:$I$304,MATCH(B1194,Ingredients!$A$5:$A$304,0)),""),""))</f>
        <v>0</v>
      </c>
      <c r="M1194" s="8">
        <f>IF(OR(B1194="",C1194=""),"",IFERROR(C1194*IFERROR(INDEX(Ingredients!$J$5:$J$304,MATCH(B1194,Ingredients!$A$5:$A$304,0)),""),""))</f>
        <v>0</v>
      </c>
      <c r="N1194" s="8">
        <f>IF(OR(B1194="",C1194=""),"",IFERROR(C1194*IFERROR(INDEX(Ingredients!$K$5:$K$304,MATCH(B1194,Ingredients!$A$5:$A$304,0)),""),""))</f>
        <v>0</v>
      </c>
      <c r="O1194" s="8">
        <f>IF(OR(B1194="",C1194=""),"",IFERROR(C1194*IFERROR(INDEX(Ingredients!$L$5:$L$304,MATCH(B1194,Ingredients!$A$5:$A$304,0)),""),""))</f>
        <v>0</v>
      </c>
      <c r="P1194" s="8">
        <f>IF(OR(H1194="",A1194=""),"",IFERROR(H1194/SUMIFS('Recipe Ingredients'!$H$5:$H$1204,'Recipe Ingredients'!$A$5:$A$1204,A1194),""))</f>
        <v>0</v>
      </c>
      <c r="Q1194" s="8">
        <f>IF(H1194="","",COUNTIFS($H$5:$H$1204,"&gt;"&amp;H1194)+1)</f>
        <v>0</v>
      </c>
      <c r="R1194" s="8">
        <f>IF(B1194="","",SUMIFS(Pantry!$C$5:$C$304,Pantry!$A$5:$A$304,B1194))</f>
        <v>0</v>
      </c>
      <c r="S1194" s="8">
        <f>IF(OR(B1194="",C1194=""),"",MAX(0,C1194-R1194))</f>
        <v>0</v>
      </c>
      <c r="T1194" s="26"/>
      <c r="U1194" s="8">
        <f>IF(OR(T1194="",T1194=0,G1194=""),"",T1194*G1194)</f>
        <v>0</v>
      </c>
      <c r="V1194" s="8">
        <f>IF(OR(S1194="",T1194="",T1194=0),"",CEILING(S1194/T1194,1))</f>
        <v>0</v>
      </c>
      <c r="W1194" s="27"/>
      <c r="X1194" s="29"/>
      <c r="Y1194" s="8">
        <f>IF(OR(C1194="",X1194=""),"",C1194*(1+X1194))</f>
        <v>0</v>
      </c>
      <c r="Z1194" s="8">
        <f>IF(B1194="","",IFERROR(INDEX(Ingredients!$O$5:$O$304,MATCH(B1194,Ingredients!$A$5:$A$304,0)),""))</f>
        <v>0</v>
      </c>
      <c r="AA1194" s="8">
        <f>IF(B1194="","",IF(R1194&gt;=C1194,"In pantry","To buy"))</f>
        <v>0</v>
      </c>
      <c r="AB1194" s="8">
        <f>IF(A1194="","",COUNTIFS($A$5:A1194,A1194))</f>
        <v>0</v>
      </c>
      <c r="AC1194" s="8">
        <f>IF(B1194="","",IF(COUNTIFS('Dietary Filters'!$C$5:$C$104,B1194)&gt;0,"Check","OK"))</f>
        <v>0</v>
      </c>
      <c r="AD1194" s="25"/>
    </row>
    <row r="1195" spans="1:30">
      <c r="A1195" s="7"/>
      <c r="B1195" s="7"/>
      <c r="C1195" s="26"/>
      <c r="D1195" s="27"/>
      <c r="E1195" s="8">
        <f>IF(B1195="","",IFERROR(INDEX(Ingredients!$B$5:$B$304,MATCH(B1195,Ingredients!$A$5:$A$304,0)),""))</f>
        <v>0</v>
      </c>
      <c r="F1195" s="8">
        <f>IF(B1195="","",IFERROR(INDEX(Ingredients!$E$5:$E$304,MATCH(B1195,Ingredients!$A$5:$A$304,0)),""))</f>
        <v>0</v>
      </c>
      <c r="G1195" s="8">
        <f>IF(B1195="","",IFERROR(INDEX(Ingredients!$D$5:$D$304,MATCH(B1195,Ingredients!$A$5:$A$304,0)),""))</f>
        <v>0</v>
      </c>
      <c r="H1195" s="8">
        <f>IF(OR(B1195="",C1195=""),"",IFERROR(C1195*G1195,""))</f>
        <v>0</v>
      </c>
      <c r="I1195" s="8">
        <f>IF(A1195="","",IFERROR(INDEX(Recipes!$D$5:$D$204,MATCH(A1195,Recipes!$A$5:$A$204,0)),""))</f>
        <v>0</v>
      </c>
      <c r="J1195" s="8">
        <f>IF(OR(H1195="",I1195="",I1195=0),"",IFERROR(H1195/I1195,""))</f>
        <v>0</v>
      </c>
      <c r="K1195" s="8">
        <f>IF(OR(B1195="",C1195=""),"",IFERROR(C1195*IFERROR(INDEX(Ingredients!$H$5:$H$304,MATCH(B1195,Ingredients!$A$5:$A$304,0)),""),""))</f>
        <v>0</v>
      </c>
      <c r="L1195" s="8">
        <f>IF(OR(B1195="",C1195=""),"",IFERROR(C1195*IFERROR(INDEX(Ingredients!$I$5:$I$304,MATCH(B1195,Ingredients!$A$5:$A$304,0)),""),""))</f>
        <v>0</v>
      </c>
      <c r="M1195" s="8">
        <f>IF(OR(B1195="",C1195=""),"",IFERROR(C1195*IFERROR(INDEX(Ingredients!$J$5:$J$304,MATCH(B1195,Ingredients!$A$5:$A$304,0)),""),""))</f>
        <v>0</v>
      </c>
      <c r="N1195" s="8">
        <f>IF(OR(B1195="",C1195=""),"",IFERROR(C1195*IFERROR(INDEX(Ingredients!$K$5:$K$304,MATCH(B1195,Ingredients!$A$5:$A$304,0)),""),""))</f>
        <v>0</v>
      </c>
      <c r="O1195" s="8">
        <f>IF(OR(B1195="",C1195=""),"",IFERROR(C1195*IFERROR(INDEX(Ingredients!$L$5:$L$304,MATCH(B1195,Ingredients!$A$5:$A$304,0)),""),""))</f>
        <v>0</v>
      </c>
      <c r="P1195" s="8">
        <f>IF(OR(H1195="",A1195=""),"",IFERROR(H1195/SUMIFS('Recipe Ingredients'!$H$5:$H$1204,'Recipe Ingredients'!$A$5:$A$1204,A1195),""))</f>
        <v>0</v>
      </c>
      <c r="Q1195" s="8">
        <f>IF(H1195="","",COUNTIFS($H$5:$H$1204,"&gt;"&amp;H1195)+1)</f>
        <v>0</v>
      </c>
      <c r="R1195" s="8">
        <f>IF(B1195="","",SUMIFS(Pantry!$C$5:$C$304,Pantry!$A$5:$A$304,B1195))</f>
        <v>0</v>
      </c>
      <c r="S1195" s="8">
        <f>IF(OR(B1195="",C1195=""),"",MAX(0,C1195-R1195))</f>
        <v>0</v>
      </c>
      <c r="T1195" s="26"/>
      <c r="U1195" s="8">
        <f>IF(OR(T1195="",T1195=0,G1195=""),"",T1195*G1195)</f>
        <v>0</v>
      </c>
      <c r="V1195" s="8">
        <f>IF(OR(S1195="",T1195="",T1195=0),"",CEILING(S1195/T1195,1))</f>
        <v>0</v>
      </c>
      <c r="W1195" s="27"/>
      <c r="X1195" s="29"/>
      <c r="Y1195" s="8">
        <f>IF(OR(C1195="",X1195=""),"",C1195*(1+X1195))</f>
        <v>0</v>
      </c>
      <c r="Z1195" s="8">
        <f>IF(B1195="","",IFERROR(INDEX(Ingredients!$O$5:$O$304,MATCH(B1195,Ingredients!$A$5:$A$304,0)),""))</f>
        <v>0</v>
      </c>
      <c r="AA1195" s="8">
        <f>IF(B1195="","",IF(R1195&gt;=C1195,"In pantry","To buy"))</f>
        <v>0</v>
      </c>
      <c r="AB1195" s="8">
        <f>IF(A1195="","",COUNTIFS($A$5:A1195,A1195))</f>
        <v>0</v>
      </c>
      <c r="AC1195" s="8">
        <f>IF(B1195="","",IF(COUNTIFS('Dietary Filters'!$C$5:$C$104,B1195)&gt;0,"Check","OK"))</f>
        <v>0</v>
      </c>
      <c r="AD1195" s="25"/>
    </row>
    <row r="1196" spans="1:30">
      <c r="A1196" s="7"/>
      <c r="B1196" s="7"/>
      <c r="C1196" s="26"/>
      <c r="D1196" s="27"/>
      <c r="E1196" s="8">
        <f>IF(B1196="","",IFERROR(INDEX(Ingredients!$B$5:$B$304,MATCH(B1196,Ingredients!$A$5:$A$304,0)),""))</f>
        <v>0</v>
      </c>
      <c r="F1196" s="8">
        <f>IF(B1196="","",IFERROR(INDEX(Ingredients!$E$5:$E$304,MATCH(B1196,Ingredients!$A$5:$A$304,0)),""))</f>
        <v>0</v>
      </c>
      <c r="G1196" s="8">
        <f>IF(B1196="","",IFERROR(INDEX(Ingredients!$D$5:$D$304,MATCH(B1196,Ingredients!$A$5:$A$304,0)),""))</f>
        <v>0</v>
      </c>
      <c r="H1196" s="8">
        <f>IF(OR(B1196="",C1196=""),"",IFERROR(C1196*G1196,""))</f>
        <v>0</v>
      </c>
      <c r="I1196" s="8">
        <f>IF(A1196="","",IFERROR(INDEX(Recipes!$D$5:$D$204,MATCH(A1196,Recipes!$A$5:$A$204,0)),""))</f>
        <v>0</v>
      </c>
      <c r="J1196" s="8">
        <f>IF(OR(H1196="",I1196="",I1196=0),"",IFERROR(H1196/I1196,""))</f>
        <v>0</v>
      </c>
      <c r="K1196" s="8">
        <f>IF(OR(B1196="",C1196=""),"",IFERROR(C1196*IFERROR(INDEX(Ingredients!$H$5:$H$304,MATCH(B1196,Ingredients!$A$5:$A$304,0)),""),""))</f>
        <v>0</v>
      </c>
      <c r="L1196" s="8">
        <f>IF(OR(B1196="",C1196=""),"",IFERROR(C1196*IFERROR(INDEX(Ingredients!$I$5:$I$304,MATCH(B1196,Ingredients!$A$5:$A$304,0)),""),""))</f>
        <v>0</v>
      </c>
      <c r="M1196" s="8">
        <f>IF(OR(B1196="",C1196=""),"",IFERROR(C1196*IFERROR(INDEX(Ingredients!$J$5:$J$304,MATCH(B1196,Ingredients!$A$5:$A$304,0)),""),""))</f>
        <v>0</v>
      </c>
      <c r="N1196" s="8">
        <f>IF(OR(B1196="",C1196=""),"",IFERROR(C1196*IFERROR(INDEX(Ingredients!$K$5:$K$304,MATCH(B1196,Ingredients!$A$5:$A$304,0)),""),""))</f>
        <v>0</v>
      </c>
      <c r="O1196" s="8">
        <f>IF(OR(B1196="",C1196=""),"",IFERROR(C1196*IFERROR(INDEX(Ingredients!$L$5:$L$304,MATCH(B1196,Ingredients!$A$5:$A$304,0)),""),""))</f>
        <v>0</v>
      </c>
      <c r="P1196" s="8">
        <f>IF(OR(H1196="",A1196=""),"",IFERROR(H1196/SUMIFS('Recipe Ingredients'!$H$5:$H$1204,'Recipe Ingredients'!$A$5:$A$1204,A1196),""))</f>
        <v>0</v>
      </c>
      <c r="Q1196" s="8">
        <f>IF(H1196="","",COUNTIFS($H$5:$H$1204,"&gt;"&amp;H1196)+1)</f>
        <v>0</v>
      </c>
      <c r="R1196" s="8">
        <f>IF(B1196="","",SUMIFS(Pantry!$C$5:$C$304,Pantry!$A$5:$A$304,B1196))</f>
        <v>0</v>
      </c>
      <c r="S1196" s="8">
        <f>IF(OR(B1196="",C1196=""),"",MAX(0,C1196-R1196))</f>
        <v>0</v>
      </c>
      <c r="T1196" s="26"/>
      <c r="U1196" s="8">
        <f>IF(OR(T1196="",T1196=0,G1196=""),"",T1196*G1196)</f>
        <v>0</v>
      </c>
      <c r="V1196" s="8">
        <f>IF(OR(S1196="",T1196="",T1196=0),"",CEILING(S1196/T1196,1))</f>
        <v>0</v>
      </c>
      <c r="W1196" s="27"/>
      <c r="X1196" s="29"/>
      <c r="Y1196" s="8">
        <f>IF(OR(C1196="",X1196=""),"",C1196*(1+X1196))</f>
        <v>0</v>
      </c>
      <c r="Z1196" s="8">
        <f>IF(B1196="","",IFERROR(INDEX(Ingredients!$O$5:$O$304,MATCH(B1196,Ingredients!$A$5:$A$304,0)),""))</f>
        <v>0</v>
      </c>
      <c r="AA1196" s="8">
        <f>IF(B1196="","",IF(R1196&gt;=C1196,"In pantry","To buy"))</f>
        <v>0</v>
      </c>
      <c r="AB1196" s="8">
        <f>IF(A1196="","",COUNTIFS($A$5:A1196,A1196))</f>
        <v>0</v>
      </c>
      <c r="AC1196" s="8">
        <f>IF(B1196="","",IF(COUNTIFS('Dietary Filters'!$C$5:$C$104,B1196)&gt;0,"Check","OK"))</f>
        <v>0</v>
      </c>
      <c r="AD1196" s="25"/>
    </row>
    <row r="1197" spans="1:30">
      <c r="A1197" s="7"/>
      <c r="B1197" s="7"/>
      <c r="C1197" s="26"/>
      <c r="D1197" s="27"/>
      <c r="E1197" s="8">
        <f>IF(B1197="","",IFERROR(INDEX(Ingredients!$B$5:$B$304,MATCH(B1197,Ingredients!$A$5:$A$304,0)),""))</f>
        <v>0</v>
      </c>
      <c r="F1197" s="8">
        <f>IF(B1197="","",IFERROR(INDEX(Ingredients!$E$5:$E$304,MATCH(B1197,Ingredients!$A$5:$A$304,0)),""))</f>
        <v>0</v>
      </c>
      <c r="G1197" s="8">
        <f>IF(B1197="","",IFERROR(INDEX(Ingredients!$D$5:$D$304,MATCH(B1197,Ingredients!$A$5:$A$304,0)),""))</f>
        <v>0</v>
      </c>
      <c r="H1197" s="8">
        <f>IF(OR(B1197="",C1197=""),"",IFERROR(C1197*G1197,""))</f>
        <v>0</v>
      </c>
      <c r="I1197" s="8">
        <f>IF(A1197="","",IFERROR(INDEX(Recipes!$D$5:$D$204,MATCH(A1197,Recipes!$A$5:$A$204,0)),""))</f>
        <v>0</v>
      </c>
      <c r="J1197" s="8">
        <f>IF(OR(H1197="",I1197="",I1197=0),"",IFERROR(H1197/I1197,""))</f>
        <v>0</v>
      </c>
      <c r="K1197" s="8">
        <f>IF(OR(B1197="",C1197=""),"",IFERROR(C1197*IFERROR(INDEX(Ingredients!$H$5:$H$304,MATCH(B1197,Ingredients!$A$5:$A$304,0)),""),""))</f>
        <v>0</v>
      </c>
      <c r="L1197" s="8">
        <f>IF(OR(B1197="",C1197=""),"",IFERROR(C1197*IFERROR(INDEX(Ingredients!$I$5:$I$304,MATCH(B1197,Ingredients!$A$5:$A$304,0)),""),""))</f>
        <v>0</v>
      </c>
      <c r="M1197" s="8">
        <f>IF(OR(B1197="",C1197=""),"",IFERROR(C1197*IFERROR(INDEX(Ingredients!$J$5:$J$304,MATCH(B1197,Ingredients!$A$5:$A$304,0)),""),""))</f>
        <v>0</v>
      </c>
      <c r="N1197" s="8">
        <f>IF(OR(B1197="",C1197=""),"",IFERROR(C1197*IFERROR(INDEX(Ingredients!$K$5:$K$304,MATCH(B1197,Ingredients!$A$5:$A$304,0)),""),""))</f>
        <v>0</v>
      </c>
      <c r="O1197" s="8">
        <f>IF(OR(B1197="",C1197=""),"",IFERROR(C1197*IFERROR(INDEX(Ingredients!$L$5:$L$304,MATCH(B1197,Ingredients!$A$5:$A$304,0)),""),""))</f>
        <v>0</v>
      </c>
      <c r="P1197" s="8">
        <f>IF(OR(H1197="",A1197=""),"",IFERROR(H1197/SUMIFS('Recipe Ingredients'!$H$5:$H$1204,'Recipe Ingredients'!$A$5:$A$1204,A1197),""))</f>
        <v>0</v>
      </c>
      <c r="Q1197" s="8">
        <f>IF(H1197="","",COUNTIFS($H$5:$H$1204,"&gt;"&amp;H1197)+1)</f>
        <v>0</v>
      </c>
      <c r="R1197" s="8">
        <f>IF(B1197="","",SUMIFS(Pantry!$C$5:$C$304,Pantry!$A$5:$A$304,B1197))</f>
        <v>0</v>
      </c>
      <c r="S1197" s="8">
        <f>IF(OR(B1197="",C1197=""),"",MAX(0,C1197-R1197))</f>
        <v>0</v>
      </c>
      <c r="T1197" s="26"/>
      <c r="U1197" s="8">
        <f>IF(OR(T1197="",T1197=0,G1197=""),"",T1197*G1197)</f>
        <v>0</v>
      </c>
      <c r="V1197" s="8">
        <f>IF(OR(S1197="",T1197="",T1197=0),"",CEILING(S1197/T1197,1))</f>
        <v>0</v>
      </c>
      <c r="W1197" s="27"/>
      <c r="X1197" s="29"/>
      <c r="Y1197" s="8">
        <f>IF(OR(C1197="",X1197=""),"",C1197*(1+X1197))</f>
        <v>0</v>
      </c>
      <c r="Z1197" s="8">
        <f>IF(B1197="","",IFERROR(INDEX(Ingredients!$O$5:$O$304,MATCH(B1197,Ingredients!$A$5:$A$304,0)),""))</f>
        <v>0</v>
      </c>
      <c r="AA1197" s="8">
        <f>IF(B1197="","",IF(R1197&gt;=C1197,"In pantry","To buy"))</f>
        <v>0</v>
      </c>
      <c r="AB1197" s="8">
        <f>IF(A1197="","",COUNTIFS($A$5:A1197,A1197))</f>
        <v>0</v>
      </c>
      <c r="AC1197" s="8">
        <f>IF(B1197="","",IF(COUNTIFS('Dietary Filters'!$C$5:$C$104,B1197)&gt;0,"Check","OK"))</f>
        <v>0</v>
      </c>
      <c r="AD1197" s="25"/>
    </row>
    <row r="1198" spans="1:30">
      <c r="A1198" s="7"/>
      <c r="B1198" s="7"/>
      <c r="C1198" s="26"/>
      <c r="D1198" s="27"/>
      <c r="E1198" s="8">
        <f>IF(B1198="","",IFERROR(INDEX(Ingredients!$B$5:$B$304,MATCH(B1198,Ingredients!$A$5:$A$304,0)),""))</f>
        <v>0</v>
      </c>
      <c r="F1198" s="8">
        <f>IF(B1198="","",IFERROR(INDEX(Ingredients!$E$5:$E$304,MATCH(B1198,Ingredients!$A$5:$A$304,0)),""))</f>
        <v>0</v>
      </c>
      <c r="G1198" s="8">
        <f>IF(B1198="","",IFERROR(INDEX(Ingredients!$D$5:$D$304,MATCH(B1198,Ingredients!$A$5:$A$304,0)),""))</f>
        <v>0</v>
      </c>
      <c r="H1198" s="8">
        <f>IF(OR(B1198="",C1198=""),"",IFERROR(C1198*G1198,""))</f>
        <v>0</v>
      </c>
      <c r="I1198" s="8">
        <f>IF(A1198="","",IFERROR(INDEX(Recipes!$D$5:$D$204,MATCH(A1198,Recipes!$A$5:$A$204,0)),""))</f>
        <v>0</v>
      </c>
      <c r="J1198" s="8">
        <f>IF(OR(H1198="",I1198="",I1198=0),"",IFERROR(H1198/I1198,""))</f>
        <v>0</v>
      </c>
      <c r="K1198" s="8">
        <f>IF(OR(B1198="",C1198=""),"",IFERROR(C1198*IFERROR(INDEX(Ingredients!$H$5:$H$304,MATCH(B1198,Ingredients!$A$5:$A$304,0)),""),""))</f>
        <v>0</v>
      </c>
      <c r="L1198" s="8">
        <f>IF(OR(B1198="",C1198=""),"",IFERROR(C1198*IFERROR(INDEX(Ingredients!$I$5:$I$304,MATCH(B1198,Ingredients!$A$5:$A$304,0)),""),""))</f>
        <v>0</v>
      </c>
      <c r="M1198" s="8">
        <f>IF(OR(B1198="",C1198=""),"",IFERROR(C1198*IFERROR(INDEX(Ingredients!$J$5:$J$304,MATCH(B1198,Ingredients!$A$5:$A$304,0)),""),""))</f>
        <v>0</v>
      </c>
      <c r="N1198" s="8">
        <f>IF(OR(B1198="",C1198=""),"",IFERROR(C1198*IFERROR(INDEX(Ingredients!$K$5:$K$304,MATCH(B1198,Ingredients!$A$5:$A$304,0)),""),""))</f>
        <v>0</v>
      </c>
      <c r="O1198" s="8">
        <f>IF(OR(B1198="",C1198=""),"",IFERROR(C1198*IFERROR(INDEX(Ingredients!$L$5:$L$304,MATCH(B1198,Ingredients!$A$5:$A$304,0)),""),""))</f>
        <v>0</v>
      </c>
      <c r="P1198" s="8">
        <f>IF(OR(H1198="",A1198=""),"",IFERROR(H1198/SUMIFS('Recipe Ingredients'!$H$5:$H$1204,'Recipe Ingredients'!$A$5:$A$1204,A1198),""))</f>
        <v>0</v>
      </c>
      <c r="Q1198" s="8">
        <f>IF(H1198="","",COUNTIFS($H$5:$H$1204,"&gt;"&amp;H1198)+1)</f>
        <v>0</v>
      </c>
      <c r="R1198" s="8">
        <f>IF(B1198="","",SUMIFS(Pantry!$C$5:$C$304,Pantry!$A$5:$A$304,B1198))</f>
        <v>0</v>
      </c>
      <c r="S1198" s="8">
        <f>IF(OR(B1198="",C1198=""),"",MAX(0,C1198-R1198))</f>
        <v>0</v>
      </c>
      <c r="T1198" s="26"/>
      <c r="U1198" s="8">
        <f>IF(OR(T1198="",T1198=0,G1198=""),"",T1198*G1198)</f>
        <v>0</v>
      </c>
      <c r="V1198" s="8">
        <f>IF(OR(S1198="",T1198="",T1198=0),"",CEILING(S1198/T1198,1))</f>
        <v>0</v>
      </c>
      <c r="W1198" s="27"/>
      <c r="X1198" s="29"/>
      <c r="Y1198" s="8">
        <f>IF(OR(C1198="",X1198=""),"",C1198*(1+X1198))</f>
        <v>0</v>
      </c>
      <c r="Z1198" s="8">
        <f>IF(B1198="","",IFERROR(INDEX(Ingredients!$O$5:$O$304,MATCH(B1198,Ingredients!$A$5:$A$304,0)),""))</f>
        <v>0</v>
      </c>
      <c r="AA1198" s="8">
        <f>IF(B1198="","",IF(R1198&gt;=C1198,"In pantry","To buy"))</f>
        <v>0</v>
      </c>
      <c r="AB1198" s="8">
        <f>IF(A1198="","",COUNTIFS($A$5:A1198,A1198))</f>
        <v>0</v>
      </c>
      <c r="AC1198" s="8">
        <f>IF(B1198="","",IF(COUNTIFS('Dietary Filters'!$C$5:$C$104,B1198)&gt;0,"Check","OK"))</f>
        <v>0</v>
      </c>
      <c r="AD1198" s="25"/>
    </row>
    <row r="1199" spans="1:30">
      <c r="A1199" s="7"/>
      <c r="B1199" s="7"/>
      <c r="C1199" s="26"/>
      <c r="D1199" s="27"/>
      <c r="E1199" s="8">
        <f>IF(B1199="","",IFERROR(INDEX(Ingredients!$B$5:$B$304,MATCH(B1199,Ingredients!$A$5:$A$304,0)),""))</f>
        <v>0</v>
      </c>
      <c r="F1199" s="8">
        <f>IF(B1199="","",IFERROR(INDEX(Ingredients!$E$5:$E$304,MATCH(B1199,Ingredients!$A$5:$A$304,0)),""))</f>
        <v>0</v>
      </c>
      <c r="G1199" s="8">
        <f>IF(B1199="","",IFERROR(INDEX(Ingredients!$D$5:$D$304,MATCH(B1199,Ingredients!$A$5:$A$304,0)),""))</f>
        <v>0</v>
      </c>
      <c r="H1199" s="8">
        <f>IF(OR(B1199="",C1199=""),"",IFERROR(C1199*G1199,""))</f>
        <v>0</v>
      </c>
      <c r="I1199" s="8">
        <f>IF(A1199="","",IFERROR(INDEX(Recipes!$D$5:$D$204,MATCH(A1199,Recipes!$A$5:$A$204,0)),""))</f>
        <v>0</v>
      </c>
      <c r="J1199" s="8">
        <f>IF(OR(H1199="",I1199="",I1199=0),"",IFERROR(H1199/I1199,""))</f>
        <v>0</v>
      </c>
      <c r="K1199" s="8">
        <f>IF(OR(B1199="",C1199=""),"",IFERROR(C1199*IFERROR(INDEX(Ingredients!$H$5:$H$304,MATCH(B1199,Ingredients!$A$5:$A$304,0)),""),""))</f>
        <v>0</v>
      </c>
      <c r="L1199" s="8">
        <f>IF(OR(B1199="",C1199=""),"",IFERROR(C1199*IFERROR(INDEX(Ingredients!$I$5:$I$304,MATCH(B1199,Ingredients!$A$5:$A$304,0)),""),""))</f>
        <v>0</v>
      </c>
      <c r="M1199" s="8">
        <f>IF(OR(B1199="",C1199=""),"",IFERROR(C1199*IFERROR(INDEX(Ingredients!$J$5:$J$304,MATCH(B1199,Ingredients!$A$5:$A$304,0)),""),""))</f>
        <v>0</v>
      </c>
      <c r="N1199" s="8">
        <f>IF(OR(B1199="",C1199=""),"",IFERROR(C1199*IFERROR(INDEX(Ingredients!$K$5:$K$304,MATCH(B1199,Ingredients!$A$5:$A$304,0)),""),""))</f>
        <v>0</v>
      </c>
      <c r="O1199" s="8">
        <f>IF(OR(B1199="",C1199=""),"",IFERROR(C1199*IFERROR(INDEX(Ingredients!$L$5:$L$304,MATCH(B1199,Ingredients!$A$5:$A$304,0)),""),""))</f>
        <v>0</v>
      </c>
      <c r="P1199" s="8">
        <f>IF(OR(H1199="",A1199=""),"",IFERROR(H1199/SUMIFS('Recipe Ingredients'!$H$5:$H$1204,'Recipe Ingredients'!$A$5:$A$1204,A1199),""))</f>
        <v>0</v>
      </c>
      <c r="Q1199" s="8">
        <f>IF(H1199="","",COUNTIFS($H$5:$H$1204,"&gt;"&amp;H1199)+1)</f>
        <v>0</v>
      </c>
      <c r="R1199" s="8">
        <f>IF(B1199="","",SUMIFS(Pantry!$C$5:$C$304,Pantry!$A$5:$A$304,B1199))</f>
        <v>0</v>
      </c>
      <c r="S1199" s="8">
        <f>IF(OR(B1199="",C1199=""),"",MAX(0,C1199-R1199))</f>
        <v>0</v>
      </c>
      <c r="T1199" s="26"/>
      <c r="U1199" s="8">
        <f>IF(OR(T1199="",T1199=0,G1199=""),"",T1199*G1199)</f>
        <v>0</v>
      </c>
      <c r="V1199" s="8">
        <f>IF(OR(S1199="",T1199="",T1199=0),"",CEILING(S1199/T1199,1))</f>
        <v>0</v>
      </c>
      <c r="W1199" s="27"/>
      <c r="X1199" s="29"/>
      <c r="Y1199" s="8">
        <f>IF(OR(C1199="",X1199=""),"",C1199*(1+X1199))</f>
        <v>0</v>
      </c>
      <c r="Z1199" s="8">
        <f>IF(B1199="","",IFERROR(INDEX(Ingredients!$O$5:$O$304,MATCH(B1199,Ingredients!$A$5:$A$304,0)),""))</f>
        <v>0</v>
      </c>
      <c r="AA1199" s="8">
        <f>IF(B1199="","",IF(R1199&gt;=C1199,"In pantry","To buy"))</f>
        <v>0</v>
      </c>
      <c r="AB1199" s="8">
        <f>IF(A1199="","",COUNTIFS($A$5:A1199,A1199))</f>
        <v>0</v>
      </c>
      <c r="AC1199" s="8">
        <f>IF(B1199="","",IF(COUNTIFS('Dietary Filters'!$C$5:$C$104,B1199)&gt;0,"Check","OK"))</f>
        <v>0</v>
      </c>
      <c r="AD1199" s="25"/>
    </row>
    <row r="1200" spans="1:30">
      <c r="A1200" s="7"/>
      <c r="B1200" s="7"/>
      <c r="C1200" s="26"/>
      <c r="D1200" s="27"/>
      <c r="E1200" s="8">
        <f>IF(B1200="","",IFERROR(INDEX(Ingredients!$B$5:$B$304,MATCH(B1200,Ingredients!$A$5:$A$304,0)),""))</f>
        <v>0</v>
      </c>
      <c r="F1200" s="8">
        <f>IF(B1200="","",IFERROR(INDEX(Ingredients!$E$5:$E$304,MATCH(B1200,Ingredients!$A$5:$A$304,0)),""))</f>
        <v>0</v>
      </c>
      <c r="G1200" s="8">
        <f>IF(B1200="","",IFERROR(INDEX(Ingredients!$D$5:$D$304,MATCH(B1200,Ingredients!$A$5:$A$304,0)),""))</f>
        <v>0</v>
      </c>
      <c r="H1200" s="8">
        <f>IF(OR(B1200="",C1200=""),"",IFERROR(C1200*G1200,""))</f>
        <v>0</v>
      </c>
      <c r="I1200" s="8">
        <f>IF(A1200="","",IFERROR(INDEX(Recipes!$D$5:$D$204,MATCH(A1200,Recipes!$A$5:$A$204,0)),""))</f>
        <v>0</v>
      </c>
      <c r="J1200" s="8">
        <f>IF(OR(H1200="",I1200="",I1200=0),"",IFERROR(H1200/I1200,""))</f>
        <v>0</v>
      </c>
      <c r="K1200" s="8">
        <f>IF(OR(B1200="",C1200=""),"",IFERROR(C1200*IFERROR(INDEX(Ingredients!$H$5:$H$304,MATCH(B1200,Ingredients!$A$5:$A$304,0)),""),""))</f>
        <v>0</v>
      </c>
      <c r="L1200" s="8">
        <f>IF(OR(B1200="",C1200=""),"",IFERROR(C1200*IFERROR(INDEX(Ingredients!$I$5:$I$304,MATCH(B1200,Ingredients!$A$5:$A$304,0)),""),""))</f>
        <v>0</v>
      </c>
      <c r="M1200" s="8">
        <f>IF(OR(B1200="",C1200=""),"",IFERROR(C1200*IFERROR(INDEX(Ingredients!$J$5:$J$304,MATCH(B1200,Ingredients!$A$5:$A$304,0)),""),""))</f>
        <v>0</v>
      </c>
      <c r="N1200" s="8">
        <f>IF(OR(B1200="",C1200=""),"",IFERROR(C1200*IFERROR(INDEX(Ingredients!$K$5:$K$304,MATCH(B1200,Ingredients!$A$5:$A$304,0)),""),""))</f>
        <v>0</v>
      </c>
      <c r="O1200" s="8">
        <f>IF(OR(B1200="",C1200=""),"",IFERROR(C1200*IFERROR(INDEX(Ingredients!$L$5:$L$304,MATCH(B1200,Ingredients!$A$5:$A$304,0)),""),""))</f>
        <v>0</v>
      </c>
      <c r="P1200" s="8">
        <f>IF(OR(H1200="",A1200=""),"",IFERROR(H1200/SUMIFS('Recipe Ingredients'!$H$5:$H$1204,'Recipe Ingredients'!$A$5:$A$1204,A1200),""))</f>
        <v>0</v>
      </c>
      <c r="Q1200" s="8">
        <f>IF(H1200="","",COUNTIFS($H$5:$H$1204,"&gt;"&amp;H1200)+1)</f>
        <v>0</v>
      </c>
      <c r="R1200" s="8">
        <f>IF(B1200="","",SUMIFS(Pantry!$C$5:$C$304,Pantry!$A$5:$A$304,B1200))</f>
        <v>0</v>
      </c>
      <c r="S1200" s="8">
        <f>IF(OR(B1200="",C1200=""),"",MAX(0,C1200-R1200))</f>
        <v>0</v>
      </c>
      <c r="T1200" s="26"/>
      <c r="U1200" s="8">
        <f>IF(OR(T1200="",T1200=0,G1200=""),"",T1200*G1200)</f>
        <v>0</v>
      </c>
      <c r="V1200" s="8">
        <f>IF(OR(S1200="",T1200="",T1200=0),"",CEILING(S1200/T1200,1))</f>
        <v>0</v>
      </c>
      <c r="W1200" s="27"/>
      <c r="X1200" s="29"/>
      <c r="Y1200" s="8">
        <f>IF(OR(C1200="",X1200=""),"",C1200*(1+X1200))</f>
        <v>0</v>
      </c>
      <c r="Z1200" s="8">
        <f>IF(B1200="","",IFERROR(INDEX(Ingredients!$O$5:$O$304,MATCH(B1200,Ingredients!$A$5:$A$304,0)),""))</f>
        <v>0</v>
      </c>
      <c r="AA1200" s="8">
        <f>IF(B1200="","",IF(R1200&gt;=C1200,"In pantry","To buy"))</f>
        <v>0</v>
      </c>
      <c r="AB1200" s="8">
        <f>IF(A1200="","",COUNTIFS($A$5:A1200,A1200))</f>
        <v>0</v>
      </c>
      <c r="AC1200" s="8">
        <f>IF(B1200="","",IF(COUNTIFS('Dietary Filters'!$C$5:$C$104,B1200)&gt;0,"Check","OK"))</f>
        <v>0</v>
      </c>
      <c r="AD1200" s="25"/>
    </row>
    <row r="1201" spans="1:30">
      <c r="A1201" s="7"/>
      <c r="B1201" s="7"/>
      <c r="C1201" s="26"/>
      <c r="D1201" s="27"/>
      <c r="E1201" s="8">
        <f>IF(B1201="","",IFERROR(INDEX(Ingredients!$B$5:$B$304,MATCH(B1201,Ingredients!$A$5:$A$304,0)),""))</f>
        <v>0</v>
      </c>
      <c r="F1201" s="8">
        <f>IF(B1201="","",IFERROR(INDEX(Ingredients!$E$5:$E$304,MATCH(B1201,Ingredients!$A$5:$A$304,0)),""))</f>
        <v>0</v>
      </c>
      <c r="G1201" s="8">
        <f>IF(B1201="","",IFERROR(INDEX(Ingredients!$D$5:$D$304,MATCH(B1201,Ingredients!$A$5:$A$304,0)),""))</f>
        <v>0</v>
      </c>
      <c r="H1201" s="8">
        <f>IF(OR(B1201="",C1201=""),"",IFERROR(C1201*G1201,""))</f>
        <v>0</v>
      </c>
      <c r="I1201" s="8">
        <f>IF(A1201="","",IFERROR(INDEX(Recipes!$D$5:$D$204,MATCH(A1201,Recipes!$A$5:$A$204,0)),""))</f>
        <v>0</v>
      </c>
      <c r="J1201" s="8">
        <f>IF(OR(H1201="",I1201="",I1201=0),"",IFERROR(H1201/I1201,""))</f>
        <v>0</v>
      </c>
      <c r="K1201" s="8">
        <f>IF(OR(B1201="",C1201=""),"",IFERROR(C1201*IFERROR(INDEX(Ingredients!$H$5:$H$304,MATCH(B1201,Ingredients!$A$5:$A$304,0)),""),""))</f>
        <v>0</v>
      </c>
      <c r="L1201" s="8">
        <f>IF(OR(B1201="",C1201=""),"",IFERROR(C1201*IFERROR(INDEX(Ingredients!$I$5:$I$304,MATCH(B1201,Ingredients!$A$5:$A$304,0)),""),""))</f>
        <v>0</v>
      </c>
      <c r="M1201" s="8">
        <f>IF(OR(B1201="",C1201=""),"",IFERROR(C1201*IFERROR(INDEX(Ingredients!$J$5:$J$304,MATCH(B1201,Ingredients!$A$5:$A$304,0)),""),""))</f>
        <v>0</v>
      </c>
      <c r="N1201" s="8">
        <f>IF(OR(B1201="",C1201=""),"",IFERROR(C1201*IFERROR(INDEX(Ingredients!$K$5:$K$304,MATCH(B1201,Ingredients!$A$5:$A$304,0)),""),""))</f>
        <v>0</v>
      </c>
      <c r="O1201" s="8">
        <f>IF(OR(B1201="",C1201=""),"",IFERROR(C1201*IFERROR(INDEX(Ingredients!$L$5:$L$304,MATCH(B1201,Ingredients!$A$5:$A$304,0)),""),""))</f>
        <v>0</v>
      </c>
      <c r="P1201" s="8">
        <f>IF(OR(H1201="",A1201=""),"",IFERROR(H1201/SUMIFS('Recipe Ingredients'!$H$5:$H$1204,'Recipe Ingredients'!$A$5:$A$1204,A1201),""))</f>
        <v>0</v>
      </c>
      <c r="Q1201" s="8">
        <f>IF(H1201="","",COUNTIFS($H$5:$H$1204,"&gt;"&amp;H1201)+1)</f>
        <v>0</v>
      </c>
      <c r="R1201" s="8">
        <f>IF(B1201="","",SUMIFS(Pantry!$C$5:$C$304,Pantry!$A$5:$A$304,B1201))</f>
        <v>0</v>
      </c>
      <c r="S1201" s="8">
        <f>IF(OR(B1201="",C1201=""),"",MAX(0,C1201-R1201))</f>
        <v>0</v>
      </c>
      <c r="T1201" s="26"/>
      <c r="U1201" s="8">
        <f>IF(OR(T1201="",T1201=0,G1201=""),"",T1201*G1201)</f>
        <v>0</v>
      </c>
      <c r="V1201" s="8">
        <f>IF(OR(S1201="",T1201="",T1201=0),"",CEILING(S1201/T1201,1))</f>
        <v>0</v>
      </c>
      <c r="W1201" s="27"/>
      <c r="X1201" s="29"/>
      <c r="Y1201" s="8">
        <f>IF(OR(C1201="",X1201=""),"",C1201*(1+X1201))</f>
        <v>0</v>
      </c>
      <c r="Z1201" s="8">
        <f>IF(B1201="","",IFERROR(INDEX(Ingredients!$O$5:$O$304,MATCH(B1201,Ingredients!$A$5:$A$304,0)),""))</f>
        <v>0</v>
      </c>
      <c r="AA1201" s="8">
        <f>IF(B1201="","",IF(R1201&gt;=C1201,"In pantry","To buy"))</f>
        <v>0</v>
      </c>
      <c r="AB1201" s="8">
        <f>IF(A1201="","",COUNTIFS($A$5:A1201,A1201))</f>
        <v>0</v>
      </c>
      <c r="AC1201" s="8">
        <f>IF(B1201="","",IF(COUNTIFS('Dietary Filters'!$C$5:$C$104,B1201)&gt;0,"Check","OK"))</f>
        <v>0</v>
      </c>
      <c r="AD1201" s="25"/>
    </row>
    <row r="1202" spans="1:30">
      <c r="A1202" s="7"/>
      <c r="B1202" s="7"/>
      <c r="C1202" s="26"/>
      <c r="D1202" s="27"/>
      <c r="E1202" s="8">
        <f>IF(B1202="","",IFERROR(INDEX(Ingredients!$B$5:$B$304,MATCH(B1202,Ingredients!$A$5:$A$304,0)),""))</f>
        <v>0</v>
      </c>
      <c r="F1202" s="8">
        <f>IF(B1202="","",IFERROR(INDEX(Ingredients!$E$5:$E$304,MATCH(B1202,Ingredients!$A$5:$A$304,0)),""))</f>
        <v>0</v>
      </c>
      <c r="G1202" s="8">
        <f>IF(B1202="","",IFERROR(INDEX(Ingredients!$D$5:$D$304,MATCH(B1202,Ingredients!$A$5:$A$304,0)),""))</f>
        <v>0</v>
      </c>
      <c r="H1202" s="8">
        <f>IF(OR(B1202="",C1202=""),"",IFERROR(C1202*G1202,""))</f>
        <v>0</v>
      </c>
      <c r="I1202" s="8">
        <f>IF(A1202="","",IFERROR(INDEX(Recipes!$D$5:$D$204,MATCH(A1202,Recipes!$A$5:$A$204,0)),""))</f>
        <v>0</v>
      </c>
      <c r="J1202" s="8">
        <f>IF(OR(H1202="",I1202="",I1202=0),"",IFERROR(H1202/I1202,""))</f>
        <v>0</v>
      </c>
      <c r="K1202" s="8">
        <f>IF(OR(B1202="",C1202=""),"",IFERROR(C1202*IFERROR(INDEX(Ingredients!$H$5:$H$304,MATCH(B1202,Ingredients!$A$5:$A$304,0)),""),""))</f>
        <v>0</v>
      </c>
      <c r="L1202" s="8">
        <f>IF(OR(B1202="",C1202=""),"",IFERROR(C1202*IFERROR(INDEX(Ingredients!$I$5:$I$304,MATCH(B1202,Ingredients!$A$5:$A$304,0)),""),""))</f>
        <v>0</v>
      </c>
      <c r="M1202" s="8">
        <f>IF(OR(B1202="",C1202=""),"",IFERROR(C1202*IFERROR(INDEX(Ingredients!$J$5:$J$304,MATCH(B1202,Ingredients!$A$5:$A$304,0)),""),""))</f>
        <v>0</v>
      </c>
      <c r="N1202" s="8">
        <f>IF(OR(B1202="",C1202=""),"",IFERROR(C1202*IFERROR(INDEX(Ingredients!$K$5:$K$304,MATCH(B1202,Ingredients!$A$5:$A$304,0)),""),""))</f>
        <v>0</v>
      </c>
      <c r="O1202" s="8">
        <f>IF(OR(B1202="",C1202=""),"",IFERROR(C1202*IFERROR(INDEX(Ingredients!$L$5:$L$304,MATCH(B1202,Ingredients!$A$5:$A$304,0)),""),""))</f>
        <v>0</v>
      </c>
      <c r="P1202" s="8">
        <f>IF(OR(H1202="",A1202=""),"",IFERROR(H1202/SUMIFS('Recipe Ingredients'!$H$5:$H$1204,'Recipe Ingredients'!$A$5:$A$1204,A1202),""))</f>
        <v>0</v>
      </c>
      <c r="Q1202" s="8">
        <f>IF(H1202="","",COUNTIFS($H$5:$H$1204,"&gt;"&amp;H1202)+1)</f>
        <v>0</v>
      </c>
      <c r="R1202" s="8">
        <f>IF(B1202="","",SUMIFS(Pantry!$C$5:$C$304,Pantry!$A$5:$A$304,B1202))</f>
        <v>0</v>
      </c>
      <c r="S1202" s="8">
        <f>IF(OR(B1202="",C1202=""),"",MAX(0,C1202-R1202))</f>
        <v>0</v>
      </c>
      <c r="T1202" s="26"/>
      <c r="U1202" s="8">
        <f>IF(OR(T1202="",T1202=0,G1202=""),"",T1202*G1202)</f>
        <v>0</v>
      </c>
      <c r="V1202" s="8">
        <f>IF(OR(S1202="",T1202="",T1202=0),"",CEILING(S1202/T1202,1))</f>
        <v>0</v>
      </c>
      <c r="W1202" s="27"/>
      <c r="X1202" s="29"/>
      <c r="Y1202" s="8">
        <f>IF(OR(C1202="",X1202=""),"",C1202*(1+X1202))</f>
        <v>0</v>
      </c>
      <c r="Z1202" s="8">
        <f>IF(B1202="","",IFERROR(INDEX(Ingredients!$O$5:$O$304,MATCH(B1202,Ingredients!$A$5:$A$304,0)),""))</f>
        <v>0</v>
      </c>
      <c r="AA1202" s="8">
        <f>IF(B1202="","",IF(R1202&gt;=C1202,"In pantry","To buy"))</f>
        <v>0</v>
      </c>
      <c r="AB1202" s="8">
        <f>IF(A1202="","",COUNTIFS($A$5:A1202,A1202))</f>
        <v>0</v>
      </c>
      <c r="AC1202" s="8">
        <f>IF(B1202="","",IF(COUNTIFS('Dietary Filters'!$C$5:$C$104,B1202)&gt;0,"Check","OK"))</f>
        <v>0</v>
      </c>
      <c r="AD1202" s="25"/>
    </row>
    <row r="1203" spans="1:30">
      <c r="A1203" s="7"/>
      <c r="B1203" s="7"/>
      <c r="C1203" s="26"/>
      <c r="D1203" s="27"/>
      <c r="E1203" s="8">
        <f>IF(B1203="","",IFERROR(INDEX(Ingredients!$B$5:$B$304,MATCH(B1203,Ingredients!$A$5:$A$304,0)),""))</f>
        <v>0</v>
      </c>
      <c r="F1203" s="8">
        <f>IF(B1203="","",IFERROR(INDEX(Ingredients!$E$5:$E$304,MATCH(B1203,Ingredients!$A$5:$A$304,0)),""))</f>
        <v>0</v>
      </c>
      <c r="G1203" s="8">
        <f>IF(B1203="","",IFERROR(INDEX(Ingredients!$D$5:$D$304,MATCH(B1203,Ingredients!$A$5:$A$304,0)),""))</f>
        <v>0</v>
      </c>
      <c r="H1203" s="8">
        <f>IF(OR(B1203="",C1203=""),"",IFERROR(C1203*G1203,""))</f>
        <v>0</v>
      </c>
      <c r="I1203" s="8">
        <f>IF(A1203="","",IFERROR(INDEX(Recipes!$D$5:$D$204,MATCH(A1203,Recipes!$A$5:$A$204,0)),""))</f>
        <v>0</v>
      </c>
      <c r="J1203" s="8">
        <f>IF(OR(H1203="",I1203="",I1203=0),"",IFERROR(H1203/I1203,""))</f>
        <v>0</v>
      </c>
      <c r="K1203" s="8">
        <f>IF(OR(B1203="",C1203=""),"",IFERROR(C1203*IFERROR(INDEX(Ingredients!$H$5:$H$304,MATCH(B1203,Ingredients!$A$5:$A$304,0)),""),""))</f>
        <v>0</v>
      </c>
      <c r="L1203" s="8">
        <f>IF(OR(B1203="",C1203=""),"",IFERROR(C1203*IFERROR(INDEX(Ingredients!$I$5:$I$304,MATCH(B1203,Ingredients!$A$5:$A$304,0)),""),""))</f>
        <v>0</v>
      </c>
      <c r="M1203" s="8">
        <f>IF(OR(B1203="",C1203=""),"",IFERROR(C1203*IFERROR(INDEX(Ingredients!$J$5:$J$304,MATCH(B1203,Ingredients!$A$5:$A$304,0)),""),""))</f>
        <v>0</v>
      </c>
      <c r="N1203" s="8">
        <f>IF(OR(B1203="",C1203=""),"",IFERROR(C1203*IFERROR(INDEX(Ingredients!$K$5:$K$304,MATCH(B1203,Ingredients!$A$5:$A$304,0)),""),""))</f>
        <v>0</v>
      </c>
      <c r="O1203" s="8">
        <f>IF(OR(B1203="",C1203=""),"",IFERROR(C1203*IFERROR(INDEX(Ingredients!$L$5:$L$304,MATCH(B1203,Ingredients!$A$5:$A$304,0)),""),""))</f>
        <v>0</v>
      </c>
      <c r="P1203" s="8">
        <f>IF(OR(H1203="",A1203=""),"",IFERROR(H1203/SUMIFS('Recipe Ingredients'!$H$5:$H$1204,'Recipe Ingredients'!$A$5:$A$1204,A1203),""))</f>
        <v>0</v>
      </c>
      <c r="Q1203" s="8">
        <f>IF(H1203="","",COUNTIFS($H$5:$H$1204,"&gt;"&amp;H1203)+1)</f>
        <v>0</v>
      </c>
      <c r="R1203" s="8">
        <f>IF(B1203="","",SUMIFS(Pantry!$C$5:$C$304,Pantry!$A$5:$A$304,B1203))</f>
        <v>0</v>
      </c>
      <c r="S1203" s="8">
        <f>IF(OR(B1203="",C1203=""),"",MAX(0,C1203-R1203))</f>
        <v>0</v>
      </c>
      <c r="T1203" s="26"/>
      <c r="U1203" s="8">
        <f>IF(OR(T1203="",T1203=0,G1203=""),"",T1203*G1203)</f>
        <v>0</v>
      </c>
      <c r="V1203" s="8">
        <f>IF(OR(S1203="",T1203="",T1203=0),"",CEILING(S1203/T1203,1))</f>
        <v>0</v>
      </c>
      <c r="W1203" s="27"/>
      <c r="X1203" s="29"/>
      <c r="Y1203" s="8">
        <f>IF(OR(C1203="",X1203=""),"",C1203*(1+X1203))</f>
        <v>0</v>
      </c>
      <c r="Z1203" s="8">
        <f>IF(B1203="","",IFERROR(INDEX(Ingredients!$O$5:$O$304,MATCH(B1203,Ingredients!$A$5:$A$304,0)),""))</f>
        <v>0</v>
      </c>
      <c r="AA1203" s="8">
        <f>IF(B1203="","",IF(R1203&gt;=C1203,"In pantry","To buy"))</f>
        <v>0</v>
      </c>
      <c r="AB1203" s="8">
        <f>IF(A1203="","",COUNTIFS($A$5:A1203,A1203))</f>
        <v>0</v>
      </c>
      <c r="AC1203" s="8">
        <f>IF(B1203="","",IF(COUNTIFS('Dietary Filters'!$C$5:$C$104,B1203)&gt;0,"Check","OK"))</f>
        <v>0</v>
      </c>
      <c r="AD1203" s="25"/>
    </row>
    <row r="1204" spans="1:30">
      <c r="A1204" s="7"/>
      <c r="B1204" s="7"/>
      <c r="C1204" s="26"/>
      <c r="D1204" s="27"/>
      <c r="E1204" s="8">
        <f>IF(B1204="","",IFERROR(INDEX(Ingredients!$B$5:$B$304,MATCH(B1204,Ingredients!$A$5:$A$304,0)),""))</f>
        <v>0</v>
      </c>
      <c r="F1204" s="8">
        <f>IF(B1204="","",IFERROR(INDEX(Ingredients!$E$5:$E$304,MATCH(B1204,Ingredients!$A$5:$A$304,0)),""))</f>
        <v>0</v>
      </c>
      <c r="G1204" s="8">
        <f>IF(B1204="","",IFERROR(INDEX(Ingredients!$D$5:$D$304,MATCH(B1204,Ingredients!$A$5:$A$304,0)),""))</f>
        <v>0</v>
      </c>
      <c r="H1204" s="8">
        <f>IF(OR(B1204="",C1204=""),"",IFERROR(C1204*G1204,""))</f>
        <v>0</v>
      </c>
      <c r="I1204" s="8">
        <f>IF(A1204="","",IFERROR(INDEX(Recipes!$D$5:$D$204,MATCH(A1204,Recipes!$A$5:$A$204,0)),""))</f>
        <v>0</v>
      </c>
      <c r="J1204" s="8">
        <f>IF(OR(H1204="",I1204="",I1204=0),"",IFERROR(H1204/I1204,""))</f>
        <v>0</v>
      </c>
      <c r="K1204" s="8">
        <f>IF(OR(B1204="",C1204=""),"",IFERROR(C1204*IFERROR(INDEX(Ingredients!$H$5:$H$304,MATCH(B1204,Ingredients!$A$5:$A$304,0)),""),""))</f>
        <v>0</v>
      </c>
      <c r="L1204" s="8">
        <f>IF(OR(B1204="",C1204=""),"",IFERROR(C1204*IFERROR(INDEX(Ingredients!$I$5:$I$304,MATCH(B1204,Ingredients!$A$5:$A$304,0)),""),""))</f>
        <v>0</v>
      </c>
      <c r="M1204" s="8">
        <f>IF(OR(B1204="",C1204=""),"",IFERROR(C1204*IFERROR(INDEX(Ingredients!$J$5:$J$304,MATCH(B1204,Ingredients!$A$5:$A$304,0)),""),""))</f>
        <v>0</v>
      </c>
      <c r="N1204" s="8">
        <f>IF(OR(B1204="",C1204=""),"",IFERROR(C1204*IFERROR(INDEX(Ingredients!$K$5:$K$304,MATCH(B1204,Ingredients!$A$5:$A$304,0)),""),""))</f>
        <v>0</v>
      </c>
      <c r="O1204" s="8">
        <f>IF(OR(B1204="",C1204=""),"",IFERROR(C1204*IFERROR(INDEX(Ingredients!$L$5:$L$304,MATCH(B1204,Ingredients!$A$5:$A$304,0)),""),""))</f>
        <v>0</v>
      </c>
      <c r="P1204" s="8">
        <f>IF(OR(H1204="",A1204=""),"",IFERROR(H1204/SUMIFS('Recipe Ingredients'!$H$5:$H$1204,'Recipe Ingredients'!$A$5:$A$1204,A1204),""))</f>
        <v>0</v>
      </c>
      <c r="Q1204" s="8">
        <f>IF(H1204="","",COUNTIFS($H$5:$H$1204,"&gt;"&amp;H1204)+1)</f>
        <v>0</v>
      </c>
      <c r="R1204" s="8">
        <f>IF(B1204="","",SUMIFS(Pantry!$C$5:$C$304,Pantry!$A$5:$A$304,B1204))</f>
        <v>0</v>
      </c>
      <c r="S1204" s="8">
        <f>IF(OR(B1204="",C1204=""),"",MAX(0,C1204-R1204))</f>
        <v>0</v>
      </c>
      <c r="T1204" s="26"/>
      <c r="U1204" s="8">
        <f>IF(OR(T1204="",T1204=0,G1204=""),"",T1204*G1204)</f>
        <v>0</v>
      </c>
      <c r="V1204" s="8">
        <f>IF(OR(S1204="",T1204="",T1204=0),"",CEILING(S1204/T1204,1))</f>
        <v>0</v>
      </c>
      <c r="W1204" s="27"/>
      <c r="X1204" s="29"/>
      <c r="Y1204" s="8">
        <f>IF(OR(C1204="",X1204=""),"",C1204*(1+X1204))</f>
        <v>0</v>
      </c>
      <c r="Z1204" s="8">
        <f>IF(B1204="","",IFERROR(INDEX(Ingredients!$O$5:$O$304,MATCH(B1204,Ingredients!$A$5:$A$304,0)),""))</f>
        <v>0</v>
      </c>
      <c r="AA1204" s="8">
        <f>IF(B1204="","",IF(R1204&gt;=C1204,"In pantry","To buy"))</f>
        <v>0</v>
      </c>
      <c r="AB1204" s="8">
        <f>IF(A1204="","",COUNTIFS($A$5:A1204,A1204))</f>
        <v>0</v>
      </c>
      <c r="AC1204" s="8">
        <f>IF(B1204="","",IF(COUNTIFS('Dietary Filters'!$C$5:$C$104,B1204)&gt;0,"Check","OK"))</f>
        <v>0</v>
      </c>
      <c r="AD1204" s="25"/>
    </row>
  </sheetData>
  <sheetProtection password="EC7C" sheet="1" objects="1" scenarios="1" selectLockedCells="1" selectUnlockedCells="1"/>
  <autoFilter ref="A4:AD1204"/>
  <conditionalFormatting sqref="A1001:AD1001">
    <cfRule type="expression" dxfId="0" priority="499">
      <formula>MOD(ROW(),2)=0</formula>
    </cfRule>
  </conditionalFormatting>
  <conditionalFormatting sqref="A1003:AD1003">
    <cfRule type="expression" dxfId="0" priority="500">
      <formula>MOD(ROW(),2)=0</formula>
    </cfRule>
  </conditionalFormatting>
  <conditionalFormatting sqref="A1005:AD1005">
    <cfRule type="expression" dxfId="0" priority="501">
      <formula>MOD(ROW(),2)=0</formula>
    </cfRule>
  </conditionalFormatting>
  <conditionalFormatting sqref="A1007:AD1007">
    <cfRule type="expression" dxfId="0" priority="502">
      <formula>MOD(ROW(),2)=0</formula>
    </cfRule>
  </conditionalFormatting>
  <conditionalFormatting sqref="A1009:AD1009">
    <cfRule type="expression" dxfId="0" priority="503">
      <formula>MOD(ROW(),2)=0</formula>
    </cfRule>
  </conditionalFormatting>
  <conditionalFormatting sqref="A1011:AD1011">
    <cfRule type="expression" dxfId="0" priority="504">
      <formula>MOD(ROW(),2)=0</formula>
    </cfRule>
  </conditionalFormatting>
  <conditionalFormatting sqref="A1013:AD1013">
    <cfRule type="expression" dxfId="0" priority="505">
      <formula>MOD(ROW(),2)=0</formula>
    </cfRule>
  </conditionalFormatting>
  <conditionalFormatting sqref="A1015:AD1015">
    <cfRule type="expression" dxfId="0" priority="506">
      <formula>MOD(ROW(),2)=0</formula>
    </cfRule>
  </conditionalFormatting>
  <conditionalFormatting sqref="A1017:AD1017">
    <cfRule type="expression" dxfId="0" priority="507">
      <formula>MOD(ROW(),2)=0</formula>
    </cfRule>
  </conditionalFormatting>
  <conditionalFormatting sqref="A1019:AD1019">
    <cfRule type="expression" dxfId="0" priority="508">
      <formula>MOD(ROW(),2)=0</formula>
    </cfRule>
  </conditionalFormatting>
  <conditionalFormatting sqref="A101:AD101">
    <cfRule type="expression" dxfId="0" priority="49">
      <formula>MOD(ROW(),2)=0</formula>
    </cfRule>
  </conditionalFormatting>
  <conditionalFormatting sqref="A1021:AD1021">
    <cfRule type="expression" dxfId="0" priority="509">
      <formula>MOD(ROW(),2)=0</formula>
    </cfRule>
  </conditionalFormatting>
  <conditionalFormatting sqref="A1023:AD1023">
    <cfRule type="expression" dxfId="0" priority="510">
      <formula>MOD(ROW(),2)=0</formula>
    </cfRule>
  </conditionalFormatting>
  <conditionalFormatting sqref="A1025:AD1025">
    <cfRule type="expression" dxfId="0" priority="511">
      <formula>MOD(ROW(),2)=0</formula>
    </cfRule>
  </conditionalFormatting>
  <conditionalFormatting sqref="A1027:AD1027">
    <cfRule type="expression" dxfId="0" priority="512">
      <formula>MOD(ROW(),2)=0</formula>
    </cfRule>
  </conditionalFormatting>
  <conditionalFormatting sqref="A1029:AD1029">
    <cfRule type="expression" dxfId="0" priority="513">
      <formula>MOD(ROW(),2)=0</formula>
    </cfRule>
  </conditionalFormatting>
  <conditionalFormatting sqref="A1031:AD1031">
    <cfRule type="expression" dxfId="0" priority="514">
      <formula>MOD(ROW(),2)=0</formula>
    </cfRule>
  </conditionalFormatting>
  <conditionalFormatting sqref="A1033:AD1033">
    <cfRule type="expression" dxfId="0" priority="515">
      <formula>MOD(ROW(),2)=0</formula>
    </cfRule>
  </conditionalFormatting>
  <conditionalFormatting sqref="A1035:AD1035">
    <cfRule type="expression" dxfId="0" priority="516">
      <formula>MOD(ROW(),2)=0</formula>
    </cfRule>
  </conditionalFormatting>
  <conditionalFormatting sqref="A1037:AD1037">
    <cfRule type="expression" dxfId="0" priority="517">
      <formula>MOD(ROW(),2)=0</formula>
    </cfRule>
  </conditionalFormatting>
  <conditionalFormatting sqref="A1039:AD1039">
    <cfRule type="expression" dxfId="0" priority="518">
      <formula>MOD(ROW(),2)=0</formula>
    </cfRule>
  </conditionalFormatting>
  <conditionalFormatting sqref="A103:AD103">
    <cfRule type="expression" dxfId="0" priority="50">
      <formula>MOD(ROW(),2)=0</formula>
    </cfRule>
  </conditionalFormatting>
  <conditionalFormatting sqref="A1041:AD1041">
    <cfRule type="expression" dxfId="0" priority="519">
      <formula>MOD(ROW(),2)=0</formula>
    </cfRule>
  </conditionalFormatting>
  <conditionalFormatting sqref="A1043:AD1043">
    <cfRule type="expression" dxfId="0" priority="520">
      <formula>MOD(ROW(),2)=0</formula>
    </cfRule>
  </conditionalFormatting>
  <conditionalFormatting sqref="A1045:AD1045">
    <cfRule type="expression" dxfId="0" priority="521">
      <formula>MOD(ROW(),2)=0</formula>
    </cfRule>
  </conditionalFormatting>
  <conditionalFormatting sqref="A1047:AD1047">
    <cfRule type="expression" dxfId="0" priority="522">
      <formula>MOD(ROW(),2)=0</formula>
    </cfRule>
  </conditionalFormatting>
  <conditionalFormatting sqref="A1049:AD1049">
    <cfRule type="expression" dxfId="0" priority="523">
      <formula>MOD(ROW(),2)=0</formula>
    </cfRule>
  </conditionalFormatting>
  <conditionalFormatting sqref="A1051:AD1051">
    <cfRule type="expression" dxfId="0" priority="524">
      <formula>MOD(ROW(),2)=0</formula>
    </cfRule>
  </conditionalFormatting>
  <conditionalFormatting sqref="A1053:AD1053">
    <cfRule type="expression" dxfId="0" priority="525">
      <formula>MOD(ROW(),2)=0</formula>
    </cfRule>
  </conditionalFormatting>
  <conditionalFormatting sqref="A1055:AD1055">
    <cfRule type="expression" dxfId="0" priority="526">
      <formula>MOD(ROW(),2)=0</formula>
    </cfRule>
  </conditionalFormatting>
  <conditionalFormatting sqref="A1057:AD1057">
    <cfRule type="expression" dxfId="0" priority="527">
      <formula>MOD(ROW(),2)=0</formula>
    </cfRule>
  </conditionalFormatting>
  <conditionalFormatting sqref="A1059:AD1059">
    <cfRule type="expression" dxfId="0" priority="528">
      <formula>MOD(ROW(),2)=0</formula>
    </cfRule>
  </conditionalFormatting>
  <conditionalFormatting sqref="A105:AD105">
    <cfRule type="expression" dxfId="0" priority="51">
      <formula>MOD(ROW(),2)=0</formula>
    </cfRule>
  </conditionalFormatting>
  <conditionalFormatting sqref="A1061:AD1061">
    <cfRule type="expression" dxfId="0" priority="529">
      <formula>MOD(ROW(),2)=0</formula>
    </cfRule>
  </conditionalFormatting>
  <conditionalFormatting sqref="A1063:AD1063">
    <cfRule type="expression" dxfId="0" priority="530">
      <formula>MOD(ROW(),2)=0</formula>
    </cfRule>
  </conditionalFormatting>
  <conditionalFormatting sqref="A1065:AD1065">
    <cfRule type="expression" dxfId="0" priority="531">
      <formula>MOD(ROW(),2)=0</formula>
    </cfRule>
  </conditionalFormatting>
  <conditionalFormatting sqref="A1067:AD1067">
    <cfRule type="expression" dxfId="0" priority="532">
      <formula>MOD(ROW(),2)=0</formula>
    </cfRule>
  </conditionalFormatting>
  <conditionalFormatting sqref="A1069:AD1069">
    <cfRule type="expression" dxfId="0" priority="533">
      <formula>MOD(ROW(),2)=0</formula>
    </cfRule>
  </conditionalFormatting>
  <conditionalFormatting sqref="A1071:AD1071">
    <cfRule type="expression" dxfId="0" priority="534">
      <formula>MOD(ROW(),2)=0</formula>
    </cfRule>
  </conditionalFormatting>
  <conditionalFormatting sqref="A1073:AD1073">
    <cfRule type="expression" dxfId="0" priority="535">
      <formula>MOD(ROW(),2)=0</formula>
    </cfRule>
  </conditionalFormatting>
  <conditionalFormatting sqref="A1075:AD1075">
    <cfRule type="expression" dxfId="0" priority="536">
      <formula>MOD(ROW(),2)=0</formula>
    </cfRule>
  </conditionalFormatting>
  <conditionalFormatting sqref="A1077:AD1077">
    <cfRule type="expression" dxfId="0" priority="537">
      <formula>MOD(ROW(),2)=0</formula>
    </cfRule>
  </conditionalFormatting>
  <conditionalFormatting sqref="A1079:AD1079">
    <cfRule type="expression" dxfId="0" priority="538">
      <formula>MOD(ROW(),2)=0</formula>
    </cfRule>
  </conditionalFormatting>
  <conditionalFormatting sqref="A107:AD107">
    <cfRule type="expression" dxfId="0" priority="52">
      <formula>MOD(ROW(),2)=0</formula>
    </cfRule>
  </conditionalFormatting>
  <conditionalFormatting sqref="A1081:AD1081">
    <cfRule type="expression" dxfId="0" priority="539">
      <formula>MOD(ROW(),2)=0</formula>
    </cfRule>
  </conditionalFormatting>
  <conditionalFormatting sqref="A1083:AD1083">
    <cfRule type="expression" dxfId="0" priority="540">
      <formula>MOD(ROW(),2)=0</formula>
    </cfRule>
  </conditionalFormatting>
  <conditionalFormatting sqref="A1085:AD1085">
    <cfRule type="expression" dxfId="0" priority="541">
      <formula>MOD(ROW(),2)=0</formula>
    </cfRule>
  </conditionalFormatting>
  <conditionalFormatting sqref="A1087:AD1087">
    <cfRule type="expression" dxfId="0" priority="542">
      <formula>MOD(ROW(),2)=0</formula>
    </cfRule>
  </conditionalFormatting>
  <conditionalFormatting sqref="A1089:AD1089">
    <cfRule type="expression" dxfId="0" priority="543">
      <formula>MOD(ROW(),2)=0</formula>
    </cfRule>
  </conditionalFormatting>
  <conditionalFormatting sqref="A1091:AD1091">
    <cfRule type="expression" dxfId="0" priority="544">
      <formula>MOD(ROW(),2)=0</formula>
    </cfRule>
  </conditionalFormatting>
  <conditionalFormatting sqref="A1093:AD1093">
    <cfRule type="expression" dxfId="0" priority="545">
      <formula>MOD(ROW(),2)=0</formula>
    </cfRule>
  </conditionalFormatting>
  <conditionalFormatting sqref="A1095:AD1095">
    <cfRule type="expression" dxfId="0" priority="546">
      <formula>MOD(ROW(),2)=0</formula>
    </cfRule>
  </conditionalFormatting>
  <conditionalFormatting sqref="A1097:AD1097">
    <cfRule type="expression" dxfId="0" priority="547">
      <formula>MOD(ROW(),2)=0</formula>
    </cfRule>
  </conditionalFormatting>
  <conditionalFormatting sqref="A1099:AD1099">
    <cfRule type="expression" dxfId="0" priority="548">
      <formula>MOD(ROW(),2)=0</formula>
    </cfRule>
  </conditionalFormatting>
  <conditionalFormatting sqref="A109:AD109">
    <cfRule type="expression" dxfId="0" priority="53">
      <formula>MOD(ROW(),2)=0</formula>
    </cfRule>
  </conditionalFormatting>
  <conditionalFormatting sqref="A1101:AD1101">
    <cfRule type="expression" dxfId="0" priority="549">
      <formula>MOD(ROW(),2)=0</formula>
    </cfRule>
  </conditionalFormatting>
  <conditionalFormatting sqref="A1103:AD1103">
    <cfRule type="expression" dxfId="0" priority="550">
      <formula>MOD(ROW(),2)=0</formula>
    </cfRule>
  </conditionalFormatting>
  <conditionalFormatting sqref="A1105:AD1105">
    <cfRule type="expression" dxfId="0" priority="551">
      <formula>MOD(ROW(),2)=0</formula>
    </cfRule>
  </conditionalFormatting>
  <conditionalFormatting sqref="A1107:AD1107">
    <cfRule type="expression" dxfId="0" priority="552">
      <formula>MOD(ROW(),2)=0</formula>
    </cfRule>
  </conditionalFormatting>
  <conditionalFormatting sqref="A1109:AD1109">
    <cfRule type="expression" dxfId="0" priority="553">
      <formula>MOD(ROW(),2)=0</formula>
    </cfRule>
  </conditionalFormatting>
  <conditionalFormatting sqref="A1111:AD1111">
    <cfRule type="expression" dxfId="0" priority="554">
      <formula>MOD(ROW(),2)=0</formula>
    </cfRule>
  </conditionalFormatting>
  <conditionalFormatting sqref="A1113:AD1113">
    <cfRule type="expression" dxfId="0" priority="555">
      <formula>MOD(ROW(),2)=0</formula>
    </cfRule>
  </conditionalFormatting>
  <conditionalFormatting sqref="A1115:AD1115">
    <cfRule type="expression" dxfId="0" priority="556">
      <formula>MOD(ROW(),2)=0</formula>
    </cfRule>
  </conditionalFormatting>
  <conditionalFormatting sqref="A1117:AD1117">
    <cfRule type="expression" dxfId="0" priority="557">
      <formula>MOD(ROW(),2)=0</formula>
    </cfRule>
  </conditionalFormatting>
  <conditionalFormatting sqref="A1119:AD1119">
    <cfRule type="expression" dxfId="0" priority="558">
      <formula>MOD(ROW(),2)=0</formula>
    </cfRule>
  </conditionalFormatting>
  <conditionalFormatting sqref="A111:AD111">
    <cfRule type="expression" dxfId="0" priority="54">
      <formula>MOD(ROW(),2)=0</formula>
    </cfRule>
  </conditionalFormatting>
  <conditionalFormatting sqref="A1121:AD1121">
    <cfRule type="expression" dxfId="0" priority="559">
      <formula>MOD(ROW(),2)=0</formula>
    </cfRule>
  </conditionalFormatting>
  <conditionalFormatting sqref="A1123:AD1123">
    <cfRule type="expression" dxfId="0" priority="560">
      <formula>MOD(ROW(),2)=0</formula>
    </cfRule>
  </conditionalFormatting>
  <conditionalFormatting sqref="A1125:AD1125">
    <cfRule type="expression" dxfId="0" priority="561">
      <formula>MOD(ROW(),2)=0</formula>
    </cfRule>
  </conditionalFormatting>
  <conditionalFormatting sqref="A1127:AD1127">
    <cfRule type="expression" dxfId="0" priority="562">
      <formula>MOD(ROW(),2)=0</formula>
    </cfRule>
  </conditionalFormatting>
  <conditionalFormatting sqref="A1129:AD1129">
    <cfRule type="expression" dxfId="0" priority="563">
      <formula>MOD(ROW(),2)=0</formula>
    </cfRule>
  </conditionalFormatting>
  <conditionalFormatting sqref="A1131:AD1131">
    <cfRule type="expression" dxfId="0" priority="564">
      <formula>MOD(ROW(),2)=0</formula>
    </cfRule>
  </conditionalFormatting>
  <conditionalFormatting sqref="A1133:AD1133">
    <cfRule type="expression" dxfId="0" priority="565">
      <formula>MOD(ROW(),2)=0</formula>
    </cfRule>
  </conditionalFormatting>
  <conditionalFormatting sqref="A1135:AD1135">
    <cfRule type="expression" dxfId="0" priority="566">
      <formula>MOD(ROW(),2)=0</formula>
    </cfRule>
  </conditionalFormatting>
  <conditionalFormatting sqref="A1137:AD1137">
    <cfRule type="expression" dxfId="0" priority="567">
      <formula>MOD(ROW(),2)=0</formula>
    </cfRule>
  </conditionalFormatting>
  <conditionalFormatting sqref="A1139:AD1139">
    <cfRule type="expression" dxfId="0" priority="568">
      <formula>MOD(ROW(),2)=0</formula>
    </cfRule>
  </conditionalFormatting>
  <conditionalFormatting sqref="A113:AD113">
    <cfRule type="expression" dxfId="0" priority="55">
      <formula>MOD(ROW(),2)=0</formula>
    </cfRule>
  </conditionalFormatting>
  <conditionalFormatting sqref="A1141:AD1141">
    <cfRule type="expression" dxfId="0" priority="569">
      <formula>MOD(ROW(),2)=0</formula>
    </cfRule>
  </conditionalFormatting>
  <conditionalFormatting sqref="A1143:AD1143">
    <cfRule type="expression" dxfId="0" priority="570">
      <formula>MOD(ROW(),2)=0</formula>
    </cfRule>
  </conditionalFormatting>
  <conditionalFormatting sqref="A1145:AD1145">
    <cfRule type="expression" dxfId="0" priority="571">
      <formula>MOD(ROW(),2)=0</formula>
    </cfRule>
  </conditionalFormatting>
  <conditionalFormatting sqref="A1147:AD1147">
    <cfRule type="expression" dxfId="0" priority="572">
      <formula>MOD(ROW(),2)=0</formula>
    </cfRule>
  </conditionalFormatting>
  <conditionalFormatting sqref="A1149:AD1149">
    <cfRule type="expression" dxfId="0" priority="573">
      <formula>MOD(ROW(),2)=0</formula>
    </cfRule>
  </conditionalFormatting>
  <conditionalFormatting sqref="A1151:AD1151">
    <cfRule type="expression" dxfId="0" priority="574">
      <formula>MOD(ROW(),2)=0</formula>
    </cfRule>
  </conditionalFormatting>
  <conditionalFormatting sqref="A1153:AD1153">
    <cfRule type="expression" dxfId="0" priority="575">
      <formula>MOD(ROW(),2)=0</formula>
    </cfRule>
  </conditionalFormatting>
  <conditionalFormatting sqref="A1155:AD1155">
    <cfRule type="expression" dxfId="0" priority="576">
      <formula>MOD(ROW(),2)=0</formula>
    </cfRule>
  </conditionalFormatting>
  <conditionalFormatting sqref="A1157:AD1157">
    <cfRule type="expression" dxfId="0" priority="577">
      <formula>MOD(ROW(),2)=0</formula>
    </cfRule>
  </conditionalFormatting>
  <conditionalFormatting sqref="A1159:AD1159">
    <cfRule type="expression" dxfId="0" priority="578">
      <formula>MOD(ROW(),2)=0</formula>
    </cfRule>
  </conditionalFormatting>
  <conditionalFormatting sqref="A115:AD115">
    <cfRule type="expression" dxfId="0" priority="56">
      <formula>MOD(ROW(),2)=0</formula>
    </cfRule>
  </conditionalFormatting>
  <conditionalFormatting sqref="A1161:AD1161">
    <cfRule type="expression" dxfId="0" priority="579">
      <formula>MOD(ROW(),2)=0</formula>
    </cfRule>
  </conditionalFormatting>
  <conditionalFormatting sqref="A1163:AD1163">
    <cfRule type="expression" dxfId="0" priority="580">
      <formula>MOD(ROW(),2)=0</formula>
    </cfRule>
  </conditionalFormatting>
  <conditionalFormatting sqref="A1165:AD1165">
    <cfRule type="expression" dxfId="0" priority="581">
      <formula>MOD(ROW(),2)=0</formula>
    </cfRule>
  </conditionalFormatting>
  <conditionalFormatting sqref="A1167:AD1167">
    <cfRule type="expression" dxfId="0" priority="582">
      <formula>MOD(ROW(),2)=0</formula>
    </cfRule>
  </conditionalFormatting>
  <conditionalFormatting sqref="A1169:AD1169">
    <cfRule type="expression" dxfId="0" priority="583">
      <formula>MOD(ROW(),2)=0</formula>
    </cfRule>
  </conditionalFormatting>
  <conditionalFormatting sqref="A1171:AD1171">
    <cfRule type="expression" dxfId="0" priority="584">
      <formula>MOD(ROW(),2)=0</formula>
    </cfRule>
  </conditionalFormatting>
  <conditionalFormatting sqref="A1173:AD1173">
    <cfRule type="expression" dxfId="0" priority="585">
      <formula>MOD(ROW(),2)=0</formula>
    </cfRule>
  </conditionalFormatting>
  <conditionalFormatting sqref="A1175:AD1175">
    <cfRule type="expression" dxfId="0" priority="586">
      <formula>MOD(ROW(),2)=0</formula>
    </cfRule>
  </conditionalFormatting>
  <conditionalFormatting sqref="A1177:AD1177">
    <cfRule type="expression" dxfId="0" priority="587">
      <formula>MOD(ROW(),2)=0</formula>
    </cfRule>
  </conditionalFormatting>
  <conditionalFormatting sqref="A1179:AD1179">
    <cfRule type="expression" dxfId="0" priority="588">
      <formula>MOD(ROW(),2)=0</formula>
    </cfRule>
  </conditionalFormatting>
  <conditionalFormatting sqref="A117:AD117">
    <cfRule type="expression" dxfId="0" priority="57">
      <formula>MOD(ROW(),2)=0</formula>
    </cfRule>
  </conditionalFormatting>
  <conditionalFormatting sqref="A1181:AD1181">
    <cfRule type="expression" dxfId="0" priority="589">
      <formula>MOD(ROW(),2)=0</formula>
    </cfRule>
  </conditionalFormatting>
  <conditionalFormatting sqref="A1183:AD1183">
    <cfRule type="expression" dxfId="0" priority="590">
      <formula>MOD(ROW(),2)=0</formula>
    </cfRule>
  </conditionalFormatting>
  <conditionalFormatting sqref="A1185:AD1185">
    <cfRule type="expression" dxfId="0" priority="591">
      <formula>MOD(ROW(),2)=0</formula>
    </cfRule>
  </conditionalFormatting>
  <conditionalFormatting sqref="A1187:AD1187">
    <cfRule type="expression" dxfId="0" priority="592">
      <formula>MOD(ROW(),2)=0</formula>
    </cfRule>
  </conditionalFormatting>
  <conditionalFormatting sqref="A1189:AD1189">
    <cfRule type="expression" dxfId="0" priority="593">
      <formula>MOD(ROW(),2)=0</formula>
    </cfRule>
  </conditionalFormatting>
  <conditionalFormatting sqref="A1191:AD1191">
    <cfRule type="expression" dxfId="0" priority="594">
      <formula>MOD(ROW(),2)=0</formula>
    </cfRule>
  </conditionalFormatting>
  <conditionalFormatting sqref="A1193:AD1193">
    <cfRule type="expression" dxfId="0" priority="595">
      <formula>MOD(ROW(),2)=0</formula>
    </cfRule>
  </conditionalFormatting>
  <conditionalFormatting sqref="A1195:AD1195">
    <cfRule type="expression" dxfId="0" priority="596">
      <formula>MOD(ROW(),2)=0</formula>
    </cfRule>
  </conditionalFormatting>
  <conditionalFormatting sqref="A1197:AD1197">
    <cfRule type="expression" dxfId="0" priority="597">
      <formula>MOD(ROW(),2)=0</formula>
    </cfRule>
  </conditionalFormatting>
  <conditionalFormatting sqref="A1199:AD1199">
    <cfRule type="expression" dxfId="0" priority="598">
      <formula>MOD(ROW(),2)=0</formula>
    </cfRule>
  </conditionalFormatting>
  <conditionalFormatting sqref="A119:AD119">
    <cfRule type="expression" dxfId="0" priority="58">
      <formula>MOD(ROW(),2)=0</formula>
    </cfRule>
  </conditionalFormatting>
  <conditionalFormatting sqref="A11:AD11">
    <cfRule type="expression" dxfId="0" priority="4">
      <formula>MOD(ROW(),2)=0</formula>
    </cfRule>
  </conditionalFormatting>
  <conditionalFormatting sqref="A1201:AD1201">
    <cfRule type="expression" dxfId="0" priority="599">
      <formula>MOD(ROW(),2)=0</formula>
    </cfRule>
  </conditionalFormatting>
  <conditionalFormatting sqref="A1203:AD1203">
    <cfRule type="expression" dxfId="0" priority="600">
      <formula>MOD(ROW(),2)=0</formula>
    </cfRule>
  </conditionalFormatting>
  <conditionalFormatting sqref="A121:AD121">
    <cfRule type="expression" dxfId="0" priority="59">
      <formula>MOD(ROW(),2)=0</formula>
    </cfRule>
  </conditionalFormatting>
  <conditionalFormatting sqref="A123:AD123">
    <cfRule type="expression" dxfId="0" priority="60">
      <formula>MOD(ROW(),2)=0</formula>
    </cfRule>
  </conditionalFormatting>
  <conditionalFormatting sqref="A125:AD125">
    <cfRule type="expression" dxfId="0" priority="61">
      <formula>MOD(ROW(),2)=0</formula>
    </cfRule>
  </conditionalFormatting>
  <conditionalFormatting sqref="A127:AD127">
    <cfRule type="expression" dxfId="0" priority="62">
      <formula>MOD(ROW(),2)=0</formula>
    </cfRule>
  </conditionalFormatting>
  <conditionalFormatting sqref="A129:AD129">
    <cfRule type="expression" dxfId="0" priority="63">
      <formula>MOD(ROW(),2)=0</formula>
    </cfRule>
  </conditionalFormatting>
  <conditionalFormatting sqref="A131:AD131">
    <cfRule type="expression" dxfId="0" priority="64">
      <formula>MOD(ROW(),2)=0</formula>
    </cfRule>
  </conditionalFormatting>
  <conditionalFormatting sqref="A133:AD133">
    <cfRule type="expression" dxfId="0" priority="65">
      <formula>MOD(ROW(),2)=0</formula>
    </cfRule>
  </conditionalFormatting>
  <conditionalFormatting sqref="A135:AD135">
    <cfRule type="expression" dxfId="0" priority="66">
      <formula>MOD(ROW(),2)=0</formula>
    </cfRule>
  </conditionalFormatting>
  <conditionalFormatting sqref="A137:AD137">
    <cfRule type="expression" dxfId="0" priority="67">
      <formula>MOD(ROW(),2)=0</formula>
    </cfRule>
  </conditionalFormatting>
  <conditionalFormatting sqref="A139:AD139">
    <cfRule type="expression" dxfId="0" priority="68">
      <formula>MOD(ROW(),2)=0</formula>
    </cfRule>
  </conditionalFormatting>
  <conditionalFormatting sqref="A13:AD13">
    <cfRule type="expression" dxfId="0" priority="5">
      <formula>MOD(ROW(),2)=0</formula>
    </cfRule>
  </conditionalFormatting>
  <conditionalFormatting sqref="A141:AD141">
    <cfRule type="expression" dxfId="0" priority="69">
      <formula>MOD(ROW(),2)=0</formula>
    </cfRule>
  </conditionalFormatting>
  <conditionalFormatting sqref="A143:AD143">
    <cfRule type="expression" dxfId="0" priority="70">
      <formula>MOD(ROW(),2)=0</formula>
    </cfRule>
  </conditionalFormatting>
  <conditionalFormatting sqref="A145:AD145">
    <cfRule type="expression" dxfId="0" priority="71">
      <formula>MOD(ROW(),2)=0</formula>
    </cfRule>
  </conditionalFormatting>
  <conditionalFormatting sqref="A147:AD147">
    <cfRule type="expression" dxfId="0" priority="72">
      <formula>MOD(ROW(),2)=0</formula>
    </cfRule>
  </conditionalFormatting>
  <conditionalFormatting sqref="A149:AD149">
    <cfRule type="expression" dxfId="0" priority="73">
      <formula>MOD(ROW(),2)=0</formula>
    </cfRule>
  </conditionalFormatting>
  <conditionalFormatting sqref="A151:AD151">
    <cfRule type="expression" dxfId="0" priority="74">
      <formula>MOD(ROW(),2)=0</formula>
    </cfRule>
  </conditionalFormatting>
  <conditionalFormatting sqref="A153:AD153">
    <cfRule type="expression" dxfId="0" priority="75">
      <formula>MOD(ROW(),2)=0</formula>
    </cfRule>
  </conditionalFormatting>
  <conditionalFormatting sqref="A155:AD155">
    <cfRule type="expression" dxfId="0" priority="76">
      <formula>MOD(ROW(),2)=0</formula>
    </cfRule>
  </conditionalFormatting>
  <conditionalFormatting sqref="A157:AD157">
    <cfRule type="expression" dxfId="0" priority="77">
      <formula>MOD(ROW(),2)=0</formula>
    </cfRule>
  </conditionalFormatting>
  <conditionalFormatting sqref="A159:AD159">
    <cfRule type="expression" dxfId="0" priority="78">
      <formula>MOD(ROW(),2)=0</formula>
    </cfRule>
  </conditionalFormatting>
  <conditionalFormatting sqref="A15:AD15">
    <cfRule type="expression" dxfId="0" priority="6">
      <formula>MOD(ROW(),2)=0</formula>
    </cfRule>
  </conditionalFormatting>
  <conditionalFormatting sqref="A161:AD161">
    <cfRule type="expression" dxfId="0" priority="79">
      <formula>MOD(ROW(),2)=0</formula>
    </cfRule>
  </conditionalFormatting>
  <conditionalFormatting sqref="A163:AD163">
    <cfRule type="expression" dxfId="0" priority="80">
      <formula>MOD(ROW(),2)=0</formula>
    </cfRule>
  </conditionalFormatting>
  <conditionalFormatting sqref="A165:AD165">
    <cfRule type="expression" dxfId="0" priority="81">
      <formula>MOD(ROW(),2)=0</formula>
    </cfRule>
  </conditionalFormatting>
  <conditionalFormatting sqref="A167:AD167">
    <cfRule type="expression" dxfId="0" priority="82">
      <formula>MOD(ROW(),2)=0</formula>
    </cfRule>
  </conditionalFormatting>
  <conditionalFormatting sqref="A169:AD169">
    <cfRule type="expression" dxfId="0" priority="83">
      <formula>MOD(ROW(),2)=0</formula>
    </cfRule>
  </conditionalFormatting>
  <conditionalFormatting sqref="A171:AD171">
    <cfRule type="expression" dxfId="0" priority="84">
      <formula>MOD(ROW(),2)=0</formula>
    </cfRule>
  </conditionalFormatting>
  <conditionalFormatting sqref="A173:AD173">
    <cfRule type="expression" dxfId="0" priority="85">
      <formula>MOD(ROW(),2)=0</formula>
    </cfRule>
  </conditionalFormatting>
  <conditionalFormatting sqref="A175:AD175">
    <cfRule type="expression" dxfId="0" priority="86">
      <formula>MOD(ROW(),2)=0</formula>
    </cfRule>
  </conditionalFormatting>
  <conditionalFormatting sqref="A177:AD177">
    <cfRule type="expression" dxfId="0" priority="87">
      <formula>MOD(ROW(),2)=0</formula>
    </cfRule>
  </conditionalFormatting>
  <conditionalFormatting sqref="A179:AD179">
    <cfRule type="expression" dxfId="0" priority="88">
      <formula>MOD(ROW(),2)=0</formula>
    </cfRule>
  </conditionalFormatting>
  <conditionalFormatting sqref="A17:AD17">
    <cfRule type="expression" dxfId="0" priority="7">
      <formula>MOD(ROW(),2)=0</formula>
    </cfRule>
  </conditionalFormatting>
  <conditionalFormatting sqref="A181:AD181">
    <cfRule type="expression" dxfId="0" priority="89">
      <formula>MOD(ROW(),2)=0</formula>
    </cfRule>
  </conditionalFormatting>
  <conditionalFormatting sqref="A183:AD183">
    <cfRule type="expression" dxfId="0" priority="90">
      <formula>MOD(ROW(),2)=0</formula>
    </cfRule>
  </conditionalFormatting>
  <conditionalFormatting sqref="A185:AD185">
    <cfRule type="expression" dxfId="0" priority="91">
      <formula>MOD(ROW(),2)=0</formula>
    </cfRule>
  </conditionalFormatting>
  <conditionalFormatting sqref="A187:AD187">
    <cfRule type="expression" dxfId="0" priority="92">
      <formula>MOD(ROW(),2)=0</formula>
    </cfRule>
  </conditionalFormatting>
  <conditionalFormatting sqref="A189:AD189">
    <cfRule type="expression" dxfId="0" priority="93">
      <formula>MOD(ROW(),2)=0</formula>
    </cfRule>
  </conditionalFormatting>
  <conditionalFormatting sqref="A191:AD191">
    <cfRule type="expression" dxfId="0" priority="94">
      <formula>MOD(ROW(),2)=0</formula>
    </cfRule>
  </conditionalFormatting>
  <conditionalFormatting sqref="A193:AD193">
    <cfRule type="expression" dxfId="0" priority="95">
      <formula>MOD(ROW(),2)=0</formula>
    </cfRule>
  </conditionalFormatting>
  <conditionalFormatting sqref="A195:AD195">
    <cfRule type="expression" dxfId="0" priority="96">
      <formula>MOD(ROW(),2)=0</formula>
    </cfRule>
  </conditionalFormatting>
  <conditionalFormatting sqref="A197:AD197">
    <cfRule type="expression" dxfId="0" priority="97">
      <formula>MOD(ROW(),2)=0</formula>
    </cfRule>
  </conditionalFormatting>
  <conditionalFormatting sqref="A199:AD199">
    <cfRule type="expression" dxfId="0" priority="98">
      <formula>MOD(ROW(),2)=0</formula>
    </cfRule>
  </conditionalFormatting>
  <conditionalFormatting sqref="A19:AD19">
    <cfRule type="expression" dxfId="0" priority="8">
      <formula>MOD(ROW(),2)=0</formula>
    </cfRule>
  </conditionalFormatting>
  <conditionalFormatting sqref="A201:AD201">
    <cfRule type="expression" dxfId="0" priority="99">
      <formula>MOD(ROW(),2)=0</formula>
    </cfRule>
  </conditionalFormatting>
  <conditionalFormatting sqref="A203:AD203">
    <cfRule type="expression" dxfId="0" priority="100">
      <formula>MOD(ROW(),2)=0</formula>
    </cfRule>
  </conditionalFormatting>
  <conditionalFormatting sqref="A205:AD205">
    <cfRule type="expression" dxfId="0" priority="101">
      <formula>MOD(ROW(),2)=0</formula>
    </cfRule>
  </conditionalFormatting>
  <conditionalFormatting sqref="A207:AD207">
    <cfRule type="expression" dxfId="0" priority="102">
      <formula>MOD(ROW(),2)=0</formula>
    </cfRule>
  </conditionalFormatting>
  <conditionalFormatting sqref="A209:AD209">
    <cfRule type="expression" dxfId="0" priority="103">
      <formula>MOD(ROW(),2)=0</formula>
    </cfRule>
  </conditionalFormatting>
  <conditionalFormatting sqref="A211:AD211">
    <cfRule type="expression" dxfId="0" priority="104">
      <formula>MOD(ROW(),2)=0</formula>
    </cfRule>
  </conditionalFormatting>
  <conditionalFormatting sqref="A213:AD213">
    <cfRule type="expression" dxfId="0" priority="105">
      <formula>MOD(ROW(),2)=0</formula>
    </cfRule>
  </conditionalFormatting>
  <conditionalFormatting sqref="A215:AD215">
    <cfRule type="expression" dxfId="0" priority="106">
      <formula>MOD(ROW(),2)=0</formula>
    </cfRule>
  </conditionalFormatting>
  <conditionalFormatting sqref="A217:AD217">
    <cfRule type="expression" dxfId="0" priority="107">
      <formula>MOD(ROW(),2)=0</formula>
    </cfRule>
  </conditionalFormatting>
  <conditionalFormatting sqref="A219:AD219">
    <cfRule type="expression" dxfId="0" priority="108">
      <formula>MOD(ROW(),2)=0</formula>
    </cfRule>
  </conditionalFormatting>
  <conditionalFormatting sqref="A21:AD21">
    <cfRule type="expression" dxfId="0" priority="9">
      <formula>MOD(ROW(),2)=0</formula>
    </cfRule>
  </conditionalFormatting>
  <conditionalFormatting sqref="A221:AD221">
    <cfRule type="expression" dxfId="0" priority="109">
      <formula>MOD(ROW(),2)=0</formula>
    </cfRule>
  </conditionalFormatting>
  <conditionalFormatting sqref="A223:AD223">
    <cfRule type="expression" dxfId="0" priority="110">
      <formula>MOD(ROW(),2)=0</formula>
    </cfRule>
  </conditionalFormatting>
  <conditionalFormatting sqref="A225:AD225">
    <cfRule type="expression" dxfId="0" priority="111">
      <formula>MOD(ROW(),2)=0</formula>
    </cfRule>
  </conditionalFormatting>
  <conditionalFormatting sqref="A227:AD227">
    <cfRule type="expression" dxfId="0" priority="112">
      <formula>MOD(ROW(),2)=0</formula>
    </cfRule>
  </conditionalFormatting>
  <conditionalFormatting sqref="A229:AD229">
    <cfRule type="expression" dxfId="0" priority="113">
      <formula>MOD(ROW(),2)=0</formula>
    </cfRule>
  </conditionalFormatting>
  <conditionalFormatting sqref="A231:AD231">
    <cfRule type="expression" dxfId="0" priority="114">
      <formula>MOD(ROW(),2)=0</formula>
    </cfRule>
  </conditionalFormatting>
  <conditionalFormatting sqref="A233:AD233">
    <cfRule type="expression" dxfId="0" priority="115">
      <formula>MOD(ROW(),2)=0</formula>
    </cfRule>
  </conditionalFormatting>
  <conditionalFormatting sqref="A235:AD235">
    <cfRule type="expression" dxfId="0" priority="116">
      <formula>MOD(ROW(),2)=0</formula>
    </cfRule>
  </conditionalFormatting>
  <conditionalFormatting sqref="A237:AD237">
    <cfRule type="expression" dxfId="0" priority="117">
      <formula>MOD(ROW(),2)=0</formula>
    </cfRule>
  </conditionalFormatting>
  <conditionalFormatting sqref="A239:AD239">
    <cfRule type="expression" dxfId="0" priority="118">
      <formula>MOD(ROW(),2)=0</formula>
    </cfRule>
  </conditionalFormatting>
  <conditionalFormatting sqref="A23:AD23">
    <cfRule type="expression" dxfId="0" priority="10">
      <formula>MOD(ROW(),2)=0</formula>
    </cfRule>
  </conditionalFormatting>
  <conditionalFormatting sqref="A241:AD241">
    <cfRule type="expression" dxfId="0" priority="119">
      <formula>MOD(ROW(),2)=0</formula>
    </cfRule>
  </conditionalFormatting>
  <conditionalFormatting sqref="A243:AD243">
    <cfRule type="expression" dxfId="0" priority="120">
      <formula>MOD(ROW(),2)=0</formula>
    </cfRule>
  </conditionalFormatting>
  <conditionalFormatting sqref="A245:AD245">
    <cfRule type="expression" dxfId="0" priority="121">
      <formula>MOD(ROW(),2)=0</formula>
    </cfRule>
  </conditionalFormatting>
  <conditionalFormatting sqref="A247:AD247">
    <cfRule type="expression" dxfId="0" priority="122">
      <formula>MOD(ROW(),2)=0</formula>
    </cfRule>
  </conditionalFormatting>
  <conditionalFormatting sqref="A249:AD249">
    <cfRule type="expression" dxfId="0" priority="123">
      <formula>MOD(ROW(),2)=0</formula>
    </cfRule>
  </conditionalFormatting>
  <conditionalFormatting sqref="A251:AD251">
    <cfRule type="expression" dxfId="0" priority="124">
      <formula>MOD(ROW(),2)=0</formula>
    </cfRule>
  </conditionalFormatting>
  <conditionalFormatting sqref="A253:AD253">
    <cfRule type="expression" dxfId="0" priority="125">
      <formula>MOD(ROW(),2)=0</formula>
    </cfRule>
  </conditionalFormatting>
  <conditionalFormatting sqref="A255:AD255">
    <cfRule type="expression" dxfId="0" priority="126">
      <formula>MOD(ROW(),2)=0</formula>
    </cfRule>
  </conditionalFormatting>
  <conditionalFormatting sqref="A257:AD257">
    <cfRule type="expression" dxfId="0" priority="127">
      <formula>MOD(ROW(),2)=0</formula>
    </cfRule>
  </conditionalFormatting>
  <conditionalFormatting sqref="A259:AD259">
    <cfRule type="expression" dxfId="0" priority="128">
      <formula>MOD(ROW(),2)=0</formula>
    </cfRule>
  </conditionalFormatting>
  <conditionalFormatting sqref="A25:AD25">
    <cfRule type="expression" dxfId="0" priority="11">
      <formula>MOD(ROW(),2)=0</formula>
    </cfRule>
  </conditionalFormatting>
  <conditionalFormatting sqref="A261:AD261">
    <cfRule type="expression" dxfId="0" priority="129">
      <formula>MOD(ROW(),2)=0</formula>
    </cfRule>
  </conditionalFormatting>
  <conditionalFormatting sqref="A263:AD263">
    <cfRule type="expression" dxfId="0" priority="130">
      <formula>MOD(ROW(),2)=0</formula>
    </cfRule>
  </conditionalFormatting>
  <conditionalFormatting sqref="A265:AD265">
    <cfRule type="expression" dxfId="0" priority="131">
      <formula>MOD(ROW(),2)=0</formula>
    </cfRule>
  </conditionalFormatting>
  <conditionalFormatting sqref="A267:AD267">
    <cfRule type="expression" dxfId="0" priority="132">
      <formula>MOD(ROW(),2)=0</formula>
    </cfRule>
  </conditionalFormatting>
  <conditionalFormatting sqref="A269:AD269">
    <cfRule type="expression" dxfId="0" priority="133">
      <formula>MOD(ROW(),2)=0</formula>
    </cfRule>
  </conditionalFormatting>
  <conditionalFormatting sqref="A271:AD271">
    <cfRule type="expression" dxfId="0" priority="134">
      <formula>MOD(ROW(),2)=0</formula>
    </cfRule>
  </conditionalFormatting>
  <conditionalFormatting sqref="A273:AD273">
    <cfRule type="expression" dxfId="0" priority="135">
      <formula>MOD(ROW(),2)=0</formula>
    </cfRule>
  </conditionalFormatting>
  <conditionalFormatting sqref="A275:AD275">
    <cfRule type="expression" dxfId="0" priority="136">
      <formula>MOD(ROW(),2)=0</formula>
    </cfRule>
  </conditionalFormatting>
  <conditionalFormatting sqref="A277:AD277">
    <cfRule type="expression" dxfId="0" priority="137">
      <formula>MOD(ROW(),2)=0</formula>
    </cfRule>
  </conditionalFormatting>
  <conditionalFormatting sqref="A279:AD279">
    <cfRule type="expression" dxfId="0" priority="138">
      <formula>MOD(ROW(),2)=0</formula>
    </cfRule>
  </conditionalFormatting>
  <conditionalFormatting sqref="A27:AD27">
    <cfRule type="expression" dxfId="0" priority="12">
      <formula>MOD(ROW(),2)=0</formula>
    </cfRule>
  </conditionalFormatting>
  <conditionalFormatting sqref="A281:AD281">
    <cfRule type="expression" dxfId="0" priority="139">
      <formula>MOD(ROW(),2)=0</formula>
    </cfRule>
  </conditionalFormatting>
  <conditionalFormatting sqref="A283:AD283">
    <cfRule type="expression" dxfId="0" priority="140">
      <formula>MOD(ROW(),2)=0</formula>
    </cfRule>
  </conditionalFormatting>
  <conditionalFormatting sqref="A285:AD285">
    <cfRule type="expression" dxfId="0" priority="141">
      <formula>MOD(ROW(),2)=0</formula>
    </cfRule>
  </conditionalFormatting>
  <conditionalFormatting sqref="A287:AD287">
    <cfRule type="expression" dxfId="0" priority="142">
      <formula>MOD(ROW(),2)=0</formula>
    </cfRule>
  </conditionalFormatting>
  <conditionalFormatting sqref="A289:AD289">
    <cfRule type="expression" dxfId="0" priority="143">
      <formula>MOD(ROW(),2)=0</formula>
    </cfRule>
  </conditionalFormatting>
  <conditionalFormatting sqref="A291:AD291">
    <cfRule type="expression" dxfId="0" priority="144">
      <formula>MOD(ROW(),2)=0</formula>
    </cfRule>
  </conditionalFormatting>
  <conditionalFormatting sqref="A293:AD293">
    <cfRule type="expression" dxfId="0" priority="145">
      <formula>MOD(ROW(),2)=0</formula>
    </cfRule>
  </conditionalFormatting>
  <conditionalFormatting sqref="A295:AD295">
    <cfRule type="expression" dxfId="0" priority="146">
      <formula>MOD(ROW(),2)=0</formula>
    </cfRule>
  </conditionalFormatting>
  <conditionalFormatting sqref="A297:AD297">
    <cfRule type="expression" dxfId="0" priority="147">
      <formula>MOD(ROW(),2)=0</formula>
    </cfRule>
  </conditionalFormatting>
  <conditionalFormatting sqref="A299:AD299">
    <cfRule type="expression" dxfId="0" priority="148">
      <formula>MOD(ROW(),2)=0</formula>
    </cfRule>
  </conditionalFormatting>
  <conditionalFormatting sqref="A29:AD29">
    <cfRule type="expression" dxfId="0" priority="13">
      <formula>MOD(ROW(),2)=0</formula>
    </cfRule>
  </conditionalFormatting>
  <conditionalFormatting sqref="A301:AD301">
    <cfRule type="expression" dxfId="0" priority="149">
      <formula>MOD(ROW(),2)=0</formula>
    </cfRule>
  </conditionalFormatting>
  <conditionalFormatting sqref="A303:AD303">
    <cfRule type="expression" dxfId="0" priority="150">
      <formula>MOD(ROW(),2)=0</formula>
    </cfRule>
  </conditionalFormatting>
  <conditionalFormatting sqref="A305:AD305">
    <cfRule type="expression" dxfId="0" priority="151">
      <formula>MOD(ROW(),2)=0</formula>
    </cfRule>
  </conditionalFormatting>
  <conditionalFormatting sqref="A307:AD307">
    <cfRule type="expression" dxfId="0" priority="152">
      <formula>MOD(ROW(),2)=0</formula>
    </cfRule>
  </conditionalFormatting>
  <conditionalFormatting sqref="A309:AD309">
    <cfRule type="expression" dxfId="0" priority="153">
      <formula>MOD(ROW(),2)=0</formula>
    </cfRule>
  </conditionalFormatting>
  <conditionalFormatting sqref="A311:AD311">
    <cfRule type="expression" dxfId="0" priority="154">
      <formula>MOD(ROW(),2)=0</formula>
    </cfRule>
  </conditionalFormatting>
  <conditionalFormatting sqref="A313:AD313">
    <cfRule type="expression" dxfId="0" priority="155">
      <formula>MOD(ROW(),2)=0</formula>
    </cfRule>
  </conditionalFormatting>
  <conditionalFormatting sqref="A315:AD315">
    <cfRule type="expression" dxfId="0" priority="156">
      <formula>MOD(ROW(),2)=0</formula>
    </cfRule>
  </conditionalFormatting>
  <conditionalFormatting sqref="A317:AD317">
    <cfRule type="expression" dxfId="0" priority="157">
      <formula>MOD(ROW(),2)=0</formula>
    </cfRule>
  </conditionalFormatting>
  <conditionalFormatting sqref="A319:AD319">
    <cfRule type="expression" dxfId="0" priority="158">
      <formula>MOD(ROW(),2)=0</formula>
    </cfRule>
  </conditionalFormatting>
  <conditionalFormatting sqref="A31:AD31">
    <cfRule type="expression" dxfId="0" priority="14">
      <formula>MOD(ROW(),2)=0</formula>
    </cfRule>
  </conditionalFormatting>
  <conditionalFormatting sqref="A321:AD321">
    <cfRule type="expression" dxfId="0" priority="159">
      <formula>MOD(ROW(),2)=0</formula>
    </cfRule>
  </conditionalFormatting>
  <conditionalFormatting sqref="A323:AD323">
    <cfRule type="expression" dxfId="0" priority="160">
      <formula>MOD(ROW(),2)=0</formula>
    </cfRule>
  </conditionalFormatting>
  <conditionalFormatting sqref="A325:AD325">
    <cfRule type="expression" dxfId="0" priority="161">
      <formula>MOD(ROW(),2)=0</formula>
    </cfRule>
  </conditionalFormatting>
  <conditionalFormatting sqref="A327:AD327">
    <cfRule type="expression" dxfId="0" priority="162">
      <formula>MOD(ROW(),2)=0</formula>
    </cfRule>
  </conditionalFormatting>
  <conditionalFormatting sqref="A329:AD329">
    <cfRule type="expression" dxfId="0" priority="163">
      <formula>MOD(ROW(),2)=0</formula>
    </cfRule>
  </conditionalFormatting>
  <conditionalFormatting sqref="A331:AD331">
    <cfRule type="expression" dxfId="0" priority="164">
      <formula>MOD(ROW(),2)=0</formula>
    </cfRule>
  </conditionalFormatting>
  <conditionalFormatting sqref="A333:AD333">
    <cfRule type="expression" dxfId="0" priority="165">
      <formula>MOD(ROW(),2)=0</formula>
    </cfRule>
  </conditionalFormatting>
  <conditionalFormatting sqref="A335:AD335">
    <cfRule type="expression" dxfId="0" priority="166">
      <formula>MOD(ROW(),2)=0</formula>
    </cfRule>
  </conditionalFormatting>
  <conditionalFormatting sqref="A337:AD337">
    <cfRule type="expression" dxfId="0" priority="167">
      <formula>MOD(ROW(),2)=0</formula>
    </cfRule>
  </conditionalFormatting>
  <conditionalFormatting sqref="A339:AD339">
    <cfRule type="expression" dxfId="0" priority="168">
      <formula>MOD(ROW(),2)=0</formula>
    </cfRule>
  </conditionalFormatting>
  <conditionalFormatting sqref="A33:AD33">
    <cfRule type="expression" dxfId="0" priority="15">
      <formula>MOD(ROW(),2)=0</formula>
    </cfRule>
  </conditionalFormatting>
  <conditionalFormatting sqref="A341:AD341">
    <cfRule type="expression" dxfId="0" priority="169">
      <formula>MOD(ROW(),2)=0</formula>
    </cfRule>
  </conditionalFormatting>
  <conditionalFormatting sqref="A343:AD343">
    <cfRule type="expression" dxfId="0" priority="170">
      <formula>MOD(ROW(),2)=0</formula>
    </cfRule>
  </conditionalFormatting>
  <conditionalFormatting sqref="A345:AD345">
    <cfRule type="expression" dxfId="0" priority="171">
      <formula>MOD(ROW(),2)=0</formula>
    </cfRule>
  </conditionalFormatting>
  <conditionalFormatting sqref="A347:AD347">
    <cfRule type="expression" dxfId="0" priority="172">
      <formula>MOD(ROW(),2)=0</formula>
    </cfRule>
  </conditionalFormatting>
  <conditionalFormatting sqref="A349:AD349">
    <cfRule type="expression" dxfId="0" priority="173">
      <formula>MOD(ROW(),2)=0</formula>
    </cfRule>
  </conditionalFormatting>
  <conditionalFormatting sqref="A351:AD351">
    <cfRule type="expression" dxfId="0" priority="174">
      <formula>MOD(ROW(),2)=0</formula>
    </cfRule>
  </conditionalFormatting>
  <conditionalFormatting sqref="A353:AD353">
    <cfRule type="expression" dxfId="0" priority="175">
      <formula>MOD(ROW(),2)=0</formula>
    </cfRule>
  </conditionalFormatting>
  <conditionalFormatting sqref="A355:AD355">
    <cfRule type="expression" dxfId="0" priority="176">
      <formula>MOD(ROW(),2)=0</formula>
    </cfRule>
  </conditionalFormatting>
  <conditionalFormatting sqref="A357:AD357">
    <cfRule type="expression" dxfId="0" priority="177">
      <formula>MOD(ROW(),2)=0</formula>
    </cfRule>
  </conditionalFormatting>
  <conditionalFormatting sqref="A359:AD359">
    <cfRule type="expression" dxfId="0" priority="178">
      <formula>MOD(ROW(),2)=0</formula>
    </cfRule>
  </conditionalFormatting>
  <conditionalFormatting sqref="A35:AD35">
    <cfRule type="expression" dxfId="0" priority="16">
      <formula>MOD(ROW(),2)=0</formula>
    </cfRule>
  </conditionalFormatting>
  <conditionalFormatting sqref="A361:AD361">
    <cfRule type="expression" dxfId="0" priority="179">
      <formula>MOD(ROW(),2)=0</formula>
    </cfRule>
  </conditionalFormatting>
  <conditionalFormatting sqref="A363:AD363">
    <cfRule type="expression" dxfId="0" priority="180">
      <formula>MOD(ROW(),2)=0</formula>
    </cfRule>
  </conditionalFormatting>
  <conditionalFormatting sqref="A365:AD365">
    <cfRule type="expression" dxfId="0" priority="181">
      <formula>MOD(ROW(),2)=0</formula>
    </cfRule>
  </conditionalFormatting>
  <conditionalFormatting sqref="A367:AD367">
    <cfRule type="expression" dxfId="0" priority="182">
      <formula>MOD(ROW(),2)=0</formula>
    </cfRule>
  </conditionalFormatting>
  <conditionalFormatting sqref="A369:AD369">
    <cfRule type="expression" dxfId="0" priority="183">
      <formula>MOD(ROW(),2)=0</formula>
    </cfRule>
  </conditionalFormatting>
  <conditionalFormatting sqref="A371:AD371">
    <cfRule type="expression" dxfId="0" priority="184">
      <formula>MOD(ROW(),2)=0</formula>
    </cfRule>
  </conditionalFormatting>
  <conditionalFormatting sqref="A373:AD373">
    <cfRule type="expression" dxfId="0" priority="185">
      <formula>MOD(ROW(),2)=0</formula>
    </cfRule>
  </conditionalFormatting>
  <conditionalFormatting sqref="A375:AD375">
    <cfRule type="expression" dxfId="0" priority="186">
      <formula>MOD(ROW(),2)=0</formula>
    </cfRule>
  </conditionalFormatting>
  <conditionalFormatting sqref="A377:AD377">
    <cfRule type="expression" dxfId="0" priority="187">
      <formula>MOD(ROW(),2)=0</formula>
    </cfRule>
  </conditionalFormatting>
  <conditionalFormatting sqref="A379:AD379">
    <cfRule type="expression" dxfId="0" priority="188">
      <formula>MOD(ROW(),2)=0</formula>
    </cfRule>
  </conditionalFormatting>
  <conditionalFormatting sqref="A37:AD37">
    <cfRule type="expression" dxfId="0" priority="17">
      <formula>MOD(ROW(),2)=0</formula>
    </cfRule>
  </conditionalFormatting>
  <conditionalFormatting sqref="A381:AD381">
    <cfRule type="expression" dxfId="0" priority="189">
      <formula>MOD(ROW(),2)=0</formula>
    </cfRule>
  </conditionalFormatting>
  <conditionalFormatting sqref="A383:AD383">
    <cfRule type="expression" dxfId="0" priority="190">
      <formula>MOD(ROW(),2)=0</formula>
    </cfRule>
  </conditionalFormatting>
  <conditionalFormatting sqref="A385:AD385">
    <cfRule type="expression" dxfId="0" priority="191">
      <formula>MOD(ROW(),2)=0</formula>
    </cfRule>
  </conditionalFormatting>
  <conditionalFormatting sqref="A387:AD387">
    <cfRule type="expression" dxfId="0" priority="192">
      <formula>MOD(ROW(),2)=0</formula>
    </cfRule>
  </conditionalFormatting>
  <conditionalFormatting sqref="A389:AD389">
    <cfRule type="expression" dxfId="0" priority="193">
      <formula>MOD(ROW(),2)=0</formula>
    </cfRule>
  </conditionalFormatting>
  <conditionalFormatting sqref="A391:AD391">
    <cfRule type="expression" dxfId="0" priority="194">
      <formula>MOD(ROW(),2)=0</formula>
    </cfRule>
  </conditionalFormatting>
  <conditionalFormatting sqref="A393:AD393">
    <cfRule type="expression" dxfId="0" priority="195">
      <formula>MOD(ROW(),2)=0</formula>
    </cfRule>
  </conditionalFormatting>
  <conditionalFormatting sqref="A395:AD395">
    <cfRule type="expression" dxfId="0" priority="196">
      <formula>MOD(ROW(),2)=0</formula>
    </cfRule>
  </conditionalFormatting>
  <conditionalFormatting sqref="A397:AD397">
    <cfRule type="expression" dxfId="0" priority="197">
      <formula>MOD(ROW(),2)=0</formula>
    </cfRule>
  </conditionalFormatting>
  <conditionalFormatting sqref="A399:AD399">
    <cfRule type="expression" dxfId="0" priority="198">
      <formula>MOD(ROW(),2)=0</formula>
    </cfRule>
  </conditionalFormatting>
  <conditionalFormatting sqref="A39:AD39">
    <cfRule type="expression" dxfId="0" priority="18">
      <formula>MOD(ROW(),2)=0</formula>
    </cfRule>
  </conditionalFormatting>
  <conditionalFormatting sqref="A401:AD401">
    <cfRule type="expression" dxfId="0" priority="199">
      <formula>MOD(ROW(),2)=0</formula>
    </cfRule>
  </conditionalFormatting>
  <conditionalFormatting sqref="A403:AD403">
    <cfRule type="expression" dxfId="0" priority="200">
      <formula>MOD(ROW(),2)=0</formula>
    </cfRule>
  </conditionalFormatting>
  <conditionalFormatting sqref="A405:AD405">
    <cfRule type="expression" dxfId="0" priority="201">
      <formula>MOD(ROW(),2)=0</formula>
    </cfRule>
  </conditionalFormatting>
  <conditionalFormatting sqref="A407:AD407">
    <cfRule type="expression" dxfId="0" priority="202">
      <formula>MOD(ROW(),2)=0</formula>
    </cfRule>
  </conditionalFormatting>
  <conditionalFormatting sqref="A409:AD409">
    <cfRule type="expression" dxfId="0" priority="203">
      <formula>MOD(ROW(),2)=0</formula>
    </cfRule>
  </conditionalFormatting>
  <conditionalFormatting sqref="A411:AD411">
    <cfRule type="expression" dxfId="0" priority="204">
      <formula>MOD(ROW(),2)=0</formula>
    </cfRule>
  </conditionalFormatting>
  <conditionalFormatting sqref="A413:AD413">
    <cfRule type="expression" dxfId="0" priority="205">
      <formula>MOD(ROW(),2)=0</formula>
    </cfRule>
  </conditionalFormatting>
  <conditionalFormatting sqref="A415:AD415">
    <cfRule type="expression" dxfId="0" priority="206">
      <formula>MOD(ROW(),2)=0</formula>
    </cfRule>
  </conditionalFormatting>
  <conditionalFormatting sqref="A417:AD417">
    <cfRule type="expression" dxfId="0" priority="207">
      <formula>MOD(ROW(),2)=0</formula>
    </cfRule>
  </conditionalFormatting>
  <conditionalFormatting sqref="A419:AD419">
    <cfRule type="expression" dxfId="0" priority="208">
      <formula>MOD(ROW(),2)=0</formula>
    </cfRule>
  </conditionalFormatting>
  <conditionalFormatting sqref="A41:AD41">
    <cfRule type="expression" dxfId="0" priority="19">
      <formula>MOD(ROW(),2)=0</formula>
    </cfRule>
  </conditionalFormatting>
  <conditionalFormatting sqref="A421:AD421">
    <cfRule type="expression" dxfId="0" priority="209">
      <formula>MOD(ROW(),2)=0</formula>
    </cfRule>
  </conditionalFormatting>
  <conditionalFormatting sqref="A423:AD423">
    <cfRule type="expression" dxfId="0" priority="210">
      <formula>MOD(ROW(),2)=0</formula>
    </cfRule>
  </conditionalFormatting>
  <conditionalFormatting sqref="A425:AD425">
    <cfRule type="expression" dxfId="0" priority="211">
      <formula>MOD(ROW(),2)=0</formula>
    </cfRule>
  </conditionalFormatting>
  <conditionalFormatting sqref="A427:AD427">
    <cfRule type="expression" dxfId="0" priority="212">
      <formula>MOD(ROW(),2)=0</formula>
    </cfRule>
  </conditionalFormatting>
  <conditionalFormatting sqref="A429:AD429">
    <cfRule type="expression" dxfId="0" priority="213">
      <formula>MOD(ROW(),2)=0</formula>
    </cfRule>
  </conditionalFormatting>
  <conditionalFormatting sqref="A431:AD431">
    <cfRule type="expression" dxfId="0" priority="214">
      <formula>MOD(ROW(),2)=0</formula>
    </cfRule>
  </conditionalFormatting>
  <conditionalFormatting sqref="A433:AD433">
    <cfRule type="expression" dxfId="0" priority="215">
      <formula>MOD(ROW(),2)=0</formula>
    </cfRule>
  </conditionalFormatting>
  <conditionalFormatting sqref="A435:AD435">
    <cfRule type="expression" dxfId="0" priority="216">
      <formula>MOD(ROW(),2)=0</formula>
    </cfRule>
  </conditionalFormatting>
  <conditionalFormatting sqref="A437:AD437">
    <cfRule type="expression" dxfId="0" priority="217">
      <formula>MOD(ROW(),2)=0</formula>
    </cfRule>
  </conditionalFormatting>
  <conditionalFormatting sqref="A439:AD439">
    <cfRule type="expression" dxfId="0" priority="218">
      <formula>MOD(ROW(),2)=0</formula>
    </cfRule>
  </conditionalFormatting>
  <conditionalFormatting sqref="A43:AD43">
    <cfRule type="expression" dxfId="0" priority="20">
      <formula>MOD(ROW(),2)=0</formula>
    </cfRule>
  </conditionalFormatting>
  <conditionalFormatting sqref="A441:AD441">
    <cfRule type="expression" dxfId="0" priority="219">
      <formula>MOD(ROW(),2)=0</formula>
    </cfRule>
  </conditionalFormatting>
  <conditionalFormatting sqref="A443:AD443">
    <cfRule type="expression" dxfId="0" priority="220">
      <formula>MOD(ROW(),2)=0</formula>
    </cfRule>
  </conditionalFormatting>
  <conditionalFormatting sqref="A445:AD445">
    <cfRule type="expression" dxfId="0" priority="221">
      <formula>MOD(ROW(),2)=0</formula>
    </cfRule>
  </conditionalFormatting>
  <conditionalFormatting sqref="A447:AD447">
    <cfRule type="expression" dxfId="0" priority="222">
      <formula>MOD(ROW(),2)=0</formula>
    </cfRule>
  </conditionalFormatting>
  <conditionalFormatting sqref="A449:AD449">
    <cfRule type="expression" dxfId="0" priority="223">
      <formula>MOD(ROW(),2)=0</formula>
    </cfRule>
  </conditionalFormatting>
  <conditionalFormatting sqref="A451:AD451">
    <cfRule type="expression" dxfId="0" priority="224">
      <formula>MOD(ROW(),2)=0</formula>
    </cfRule>
  </conditionalFormatting>
  <conditionalFormatting sqref="A453:AD453">
    <cfRule type="expression" dxfId="0" priority="225">
      <formula>MOD(ROW(),2)=0</formula>
    </cfRule>
  </conditionalFormatting>
  <conditionalFormatting sqref="A455:AD455">
    <cfRule type="expression" dxfId="0" priority="226">
      <formula>MOD(ROW(),2)=0</formula>
    </cfRule>
  </conditionalFormatting>
  <conditionalFormatting sqref="A457:AD457">
    <cfRule type="expression" dxfId="0" priority="227">
      <formula>MOD(ROW(),2)=0</formula>
    </cfRule>
  </conditionalFormatting>
  <conditionalFormatting sqref="A459:AD459">
    <cfRule type="expression" dxfId="0" priority="228">
      <formula>MOD(ROW(),2)=0</formula>
    </cfRule>
  </conditionalFormatting>
  <conditionalFormatting sqref="A45:AD45">
    <cfRule type="expression" dxfId="0" priority="21">
      <formula>MOD(ROW(),2)=0</formula>
    </cfRule>
  </conditionalFormatting>
  <conditionalFormatting sqref="A461:AD461">
    <cfRule type="expression" dxfId="0" priority="229">
      <formula>MOD(ROW(),2)=0</formula>
    </cfRule>
  </conditionalFormatting>
  <conditionalFormatting sqref="A463:AD463">
    <cfRule type="expression" dxfId="0" priority="230">
      <formula>MOD(ROW(),2)=0</formula>
    </cfRule>
  </conditionalFormatting>
  <conditionalFormatting sqref="A465:AD465">
    <cfRule type="expression" dxfId="0" priority="231">
      <formula>MOD(ROW(),2)=0</formula>
    </cfRule>
  </conditionalFormatting>
  <conditionalFormatting sqref="A467:AD467">
    <cfRule type="expression" dxfId="0" priority="232">
      <formula>MOD(ROW(),2)=0</formula>
    </cfRule>
  </conditionalFormatting>
  <conditionalFormatting sqref="A469:AD469">
    <cfRule type="expression" dxfId="0" priority="233">
      <formula>MOD(ROW(),2)=0</formula>
    </cfRule>
  </conditionalFormatting>
  <conditionalFormatting sqref="A471:AD471">
    <cfRule type="expression" dxfId="0" priority="234">
      <formula>MOD(ROW(),2)=0</formula>
    </cfRule>
  </conditionalFormatting>
  <conditionalFormatting sqref="A473:AD473">
    <cfRule type="expression" dxfId="0" priority="235">
      <formula>MOD(ROW(),2)=0</formula>
    </cfRule>
  </conditionalFormatting>
  <conditionalFormatting sqref="A475:AD475">
    <cfRule type="expression" dxfId="0" priority="236">
      <formula>MOD(ROW(),2)=0</formula>
    </cfRule>
  </conditionalFormatting>
  <conditionalFormatting sqref="A477:AD477">
    <cfRule type="expression" dxfId="0" priority="237">
      <formula>MOD(ROW(),2)=0</formula>
    </cfRule>
  </conditionalFormatting>
  <conditionalFormatting sqref="A479:AD479">
    <cfRule type="expression" dxfId="0" priority="238">
      <formula>MOD(ROW(),2)=0</formula>
    </cfRule>
  </conditionalFormatting>
  <conditionalFormatting sqref="A47:AD47">
    <cfRule type="expression" dxfId="0" priority="22">
      <formula>MOD(ROW(),2)=0</formula>
    </cfRule>
  </conditionalFormatting>
  <conditionalFormatting sqref="A481:AD481">
    <cfRule type="expression" dxfId="0" priority="239">
      <formula>MOD(ROW(),2)=0</formula>
    </cfRule>
  </conditionalFormatting>
  <conditionalFormatting sqref="A483:AD483">
    <cfRule type="expression" dxfId="0" priority="240">
      <formula>MOD(ROW(),2)=0</formula>
    </cfRule>
  </conditionalFormatting>
  <conditionalFormatting sqref="A485:AD485">
    <cfRule type="expression" dxfId="0" priority="241">
      <formula>MOD(ROW(),2)=0</formula>
    </cfRule>
  </conditionalFormatting>
  <conditionalFormatting sqref="A487:AD487">
    <cfRule type="expression" dxfId="0" priority="242">
      <formula>MOD(ROW(),2)=0</formula>
    </cfRule>
  </conditionalFormatting>
  <conditionalFormatting sqref="A489:AD489">
    <cfRule type="expression" dxfId="0" priority="243">
      <formula>MOD(ROW(),2)=0</formula>
    </cfRule>
  </conditionalFormatting>
  <conditionalFormatting sqref="A491:AD491">
    <cfRule type="expression" dxfId="0" priority="244">
      <formula>MOD(ROW(),2)=0</formula>
    </cfRule>
  </conditionalFormatting>
  <conditionalFormatting sqref="A493:AD493">
    <cfRule type="expression" dxfId="0" priority="245">
      <formula>MOD(ROW(),2)=0</formula>
    </cfRule>
  </conditionalFormatting>
  <conditionalFormatting sqref="A495:AD495">
    <cfRule type="expression" dxfId="0" priority="246">
      <formula>MOD(ROW(),2)=0</formula>
    </cfRule>
  </conditionalFormatting>
  <conditionalFormatting sqref="A497:AD497">
    <cfRule type="expression" dxfId="0" priority="247">
      <formula>MOD(ROW(),2)=0</formula>
    </cfRule>
  </conditionalFormatting>
  <conditionalFormatting sqref="A499:AD499">
    <cfRule type="expression" dxfId="0" priority="248">
      <formula>MOD(ROW(),2)=0</formula>
    </cfRule>
  </conditionalFormatting>
  <conditionalFormatting sqref="A49:AD49">
    <cfRule type="expression" dxfId="0" priority="23">
      <formula>MOD(ROW(),2)=0</formula>
    </cfRule>
  </conditionalFormatting>
  <conditionalFormatting sqref="A501:AD501">
    <cfRule type="expression" dxfId="0" priority="249">
      <formula>MOD(ROW(),2)=0</formula>
    </cfRule>
  </conditionalFormatting>
  <conditionalFormatting sqref="A503:AD503">
    <cfRule type="expression" dxfId="0" priority="250">
      <formula>MOD(ROW(),2)=0</formula>
    </cfRule>
  </conditionalFormatting>
  <conditionalFormatting sqref="A505:AD505">
    <cfRule type="expression" dxfId="0" priority="251">
      <formula>MOD(ROW(),2)=0</formula>
    </cfRule>
  </conditionalFormatting>
  <conditionalFormatting sqref="A507:AD507">
    <cfRule type="expression" dxfId="0" priority="252">
      <formula>MOD(ROW(),2)=0</formula>
    </cfRule>
  </conditionalFormatting>
  <conditionalFormatting sqref="A509:AD509">
    <cfRule type="expression" dxfId="0" priority="253">
      <formula>MOD(ROW(),2)=0</formula>
    </cfRule>
  </conditionalFormatting>
  <conditionalFormatting sqref="A511:AD511">
    <cfRule type="expression" dxfId="0" priority="254">
      <formula>MOD(ROW(),2)=0</formula>
    </cfRule>
  </conditionalFormatting>
  <conditionalFormatting sqref="A513:AD513">
    <cfRule type="expression" dxfId="0" priority="255">
      <formula>MOD(ROW(),2)=0</formula>
    </cfRule>
  </conditionalFormatting>
  <conditionalFormatting sqref="A515:AD515">
    <cfRule type="expression" dxfId="0" priority="256">
      <formula>MOD(ROW(),2)=0</formula>
    </cfRule>
  </conditionalFormatting>
  <conditionalFormatting sqref="A517:AD517">
    <cfRule type="expression" dxfId="0" priority="257">
      <formula>MOD(ROW(),2)=0</formula>
    </cfRule>
  </conditionalFormatting>
  <conditionalFormatting sqref="A519:AD519">
    <cfRule type="expression" dxfId="0" priority="258">
      <formula>MOD(ROW(),2)=0</formula>
    </cfRule>
  </conditionalFormatting>
  <conditionalFormatting sqref="A51:AD51">
    <cfRule type="expression" dxfId="0" priority="24">
      <formula>MOD(ROW(),2)=0</formula>
    </cfRule>
  </conditionalFormatting>
  <conditionalFormatting sqref="A521:AD521">
    <cfRule type="expression" dxfId="0" priority="259">
      <formula>MOD(ROW(),2)=0</formula>
    </cfRule>
  </conditionalFormatting>
  <conditionalFormatting sqref="A523:AD523">
    <cfRule type="expression" dxfId="0" priority="260">
      <formula>MOD(ROW(),2)=0</formula>
    </cfRule>
  </conditionalFormatting>
  <conditionalFormatting sqref="A525:AD525">
    <cfRule type="expression" dxfId="0" priority="261">
      <formula>MOD(ROW(),2)=0</formula>
    </cfRule>
  </conditionalFormatting>
  <conditionalFormatting sqref="A527:AD527">
    <cfRule type="expression" dxfId="0" priority="262">
      <formula>MOD(ROW(),2)=0</formula>
    </cfRule>
  </conditionalFormatting>
  <conditionalFormatting sqref="A529:AD529">
    <cfRule type="expression" dxfId="0" priority="263">
      <formula>MOD(ROW(),2)=0</formula>
    </cfRule>
  </conditionalFormatting>
  <conditionalFormatting sqref="A531:AD531">
    <cfRule type="expression" dxfId="0" priority="264">
      <formula>MOD(ROW(),2)=0</formula>
    </cfRule>
  </conditionalFormatting>
  <conditionalFormatting sqref="A533:AD533">
    <cfRule type="expression" dxfId="0" priority="265">
      <formula>MOD(ROW(),2)=0</formula>
    </cfRule>
  </conditionalFormatting>
  <conditionalFormatting sqref="A535:AD535">
    <cfRule type="expression" dxfId="0" priority="266">
      <formula>MOD(ROW(),2)=0</formula>
    </cfRule>
  </conditionalFormatting>
  <conditionalFormatting sqref="A537:AD537">
    <cfRule type="expression" dxfId="0" priority="267">
      <formula>MOD(ROW(),2)=0</formula>
    </cfRule>
  </conditionalFormatting>
  <conditionalFormatting sqref="A539:AD539">
    <cfRule type="expression" dxfId="0" priority="268">
      <formula>MOD(ROW(),2)=0</formula>
    </cfRule>
  </conditionalFormatting>
  <conditionalFormatting sqref="A53:AD53">
    <cfRule type="expression" dxfId="0" priority="25">
      <formula>MOD(ROW(),2)=0</formula>
    </cfRule>
  </conditionalFormatting>
  <conditionalFormatting sqref="A541:AD541">
    <cfRule type="expression" dxfId="0" priority="269">
      <formula>MOD(ROW(),2)=0</formula>
    </cfRule>
  </conditionalFormatting>
  <conditionalFormatting sqref="A543:AD543">
    <cfRule type="expression" dxfId="0" priority="270">
      <formula>MOD(ROW(),2)=0</formula>
    </cfRule>
  </conditionalFormatting>
  <conditionalFormatting sqref="A545:AD545">
    <cfRule type="expression" dxfId="0" priority="271">
      <formula>MOD(ROW(),2)=0</formula>
    </cfRule>
  </conditionalFormatting>
  <conditionalFormatting sqref="A547:AD547">
    <cfRule type="expression" dxfId="0" priority="272">
      <formula>MOD(ROW(),2)=0</formula>
    </cfRule>
  </conditionalFormatting>
  <conditionalFormatting sqref="A549:AD549">
    <cfRule type="expression" dxfId="0" priority="273">
      <formula>MOD(ROW(),2)=0</formula>
    </cfRule>
  </conditionalFormatting>
  <conditionalFormatting sqref="A551:AD551">
    <cfRule type="expression" dxfId="0" priority="274">
      <formula>MOD(ROW(),2)=0</formula>
    </cfRule>
  </conditionalFormatting>
  <conditionalFormatting sqref="A553:AD553">
    <cfRule type="expression" dxfId="0" priority="275">
      <formula>MOD(ROW(),2)=0</formula>
    </cfRule>
  </conditionalFormatting>
  <conditionalFormatting sqref="A555:AD555">
    <cfRule type="expression" dxfId="0" priority="276">
      <formula>MOD(ROW(),2)=0</formula>
    </cfRule>
  </conditionalFormatting>
  <conditionalFormatting sqref="A557:AD557">
    <cfRule type="expression" dxfId="0" priority="277">
      <formula>MOD(ROW(),2)=0</formula>
    </cfRule>
  </conditionalFormatting>
  <conditionalFormatting sqref="A559:AD559">
    <cfRule type="expression" dxfId="0" priority="278">
      <formula>MOD(ROW(),2)=0</formula>
    </cfRule>
  </conditionalFormatting>
  <conditionalFormatting sqref="A55:AD55">
    <cfRule type="expression" dxfId="0" priority="26">
      <formula>MOD(ROW(),2)=0</formula>
    </cfRule>
  </conditionalFormatting>
  <conditionalFormatting sqref="A561:AD561">
    <cfRule type="expression" dxfId="0" priority="279">
      <formula>MOD(ROW(),2)=0</formula>
    </cfRule>
  </conditionalFormatting>
  <conditionalFormatting sqref="A563:AD563">
    <cfRule type="expression" dxfId="0" priority="280">
      <formula>MOD(ROW(),2)=0</formula>
    </cfRule>
  </conditionalFormatting>
  <conditionalFormatting sqref="A565:AD565">
    <cfRule type="expression" dxfId="0" priority="281">
      <formula>MOD(ROW(),2)=0</formula>
    </cfRule>
  </conditionalFormatting>
  <conditionalFormatting sqref="A567:AD567">
    <cfRule type="expression" dxfId="0" priority="282">
      <formula>MOD(ROW(),2)=0</formula>
    </cfRule>
  </conditionalFormatting>
  <conditionalFormatting sqref="A569:AD569">
    <cfRule type="expression" dxfId="0" priority="283">
      <formula>MOD(ROW(),2)=0</formula>
    </cfRule>
  </conditionalFormatting>
  <conditionalFormatting sqref="A571:AD571">
    <cfRule type="expression" dxfId="0" priority="284">
      <formula>MOD(ROW(),2)=0</formula>
    </cfRule>
  </conditionalFormatting>
  <conditionalFormatting sqref="A573:AD573">
    <cfRule type="expression" dxfId="0" priority="285">
      <formula>MOD(ROW(),2)=0</formula>
    </cfRule>
  </conditionalFormatting>
  <conditionalFormatting sqref="A575:AD575">
    <cfRule type="expression" dxfId="0" priority="286">
      <formula>MOD(ROW(),2)=0</formula>
    </cfRule>
  </conditionalFormatting>
  <conditionalFormatting sqref="A577:AD577">
    <cfRule type="expression" dxfId="0" priority="287">
      <formula>MOD(ROW(),2)=0</formula>
    </cfRule>
  </conditionalFormatting>
  <conditionalFormatting sqref="A579:AD579">
    <cfRule type="expression" dxfId="0" priority="288">
      <formula>MOD(ROW(),2)=0</formula>
    </cfRule>
  </conditionalFormatting>
  <conditionalFormatting sqref="A57:AD57">
    <cfRule type="expression" dxfId="0" priority="27">
      <formula>MOD(ROW(),2)=0</formula>
    </cfRule>
  </conditionalFormatting>
  <conditionalFormatting sqref="A581:AD581">
    <cfRule type="expression" dxfId="0" priority="289">
      <formula>MOD(ROW(),2)=0</formula>
    </cfRule>
  </conditionalFormatting>
  <conditionalFormatting sqref="A583:AD583">
    <cfRule type="expression" dxfId="0" priority="290">
      <formula>MOD(ROW(),2)=0</formula>
    </cfRule>
  </conditionalFormatting>
  <conditionalFormatting sqref="A585:AD585">
    <cfRule type="expression" dxfId="0" priority="291">
      <formula>MOD(ROW(),2)=0</formula>
    </cfRule>
  </conditionalFormatting>
  <conditionalFormatting sqref="A587:AD587">
    <cfRule type="expression" dxfId="0" priority="292">
      <formula>MOD(ROW(),2)=0</formula>
    </cfRule>
  </conditionalFormatting>
  <conditionalFormatting sqref="A589:AD589">
    <cfRule type="expression" dxfId="0" priority="293">
      <formula>MOD(ROW(),2)=0</formula>
    </cfRule>
  </conditionalFormatting>
  <conditionalFormatting sqref="A591:AD591">
    <cfRule type="expression" dxfId="0" priority="294">
      <formula>MOD(ROW(),2)=0</formula>
    </cfRule>
  </conditionalFormatting>
  <conditionalFormatting sqref="A593:AD593">
    <cfRule type="expression" dxfId="0" priority="295">
      <formula>MOD(ROW(),2)=0</formula>
    </cfRule>
  </conditionalFormatting>
  <conditionalFormatting sqref="A595:AD595">
    <cfRule type="expression" dxfId="0" priority="296">
      <formula>MOD(ROW(),2)=0</formula>
    </cfRule>
  </conditionalFormatting>
  <conditionalFormatting sqref="A597:AD597">
    <cfRule type="expression" dxfId="0" priority="297">
      <formula>MOD(ROW(),2)=0</formula>
    </cfRule>
  </conditionalFormatting>
  <conditionalFormatting sqref="A599:AD599">
    <cfRule type="expression" dxfId="0" priority="298">
      <formula>MOD(ROW(),2)=0</formula>
    </cfRule>
  </conditionalFormatting>
  <conditionalFormatting sqref="A59:AD59">
    <cfRule type="expression" dxfId="0" priority="28">
      <formula>MOD(ROW(),2)=0</formula>
    </cfRule>
  </conditionalFormatting>
  <conditionalFormatting sqref="A5:AD5">
    <cfRule type="expression" dxfId="0" priority="1">
      <formula>MOD(ROW(),2)=0</formula>
    </cfRule>
  </conditionalFormatting>
  <conditionalFormatting sqref="A601:AD601">
    <cfRule type="expression" dxfId="0" priority="299">
      <formula>MOD(ROW(),2)=0</formula>
    </cfRule>
  </conditionalFormatting>
  <conditionalFormatting sqref="A603:AD603">
    <cfRule type="expression" dxfId="0" priority="300">
      <formula>MOD(ROW(),2)=0</formula>
    </cfRule>
  </conditionalFormatting>
  <conditionalFormatting sqref="A605:AD605">
    <cfRule type="expression" dxfId="0" priority="301">
      <formula>MOD(ROW(),2)=0</formula>
    </cfRule>
  </conditionalFormatting>
  <conditionalFormatting sqref="A607:AD607">
    <cfRule type="expression" dxfId="0" priority="302">
      <formula>MOD(ROW(),2)=0</formula>
    </cfRule>
  </conditionalFormatting>
  <conditionalFormatting sqref="A609:AD609">
    <cfRule type="expression" dxfId="0" priority="303">
      <formula>MOD(ROW(),2)=0</formula>
    </cfRule>
  </conditionalFormatting>
  <conditionalFormatting sqref="A611:AD611">
    <cfRule type="expression" dxfId="0" priority="304">
      <formula>MOD(ROW(),2)=0</formula>
    </cfRule>
  </conditionalFormatting>
  <conditionalFormatting sqref="A613:AD613">
    <cfRule type="expression" dxfId="0" priority="305">
      <formula>MOD(ROW(),2)=0</formula>
    </cfRule>
  </conditionalFormatting>
  <conditionalFormatting sqref="A615:AD615">
    <cfRule type="expression" dxfId="0" priority="306">
      <formula>MOD(ROW(),2)=0</formula>
    </cfRule>
  </conditionalFormatting>
  <conditionalFormatting sqref="A617:AD617">
    <cfRule type="expression" dxfId="0" priority="307">
      <formula>MOD(ROW(),2)=0</formula>
    </cfRule>
  </conditionalFormatting>
  <conditionalFormatting sqref="A619:AD619">
    <cfRule type="expression" dxfId="0" priority="308">
      <formula>MOD(ROW(),2)=0</formula>
    </cfRule>
  </conditionalFormatting>
  <conditionalFormatting sqref="A61:AD61">
    <cfRule type="expression" dxfId="0" priority="29">
      <formula>MOD(ROW(),2)=0</formula>
    </cfRule>
  </conditionalFormatting>
  <conditionalFormatting sqref="A621:AD621">
    <cfRule type="expression" dxfId="0" priority="309">
      <formula>MOD(ROW(),2)=0</formula>
    </cfRule>
  </conditionalFormatting>
  <conditionalFormatting sqref="A623:AD623">
    <cfRule type="expression" dxfId="0" priority="310">
      <formula>MOD(ROW(),2)=0</formula>
    </cfRule>
  </conditionalFormatting>
  <conditionalFormatting sqref="A625:AD625">
    <cfRule type="expression" dxfId="0" priority="311">
      <formula>MOD(ROW(),2)=0</formula>
    </cfRule>
  </conditionalFormatting>
  <conditionalFormatting sqref="A627:AD627">
    <cfRule type="expression" dxfId="0" priority="312">
      <formula>MOD(ROW(),2)=0</formula>
    </cfRule>
  </conditionalFormatting>
  <conditionalFormatting sqref="A629:AD629">
    <cfRule type="expression" dxfId="0" priority="313">
      <formula>MOD(ROW(),2)=0</formula>
    </cfRule>
  </conditionalFormatting>
  <conditionalFormatting sqref="A631:AD631">
    <cfRule type="expression" dxfId="0" priority="314">
      <formula>MOD(ROW(),2)=0</formula>
    </cfRule>
  </conditionalFormatting>
  <conditionalFormatting sqref="A633:AD633">
    <cfRule type="expression" dxfId="0" priority="315">
      <formula>MOD(ROW(),2)=0</formula>
    </cfRule>
  </conditionalFormatting>
  <conditionalFormatting sqref="A635:AD635">
    <cfRule type="expression" dxfId="0" priority="316">
      <formula>MOD(ROW(),2)=0</formula>
    </cfRule>
  </conditionalFormatting>
  <conditionalFormatting sqref="A637:AD637">
    <cfRule type="expression" dxfId="0" priority="317">
      <formula>MOD(ROW(),2)=0</formula>
    </cfRule>
  </conditionalFormatting>
  <conditionalFormatting sqref="A639:AD639">
    <cfRule type="expression" dxfId="0" priority="318">
      <formula>MOD(ROW(),2)=0</formula>
    </cfRule>
  </conditionalFormatting>
  <conditionalFormatting sqref="A63:AD63">
    <cfRule type="expression" dxfId="0" priority="30">
      <formula>MOD(ROW(),2)=0</formula>
    </cfRule>
  </conditionalFormatting>
  <conditionalFormatting sqref="A641:AD641">
    <cfRule type="expression" dxfId="0" priority="319">
      <formula>MOD(ROW(),2)=0</formula>
    </cfRule>
  </conditionalFormatting>
  <conditionalFormatting sqref="A643:AD643">
    <cfRule type="expression" dxfId="0" priority="320">
      <formula>MOD(ROW(),2)=0</formula>
    </cfRule>
  </conditionalFormatting>
  <conditionalFormatting sqref="A645:AD645">
    <cfRule type="expression" dxfId="0" priority="321">
      <formula>MOD(ROW(),2)=0</formula>
    </cfRule>
  </conditionalFormatting>
  <conditionalFormatting sqref="A647:AD647">
    <cfRule type="expression" dxfId="0" priority="322">
      <formula>MOD(ROW(),2)=0</formula>
    </cfRule>
  </conditionalFormatting>
  <conditionalFormatting sqref="A649:AD649">
    <cfRule type="expression" dxfId="0" priority="323">
      <formula>MOD(ROW(),2)=0</formula>
    </cfRule>
  </conditionalFormatting>
  <conditionalFormatting sqref="A651:AD651">
    <cfRule type="expression" dxfId="0" priority="324">
      <formula>MOD(ROW(),2)=0</formula>
    </cfRule>
  </conditionalFormatting>
  <conditionalFormatting sqref="A653:AD653">
    <cfRule type="expression" dxfId="0" priority="325">
      <formula>MOD(ROW(),2)=0</formula>
    </cfRule>
  </conditionalFormatting>
  <conditionalFormatting sqref="A655:AD655">
    <cfRule type="expression" dxfId="0" priority="326">
      <formula>MOD(ROW(),2)=0</formula>
    </cfRule>
  </conditionalFormatting>
  <conditionalFormatting sqref="A657:AD657">
    <cfRule type="expression" dxfId="0" priority="327">
      <formula>MOD(ROW(),2)=0</formula>
    </cfRule>
  </conditionalFormatting>
  <conditionalFormatting sqref="A659:AD659">
    <cfRule type="expression" dxfId="0" priority="328">
      <formula>MOD(ROW(),2)=0</formula>
    </cfRule>
  </conditionalFormatting>
  <conditionalFormatting sqref="A65:AD65">
    <cfRule type="expression" dxfId="0" priority="31">
      <formula>MOD(ROW(),2)=0</formula>
    </cfRule>
  </conditionalFormatting>
  <conditionalFormatting sqref="A661:AD661">
    <cfRule type="expression" dxfId="0" priority="329">
      <formula>MOD(ROW(),2)=0</formula>
    </cfRule>
  </conditionalFormatting>
  <conditionalFormatting sqref="A663:AD663">
    <cfRule type="expression" dxfId="0" priority="330">
      <formula>MOD(ROW(),2)=0</formula>
    </cfRule>
  </conditionalFormatting>
  <conditionalFormatting sqref="A665:AD665">
    <cfRule type="expression" dxfId="0" priority="331">
      <formula>MOD(ROW(),2)=0</formula>
    </cfRule>
  </conditionalFormatting>
  <conditionalFormatting sqref="A667:AD667">
    <cfRule type="expression" dxfId="0" priority="332">
      <formula>MOD(ROW(),2)=0</formula>
    </cfRule>
  </conditionalFormatting>
  <conditionalFormatting sqref="A669:AD669">
    <cfRule type="expression" dxfId="0" priority="333">
      <formula>MOD(ROW(),2)=0</formula>
    </cfRule>
  </conditionalFormatting>
  <conditionalFormatting sqref="A671:AD671">
    <cfRule type="expression" dxfId="0" priority="334">
      <formula>MOD(ROW(),2)=0</formula>
    </cfRule>
  </conditionalFormatting>
  <conditionalFormatting sqref="A673:AD673">
    <cfRule type="expression" dxfId="0" priority="335">
      <formula>MOD(ROW(),2)=0</formula>
    </cfRule>
  </conditionalFormatting>
  <conditionalFormatting sqref="A675:AD675">
    <cfRule type="expression" dxfId="0" priority="336">
      <formula>MOD(ROW(),2)=0</formula>
    </cfRule>
  </conditionalFormatting>
  <conditionalFormatting sqref="A677:AD677">
    <cfRule type="expression" dxfId="0" priority="337">
      <formula>MOD(ROW(),2)=0</formula>
    </cfRule>
  </conditionalFormatting>
  <conditionalFormatting sqref="A679:AD679">
    <cfRule type="expression" dxfId="0" priority="338">
      <formula>MOD(ROW(),2)=0</formula>
    </cfRule>
  </conditionalFormatting>
  <conditionalFormatting sqref="A67:AD67">
    <cfRule type="expression" dxfId="0" priority="32">
      <formula>MOD(ROW(),2)=0</formula>
    </cfRule>
  </conditionalFormatting>
  <conditionalFormatting sqref="A681:AD681">
    <cfRule type="expression" dxfId="0" priority="339">
      <formula>MOD(ROW(),2)=0</formula>
    </cfRule>
  </conditionalFormatting>
  <conditionalFormatting sqref="A683:AD683">
    <cfRule type="expression" dxfId="0" priority="340">
      <formula>MOD(ROW(),2)=0</formula>
    </cfRule>
  </conditionalFormatting>
  <conditionalFormatting sqref="A685:AD685">
    <cfRule type="expression" dxfId="0" priority="341">
      <formula>MOD(ROW(),2)=0</formula>
    </cfRule>
  </conditionalFormatting>
  <conditionalFormatting sqref="A687:AD687">
    <cfRule type="expression" dxfId="0" priority="342">
      <formula>MOD(ROW(),2)=0</formula>
    </cfRule>
  </conditionalFormatting>
  <conditionalFormatting sqref="A689:AD689">
    <cfRule type="expression" dxfId="0" priority="343">
      <formula>MOD(ROW(),2)=0</formula>
    </cfRule>
  </conditionalFormatting>
  <conditionalFormatting sqref="A691:AD691">
    <cfRule type="expression" dxfId="0" priority="344">
      <formula>MOD(ROW(),2)=0</formula>
    </cfRule>
  </conditionalFormatting>
  <conditionalFormatting sqref="A693:AD693">
    <cfRule type="expression" dxfId="0" priority="345">
      <formula>MOD(ROW(),2)=0</formula>
    </cfRule>
  </conditionalFormatting>
  <conditionalFormatting sqref="A695:AD695">
    <cfRule type="expression" dxfId="0" priority="346">
      <formula>MOD(ROW(),2)=0</formula>
    </cfRule>
  </conditionalFormatting>
  <conditionalFormatting sqref="A697:AD697">
    <cfRule type="expression" dxfId="0" priority="347">
      <formula>MOD(ROW(),2)=0</formula>
    </cfRule>
  </conditionalFormatting>
  <conditionalFormatting sqref="A699:AD699">
    <cfRule type="expression" dxfId="0" priority="348">
      <formula>MOD(ROW(),2)=0</formula>
    </cfRule>
  </conditionalFormatting>
  <conditionalFormatting sqref="A69:AD69">
    <cfRule type="expression" dxfId="0" priority="33">
      <formula>MOD(ROW(),2)=0</formula>
    </cfRule>
  </conditionalFormatting>
  <conditionalFormatting sqref="A701:AD701">
    <cfRule type="expression" dxfId="0" priority="349">
      <formula>MOD(ROW(),2)=0</formula>
    </cfRule>
  </conditionalFormatting>
  <conditionalFormatting sqref="A703:AD703">
    <cfRule type="expression" dxfId="0" priority="350">
      <formula>MOD(ROW(),2)=0</formula>
    </cfRule>
  </conditionalFormatting>
  <conditionalFormatting sqref="A705:AD705">
    <cfRule type="expression" dxfId="0" priority="351">
      <formula>MOD(ROW(),2)=0</formula>
    </cfRule>
  </conditionalFormatting>
  <conditionalFormatting sqref="A707:AD707">
    <cfRule type="expression" dxfId="0" priority="352">
      <formula>MOD(ROW(),2)=0</formula>
    </cfRule>
  </conditionalFormatting>
  <conditionalFormatting sqref="A709:AD709">
    <cfRule type="expression" dxfId="0" priority="353">
      <formula>MOD(ROW(),2)=0</formula>
    </cfRule>
  </conditionalFormatting>
  <conditionalFormatting sqref="A711:AD711">
    <cfRule type="expression" dxfId="0" priority="354">
      <formula>MOD(ROW(),2)=0</formula>
    </cfRule>
  </conditionalFormatting>
  <conditionalFormatting sqref="A713:AD713">
    <cfRule type="expression" dxfId="0" priority="355">
      <formula>MOD(ROW(),2)=0</formula>
    </cfRule>
  </conditionalFormatting>
  <conditionalFormatting sqref="A715:AD715">
    <cfRule type="expression" dxfId="0" priority="356">
      <formula>MOD(ROW(),2)=0</formula>
    </cfRule>
  </conditionalFormatting>
  <conditionalFormatting sqref="A717:AD717">
    <cfRule type="expression" dxfId="0" priority="357">
      <formula>MOD(ROW(),2)=0</formula>
    </cfRule>
  </conditionalFormatting>
  <conditionalFormatting sqref="A719:AD719">
    <cfRule type="expression" dxfId="0" priority="358">
      <formula>MOD(ROW(),2)=0</formula>
    </cfRule>
  </conditionalFormatting>
  <conditionalFormatting sqref="A71:AD71">
    <cfRule type="expression" dxfId="0" priority="34">
      <formula>MOD(ROW(),2)=0</formula>
    </cfRule>
  </conditionalFormatting>
  <conditionalFormatting sqref="A721:AD721">
    <cfRule type="expression" dxfId="0" priority="359">
      <formula>MOD(ROW(),2)=0</formula>
    </cfRule>
  </conditionalFormatting>
  <conditionalFormatting sqref="A723:AD723">
    <cfRule type="expression" dxfId="0" priority="360">
      <formula>MOD(ROW(),2)=0</formula>
    </cfRule>
  </conditionalFormatting>
  <conditionalFormatting sqref="A725:AD725">
    <cfRule type="expression" dxfId="0" priority="361">
      <formula>MOD(ROW(),2)=0</formula>
    </cfRule>
  </conditionalFormatting>
  <conditionalFormatting sqref="A727:AD727">
    <cfRule type="expression" dxfId="0" priority="362">
      <formula>MOD(ROW(),2)=0</formula>
    </cfRule>
  </conditionalFormatting>
  <conditionalFormatting sqref="A729:AD729">
    <cfRule type="expression" dxfId="0" priority="363">
      <formula>MOD(ROW(),2)=0</formula>
    </cfRule>
  </conditionalFormatting>
  <conditionalFormatting sqref="A731:AD731">
    <cfRule type="expression" dxfId="0" priority="364">
      <formula>MOD(ROW(),2)=0</formula>
    </cfRule>
  </conditionalFormatting>
  <conditionalFormatting sqref="A733:AD733">
    <cfRule type="expression" dxfId="0" priority="365">
      <formula>MOD(ROW(),2)=0</formula>
    </cfRule>
  </conditionalFormatting>
  <conditionalFormatting sqref="A735:AD735">
    <cfRule type="expression" dxfId="0" priority="366">
      <formula>MOD(ROW(),2)=0</formula>
    </cfRule>
  </conditionalFormatting>
  <conditionalFormatting sqref="A737:AD737">
    <cfRule type="expression" dxfId="0" priority="367">
      <formula>MOD(ROW(),2)=0</formula>
    </cfRule>
  </conditionalFormatting>
  <conditionalFormatting sqref="A739:AD739">
    <cfRule type="expression" dxfId="0" priority="368">
      <formula>MOD(ROW(),2)=0</formula>
    </cfRule>
  </conditionalFormatting>
  <conditionalFormatting sqref="A73:AD73">
    <cfRule type="expression" dxfId="0" priority="35">
      <formula>MOD(ROW(),2)=0</formula>
    </cfRule>
  </conditionalFormatting>
  <conditionalFormatting sqref="A741:AD741">
    <cfRule type="expression" dxfId="0" priority="369">
      <formula>MOD(ROW(),2)=0</formula>
    </cfRule>
  </conditionalFormatting>
  <conditionalFormatting sqref="A743:AD743">
    <cfRule type="expression" dxfId="0" priority="370">
      <formula>MOD(ROW(),2)=0</formula>
    </cfRule>
  </conditionalFormatting>
  <conditionalFormatting sqref="A745:AD745">
    <cfRule type="expression" dxfId="0" priority="371">
      <formula>MOD(ROW(),2)=0</formula>
    </cfRule>
  </conditionalFormatting>
  <conditionalFormatting sqref="A747:AD747">
    <cfRule type="expression" dxfId="0" priority="372">
      <formula>MOD(ROW(),2)=0</formula>
    </cfRule>
  </conditionalFormatting>
  <conditionalFormatting sqref="A749:AD749">
    <cfRule type="expression" dxfId="0" priority="373">
      <formula>MOD(ROW(),2)=0</formula>
    </cfRule>
  </conditionalFormatting>
  <conditionalFormatting sqref="A751:AD751">
    <cfRule type="expression" dxfId="0" priority="374">
      <formula>MOD(ROW(),2)=0</formula>
    </cfRule>
  </conditionalFormatting>
  <conditionalFormatting sqref="A753:AD753">
    <cfRule type="expression" dxfId="0" priority="375">
      <formula>MOD(ROW(),2)=0</formula>
    </cfRule>
  </conditionalFormatting>
  <conditionalFormatting sqref="A755:AD755">
    <cfRule type="expression" dxfId="0" priority="376">
      <formula>MOD(ROW(),2)=0</formula>
    </cfRule>
  </conditionalFormatting>
  <conditionalFormatting sqref="A757:AD757">
    <cfRule type="expression" dxfId="0" priority="377">
      <formula>MOD(ROW(),2)=0</formula>
    </cfRule>
  </conditionalFormatting>
  <conditionalFormatting sqref="A759:AD759">
    <cfRule type="expression" dxfId="0" priority="378">
      <formula>MOD(ROW(),2)=0</formula>
    </cfRule>
  </conditionalFormatting>
  <conditionalFormatting sqref="A75:AD75">
    <cfRule type="expression" dxfId="0" priority="36">
      <formula>MOD(ROW(),2)=0</formula>
    </cfRule>
  </conditionalFormatting>
  <conditionalFormatting sqref="A761:AD761">
    <cfRule type="expression" dxfId="0" priority="379">
      <formula>MOD(ROW(),2)=0</formula>
    </cfRule>
  </conditionalFormatting>
  <conditionalFormatting sqref="A763:AD763">
    <cfRule type="expression" dxfId="0" priority="380">
      <formula>MOD(ROW(),2)=0</formula>
    </cfRule>
  </conditionalFormatting>
  <conditionalFormatting sqref="A765:AD765">
    <cfRule type="expression" dxfId="0" priority="381">
      <formula>MOD(ROW(),2)=0</formula>
    </cfRule>
  </conditionalFormatting>
  <conditionalFormatting sqref="A767:AD767">
    <cfRule type="expression" dxfId="0" priority="382">
      <formula>MOD(ROW(),2)=0</formula>
    </cfRule>
  </conditionalFormatting>
  <conditionalFormatting sqref="A769:AD769">
    <cfRule type="expression" dxfId="0" priority="383">
      <formula>MOD(ROW(),2)=0</formula>
    </cfRule>
  </conditionalFormatting>
  <conditionalFormatting sqref="A771:AD771">
    <cfRule type="expression" dxfId="0" priority="384">
      <formula>MOD(ROW(),2)=0</formula>
    </cfRule>
  </conditionalFormatting>
  <conditionalFormatting sqref="A773:AD773">
    <cfRule type="expression" dxfId="0" priority="385">
      <formula>MOD(ROW(),2)=0</formula>
    </cfRule>
  </conditionalFormatting>
  <conditionalFormatting sqref="A775:AD775">
    <cfRule type="expression" dxfId="0" priority="386">
      <formula>MOD(ROW(),2)=0</formula>
    </cfRule>
  </conditionalFormatting>
  <conditionalFormatting sqref="A777:AD777">
    <cfRule type="expression" dxfId="0" priority="387">
      <formula>MOD(ROW(),2)=0</formula>
    </cfRule>
  </conditionalFormatting>
  <conditionalFormatting sqref="A779:AD779">
    <cfRule type="expression" dxfId="0" priority="388">
      <formula>MOD(ROW(),2)=0</formula>
    </cfRule>
  </conditionalFormatting>
  <conditionalFormatting sqref="A77:AD77">
    <cfRule type="expression" dxfId="0" priority="37">
      <formula>MOD(ROW(),2)=0</formula>
    </cfRule>
  </conditionalFormatting>
  <conditionalFormatting sqref="A781:AD781">
    <cfRule type="expression" dxfId="0" priority="389">
      <formula>MOD(ROW(),2)=0</formula>
    </cfRule>
  </conditionalFormatting>
  <conditionalFormatting sqref="A783:AD783">
    <cfRule type="expression" dxfId="0" priority="390">
      <formula>MOD(ROW(),2)=0</formula>
    </cfRule>
  </conditionalFormatting>
  <conditionalFormatting sqref="A785:AD785">
    <cfRule type="expression" dxfId="0" priority="391">
      <formula>MOD(ROW(),2)=0</formula>
    </cfRule>
  </conditionalFormatting>
  <conditionalFormatting sqref="A787:AD787">
    <cfRule type="expression" dxfId="0" priority="392">
      <formula>MOD(ROW(),2)=0</formula>
    </cfRule>
  </conditionalFormatting>
  <conditionalFormatting sqref="A789:AD789">
    <cfRule type="expression" dxfId="0" priority="393">
      <formula>MOD(ROW(),2)=0</formula>
    </cfRule>
  </conditionalFormatting>
  <conditionalFormatting sqref="A791:AD791">
    <cfRule type="expression" dxfId="0" priority="394">
      <formula>MOD(ROW(),2)=0</formula>
    </cfRule>
  </conditionalFormatting>
  <conditionalFormatting sqref="A793:AD793">
    <cfRule type="expression" dxfId="0" priority="395">
      <formula>MOD(ROW(),2)=0</formula>
    </cfRule>
  </conditionalFormatting>
  <conditionalFormatting sqref="A795:AD795">
    <cfRule type="expression" dxfId="0" priority="396">
      <formula>MOD(ROW(),2)=0</formula>
    </cfRule>
  </conditionalFormatting>
  <conditionalFormatting sqref="A797:AD797">
    <cfRule type="expression" dxfId="0" priority="397">
      <formula>MOD(ROW(),2)=0</formula>
    </cfRule>
  </conditionalFormatting>
  <conditionalFormatting sqref="A799:AD799">
    <cfRule type="expression" dxfId="0" priority="398">
      <formula>MOD(ROW(),2)=0</formula>
    </cfRule>
  </conditionalFormatting>
  <conditionalFormatting sqref="A79:AD79">
    <cfRule type="expression" dxfId="0" priority="38">
      <formula>MOD(ROW(),2)=0</formula>
    </cfRule>
  </conditionalFormatting>
  <conditionalFormatting sqref="A7:AD7">
    <cfRule type="expression" dxfId="0" priority="2">
      <formula>MOD(ROW(),2)=0</formula>
    </cfRule>
  </conditionalFormatting>
  <conditionalFormatting sqref="A801:AD801">
    <cfRule type="expression" dxfId="0" priority="399">
      <formula>MOD(ROW(),2)=0</formula>
    </cfRule>
  </conditionalFormatting>
  <conditionalFormatting sqref="A803:AD803">
    <cfRule type="expression" dxfId="0" priority="400">
      <formula>MOD(ROW(),2)=0</formula>
    </cfRule>
  </conditionalFormatting>
  <conditionalFormatting sqref="A805:AD805">
    <cfRule type="expression" dxfId="0" priority="401">
      <formula>MOD(ROW(),2)=0</formula>
    </cfRule>
  </conditionalFormatting>
  <conditionalFormatting sqref="A807:AD807">
    <cfRule type="expression" dxfId="0" priority="402">
      <formula>MOD(ROW(),2)=0</formula>
    </cfRule>
  </conditionalFormatting>
  <conditionalFormatting sqref="A809:AD809">
    <cfRule type="expression" dxfId="0" priority="403">
      <formula>MOD(ROW(),2)=0</formula>
    </cfRule>
  </conditionalFormatting>
  <conditionalFormatting sqref="A811:AD811">
    <cfRule type="expression" dxfId="0" priority="404">
      <formula>MOD(ROW(),2)=0</formula>
    </cfRule>
  </conditionalFormatting>
  <conditionalFormatting sqref="A813:AD813">
    <cfRule type="expression" dxfId="0" priority="405">
      <formula>MOD(ROW(),2)=0</formula>
    </cfRule>
  </conditionalFormatting>
  <conditionalFormatting sqref="A815:AD815">
    <cfRule type="expression" dxfId="0" priority="406">
      <formula>MOD(ROW(),2)=0</formula>
    </cfRule>
  </conditionalFormatting>
  <conditionalFormatting sqref="A817:AD817">
    <cfRule type="expression" dxfId="0" priority="407">
      <formula>MOD(ROW(),2)=0</formula>
    </cfRule>
  </conditionalFormatting>
  <conditionalFormatting sqref="A819:AD819">
    <cfRule type="expression" dxfId="0" priority="408">
      <formula>MOD(ROW(),2)=0</formula>
    </cfRule>
  </conditionalFormatting>
  <conditionalFormatting sqref="A81:AD81">
    <cfRule type="expression" dxfId="0" priority="39">
      <formula>MOD(ROW(),2)=0</formula>
    </cfRule>
  </conditionalFormatting>
  <conditionalFormatting sqref="A821:AD821">
    <cfRule type="expression" dxfId="0" priority="409">
      <formula>MOD(ROW(),2)=0</formula>
    </cfRule>
  </conditionalFormatting>
  <conditionalFormatting sqref="A823:AD823">
    <cfRule type="expression" dxfId="0" priority="410">
      <formula>MOD(ROW(),2)=0</formula>
    </cfRule>
  </conditionalFormatting>
  <conditionalFormatting sqref="A825:AD825">
    <cfRule type="expression" dxfId="0" priority="411">
      <formula>MOD(ROW(),2)=0</formula>
    </cfRule>
  </conditionalFormatting>
  <conditionalFormatting sqref="A827:AD827">
    <cfRule type="expression" dxfId="0" priority="412">
      <formula>MOD(ROW(),2)=0</formula>
    </cfRule>
  </conditionalFormatting>
  <conditionalFormatting sqref="A829:AD829">
    <cfRule type="expression" dxfId="0" priority="413">
      <formula>MOD(ROW(),2)=0</formula>
    </cfRule>
  </conditionalFormatting>
  <conditionalFormatting sqref="A831:AD831">
    <cfRule type="expression" dxfId="0" priority="414">
      <formula>MOD(ROW(),2)=0</formula>
    </cfRule>
  </conditionalFormatting>
  <conditionalFormatting sqref="A833:AD833">
    <cfRule type="expression" dxfId="0" priority="415">
      <formula>MOD(ROW(),2)=0</formula>
    </cfRule>
  </conditionalFormatting>
  <conditionalFormatting sqref="A835:AD835">
    <cfRule type="expression" dxfId="0" priority="416">
      <formula>MOD(ROW(),2)=0</formula>
    </cfRule>
  </conditionalFormatting>
  <conditionalFormatting sqref="A837:AD837">
    <cfRule type="expression" dxfId="0" priority="417">
      <formula>MOD(ROW(),2)=0</formula>
    </cfRule>
  </conditionalFormatting>
  <conditionalFormatting sqref="A839:AD839">
    <cfRule type="expression" dxfId="0" priority="418">
      <formula>MOD(ROW(),2)=0</formula>
    </cfRule>
  </conditionalFormatting>
  <conditionalFormatting sqref="A83:AD83">
    <cfRule type="expression" dxfId="0" priority="40">
      <formula>MOD(ROW(),2)=0</formula>
    </cfRule>
  </conditionalFormatting>
  <conditionalFormatting sqref="A841:AD841">
    <cfRule type="expression" dxfId="0" priority="419">
      <formula>MOD(ROW(),2)=0</formula>
    </cfRule>
  </conditionalFormatting>
  <conditionalFormatting sqref="A843:AD843">
    <cfRule type="expression" dxfId="0" priority="420">
      <formula>MOD(ROW(),2)=0</formula>
    </cfRule>
  </conditionalFormatting>
  <conditionalFormatting sqref="A845:AD845">
    <cfRule type="expression" dxfId="0" priority="421">
      <formula>MOD(ROW(),2)=0</formula>
    </cfRule>
  </conditionalFormatting>
  <conditionalFormatting sqref="A847:AD847">
    <cfRule type="expression" dxfId="0" priority="422">
      <formula>MOD(ROW(),2)=0</formula>
    </cfRule>
  </conditionalFormatting>
  <conditionalFormatting sqref="A849:AD849">
    <cfRule type="expression" dxfId="0" priority="423">
      <formula>MOD(ROW(),2)=0</formula>
    </cfRule>
  </conditionalFormatting>
  <conditionalFormatting sqref="A851:AD851">
    <cfRule type="expression" dxfId="0" priority="424">
      <formula>MOD(ROW(),2)=0</formula>
    </cfRule>
  </conditionalFormatting>
  <conditionalFormatting sqref="A853:AD853">
    <cfRule type="expression" dxfId="0" priority="425">
      <formula>MOD(ROW(),2)=0</formula>
    </cfRule>
  </conditionalFormatting>
  <conditionalFormatting sqref="A855:AD855">
    <cfRule type="expression" dxfId="0" priority="426">
      <formula>MOD(ROW(),2)=0</formula>
    </cfRule>
  </conditionalFormatting>
  <conditionalFormatting sqref="A857:AD857">
    <cfRule type="expression" dxfId="0" priority="427">
      <formula>MOD(ROW(),2)=0</formula>
    </cfRule>
  </conditionalFormatting>
  <conditionalFormatting sqref="A859:AD859">
    <cfRule type="expression" dxfId="0" priority="428">
      <formula>MOD(ROW(),2)=0</formula>
    </cfRule>
  </conditionalFormatting>
  <conditionalFormatting sqref="A85:AD85">
    <cfRule type="expression" dxfId="0" priority="41">
      <formula>MOD(ROW(),2)=0</formula>
    </cfRule>
  </conditionalFormatting>
  <conditionalFormatting sqref="A861:AD861">
    <cfRule type="expression" dxfId="0" priority="429">
      <formula>MOD(ROW(),2)=0</formula>
    </cfRule>
  </conditionalFormatting>
  <conditionalFormatting sqref="A863:AD863">
    <cfRule type="expression" dxfId="0" priority="430">
      <formula>MOD(ROW(),2)=0</formula>
    </cfRule>
  </conditionalFormatting>
  <conditionalFormatting sqref="A865:AD865">
    <cfRule type="expression" dxfId="0" priority="431">
      <formula>MOD(ROW(),2)=0</formula>
    </cfRule>
  </conditionalFormatting>
  <conditionalFormatting sqref="A867:AD867">
    <cfRule type="expression" dxfId="0" priority="432">
      <formula>MOD(ROW(),2)=0</formula>
    </cfRule>
  </conditionalFormatting>
  <conditionalFormatting sqref="A869:AD869">
    <cfRule type="expression" dxfId="0" priority="433">
      <formula>MOD(ROW(),2)=0</formula>
    </cfRule>
  </conditionalFormatting>
  <conditionalFormatting sqref="A871:AD871">
    <cfRule type="expression" dxfId="0" priority="434">
      <formula>MOD(ROW(),2)=0</formula>
    </cfRule>
  </conditionalFormatting>
  <conditionalFormatting sqref="A873:AD873">
    <cfRule type="expression" dxfId="0" priority="435">
      <formula>MOD(ROW(),2)=0</formula>
    </cfRule>
  </conditionalFormatting>
  <conditionalFormatting sqref="A875:AD875">
    <cfRule type="expression" dxfId="0" priority="436">
      <formula>MOD(ROW(),2)=0</formula>
    </cfRule>
  </conditionalFormatting>
  <conditionalFormatting sqref="A877:AD877">
    <cfRule type="expression" dxfId="0" priority="437">
      <formula>MOD(ROW(),2)=0</formula>
    </cfRule>
  </conditionalFormatting>
  <conditionalFormatting sqref="A879:AD879">
    <cfRule type="expression" dxfId="0" priority="438">
      <formula>MOD(ROW(),2)=0</formula>
    </cfRule>
  </conditionalFormatting>
  <conditionalFormatting sqref="A87:AD87">
    <cfRule type="expression" dxfId="0" priority="42">
      <formula>MOD(ROW(),2)=0</formula>
    </cfRule>
  </conditionalFormatting>
  <conditionalFormatting sqref="A881:AD881">
    <cfRule type="expression" dxfId="0" priority="439">
      <formula>MOD(ROW(),2)=0</formula>
    </cfRule>
  </conditionalFormatting>
  <conditionalFormatting sqref="A883:AD883">
    <cfRule type="expression" dxfId="0" priority="440">
      <formula>MOD(ROW(),2)=0</formula>
    </cfRule>
  </conditionalFormatting>
  <conditionalFormatting sqref="A885:AD885">
    <cfRule type="expression" dxfId="0" priority="441">
      <formula>MOD(ROW(),2)=0</formula>
    </cfRule>
  </conditionalFormatting>
  <conditionalFormatting sqref="A887:AD887">
    <cfRule type="expression" dxfId="0" priority="442">
      <formula>MOD(ROW(),2)=0</formula>
    </cfRule>
  </conditionalFormatting>
  <conditionalFormatting sqref="A889:AD889">
    <cfRule type="expression" dxfId="0" priority="443">
      <formula>MOD(ROW(),2)=0</formula>
    </cfRule>
  </conditionalFormatting>
  <conditionalFormatting sqref="A891:AD891">
    <cfRule type="expression" dxfId="0" priority="444">
      <formula>MOD(ROW(),2)=0</formula>
    </cfRule>
  </conditionalFormatting>
  <conditionalFormatting sqref="A893:AD893">
    <cfRule type="expression" dxfId="0" priority="445">
      <formula>MOD(ROW(),2)=0</formula>
    </cfRule>
  </conditionalFormatting>
  <conditionalFormatting sqref="A895:AD895">
    <cfRule type="expression" dxfId="0" priority="446">
      <formula>MOD(ROW(),2)=0</formula>
    </cfRule>
  </conditionalFormatting>
  <conditionalFormatting sqref="A897:AD897">
    <cfRule type="expression" dxfId="0" priority="447">
      <formula>MOD(ROW(),2)=0</formula>
    </cfRule>
  </conditionalFormatting>
  <conditionalFormatting sqref="A899:AD899">
    <cfRule type="expression" dxfId="0" priority="448">
      <formula>MOD(ROW(),2)=0</formula>
    </cfRule>
  </conditionalFormatting>
  <conditionalFormatting sqref="A89:AD89">
    <cfRule type="expression" dxfId="0" priority="43">
      <formula>MOD(ROW(),2)=0</formula>
    </cfRule>
  </conditionalFormatting>
  <conditionalFormatting sqref="A901:AD901">
    <cfRule type="expression" dxfId="0" priority="449">
      <formula>MOD(ROW(),2)=0</formula>
    </cfRule>
  </conditionalFormatting>
  <conditionalFormatting sqref="A903:AD903">
    <cfRule type="expression" dxfId="0" priority="450">
      <formula>MOD(ROW(),2)=0</formula>
    </cfRule>
  </conditionalFormatting>
  <conditionalFormatting sqref="A905:AD905">
    <cfRule type="expression" dxfId="0" priority="451">
      <formula>MOD(ROW(),2)=0</formula>
    </cfRule>
  </conditionalFormatting>
  <conditionalFormatting sqref="A907:AD907">
    <cfRule type="expression" dxfId="0" priority="452">
      <formula>MOD(ROW(),2)=0</formula>
    </cfRule>
  </conditionalFormatting>
  <conditionalFormatting sqref="A909:AD909">
    <cfRule type="expression" dxfId="0" priority="453">
      <formula>MOD(ROW(),2)=0</formula>
    </cfRule>
  </conditionalFormatting>
  <conditionalFormatting sqref="A911:AD911">
    <cfRule type="expression" dxfId="0" priority="454">
      <formula>MOD(ROW(),2)=0</formula>
    </cfRule>
  </conditionalFormatting>
  <conditionalFormatting sqref="A913:AD913">
    <cfRule type="expression" dxfId="0" priority="455">
      <formula>MOD(ROW(),2)=0</formula>
    </cfRule>
  </conditionalFormatting>
  <conditionalFormatting sqref="A915:AD915">
    <cfRule type="expression" dxfId="0" priority="456">
      <formula>MOD(ROW(),2)=0</formula>
    </cfRule>
  </conditionalFormatting>
  <conditionalFormatting sqref="A917:AD917">
    <cfRule type="expression" dxfId="0" priority="457">
      <formula>MOD(ROW(),2)=0</formula>
    </cfRule>
  </conditionalFormatting>
  <conditionalFormatting sqref="A919:AD919">
    <cfRule type="expression" dxfId="0" priority="458">
      <formula>MOD(ROW(),2)=0</formula>
    </cfRule>
  </conditionalFormatting>
  <conditionalFormatting sqref="A91:AD91">
    <cfRule type="expression" dxfId="0" priority="44">
      <formula>MOD(ROW(),2)=0</formula>
    </cfRule>
  </conditionalFormatting>
  <conditionalFormatting sqref="A921:AD921">
    <cfRule type="expression" dxfId="0" priority="459">
      <formula>MOD(ROW(),2)=0</formula>
    </cfRule>
  </conditionalFormatting>
  <conditionalFormatting sqref="A923:AD923">
    <cfRule type="expression" dxfId="0" priority="460">
      <formula>MOD(ROW(),2)=0</formula>
    </cfRule>
  </conditionalFormatting>
  <conditionalFormatting sqref="A925:AD925">
    <cfRule type="expression" dxfId="0" priority="461">
      <formula>MOD(ROW(),2)=0</formula>
    </cfRule>
  </conditionalFormatting>
  <conditionalFormatting sqref="A927:AD927">
    <cfRule type="expression" dxfId="0" priority="462">
      <formula>MOD(ROW(),2)=0</formula>
    </cfRule>
  </conditionalFormatting>
  <conditionalFormatting sqref="A929:AD929">
    <cfRule type="expression" dxfId="0" priority="463">
      <formula>MOD(ROW(),2)=0</formula>
    </cfRule>
  </conditionalFormatting>
  <conditionalFormatting sqref="A931:AD931">
    <cfRule type="expression" dxfId="0" priority="464">
      <formula>MOD(ROW(),2)=0</formula>
    </cfRule>
  </conditionalFormatting>
  <conditionalFormatting sqref="A933:AD933">
    <cfRule type="expression" dxfId="0" priority="465">
      <formula>MOD(ROW(),2)=0</formula>
    </cfRule>
  </conditionalFormatting>
  <conditionalFormatting sqref="A935:AD935">
    <cfRule type="expression" dxfId="0" priority="466">
      <formula>MOD(ROW(),2)=0</formula>
    </cfRule>
  </conditionalFormatting>
  <conditionalFormatting sqref="A937:AD937">
    <cfRule type="expression" dxfId="0" priority="467">
      <formula>MOD(ROW(),2)=0</formula>
    </cfRule>
  </conditionalFormatting>
  <conditionalFormatting sqref="A939:AD939">
    <cfRule type="expression" dxfId="0" priority="468">
      <formula>MOD(ROW(),2)=0</formula>
    </cfRule>
  </conditionalFormatting>
  <conditionalFormatting sqref="A93:AD93">
    <cfRule type="expression" dxfId="0" priority="45">
      <formula>MOD(ROW(),2)=0</formula>
    </cfRule>
  </conditionalFormatting>
  <conditionalFormatting sqref="A941:AD941">
    <cfRule type="expression" dxfId="0" priority="469">
      <formula>MOD(ROW(),2)=0</formula>
    </cfRule>
  </conditionalFormatting>
  <conditionalFormatting sqref="A943:AD943">
    <cfRule type="expression" dxfId="0" priority="470">
      <formula>MOD(ROW(),2)=0</formula>
    </cfRule>
  </conditionalFormatting>
  <conditionalFormatting sqref="A945:AD945">
    <cfRule type="expression" dxfId="0" priority="471">
      <formula>MOD(ROW(),2)=0</formula>
    </cfRule>
  </conditionalFormatting>
  <conditionalFormatting sqref="A947:AD947">
    <cfRule type="expression" dxfId="0" priority="472">
      <formula>MOD(ROW(),2)=0</formula>
    </cfRule>
  </conditionalFormatting>
  <conditionalFormatting sqref="A949:AD949">
    <cfRule type="expression" dxfId="0" priority="473">
      <formula>MOD(ROW(),2)=0</formula>
    </cfRule>
  </conditionalFormatting>
  <conditionalFormatting sqref="A951:AD951">
    <cfRule type="expression" dxfId="0" priority="474">
      <formula>MOD(ROW(),2)=0</formula>
    </cfRule>
  </conditionalFormatting>
  <conditionalFormatting sqref="A953:AD953">
    <cfRule type="expression" dxfId="0" priority="475">
      <formula>MOD(ROW(),2)=0</formula>
    </cfRule>
  </conditionalFormatting>
  <conditionalFormatting sqref="A955:AD955">
    <cfRule type="expression" dxfId="0" priority="476">
      <formula>MOD(ROW(),2)=0</formula>
    </cfRule>
  </conditionalFormatting>
  <conditionalFormatting sqref="A957:AD957">
    <cfRule type="expression" dxfId="0" priority="477">
      <formula>MOD(ROW(),2)=0</formula>
    </cfRule>
  </conditionalFormatting>
  <conditionalFormatting sqref="A959:AD959">
    <cfRule type="expression" dxfId="0" priority="478">
      <formula>MOD(ROW(),2)=0</formula>
    </cfRule>
  </conditionalFormatting>
  <conditionalFormatting sqref="A95:AD95">
    <cfRule type="expression" dxfId="0" priority="46">
      <formula>MOD(ROW(),2)=0</formula>
    </cfRule>
  </conditionalFormatting>
  <conditionalFormatting sqref="A961:AD961">
    <cfRule type="expression" dxfId="0" priority="479">
      <formula>MOD(ROW(),2)=0</formula>
    </cfRule>
  </conditionalFormatting>
  <conditionalFormatting sqref="A963:AD963">
    <cfRule type="expression" dxfId="0" priority="480">
      <formula>MOD(ROW(),2)=0</formula>
    </cfRule>
  </conditionalFormatting>
  <conditionalFormatting sqref="A965:AD965">
    <cfRule type="expression" dxfId="0" priority="481">
      <formula>MOD(ROW(),2)=0</formula>
    </cfRule>
  </conditionalFormatting>
  <conditionalFormatting sqref="A967:AD967">
    <cfRule type="expression" dxfId="0" priority="482">
      <formula>MOD(ROW(),2)=0</formula>
    </cfRule>
  </conditionalFormatting>
  <conditionalFormatting sqref="A969:AD969">
    <cfRule type="expression" dxfId="0" priority="483">
      <formula>MOD(ROW(),2)=0</formula>
    </cfRule>
  </conditionalFormatting>
  <conditionalFormatting sqref="A971:AD971">
    <cfRule type="expression" dxfId="0" priority="484">
      <formula>MOD(ROW(),2)=0</formula>
    </cfRule>
  </conditionalFormatting>
  <conditionalFormatting sqref="A973:AD973">
    <cfRule type="expression" dxfId="0" priority="485">
      <formula>MOD(ROW(),2)=0</formula>
    </cfRule>
  </conditionalFormatting>
  <conditionalFormatting sqref="A975:AD975">
    <cfRule type="expression" dxfId="0" priority="486">
      <formula>MOD(ROW(),2)=0</formula>
    </cfRule>
  </conditionalFormatting>
  <conditionalFormatting sqref="A977:AD977">
    <cfRule type="expression" dxfId="0" priority="487">
      <formula>MOD(ROW(),2)=0</formula>
    </cfRule>
  </conditionalFormatting>
  <conditionalFormatting sqref="A979:AD979">
    <cfRule type="expression" dxfId="0" priority="488">
      <formula>MOD(ROW(),2)=0</formula>
    </cfRule>
  </conditionalFormatting>
  <conditionalFormatting sqref="A97:AD97">
    <cfRule type="expression" dxfId="0" priority="47">
      <formula>MOD(ROW(),2)=0</formula>
    </cfRule>
  </conditionalFormatting>
  <conditionalFormatting sqref="A981:AD981">
    <cfRule type="expression" dxfId="0" priority="489">
      <formula>MOD(ROW(),2)=0</formula>
    </cfRule>
  </conditionalFormatting>
  <conditionalFormatting sqref="A983:AD983">
    <cfRule type="expression" dxfId="0" priority="490">
      <formula>MOD(ROW(),2)=0</formula>
    </cfRule>
  </conditionalFormatting>
  <conditionalFormatting sqref="A985:AD985">
    <cfRule type="expression" dxfId="0" priority="491">
      <formula>MOD(ROW(),2)=0</formula>
    </cfRule>
  </conditionalFormatting>
  <conditionalFormatting sqref="A987:AD987">
    <cfRule type="expression" dxfId="0" priority="492">
      <formula>MOD(ROW(),2)=0</formula>
    </cfRule>
  </conditionalFormatting>
  <conditionalFormatting sqref="A989:AD989">
    <cfRule type="expression" dxfId="0" priority="493">
      <formula>MOD(ROW(),2)=0</formula>
    </cfRule>
  </conditionalFormatting>
  <conditionalFormatting sqref="A991:AD991">
    <cfRule type="expression" dxfId="0" priority="494">
      <formula>MOD(ROW(),2)=0</formula>
    </cfRule>
  </conditionalFormatting>
  <conditionalFormatting sqref="A993:AD993">
    <cfRule type="expression" dxfId="0" priority="495">
      <formula>MOD(ROW(),2)=0</formula>
    </cfRule>
  </conditionalFormatting>
  <conditionalFormatting sqref="A995:AD995">
    <cfRule type="expression" dxfId="0" priority="496">
      <formula>MOD(ROW(),2)=0</formula>
    </cfRule>
  </conditionalFormatting>
  <conditionalFormatting sqref="A997:AD997">
    <cfRule type="expression" dxfId="0" priority="497">
      <formula>MOD(ROW(),2)=0</formula>
    </cfRule>
  </conditionalFormatting>
  <conditionalFormatting sqref="A999:AD999">
    <cfRule type="expression" dxfId="0" priority="498">
      <formula>MOD(ROW(),2)=0</formula>
    </cfRule>
  </conditionalFormatting>
  <conditionalFormatting sqref="A99:AD99">
    <cfRule type="expression" dxfId="0" priority="48">
      <formula>MOD(ROW(),2)=0</formula>
    </cfRule>
  </conditionalFormatting>
  <conditionalFormatting sqref="A9:AD9">
    <cfRule type="expression" dxfId="0" priority="3">
      <formula>MOD(ROW(),2)=0</formula>
    </cfRule>
  </conditionalFormatting>
  <dataValidations count="8400">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Spreadsheet&amp;R&amp;"Calibri,Italic"Recipe Ingredients</oddHeader>
    <oddFooter>&amp;LPage &amp;P of &amp;N&amp;R&amp;D</oddFooter>
  </headerFooter>
  <legacyDrawing r:id="rId1"/>
</worksheet>
</file>

<file path=xl/worksheets/sheet10.xml><?xml version="1.0" encoding="utf-8"?>
<worksheet xmlns="http://schemas.openxmlformats.org/spreadsheetml/2006/main" xmlns:r="http://schemas.openxmlformats.org/officeDocument/2006/relationships">
  <sheetPr>
    <tabColor rgb="FF2F5E43"/>
    <pageSetUpPr fitToPage="1"/>
  </sheetPr>
  <dimension ref="A4:AN3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6.7109375" customWidth="1"/>
    <col min="2" max="2" width="16.7109375" customWidth="1"/>
    <col min="3" max="3" width="10.7109375" customWidth="1"/>
    <col min="4" max="4" width="11.7109375" customWidth="1"/>
    <col min="5" max="5" width="18.7109375" customWidth="1"/>
    <col min="6" max="6" width="10.7109375" customWidth="1"/>
    <col min="7" max="9" width="12.7109375" customWidth="1"/>
    <col min="10" max="10" width="11.7109375" customWidth="1"/>
    <col min="11" max="11" width="10.7109375" customWidth="1"/>
    <col min="12" max="12" width="11.7109375" customWidth="1"/>
    <col min="13" max="13" width="12.7109375" customWidth="1"/>
    <col min="14" max="14" width="11.7109375" customWidth="1"/>
    <col min="15" max="16" width="9.7109375" customWidth="1"/>
    <col min="17" max="17" width="11.7109375" customWidth="1"/>
    <col min="18" max="18" width="18.7109375" customWidth="1"/>
    <col min="19" max="19" width="10.7109375" customWidth="1"/>
    <col min="20" max="20" width="9.7109375" customWidth="1"/>
    <col min="21" max="21" width="13.7109375" customWidth="1"/>
    <col min="22" max="22" width="12.7109375" customWidth="1"/>
    <col min="23" max="23" width="13.7109375" customWidth="1"/>
    <col min="24" max="24" width="12.7109375" customWidth="1"/>
    <col min="25" max="25" width="11.7109375" customWidth="1"/>
    <col min="26" max="26" width="10.7109375" customWidth="1"/>
    <col min="27" max="28" width="12.7109375" customWidth="1"/>
    <col min="29" max="29" width="10.7109375" customWidth="1"/>
    <col min="30" max="30" width="11.7109375" customWidth="1"/>
    <col min="31" max="31" width="10.7109375" customWidth="1"/>
    <col min="32" max="32" width="12.7109375" customWidth="1"/>
    <col min="33" max="33" width="11.7109375" customWidth="1"/>
    <col min="34" max="34" width="12.7109375" customWidth="1"/>
    <col min="35" max="37" width="11.7109375" customWidth="1"/>
    <col min="38" max="38" width="13.7109375" customWidth="1"/>
    <col min="39" max="39" width="10.7109375" customWidth="1"/>
    <col min="40" max="40" width="34.7109375" customWidth="1"/>
  </cols>
  <sheetData>
    <row r="4" spans="1:40" ht="32" customHeight="1">
      <c r="A4" s="9" t="s">
        <v>322</v>
      </c>
      <c r="B4" s="9" t="s">
        <v>282</v>
      </c>
      <c r="C4" s="9" t="s">
        <v>323</v>
      </c>
      <c r="D4" s="9" t="s">
        <v>325</v>
      </c>
      <c r="E4" s="9" t="s">
        <v>340</v>
      </c>
      <c r="F4" s="9" t="s">
        <v>331</v>
      </c>
      <c r="G4" s="9" t="s">
        <v>341</v>
      </c>
      <c r="H4" s="9" t="s">
        <v>342</v>
      </c>
      <c r="I4" s="9" t="s">
        <v>343</v>
      </c>
      <c r="J4" s="9" t="s">
        <v>344</v>
      </c>
      <c r="K4" s="9" t="s">
        <v>345</v>
      </c>
      <c r="L4" s="9" t="s">
        <v>346</v>
      </c>
      <c r="M4" s="9" t="s">
        <v>347</v>
      </c>
      <c r="N4" s="9" t="s">
        <v>150</v>
      </c>
      <c r="O4" s="9" t="s">
        <v>337</v>
      </c>
      <c r="P4" s="9" t="s">
        <v>334</v>
      </c>
      <c r="Q4" s="9" t="s">
        <v>310</v>
      </c>
      <c r="R4" s="9" t="s">
        <v>348</v>
      </c>
      <c r="S4" s="9" t="s">
        <v>329</v>
      </c>
      <c r="T4" s="9" t="s">
        <v>349</v>
      </c>
      <c r="U4" s="9" t="s">
        <v>350</v>
      </c>
      <c r="V4" s="9" t="s">
        <v>351</v>
      </c>
      <c r="W4" s="9" t="s">
        <v>352</v>
      </c>
      <c r="X4" s="9" t="s">
        <v>353</v>
      </c>
      <c r="Y4" s="9" t="s">
        <v>354</v>
      </c>
      <c r="Z4" s="9" t="s">
        <v>355</v>
      </c>
      <c r="AA4" s="9" t="s">
        <v>356</v>
      </c>
      <c r="AB4" s="9" t="s">
        <v>357</v>
      </c>
      <c r="AC4" s="9" t="s">
        <v>358</v>
      </c>
      <c r="AD4" s="9" t="s">
        <v>359</v>
      </c>
      <c r="AE4" s="9" t="s">
        <v>360</v>
      </c>
      <c r="AF4" s="9" t="s">
        <v>361</v>
      </c>
      <c r="AG4" s="9" t="s">
        <v>362</v>
      </c>
      <c r="AH4" s="9" t="s">
        <v>363</v>
      </c>
      <c r="AI4" s="9" t="s">
        <v>364</v>
      </c>
      <c r="AJ4" s="9" t="s">
        <v>365</v>
      </c>
      <c r="AK4" s="9" t="s">
        <v>366</v>
      </c>
      <c r="AL4" s="9" t="s">
        <v>367</v>
      </c>
      <c r="AM4" s="9" t="s">
        <v>368</v>
      </c>
      <c r="AN4" s="9" t="s">
        <v>173</v>
      </c>
    </row>
    <row r="5" spans="1:40">
      <c r="A5" s="7"/>
      <c r="B5" s="27"/>
      <c r="C5" s="27"/>
      <c r="D5" s="28"/>
      <c r="E5" s="27"/>
      <c r="F5" s="26"/>
      <c r="G5" s="8">
        <f>IF(OR(D5="",F5="",F5=0),"",D5/F5)</f>
        <v>0</v>
      </c>
      <c r="H5" s="26"/>
      <c r="I5" s="26"/>
      <c r="J5" s="26"/>
      <c r="K5" s="26"/>
      <c r="L5" s="26"/>
      <c r="M5" s="26"/>
      <c r="N5" s="27"/>
      <c r="O5" s="27"/>
      <c r="P5" s="27"/>
      <c r="Q5" s="27"/>
      <c r="R5" s="7"/>
      <c r="S5" s="8">
        <f>IF(A5="","",SUMIFS(Pantry!$C$5:$C$304,Pantry!$A$5:$A$304,A5))</f>
        <v>0</v>
      </c>
      <c r="T5" s="8">
        <f>IF(A5="","",COUNTIFS('Grocery List'!$A$5:$A$304,A5,'Grocery List'!$N$5:$N$304,"Yes"))</f>
        <v>0</v>
      </c>
      <c r="U5" s="8">
        <f>IF(A5="","",SUMIFS('Grocery List'!$M$5:$M$304,'Grocery List'!$A$5:$A$304,A5))</f>
        <v>0</v>
      </c>
      <c r="V5" s="8">
        <f>IF(A5="","",COUNTIFS('Recipe Ingredients'!$B$5:$B$1204,A5))</f>
        <v>0</v>
      </c>
      <c r="W5" s="8">
        <f>IF(A5="","",SUMIFS('Recipe Ingredients'!$C$5:$C$1204,'Recipe Ingredients'!$B$5:$B$1204,A5))</f>
        <v>0</v>
      </c>
      <c r="X5" s="8">
        <f>IF(A5="","",IF(U5&lt;=0,IF(S5&gt;0,99,0),ROUND(S5/U5,1)))</f>
        <v>0</v>
      </c>
      <c r="Y5" s="8">
        <f>IF(A5="","",U5*10+IF(O5="Yes",5,0)+IF(X5&lt;1,10,0)+IF(S5&lt;=0,3,0))</f>
        <v>0</v>
      </c>
      <c r="Z5" s="8">
        <f>IF(A5="","",COUNTIFS($Y$5:$Y$304,"&gt;"&amp;Y5)+1)</f>
        <v>0</v>
      </c>
      <c r="AA5" s="8">
        <f>IF(A5="","",IF(OR(U5&gt;0,AND(O5="Yes",X5&lt;2)),"Yes","No"))</f>
        <v>0</v>
      </c>
      <c r="AB5" s="8">
        <f>IF(OR(A5="",D5=""),"",S5*D5)</f>
        <v>0</v>
      </c>
      <c r="AC5" s="8">
        <f>IF(AB5="","",COUNTIFS($AB$5:$AB$304,"&gt;"&amp;AB5)+1)</f>
        <v>0</v>
      </c>
      <c r="AD5" s="8">
        <f>IF(A5="","",SUMIFS('Food Waste'!$E$5:$E$154,'Food Waste'!$C$5:$C$154,A5))</f>
        <v>0</v>
      </c>
      <c r="AE5" s="8">
        <f>IF(OR(A5="",AD5=0),"",COUNTIFS($AD$5:$AD$304,"&gt;"&amp;AD5)+1)</f>
        <v>0</v>
      </c>
      <c r="AF5" s="8">
        <f>IF(A5="","",IF(SUMPRODUCT(MAX(('Grocery Spending'!$E$5:$E$404=A5)*'Grocery Spending'!$A$5:$A$404))=0,"",SUMPRODUCT(MAX(('Grocery Spending'!$E$5:$E$404=A5)*'Grocery Spending'!$A$5:$A$404))))</f>
        <v>0</v>
      </c>
      <c r="AG5" s="8">
        <f>IF(OR(A5="",AF5=""),"",IFERROR(AVERAGEIFS('Grocery Spending'!$I$5:$I$404,'Grocery Spending'!$E$5:$E$404,A5,'Grocery Spending'!$A$5:$A$404,AF5),""))</f>
        <v>0</v>
      </c>
      <c r="AH5" s="8">
        <f>IF(A5="","",IFERROR(AVERAGEIFS('Grocery Spending'!$I$5:$I$404,'Grocery Spending'!$E$5:$E$404,A5),""))</f>
        <v>0</v>
      </c>
      <c r="AI5" s="8">
        <f>IF(A5="","",IF(SUMPRODUCT(MIN(('Grocery Spending'!$E$5:$E$404=A5)*'Grocery Spending'!$I$5:$I$404+('Grocery Spending'!$E$5:$E$404&lt;&gt;A5)*1000000))&gt;=1000000,"",SUMPRODUCT(MIN(('Grocery Spending'!$E$5:$E$404=A5)*'Grocery Spending'!$I$5:$I$404+('Grocery Spending'!$E$5:$E$404&lt;&gt;A5)*1000000))))</f>
        <v>0</v>
      </c>
      <c r="AJ5" s="8">
        <f>IF(A5="","",SUMPRODUCT(MAX(('Grocery Spending'!$E$5:$E$404=A5)*'Grocery Spending'!$I$5:$I$404)))</f>
        <v>0</v>
      </c>
      <c r="AK5" s="8">
        <f>IF(OR(A5="",AI5="",AJ5=0),"",AJ5-AI5)</f>
        <v>0</v>
      </c>
      <c r="AL5" s="8">
        <f>IF(OR(A5="",AG5="",AH5=""),"",AG5-AH5)</f>
        <v>0</v>
      </c>
      <c r="AM5" s="8">
        <f>IF(A5="","",IF(AL5="","",IF(AL5&gt;0.01,"Up",IF(AL5&lt;-0.01,"Down","Flat"))))</f>
        <v>0</v>
      </c>
      <c r="AN5" s="25"/>
    </row>
    <row r="6" spans="1:40">
      <c r="A6" s="7"/>
      <c r="B6" s="27"/>
      <c r="C6" s="27"/>
      <c r="D6" s="28"/>
      <c r="E6" s="27"/>
      <c r="F6" s="26"/>
      <c r="G6" s="8">
        <f>IF(OR(D6="",F6="",F6=0),"",D6/F6)</f>
        <v>0</v>
      </c>
      <c r="H6" s="26"/>
      <c r="I6" s="26"/>
      <c r="J6" s="26"/>
      <c r="K6" s="26"/>
      <c r="L6" s="26"/>
      <c r="M6" s="26"/>
      <c r="N6" s="27"/>
      <c r="O6" s="27"/>
      <c r="P6" s="27"/>
      <c r="Q6" s="27"/>
      <c r="R6" s="7"/>
      <c r="S6" s="8">
        <f>IF(A6="","",SUMIFS(Pantry!$C$5:$C$304,Pantry!$A$5:$A$304,A6))</f>
        <v>0</v>
      </c>
      <c r="T6" s="8">
        <f>IF(A6="","",COUNTIFS('Grocery List'!$A$5:$A$304,A6,'Grocery List'!$N$5:$N$304,"Yes"))</f>
        <v>0</v>
      </c>
      <c r="U6" s="8">
        <f>IF(A6="","",SUMIFS('Grocery List'!$M$5:$M$304,'Grocery List'!$A$5:$A$304,A6))</f>
        <v>0</v>
      </c>
      <c r="V6" s="8">
        <f>IF(A6="","",COUNTIFS('Recipe Ingredients'!$B$5:$B$1204,A6))</f>
        <v>0</v>
      </c>
      <c r="W6" s="8">
        <f>IF(A6="","",SUMIFS('Recipe Ingredients'!$C$5:$C$1204,'Recipe Ingredients'!$B$5:$B$1204,A6))</f>
        <v>0</v>
      </c>
      <c r="X6" s="8">
        <f>IF(A6="","",IF(U6&lt;=0,IF(S6&gt;0,99,0),ROUND(S6/U6,1)))</f>
        <v>0</v>
      </c>
      <c r="Y6" s="8">
        <f>IF(A6="","",U6*10+IF(O6="Yes",5,0)+IF(X6&lt;1,10,0)+IF(S6&lt;=0,3,0))</f>
        <v>0</v>
      </c>
      <c r="Z6" s="8">
        <f>IF(A6="","",COUNTIFS($Y$5:$Y$304,"&gt;"&amp;Y6)+1)</f>
        <v>0</v>
      </c>
      <c r="AA6" s="8">
        <f>IF(A6="","",IF(OR(U6&gt;0,AND(O6="Yes",X6&lt;2)),"Yes","No"))</f>
        <v>0</v>
      </c>
      <c r="AB6" s="8">
        <f>IF(OR(A6="",D6=""),"",S6*D6)</f>
        <v>0</v>
      </c>
      <c r="AC6" s="8">
        <f>IF(AB6="","",COUNTIFS($AB$5:$AB$304,"&gt;"&amp;AB6)+1)</f>
        <v>0</v>
      </c>
      <c r="AD6" s="8">
        <f>IF(A6="","",SUMIFS('Food Waste'!$E$5:$E$154,'Food Waste'!$C$5:$C$154,A6))</f>
        <v>0</v>
      </c>
      <c r="AE6" s="8">
        <f>IF(OR(A6="",AD6=0),"",COUNTIFS($AD$5:$AD$304,"&gt;"&amp;AD6)+1)</f>
        <v>0</v>
      </c>
      <c r="AF6" s="8">
        <f>IF(A6="","",IF(SUMPRODUCT(MAX(('Grocery Spending'!$E$5:$E$404=A6)*'Grocery Spending'!$A$5:$A$404))=0,"",SUMPRODUCT(MAX(('Grocery Spending'!$E$5:$E$404=A6)*'Grocery Spending'!$A$5:$A$404))))</f>
        <v>0</v>
      </c>
      <c r="AG6" s="8">
        <f>IF(OR(A6="",AF6=""),"",IFERROR(AVERAGEIFS('Grocery Spending'!$I$5:$I$404,'Grocery Spending'!$E$5:$E$404,A6,'Grocery Spending'!$A$5:$A$404,AF6),""))</f>
        <v>0</v>
      </c>
      <c r="AH6" s="8">
        <f>IF(A6="","",IFERROR(AVERAGEIFS('Grocery Spending'!$I$5:$I$404,'Grocery Spending'!$E$5:$E$404,A6),""))</f>
        <v>0</v>
      </c>
      <c r="AI6" s="8">
        <f>IF(A6="","",IF(SUMPRODUCT(MIN(('Grocery Spending'!$E$5:$E$404=A6)*'Grocery Spending'!$I$5:$I$404+('Grocery Spending'!$E$5:$E$404&lt;&gt;A6)*1000000))&gt;=1000000,"",SUMPRODUCT(MIN(('Grocery Spending'!$E$5:$E$404=A6)*'Grocery Spending'!$I$5:$I$404+('Grocery Spending'!$E$5:$E$404&lt;&gt;A6)*1000000))))</f>
        <v>0</v>
      </c>
      <c r="AJ6" s="8">
        <f>IF(A6="","",SUMPRODUCT(MAX(('Grocery Spending'!$E$5:$E$404=A6)*'Grocery Spending'!$I$5:$I$404)))</f>
        <v>0</v>
      </c>
      <c r="AK6" s="8">
        <f>IF(OR(A6="",AI6="",AJ6=0),"",AJ6-AI6)</f>
        <v>0</v>
      </c>
      <c r="AL6" s="8">
        <f>IF(OR(A6="",AG6="",AH6=""),"",AG6-AH6)</f>
        <v>0</v>
      </c>
      <c r="AM6" s="8">
        <f>IF(A6="","",IF(AL6="","",IF(AL6&gt;0.01,"Up",IF(AL6&lt;-0.01,"Down","Flat"))))</f>
        <v>0</v>
      </c>
      <c r="AN6" s="25"/>
    </row>
    <row r="7" spans="1:40">
      <c r="A7" s="7"/>
      <c r="B7" s="27"/>
      <c r="C7" s="27"/>
      <c r="D7" s="28"/>
      <c r="E7" s="27"/>
      <c r="F7" s="26"/>
      <c r="G7" s="8">
        <f>IF(OR(D7="",F7="",F7=0),"",D7/F7)</f>
        <v>0</v>
      </c>
      <c r="H7" s="26"/>
      <c r="I7" s="26"/>
      <c r="J7" s="26"/>
      <c r="K7" s="26"/>
      <c r="L7" s="26"/>
      <c r="M7" s="26"/>
      <c r="N7" s="27"/>
      <c r="O7" s="27"/>
      <c r="P7" s="27"/>
      <c r="Q7" s="27"/>
      <c r="R7" s="7"/>
      <c r="S7" s="8">
        <f>IF(A7="","",SUMIFS(Pantry!$C$5:$C$304,Pantry!$A$5:$A$304,A7))</f>
        <v>0</v>
      </c>
      <c r="T7" s="8">
        <f>IF(A7="","",COUNTIFS('Grocery List'!$A$5:$A$304,A7,'Grocery List'!$N$5:$N$304,"Yes"))</f>
        <v>0</v>
      </c>
      <c r="U7" s="8">
        <f>IF(A7="","",SUMIFS('Grocery List'!$M$5:$M$304,'Grocery List'!$A$5:$A$304,A7))</f>
        <v>0</v>
      </c>
      <c r="V7" s="8">
        <f>IF(A7="","",COUNTIFS('Recipe Ingredients'!$B$5:$B$1204,A7))</f>
        <v>0</v>
      </c>
      <c r="W7" s="8">
        <f>IF(A7="","",SUMIFS('Recipe Ingredients'!$C$5:$C$1204,'Recipe Ingredients'!$B$5:$B$1204,A7))</f>
        <v>0</v>
      </c>
      <c r="X7" s="8">
        <f>IF(A7="","",IF(U7&lt;=0,IF(S7&gt;0,99,0),ROUND(S7/U7,1)))</f>
        <v>0</v>
      </c>
      <c r="Y7" s="8">
        <f>IF(A7="","",U7*10+IF(O7="Yes",5,0)+IF(X7&lt;1,10,0)+IF(S7&lt;=0,3,0))</f>
        <v>0</v>
      </c>
      <c r="Z7" s="8">
        <f>IF(A7="","",COUNTIFS($Y$5:$Y$304,"&gt;"&amp;Y7)+1)</f>
        <v>0</v>
      </c>
      <c r="AA7" s="8">
        <f>IF(A7="","",IF(OR(U7&gt;0,AND(O7="Yes",X7&lt;2)),"Yes","No"))</f>
        <v>0</v>
      </c>
      <c r="AB7" s="8">
        <f>IF(OR(A7="",D7=""),"",S7*D7)</f>
        <v>0</v>
      </c>
      <c r="AC7" s="8">
        <f>IF(AB7="","",COUNTIFS($AB$5:$AB$304,"&gt;"&amp;AB7)+1)</f>
        <v>0</v>
      </c>
      <c r="AD7" s="8">
        <f>IF(A7="","",SUMIFS('Food Waste'!$E$5:$E$154,'Food Waste'!$C$5:$C$154,A7))</f>
        <v>0</v>
      </c>
      <c r="AE7" s="8">
        <f>IF(OR(A7="",AD7=0),"",COUNTIFS($AD$5:$AD$304,"&gt;"&amp;AD7)+1)</f>
        <v>0</v>
      </c>
      <c r="AF7" s="8">
        <f>IF(A7="","",IF(SUMPRODUCT(MAX(('Grocery Spending'!$E$5:$E$404=A7)*'Grocery Spending'!$A$5:$A$404))=0,"",SUMPRODUCT(MAX(('Grocery Spending'!$E$5:$E$404=A7)*'Grocery Spending'!$A$5:$A$404))))</f>
        <v>0</v>
      </c>
      <c r="AG7" s="8">
        <f>IF(OR(A7="",AF7=""),"",IFERROR(AVERAGEIFS('Grocery Spending'!$I$5:$I$404,'Grocery Spending'!$E$5:$E$404,A7,'Grocery Spending'!$A$5:$A$404,AF7),""))</f>
        <v>0</v>
      </c>
      <c r="AH7" s="8">
        <f>IF(A7="","",IFERROR(AVERAGEIFS('Grocery Spending'!$I$5:$I$404,'Grocery Spending'!$E$5:$E$404,A7),""))</f>
        <v>0</v>
      </c>
      <c r="AI7" s="8">
        <f>IF(A7="","",IF(SUMPRODUCT(MIN(('Grocery Spending'!$E$5:$E$404=A7)*'Grocery Spending'!$I$5:$I$404+('Grocery Spending'!$E$5:$E$404&lt;&gt;A7)*1000000))&gt;=1000000,"",SUMPRODUCT(MIN(('Grocery Spending'!$E$5:$E$404=A7)*'Grocery Spending'!$I$5:$I$404+('Grocery Spending'!$E$5:$E$404&lt;&gt;A7)*1000000))))</f>
        <v>0</v>
      </c>
      <c r="AJ7" s="8">
        <f>IF(A7="","",SUMPRODUCT(MAX(('Grocery Spending'!$E$5:$E$404=A7)*'Grocery Spending'!$I$5:$I$404)))</f>
        <v>0</v>
      </c>
      <c r="AK7" s="8">
        <f>IF(OR(A7="",AI7="",AJ7=0),"",AJ7-AI7)</f>
        <v>0</v>
      </c>
      <c r="AL7" s="8">
        <f>IF(OR(A7="",AG7="",AH7=""),"",AG7-AH7)</f>
        <v>0</v>
      </c>
      <c r="AM7" s="8">
        <f>IF(A7="","",IF(AL7="","",IF(AL7&gt;0.01,"Up",IF(AL7&lt;-0.01,"Down","Flat"))))</f>
        <v>0</v>
      </c>
      <c r="AN7" s="25"/>
    </row>
    <row r="8" spans="1:40">
      <c r="A8" s="7"/>
      <c r="B8" s="27"/>
      <c r="C8" s="27"/>
      <c r="D8" s="28"/>
      <c r="E8" s="27"/>
      <c r="F8" s="26"/>
      <c r="G8" s="8">
        <f>IF(OR(D8="",F8="",F8=0),"",D8/F8)</f>
        <v>0</v>
      </c>
      <c r="H8" s="26"/>
      <c r="I8" s="26"/>
      <c r="J8" s="26"/>
      <c r="K8" s="26"/>
      <c r="L8" s="26"/>
      <c r="M8" s="26"/>
      <c r="N8" s="27"/>
      <c r="O8" s="27"/>
      <c r="P8" s="27"/>
      <c r="Q8" s="27"/>
      <c r="R8" s="7"/>
      <c r="S8" s="8">
        <f>IF(A8="","",SUMIFS(Pantry!$C$5:$C$304,Pantry!$A$5:$A$304,A8))</f>
        <v>0</v>
      </c>
      <c r="T8" s="8">
        <f>IF(A8="","",COUNTIFS('Grocery List'!$A$5:$A$304,A8,'Grocery List'!$N$5:$N$304,"Yes"))</f>
        <v>0</v>
      </c>
      <c r="U8" s="8">
        <f>IF(A8="","",SUMIFS('Grocery List'!$M$5:$M$304,'Grocery List'!$A$5:$A$304,A8))</f>
        <v>0</v>
      </c>
      <c r="V8" s="8">
        <f>IF(A8="","",COUNTIFS('Recipe Ingredients'!$B$5:$B$1204,A8))</f>
        <v>0</v>
      </c>
      <c r="W8" s="8">
        <f>IF(A8="","",SUMIFS('Recipe Ingredients'!$C$5:$C$1204,'Recipe Ingredients'!$B$5:$B$1204,A8))</f>
        <v>0</v>
      </c>
      <c r="X8" s="8">
        <f>IF(A8="","",IF(U8&lt;=0,IF(S8&gt;0,99,0),ROUND(S8/U8,1)))</f>
        <v>0</v>
      </c>
      <c r="Y8" s="8">
        <f>IF(A8="","",U8*10+IF(O8="Yes",5,0)+IF(X8&lt;1,10,0)+IF(S8&lt;=0,3,0))</f>
        <v>0</v>
      </c>
      <c r="Z8" s="8">
        <f>IF(A8="","",COUNTIFS($Y$5:$Y$304,"&gt;"&amp;Y8)+1)</f>
        <v>0</v>
      </c>
      <c r="AA8" s="8">
        <f>IF(A8="","",IF(OR(U8&gt;0,AND(O8="Yes",X8&lt;2)),"Yes","No"))</f>
        <v>0</v>
      </c>
      <c r="AB8" s="8">
        <f>IF(OR(A8="",D8=""),"",S8*D8)</f>
        <v>0</v>
      </c>
      <c r="AC8" s="8">
        <f>IF(AB8="","",COUNTIFS($AB$5:$AB$304,"&gt;"&amp;AB8)+1)</f>
        <v>0</v>
      </c>
      <c r="AD8" s="8">
        <f>IF(A8="","",SUMIFS('Food Waste'!$E$5:$E$154,'Food Waste'!$C$5:$C$154,A8))</f>
        <v>0</v>
      </c>
      <c r="AE8" s="8">
        <f>IF(OR(A8="",AD8=0),"",COUNTIFS($AD$5:$AD$304,"&gt;"&amp;AD8)+1)</f>
        <v>0</v>
      </c>
      <c r="AF8" s="8">
        <f>IF(A8="","",IF(SUMPRODUCT(MAX(('Grocery Spending'!$E$5:$E$404=A8)*'Grocery Spending'!$A$5:$A$404))=0,"",SUMPRODUCT(MAX(('Grocery Spending'!$E$5:$E$404=A8)*'Grocery Spending'!$A$5:$A$404))))</f>
        <v>0</v>
      </c>
      <c r="AG8" s="8">
        <f>IF(OR(A8="",AF8=""),"",IFERROR(AVERAGEIFS('Grocery Spending'!$I$5:$I$404,'Grocery Spending'!$E$5:$E$404,A8,'Grocery Spending'!$A$5:$A$404,AF8),""))</f>
        <v>0</v>
      </c>
      <c r="AH8" s="8">
        <f>IF(A8="","",IFERROR(AVERAGEIFS('Grocery Spending'!$I$5:$I$404,'Grocery Spending'!$E$5:$E$404,A8),""))</f>
        <v>0</v>
      </c>
      <c r="AI8" s="8">
        <f>IF(A8="","",IF(SUMPRODUCT(MIN(('Grocery Spending'!$E$5:$E$404=A8)*'Grocery Spending'!$I$5:$I$404+('Grocery Spending'!$E$5:$E$404&lt;&gt;A8)*1000000))&gt;=1000000,"",SUMPRODUCT(MIN(('Grocery Spending'!$E$5:$E$404=A8)*'Grocery Spending'!$I$5:$I$404+('Grocery Spending'!$E$5:$E$404&lt;&gt;A8)*1000000))))</f>
        <v>0</v>
      </c>
      <c r="AJ8" s="8">
        <f>IF(A8="","",SUMPRODUCT(MAX(('Grocery Spending'!$E$5:$E$404=A8)*'Grocery Spending'!$I$5:$I$404)))</f>
        <v>0</v>
      </c>
      <c r="AK8" s="8">
        <f>IF(OR(A8="",AI8="",AJ8=0),"",AJ8-AI8)</f>
        <v>0</v>
      </c>
      <c r="AL8" s="8">
        <f>IF(OR(A8="",AG8="",AH8=""),"",AG8-AH8)</f>
        <v>0</v>
      </c>
      <c r="AM8" s="8">
        <f>IF(A8="","",IF(AL8="","",IF(AL8&gt;0.01,"Up",IF(AL8&lt;-0.01,"Down","Flat"))))</f>
        <v>0</v>
      </c>
      <c r="AN8" s="25"/>
    </row>
    <row r="9" spans="1:40">
      <c r="A9" s="7"/>
      <c r="B9" s="27"/>
      <c r="C9" s="27"/>
      <c r="D9" s="28"/>
      <c r="E9" s="27"/>
      <c r="F9" s="26"/>
      <c r="G9" s="8">
        <f>IF(OR(D9="",F9="",F9=0),"",D9/F9)</f>
        <v>0</v>
      </c>
      <c r="H9" s="26"/>
      <c r="I9" s="26"/>
      <c r="J9" s="26"/>
      <c r="K9" s="26"/>
      <c r="L9" s="26"/>
      <c r="M9" s="26"/>
      <c r="N9" s="27"/>
      <c r="O9" s="27"/>
      <c r="P9" s="27"/>
      <c r="Q9" s="27"/>
      <c r="R9" s="7"/>
      <c r="S9" s="8">
        <f>IF(A9="","",SUMIFS(Pantry!$C$5:$C$304,Pantry!$A$5:$A$304,A9))</f>
        <v>0</v>
      </c>
      <c r="T9" s="8">
        <f>IF(A9="","",COUNTIFS('Grocery List'!$A$5:$A$304,A9,'Grocery List'!$N$5:$N$304,"Yes"))</f>
        <v>0</v>
      </c>
      <c r="U9" s="8">
        <f>IF(A9="","",SUMIFS('Grocery List'!$M$5:$M$304,'Grocery List'!$A$5:$A$304,A9))</f>
        <v>0</v>
      </c>
      <c r="V9" s="8">
        <f>IF(A9="","",COUNTIFS('Recipe Ingredients'!$B$5:$B$1204,A9))</f>
        <v>0</v>
      </c>
      <c r="W9" s="8">
        <f>IF(A9="","",SUMIFS('Recipe Ingredients'!$C$5:$C$1204,'Recipe Ingredients'!$B$5:$B$1204,A9))</f>
        <v>0</v>
      </c>
      <c r="X9" s="8">
        <f>IF(A9="","",IF(U9&lt;=0,IF(S9&gt;0,99,0),ROUND(S9/U9,1)))</f>
        <v>0</v>
      </c>
      <c r="Y9" s="8">
        <f>IF(A9="","",U9*10+IF(O9="Yes",5,0)+IF(X9&lt;1,10,0)+IF(S9&lt;=0,3,0))</f>
        <v>0</v>
      </c>
      <c r="Z9" s="8">
        <f>IF(A9="","",COUNTIFS($Y$5:$Y$304,"&gt;"&amp;Y9)+1)</f>
        <v>0</v>
      </c>
      <c r="AA9" s="8">
        <f>IF(A9="","",IF(OR(U9&gt;0,AND(O9="Yes",X9&lt;2)),"Yes","No"))</f>
        <v>0</v>
      </c>
      <c r="AB9" s="8">
        <f>IF(OR(A9="",D9=""),"",S9*D9)</f>
        <v>0</v>
      </c>
      <c r="AC9" s="8">
        <f>IF(AB9="","",COUNTIFS($AB$5:$AB$304,"&gt;"&amp;AB9)+1)</f>
        <v>0</v>
      </c>
      <c r="AD9" s="8">
        <f>IF(A9="","",SUMIFS('Food Waste'!$E$5:$E$154,'Food Waste'!$C$5:$C$154,A9))</f>
        <v>0</v>
      </c>
      <c r="AE9" s="8">
        <f>IF(OR(A9="",AD9=0),"",COUNTIFS($AD$5:$AD$304,"&gt;"&amp;AD9)+1)</f>
        <v>0</v>
      </c>
      <c r="AF9" s="8">
        <f>IF(A9="","",IF(SUMPRODUCT(MAX(('Grocery Spending'!$E$5:$E$404=A9)*'Grocery Spending'!$A$5:$A$404))=0,"",SUMPRODUCT(MAX(('Grocery Spending'!$E$5:$E$404=A9)*'Grocery Spending'!$A$5:$A$404))))</f>
        <v>0</v>
      </c>
      <c r="AG9" s="8">
        <f>IF(OR(A9="",AF9=""),"",IFERROR(AVERAGEIFS('Grocery Spending'!$I$5:$I$404,'Grocery Spending'!$E$5:$E$404,A9,'Grocery Spending'!$A$5:$A$404,AF9),""))</f>
        <v>0</v>
      </c>
      <c r="AH9" s="8">
        <f>IF(A9="","",IFERROR(AVERAGEIFS('Grocery Spending'!$I$5:$I$404,'Grocery Spending'!$E$5:$E$404,A9),""))</f>
        <v>0</v>
      </c>
      <c r="AI9" s="8">
        <f>IF(A9="","",IF(SUMPRODUCT(MIN(('Grocery Spending'!$E$5:$E$404=A9)*'Grocery Spending'!$I$5:$I$404+('Grocery Spending'!$E$5:$E$404&lt;&gt;A9)*1000000))&gt;=1000000,"",SUMPRODUCT(MIN(('Grocery Spending'!$E$5:$E$404=A9)*'Grocery Spending'!$I$5:$I$404+('Grocery Spending'!$E$5:$E$404&lt;&gt;A9)*1000000))))</f>
        <v>0</v>
      </c>
      <c r="AJ9" s="8">
        <f>IF(A9="","",SUMPRODUCT(MAX(('Grocery Spending'!$E$5:$E$404=A9)*'Grocery Spending'!$I$5:$I$404)))</f>
        <v>0</v>
      </c>
      <c r="AK9" s="8">
        <f>IF(OR(A9="",AI9="",AJ9=0),"",AJ9-AI9)</f>
        <v>0</v>
      </c>
      <c r="AL9" s="8">
        <f>IF(OR(A9="",AG9="",AH9=""),"",AG9-AH9)</f>
        <v>0</v>
      </c>
      <c r="AM9" s="8">
        <f>IF(A9="","",IF(AL9="","",IF(AL9&gt;0.01,"Up",IF(AL9&lt;-0.01,"Down","Flat"))))</f>
        <v>0</v>
      </c>
      <c r="AN9" s="25"/>
    </row>
    <row r="10" spans="1:40">
      <c r="A10" s="7"/>
      <c r="B10" s="27"/>
      <c r="C10" s="27"/>
      <c r="D10" s="28"/>
      <c r="E10" s="27"/>
      <c r="F10" s="26"/>
      <c r="G10" s="8">
        <f>IF(OR(D10="",F10="",F10=0),"",D10/F10)</f>
        <v>0</v>
      </c>
      <c r="H10" s="26"/>
      <c r="I10" s="26"/>
      <c r="J10" s="26"/>
      <c r="K10" s="26"/>
      <c r="L10" s="26"/>
      <c r="M10" s="26"/>
      <c r="N10" s="27"/>
      <c r="O10" s="27"/>
      <c r="P10" s="27"/>
      <c r="Q10" s="27"/>
      <c r="R10" s="7"/>
      <c r="S10" s="8">
        <f>IF(A10="","",SUMIFS(Pantry!$C$5:$C$304,Pantry!$A$5:$A$304,A10))</f>
        <v>0</v>
      </c>
      <c r="T10" s="8">
        <f>IF(A10="","",COUNTIFS('Grocery List'!$A$5:$A$304,A10,'Grocery List'!$N$5:$N$304,"Yes"))</f>
        <v>0</v>
      </c>
      <c r="U10" s="8">
        <f>IF(A10="","",SUMIFS('Grocery List'!$M$5:$M$304,'Grocery List'!$A$5:$A$304,A10))</f>
        <v>0</v>
      </c>
      <c r="V10" s="8">
        <f>IF(A10="","",COUNTIFS('Recipe Ingredients'!$B$5:$B$1204,A10))</f>
        <v>0</v>
      </c>
      <c r="W10" s="8">
        <f>IF(A10="","",SUMIFS('Recipe Ingredients'!$C$5:$C$1204,'Recipe Ingredients'!$B$5:$B$1204,A10))</f>
        <v>0</v>
      </c>
      <c r="X10" s="8">
        <f>IF(A10="","",IF(U10&lt;=0,IF(S10&gt;0,99,0),ROUND(S10/U10,1)))</f>
        <v>0</v>
      </c>
      <c r="Y10" s="8">
        <f>IF(A10="","",U10*10+IF(O10="Yes",5,0)+IF(X10&lt;1,10,0)+IF(S10&lt;=0,3,0))</f>
        <v>0</v>
      </c>
      <c r="Z10" s="8">
        <f>IF(A10="","",COUNTIFS($Y$5:$Y$304,"&gt;"&amp;Y10)+1)</f>
        <v>0</v>
      </c>
      <c r="AA10" s="8">
        <f>IF(A10="","",IF(OR(U10&gt;0,AND(O10="Yes",X10&lt;2)),"Yes","No"))</f>
        <v>0</v>
      </c>
      <c r="AB10" s="8">
        <f>IF(OR(A10="",D10=""),"",S10*D10)</f>
        <v>0</v>
      </c>
      <c r="AC10" s="8">
        <f>IF(AB10="","",COUNTIFS($AB$5:$AB$304,"&gt;"&amp;AB10)+1)</f>
        <v>0</v>
      </c>
      <c r="AD10" s="8">
        <f>IF(A10="","",SUMIFS('Food Waste'!$E$5:$E$154,'Food Waste'!$C$5:$C$154,A10))</f>
        <v>0</v>
      </c>
      <c r="AE10" s="8">
        <f>IF(OR(A10="",AD10=0),"",COUNTIFS($AD$5:$AD$304,"&gt;"&amp;AD10)+1)</f>
        <v>0</v>
      </c>
      <c r="AF10" s="8">
        <f>IF(A10="","",IF(SUMPRODUCT(MAX(('Grocery Spending'!$E$5:$E$404=A10)*'Grocery Spending'!$A$5:$A$404))=0,"",SUMPRODUCT(MAX(('Grocery Spending'!$E$5:$E$404=A10)*'Grocery Spending'!$A$5:$A$404))))</f>
        <v>0</v>
      </c>
      <c r="AG10" s="8">
        <f>IF(OR(A10="",AF10=""),"",IFERROR(AVERAGEIFS('Grocery Spending'!$I$5:$I$404,'Grocery Spending'!$E$5:$E$404,A10,'Grocery Spending'!$A$5:$A$404,AF10),""))</f>
        <v>0</v>
      </c>
      <c r="AH10" s="8">
        <f>IF(A10="","",IFERROR(AVERAGEIFS('Grocery Spending'!$I$5:$I$404,'Grocery Spending'!$E$5:$E$404,A10),""))</f>
        <v>0</v>
      </c>
      <c r="AI10" s="8">
        <f>IF(A10="","",IF(SUMPRODUCT(MIN(('Grocery Spending'!$E$5:$E$404=A10)*'Grocery Spending'!$I$5:$I$404+('Grocery Spending'!$E$5:$E$404&lt;&gt;A10)*1000000))&gt;=1000000,"",SUMPRODUCT(MIN(('Grocery Spending'!$E$5:$E$404=A10)*'Grocery Spending'!$I$5:$I$404+('Grocery Spending'!$E$5:$E$404&lt;&gt;A10)*1000000))))</f>
        <v>0</v>
      </c>
      <c r="AJ10" s="8">
        <f>IF(A10="","",SUMPRODUCT(MAX(('Grocery Spending'!$E$5:$E$404=A10)*'Grocery Spending'!$I$5:$I$404)))</f>
        <v>0</v>
      </c>
      <c r="AK10" s="8">
        <f>IF(OR(A10="",AI10="",AJ10=0),"",AJ10-AI10)</f>
        <v>0</v>
      </c>
      <c r="AL10" s="8">
        <f>IF(OR(A10="",AG10="",AH10=""),"",AG10-AH10)</f>
        <v>0</v>
      </c>
      <c r="AM10" s="8">
        <f>IF(A10="","",IF(AL10="","",IF(AL10&gt;0.01,"Up",IF(AL10&lt;-0.01,"Down","Flat"))))</f>
        <v>0</v>
      </c>
      <c r="AN10" s="25"/>
    </row>
    <row r="11" spans="1:40">
      <c r="A11" s="7"/>
      <c r="B11" s="27"/>
      <c r="C11" s="27"/>
      <c r="D11" s="28"/>
      <c r="E11" s="27"/>
      <c r="F11" s="26"/>
      <c r="G11" s="8">
        <f>IF(OR(D11="",F11="",F11=0),"",D11/F11)</f>
        <v>0</v>
      </c>
      <c r="H11" s="26"/>
      <c r="I11" s="26"/>
      <c r="J11" s="26"/>
      <c r="K11" s="26"/>
      <c r="L11" s="26"/>
      <c r="M11" s="26"/>
      <c r="N11" s="27"/>
      <c r="O11" s="27"/>
      <c r="P11" s="27"/>
      <c r="Q11" s="27"/>
      <c r="R11" s="7"/>
      <c r="S11" s="8">
        <f>IF(A11="","",SUMIFS(Pantry!$C$5:$C$304,Pantry!$A$5:$A$304,A11))</f>
        <v>0</v>
      </c>
      <c r="T11" s="8">
        <f>IF(A11="","",COUNTIFS('Grocery List'!$A$5:$A$304,A11,'Grocery List'!$N$5:$N$304,"Yes"))</f>
        <v>0</v>
      </c>
      <c r="U11" s="8">
        <f>IF(A11="","",SUMIFS('Grocery List'!$M$5:$M$304,'Grocery List'!$A$5:$A$304,A11))</f>
        <v>0</v>
      </c>
      <c r="V11" s="8">
        <f>IF(A11="","",COUNTIFS('Recipe Ingredients'!$B$5:$B$1204,A11))</f>
        <v>0</v>
      </c>
      <c r="W11" s="8">
        <f>IF(A11="","",SUMIFS('Recipe Ingredients'!$C$5:$C$1204,'Recipe Ingredients'!$B$5:$B$1204,A11))</f>
        <v>0</v>
      </c>
      <c r="X11" s="8">
        <f>IF(A11="","",IF(U11&lt;=0,IF(S11&gt;0,99,0),ROUND(S11/U11,1)))</f>
        <v>0</v>
      </c>
      <c r="Y11" s="8">
        <f>IF(A11="","",U11*10+IF(O11="Yes",5,0)+IF(X11&lt;1,10,0)+IF(S11&lt;=0,3,0))</f>
        <v>0</v>
      </c>
      <c r="Z11" s="8">
        <f>IF(A11="","",COUNTIFS($Y$5:$Y$304,"&gt;"&amp;Y11)+1)</f>
        <v>0</v>
      </c>
      <c r="AA11" s="8">
        <f>IF(A11="","",IF(OR(U11&gt;0,AND(O11="Yes",X11&lt;2)),"Yes","No"))</f>
        <v>0</v>
      </c>
      <c r="AB11" s="8">
        <f>IF(OR(A11="",D11=""),"",S11*D11)</f>
        <v>0</v>
      </c>
      <c r="AC11" s="8">
        <f>IF(AB11="","",COUNTIFS($AB$5:$AB$304,"&gt;"&amp;AB11)+1)</f>
        <v>0</v>
      </c>
      <c r="AD11" s="8">
        <f>IF(A11="","",SUMIFS('Food Waste'!$E$5:$E$154,'Food Waste'!$C$5:$C$154,A11))</f>
        <v>0</v>
      </c>
      <c r="AE11" s="8">
        <f>IF(OR(A11="",AD11=0),"",COUNTIFS($AD$5:$AD$304,"&gt;"&amp;AD11)+1)</f>
        <v>0</v>
      </c>
      <c r="AF11" s="8">
        <f>IF(A11="","",IF(SUMPRODUCT(MAX(('Grocery Spending'!$E$5:$E$404=A11)*'Grocery Spending'!$A$5:$A$404))=0,"",SUMPRODUCT(MAX(('Grocery Spending'!$E$5:$E$404=A11)*'Grocery Spending'!$A$5:$A$404))))</f>
        <v>0</v>
      </c>
      <c r="AG11" s="8">
        <f>IF(OR(A11="",AF11=""),"",IFERROR(AVERAGEIFS('Grocery Spending'!$I$5:$I$404,'Grocery Spending'!$E$5:$E$404,A11,'Grocery Spending'!$A$5:$A$404,AF11),""))</f>
        <v>0</v>
      </c>
      <c r="AH11" s="8">
        <f>IF(A11="","",IFERROR(AVERAGEIFS('Grocery Spending'!$I$5:$I$404,'Grocery Spending'!$E$5:$E$404,A11),""))</f>
        <v>0</v>
      </c>
      <c r="AI11" s="8">
        <f>IF(A11="","",IF(SUMPRODUCT(MIN(('Grocery Spending'!$E$5:$E$404=A11)*'Grocery Spending'!$I$5:$I$404+('Grocery Spending'!$E$5:$E$404&lt;&gt;A11)*1000000))&gt;=1000000,"",SUMPRODUCT(MIN(('Grocery Spending'!$E$5:$E$404=A11)*'Grocery Spending'!$I$5:$I$404+('Grocery Spending'!$E$5:$E$404&lt;&gt;A11)*1000000))))</f>
        <v>0</v>
      </c>
      <c r="AJ11" s="8">
        <f>IF(A11="","",SUMPRODUCT(MAX(('Grocery Spending'!$E$5:$E$404=A11)*'Grocery Spending'!$I$5:$I$404)))</f>
        <v>0</v>
      </c>
      <c r="AK11" s="8">
        <f>IF(OR(A11="",AI11="",AJ11=0),"",AJ11-AI11)</f>
        <v>0</v>
      </c>
      <c r="AL11" s="8">
        <f>IF(OR(A11="",AG11="",AH11=""),"",AG11-AH11)</f>
        <v>0</v>
      </c>
      <c r="AM11" s="8">
        <f>IF(A11="","",IF(AL11="","",IF(AL11&gt;0.01,"Up",IF(AL11&lt;-0.01,"Down","Flat"))))</f>
        <v>0</v>
      </c>
      <c r="AN11" s="25"/>
    </row>
    <row r="12" spans="1:40">
      <c r="A12" s="7"/>
      <c r="B12" s="27"/>
      <c r="C12" s="27"/>
      <c r="D12" s="28"/>
      <c r="E12" s="27"/>
      <c r="F12" s="26"/>
      <c r="G12" s="8">
        <f>IF(OR(D12="",F12="",F12=0),"",D12/F12)</f>
        <v>0</v>
      </c>
      <c r="H12" s="26"/>
      <c r="I12" s="26"/>
      <c r="J12" s="26"/>
      <c r="K12" s="26"/>
      <c r="L12" s="26"/>
      <c r="M12" s="26"/>
      <c r="N12" s="27"/>
      <c r="O12" s="27"/>
      <c r="P12" s="27"/>
      <c r="Q12" s="27"/>
      <c r="R12" s="7"/>
      <c r="S12" s="8">
        <f>IF(A12="","",SUMIFS(Pantry!$C$5:$C$304,Pantry!$A$5:$A$304,A12))</f>
        <v>0</v>
      </c>
      <c r="T12" s="8">
        <f>IF(A12="","",COUNTIFS('Grocery List'!$A$5:$A$304,A12,'Grocery List'!$N$5:$N$304,"Yes"))</f>
        <v>0</v>
      </c>
      <c r="U12" s="8">
        <f>IF(A12="","",SUMIFS('Grocery List'!$M$5:$M$304,'Grocery List'!$A$5:$A$304,A12))</f>
        <v>0</v>
      </c>
      <c r="V12" s="8">
        <f>IF(A12="","",COUNTIFS('Recipe Ingredients'!$B$5:$B$1204,A12))</f>
        <v>0</v>
      </c>
      <c r="W12" s="8">
        <f>IF(A12="","",SUMIFS('Recipe Ingredients'!$C$5:$C$1204,'Recipe Ingredients'!$B$5:$B$1204,A12))</f>
        <v>0</v>
      </c>
      <c r="X12" s="8">
        <f>IF(A12="","",IF(U12&lt;=0,IF(S12&gt;0,99,0),ROUND(S12/U12,1)))</f>
        <v>0</v>
      </c>
      <c r="Y12" s="8">
        <f>IF(A12="","",U12*10+IF(O12="Yes",5,0)+IF(X12&lt;1,10,0)+IF(S12&lt;=0,3,0))</f>
        <v>0</v>
      </c>
      <c r="Z12" s="8">
        <f>IF(A12="","",COUNTIFS($Y$5:$Y$304,"&gt;"&amp;Y12)+1)</f>
        <v>0</v>
      </c>
      <c r="AA12" s="8">
        <f>IF(A12="","",IF(OR(U12&gt;0,AND(O12="Yes",X12&lt;2)),"Yes","No"))</f>
        <v>0</v>
      </c>
      <c r="AB12" s="8">
        <f>IF(OR(A12="",D12=""),"",S12*D12)</f>
        <v>0</v>
      </c>
      <c r="AC12" s="8">
        <f>IF(AB12="","",COUNTIFS($AB$5:$AB$304,"&gt;"&amp;AB12)+1)</f>
        <v>0</v>
      </c>
      <c r="AD12" s="8">
        <f>IF(A12="","",SUMIFS('Food Waste'!$E$5:$E$154,'Food Waste'!$C$5:$C$154,A12))</f>
        <v>0</v>
      </c>
      <c r="AE12" s="8">
        <f>IF(OR(A12="",AD12=0),"",COUNTIFS($AD$5:$AD$304,"&gt;"&amp;AD12)+1)</f>
        <v>0</v>
      </c>
      <c r="AF12" s="8">
        <f>IF(A12="","",IF(SUMPRODUCT(MAX(('Grocery Spending'!$E$5:$E$404=A12)*'Grocery Spending'!$A$5:$A$404))=0,"",SUMPRODUCT(MAX(('Grocery Spending'!$E$5:$E$404=A12)*'Grocery Spending'!$A$5:$A$404))))</f>
        <v>0</v>
      </c>
      <c r="AG12" s="8">
        <f>IF(OR(A12="",AF12=""),"",IFERROR(AVERAGEIFS('Grocery Spending'!$I$5:$I$404,'Grocery Spending'!$E$5:$E$404,A12,'Grocery Spending'!$A$5:$A$404,AF12),""))</f>
        <v>0</v>
      </c>
      <c r="AH12" s="8">
        <f>IF(A12="","",IFERROR(AVERAGEIFS('Grocery Spending'!$I$5:$I$404,'Grocery Spending'!$E$5:$E$404,A12),""))</f>
        <v>0</v>
      </c>
      <c r="AI12" s="8">
        <f>IF(A12="","",IF(SUMPRODUCT(MIN(('Grocery Spending'!$E$5:$E$404=A12)*'Grocery Spending'!$I$5:$I$404+('Grocery Spending'!$E$5:$E$404&lt;&gt;A12)*1000000))&gt;=1000000,"",SUMPRODUCT(MIN(('Grocery Spending'!$E$5:$E$404=A12)*'Grocery Spending'!$I$5:$I$404+('Grocery Spending'!$E$5:$E$404&lt;&gt;A12)*1000000))))</f>
        <v>0</v>
      </c>
      <c r="AJ12" s="8">
        <f>IF(A12="","",SUMPRODUCT(MAX(('Grocery Spending'!$E$5:$E$404=A12)*'Grocery Spending'!$I$5:$I$404)))</f>
        <v>0</v>
      </c>
      <c r="AK12" s="8">
        <f>IF(OR(A12="",AI12="",AJ12=0),"",AJ12-AI12)</f>
        <v>0</v>
      </c>
      <c r="AL12" s="8">
        <f>IF(OR(A12="",AG12="",AH12=""),"",AG12-AH12)</f>
        <v>0</v>
      </c>
      <c r="AM12" s="8">
        <f>IF(A12="","",IF(AL12="","",IF(AL12&gt;0.01,"Up",IF(AL12&lt;-0.01,"Down","Flat"))))</f>
        <v>0</v>
      </c>
      <c r="AN12" s="25"/>
    </row>
    <row r="13" spans="1:40">
      <c r="A13" s="7"/>
      <c r="B13" s="27"/>
      <c r="C13" s="27"/>
      <c r="D13" s="28"/>
      <c r="E13" s="27"/>
      <c r="F13" s="26"/>
      <c r="G13" s="8">
        <f>IF(OR(D13="",F13="",F13=0),"",D13/F13)</f>
        <v>0</v>
      </c>
      <c r="H13" s="26"/>
      <c r="I13" s="26"/>
      <c r="J13" s="26"/>
      <c r="K13" s="26"/>
      <c r="L13" s="26"/>
      <c r="M13" s="26"/>
      <c r="N13" s="27"/>
      <c r="O13" s="27"/>
      <c r="P13" s="27"/>
      <c r="Q13" s="27"/>
      <c r="R13" s="7"/>
      <c r="S13" s="8">
        <f>IF(A13="","",SUMIFS(Pantry!$C$5:$C$304,Pantry!$A$5:$A$304,A13))</f>
        <v>0</v>
      </c>
      <c r="T13" s="8">
        <f>IF(A13="","",COUNTIFS('Grocery List'!$A$5:$A$304,A13,'Grocery List'!$N$5:$N$304,"Yes"))</f>
        <v>0</v>
      </c>
      <c r="U13" s="8">
        <f>IF(A13="","",SUMIFS('Grocery List'!$M$5:$M$304,'Grocery List'!$A$5:$A$304,A13))</f>
        <v>0</v>
      </c>
      <c r="V13" s="8">
        <f>IF(A13="","",COUNTIFS('Recipe Ingredients'!$B$5:$B$1204,A13))</f>
        <v>0</v>
      </c>
      <c r="W13" s="8">
        <f>IF(A13="","",SUMIFS('Recipe Ingredients'!$C$5:$C$1204,'Recipe Ingredients'!$B$5:$B$1204,A13))</f>
        <v>0</v>
      </c>
      <c r="X13" s="8">
        <f>IF(A13="","",IF(U13&lt;=0,IF(S13&gt;0,99,0),ROUND(S13/U13,1)))</f>
        <v>0</v>
      </c>
      <c r="Y13" s="8">
        <f>IF(A13="","",U13*10+IF(O13="Yes",5,0)+IF(X13&lt;1,10,0)+IF(S13&lt;=0,3,0))</f>
        <v>0</v>
      </c>
      <c r="Z13" s="8">
        <f>IF(A13="","",COUNTIFS($Y$5:$Y$304,"&gt;"&amp;Y13)+1)</f>
        <v>0</v>
      </c>
      <c r="AA13" s="8">
        <f>IF(A13="","",IF(OR(U13&gt;0,AND(O13="Yes",X13&lt;2)),"Yes","No"))</f>
        <v>0</v>
      </c>
      <c r="AB13" s="8">
        <f>IF(OR(A13="",D13=""),"",S13*D13)</f>
        <v>0</v>
      </c>
      <c r="AC13" s="8">
        <f>IF(AB13="","",COUNTIFS($AB$5:$AB$304,"&gt;"&amp;AB13)+1)</f>
        <v>0</v>
      </c>
      <c r="AD13" s="8">
        <f>IF(A13="","",SUMIFS('Food Waste'!$E$5:$E$154,'Food Waste'!$C$5:$C$154,A13))</f>
        <v>0</v>
      </c>
      <c r="AE13" s="8">
        <f>IF(OR(A13="",AD13=0),"",COUNTIFS($AD$5:$AD$304,"&gt;"&amp;AD13)+1)</f>
        <v>0</v>
      </c>
      <c r="AF13" s="8">
        <f>IF(A13="","",IF(SUMPRODUCT(MAX(('Grocery Spending'!$E$5:$E$404=A13)*'Grocery Spending'!$A$5:$A$404))=0,"",SUMPRODUCT(MAX(('Grocery Spending'!$E$5:$E$404=A13)*'Grocery Spending'!$A$5:$A$404))))</f>
        <v>0</v>
      </c>
      <c r="AG13" s="8">
        <f>IF(OR(A13="",AF13=""),"",IFERROR(AVERAGEIFS('Grocery Spending'!$I$5:$I$404,'Grocery Spending'!$E$5:$E$404,A13,'Grocery Spending'!$A$5:$A$404,AF13),""))</f>
        <v>0</v>
      </c>
      <c r="AH13" s="8">
        <f>IF(A13="","",IFERROR(AVERAGEIFS('Grocery Spending'!$I$5:$I$404,'Grocery Spending'!$E$5:$E$404,A13),""))</f>
        <v>0</v>
      </c>
      <c r="AI13" s="8">
        <f>IF(A13="","",IF(SUMPRODUCT(MIN(('Grocery Spending'!$E$5:$E$404=A13)*'Grocery Spending'!$I$5:$I$404+('Grocery Spending'!$E$5:$E$404&lt;&gt;A13)*1000000))&gt;=1000000,"",SUMPRODUCT(MIN(('Grocery Spending'!$E$5:$E$404=A13)*'Grocery Spending'!$I$5:$I$404+('Grocery Spending'!$E$5:$E$404&lt;&gt;A13)*1000000))))</f>
        <v>0</v>
      </c>
      <c r="AJ13" s="8">
        <f>IF(A13="","",SUMPRODUCT(MAX(('Grocery Spending'!$E$5:$E$404=A13)*'Grocery Spending'!$I$5:$I$404)))</f>
        <v>0</v>
      </c>
      <c r="AK13" s="8">
        <f>IF(OR(A13="",AI13="",AJ13=0),"",AJ13-AI13)</f>
        <v>0</v>
      </c>
      <c r="AL13" s="8">
        <f>IF(OR(A13="",AG13="",AH13=""),"",AG13-AH13)</f>
        <v>0</v>
      </c>
      <c r="AM13" s="8">
        <f>IF(A13="","",IF(AL13="","",IF(AL13&gt;0.01,"Up",IF(AL13&lt;-0.01,"Down","Flat"))))</f>
        <v>0</v>
      </c>
      <c r="AN13" s="25"/>
    </row>
    <row r="14" spans="1:40">
      <c r="A14" s="7"/>
      <c r="B14" s="27"/>
      <c r="C14" s="27"/>
      <c r="D14" s="28"/>
      <c r="E14" s="27"/>
      <c r="F14" s="26"/>
      <c r="G14" s="8">
        <f>IF(OR(D14="",F14="",F14=0),"",D14/F14)</f>
        <v>0</v>
      </c>
      <c r="H14" s="26"/>
      <c r="I14" s="26"/>
      <c r="J14" s="26"/>
      <c r="K14" s="26"/>
      <c r="L14" s="26"/>
      <c r="M14" s="26"/>
      <c r="N14" s="27"/>
      <c r="O14" s="27"/>
      <c r="P14" s="27"/>
      <c r="Q14" s="27"/>
      <c r="R14" s="7"/>
      <c r="S14" s="8">
        <f>IF(A14="","",SUMIFS(Pantry!$C$5:$C$304,Pantry!$A$5:$A$304,A14))</f>
        <v>0</v>
      </c>
      <c r="T14" s="8">
        <f>IF(A14="","",COUNTIFS('Grocery List'!$A$5:$A$304,A14,'Grocery List'!$N$5:$N$304,"Yes"))</f>
        <v>0</v>
      </c>
      <c r="U14" s="8">
        <f>IF(A14="","",SUMIFS('Grocery List'!$M$5:$M$304,'Grocery List'!$A$5:$A$304,A14))</f>
        <v>0</v>
      </c>
      <c r="V14" s="8">
        <f>IF(A14="","",COUNTIFS('Recipe Ingredients'!$B$5:$B$1204,A14))</f>
        <v>0</v>
      </c>
      <c r="W14" s="8">
        <f>IF(A14="","",SUMIFS('Recipe Ingredients'!$C$5:$C$1204,'Recipe Ingredients'!$B$5:$B$1204,A14))</f>
        <v>0</v>
      </c>
      <c r="X14" s="8">
        <f>IF(A14="","",IF(U14&lt;=0,IF(S14&gt;0,99,0),ROUND(S14/U14,1)))</f>
        <v>0</v>
      </c>
      <c r="Y14" s="8">
        <f>IF(A14="","",U14*10+IF(O14="Yes",5,0)+IF(X14&lt;1,10,0)+IF(S14&lt;=0,3,0))</f>
        <v>0</v>
      </c>
      <c r="Z14" s="8">
        <f>IF(A14="","",COUNTIFS($Y$5:$Y$304,"&gt;"&amp;Y14)+1)</f>
        <v>0</v>
      </c>
      <c r="AA14" s="8">
        <f>IF(A14="","",IF(OR(U14&gt;0,AND(O14="Yes",X14&lt;2)),"Yes","No"))</f>
        <v>0</v>
      </c>
      <c r="AB14" s="8">
        <f>IF(OR(A14="",D14=""),"",S14*D14)</f>
        <v>0</v>
      </c>
      <c r="AC14" s="8">
        <f>IF(AB14="","",COUNTIFS($AB$5:$AB$304,"&gt;"&amp;AB14)+1)</f>
        <v>0</v>
      </c>
      <c r="AD14" s="8">
        <f>IF(A14="","",SUMIFS('Food Waste'!$E$5:$E$154,'Food Waste'!$C$5:$C$154,A14))</f>
        <v>0</v>
      </c>
      <c r="AE14" s="8">
        <f>IF(OR(A14="",AD14=0),"",COUNTIFS($AD$5:$AD$304,"&gt;"&amp;AD14)+1)</f>
        <v>0</v>
      </c>
      <c r="AF14" s="8">
        <f>IF(A14="","",IF(SUMPRODUCT(MAX(('Grocery Spending'!$E$5:$E$404=A14)*'Grocery Spending'!$A$5:$A$404))=0,"",SUMPRODUCT(MAX(('Grocery Spending'!$E$5:$E$404=A14)*'Grocery Spending'!$A$5:$A$404))))</f>
        <v>0</v>
      </c>
      <c r="AG14" s="8">
        <f>IF(OR(A14="",AF14=""),"",IFERROR(AVERAGEIFS('Grocery Spending'!$I$5:$I$404,'Grocery Spending'!$E$5:$E$404,A14,'Grocery Spending'!$A$5:$A$404,AF14),""))</f>
        <v>0</v>
      </c>
      <c r="AH14" s="8">
        <f>IF(A14="","",IFERROR(AVERAGEIFS('Grocery Spending'!$I$5:$I$404,'Grocery Spending'!$E$5:$E$404,A14),""))</f>
        <v>0</v>
      </c>
      <c r="AI14" s="8">
        <f>IF(A14="","",IF(SUMPRODUCT(MIN(('Grocery Spending'!$E$5:$E$404=A14)*'Grocery Spending'!$I$5:$I$404+('Grocery Spending'!$E$5:$E$404&lt;&gt;A14)*1000000))&gt;=1000000,"",SUMPRODUCT(MIN(('Grocery Spending'!$E$5:$E$404=A14)*'Grocery Spending'!$I$5:$I$404+('Grocery Spending'!$E$5:$E$404&lt;&gt;A14)*1000000))))</f>
        <v>0</v>
      </c>
      <c r="AJ14" s="8">
        <f>IF(A14="","",SUMPRODUCT(MAX(('Grocery Spending'!$E$5:$E$404=A14)*'Grocery Spending'!$I$5:$I$404)))</f>
        <v>0</v>
      </c>
      <c r="AK14" s="8">
        <f>IF(OR(A14="",AI14="",AJ14=0),"",AJ14-AI14)</f>
        <v>0</v>
      </c>
      <c r="AL14" s="8">
        <f>IF(OR(A14="",AG14="",AH14=""),"",AG14-AH14)</f>
        <v>0</v>
      </c>
      <c r="AM14" s="8">
        <f>IF(A14="","",IF(AL14="","",IF(AL14&gt;0.01,"Up",IF(AL14&lt;-0.01,"Down","Flat"))))</f>
        <v>0</v>
      </c>
      <c r="AN14" s="25"/>
    </row>
    <row r="15" spans="1:40">
      <c r="A15" s="7"/>
      <c r="B15" s="27"/>
      <c r="C15" s="27"/>
      <c r="D15" s="28"/>
      <c r="E15" s="27"/>
      <c r="F15" s="26"/>
      <c r="G15" s="8">
        <f>IF(OR(D15="",F15="",F15=0),"",D15/F15)</f>
        <v>0</v>
      </c>
      <c r="H15" s="26"/>
      <c r="I15" s="26"/>
      <c r="J15" s="26"/>
      <c r="K15" s="26"/>
      <c r="L15" s="26"/>
      <c r="M15" s="26"/>
      <c r="N15" s="27"/>
      <c r="O15" s="27"/>
      <c r="P15" s="27"/>
      <c r="Q15" s="27"/>
      <c r="R15" s="7"/>
      <c r="S15" s="8">
        <f>IF(A15="","",SUMIFS(Pantry!$C$5:$C$304,Pantry!$A$5:$A$304,A15))</f>
        <v>0</v>
      </c>
      <c r="T15" s="8">
        <f>IF(A15="","",COUNTIFS('Grocery List'!$A$5:$A$304,A15,'Grocery List'!$N$5:$N$304,"Yes"))</f>
        <v>0</v>
      </c>
      <c r="U15" s="8">
        <f>IF(A15="","",SUMIFS('Grocery List'!$M$5:$M$304,'Grocery List'!$A$5:$A$304,A15))</f>
        <v>0</v>
      </c>
      <c r="V15" s="8">
        <f>IF(A15="","",COUNTIFS('Recipe Ingredients'!$B$5:$B$1204,A15))</f>
        <v>0</v>
      </c>
      <c r="W15" s="8">
        <f>IF(A15="","",SUMIFS('Recipe Ingredients'!$C$5:$C$1204,'Recipe Ingredients'!$B$5:$B$1204,A15))</f>
        <v>0</v>
      </c>
      <c r="X15" s="8">
        <f>IF(A15="","",IF(U15&lt;=0,IF(S15&gt;0,99,0),ROUND(S15/U15,1)))</f>
        <v>0</v>
      </c>
      <c r="Y15" s="8">
        <f>IF(A15="","",U15*10+IF(O15="Yes",5,0)+IF(X15&lt;1,10,0)+IF(S15&lt;=0,3,0))</f>
        <v>0</v>
      </c>
      <c r="Z15" s="8">
        <f>IF(A15="","",COUNTIFS($Y$5:$Y$304,"&gt;"&amp;Y15)+1)</f>
        <v>0</v>
      </c>
      <c r="AA15" s="8">
        <f>IF(A15="","",IF(OR(U15&gt;0,AND(O15="Yes",X15&lt;2)),"Yes","No"))</f>
        <v>0</v>
      </c>
      <c r="AB15" s="8">
        <f>IF(OR(A15="",D15=""),"",S15*D15)</f>
        <v>0</v>
      </c>
      <c r="AC15" s="8">
        <f>IF(AB15="","",COUNTIFS($AB$5:$AB$304,"&gt;"&amp;AB15)+1)</f>
        <v>0</v>
      </c>
      <c r="AD15" s="8">
        <f>IF(A15="","",SUMIFS('Food Waste'!$E$5:$E$154,'Food Waste'!$C$5:$C$154,A15))</f>
        <v>0</v>
      </c>
      <c r="AE15" s="8">
        <f>IF(OR(A15="",AD15=0),"",COUNTIFS($AD$5:$AD$304,"&gt;"&amp;AD15)+1)</f>
        <v>0</v>
      </c>
      <c r="AF15" s="8">
        <f>IF(A15="","",IF(SUMPRODUCT(MAX(('Grocery Spending'!$E$5:$E$404=A15)*'Grocery Spending'!$A$5:$A$404))=0,"",SUMPRODUCT(MAX(('Grocery Spending'!$E$5:$E$404=A15)*'Grocery Spending'!$A$5:$A$404))))</f>
        <v>0</v>
      </c>
      <c r="AG15" s="8">
        <f>IF(OR(A15="",AF15=""),"",IFERROR(AVERAGEIFS('Grocery Spending'!$I$5:$I$404,'Grocery Spending'!$E$5:$E$404,A15,'Grocery Spending'!$A$5:$A$404,AF15),""))</f>
        <v>0</v>
      </c>
      <c r="AH15" s="8">
        <f>IF(A15="","",IFERROR(AVERAGEIFS('Grocery Spending'!$I$5:$I$404,'Grocery Spending'!$E$5:$E$404,A15),""))</f>
        <v>0</v>
      </c>
      <c r="AI15" s="8">
        <f>IF(A15="","",IF(SUMPRODUCT(MIN(('Grocery Spending'!$E$5:$E$404=A15)*'Grocery Spending'!$I$5:$I$404+('Grocery Spending'!$E$5:$E$404&lt;&gt;A15)*1000000))&gt;=1000000,"",SUMPRODUCT(MIN(('Grocery Spending'!$E$5:$E$404=A15)*'Grocery Spending'!$I$5:$I$404+('Grocery Spending'!$E$5:$E$404&lt;&gt;A15)*1000000))))</f>
        <v>0</v>
      </c>
      <c r="AJ15" s="8">
        <f>IF(A15="","",SUMPRODUCT(MAX(('Grocery Spending'!$E$5:$E$404=A15)*'Grocery Spending'!$I$5:$I$404)))</f>
        <v>0</v>
      </c>
      <c r="AK15" s="8">
        <f>IF(OR(A15="",AI15="",AJ15=0),"",AJ15-AI15)</f>
        <v>0</v>
      </c>
      <c r="AL15" s="8">
        <f>IF(OR(A15="",AG15="",AH15=""),"",AG15-AH15)</f>
        <v>0</v>
      </c>
      <c r="AM15" s="8">
        <f>IF(A15="","",IF(AL15="","",IF(AL15&gt;0.01,"Up",IF(AL15&lt;-0.01,"Down","Flat"))))</f>
        <v>0</v>
      </c>
      <c r="AN15" s="25"/>
    </row>
    <row r="16" spans="1:40">
      <c r="A16" s="7"/>
      <c r="B16" s="27"/>
      <c r="C16" s="27"/>
      <c r="D16" s="28"/>
      <c r="E16" s="27"/>
      <c r="F16" s="26"/>
      <c r="G16" s="8">
        <f>IF(OR(D16="",F16="",F16=0),"",D16/F16)</f>
        <v>0</v>
      </c>
      <c r="H16" s="26"/>
      <c r="I16" s="26"/>
      <c r="J16" s="26"/>
      <c r="K16" s="26"/>
      <c r="L16" s="26"/>
      <c r="M16" s="26"/>
      <c r="N16" s="27"/>
      <c r="O16" s="27"/>
      <c r="P16" s="27"/>
      <c r="Q16" s="27"/>
      <c r="R16" s="7"/>
      <c r="S16" s="8">
        <f>IF(A16="","",SUMIFS(Pantry!$C$5:$C$304,Pantry!$A$5:$A$304,A16))</f>
        <v>0</v>
      </c>
      <c r="T16" s="8">
        <f>IF(A16="","",COUNTIFS('Grocery List'!$A$5:$A$304,A16,'Grocery List'!$N$5:$N$304,"Yes"))</f>
        <v>0</v>
      </c>
      <c r="U16" s="8">
        <f>IF(A16="","",SUMIFS('Grocery List'!$M$5:$M$304,'Grocery List'!$A$5:$A$304,A16))</f>
        <v>0</v>
      </c>
      <c r="V16" s="8">
        <f>IF(A16="","",COUNTIFS('Recipe Ingredients'!$B$5:$B$1204,A16))</f>
        <v>0</v>
      </c>
      <c r="W16" s="8">
        <f>IF(A16="","",SUMIFS('Recipe Ingredients'!$C$5:$C$1204,'Recipe Ingredients'!$B$5:$B$1204,A16))</f>
        <v>0</v>
      </c>
      <c r="X16" s="8">
        <f>IF(A16="","",IF(U16&lt;=0,IF(S16&gt;0,99,0),ROUND(S16/U16,1)))</f>
        <v>0</v>
      </c>
      <c r="Y16" s="8">
        <f>IF(A16="","",U16*10+IF(O16="Yes",5,0)+IF(X16&lt;1,10,0)+IF(S16&lt;=0,3,0))</f>
        <v>0</v>
      </c>
      <c r="Z16" s="8">
        <f>IF(A16="","",COUNTIFS($Y$5:$Y$304,"&gt;"&amp;Y16)+1)</f>
        <v>0</v>
      </c>
      <c r="AA16" s="8">
        <f>IF(A16="","",IF(OR(U16&gt;0,AND(O16="Yes",X16&lt;2)),"Yes","No"))</f>
        <v>0</v>
      </c>
      <c r="AB16" s="8">
        <f>IF(OR(A16="",D16=""),"",S16*D16)</f>
        <v>0</v>
      </c>
      <c r="AC16" s="8">
        <f>IF(AB16="","",COUNTIFS($AB$5:$AB$304,"&gt;"&amp;AB16)+1)</f>
        <v>0</v>
      </c>
      <c r="AD16" s="8">
        <f>IF(A16="","",SUMIFS('Food Waste'!$E$5:$E$154,'Food Waste'!$C$5:$C$154,A16))</f>
        <v>0</v>
      </c>
      <c r="AE16" s="8">
        <f>IF(OR(A16="",AD16=0),"",COUNTIFS($AD$5:$AD$304,"&gt;"&amp;AD16)+1)</f>
        <v>0</v>
      </c>
      <c r="AF16" s="8">
        <f>IF(A16="","",IF(SUMPRODUCT(MAX(('Grocery Spending'!$E$5:$E$404=A16)*'Grocery Spending'!$A$5:$A$404))=0,"",SUMPRODUCT(MAX(('Grocery Spending'!$E$5:$E$404=A16)*'Grocery Spending'!$A$5:$A$404))))</f>
        <v>0</v>
      </c>
      <c r="AG16" s="8">
        <f>IF(OR(A16="",AF16=""),"",IFERROR(AVERAGEIFS('Grocery Spending'!$I$5:$I$404,'Grocery Spending'!$E$5:$E$404,A16,'Grocery Spending'!$A$5:$A$404,AF16),""))</f>
        <v>0</v>
      </c>
      <c r="AH16" s="8">
        <f>IF(A16="","",IFERROR(AVERAGEIFS('Grocery Spending'!$I$5:$I$404,'Grocery Spending'!$E$5:$E$404,A16),""))</f>
        <v>0</v>
      </c>
      <c r="AI16" s="8">
        <f>IF(A16="","",IF(SUMPRODUCT(MIN(('Grocery Spending'!$E$5:$E$404=A16)*'Grocery Spending'!$I$5:$I$404+('Grocery Spending'!$E$5:$E$404&lt;&gt;A16)*1000000))&gt;=1000000,"",SUMPRODUCT(MIN(('Grocery Spending'!$E$5:$E$404=A16)*'Grocery Spending'!$I$5:$I$404+('Grocery Spending'!$E$5:$E$404&lt;&gt;A16)*1000000))))</f>
        <v>0</v>
      </c>
      <c r="AJ16" s="8">
        <f>IF(A16="","",SUMPRODUCT(MAX(('Grocery Spending'!$E$5:$E$404=A16)*'Grocery Spending'!$I$5:$I$404)))</f>
        <v>0</v>
      </c>
      <c r="AK16" s="8">
        <f>IF(OR(A16="",AI16="",AJ16=0),"",AJ16-AI16)</f>
        <v>0</v>
      </c>
      <c r="AL16" s="8">
        <f>IF(OR(A16="",AG16="",AH16=""),"",AG16-AH16)</f>
        <v>0</v>
      </c>
      <c r="AM16" s="8">
        <f>IF(A16="","",IF(AL16="","",IF(AL16&gt;0.01,"Up",IF(AL16&lt;-0.01,"Down","Flat"))))</f>
        <v>0</v>
      </c>
      <c r="AN16" s="25"/>
    </row>
    <row r="17" spans="1:40">
      <c r="A17" s="7"/>
      <c r="B17" s="27"/>
      <c r="C17" s="27"/>
      <c r="D17" s="28"/>
      <c r="E17" s="27"/>
      <c r="F17" s="26"/>
      <c r="G17" s="8">
        <f>IF(OR(D17="",F17="",F17=0),"",D17/F17)</f>
        <v>0</v>
      </c>
      <c r="H17" s="26"/>
      <c r="I17" s="26"/>
      <c r="J17" s="26"/>
      <c r="K17" s="26"/>
      <c r="L17" s="26"/>
      <c r="M17" s="26"/>
      <c r="N17" s="27"/>
      <c r="O17" s="27"/>
      <c r="P17" s="27"/>
      <c r="Q17" s="27"/>
      <c r="R17" s="7"/>
      <c r="S17" s="8">
        <f>IF(A17="","",SUMIFS(Pantry!$C$5:$C$304,Pantry!$A$5:$A$304,A17))</f>
        <v>0</v>
      </c>
      <c r="T17" s="8">
        <f>IF(A17="","",COUNTIFS('Grocery List'!$A$5:$A$304,A17,'Grocery List'!$N$5:$N$304,"Yes"))</f>
        <v>0</v>
      </c>
      <c r="U17" s="8">
        <f>IF(A17="","",SUMIFS('Grocery List'!$M$5:$M$304,'Grocery List'!$A$5:$A$304,A17))</f>
        <v>0</v>
      </c>
      <c r="V17" s="8">
        <f>IF(A17="","",COUNTIFS('Recipe Ingredients'!$B$5:$B$1204,A17))</f>
        <v>0</v>
      </c>
      <c r="W17" s="8">
        <f>IF(A17="","",SUMIFS('Recipe Ingredients'!$C$5:$C$1204,'Recipe Ingredients'!$B$5:$B$1204,A17))</f>
        <v>0</v>
      </c>
      <c r="X17" s="8">
        <f>IF(A17="","",IF(U17&lt;=0,IF(S17&gt;0,99,0),ROUND(S17/U17,1)))</f>
        <v>0</v>
      </c>
      <c r="Y17" s="8">
        <f>IF(A17="","",U17*10+IF(O17="Yes",5,0)+IF(X17&lt;1,10,0)+IF(S17&lt;=0,3,0))</f>
        <v>0</v>
      </c>
      <c r="Z17" s="8">
        <f>IF(A17="","",COUNTIFS($Y$5:$Y$304,"&gt;"&amp;Y17)+1)</f>
        <v>0</v>
      </c>
      <c r="AA17" s="8">
        <f>IF(A17="","",IF(OR(U17&gt;0,AND(O17="Yes",X17&lt;2)),"Yes","No"))</f>
        <v>0</v>
      </c>
      <c r="AB17" s="8">
        <f>IF(OR(A17="",D17=""),"",S17*D17)</f>
        <v>0</v>
      </c>
      <c r="AC17" s="8">
        <f>IF(AB17="","",COUNTIFS($AB$5:$AB$304,"&gt;"&amp;AB17)+1)</f>
        <v>0</v>
      </c>
      <c r="AD17" s="8">
        <f>IF(A17="","",SUMIFS('Food Waste'!$E$5:$E$154,'Food Waste'!$C$5:$C$154,A17))</f>
        <v>0</v>
      </c>
      <c r="AE17" s="8">
        <f>IF(OR(A17="",AD17=0),"",COUNTIFS($AD$5:$AD$304,"&gt;"&amp;AD17)+1)</f>
        <v>0</v>
      </c>
      <c r="AF17" s="8">
        <f>IF(A17="","",IF(SUMPRODUCT(MAX(('Grocery Spending'!$E$5:$E$404=A17)*'Grocery Spending'!$A$5:$A$404))=0,"",SUMPRODUCT(MAX(('Grocery Spending'!$E$5:$E$404=A17)*'Grocery Spending'!$A$5:$A$404))))</f>
        <v>0</v>
      </c>
      <c r="AG17" s="8">
        <f>IF(OR(A17="",AF17=""),"",IFERROR(AVERAGEIFS('Grocery Spending'!$I$5:$I$404,'Grocery Spending'!$E$5:$E$404,A17,'Grocery Spending'!$A$5:$A$404,AF17),""))</f>
        <v>0</v>
      </c>
      <c r="AH17" s="8">
        <f>IF(A17="","",IFERROR(AVERAGEIFS('Grocery Spending'!$I$5:$I$404,'Grocery Spending'!$E$5:$E$404,A17),""))</f>
        <v>0</v>
      </c>
      <c r="AI17" s="8">
        <f>IF(A17="","",IF(SUMPRODUCT(MIN(('Grocery Spending'!$E$5:$E$404=A17)*'Grocery Spending'!$I$5:$I$404+('Grocery Spending'!$E$5:$E$404&lt;&gt;A17)*1000000))&gt;=1000000,"",SUMPRODUCT(MIN(('Grocery Spending'!$E$5:$E$404=A17)*'Grocery Spending'!$I$5:$I$404+('Grocery Spending'!$E$5:$E$404&lt;&gt;A17)*1000000))))</f>
        <v>0</v>
      </c>
      <c r="AJ17" s="8">
        <f>IF(A17="","",SUMPRODUCT(MAX(('Grocery Spending'!$E$5:$E$404=A17)*'Grocery Spending'!$I$5:$I$404)))</f>
        <v>0</v>
      </c>
      <c r="AK17" s="8">
        <f>IF(OR(A17="",AI17="",AJ17=0),"",AJ17-AI17)</f>
        <v>0</v>
      </c>
      <c r="AL17" s="8">
        <f>IF(OR(A17="",AG17="",AH17=""),"",AG17-AH17)</f>
        <v>0</v>
      </c>
      <c r="AM17" s="8">
        <f>IF(A17="","",IF(AL17="","",IF(AL17&gt;0.01,"Up",IF(AL17&lt;-0.01,"Down","Flat"))))</f>
        <v>0</v>
      </c>
      <c r="AN17" s="25"/>
    </row>
    <row r="18" spans="1:40">
      <c r="A18" s="7"/>
      <c r="B18" s="27"/>
      <c r="C18" s="27"/>
      <c r="D18" s="28"/>
      <c r="E18" s="27"/>
      <c r="F18" s="26"/>
      <c r="G18" s="8">
        <f>IF(OR(D18="",F18="",F18=0),"",D18/F18)</f>
        <v>0</v>
      </c>
      <c r="H18" s="26"/>
      <c r="I18" s="26"/>
      <c r="J18" s="26"/>
      <c r="K18" s="26"/>
      <c r="L18" s="26"/>
      <c r="M18" s="26"/>
      <c r="N18" s="27"/>
      <c r="O18" s="27"/>
      <c r="P18" s="27"/>
      <c r="Q18" s="27"/>
      <c r="R18" s="7"/>
      <c r="S18" s="8">
        <f>IF(A18="","",SUMIFS(Pantry!$C$5:$C$304,Pantry!$A$5:$A$304,A18))</f>
        <v>0</v>
      </c>
      <c r="T18" s="8">
        <f>IF(A18="","",COUNTIFS('Grocery List'!$A$5:$A$304,A18,'Grocery List'!$N$5:$N$304,"Yes"))</f>
        <v>0</v>
      </c>
      <c r="U18" s="8">
        <f>IF(A18="","",SUMIFS('Grocery List'!$M$5:$M$304,'Grocery List'!$A$5:$A$304,A18))</f>
        <v>0</v>
      </c>
      <c r="V18" s="8">
        <f>IF(A18="","",COUNTIFS('Recipe Ingredients'!$B$5:$B$1204,A18))</f>
        <v>0</v>
      </c>
      <c r="W18" s="8">
        <f>IF(A18="","",SUMIFS('Recipe Ingredients'!$C$5:$C$1204,'Recipe Ingredients'!$B$5:$B$1204,A18))</f>
        <v>0</v>
      </c>
      <c r="X18" s="8">
        <f>IF(A18="","",IF(U18&lt;=0,IF(S18&gt;0,99,0),ROUND(S18/U18,1)))</f>
        <v>0</v>
      </c>
      <c r="Y18" s="8">
        <f>IF(A18="","",U18*10+IF(O18="Yes",5,0)+IF(X18&lt;1,10,0)+IF(S18&lt;=0,3,0))</f>
        <v>0</v>
      </c>
      <c r="Z18" s="8">
        <f>IF(A18="","",COUNTIFS($Y$5:$Y$304,"&gt;"&amp;Y18)+1)</f>
        <v>0</v>
      </c>
      <c r="AA18" s="8">
        <f>IF(A18="","",IF(OR(U18&gt;0,AND(O18="Yes",X18&lt;2)),"Yes","No"))</f>
        <v>0</v>
      </c>
      <c r="AB18" s="8">
        <f>IF(OR(A18="",D18=""),"",S18*D18)</f>
        <v>0</v>
      </c>
      <c r="AC18" s="8">
        <f>IF(AB18="","",COUNTIFS($AB$5:$AB$304,"&gt;"&amp;AB18)+1)</f>
        <v>0</v>
      </c>
      <c r="AD18" s="8">
        <f>IF(A18="","",SUMIFS('Food Waste'!$E$5:$E$154,'Food Waste'!$C$5:$C$154,A18))</f>
        <v>0</v>
      </c>
      <c r="AE18" s="8">
        <f>IF(OR(A18="",AD18=0),"",COUNTIFS($AD$5:$AD$304,"&gt;"&amp;AD18)+1)</f>
        <v>0</v>
      </c>
      <c r="AF18" s="8">
        <f>IF(A18="","",IF(SUMPRODUCT(MAX(('Grocery Spending'!$E$5:$E$404=A18)*'Grocery Spending'!$A$5:$A$404))=0,"",SUMPRODUCT(MAX(('Grocery Spending'!$E$5:$E$404=A18)*'Grocery Spending'!$A$5:$A$404))))</f>
        <v>0</v>
      </c>
      <c r="AG18" s="8">
        <f>IF(OR(A18="",AF18=""),"",IFERROR(AVERAGEIFS('Grocery Spending'!$I$5:$I$404,'Grocery Spending'!$E$5:$E$404,A18,'Grocery Spending'!$A$5:$A$404,AF18),""))</f>
        <v>0</v>
      </c>
      <c r="AH18" s="8">
        <f>IF(A18="","",IFERROR(AVERAGEIFS('Grocery Spending'!$I$5:$I$404,'Grocery Spending'!$E$5:$E$404,A18),""))</f>
        <v>0</v>
      </c>
      <c r="AI18" s="8">
        <f>IF(A18="","",IF(SUMPRODUCT(MIN(('Grocery Spending'!$E$5:$E$404=A18)*'Grocery Spending'!$I$5:$I$404+('Grocery Spending'!$E$5:$E$404&lt;&gt;A18)*1000000))&gt;=1000000,"",SUMPRODUCT(MIN(('Grocery Spending'!$E$5:$E$404=A18)*'Grocery Spending'!$I$5:$I$404+('Grocery Spending'!$E$5:$E$404&lt;&gt;A18)*1000000))))</f>
        <v>0</v>
      </c>
      <c r="AJ18" s="8">
        <f>IF(A18="","",SUMPRODUCT(MAX(('Grocery Spending'!$E$5:$E$404=A18)*'Grocery Spending'!$I$5:$I$404)))</f>
        <v>0</v>
      </c>
      <c r="AK18" s="8">
        <f>IF(OR(A18="",AI18="",AJ18=0),"",AJ18-AI18)</f>
        <v>0</v>
      </c>
      <c r="AL18" s="8">
        <f>IF(OR(A18="",AG18="",AH18=""),"",AG18-AH18)</f>
        <v>0</v>
      </c>
      <c r="AM18" s="8">
        <f>IF(A18="","",IF(AL18="","",IF(AL18&gt;0.01,"Up",IF(AL18&lt;-0.01,"Down","Flat"))))</f>
        <v>0</v>
      </c>
      <c r="AN18" s="25"/>
    </row>
    <row r="19" spans="1:40">
      <c r="A19" s="7"/>
      <c r="B19" s="27"/>
      <c r="C19" s="27"/>
      <c r="D19" s="28"/>
      <c r="E19" s="27"/>
      <c r="F19" s="26"/>
      <c r="G19" s="8">
        <f>IF(OR(D19="",F19="",F19=0),"",D19/F19)</f>
        <v>0</v>
      </c>
      <c r="H19" s="26"/>
      <c r="I19" s="26"/>
      <c r="J19" s="26"/>
      <c r="K19" s="26"/>
      <c r="L19" s="26"/>
      <c r="M19" s="26"/>
      <c r="N19" s="27"/>
      <c r="O19" s="27"/>
      <c r="P19" s="27"/>
      <c r="Q19" s="27"/>
      <c r="R19" s="7"/>
      <c r="S19" s="8">
        <f>IF(A19="","",SUMIFS(Pantry!$C$5:$C$304,Pantry!$A$5:$A$304,A19))</f>
        <v>0</v>
      </c>
      <c r="T19" s="8">
        <f>IF(A19="","",COUNTIFS('Grocery List'!$A$5:$A$304,A19,'Grocery List'!$N$5:$N$304,"Yes"))</f>
        <v>0</v>
      </c>
      <c r="U19" s="8">
        <f>IF(A19="","",SUMIFS('Grocery List'!$M$5:$M$304,'Grocery List'!$A$5:$A$304,A19))</f>
        <v>0</v>
      </c>
      <c r="V19" s="8">
        <f>IF(A19="","",COUNTIFS('Recipe Ingredients'!$B$5:$B$1204,A19))</f>
        <v>0</v>
      </c>
      <c r="W19" s="8">
        <f>IF(A19="","",SUMIFS('Recipe Ingredients'!$C$5:$C$1204,'Recipe Ingredients'!$B$5:$B$1204,A19))</f>
        <v>0</v>
      </c>
      <c r="X19" s="8">
        <f>IF(A19="","",IF(U19&lt;=0,IF(S19&gt;0,99,0),ROUND(S19/U19,1)))</f>
        <v>0</v>
      </c>
      <c r="Y19" s="8">
        <f>IF(A19="","",U19*10+IF(O19="Yes",5,0)+IF(X19&lt;1,10,0)+IF(S19&lt;=0,3,0))</f>
        <v>0</v>
      </c>
      <c r="Z19" s="8">
        <f>IF(A19="","",COUNTIFS($Y$5:$Y$304,"&gt;"&amp;Y19)+1)</f>
        <v>0</v>
      </c>
      <c r="AA19" s="8">
        <f>IF(A19="","",IF(OR(U19&gt;0,AND(O19="Yes",X19&lt;2)),"Yes","No"))</f>
        <v>0</v>
      </c>
      <c r="AB19" s="8">
        <f>IF(OR(A19="",D19=""),"",S19*D19)</f>
        <v>0</v>
      </c>
      <c r="AC19" s="8">
        <f>IF(AB19="","",COUNTIFS($AB$5:$AB$304,"&gt;"&amp;AB19)+1)</f>
        <v>0</v>
      </c>
      <c r="AD19" s="8">
        <f>IF(A19="","",SUMIFS('Food Waste'!$E$5:$E$154,'Food Waste'!$C$5:$C$154,A19))</f>
        <v>0</v>
      </c>
      <c r="AE19" s="8">
        <f>IF(OR(A19="",AD19=0),"",COUNTIFS($AD$5:$AD$304,"&gt;"&amp;AD19)+1)</f>
        <v>0</v>
      </c>
      <c r="AF19" s="8">
        <f>IF(A19="","",IF(SUMPRODUCT(MAX(('Grocery Spending'!$E$5:$E$404=A19)*'Grocery Spending'!$A$5:$A$404))=0,"",SUMPRODUCT(MAX(('Grocery Spending'!$E$5:$E$404=A19)*'Grocery Spending'!$A$5:$A$404))))</f>
        <v>0</v>
      </c>
      <c r="AG19" s="8">
        <f>IF(OR(A19="",AF19=""),"",IFERROR(AVERAGEIFS('Grocery Spending'!$I$5:$I$404,'Grocery Spending'!$E$5:$E$404,A19,'Grocery Spending'!$A$5:$A$404,AF19),""))</f>
        <v>0</v>
      </c>
      <c r="AH19" s="8">
        <f>IF(A19="","",IFERROR(AVERAGEIFS('Grocery Spending'!$I$5:$I$404,'Grocery Spending'!$E$5:$E$404,A19),""))</f>
        <v>0</v>
      </c>
      <c r="AI19" s="8">
        <f>IF(A19="","",IF(SUMPRODUCT(MIN(('Grocery Spending'!$E$5:$E$404=A19)*'Grocery Spending'!$I$5:$I$404+('Grocery Spending'!$E$5:$E$404&lt;&gt;A19)*1000000))&gt;=1000000,"",SUMPRODUCT(MIN(('Grocery Spending'!$E$5:$E$404=A19)*'Grocery Spending'!$I$5:$I$404+('Grocery Spending'!$E$5:$E$404&lt;&gt;A19)*1000000))))</f>
        <v>0</v>
      </c>
      <c r="AJ19" s="8">
        <f>IF(A19="","",SUMPRODUCT(MAX(('Grocery Spending'!$E$5:$E$404=A19)*'Grocery Spending'!$I$5:$I$404)))</f>
        <v>0</v>
      </c>
      <c r="AK19" s="8">
        <f>IF(OR(A19="",AI19="",AJ19=0),"",AJ19-AI19)</f>
        <v>0</v>
      </c>
      <c r="AL19" s="8">
        <f>IF(OR(A19="",AG19="",AH19=""),"",AG19-AH19)</f>
        <v>0</v>
      </c>
      <c r="AM19" s="8">
        <f>IF(A19="","",IF(AL19="","",IF(AL19&gt;0.01,"Up",IF(AL19&lt;-0.01,"Down","Flat"))))</f>
        <v>0</v>
      </c>
      <c r="AN19" s="25"/>
    </row>
    <row r="20" spans="1:40">
      <c r="A20" s="7"/>
      <c r="B20" s="27"/>
      <c r="C20" s="27"/>
      <c r="D20" s="28"/>
      <c r="E20" s="27"/>
      <c r="F20" s="26"/>
      <c r="G20" s="8">
        <f>IF(OR(D20="",F20="",F20=0),"",D20/F20)</f>
        <v>0</v>
      </c>
      <c r="H20" s="26"/>
      <c r="I20" s="26"/>
      <c r="J20" s="26"/>
      <c r="K20" s="26"/>
      <c r="L20" s="26"/>
      <c r="M20" s="26"/>
      <c r="N20" s="27"/>
      <c r="O20" s="27"/>
      <c r="P20" s="27"/>
      <c r="Q20" s="27"/>
      <c r="R20" s="7"/>
      <c r="S20" s="8">
        <f>IF(A20="","",SUMIFS(Pantry!$C$5:$C$304,Pantry!$A$5:$A$304,A20))</f>
        <v>0</v>
      </c>
      <c r="T20" s="8">
        <f>IF(A20="","",COUNTIFS('Grocery List'!$A$5:$A$304,A20,'Grocery List'!$N$5:$N$304,"Yes"))</f>
        <v>0</v>
      </c>
      <c r="U20" s="8">
        <f>IF(A20="","",SUMIFS('Grocery List'!$M$5:$M$304,'Grocery List'!$A$5:$A$304,A20))</f>
        <v>0</v>
      </c>
      <c r="V20" s="8">
        <f>IF(A20="","",COUNTIFS('Recipe Ingredients'!$B$5:$B$1204,A20))</f>
        <v>0</v>
      </c>
      <c r="W20" s="8">
        <f>IF(A20="","",SUMIFS('Recipe Ingredients'!$C$5:$C$1204,'Recipe Ingredients'!$B$5:$B$1204,A20))</f>
        <v>0</v>
      </c>
      <c r="X20" s="8">
        <f>IF(A20="","",IF(U20&lt;=0,IF(S20&gt;0,99,0),ROUND(S20/U20,1)))</f>
        <v>0</v>
      </c>
      <c r="Y20" s="8">
        <f>IF(A20="","",U20*10+IF(O20="Yes",5,0)+IF(X20&lt;1,10,0)+IF(S20&lt;=0,3,0))</f>
        <v>0</v>
      </c>
      <c r="Z20" s="8">
        <f>IF(A20="","",COUNTIFS($Y$5:$Y$304,"&gt;"&amp;Y20)+1)</f>
        <v>0</v>
      </c>
      <c r="AA20" s="8">
        <f>IF(A20="","",IF(OR(U20&gt;0,AND(O20="Yes",X20&lt;2)),"Yes","No"))</f>
        <v>0</v>
      </c>
      <c r="AB20" s="8">
        <f>IF(OR(A20="",D20=""),"",S20*D20)</f>
        <v>0</v>
      </c>
      <c r="AC20" s="8">
        <f>IF(AB20="","",COUNTIFS($AB$5:$AB$304,"&gt;"&amp;AB20)+1)</f>
        <v>0</v>
      </c>
      <c r="AD20" s="8">
        <f>IF(A20="","",SUMIFS('Food Waste'!$E$5:$E$154,'Food Waste'!$C$5:$C$154,A20))</f>
        <v>0</v>
      </c>
      <c r="AE20" s="8">
        <f>IF(OR(A20="",AD20=0),"",COUNTIFS($AD$5:$AD$304,"&gt;"&amp;AD20)+1)</f>
        <v>0</v>
      </c>
      <c r="AF20" s="8">
        <f>IF(A20="","",IF(SUMPRODUCT(MAX(('Grocery Spending'!$E$5:$E$404=A20)*'Grocery Spending'!$A$5:$A$404))=0,"",SUMPRODUCT(MAX(('Grocery Spending'!$E$5:$E$404=A20)*'Grocery Spending'!$A$5:$A$404))))</f>
        <v>0</v>
      </c>
      <c r="AG20" s="8">
        <f>IF(OR(A20="",AF20=""),"",IFERROR(AVERAGEIFS('Grocery Spending'!$I$5:$I$404,'Grocery Spending'!$E$5:$E$404,A20,'Grocery Spending'!$A$5:$A$404,AF20),""))</f>
        <v>0</v>
      </c>
      <c r="AH20" s="8">
        <f>IF(A20="","",IFERROR(AVERAGEIFS('Grocery Spending'!$I$5:$I$404,'Grocery Spending'!$E$5:$E$404,A20),""))</f>
        <v>0</v>
      </c>
      <c r="AI20" s="8">
        <f>IF(A20="","",IF(SUMPRODUCT(MIN(('Grocery Spending'!$E$5:$E$404=A20)*'Grocery Spending'!$I$5:$I$404+('Grocery Spending'!$E$5:$E$404&lt;&gt;A20)*1000000))&gt;=1000000,"",SUMPRODUCT(MIN(('Grocery Spending'!$E$5:$E$404=A20)*'Grocery Spending'!$I$5:$I$404+('Grocery Spending'!$E$5:$E$404&lt;&gt;A20)*1000000))))</f>
        <v>0</v>
      </c>
      <c r="AJ20" s="8">
        <f>IF(A20="","",SUMPRODUCT(MAX(('Grocery Spending'!$E$5:$E$404=A20)*'Grocery Spending'!$I$5:$I$404)))</f>
        <v>0</v>
      </c>
      <c r="AK20" s="8">
        <f>IF(OR(A20="",AI20="",AJ20=0),"",AJ20-AI20)</f>
        <v>0</v>
      </c>
      <c r="AL20" s="8">
        <f>IF(OR(A20="",AG20="",AH20=""),"",AG20-AH20)</f>
        <v>0</v>
      </c>
      <c r="AM20" s="8">
        <f>IF(A20="","",IF(AL20="","",IF(AL20&gt;0.01,"Up",IF(AL20&lt;-0.01,"Down","Flat"))))</f>
        <v>0</v>
      </c>
      <c r="AN20" s="25"/>
    </row>
    <row r="21" spans="1:40">
      <c r="A21" s="7"/>
      <c r="B21" s="27"/>
      <c r="C21" s="27"/>
      <c r="D21" s="28"/>
      <c r="E21" s="27"/>
      <c r="F21" s="26"/>
      <c r="G21" s="8">
        <f>IF(OR(D21="",F21="",F21=0),"",D21/F21)</f>
        <v>0</v>
      </c>
      <c r="H21" s="26"/>
      <c r="I21" s="26"/>
      <c r="J21" s="26"/>
      <c r="K21" s="26"/>
      <c r="L21" s="26"/>
      <c r="M21" s="26"/>
      <c r="N21" s="27"/>
      <c r="O21" s="27"/>
      <c r="P21" s="27"/>
      <c r="Q21" s="27"/>
      <c r="R21" s="7"/>
      <c r="S21" s="8">
        <f>IF(A21="","",SUMIFS(Pantry!$C$5:$C$304,Pantry!$A$5:$A$304,A21))</f>
        <v>0</v>
      </c>
      <c r="T21" s="8">
        <f>IF(A21="","",COUNTIFS('Grocery List'!$A$5:$A$304,A21,'Grocery List'!$N$5:$N$304,"Yes"))</f>
        <v>0</v>
      </c>
      <c r="U21" s="8">
        <f>IF(A21="","",SUMIFS('Grocery List'!$M$5:$M$304,'Grocery List'!$A$5:$A$304,A21))</f>
        <v>0</v>
      </c>
      <c r="V21" s="8">
        <f>IF(A21="","",COUNTIFS('Recipe Ingredients'!$B$5:$B$1204,A21))</f>
        <v>0</v>
      </c>
      <c r="W21" s="8">
        <f>IF(A21="","",SUMIFS('Recipe Ingredients'!$C$5:$C$1204,'Recipe Ingredients'!$B$5:$B$1204,A21))</f>
        <v>0</v>
      </c>
      <c r="X21" s="8">
        <f>IF(A21="","",IF(U21&lt;=0,IF(S21&gt;0,99,0),ROUND(S21/U21,1)))</f>
        <v>0</v>
      </c>
      <c r="Y21" s="8">
        <f>IF(A21="","",U21*10+IF(O21="Yes",5,0)+IF(X21&lt;1,10,0)+IF(S21&lt;=0,3,0))</f>
        <v>0</v>
      </c>
      <c r="Z21" s="8">
        <f>IF(A21="","",COUNTIFS($Y$5:$Y$304,"&gt;"&amp;Y21)+1)</f>
        <v>0</v>
      </c>
      <c r="AA21" s="8">
        <f>IF(A21="","",IF(OR(U21&gt;0,AND(O21="Yes",X21&lt;2)),"Yes","No"))</f>
        <v>0</v>
      </c>
      <c r="AB21" s="8">
        <f>IF(OR(A21="",D21=""),"",S21*D21)</f>
        <v>0</v>
      </c>
      <c r="AC21" s="8">
        <f>IF(AB21="","",COUNTIFS($AB$5:$AB$304,"&gt;"&amp;AB21)+1)</f>
        <v>0</v>
      </c>
      <c r="AD21" s="8">
        <f>IF(A21="","",SUMIFS('Food Waste'!$E$5:$E$154,'Food Waste'!$C$5:$C$154,A21))</f>
        <v>0</v>
      </c>
      <c r="AE21" s="8">
        <f>IF(OR(A21="",AD21=0),"",COUNTIFS($AD$5:$AD$304,"&gt;"&amp;AD21)+1)</f>
        <v>0</v>
      </c>
      <c r="AF21" s="8">
        <f>IF(A21="","",IF(SUMPRODUCT(MAX(('Grocery Spending'!$E$5:$E$404=A21)*'Grocery Spending'!$A$5:$A$404))=0,"",SUMPRODUCT(MAX(('Grocery Spending'!$E$5:$E$404=A21)*'Grocery Spending'!$A$5:$A$404))))</f>
        <v>0</v>
      </c>
      <c r="AG21" s="8">
        <f>IF(OR(A21="",AF21=""),"",IFERROR(AVERAGEIFS('Grocery Spending'!$I$5:$I$404,'Grocery Spending'!$E$5:$E$404,A21,'Grocery Spending'!$A$5:$A$404,AF21),""))</f>
        <v>0</v>
      </c>
      <c r="AH21" s="8">
        <f>IF(A21="","",IFERROR(AVERAGEIFS('Grocery Spending'!$I$5:$I$404,'Grocery Spending'!$E$5:$E$404,A21),""))</f>
        <v>0</v>
      </c>
      <c r="AI21" s="8">
        <f>IF(A21="","",IF(SUMPRODUCT(MIN(('Grocery Spending'!$E$5:$E$404=A21)*'Grocery Spending'!$I$5:$I$404+('Grocery Spending'!$E$5:$E$404&lt;&gt;A21)*1000000))&gt;=1000000,"",SUMPRODUCT(MIN(('Grocery Spending'!$E$5:$E$404=A21)*'Grocery Spending'!$I$5:$I$404+('Grocery Spending'!$E$5:$E$404&lt;&gt;A21)*1000000))))</f>
        <v>0</v>
      </c>
      <c r="AJ21" s="8">
        <f>IF(A21="","",SUMPRODUCT(MAX(('Grocery Spending'!$E$5:$E$404=A21)*'Grocery Spending'!$I$5:$I$404)))</f>
        <v>0</v>
      </c>
      <c r="AK21" s="8">
        <f>IF(OR(A21="",AI21="",AJ21=0),"",AJ21-AI21)</f>
        <v>0</v>
      </c>
      <c r="AL21" s="8">
        <f>IF(OR(A21="",AG21="",AH21=""),"",AG21-AH21)</f>
        <v>0</v>
      </c>
      <c r="AM21" s="8">
        <f>IF(A21="","",IF(AL21="","",IF(AL21&gt;0.01,"Up",IF(AL21&lt;-0.01,"Down","Flat"))))</f>
        <v>0</v>
      </c>
      <c r="AN21" s="25"/>
    </row>
    <row r="22" spans="1:40">
      <c r="A22" s="7"/>
      <c r="B22" s="27"/>
      <c r="C22" s="27"/>
      <c r="D22" s="28"/>
      <c r="E22" s="27"/>
      <c r="F22" s="26"/>
      <c r="G22" s="8">
        <f>IF(OR(D22="",F22="",F22=0),"",D22/F22)</f>
        <v>0</v>
      </c>
      <c r="H22" s="26"/>
      <c r="I22" s="26"/>
      <c r="J22" s="26"/>
      <c r="K22" s="26"/>
      <c r="L22" s="26"/>
      <c r="M22" s="26"/>
      <c r="N22" s="27"/>
      <c r="O22" s="27"/>
      <c r="P22" s="27"/>
      <c r="Q22" s="27"/>
      <c r="R22" s="7"/>
      <c r="S22" s="8">
        <f>IF(A22="","",SUMIFS(Pantry!$C$5:$C$304,Pantry!$A$5:$A$304,A22))</f>
        <v>0</v>
      </c>
      <c r="T22" s="8">
        <f>IF(A22="","",COUNTIFS('Grocery List'!$A$5:$A$304,A22,'Grocery List'!$N$5:$N$304,"Yes"))</f>
        <v>0</v>
      </c>
      <c r="U22" s="8">
        <f>IF(A22="","",SUMIFS('Grocery List'!$M$5:$M$304,'Grocery List'!$A$5:$A$304,A22))</f>
        <v>0</v>
      </c>
      <c r="V22" s="8">
        <f>IF(A22="","",COUNTIFS('Recipe Ingredients'!$B$5:$B$1204,A22))</f>
        <v>0</v>
      </c>
      <c r="W22" s="8">
        <f>IF(A22="","",SUMIFS('Recipe Ingredients'!$C$5:$C$1204,'Recipe Ingredients'!$B$5:$B$1204,A22))</f>
        <v>0</v>
      </c>
      <c r="X22" s="8">
        <f>IF(A22="","",IF(U22&lt;=0,IF(S22&gt;0,99,0),ROUND(S22/U22,1)))</f>
        <v>0</v>
      </c>
      <c r="Y22" s="8">
        <f>IF(A22="","",U22*10+IF(O22="Yes",5,0)+IF(X22&lt;1,10,0)+IF(S22&lt;=0,3,0))</f>
        <v>0</v>
      </c>
      <c r="Z22" s="8">
        <f>IF(A22="","",COUNTIFS($Y$5:$Y$304,"&gt;"&amp;Y22)+1)</f>
        <v>0</v>
      </c>
      <c r="AA22" s="8">
        <f>IF(A22="","",IF(OR(U22&gt;0,AND(O22="Yes",X22&lt;2)),"Yes","No"))</f>
        <v>0</v>
      </c>
      <c r="AB22" s="8">
        <f>IF(OR(A22="",D22=""),"",S22*D22)</f>
        <v>0</v>
      </c>
      <c r="AC22" s="8">
        <f>IF(AB22="","",COUNTIFS($AB$5:$AB$304,"&gt;"&amp;AB22)+1)</f>
        <v>0</v>
      </c>
      <c r="AD22" s="8">
        <f>IF(A22="","",SUMIFS('Food Waste'!$E$5:$E$154,'Food Waste'!$C$5:$C$154,A22))</f>
        <v>0</v>
      </c>
      <c r="AE22" s="8">
        <f>IF(OR(A22="",AD22=0),"",COUNTIFS($AD$5:$AD$304,"&gt;"&amp;AD22)+1)</f>
        <v>0</v>
      </c>
      <c r="AF22" s="8">
        <f>IF(A22="","",IF(SUMPRODUCT(MAX(('Grocery Spending'!$E$5:$E$404=A22)*'Grocery Spending'!$A$5:$A$404))=0,"",SUMPRODUCT(MAX(('Grocery Spending'!$E$5:$E$404=A22)*'Grocery Spending'!$A$5:$A$404))))</f>
        <v>0</v>
      </c>
      <c r="AG22" s="8">
        <f>IF(OR(A22="",AF22=""),"",IFERROR(AVERAGEIFS('Grocery Spending'!$I$5:$I$404,'Grocery Spending'!$E$5:$E$404,A22,'Grocery Spending'!$A$5:$A$404,AF22),""))</f>
        <v>0</v>
      </c>
      <c r="AH22" s="8">
        <f>IF(A22="","",IFERROR(AVERAGEIFS('Grocery Spending'!$I$5:$I$404,'Grocery Spending'!$E$5:$E$404,A22),""))</f>
        <v>0</v>
      </c>
      <c r="AI22" s="8">
        <f>IF(A22="","",IF(SUMPRODUCT(MIN(('Grocery Spending'!$E$5:$E$404=A22)*'Grocery Spending'!$I$5:$I$404+('Grocery Spending'!$E$5:$E$404&lt;&gt;A22)*1000000))&gt;=1000000,"",SUMPRODUCT(MIN(('Grocery Spending'!$E$5:$E$404=A22)*'Grocery Spending'!$I$5:$I$404+('Grocery Spending'!$E$5:$E$404&lt;&gt;A22)*1000000))))</f>
        <v>0</v>
      </c>
      <c r="AJ22" s="8">
        <f>IF(A22="","",SUMPRODUCT(MAX(('Grocery Spending'!$E$5:$E$404=A22)*'Grocery Spending'!$I$5:$I$404)))</f>
        <v>0</v>
      </c>
      <c r="AK22" s="8">
        <f>IF(OR(A22="",AI22="",AJ22=0),"",AJ22-AI22)</f>
        <v>0</v>
      </c>
      <c r="AL22" s="8">
        <f>IF(OR(A22="",AG22="",AH22=""),"",AG22-AH22)</f>
        <v>0</v>
      </c>
      <c r="AM22" s="8">
        <f>IF(A22="","",IF(AL22="","",IF(AL22&gt;0.01,"Up",IF(AL22&lt;-0.01,"Down","Flat"))))</f>
        <v>0</v>
      </c>
      <c r="AN22" s="25"/>
    </row>
    <row r="23" spans="1:40">
      <c r="A23" s="7"/>
      <c r="B23" s="27"/>
      <c r="C23" s="27"/>
      <c r="D23" s="28"/>
      <c r="E23" s="27"/>
      <c r="F23" s="26"/>
      <c r="G23" s="8">
        <f>IF(OR(D23="",F23="",F23=0),"",D23/F23)</f>
        <v>0</v>
      </c>
      <c r="H23" s="26"/>
      <c r="I23" s="26"/>
      <c r="J23" s="26"/>
      <c r="K23" s="26"/>
      <c r="L23" s="26"/>
      <c r="M23" s="26"/>
      <c r="N23" s="27"/>
      <c r="O23" s="27"/>
      <c r="P23" s="27"/>
      <c r="Q23" s="27"/>
      <c r="R23" s="7"/>
      <c r="S23" s="8">
        <f>IF(A23="","",SUMIFS(Pantry!$C$5:$C$304,Pantry!$A$5:$A$304,A23))</f>
        <v>0</v>
      </c>
      <c r="T23" s="8">
        <f>IF(A23="","",COUNTIFS('Grocery List'!$A$5:$A$304,A23,'Grocery List'!$N$5:$N$304,"Yes"))</f>
        <v>0</v>
      </c>
      <c r="U23" s="8">
        <f>IF(A23="","",SUMIFS('Grocery List'!$M$5:$M$304,'Grocery List'!$A$5:$A$304,A23))</f>
        <v>0</v>
      </c>
      <c r="V23" s="8">
        <f>IF(A23="","",COUNTIFS('Recipe Ingredients'!$B$5:$B$1204,A23))</f>
        <v>0</v>
      </c>
      <c r="W23" s="8">
        <f>IF(A23="","",SUMIFS('Recipe Ingredients'!$C$5:$C$1204,'Recipe Ingredients'!$B$5:$B$1204,A23))</f>
        <v>0</v>
      </c>
      <c r="X23" s="8">
        <f>IF(A23="","",IF(U23&lt;=0,IF(S23&gt;0,99,0),ROUND(S23/U23,1)))</f>
        <v>0</v>
      </c>
      <c r="Y23" s="8">
        <f>IF(A23="","",U23*10+IF(O23="Yes",5,0)+IF(X23&lt;1,10,0)+IF(S23&lt;=0,3,0))</f>
        <v>0</v>
      </c>
      <c r="Z23" s="8">
        <f>IF(A23="","",COUNTIFS($Y$5:$Y$304,"&gt;"&amp;Y23)+1)</f>
        <v>0</v>
      </c>
      <c r="AA23" s="8">
        <f>IF(A23="","",IF(OR(U23&gt;0,AND(O23="Yes",X23&lt;2)),"Yes","No"))</f>
        <v>0</v>
      </c>
      <c r="AB23" s="8">
        <f>IF(OR(A23="",D23=""),"",S23*D23)</f>
        <v>0</v>
      </c>
      <c r="AC23" s="8">
        <f>IF(AB23="","",COUNTIFS($AB$5:$AB$304,"&gt;"&amp;AB23)+1)</f>
        <v>0</v>
      </c>
      <c r="AD23" s="8">
        <f>IF(A23="","",SUMIFS('Food Waste'!$E$5:$E$154,'Food Waste'!$C$5:$C$154,A23))</f>
        <v>0</v>
      </c>
      <c r="AE23" s="8">
        <f>IF(OR(A23="",AD23=0),"",COUNTIFS($AD$5:$AD$304,"&gt;"&amp;AD23)+1)</f>
        <v>0</v>
      </c>
      <c r="AF23" s="8">
        <f>IF(A23="","",IF(SUMPRODUCT(MAX(('Grocery Spending'!$E$5:$E$404=A23)*'Grocery Spending'!$A$5:$A$404))=0,"",SUMPRODUCT(MAX(('Grocery Spending'!$E$5:$E$404=A23)*'Grocery Spending'!$A$5:$A$404))))</f>
        <v>0</v>
      </c>
      <c r="AG23" s="8">
        <f>IF(OR(A23="",AF23=""),"",IFERROR(AVERAGEIFS('Grocery Spending'!$I$5:$I$404,'Grocery Spending'!$E$5:$E$404,A23,'Grocery Spending'!$A$5:$A$404,AF23),""))</f>
        <v>0</v>
      </c>
      <c r="AH23" s="8">
        <f>IF(A23="","",IFERROR(AVERAGEIFS('Grocery Spending'!$I$5:$I$404,'Grocery Spending'!$E$5:$E$404,A23),""))</f>
        <v>0</v>
      </c>
      <c r="AI23" s="8">
        <f>IF(A23="","",IF(SUMPRODUCT(MIN(('Grocery Spending'!$E$5:$E$404=A23)*'Grocery Spending'!$I$5:$I$404+('Grocery Spending'!$E$5:$E$404&lt;&gt;A23)*1000000))&gt;=1000000,"",SUMPRODUCT(MIN(('Grocery Spending'!$E$5:$E$404=A23)*'Grocery Spending'!$I$5:$I$404+('Grocery Spending'!$E$5:$E$404&lt;&gt;A23)*1000000))))</f>
        <v>0</v>
      </c>
      <c r="AJ23" s="8">
        <f>IF(A23="","",SUMPRODUCT(MAX(('Grocery Spending'!$E$5:$E$404=A23)*'Grocery Spending'!$I$5:$I$404)))</f>
        <v>0</v>
      </c>
      <c r="AK23" s="8">
        <f>IF(OR(A23="",AI23="",AJ23=0),"",AJ23-AI23)</f>
        <v>0</v>
      </c>
      <c r="AL23" s="8">
        <f>IF(OR(A23="",AG23="",AH23=""),"",AG23-AH23)</f>
        <v>0</v>
      </c>
      <c r="AM23" s="8">
        <f>IF(A23="","",IF(AL23="","",IF(AL23&gt;0.01,"Up",IF(AL23&lt;-0.01,"Down","Flat"))))</f>
        <v>0</v>
      </c>
      <c r="AN23" s="25"/>
    </row>
    <row r="24" spans="1:40">
      <c r="A24" s="7"/>
      <c r="B24" s="27"/>
      <c r="C24" s="27"/>
      <c r="D24" s="28"/>
      <c r="E24" s="27"/>
      <c r="F24" s="26"/>
      <c r="G24" s="8">
        <f>IF(OR(D24="",F24="",F24=0),"",D24/F24)</f>
        <v>0</v>
      </c>
      <c r="H24" s="26"/>
      <c r="I24" s="26"/>
      <c r="J24" s="26"/>
      <c r="K24" s="26"/>
      <c r="L24" s="26"/>
      <c r="M24" s="26"/>
      <c r="N24" s="27"/>
      <c r="O24" s="27"/>
      <c r="P24" s="27"/>
      <c r="Q24" s="27"/>
      <c r="R24" s="7"/>
      <c r="S24" s="8">
        <f>IF(A24="","",SUMIFS(Pantry!$C$5:$C$304,Pantry!$A$5:$A$304,A24))</f>
        <v>0</v>
      </c>
      <c r="T24" s="8">
        <f>IF(A24="","",COUNTIFS('Grocery List'!$A$5:$A$304,A24,'Grocery List'!$N$5:$N$304,"Yes"))</f>
        <v>0</v>
      </c>
      <c r="U24" s="8">
        <f>IF(A24="","",SUMIFS('Grocery List'!$M$5:$M$304,'Grocery List'!$A$5:$A$304,A24))</f>
        <v>0</v>
      </c>
      <c r="V24" s="8">
        <f>IF(A24="","",COUNTIFS('Recipe Ingredients'!$B$5:$B$1204,A24))</f>
        <v>0</v>
      </c>
      <c r="W24" s="8">
        <f>IF(A24="","",SUMIFS('Recipe Ingredients'!$C$5:$C$1204,'Recipe Ingredients'!$B$5:$B$1204,A24))</f>
        <v>0</v>
      </c>
      <c r="X24" s="8">
        <f>IF(A24="","",IF(U24&lt;=0,IF(S24&gt;0,99,0),ROUND(S24/U24,1)))</f>
        <v>0</v>
      </c>
      <c r="Y24" s="8">
        <f>IF(A24="","",U24*10+IF(O24="Yes",5,0)+IF(X24&lt;1,10,0)+IF(S24&lt;=0,3,0))</f>
        <v>0</v>
      </c>
      <c r="Z24" s="8">
        <f>IF(A24="","",COUNTIFS($Y$5:$Y$304,"&gt;"&amp;Y24)+1)</f>
        <v>0</v>
      </c>
      <c r="AA24" s="8">
        <f>IF(A24="","",IF(OR(U24&gt;0,AND(O24="Yes",X24&lt;2)),"Yes","No"))</f>
        <v>0</v>
      </c>
      <c r="AB24" s="8">
        <f>IF(OR(A24="",D24=""),"",S24*D24)</f>
        <v>0</v>
      </c>
      <c r="AC24" s="8">
        <f>IF(AB24="","",COUNTIFS($AB$5:$AB$304,"&gt;"&amp;AB24)+1)</f>
        <v>0</v>
      </c>
      <c r="AD24" s="8">
        <f>IF(A24="","",SUMIFS('Food Waste'!$E$5:$E$154,'Food Waste'!$C$5:$C$154,A24))</f>
        <v>0</v>
      </c>
      <c r="AE24" s="8">
        <f>IF(OR(A24="",AD24=0),"",COUNTIFS($AD$5:$AD$304,"&gt;"&amp;AD24)+1)</f>
        <v>0</v>
      </c>
      <c r="AF24" s="8">
        <f>IF(A24="","",IF(SUMPRODUCT(MAX(('Grocery Spending'!$E$5:$E$404=A24)*'Grocery Spending'!$A$5:$A$404))=0,"",SUMPRODUCT(MAX(('Grocery Spending'!$E$5:$E$404=A24)*'Grocery Spending'!$A$5:$A$404))))</f>
        <v>0</v>
      </c>
      <c r="AG24" s="8">
        <f>IF(OR(A24="",AF24=""),"",IFERROR(AVERAGEIFS('Grocery Spending'!$I$5:$I$404,'Grocery Spending'!$E$5:$E$404,A24,'Grocery Spending'!$A$5:$A$404,AF24),""))</f>
        <v>0</v>
      </c>
      <c r="AH24" s="8">
        <f>IF(A24="","",IFERROR(AVERAGEIFS('Grocery Spending'!$I$5:$I$404,'Grocery Spending'!$E$5:$E$404,A24),""))</f>
        <v>0</v>
      </c>
      <c r="AI24" s="8">
        <f>IF(A24="","",IF(SUMPRODUCT(MIN(('Grocery Spending'!$E$5:$E$404=A24)*'Grocery Spending'!$I$5:$I$404+('Grocery Spending'!$E$5:$E$404&lt;&gt;A24)*1000000))&gt;=1000000,"",SUMPRODUCT(MIN(('Grocery Spending'!$E$5:$E$404=A24)*'Grocery Spending'!$I$5:$I$404+('Grocery Spending'!$E$5:$E$404&lt;&gt;A24)*1000000))))</f>
        <v>0</v>
      </c>
      <c r="AJ24" s="8">
        <f>IF(A24="","",SUMPRODUCT(MAX(('Grocery Spending'!$E$5:$E$404=A24)*'Grocery Spending'!$I$5:$I$404)))</f>
        <v>0</v>
      </c>
      <c r="AK24" s="8">
        <f>IF(OR(A24="",AI24="",AJ24=0),"",AJ24-AI24)</f>
        <v>0</v>
      </c>
      <c r="AL24" s="8">
        <f>IF(OR(A24="",AG24="",AH24=""),"",AG24-AH24)</f>
        <v>0</v>
      </c>
      <c r="AM24" s="8">
        <f>IF(A24="","",IF(AL24="","",IF(AL24&gt;0.01,"Up",IF(AL24&lt;-0.01,"Down","Flat"))))</f>
        <v>0</v>
      </c>
      <c r="AN24" s="25"/>
    </row>
    <row r="25" spans="1:40">
      <c r="A25" s="7"/>
      <c r="B25" s="27"/>
      <c r="C25" s="27"/>
      <c r="D25" s="28"/>
      <c r="E25" s="27"/>
      <c r="F25" s="26"/>
      <c r="G25" s="8">
        <f>IF(OR(D25="",F25="",F25=0),"",D25/F25)</f>
        <v>0</v>
      </c>
      <c r="H25" s="26"/>
      <c r="I25" s="26"/>
      <c r="J25" s="26"/>
      <c r="K25" s="26"/>
      <c r="L25" s="26"/>
      <c r="M25" s="26"/>
      <c r="N25" s="27"/>
      <c r="O25" s="27"/>
      <c r="P25" s="27"/>
      <c r="Q25" s="27"/>
      <c r="R25" s="7"/>
      <c r="S25" s="8">
        <f>IF(A25="","",SUMIFS(Pantry!$C$5:$C$304,Pantry!$A$5:$A$304,A25))</f>
        <v>0</v>
      </c>
      <c r="T25" s="8">
        <f>IF(A25="","",COUNTIFS('Grocery List'!$A$5:$A$304,A25,'Grocery List'!$N$5:$N$304,"Yes"))</f>
        <v>0</v>
      </c>
      <c r="U25" s="8">
        <f>IF(A25="","",SUMIFS('Grocery List'!$M$5:$M$304,'Grocery List'!$A$5:$A$304,A25))</f>
        <v>0</v>
      </c>
      <c r="V25" s="8">
        <f>IF(A25="","",COUNTIFS('Recipe Ingredients'!$B$5:$B$1204,A25))</f>
        <v>0</v>
      </c>
      <c r="W25" s="8">
        <f>IF(A25="","",SUMIFS('Recipe Ingredients'!$C$5:$C$1204,'Recipe Ingredients'!$B$5:$B$1204,A25))</f>
        <v>0</v>
      </c>
      <c r="X25" s="8">
        <f>IF(A25="","",IF(U25&lt;=0,IF(S25&gt;0,99,0),ROUND(S25/U25,1)))</f>
        <v>0</v>
      </c>
      <c r="Y25" s="8">
        <f>IF(A25="","",U25*10+IF(O25="Yes",5,0)+IF(X25&lt;1,10,0)+IF(S25&lt;=0,3,0))</f>
        <v>0</v>
      </c>
      <c r="Z25" s="8">
        <f>IF(A25="","",COUNTIFS($Y$5:$Y$304,"&gt;"&amp;Y25)+1)</f>
        <v>0</v>
      </c>
      <c r="AA25" s="8">
        <f>IF(A25="","",IF(OR(U25&gt;0,AND(O25="Yes",X25&lt;2)),"Yes","No"))</f>
        <v>0</v>
      </c>
      <c r="AB25" s="8">
        <f>IF(OR(A25="",D25=""),"",S25*D25)</f>
        <v>0</v>
      </c>
      <c r="AC25" s="8">
        <f>IF(AB25="","",COUNTIFS($AB$5:$AB$304,"&gt;"&amp;AB25)+1)</f>
        <v>0</v>
      </c>
      <c r="AD25" s="8">
        <f>IF(A25="","",SUMIFS('Food Waste'!$E$5:$E$154,'Food Waste'!$C$5:$C$154,A25))</f>
        <v>0</v>
      </c>
      <c r="AE25" s="8">
        <f>IF(OR(A25="",AD25=0),"",COUNTIFS($AD$5:$AD$304,"&gt;"&amp;AD25)+1)</f>
        <v>0</v>
      </c>
      <c r="AF25" s="8">
        <f>IF(A25="","",IF(SUMPRODUCT(MAX(('Grocery Spending'!$E$5:$E$404=A25)*'Grocery Spending'!$A$5:$A$404))=0,"",SUMPRODUCT(MAX(('Grocery Spending'!$E$5:$E$404=A25)*'Grocery Spending'!$A$5:$A$404))))</f>
        <v>0</v>
      </c>
      <c r="AG25" s="8">
        <f>IF(OR(A25="",AF25=""),"",IFERROR(AVERAGEIFS('Grocery Spending'!$I$5:$I$404,'Grocery Spending'!$E$5:$E$404,A25,'Grocery Spending'!$A$5:$A$404,AF25),""))</f>
        <v>0</v>
      </c>
      <c r="AH25" s="8">
        <f>IF(A25="","",IFERROR(AVERAGEIFS('Grocery Spending'!$I$5:$I$404,'Grocery Spending'!$E$5:$E$404,A25),""))</f>
        <v>0</v>
      </c>
      <c r="AI25" s="8">
        <f>IF(A25="","",IF(SUMPRODUCT(MIN(('Grocery Spending'!$E$5:$E$404=A25)*'Grocery Spending'!$I$5:$I$404+('Grocery Spending'!$E$5:$E$404&lt;&gt;A25)*1000000))&gt;=1000000,"",SUMPRODUCT(MIN(('Grocery Spending'!$E$5:$E$404=A25)*'Grocery Spending'!$I$5:$I$404+('Grocery Spending'!$E$5:$E$404&lt;&gt;A25)*1000000))))</f>
        <v>0</v>
      </c>
      <c r="AJ25" s="8">
        <f>IF(A25="","",SUMPRODUCT(MAX(('Grocery Spending'!$E$5:$E$404=A25)*'Grocery Spending'!$I$5:$I$404)))</f>
        <v>0</v>
      </c>
      <c r="AK25" s="8">
        <f>IF(OR(A25="",AI25="",AJ25=0),"",AJ25-AI25)</f>
        <v>0</v>
      </c>
      <c r="AL25" s="8">
        <f>IF(OR(A25="",AG25="",AH25=""),"",AG25-AH25)</f>
        <v>0</v>
      </c>
      <c r="AM25" s="8">
        <f>IF(A25="","",IF(AL25="","",IF(AL25&gt;0.01,"Up",IF(AL25&lt;-0.01,"Down","Flat"))))</f>
        <v>0</v>
      </c>
      <c r="AN25" s="25"/>
    </row>
    <row r="26" spans="1:40">
      <c r="A26" s="7"/>
      <c r="B26" s="27"/>
      <c r="C26" s="27"/>
      <c r="D26" s="28"/>
      <c r="E26" s="27"/>
      <c r="F26" s="26"/>
      <c r="G26" s="8">
        <f>IF(OR(D26="",F26="",F26=0),"",D26/F26)</f>
        <v>0</v>
      </c>
      <c r="H26" s="26"/>
      <c r="I26" s="26"/>
      <c r="J26" s="26"/>
      <c r="K26" s="26"/>
      <c r="L26" s="26"/>
      <c r="M26" s="26"/>
      <c r="N26" s="27"/>
      <c r="O26" s="27"/>
      <c r="P26" s="27"/>
      <c r="Q26" s="27"/>
      <c r="R26" s="7"/>
      <c r="S26" s="8">
        <f>IF(A26="","",SUMIFS(Pantry!$C$5:$C$304,Pantry!$A$5:$A$304,A26))</f>
        <v>0</v>
      </c>
      <c r="T26" s="8">
        <f>IF(A26="","",COUNTIFS('Grocery List'!$A$5:$A$304,A26,'Grocery List'!$N$5:$N$304,"Yes"))</f>
        <v>0</v>
      </c>
      <c r="U26" s="8">
        <f>IF(A26="","",SUMIFS('Grocery List'!$M$5:$M$304,'Grocery List'!$A$5:$A$304,A26))</f>
        <v>0</v>
      </c>
      <c r="V26" s="8">
        <f>IF(A26="","",COUNTIFS('Recipe Ingredients'!$B$5:$B$1204,A26))</f>
        <v>0</v>
      </c>
      <c r="W26" s="8">
        <f>IF(A26="","",SUMIFS('Recipe Ingredients'!$C$5:$C$1204,'Recipe Ingredients'!$B$5:$B$1204,A26))</f>
        <v>0</v>
      </c>
      <c r="X26" s="8">
        <f>IF(A26="","",IF(U26&lt;=0,IF(S26&gt;0,99,0),ROUND(S26/U26,1)))</f>
        <v>0</v>
      </c>
      <c r="Y26" s="8">
        <f>IF(A26="","",U26*10+IF(O26="Yes",5,0)+IF(X26&lt;1,10,0)+IF(S26&lt;=0,3,0))</f>
        <v>0</v>
      </c>
      <c r="Z26" s="8">
        <f>IF(A26="","",COUNTIFS($Y$5:$Y$304,"&gt;"&amp;Y26)+1)</f>
        <v>0</v>
      </c>
      <c r="AA26" s="8">
        <f>IF(A26="","",IF(OR(U26&gt;0,AND(O26="Yes",X26&lt;2)),"Yes","No"))</f>
        <v>0</v>
      </c>
      <c r="AB26" s="8">
        <f>IF(OR(A26="",D26=""),"",S26*D26)</f>
        <v>0</v>
      </c>
      <c r="AC26" s="8">
        <f>IF(AB26="","",COUNTIFS($AB$5:$AB$304,"&gt;"&amp;AB26)+1)</f>
        <v>0</v>
      </c>
      <c r="AD26" s="8">
        <f>IF(A26="","",SUMIFS('Food Waste'!$E$5:$E$154,'Food Waste'!$C$5:$C$154,A26))</f>
        <v>0</v>
      </c>
      <c r="AE26" s="8">
        <f>IF(OR(A26="",AD26=0),"",COUNTIFS($AD$5:$AD$304,"&gt;"&amp;AD26)+1)</f>
        <v>0</v>
      </c>
      <c r="AF26" s="8">
        <f>IF(A26="","",IF(SUMPRODUCT(MAX(('Grocery Spending'!$E$5:$E$404=A26)*'Grocery Spending'!$A$5:$A$404))=0,"",SUMPRODUCT(MAX(('Grocery Spending'!$E$5:$E$404=A26)*'Grocery Spending'!$A$5:$A$404))))</f>
        <v>0</v>
      </c>
      <c r="AG26" s="8">
        <f>IF(OR(A26="",AF26=""),"",IFERROR(AVERAGEIFS('Grocery Spending'!$I$5:$I$404,'Grocery Spending'!$E$5:$E$404,A26,'Grocery Spending'!$A$5:$A$404,AF26),""))</f>
        <v>0</v>
      </c>
      <c r="AH26" s="8">
        <f>IF(A26="","",IFERROR(AVERAGEIFS('Grocery Spending'!$I$5:$I$404,'Grocery Spending'!$E$5:$E$404,A26),""))</f>
        <v>0</v>
      </c>
      <c r="AI26" s="8">
        <f>IF(A26="","",IF(SUMPRODUCT(MIN(('Grocery Spending'!$E$5:$E$404=A26)*'Grocery Spending'!$I$5:$I$404+('Grocery Spending'!$E$5:$E$404&lt;&gt;A26)*1000000))&gt;=1000000,"",SUMPRODUCT(MIN(('Grocery Spending'!$E$5:$E$404=A26)*'Grocery Spending'!$I$5:$I$404+('Grocery Spending'!$E$5:$E$404&lt;&gt;A26)*1000000))))</f>
        <v>0</v>
      </c>
      <c r="AJ26" s="8">
        <f>IF(A26="","",SUMPRODUCT(MAX(('Grocery Spending'!$E$5:$E$404=A26)*'Grocery Spending'!$I$5:$I$404)))</f>
        <v>0</v>
      </c>
      <c r="AK26" s="8">
        <f>IF(OR(A26="",AI26="",AJ26=0),"",AJ26-AI26)</f>
        <v>0</v>
      </c>
      <c r="AL26" s="8">
        <f>IF(OR(A26="",AG26="",AH26=""),"",AG26-AH26)</f>
        <v>0</v>
      </c>
      <c r="AM26" s="8">
        <f>IF(A26="","",IF(AL26="","",IF(AL26&gt;0.01,"Up",IF(AL26&lt;-0.01,"Down","Flat"))))</f>
        <v>0</v>
      </c>
      <c r="AN26" s="25"/>
    </row>
    <row r="27" spans="1:40">
      <c r="A27" s="7"/>
      <c r="B27" s="27"/>
      <c r="C27" s="27"/>
      <c r="D27" s="28"/>
      <c r="E27" s="27"/>
      <c r="F27" s="26"/>
      <c r="G27" s="8">
        <f>IF(OR(D27="",F27="",F27=0),"",D27/F27)</f>
        <v>0</v>
      </c>
      <c r="H27" s="26"/>
      <c r="I27" s="26"/>
      <c r="J27" s="26"/>
      <c r="K27" s="26"/>
      <c r="L27" s="26"/>
      <c r="M27" s="26"/>
      <c r="N27" s="27"/>
      <c r="O27" s="27"/>
      <c r="P27" s="27"/>
      <c r="Q27" s="27"/>
      <c r="R27" s="7"/>
      <c r="S27" s="8">
        <f>IF(A27="","",SUMIFS(Pantry!$C$5:$C$304,Pantry!$A$5:$A$304,A27))</f>
        <v>0</v>
      </c>
      <c r="T27" s="8">
        <f>IF(A27="","",COUNTIFS('Grocery List'!$A$5:$A$304,A27,'Grocery List'!$N$5:$N$304,"Yes"))</f>
        <v>0</v>
      </c>
      <c r="U27" s="8">
        <f>IF(A27="","",SUMIFS('Grocery List'!$M$5:$M$304,'Grocery List'!$A$5:$A$304,A27))</f>
        <v>0</v>
      </c>
      <c r="V27" s="8">
        <f>IF(A27="","",COUNTIFS('Recipe Ingredients'!$B$5:$B$1204,A27))</f>
        <v>0</v>
      </c>
      <c r="W27" s="8">
        <f>IF(A27="","",SUMIFS('Recipe Ingredients'!$C$5:$C$1204,'Recipe Ingredients'!$B$5:$B$1204,A27))</f>
        <v>0</v>
      </c>
      <c r="X27" s="8">
        <f>IF(A27="","",IF(U27&lt;=0,IF(S27&gt;0,99,0),ROUND(S27/U27,1)))</f>
        <v>0</v>
      </c>
      <c r="Y27" s="8">
        <f>IF(A27="","",U27*10+IF(O27="Yes",5,0)+IF(X27&lt;1,10,0)+IF(S27&lt;=0,3,0))</f>
        <v>0</v>
      </c>
      <c r="Z27" s="8">
        <f>IF(A27="","",COUNTIFS($Y$5:$Y$304,"&gt;"&amp;Y27)+1)</f>
        <v>0</v>
      </c>
      <c r="AA27" s="8">
        <f>IF(A27="","",IF(OR(U27&gt;0,AND(O27="Yes",X27&lt;2)),"Yes","No"))</f>
        <v>0</v>
      </c>
      <c r="AB27" s="8">
        <f>IF(OR(A27="",D27=""),"",S27*D27)</f>
        <v>0</v>
      </c>
      <c r="AC27" s="8">
        <f>IF(AB27="","",COUNTIFS($AB$5:$AB$304,"&gt;"&amp;AB27)+1)</f>
        <v>0</v>
      </c>
      <c r="AD27" s="8">
        <f>IF(A27="","",SUMIFS('Food Waste'!$E$5:$E$154,'Food Waste'!$C$5:$C$154,A27))</f>
        <v>0</v>
      </c>
      <c r="AE27" s="8">
        <f>IF(OR(A27="",AD27=0),"",COUNTIFS($AD$5:$AD$304,"&gt;"&amp;AD27)+1)</f>
        <v>0</v>
      </c>
      <c r="AF27" s="8">
        <f>IF(A27="","",IF(SUMPRODUCT(MAX(('Grocery Spending'!$E$5:$E$404=A27)*'Grocery Spending'!$A$5:$A$404))=0,"",SUMPRODUCT(MAX(('Grocery Spending'!$E$5:$E$404=A27)*'Grocery Spending'!$A$5:$A$404))))</f>
        <v>0</v>
      </c>
      <c r="AG27" s="8">
        <f>IF(OR(A27="",AF27=""),"",IFERROR(AVERAGEIFS('Grocery Spending'!$I$5:$I$404,'Grocery Spending'!$E$5:$E$404,A27,'Grocery Spending'!$A$5:$A$404,AF27),""))</f>
        <v>0</v>
      </c>
      <c r="AH27" s="8">
        <f>IF(A27="","",IFERROR(AVERAGEIFS('Grocery Spending'!$I$5:$I$404,'Grocery Spending'!$E$5:$E$404,A27),""))</f>
        <v>0</v>
      </c>
      <c r="AI27" s="8">
        <f>IF(A27="","",IF(SUMPRODUCT(MIN(('Grocery Spending'!$E$5:$E$404=A27)*'Grocery Spending'!$I$5:$I$404+('Grocery Spending'!$E$5:$E$404&lt;&gt;A27)*1000000))&gt;=1000000,"",SUMPRODUCT(MIN(('Grocery Spending'!$E$5:$E$404=A27)*'Grocery Spending'!$I$5:$I$404+('Grocery Spending'!$E$5:$E$404&lt;&gt;A27)*1000000))))</f>
        <v>0</v>
      </c>
      <c r="AJ27" s="8">
        <f>IF(A27="","",SUMPRODUCT(MAX(('Grocery Spending'!$E$5:$E$404=A27)*'Grocery Spending'!$I$5:$I$404)))</f>
        <v>0</v>
      </c>
      <c r="AK27" s="8">
        <f>IF(OR(A27="",AI27="",AJ27=0),"",AJ27-AI27)</f>
        <v>0</v>
      </c>
      <c r="AL27" s="8">
        <f>IF(OR(A27="",AG27="",AH27=""),"",AG27-AH27)</f>
        <v>0</v>
      </c>
      <c r="AM27" s="8">
        <f>IF(A27="","",IF(AL27="","",IF(AL27&gt;0.01,"Up",IF(AL27&lt;-0.01,"Down","Flat"))))</f>
        <v>0</v>
      </c>
      <c r="AN27" s="25"/>
    </row>
    <row r="28" spans="1:40">
      <c r="A28" s="7"/>
      <c r="B28" s="27"/>
      <c r="C28" s="27"/>
      <c r="D28" s="28"/>
      <c r="E28" s="27"/>
      <c r="F28" s="26"/>
      <c r="G28" s="8">
        <f>IF(OR(D28="",F28="",F28=0),"",D28/F28)</f>
        <v>0</v>
      </c>
      <c r="H28" s="26"/>
      <c r="I28" s="26"/>
      <c r="J28" s="26"/>
      <c r="K28" s="26"/>
      <c r="L28" s="26"/>
      <c r="M28" s="26"/>
      <c r="N28" s="27"/>
      <c r="O28" s="27"/>
      <c r="P28" s="27"/>
      <c r="Q28" s="27"/>
      <c r="R28" s="7"/>
      <c r="S28" s="8">
        <f>IF(A28="","",SUMIFS(Pantry!$C$5:$C$304,Pantry!$A$5:$A$304,A28))</f>
        <v>0</v>
      </c>
      <c r="T28" s="8">
        <f>IF(A28="","",COUNTIFS('Grocery List'!$A$5:$A$304,A28,'Grocery List'!$N$5:$N$304,"Yes"))</f>
        <v>0</v>
      </c>
      <c r="U28" s="8">
        <f>IF(A28="","",SUMIFS('Grocery List'!$M$5:$M$304,'Grocery List'!$A$5:$A$304,A28))</f>
        <v>0</v>
      </c>
      <c r="V28" s="8">
        <f>IF(A28="","",COUNTIFS('Recipe Ingredients'!$B$5:$B$1204,A28))</f>
        <v>0</v>
      </c>
      <c r="W28" s="8">
        <f>IF(A28="","",SUMIFS('Recipe Ingredients'!$C$5:$C$1204,'Recipe Ingredients'!$B$5:$B$1204,A28))</f>
        <v>0</v>
      </c>
      <c r="X28" s="8">
        <f>IF(A28="","",IF(U28&lt;=0,IF(S28&gt;0,99,0),ROUND(S28/U28,1)))</f>
        <v>0</v>
      </c>
      <c r="Y28" s="8">
        <f>IF(A28="","",U28*10+IF(O28="Yes",5,0)+IF(X28&lt;1,10,0)+IF(S28&lt;=0,3,0))</f>
        <v>0</v>
      </c>
      <c r="Z28" s="8">
        <f>IF(A28="","",COUNTIFS($Y$5:$Y$304,"&gt;"&amp;Y28)+1)</f>
        <v>0</v>
      </c>
      <c r="AA28" s="8">
        <f>IF(A28="","",IF(OR(U28&gt;0,AND(O28="Yes",X28&lt;2)),"Yes","No"))</f>
        <v>0</v>
      </c>
      <c r="AB28" s="8">
        <f>IF(OR(A28="",D28=""),"",S28*D28)</f>
        <v>0</v>
      </c>
      <c r="AC28" s="8">
        <f>IF(AB28="","",COUNTIFS($AB$5:$AB$304,"&gt;"&amp;AB28)+1)</f>
        <v>0</v>
      </c>
      <c r="AD28" s="8">
        <f>IF(A28="","",SUMIFS('Food Waste'!$E$5:$E$154,'Food Waste'!$C$5:$C$154,A28))</f>
        <v>0</v>
      </c>
      <c r="AE28" s="8">
        <f>IF(OR(A28="",AD28=0),"",COUNTIFS($AD$5:$AD$304,"&gt;"&amp;AD28)+1)</f>
        <v>0</v>
      </c>
      <c r="AF28" s="8">
        <f>IF(A28="","",IF(SUMPRODUCT(MAX(('Grocery Spending'!$E$5:$E$404=A28)*'Grocery Spending'!$A$5:$A$404))=0,"",SUMPRODUCT(MAX(('Grocery Spending'!$E$5:$E$404=A28)*'Grocery Spending'!$A$5:$A$404))))</f>
        <v>0</v>
      </c>
      <c r="AG28" s="8">
        <f>IF(OR(A28="",AF28=""),"",IFERROR(AVERAGEIFS('Grocery Spending'!$I$5:$I$404,'Grocery Spending'!$E$5:$E$404,A28,'Grocery Spending'!$A$5:$A$404,AF28),""))</f>
        <v>0</v>
      </c>
      <c r="AH28" s="8">
        <f>IF(A28="","",IFERROR(AVERAGEIFS('Grocery Spending'!$I$5:$I$404,'Grocery Spending'!$E$5:$E$404,A28),""))</f>
        <v>0</v>
      </c>
      <c r="AI28" s="8">
        <f>IF(A28="","",IF(SUMPRODUCT(MIN(('Grocery Spending'!$E$5:$E$404=A28)*'Grocery Spending'!$I$5:$I$404+('Grocery Spending'!$E$5:$E$404&lt;&gt;A28)*1000000))&gt;=1000000,"",SUMPRODUCT(MIN(('Grocery Spending'!$E$5:$E$404=A28)*'Grocery Spending'!$I$5:$I$404+('Grocery Spending'!$E$5:$E$404&lt;&gt;A28)*1000000))))</f>
        <v>0</v>
      </c>
      <c r="AJ28" s="8">
        <f>IF(A28="","",SUMPRODUCT(MAX(('Grocery Spending'!$E$5:$E$404=A28)*'Grocery Spending'!$I$5:$I$404)))</f>
        <v>0</v>
      </c>
      <c r="AK28" s="8">
        <f>IF(OR(A28="",AI28="",AJ28=0),"",AJ28-AI28)</f>
        <v>0</v>
      </c>
      <c r="AL28" s="8">
        <f>IF(OR(A28="",AG28="",AH28=""),"",AG28-AH28)</f>
        <v>0</v>
      </c>
      <c r="AM28" s="8">
        <f>IF(A28="","",IF(AL28="","",IF(AL28&gt;0.01,"Up",IF(AL28&lt;-0.01,"Down","Flat"))))</f>
        <v>0</v>
      </c>
      <c r="AN28" s="25"/>
    </row>
    <row r="29" spans="1:40">
      <c r="A29" s="7"/>
      <c r="B29" s="27"/>
      <c r="C29" s="27"/>
      <c r="D29" s="28"/>
      <c r="E29" s="27"/>
      <c r="F29" s="26"/>
      <c r="G29" s="8">
        <f>IF(OR(D29="",F29="",F29=0),"",D29/F29)</f>
        <v>0</v>
      </c>
      <c r="H29" s="26"/>
      <c r="I29" s="26"/>
      <c r="J29" s="26"/>
      <c r="K29" s="26"/>
      <c r="L29" s="26"/>
      <c r="M29" s="26"/>
      <c r="N29" s="27"/>
      <c r="O29" s="27"/>
      <c r="P29" s="27"/>
      <c r="Q29" s="27"/>
      <c r="R29" s="7"/>
      <c r="S29" s="8">
        <f>IF(A29="","",SUMIFS(Pantry!$C$5:$C$304,Pantry!$A$5:$A$304,A29))</f>
        <v>0</v>
      </c>
      <c r="T29" s="8">
        <f>IF(A29="","",COUNTIFS('Grocery List'!$A$5:$A$304,A29,'Grocery List'!$N$5:$N$304,"Yes"))</f>
        <v>0</v>
      </c>
      <c r="U29" s="8">
        <f>IF(A29="","",SUMIFS('Grocery List'!$M$5:$M$304,'Grocery List'!$A$5:$A$304,A29))</f>
        <v>0</v>
      </c>
      <c r="V29" s="8">
        <f>IF(A29="","",COUNTIFS('Recipe Ingredients'!$B$5:$B$1204,A29))</f>
        <v>0</v>
      </c>
      <c r="W29" s="8">
        <f>IF(A29="","",SUMIFS('Recipe Ingredients'!$C$5:$C$1204,'Recipe Ingredients'!$B$5:$B$1204,A29))</f>
        <v>0</v>
      </c>
      <c r="X29" s="8">
        <f>IF(A29="","",IF(U29&lt;=0,IF(S29&gt;0,99,0),ROUND(S29/U29,1)))</f>
        <v>0</v>
      </c>
      <c r="Y29" s="8">
        <f>IF(A29="","",U29*10+IF(O29="Yes",5,0)+IF(X29&lt;1,10,0)+IF(S29&lt;=0,3,0))</f>
        <v>0</v>
      </c>
      <c r="Z29" s="8">
        <f>IF(A29="","",COUNTIFS($Y$5:$Y$304,"&gt;"&amp;Y29)+1)</f>
        <v>0</v>
      </c>
      <c r="AA29" s="8">
        <f>IF(A29="","",IF(OR(U29&gt;0,AND(O29="Yes",X29&lt;2)),"Yes","No"))</f>
        <v>0</v>
      </c>
      <c r="AB29" s="8">
        <f>IF(OR(A29="",D29=""),"",S29*D29)</f>
        <v>0</v>
      </c>
      <c r="AC29" s="8">
        <f>IF(AB29="","",COUNTIFS($AB$5:$AB$304,"&gt;"&amp;AB29)+1)</f>
        <v>0</v>
      </c>
      <c r="AD29" s="8">
        <f>IF(A29="","",SUMIFS('Food Waste'!$E$5:$E$154,'Food Waste'!$C$5:$C$154,A29))</f>
        <v>0</v>
      </c>
      <c r="AE29" s="8">
        <f>IF(OR(A29="",AD29=0),"",COUNTIFS($AD$5:$AD$304,"&gt;"&amp;AD29)+1)</f>
        <v>0</v>
      </c>
      <c r="AF29" s="8">
        <f>IF(A29="","",IF(SUMPRODUCT(MAX(('Grocery Spending'!$E$5:$E$404=A29)*'Grocery Spending'!$A$5:$A$404))=0,"",SUMPRODUCT(MAX(('Grocery Spending'!$E$5:$E$404=A29)*'Grocery Spending'!$A$5:$A$404))))</f>
        <v>0</v>
      </c>
      <c r="AG29" s="8">
        <f>IF(OR(A29="",AF29=""),"",IFERROR(AVERAGEIFS('Grocery Spending'!$I$5:$I$404,'Grocery Spending'!$E$5:$E$404,A29,'Grocery Spending'!$A$5:$A$404,AF29),""))</f>
        <v>0</v>
      </c>
      <c r="AH29" s="8">
        <f>IF(A29="","",IFERROR(AVERAGEIFS('Grocery Spending'!$I$5:$I$404,'Grocery Spending'!$E$5:$E$404,A29),""))</f>
        <v>0</v>
      </c>
      <c r="AI29" s="8">
        <f>IF(A29="","",IF(SUMPRODUCT(MIN(('Grocery Spending'!$E$5:$E$404=A29)*'Grocery Spending'!$I$5:$I$404+('Grocery Spending'!$E$5:$E$404&lt;&gt;A29)*1000000))&gt;=1000000,"",SUMPRODUCT(MIN(('Grocery Spending'!$E$5:$E$404=A29)*'Grocery Spending'!$I$5:$I$404+('Grocery Spending'!$E$5:$E$404&lt;&gt;A29)*1000000))))</f>
        <v>0</v>
      </c>
      <c r="AJ29" s="8">
        <f>IF(A29="","",SUMPRODUCT(MAX(('Grocery Spending'!$E$5:$E$404=A29)*'Grocery Spending'!$I$5:$I$404)))</f>
        <v>0</v>
      </c>
      <c r="AK29" s="8">
        <f>IF(OR(A29="",AI29="",AJ29=0),"",AJ29-AI29)</f>
        <v>0</v>
      </c>
      <c r="AL29" s="8">
        <f>IF(OR(A29="",AG29="",AH29=""),"",AG29-AH29)</f>
        <v>0</v>
      </c>
      <c r="AM29" s="8">
        <f>IF(A29="","",IF(AL29="","",IF(AL29&gt;0.01,"Up",IF(AL29&lt;-0.01,"Down","Flat"))))</f>
        <v>0</v>
      </c>
      <c r="AN29" s="25"/>
    </row>
    <row r="30" spans="1:40">
      <c r="A30" s="7"/>
      <c r="B30" s="27"/>
      <c r="C30" s="27"/>
      <c r="D30" s="28"/>
      <c r="E30" s="27"/>
      <c r="F30" s="26"/>
      <c r="G30" s="8">
        <f>IF(OR(D30="",F30="",F30=0),"",D30/F30)</f>
        <v>0</v>
      </c>
      <c r="H30" s="26"/>
      <c r="I30" s="26"/>
      <c r="J30" s="26"/>
      <c r="K30" s="26"/>
      <c r="L30" s="26"/>
      <c r="M30" s="26"/>
      <c r="N30" s="27"/>
      <c r="O30" s="27"/>
      <c r="P30" s="27"/>
      <c r="Q30" s="27"/>
      <c r="R30" s="7"/>
      <c r="S30" s="8">
        <f>IF(A30="","",SUMIFS(Pantry!$C$5:$C$304,Pantry!$A$5:$A$304,A30))</f>
        <v>0</v>
      </c>
      <c r="T30" s="8">
        <f>IF(A30="","",COUNTIFS('Grocery List'!$A$5:$A$304,A30,'Grocery List'!$N$5:$N$304,"Yes"))</f>
        <v>0</v>
      </c>
      <c r="U30" s="8">
        <f>IF(A30="","",SUMIFS('Grocery List'!$M$5:$M$304,'Grocery List'!$A$5:$A$304,A30))</f>
        <v>0</v>
      </c>
      <c r="V30" s="8">
        <f>IF(A30="","",COUNTIFS('Recipe Ingredients'!$B$5:$B$1204,A30))</f>
        <v>0</v>
      </c>
      <c r="W30" s="8">
        <f>IF(A30="","",SUMIFS('Recipe Ingredients'!$C$5:$C$1204,'Recipe Ingredients'!$B$5:$B$1204,A30))</f>
        <v>0</v>
      </c>
      <c r="X30" s="8">
        <f>IF(A30="","",IF(U30&lt;=0,IF(S30&gt;0,99,0),ROUND(S30/U30,1)))</f>
        <v>0</v>
      </c>
      <c r="Y30" s="8">
        <f>IF(A30="","",U30*10+IF(O30="Yes",5,0)+IF(X30&lt;1,10,0)+IF(S30&lt;=0,3,0))</f>
        <v>0</v>
      </c>
      <c r="Z30" s="8">
        <f>IF(A30="","",COUNTIFS($Y$5:$Y$304,"&gt;"&amp;Y30)+1)</f>
        <v>0</v>
      </c>
      <c r="AA30" s="8">
        <f>IF(A30="","",IF(OR(U30&gt;0,AND(O30="Yes",X30&lt;2)),"Yes","No"))</f>
        <v>0</v>
      </c>
      <c r="AB30" s="8">
        <f>IF(OR(A30="",D30=""),"",S30*D30)</f>
        <v>0</v>
      </c>
      <c r="AC30" s="8">
        <f>IF(AB30="","",COUNTIFS($AB$5:$AB$304,"&gt;"&amp;AB30)+1)</f>
        <v>0</v>
      </c>
      <c r="AD30" s="8">
        <f>IF(A30="","",SUMIFS('Food Waste'!$E$5:$E$154,'Food Waste'!$C$5:$C$154,A30))</f>
        <v>0</v>
      </c>
      <c r="AE30" s="8">
        <f>IF(OR(A30="",AD30=0),"",COUNTIFS($AD$5:$AD$304,"&gt;"&amp;AD30)+1)</f>
        <v>0</v>
      </c>
      <c r="AF30" s="8">
        <f>IF(A30="","",IF(SUMPRODUCT(MAX(('Grocery Spending'!$E$5:$E$404=A30)*'Grocery Spending'!$A$5:$A$404))=0,"",SUMPRODUCT(MAX(('Grocery Spending'!$E$5:$E$404=A30)*'Grocery Spending'!$A$5:$A$404))))</f>
        <v>0</v>
      </c>
      <c r="AG30" s="8">
        <f>IF(OR(A30="",AF30=""),"",IFERROR(AVERAGEIFS('Grocery Spending'!$I$5:$I$404,'Grocery Spending'!$E$5:$E$404,A30,'Grocery Spending'!$A$5:$A$404,AF30),""))</f>
        <v>0</v>
      </c>
      <c r="AH30" s="8">
        <f>IF(A30="","",IFERROR(AVERAGEIFS('Grocery Spending'!$I$5:$I$404,'Grocery Spending'!$E$5:$E$404,A30),""))</f>
        <v>0</v>
      </c>
      <c r="AI30" s="8">
        <f>IF(A30="","",IF(SUMPRODUCT(MIN(('Grocery Spending'!$E$5:$E$404=A30)*'Grocery Spending'!$I$5:$I$404+('Grocery Spending'!$E$5:$E$404&lt;&gt;A30)*1000000))&gt;=1000000,"",SUMPRODUCT(MIN(('Grocery Spending'!$E$5:$E$404=A30)*'Grocery Spending'!$I$5:$I$404+('Grocery Spending'!$E$5:$E$404&lt;&gt;A30)*1000000))))</f>
        <v>0</v>
      </c>
      <c r="AJ30" s="8">
        <f>IF(A30="","",SUMPRODUCT(MAX(('Grocery Spending'!$E$5:$E$404=A30)*'Grocery Spending'!$I$5:$I$404)))</f>
        <v>0</v>
      </c>
      <c r="AK30" s="8">
        <f>IF(OR(A30="",AI30="",AJ30=0),"",AJ30-AI30)</f>
        <v>0</v>
      </c>
      <c r="AL30" s="8">
        <f>IF(OR(A30="",AG30="",AH30=""),"",AG30-AH30)</f>
        <v>0</v>
      </c>
      <c r="AM30" s="8">
        <f>IF(A30="","",IF(AL30="","",IF(AL30&gt;0.01,"Up",IF(AL30&lt;-0.01,"Down","Flat"))))</f>
        <v>0</v>
      </c>
      <c r="AN30" s="25"/>
    </row>
    <row r="31" spans="1:40">
      <c r="A31" s="7"/>
      <c r="B31" s="27"/>
      <c r="C31" s="27"/>
      <c r="D31" s="28"/>
      <c r="E31" s="27"/>
      <c r="F31" s="26"/>
      <c r="G31" s="8">
        <f>IF(OR(D31="",F31="",F31=0),"",D31/F31)</f>
        <v>0</v>
      </c>
      <c r="H31" s="26"/>
      <c r="I31" s="26"/>
      <c r="J31" s="26"/>
      <c r="K31" s="26"/>
      <c r="L31" s="26"/>
      <c r="M31" s="26"/>
      <c r="N31" s="27"/>
      <c r="O31" s="27"/>
      <c r="P31" s="27"/>
      <c r="Q31" s="27"/>
      <c r="R31" s="7"/>
      <c r="S31" s="8">
        <f>IF(A31="","",SUMIFS(Pantry!$C$5:$C$304,Pantry!$A$5:$A$304,A31))</f>
        <v>0</v>
      </c>
      <c r="T31" s="8">
        <f>IF(A31="","",COUNTIFS('Grocery List'!$A$5:$A$304,A31,'Grocery List'!$N$5:$N$304,"Yes"))</f>
        <v>0</v>
      </c>
      <c r="U31" s="8">
        <f>IF(A31="","",SUMIFS('Grocery List'!$M$5:$M$304,'Grocery List'!$A$5:$A$304,A31))</f>
        <v>0</v>
      </c>
      <c r="V31" s="8">
        <f>IF(A31="","",COUNTIFS('Recipe Ingredients'!$B$5:$B$1204,A31))</f>
        <v>0</v>
      </c>
      <c r="W31" s="8">
        <f>IF(A31="","",SUMIFS('Recipe Ingredients'!$C$5:$C$1204,'Recipe Ingredients'!$B$5:$B$1204,A31))</f>
        <v>0</v>
      </c>
      <c r="X31" s="8">
        <f>IF(A31="","",IF(U31&lt;=0,IF(S31&gt;0,99,0),ROUND(S31/U31,1)))</f>
        <v>0</v>
      </c>
      <c r="Y31" s="8">
        <f>IF(A31="","",U31*10+IF(O31="Yes",5,0)+IF(X31&lt;1,10,0)+IF(S31&lt;=0,3,0))</f>
        <v>0</v>
      </c>
      <c r="Z31" s="8">
        <f>IF(A31="","",COUNTIFS($Y$5:$Y$304,"&gt;"&amp;Y31)+1)</f>
        <v>0</v>
      </c>
      <c r="AA31" s="8">
        <f>IF(A31="","",IF(OR(U31&gt;0,AND(O31="Yes",X31&lt;2)),"Yes","No"))</f>
        <v>0</v>
      </c>
      <c r="AB31" s="8">
        <f>IF(OR(A31="",D31=""),"",S31*D31)</f>
        <v>0</v>
      </c>
      <c r="AC31" s="8">
        <f>IF(AB31="","",COUNTIFS($AB$5:$AB$304,"&gt;"&amp;AB31)+1)</f>
        <v>0</v>
      </c>
      <c r="AD31" s="8">
        <f>IF(A31="","",SUMIFS('Food Waste'!$E$5:$E$154,'Food Waste'!$C$5:$C$154,A31))</f>
        <v>0</v>
      </c>
      <c r="AE31" s="8">
        <f>IF(OR(A31="",AD31=0),"",COUNTIFS($AD$5:$AD$304,"&gt;"&amp;AD31)+1)</f>
        <v>0</v>
      </c>
      <c r="AF31" s="8">
        <f>IF(A31="","",IF(SUMPRODUCT(MAX(('Grocery Spending'!$E$5:$E$404=A31)*'Grocery Spending'!$A$5:$A$404))=0,"",SUMPRODUCT(MAX(('Grocery Spending'!$E$5:$E$404=A31)*'Grocery Spending'!$A$5:$A$404))))</f>
        <v>0</v>
      </c>
      <c r="AG31" s="8">
        <f>IF(OR(A31="",AF31=""),"",IFERROR(AVERAGEIFS('Grocery Spending'!$I$5:$I$404,'Grocery Spending'!$E$5:$E$404,A31,'Grocery Spending'!$A$5:$A$404,AF31),""))</f>
        <v>0</v>
      </c>
      <c r="AH31" s="8">
        <f>IF(A31="","",IFERROR(AVERAGEIFS('Grocery Spending'!$I$5:$I$404,'Grocery Spending'!$E$5:$E$404,A31),""))</f>
        <v>0</v>
      </c>
      <c r="AI31" s="8">
        <f>IF(A31="","",IF(SUMPRODUCT(MIN(('Grocery Spending'!$E$5:$E$404=A31)*'Grocery Spending'!$I$5:$I$404+('Grocery Spending'!$E$5:$E$404&lt;&gt;A31)*1000000))&gt;=1000000,"",SUMPRODUCT(MIN(('Grocery Spending'!$E$5:$E$404=A31)*'Grocery Spending'!$I$5:$I$404+('Grocery Spending'!$E$5:$E$404&lt;&gt;A31)*1000000))))</f>
        <v>0</v>
      </c>
      <c r="AJ31" s="8">
        <f>IF(A31="","",SUMPRODUCT(MAX(('Grocery Spending'!$E$5:$E$404=A31)*'Grocery Spending'!$I$5:$I$404)))</f>
        <v>0</v>
      </c>
      <c r="AK31" s="8">
        <f>IF(OR(A31="",AI31="",AJ31=0),"",AJ31-AI31)</f>
        <v>0</v>
      </c>
      <c r="AL31" s="8">
        <f>IF(OR(A31="",AG31="",AH31=""),"",AG31-AH31)</f>
        <v>0</v>
      </c>
      <c r="AM31" s="8">
        <f>IF(A31="","",IF(AL31="","",IF(AL31&gt;0.01,"Up",IF(AL31&lt;-0.01,"Down","Flat"))))</f>
        <v>0</v>
      </c>
      <c r="AN31" s="25"/>
    </row>
    <row r="32" spans="1:40">
      <c r="A32" s="7"/>
      <c r="B32" s="27"/>
      <c r="C32" s="27"/>
      <c r="D32" s="28"/>
      <c r="E32" s="27"/>
      <c r="F32" s="26"/>
      <c r="G32" s="8">
        <f>IF(OR(D32="",F32="",F32=0),"",D32/F32)</f>
        <v>0</v>
      </c>
      <c r="H32" s="26"/>
      <c r="I32" s="26"/>
      <c r="J32" s="26"/>
      <c r="K32" s="26"/>
      <c r="L32" s="26"/>
      <c r="M32" s="26"/>
      <c r="N32" s="27"/>
      <c r="O32" s="27"/>
      <c r="P32" s="27"/>
      <c r="Q32" s="27"/>
      <c r="R32" s="7"/>
      <c r="S32" s="8">
        <f>IF(A32="","",SUMIFS(Pantry!$C$5:$C$304,Pantry!$A$5:$A$304,A32))</f>
        <v>0</v>
      </c>
      <c r="T32" s="8">
        <f>IF(A32="","",COUNTIFS('Grocery List'!$A$5:$A$304,A32,'Grocery List'!$N$5:$N$304,"Yes"))</f>
        <v>0</v>
      </c>
      <c r="U32" s="8">
        <f>IF(A32="","",SUMIFS('Grocery List'!$M$5:$M$304,'Grocery List'!$A$5:$A$304,A32))</f>
        <v>0</v>
      </c>
      <c r="V32" s="8">
        <f>IF(A32="","",COUNTIFS('Recipe Ingredients'!$B$5:$B$1204,A32))</f>
        <v>0</v>
      </c>
      <c r="W32" s="8">
        <f>IF(A32="","",SUMIFS('Recipe Ingredients'!$C$5:$C$1204,'Recipe Ingredients'!$B$5:$B$1204,A32))</f>
        <v>0</v>
      </c>
      <c r="X32" s="8">
        <f>IF(A32="","",IF(U32&lt;=0,IF(S32&gt;0,99,0),ROUND(S32/U32,1)))</f>
        <v>0</v>
      </c>
      <c r="Y32" s="8">
        <f>IF(A32="","",U32*10+IF(O32="Yes",5,0)+IF(X32&lt;1,10,0)+IF(S32&lt;=0,3,0))</f>
        <v>0</v>
      </c>
      <c r="Z32" s="8">
        <f>IF(A32="","",COUNTIFS($Y$5:$Y$304,"&gt;"&amp;Y32)+1)</f>
        <v>0</v>
      </c>
      <c r="AA32" s="8">
        <f>IF(A32="","",IF(OR(U32&gt;0,AND(O32="Yes",X32&lt;2)),"Yes","No"))</f>
        <v>0</v>
      </c>
      <c r="AB32" s="8">
        <f>IF(OR(A32="",D32=""),"",S32*D32)</f>
        <v>0</v>
      </c>
      <c r="AC32" s="8">
        <f>IF(AB32="","",COUNTIFS($AB$5:$AB$304,"&gt;"&amp;AB32)+1)</f>
        <v>0</v>
      </c>
      <c r="AD32" s="8">
        <f>IF(A32="","",SUMIFS('Food Waste'!$E$5:$E$154,'Food Waste'!$C$5:$C$154,A32))</f>
        <v>0</v>
      </c>
      <c r="AE32" s="8">
        <f>IF(OR(A32="",AD32=0),"",COUNTIFS($AD$5:$AD$304,"&gt;"&amp;AD32)+1)</f>
        <v>0</v>
      </c>
      <c r="AF32" s="8">
        <f>IF(A32="","",IF(SUMPRODUCT(MAX(('Grocery Spending'!$E$5:$E$404=A32)*'Grocery Spending'!$A$5:$A$404))=0,"",SUMPRODUCT(MAX(('Grocery Spending'!$E$5:$E$404=A32)*'Grocery Spending'!$A$5:$A$404))))</f>
        <v>0</v>
      </c>
      <c r="AG32" s="8">
        <f>IF(OR(A32="",AF32=""),"",IFERROR(AVERAGEIFS('Grocery Spending'!$I$5:$I$404,'Grocery Spending'!$E$5:$E$404,A32,'Grocery Spending'!$A$5:$A$404,AF32),""))</f>
        <v>0</v>
      </c>
      <c r="AH32" s="8">
        <f>IF(A32="","",IFERROR(AVERAGEIFS('Grocery Spending'!$I$5:$I$404,'Grocery Spending'!$E$5:$E$404,A32),""))</f>
        <v>0</v>
      </c>
      <c r="AI32" s="8">
        <f>IF(A32="","",IF(SUMPRODUCT(MIN(('Grocery Spending'!$E$5:$E$404=A32)*'Grocery Spending'!$I$5:$I$404+('Grocery Spending'!$E$5:$E$404&lt;&gt;A32)*1000000))&gt;=1000000,"",SUMPRODUCT(MIN(('Grocery Spending'!$E$5:$E$404=A32)*'Grocery Spending'!$I$5:$I$404+('Grocery Spending'!$E$5:$E$404&lt;&gt;A32)*1000000))))</f>
        <v>0</v>
      </c>
      <c r="AJ32" s="8">
        <f>IF(A32="","",SUMPRODUCT(MAX(('Grocery Spending'!$E$5:$E$404=A32)*'Grocery Spending'!$I$5:$I$404)))</f>
        <v>0</v>
      </c>
      <c r="AK32" s="8">
        <f>IF(OR(A32="",AI32="",AJ32=0),"",AJ32-AI32)</f>
        <v>0</v>
      </c>
      <c r="AL32" s="8">
        <f>IF(OR(A32="",AG32="",AH32=""),"",AG32-AH32)</f>
        <v>0</v>
      </c>
      <c r="AM32" s="8">
        <f>IF(A32="","",IF(AL32="","",IF(AL32&gt;0.01,"Up",IF(AL32&lt;-0.01,"Down","Flat"))))</f>
        <v>0</v>
      </c>
      <c r="AN32" s="25"/>
    </row>
    <row r="33" spans="1:40">
      <c r="A33" s="7"/>
      <c r="B33" s="27"/>
      <c r="C33" s="27"/>
      <c r="D33" s="28"/>
      <c r="E33" s="27"/>
      <c r="F33" s="26"/>
      <c r="G33" s="8">
        <f>IF(OR(D33="",F33="",F33=0),"",D33/F33)</f>
        <v>0</v>
      </c>
      <c r="H33" s="26"/>
      <c r="I33" s="26"/>
      <c r="J33" s="26"/>
      <c r="K33" s="26"/>
      <c r="L33" s="26"/>
      <c r="M33" s="26"/>
      <c r="N33" s="27"/>
      <c r="O33" s="27"/>
      <c r="P33" s="27"/>
      <c r="Q33" s="27"/>
      <c r="R33" s="7"/>
      <c r="S33" s="8">
        <f>IF(A33="","",SUMIFS(Pantry!$C$5:$C$304,Pantry!$A$5:$A$304,A33))</f>
        <v>0</v>
      </c>
      <c r="T33" s="8">
        <f>IF(A33="","",COUNTIFS('Grocery List'!$A$5:$A$304,A33,'Grocery List'!$N$5:$N$304,"Yes"))</f>
        <v>0</v>
      </c>
      <c r="U33" s="8">
        <f>IF(A33="","",SUMIFS('Grocery List'!$M$5:$M$304,'Grocery List'!$A$5:$A$304,A33))</f>
        <v>0</v>
      </c>
      <c r="V33" s="8">
        <f>IF(A33="","",COUNTIFS('Recipe Ingredients'!$B$5:$B$1204,A33))</f>
        <v>0</v>
      </c>
      <c r="W33" s="8">
        <f>IF(A33="","",SUMIFS('Recipe Ingredients'!$C$5:$C$1204,'Recipe Ingredients'!$B$5:$B$1204,A33))</f>
        <v>0</v>
      </c>
      <c r="X33" s="8">
        <f>IF(A33="","",IF(U33&lt;=0,IF(S33&gt;0,99,0),ROUND(S33/U33,1)))</f>
        <v>0</v>
      </c>
      <c r="Y33" s="8">
        <f>IF(A33="","",U33*10+IF(O33="Yes",5,0)+IF(X33&lt;1,10,0)+IF(S33&lt;=0,3,0))</f>
        <v>0</v>
      </c>
      <c r="Z33" s="8">
        <f>IF(A33="","",COUNTIFS($Y$5:$Y$304,"&gt;"&amp;Y33)+1)</f>
        <v>0</v>
      </c>
      <c r="AA33" s="8">
        <f>IF(A33="","",IF(OR(U33&gt;0,AND(O33="Yes",X33&lt;2)),"Yes","No"))</f>
        <v>0</v>
      </c>
      <c r="AB33" s="8">
        <f>IF(OR(A33="",D33=""),"",S33*D33)</f>
        <v>0</v>
      </c>
      <c r="AC33" s="8">
        <f>IF(AB33="","",COUNTIFS($AB$5:$AB$304,"&gt;"&amp;AB33)+1)</f>
        <v>0</v>
      </c>
      <c r="AD33" s="8">
        <f>IF(A33="","",SUMIFS('Food Waste'!$E$5:$E$154,'Food Waste'!$C$5:$C$154,A33))</f>
        <v>0</v>
      </c>
      <c r="AE33" s="8">
        <f>IF(OR(A33="",AD33=0),"",COUNTIFS($AD$5:$AD$304,"&gt;"&amp;AD33)+1)</f>
        <v>0</v>
      </c>
      <c r="AF33" s="8">
        <f>IF(A33="","",IF(SUMPRODUCT(MAX(('Grocery Spending'!$E$5:$E$404=A33)*'Grocery Spending'!$A$5:$A$404))=0,"",SUMPRODUCT(MAX(('Grocery Spending'!$E$5:$E$404=A33)*'Grocery Spending'!$A$5:$A$404))))</f>
        <v>0</v>
      </c>
      <c r="AG33" s="8">
        <f>IF(OR(A33="",AF33=""),"",IFERROR(AVERAGEIFS('Grocery Spending'!$I$5:$I$404,'Grocery Spending'!$E$5:$E$404,A33,'Grocery Spending'!$A$5:$A$404,AF33),""))</f>
        <v>0</v>
      </c>
      <c r="AH33" s="8">
        <f>IF(A33="","",IFERROR(AVERAGEIFS('Grocery Spending'!$I$5:$I$404,'Grocery Spending'!$E$5:$E$404,A33),""))</f>
        <v>0</v>
      </c>
      <c r="AI33" s="8">
        <f>IF(A33="","",IF(SUMPRODUCT(MIN(('Grocery Spending'!$E$5:$E$404=A33)*'Grocery Spending'!$I$5:$I$404+('Grocery Spending'!$E$5:$E$404&lt;&gt;A33)*1000000))&gt;=1000000,"",SUMPRODUCT(MIN(('Grocery Spending'!$E$5:$E$404=A33)*'Grocery Spending'!$I$5:$I$404+('Grocery Spending'!$E$5:$E$404&lt;&gt;A33)*1000000))))</f>
        <v>0</v>
      </c>
      <c r="AJ33" s="8">
        <f>IF(A33="","",SUMPRODUCT(MAX(('Grocery Spending'!$E$5:$E$404=A33)*'Grocery Spending'!$I$5:$I$404)))</f>
        <v>0</v>
      </c>
      <c r="AK33" s="8">
        <f>IF(OR(A33="",AI33="",AJ33=0),"",AJ33-AI33)</f>
        <v>0</v>
      </c>
      <c r="AL33" s="8">
        <f>IF(OR(A33="",AG33="",AH33=""),"",AG33-AH33)</f>
        <v>0</v>
      </c>
      <c r="AM33" s="8">
        <f>IF(A33="","",IF(AL33="","",IF(AL33&gt;0.01,"Up",IF(AL33&lt;-0.01,"Down","Flat"))))</f>
        <v>0</v>
      </c>
      <c r="AN33" s="25"/>
    </row>
    <row r="34" spans="1:40">
      <c r="A34" s="7"/>
      <c r="B34" s="27"/>
      <c r="C34" s="27"/>
      <c r="D34" s="28"/>
      <c r="E34" s="27"/>
      <c r="F34" s="26"/>
      <c r="G34" s="8">
        <f>IF(OR(D34="",F34="",F34=0),"",D34/F34)</f>
        <v>0</v>
      </c>
      <c r="H34" s="26"/>
      <c r="I34" s="26"/>
      <c r="J34" s="26"/>
      <c r="K34" s="26"/>
      <c r="L34" s="26"/>
      <c r="M34" s="26"/>
      <c r="N34" s="27"/>
      <c r="O34" s="27"/>
      <c r="P34" s="27"/>
      <c r="Q34" s="27"/>
      <c r="R34" s="7"/>
      <c r="S34" s="8">
        <f>IF(A34="","",SUMIFS(Pantry!$C$5:$C$304,Pantry!$A$5:$A$304,A34))</f>
        <v>0</v>
      </c>
      <c r="T34" s="8">
        <f>IF(A34="","",COUNTIFS('Grocery List'!$A$5:$A$304,A34,'Grocery List'!$N$5:$N$304,"Yes"))</f>
        <v>0</v>
      </c>
      <c r="U34" s="8">
        <f>IF(A34="","",SUMIFS('Grocery List'!$M$5:$M$304,'Grocery List'!$A$5:$A$304,A34))</f>
        <v>0</v>
      </c>
      <c r="V34" s="8">
        <f>IF(A34="","",COUNTIFS('Recipe Ingredients'!$B$5:$B$1204,A34))</f>
        <v>0</v>
      </c>
      <c r="W34" s="8">
        <f>IF(A34="","",SUMIFS('Recipe Ingredients'!$C$5:$C$1204,'Recipe Ingredients'!$B$5:$B$1204,A34))</f>
        <v>0</v>
      </c>
      <c r="X34" s="8">
        <f>IF(A34="","",IF(U34&lt;=0,IF(S34&gt;0,99,0),ROUND(S34/U34,1)))</f>
        <v>0</v>
      </c>
      <c r="Y34" s="8">
        <f>IF(A34="","",U34*10+IF(O34="Yes",5,0)+IF(X34&lt;1,10,0)+IF(S34&lt;=0,3,0))</f>
        <v>0</v>
      </c>
      <c r="Z34" s="8">
        <f>IF(A34="","",COUNTIFS($Y$5:$Y$304,"&gt;"&amp;Y34)+1)</f>
        <v>0</v>
      </c>
      <c r="AA34" s="8">
        <f>IF(A34="","",IF(OR(U34&gt;0,AND(O34="Yes",X34&lt;2)),"Yes","No"))</f>
        <v>0</v>
      </c>
      <c r="AB34" s="8">
        <f>IF(OR(A34="",D34=""),"",S34*D34)</f>
        <v>0</v>
      </c>
      <c r="AC34" s="8">
        <f>IF(AB34="","",COUNTIFS($AB$5:$AB$304,"&gt;"&amp;AB34)+1)</f>
        <v>0</v>
      </c>
      <c r="AD34" s="8">
        <f>IF(A34="","",SUMIFS('Food Waste'!$E$5:$E$154,'Food Waste'!$C$5:$C$154,A34))</f>
        <v>0</v>
      </c>
      <c r="AE34" s="8">
        <f>IF(OR(A34="",AD34=0),"",COUNTIFS($AD$5:$AD$304,"&gt;"&amp;AD34)+1)</f>
        <v>0</v>
      </c>
      <c r="AF34" s="8">
        <f>IF(A34="","",IF(SUMPRODUCT(MAX(('Grocery Spending'!$E$5:$E$404=A34)*'Grocery Spending'!$A$5:$A$404))=0,"",SUMPRODUCT(MAX(('Grocery Spending'!$E$5:$E$404=A34)*'Grocery Spending'!$A$5:$A$404))))</f>
        <v>0</v>
      </c>
      <c r="AG34" s="8">
        <f>IF(OR(A34="",AF34=""),"",IFERROR(AVERAGEIFS('Grocery Spending'!$I$5:$I$404,'Grocery Spending'!$E$5:$E$404,A34,'Grocery Spending'!$A$5:$A$404,AF34),""))</f>
        <v>0</v>
      </c>
      <c r="AH34" s="8">
        <f>IF(A34="","",IFERROR(AVERAGEIFS('Grocery Spending'!$I$5:$I$404,'Grocery Spending'!$E$5:$E$404,A34),""))</f>
        <v>0</v>
      </c>
      <c r="AI34" s="8">
        <f>IF(A34="","",IF(SUMPRODUCT(MIN(('Grocery Spending'!$E$5:$E$404=A34)*'Grocery Spending'!$I$5:$I$404+('Grocery Spending'!$E$5:$E$404&lt;&gt;A34)*1000000))&gt;=1000000,"",SUMPRODUCT(MIN(('Grocery Spending'!$E$5:$E$404=A34)*'Grocery Spending'!$I$5:$I$404+('Grocery Spending'!$E$5:$E$404&lt;&gt;A34)*1000000))))</f>
        <v>0</v>
      </c>
      <c r="AJ34" s="8">
        <f>IF(A34="","",SUMPRODUCT(MAX(('Grocery Spending'!$E$5:$E$404=A34)*'Grocery Spending'!$I$5:$I$404)))</f>
        <v>0</v>
      </c>
      <c r="AK34" s="8">
        <f>IF(OR(A34="",AI34="",AJ34=0),"",AJ34-AI34)</f>
        <v>0</v>
      </c>
      <c r="AL34" s="8">
        <f>IF(OR(A34="",AG34="",AH34=""),"",AG34-AH34)</f>
        <v>0</v>
      </c>
      <c r="AM34" s="8">
        <f>IF(A34="","",IF(AL34="","",IF(AL34&gt;0.01,"Up",IF(AL34&lt;-0.01,"Down","Flat"))))</f>
        <v>0</v>
      </c>
      <c r="AN34" s="25"/>
    </row>
    <row r="35" spans="1:40">
      <c r="A35" s="7"/>
      <c r="B35" s="27"/>
      <c r="C35" s="27"/>
      <c r="D35" s="28"/>
      <c r="E35" s="27"/>
      <c r="F35" s="26"/>
      <c r="G35" s="8">
        <f>IF(OR(D35="",F35="",F35=0),"",D35/F35)</f>
        <v>0</v>
      </c>
      <c r="H35" s="26"/>
      <c r="I35" s="26"/>
      <c r="J35" s="26"/>
      <c r="K35" s="26"/>
      <c r="L35" s="26"/>
      <c r="M35" s="26"/>
      <c r="N35" s="27"/>
      <c r="O35" s="27"/>
      <c r="P35" s="27"/>
      <c r="Q35" s="27"/>
      <c r="R35" s="7"/>
      <c r="S35" s="8">
        <f>IF(A35="","",SUMIFS(Pantry!$C$5:$C$304,Pantry!$A$5:$A$304,A35))</f>
        <v>0</v>
      </c>
      <c r="T35" s="8">
        <f>IF(A35="","",COUNTIFS('Grocery List'!$A$5:$A$304,A35,'Grocery List'!$N$5:$N$304,"Yes"))</f>
        <v>0</v>
      </c>
      <c r="U35" s="8">
        <f>IF(A35="","",SUMIFS('Grocery List'!$M$5:$M$304,'Grocery List'!$A$5:$A$304,A35))</f>
        <v>0</v>
      </c>
      <c r="V35" s="8">
        <f>IF(A35="","",COUNTIFS('Recipe Ingredients'!$B$5:$B$1204,A35))</f>
        <v>0</v>
      </c>
      <c r="W35" s="8">
        <f>IF(A35="","",SUMIFS('Recipe Ingredients'!$C$5:$C$1204,'Recipe Ingredients'!$B$5:$B$1204,A35))</f>
        <v>0</v>
      </c>
      <c r="X35" s="8">
        <f>IF(A35="","",IF(U35&lt;=0,IF(S35&gt;0,99,0),ROUND(S35/U35,1)))</f>
        <v>0</v>
      </c>
      <c r="Y35" s="8">
        <f>IF(A35="","",U35*10+IF(O35="Yes",5,0)+IF(X35&lt;1,10,0)+IF(S35&lt;=0,3,0))</f>
        <v>0</v>
      </c>
      <c r="Z35" s="8">
        <f>IF(A35="","",COUNTIFS($Y$5:$Y$304,"&gt;"&amp;Y35)+1)</f>
        <v>0</v>
      </c>
      <c r="AA35" s="8">
        <f>IF(A35="","",IF(OR(U35&gt;0,AND(O35="Yes",X35&lt;2)),"Yes","No"))</f>
        <v>0</v>
      </c>
      <c r="AB35" s="8">
        <f>IF(OR(A35="",D35=""),"",S35*D35)</f>
        <v>0</v>
      </c>
      <c r="AC35" s="8">
        <f>IF(AB35="","",COUNTIFS($AB$5:$AB$304,"&gt;"&amp;AB35)+1)</f>
        <v>0</v>
      </c>
      <c r="AD35" s="8">
        <f>IF(A35="","",SUMIFS('Food Waste'!$E$5:$E$154,'Food Waste'!$C$5:$C$154,A35))</f>
        <v>0</v>
      </c>
      <c r="AE35" s="8">
        <f>IF(OR(A35="",AD35=0),"",COUNTIFS($AD$5:$AD$304,"&gt;"&amp;AD35)+1)</f>
        <v>0</v>
      </c>
      <c r="AF35" s="8">
        <f>IF(A35="","",IF(SUMPRODUCT(MAX(('Grocery Spending'!$E$5:$E$404=A35)*'Grocery Spending'!$A$5:$A$404))=0,"",SUMPRODUCT(MAX(('Grocery Spending'!$E$5:$E$404=A35)*'Grocery Spending'!$A$5:$A$404))))</f>
        <v>0</v>
      </c>
      <c r="AG35" s="8">
        <f>IF(OR(A35="",AF35=""),"",IFERROR(AVERAGEIFS('Grocery Spending'!$I$5:$I$404,'Grocery Spending'!$E$5:$E$404,A35,'Grocery Spending'!$A$5:$A$404,AF35),""))</f>
        <v>0</v>
      </c>
      <c r="AH35" s="8">
        <f>IF(A35="","",IFERROR(AVERAGEIFS('Grocery Spending'!$I$5:$I$404,'Grocery Spending'!$E$5:$E$404,A35),""))</f>
        <v>0</v>
      </c>
      <c r="AI35" s="8">
        <f>IF(A35="","",IF(SUMPRODUCT(MIN(('Grocery Spending'!$E$5:$E$404=A35)*'Grocery Spending'!$I$5:$I$404+('Grocery Spending'!$E$5:$E$404&lt;&gt;A35)*1000000))&gt;=1000000,"",SUMPRODUCT(MIN(('Grocery Spending'!$E$5:$E$404=A35)*'Grocery Spending'!$I$5:$I$404+('Grocery Spending'!$E$5:$E$404&lt;&gt;A35)*1000000))))</f>
        <v>0</v>
      </c>
      <c r="AJ35" s="8">
        <f>IF(A35="","",SUMPRODUCT(MAX(('Grocery Spending'!$E$5:$E$404=A35)*'Grocery Spending'!$I$5:$I$404)))</f>
        <v>0</v>
      </c>
      <c r="AK35" s="8">
        <f>IF(OR(A35="",AI35="",AJ35=0),"",AJ35-AI35)</f>
        <v>0</v>
      </c>
      <c r="AL35" s="8">
        <f>IF(OR(A35="",AG35="",AH35=""),"",AG35-AH35)</f>
        <v>0</v>
      </c>
      <c r="AM35" s="8">
        <f>IF(A35="","",IF(AL35="","",IF(AL35&gt;0.01,"Up",IF(AL35&lt;-0.01,"Down","Flat"))))</f>
        <v>0</v>
      </c>
      <c r="AN35" s="25"/>
    </row>
    <row r="36" spans="1:40">
      <c r="A36" s="7"/>
      <c r="B36" s="27"/>
      <c r="C36" s="27"/>
      <c r="D36" s="28"/>
      <c r="E36" s="27"/>
      <c r="F36" s="26"/>
      <c r="G36" s="8">
        <f>IF(OR(D36="",F36="",F36=0),"",D36/F36)</f>
        <v>0</v>
      </c>
      <c r="H36" s="26"/>
      <c r="I36" s="26"/>
      <c r="J36" s="26"/>
      <c r="K36" s="26"/>
      <c r="L36" s="26"/>
      <c r="M36" s="26"/>
      <c r="N36" s="27"/>
      <c r="O36" s="27"/>
      <c r="P36" s="27"/>
      <c r="Q36" s="27"/>
      <c r="R36" s="7"/>
      <c r="S36" s="8">
        <f>IF(A36="","",SUMIFS(Pantry!$C$5:$C$304,Pantry!$A$5:$A$304,A36))</f>
        <v>0</v>
      </c>
      <c r="T36" s="8">
        <f>IF(A36="","",COUNTIFS('Grocery List'!$A$5:$A$304,A36,'Grocery List'!$N$5:$N$304,"Yes"))</f>
        <v>0</v>
      </c>
      <c r="U36" s="8">
        <f>IF(A36="","",SUMIFS('Grocery List'!$M$5:$M$304,'Grocery List'!$A$5:$A$304,A36))</f>
        <v>0</v>
      </c>
      <c r="V36" s="8">
        <f>IF(A36="","",COUNTIFS('Recipe Ingredients'!$B$5:$B$1204,A36))</f>
        <v>0</v>
      </c>
      <c r="W36" s="8">
        <f>IF(A36="","",SUMIFS('Recipe Ingredients'!$C$5:$C$1204,'Recipe Ingredients'!$B$5:$B$1204,A36))</f>
        <v>0</v>
      </c>
      <c r="X36" s="8">
        <f>IF(A36="","",IF(U36&lt;=0,IF(S36&gt;0,99,0),ROUND(S36/U36,1)))</f>
        <v>0</v>
      </c>
      <c r="Y36" s="8">
        <f>IF(A36="","",U36*10+IF(O36="Yes",5,0)+IF(X36&lt;1,10,0)+IF(S36&lt;=0,3,0))</f>
        <v>0</v>
      </c>
      <c r="Z36" s="8">
        <f>IF(A36="","",COUNTIFS($Y$5:$Y$304,"&gt;"&amp;Y36)+1)</f>
        <v>0</v>
      </c>
      <c r="AA36" s="8">
        <f>IF(A36="","",IF(OR(U36&gt;0,AND(O36="Yes",X36&lt;2)),"Yes","No"))</f>
        <v>0</v>
      </c>
      <c r="AB36" s="8">
        <f>IF(OR(A36="",D36=""),"",S36*D36)</f>
        <v>0</v>
      </c>
      <c r="AC36" s="8">
        <f>IF(AB36="","",COUNTIFS($AB$5:$AB$304,"&gt;"&amp;AB36)+1)</f>
        <v>0</v>
      </c>
      <c r="AD36" s="8">
        <f>IF(A36="","",SUMIFS('Food Waste'!$E$5:$E$154,'Food Waste'!$C$5:$C$154,A36))</f>
        <v>0</v>
      </c>
      <c r="AE36" s="8">
        <f>IF(OR(A36="",AD36=0),"",COUNTIFS($AD$5:$AD$304,"&gt;"&amp;AD36)+1)</f>
        <v>0</v>
      </c>
      <c r="AF36" s="8">
        <f>IF(A36="","",IF(SUMPRODUCT(MAX(('Grocery Spending'!$E$5:$E$404=A36)*'Grocery Spending'!$A$5:$A$404))=0,"",SUMPRODUCT(MAX(('Grocery Spending'!$E$5:$E$404=A36)*'Grocery Spending'!$A$5:$A$404))))</f>
        <v>0</v>
      </c>
      <c r="AG36" s="8">
        <f>IF(OR(A36="",AF36=""),"",IFERROR(AVERAGEIFS('Grocery Spending'!$I$5:$I$404,'Grocery Spending'!$E$5:$E$404,A36,'Grocery Spending'!$A$5:$A$404,AF36),""))</f>
        <v>0</v>
      </c>
      <c r="AH36" s="8">
        <f>IF(A36="","",IFERROR(AVERAGEIFS('Grocery Spending'!$I$5:$I$404,'Grocery Spending'!$E$5:$E$404,A36),""))</f>
        <v>0</v>
      </c>
      <c r="AI36" s="8">
        <f>IF(A36="","",IF(SUMPRODUCT(MIN(('Grocery Spending'!$E$5:$E$404=A36)*'Grocery Spending'!$I$5:$I$404+('Grocery Spending'!$E$5:$E$404&lt;&gt;A36)*1000000))&gt;=1000000,"",SUMPRODUCT(MIN(('Grocery Spending'!$E$5:$E$404=A36)*'Grocery Spending'!$I$5:$I$404+('Grocery Spending'!$E$5:$E$404&lt;&gt;A36)*1000000))))</f>
        <v>0</v>
      </c>
      <c r="AJ36" s="8">
        <f>IF(A36="","",SUMPRODUCT(MAX(('Grocery Spending'!$E$5:$E$404=A36)*'Grocery Spending'!$I$5:$I$404)))</f>
        <v>0</v>
      </c>
      <c r="AK36" s="8">
        <f>IF(OR(A36="",AI36="",AJ36=0),"",AJ36-AI36)</f>
        <v>0</v>
      </c>
      <c r="AL36" s="8">
        <f>IF(OR(A36="",AG36="",AH36=""),"",AG36-AH36)</f>
        <v>0</v>
      </c>
      <c r="AM36" s="8">
        <f>IF(A36="","",IF(AL36="","",IF(AL36&gt;0.01,"Up",IF(AL36&lt;-0.01,"Down","Flat"))))</f>
        <v>0</v>
      </c>
      <c r="AN36" s="25"/>
    </row>
    <row r="37" spans="1:40">
      <c r="A37" s="7"/>
      <c r="B37" s="27"/>
      <c r="C37" s="27"/>
      <c r="D37" s="28"/>
      <c r="E37" s="27"/>
      <c r="F37" s="26"/>
      <c r="G37" s="8">
        <f>IF(OR(D37="",F37="",F37=0),"",D37/F37)</f>
        <v>0</v>
      </c>
      <c r="H37" s="26"/>
      <c r="I37" s="26"/>
      <c r="J37" s="26"/>
      <c r="K37" s="26"/>
      <c r="L37" s="26"/>
      <c r="M37" s="26"/>
      <c r="N37" s="27"/>
      <c r="O37" s="27"/>
      <c r="P37" s="27"/>
      <c r="Q37" s="27"/>
      <c r="R37" s="7"/>
      <c r="S37" s="8">
        <f>IF(A37="","",SUMIFS(Pantry!$C$5:$C$304,Pantry!$A$5:$A$304,A37))</f>
        <v>0</v>
      </c>
      <c r="T37" s="8">
        <f>IF(A37="","",COUNTIFS('Grocery List'!$A$5:$A$304,A37,'Grocery List'!$N$5:$N$304,"Yes"))</f>
        <v>0</v>
      </c>
      <c r="U37" s="8">
        <f>IF(A37="","",SUMIFS('Grocery List'!$M$5:$M$304,'Grocery List'!$A$5:$A$304,A37))</f>
        <v>0</v>
      </c>
      <c r="V37" s="8">
        <f>IF(A37="","",COUNTIFS('Recipe Ingredients'!$B$5:$B$1204,A37))</f>
        <v>0</v>
      </c>
      <c r="W37" s="8">
        <f>IF(A37="","",SUMIFS('Recipe Ingredients'!$C$5:$C$1204,'Recipe Ingredients'!$B$5:$B$1204,A37))</f>
        <v>0</v>
      </c>
      <c r="X37" s="8">
        <f>IF(A37="","",IF(U37&lt;=0,IF(S37&gt;0,99,0),ROUND(S37/U37,1)))</f>
        <v>0</v>
      </c>
      <c r="Y37" s="8">
        <f>IF(A37="","",U37*10+IF(O37="Yes",5,0)+IF(X37&lt;1,10,0)+IF(S37&lt;=0,3,0))</f>
        <v>0</v>
      </c>
      <c r="Z37" s="8">
        <f>IF(A37="","",COUNTIFS($Y$5:$Y$304,"&gt;"&amp;Y37)+1)</f>
        <v>0</v>
      </c>
      <c r="AA37" s="8">
        <f>IF(A37="","",IF(OR(U37&gt;0,AND(O37="Yes",X37&lt;2)),"Yes","No"))</f>
        <v>0</v>
      </c>
      <c r="AB37" s="8">
        <f>IF(OR(A37="",D37=""),"",S37*D37)</f>
        <v>0</v>
      </c>
      <c r="AC37" s="8">
        <f>IF(AB37="","",COUNTIFS($AB$5:$AB$304,"&gt;"&amp;AB37)+1)</f>
        <v>0</v>
      </c>
      <c r="AD37" s="8">
        <f>IF(A37="","",SUMIFS('Food Waste'!$E$5:$E$154,'Food Waste'!$C$5:$C$154,A37))</f>
        <v>0</v>
      </c>
      <c r="AE37" s="8">
        <f>IF(OR(A37="",AD37=0),"",COUNTIFS($AD$5:$AD$304,"&gt;"&amp;AD37)+1)</f>
        <v>0</v>
      </c>
      <c r="AF37" s="8">
        <f>IF(A37="","",IF(SUMPRODUCT(MAX(('Grocery Spending'!$E$5:$E$404=A37)*'Grocery Spending'!$A$5:$A$404))=0,"",SUMPRODUCT(MAX(('Grocery Spending'!$E$5:$E$404=A37)*'Grocery Spending'!$A$5:$A$404))))</f>
        <v>0</v>
      </c>
      <c r="AG37" s="8">
        <f>IF(OR(A37="",AF37=""),"",IFERROR(AVERAGEIFS('Grocery Spending'!$I$5:$I$404,'Grocery Spending'!$E$5:$E$404,A37,'Grocery Spending'!$A$5:$A$404,AF37),""))</f>
        <v>0</v>
      </c>
      <c r="AH37" s="8">
        <f>IF(A37="","",IFERROR(AVERAGEIFS('Grocery Spending'!$I$5:$I$404,'Grocery Spending'!$E$5:$E$404,A37),""))</f>
        <v>0</v>
      </c>
      <c r="AI37" s="8">
        <f>IF(A37="","",IF(SUMPRODUCT(MIN(('Grocery Spending'!$E$5:$E$404=A37)*'Grocery Spending'!$I$5:$I$404+('Grocery Spending'!$E$5:$E$404&lt;&gt;A37)*1000000))&gt;=1000000,"",SUMPRODUCT(MIN(('Grocery Spending'!$E$5:$E$404=A37)*'Grocery Spending'!$I$5:$I$404+('Grocery Spending'!$E$5:$E$404&lt;&gt;A37)*1000000))))</f>
        <v>0</v>
      </c>
      <c r="AJ37" s="8">
        <f>IF(A37="","",SUMPRODUCT(MAX(('Grocery Spending'!$E$5:$E$404=A37)*'Grocery Spending'!$I$5:$I$404)))</f>
        <v>0</v>
      </c>
      <c r="AK37" s="8">
        <f>IF(OR(A37="",AI37="",AJ37=0),"",AJ37-AI37)</f>
        <v>0</v>
      </c>
      <c r="AL37" s="8">
        <f>IF(OR(A37="",AG37="",AH37=""),"",AG37-AH37)</f>
        <v>0</v>
      </c>
      <c r="AM37" s="8">
        <f>IF(A37="","",IF(AL37="","",IF(AL37&gt;0.01,"Up",IF(AL37&lt;-0.01,"Down","Flat"))))</f>
        <v>0</v>
      </c>
      <c r="AN37" s="25"/>
    </row>
    <row r="38" spans="1:40">
      <c r="A38" s="7"/>
      <c r="B38" s="27"/>
      <c r="C38" s="27"/>
      <c r="D38" s="28"/>
      <c r="E38" s="27"/>
      <c r="F38" s="26"/>
      <c r="G38" s="8">
        <f>IF(OR(D38="",F38="",F38=0),"",D38/F38)</f>
        <v>0</v>
      </c>
      <c r="H38" s="26"/>
      <c r="I38" s="26"/>
      <c r="J38" s="26"/>
      <c r="K38" s="26"/>
      <c r="L38" s="26"/>
      <c r="M38" s="26"/>
      <c r="N38" s="27"/>
      <c r="O38" s="27"/>
      <c r="P38" s="27"/>
      <c r="Q38" s="27"/>
      <c r="R38" s="7"/>
      <c r="S38" s="8">
        <f>IF(A38="","",SUMIFS(Pantry!$C$5:$C$304,Pantry!$A$5:$A$304,A38))</f>
        <v>0</v>
      </c>
      <c r="T38" s="8">
        <f>IF(A38="","",COUNTIFS('Grocery List'!$A$5:$A$304,A38,'Grocery List'!$N$5:$N$304,"Yes"))</f>
        <v>0</v>
      </c>
      <c r="U38" s="8">
        <f>IF(A38="","",SUMIFS('Grocery List'!$M$5:$M$304,'Grocery List'!$A$5:$A$304,A38))</f>
        <v>0</v>
      </c>
      <c r="V38" s="8">
        <f>IF(A38="","",COUNTIFS('Recipe Ingredients'!$B$5:$B$1204,A38))</f>
        <v>0</v>
      </c>
      <c r="W38" s="8">
        <f>IF(A38="","",SUMIFS('Recipe Ingredients'!$C$5:$C$1204,'Recipe Ingredients'!$B$5:$B$1204,A38))</f>
        <v>0</v>
      </c>
      <c r="X38" s="8">
        <f>IF(A38="","",IF(U38&lt;=0,IF(S38&gt;0,99,0),ROUND(S38/U38,1)))</f>
        <v>0</v>
      </c>
      <c r="Y38" s="8">
        <f>IF(A38="","",U38*10+IF(O38="Yes",5,0)+IF(X38&lt;1,10,0)+IF(S38&lt;=0,3,0))</f>
        <v>0</v>
      </c>
      <c r="Z38" s="8">
        <f>IF(A38="","",COUNTIFS($Y$5:$Y$304,"&gt;"&amp;Y38)+1)</f>
        <v>0</v>
      </c>
      <c r="AA38" s="8">
        <f>IF(A38="","",IF(OR(U38&gt;0,AND(O38="Yes",X38&lt;2)),"Yes","No"))</f>
        <v>0</v>
      </c>
      <c r="AB38" s="8">
        <f>IF(OR(A38="",D38=""),"",S38*D38)</f>
        <v>0</v>
      </c>
      <c r="AC38" s="8">
        <f>IF(AB38="","",COUNTIFS($AB$5:$AB$304,"&gt;"&amp;AB38)+1)</f>
        <v>0</v>
      </c>
      <c r="AD38" s="8">
        <f>IF(A38="","",SUMIFS('Food Waste'!$E$5:$E$154,'Food Waste'!$C$5:$C$154,A38))</f>
        <v>0</v>
      </c>
      <c r="AE38" s="8">
        <f>IF(OR(A38="",AD38=0),"",COUNTIFS($AD$5:$AD$304,"&gt;"&amp;AD38)+1)</f>
        <v>0</v>
      </c>
      <c r="AF38" s="8">
        <f>IF(A38="","",IF(SUMPRODUCT(MAX(('Grocery Spending'!$E$5:$E$404=A38)*'Grocery Spending'!$A$5:$A$404))=0,"",SUMPRODUCT(MAX(('Grocery Spending'!$E$5:$E$404=A38)*'Grocery Spending'!$A$5:$A$404))))</f>
        <v>0</v>
      </c>
      <c r="AG38" s="8">
        <f>IF(OR(A38="",AF38=""),"",IFERROR(AVERAGEIFS('Grocery Spending'!$I$5:$I$404,'Grocery Spending'!$E$5:$E$404,A38,'Grocery Spending'!$A$5:$A$404,AF38),""))</f>
        <v>0</v>
      </c>
      <c r="AH38" s="8">
        <f>IF(A38="","",IFERROR(AVERAGEIFS('Grocery Spending'!$I$5:$I$404,'Grocery Spending'!$E$5:$E$404,A38),""))</f>
        <v>0</v>
      </c>
      <c r="AI38" s="8">
        <f>IF(A38="","",IF(SUMPRODUCT(MIN(('Grocery Spending'!$E$5:$E$404=A38)*'Grocery Spending'!$I$5:$I$404+('Grocery Spending'!$E$5:$E$404&lt;&gt;A38)*1000000))&gt;=1000000,"",SUMPRODUCT(MIN(('Grocery Spending'!$E$5:$E$404=A38)*'Grocery Spending'!$I$5:$I$404+('Grocery Spending'!$E$5:$E$404&lt;&gt;A38)*1000000))))</f>
        <v>0</v>
      </c>
      <c r="AJ38" s="8">
        <f>IF(A38="","",SUMPRODUCT(MAX(('Grocery Spending'!$E$5:$E$404=A38)*'Grocery Spending'!$I$5:$I$404)))</f>
        <v>0</v>
      </c>
      <c r="AK38" s="8">
        <f>IF(OR(A38="",AI38="",AJ38=0),"",AJ38-AI38)</f>
        <v>0</v>
      </c>
      <c r="AL38" s="8">
        <f>IF(OR(A38="",AG38="",AH38=""),"",AG38-AH38)</f>
        <v>0</v>
      </c>
      <c r="AM38" s="8">
        <f>IF(A38="","",IF(AL38="","",IF(AL38&gt;0.01,"Up",IF(AL38&lt;-0.01,"Down","Flat"))))</f>
        <v>0</v>
      </c>
      <c r="AN38" s="25"/>
    </row>
    <row r="39" spans="1:40">
      <c r="A39" s="7"/>
      <c r="B39" s="27"/>
      <c r="C39" s="27"/>
      <c r="D39" s="28"/>
      <c r="E39" s="27"/>
      <c r="F39" s="26"/>
      <c r="G39" s="8">
        <f>IF(OR(D39="",F39="",F39=0),"",D39/F39)</f>
        <v>0</v>
      </c>
      <c r="H39" s="26"/>
      <c r="I39" s="26"/>
      <c r="J39" s="26"/>
      <c r="K39" s="26"/>
      <c r="L39" s="26"/>
      <c r="M39" s="26"/>
      <c r="N39" s="27"/>
      <c r="O39" s="27"/>
      <c r="P39" s="27"/>
      <c r="Q39" s="27"/>
      <c r="R39" s="7"/>
      <c r="S39" s="8">
        <f>IF(A39="","",SUMIFS(Pantry!$C$5:$C$304,Pantry!$A$5:$A$304,A39))</f>
        <v>0</v>
      </c>
      <c r="T39" s="8">
        <f>IF(A39="","",COUNTIFS('Grocery List'!$A$5:$A$304,A39,'Grocery List'!$N$5:$N$304,"Yes"))</f>
        <v>0</v>
      </c>
      <c r="U39" s="8">
        <f>IF(A39="","",SUMIFS('Grocery List'!$M$5:$M$304,'Grocery List'!$A$5:$A$304,A39))</f>
        <v>0</v>
      </c>
      <c r="V39" s="8">
        <f>IF(A39="","",COUNTIFS('Recipe Ingredients'!$B$5:$B$1204,A39))</f>
        <v>0</v>
      </c>
      <c r="W39" s="8">
        <f>IF(A39="","",SUMIFS('Recipe Ingredients'!$C$5:$C$1204,'Recipe Ingredients'!$B$5:$B$1204,A39))</f>
        <v>0</v>
      </c>
      <c r="X39" s="8">
        <f>IF(A39="","",IF(U39&lt;=0,IF(S39&gt;0,99,0),ROUND(S39/U39,1)))</f>
        <v>0</v>
      </c>
      <c r="Y39" s="8">
        <f>IF(A39="","",U39*10+IF(O39="Yes",5,0)+IF(X39&lt;1,10,0)+IF(S39&lt;=0,3,0))</f>
        <v>0</v>
      </c>
      <c r="Z39" s="8">
        <f>IF(A39="","",COUNTIFS($Y$5:$Y$304,"&gt;"&amp;Y39)+1)</f>
        <v>0</v>
      </c>
      <c r="AA39" s="8">
        <f>IF(A39="","",IF(OR(U39&gt;0,AND(O39="Yes",X39&lt;2)),"Yes","No"))</f>
        <v>0</v>
      </c>
      <c r="AB39" s="8">
        <f>IF(OR(A39="",D39=""),"",S39*D39)</f>
        <v>0</v>
      </c>
      <c r="AC39" s="8">
        <f>IF(AB39="","",COUNTIFS($AB$5:$AB$304,"&gt;"&amp;AB39)+1)</f>
        <v>0</v>
      </c>
      <c r="AD39" s="8">
        <f>IF(A39="","",SUMIFS('Food Waste'!$E$5:$E$154,'Food Waste'!$C$5:$C$154,A39))</f>
        <v>0</v>
      </c>
      <c r="AE39" s="8">
        <f>IF(OR(A39="",AD39=0),"",COUNTIFS($AD$5:$AD$304,"&gt;"&amp;AD39)+1)</f>
        <v>0</v>
      </c>
      <c r="AF39" s="8">
        <f>IF(A39="","",IF(SUMPRODUCT(MAX(('Grocery Spending'!$E$5:$E$404=A39)*'Grocery Spending'!$A$5:$A$404))=0,"",SUMPRODUCT(MAX(('Grocery Spending'!$E$5:$E$404=A39)*'Grocery Spending'!$A$5:$A$404))))</f>
        <v>0</v>
      </c>
      <c r="AG39" s="8">
        <f>IF(OR(A39="",AF39=""),"",IFERROR(AVERAGEIFS('Grocery Spending'!$I$5:$I$404,'Grocery Spending'!$E$5:$E$404,A39,'Grocery Spending'!$A$5:$A$404,AF39),""))</f>
        <v>0</v>
      </c>
      <c r="AH39" s="8">
        <f>IF(A39="","",IFERROR(AVERAGEIFS('Grocery Spending'!$I$5:$I$404,'Grocery Spending'!$E$5:$E$404,A39),""))</f>
        <v>0</v>
      </c>
      <c r="AI39" s="8">
        <f>IF(A39="","",IF(SUMPRODUCT(MIN(('Grocery Spending'!$E$5:$E$404=A39)*'Grocery Spending'!$I$5:$I$404+('Grocery Spending'!$E$5:$E$404&lt;&gt;A39)*1000000))&gt;=1000000,"",SUMPRODUCT(MIN(('Grocery Spending'!$E$5:$E$404=A39)*'Grocery Spending'!$I$5:$I$404+('Grocery Spending'!$E$5:$E$404&lt;&gt;A39)*1000000))))</f>
        <v>0</v>
      </c>
      <c r="AJ39" s="8">
        <f>IF(A39="","",SUMPRODUCT(MAX(('Grocery Spending'!$E$5:$E$404=A39)*'Grocery Spending'!$I$5:$I$404)))</f>
        <v>0</v>
      </c>
      <c r="AK39" s="8">
        <f>IF(OR(A39="",AI39="",AJ39=0),"",AJ39-AI39)</f>
        <v>0</v>
      </c>
      <c r="AL39" s="8">
        <f>IF(OR(A39="",AG39="",AH39=""),"",AG39-AH39)</f>
        <v>0</v>
      </c>
      <c r="AM39" s="8">
        <f>IF(A39="","",IF(AL39="","",IF(AL39&gt;0.01,"Up",IF(AL39&lt;-0.01,"Down","Flat"))))</f>
        <v>0</v>
      </c>
      <c r="AN39" s="25"/>
    </row>
    <row r="40" spans="1:40">
      <c r="A40" s="7"/>
      <c r="B40" s="27"/>
      <c r="C40" s="27"/>
      <c r="D40" s="28"/>
      <c r="E40" s="27"/>
      <c r="F40" s="26"/>
      <c r="G40" s="8">
        <f>IF(OR(D40="",F40="",F40=0),"",D40/F40)</f>
        <v>0</v>
      </c>
      <c r="H40" s="26"/>
      <c r="I40" s="26"/>
      <c r="J40" s="26"/>
      <c r="K40" s="26"/>
      <c r="L40" s="26"/>
      <c r="M40" s="26"/>
      <c r="N40" s="27"/>
      <c r="O40" s="27"/>
      <c r="P40" s="27"/>
      <c r="Q40" s="27"/>
      <c r="R40" s="7"/>
      <c r="S40" s="8">
        <f>IF(A40="","",SUMIFS(Pantry!$C$5:$C$304,Pantry!$A$5:$A$304,A40))</f>
        <v>0</v>
      </c>
      <c r="T40" s="8">
        <f>IF(A40="","",COUNTIFS('Grocery List'!$A$5:$A$304,A40,'Grocery List'!$N$5:$N$304,"Yes"))</f>
        <v>0</v>
      </c>
      <c r="U40" s="8">
        <f>IF(A40="","",SUMIFS('Grocery List'!$M$5:$M$304,'Grocery List'!$A$5:$A$304,A40))</f>
        <v>0</v>
      </c>
      <c r="V40" s="8">
        <f>IF(A40="","",COUNTIFS('Recipe Ingredients'!$B$5:$B$1204,A40))</f>
        <v>0</v>
      </c>
      <c r="W40" s="8">
        <f>IF(A40="","",SUMIFS('Recipe Ingredients'!$C$5:$C$1204,'Recipe Ingredients'!$B$5:$B$1204,A40))</f>
        <v>0</v>
      </c>
      <c r="X40" s="8">
        <f>IF(A40="","",IF(U40&lt;=0,IF(S40&gt;0,99,0),ROUND(S40/U40,1)))</f>
        <v>0</v>
      </c>
      <c r="Y40" s="8">
        <f>IF(A40="","",U40*10+IF(O40="Yes",5,0)+IF(X40&lt;1,10,0)+IF(S40&lt;=0,3,0))</f>
        <v>0</v>
      </c>
      <c r="Z40" s="8">
        <f>IF(A40="","",COUNTIFS($Y$5:$Y$304,"&gt;"&amp;Y40)+1)</f>
        <v>0</v>
      </c>
      <c r="AA40" s="8">
        <f>IF(A40="","",IF(OR(U40&gt;0,AND(O40="Yes",X40&lt;2)),"Yes","No"))</f>
        <v>0</v>
      </c>
      <c r="AB40" s="8">
        <f>IF(OR(A40="",D40=""),"",S40*D40)</f>
        <v>0</v>
      </c>
      <c r="AC40" s="8">
        <f>IF(AB40="","",COUNTIFS($AB$5:$AB$304,"&gt;"&amp;AB40)+1)</f>
        <v>0</v>
      </c>
      <c r="AD40" s="8">
        <f>IF(A40="","",SUMIFS('Food Waste'!$E$5:$E$154,'Food Waste'!$C$5:$C$154,A40))</f>
        <v>0</v>
      </c>
      <c r="AE40" s="8">
        <f>IF(OR(A40="",AD40=0),"",COUNTIFS($AD$5:$AD$304,"&gt;"&amp;AD40)+1)</f>
        <v>0</v>
      </c>
      <c r="AF40" s="8">
        <f>IF(A40="","",IF(SUMPRODUCT(MAX(('Grocery Spending'!$E$5:$E$404=A40)*'Grocery Spending'!$A$5:$A$404))=0,"",SUMPRODUCT(MAX(('Grocery Spending'!$E$5:$E$404=A40)*'Grocery Spending'!$A$5:$A$404))))</f>
        <v>0</v>
      </c>
      <c r="AG40" s="8">
        <f>IF(OR(A40="",AF40=""),"",IFERROR(AVERAGEIFS('Grocery Spending'!$I$5:$I$404,'Grocery Spending'!$E$5:$E$404,A40,'Grocery Spending'!$A$5:$A$404,AF40),""))</f>
        <v>0</v>
      </c>
      <c r="AH40" s="8">
        <f>IF(A40="","",IFERROR(AVERAGEIFS('Grocery Spending'!$I$5:$I$404,'Grocery Spending'!$E$5:$E$404,A40),""))</f>
        <v>0</v>
      </c>
      <c r="AI40" s="8">
        <f>IF(A40="","",IF(SUMPRODUCT(MIN(('Grocery Spending'!$E$5:$E$404=A40)*'Grocery Spending'!$I$5:$I$404+('Grocery Spending'!$E$5:$E$404&lt;&gt;A40)*1000000))&gt;=1000000,"",SUMPRODUCT(MIN(('Grocery Spending'!$E$5:$E$404=A40)*'Grocery Spending'!$I$5:$I$404+('Grocery Spending'!$E$5:$E$404&lt;&gt;A40)*1000000))))</f>
        <v>0</v>
      </c>
      <c r="AJ40" s="8">
        <f>IF(A40="","",SUMPRODUCT(MAX(('Grocery Spending'!$E$5:$E$404=A40)*'Grocery Spending'!$I$5:$I$404)))</f>
        <v>0</v>
      </c>
      <c r="AK40" s="8">
        <f>IF(OR(A40="",AI40="",AJ40=0),"",AJ40-AI40)</f>
        <v>0</v>
      </c>
      <c r="AL40" s="8">
        <f>IF(OR(A40="",AG40="",AH40=""),"",AG40-AH40)</f>
        <v>0</v>
      </c>
      <c r="AM40" s="8">
        <f>IF(A40="","",IF(AL40="","",IF(AL40&gt;0.01,"Up",IF(AL40&lt;-0.01,"Down","Flat"))))</f>
        <v>0</v>
      </c>
      <c r="AN40" s="25"/>
    </row>
    <row r="41" spans="1:40">
      <c r="A41" s="7"/>
      <c r="B41" s="27"/>
      <c r="C41" s="27"/>
      <c r="D41" s="28"/>
      <c r="E41" s="27"/>
      <c r="F41" s="26"/>
      <c r="G41" s="8">
        <f>IF(OR(D41="",F41="",F41=0),"",D41/F41)</f>
        <v>0</v>
      </c>
      <c r="H41" s="26"/>
      <c r="I41" s="26"/>
      <c r="J41" s="26"/>
      <c r="K41" s="26"/>
      <c r="L41" s="26"/>
      <c r="M41" s="26"/>
      <c r="N41" s="27"/>
      <c r="O41" s="27"/>
      <c r="P41" s="27"/>
      <c r="Q41" s="27"/>
      <c r="R41" s="7"/>
      <c r="S41" s="8">
        <f>IF(A41="","",SUMIFS(Pantry!$C$5:$C$304,Pantry!$A$5:$A$304,A41))</f>
        <v>0</v>
      </c>
      <c r="T41" s="8">
        <f>IF(A41="","",COUNTIFS('Grocery List'!$A$5:$A$304,A41,'Grocery List'!$N$5:$N$304,"Yes"))</f>
        <v>0</v>
      </c>
      <c r="U41" s="8">
        <f>IF(A41="","",SUMIFS('Grocery List'!$M$5:$M$304,'Grocery List'!$A$5:$A$304,A41))</f>
        <v>0</v>
      </c>
      <c r="V41" s="8">
        <f>IF(A41="","",COUNTIFS('Recipe Ingredients'!$B$5:$B$1204,A41))</f>
        <v>0</v>
      </c>
      <c r="W41" s="8">
        <f>IF(A41="","",SUMIFS('Recipe Ingredients'!$C$5:$C$1204,'Recipe Ingredients'!$B$5:$B$1204,A41))</f>
        <v>0</v>
      </c>
      <c r="X41" s="8">
        <f>IF(A41="","",IF(U41&lt;=0,IF(S41&gt;0,99,0),ROUND(S41/U41,1)))</f>
        <v>0</v>
      </c>
      <c r="Y41" s="8">
        <f>IF(A41="","",U41*10+IF(O41="Yes",5,0)+IF(X41&lt;1,10,0)+IF(S41&lt;=0,3,0))</f>
        <v>0</v>
      </c>
      <c r="Z41" s="8">
        <f>IF(A41="","",COUNTIFS($Y$5:$Y$304,"&gt;"&amp;Y41)+1)</f>
        <v>0</v>
      </c>
      <c r="AA41" s="8">
        <f>IF(A41="","",IF(OR(U41&gt;0,AND(O41="Yes",X41&lt;2)),"Yes","No"))</f>
        <v>0</v>
      </c>
      <c r="AB41" s="8">
        <f>IF(OR(A41="",D41=""),"",S41*D41)</f>
        <v>0</v>
      </c>
      <c r="AC41" s="8">
        <f>IF(AB41="","",COUNTIFS($AB$5:$AB$304,"&gt;"&amp;AB41)+1)</f>
        <v>0</v>
      </c>
      <c r="AD41" s="8">
        <f>IF(A41="","",SUMIFS('Food Waste'!$E$5:$E$154,'Food Waste'!$C$5:$C$154,A41))</f>
        <v>0</v>
      </c>
      <c r="AE41" s="8">
        <f>IF(OR(A41="",AD41=0),"",COUNTIFS($AD$5:$AD$304,"&gt;"&amp;AD41)+1)</f>
        <v>0</v>
      </c>
      <c r="AF41" s="8">
        <f>IF(A41="","",IF(SUMPRODUCT(MAX(('Grocery Spending'!$E$5:$E$404=A41)*'Grocery Spending'!$A$5:$A$404))=0,"",SUMPRODUCT(MAX(('Grocery Spending'!$E$5:$E$404=A41)*'Grocery Spending'!$A$5:$A$404))))</f>
        <v>0</v>
      </c>
      <c r="AG41" s="8">
        <f>IF(OR(A41="",AF41=""),"",IFERROR(AVERAGEIFS('Grocery Spending'!$I$5:$I$404,'Grocery Spending'!$E$5:$E$404,A41,'Grocery Spending'!$A$5:$A$404,AF41),""))</f>
        <v>0</v>
      </c>
      <c r="AH41" s="8">
        <f>IF(A41="","",IFERROR(AVERAGEIFS('Grocery Spending'!$I$5:$I$404,'Grocery Spending'!$E$5:$E$404,A41),""))</f>
        <v>0</v>
      </c>
      <c r="AI41" s="8">
        <f>IF(A41="","",IF(SUMPRODUCT(MIN(('Grocery Spending'!$E$5:$E$404=A41)*'Grocery Spending'!$I$5:$I$404+('Grocery Spending'!$E$5:$E$404&lt;&gt;A41)*1000000))&gt;=1000000,"",SUMPRODUCT(MIN(('Grocery Spending'!$E$5:$E$404=A41)*'Grocery Spending'!$I$5:$I$404+('Grocery Spending'!$E$5:$E$404&lt;&gt;A41)*1000000))))</f>
        <v>0</v>
      </c>
      <c r="AJ41" s="8">
        <f>IF(A41="","",SUMPRODUCT(MAX(('Grocery Spending'!$E$5:$E$404=A41)*'Grocery Spending'!$I$5:$I$404)))</f>
        <v>0</v>
      </c>
      <c r="AK41" s="8">
        <f>IF(OR(A41="",AI41="",AJ41=0),"",AJ41-AI41)</f>
        <v>0</v>
      </c>
      <c r="AL41" s="8">
        <f>IF(OR(A41="",AG41="",AH41=""),"",AG41-AH41)</f>
        <v>0</v>
      </c>
      <c r="AM41" s="8">
        <f>IF(A41="","",IF(AL41="","",IF(AL41&gt;0.01,"Up",IF(AL41&lt;-0.01,"Down","Flat"))))</f>
        <v>0</v>
      </c>
      <c r="AN41" s="25"/>
    </row>
    <row r="42" spans="1:40">
      <c r="A42" s="7"/>
      <c r="B42" s="27"/>
      <c r="C42" s="27"/>
      <c r="D42" s="28"/>
      <c r="E42" s="27"/>
      <c r="F42" s="26"/>
      <c r="G42" s="8">
        <f>IF(OR(D42="",F42="",F42=0),"",D42/F42)</f>
        <v>0</v>
      </c>
      <c r="H42" s="26"/>
      <c r="I42" s="26"/>
      <c r="J42" s="26"/>
      <c r="K42" s="26"/>
      <c r="L42" s="26"/>
      <c r="M42" s="26"/>
      <c r="N42" s="27"/>
      <c r="O42" s="27"/>
      <c r="P42" s="27"/>
      <c r="Q42" s="27"/>
      <c r="R42" s="7"/>
      <c r="S42" s="8">
        <f>IF(A42="","",SUMIFS(Pantry!$C$5:$C$304,Pantry!$A$5:$A$304,A42))</f>
        <v>0</v>
      </c>
      <c r="T42" s="8">
        <f>IF(A42="","",COUNTIFS('Grocery List'!$A$5:$A$304,A42,'Grocery List'!$N$5:$N$304,"Yes"))</f>
        <v>0</v>
      </c>
      <c r="U42" s="8">
        <f>IF(A42="","",SUMIFS('Grocery List'!$M$5:$M$304,'Grocery List'!$A$5:$A$304,A42))</f>
        <v>0</v>
      </c>
      <c r="V42" s="8">
        <f>IF(A42="","",COUNTIFS('Recipe Ingredients'!$B$5:$B$1204,A42))</f>
        <v>0</v>
      </c>
      <c r="W42" s="8">
        <f>IF(A42="","",SUMIFS('Recipe Ingredients'!$C$5:$C$1204,'Recipe Ingredients'!$B$5:$B$1204,A42))</f>
        <v>0</v>
      </c>
      <c r="X42" s="8">
        <f>IF(A42="","",IF(U42&lt;=0,IF(S42&gt;0,99,0),ROUND(S42/U42,1)))</f>
        <v>0</v>
      </c>
      <c r="Y42" s="8">
        <f>IF(A42="","",U42*10+IF(O42="Yes",5,0)+IF(X42&lt;1,10,0)+IF(S42&lt;=0,3,0))</f>
        <v>0</v>
      </c>
      <c r="Z42" s="8">
        <f>IF(A42="","",COUNTIFS($Y$5:$Y$304,"&gt;"&amp;Y42)+1)</f>
        <v>0</v>
      </c>
      <c r="AA42" s="8">
        <f>IF(A42="","",IF(OR(U42&gt;0,AND(O42="Yes",X42&lt;2)),"Yes","No"))</f>
        <v>0</v>
      </c>
      <c r="AB42" s="8">
        <f>IF(OR(A42="",D42=""),"",S42*D42)</f>
        <v>0</v>
      </c>
      <c r="AC42" s="8">
        <f>IF(AB42="","",COUNTIFS($AB$5:$AB$304,"&gt;"&amp;AB42)+1)</f>
        <v>0</v>
      </c>
      <c r="AD42" s="8">
        <f>IF(A42="","",SUMIFS('Food Waste'!$E$5:$E$154,'Food Waste'!$C$5:$C$154,A42))</f>
        <v>0</v>
      </c>
      <c r="AE42" s="8">
        <f>IF(OR(A42="",AD42=0),"",COUNTIFS($AD$5:$AD$304,"&gt;"&amp;AD42)+1)</f>
        <v>0</v>
      </c>
      <c r="AF42" s="8">
        <f>IF(A42="","",IF(SUMPRODUCT(MAX(('Grocery Spending'!$E$5:$E$404=A42)*'Grocery Spending'!$A$5:$A$404))=0,"",SUMPRODUCT(MAX(('Grocery Spending'!$E$5:$E$404=A42)*'Grocery Spending'!$A$5:$A$404))))</f>
        <v>0</v>
      </c>
      <c r="AG42" s="8">
        <f>IF(OR(A42="",AF42=""),"",IFERROR(AVERAGEIFS('Grocery Spending'!$I$5:$I$404,'Grocery Spending'!$E$5:$E$404,A42,'Grocery Spending'!$A$5:$A$404,AF42),""))</f>
        <v>0</v>
      </c>
      <c r="AH42" s="8">
        <f>IF(A42="","",IFERROR(AVERAGEIFS('Grocery Spending'!$I$5:$I$404,'Grocery Spending'!$E$5:$E$404,A42),""))</f>
        <v>0</v>
      </c>
      <c r="AI42" s="8">
        <f>IF(A42="","",IF(SUMPRODUCT(MIN(('Grocery Spending'!$E$5:$E$404=A42)*'Grocery Spending'!$I$5:$I$404+('Grocery Spending'!$E$5:$E$404&lt;&gt;A42)*1000000))&gt;=1000000,"",SUMPRODUCT(MIN(('Grocery Spending'!$E$5:$E$404=A42)*'Grocery Spending'!$I$5:$I$404+('Grocery Spending'!$E$5:$E$404&lt;&gt;A42)*1000000))))</f>
        <v>0</v>
      </c>
      <c r="AJ42" s="8">
        <f>IF(A42="","",SUMPRODUCT(MAX(('Grocery Spending'!$E$5:$E$404=A42)*'Grocery Spending'!$I$5:$I$404)))</f>
        <v>0</v>
      </c>
      <c r="AK42" s="8">
        <f>IF(OR(A42="",AI42="",AJ42=0),"",AJ42-AI42)</f>
        <v>0</v>
      </c>
      <c r="AL42" s="8">
        <f>IF(OR(A42="",AG42="",AH42=""),"",AG42-AH42)</f>
        <v>0</v>
      </c>
      <c r="AM42" s="8">
        <f>IF(A42="","",IF(AL42="","",IF(AL42&gt;0.01,"Up",IF(AL42&lt;-0.01,"Down","Flat"))))</f>
        <v>0</v>
      </c>
      <c r="AN42" s="25"/>
    </row>
    <row r="43" spans="1:40">
      <c r="A43" s="7"/>
      <c r="B43" s="27"/>
      <c r="C43" s="27"/>
      <c r="D43" s="28"/>
      <c r="E43" s="27"/>
      <c r="F43" s="26"/>
      <c r="G43" s="8">
        <f>IF(OR(D43="",F43="",F43=0),"",D43/F43)</f>
        <v>0</v>
      </c>
      <c r="H43" s="26"/>
      <c r="I43" s="26"/>
      <c r="J43" s="26"/>
      <c r="K43" s="26"/>
      <c r="L43" s="26"/>
      <c r="M43" s="26"/>
      <c r="N43" s="27"/>
      <c r="O43" s="27"/>
      <c r="P43" s="27"/>
      <c r="Q43" s="27"/>
      <c r="R43" s="7"/>
      <c r="S43" s="8">
        <f>IF(A43="","",SUMIFS(Pantry!$C$5:$C$304,Pantry!$A$5:$A$304,A43))</f>
        <v>0</v>
      </c>
      <c r="T43" s="8">
        <f>IF(A43="","",COUNTIFS('Grocery List'!$A$5:$A$304,A43,'Grocery List'!$N$5:$N$304,"Yes"))</f>
        <v>0</v>
      </c>
      <c r="U43" s="8">
        <f>IF(A43="","",SUMIFS('Grocery List'!$M$5:$M$304,'Grocery List'!$A$5:$A$304,A43))</f>
        <v>0</v>
      </c>
      <c r="V43" s="8">
        <f>IF(A43="","",COUNTIFS('Recipe Ingredients'!$B$5:$B$1204,A43))</f>
        <v>0</v>
      </c>
      <c r="W43" s="8">
        <f>IF(A43="","",SUMIFS('Recipe Ingredients'!$C$5:$C$1204,'Recipe Ingredients'!$B$5:$B$1204,A43))</f>
        <v>0</v>
      </c>
      <c r="X43" s="8">
        <f>IF(A43="","",IF(U43&lt;=0,IF(S43&gt;0,99,0),ROUND(S43/U43,1)))</f>
        <v>0</v>
      </c>
      <c r="Y43" s="8">
        <f>IF(A43="","",U43*10+IF(O43="Yes",5,0)+IF(X43&lt;1,10,0)+IF(S43&lt;=0,3,0))</f>
        <v>0</v>
      </c>
      <c r="Z43" s="8">
        <f>IF(A43="","",COUNTIFS($Y$5:$Y$304,"&gt;"&amp;Y43)+1)</f>
        <v>0</v>
      </c>
      <c r="AA43" s="8">
        <f>IF(A43="","",IF(OR(U43&gt;0,AND(O43="Yes",X43&lt;2)),"Yes","No"))</f>
        <v>0</v>
      </c>
      <c r="AB43" s="8">
        <f>IF(OR(A43="",D43=""),"",S43*D43)</f>
        <v>0</v>
      </c>
      <c r="AC43" s="8">
        <f>IF(AB43="","",COUNTIFS($AB$5:$AB$304,"&gt;"&amp;AB43)+1)</f>
        <v>0</v>
      </c>
      <c r="AD43" s="8">
        <f>IF(A43="","",SUMIFS('Food Waste'!$E$5:$E$154,'Food Waste'!$C$5:$C$154,A43))</f>
        <v>0</v>
      </c>
      <c r="AE43" s="8">
        <f>IF(OR(A43="",AD43=0),"",COUNTIFS($AD$5:$AD$304,"&gt;"&amp;AD43)+1)</f>
        <v>0</v>
      </c>
      <c r="AF43" s="8">
        <f>IF(A43="","",IF(SUMPRODUCT(MAX(('Grocery Spending'!$E$5:$E$404=A43)*'Grocery Spending'!$A$5:$A$404))=0,"",SUMPRODUCT(MAX(('Grocery Spending'!$E$5:$E$404=A43)*'Grocery Spending'!$A$5:$A$404))))</f>
        <v>0</v>
      </c>
      <c r="AG43" s="8">
        <f>IF(OR(A43="",AF43=""),"",IFERROR(AVERAGEIFS('Grocery Spending'!$I$5:$I$404,'Grocery Spending'!$E$5:$E$404,A43,'Grocery Spending'!$A$5:$A$404,AF43),""))</f>
        <v>0</v>
      </c>
      <c r="AH43" s="8">
        <f>IF(A43="","",IFERROR(AVERAGEIFS('Grocery Spending'!$I$5:$I$404,'Grocery Spending'!$E$5:$E$404,A43),""))</f>
        <v>0</v>
      </c>
      <c r="AI43" s="8">
        <f>IF(A43="","",IF(SUMPRODUCT(MIN(('Grocery Spending'!$E$5:$E$404=A43)*'Grocery Spending'!$I$5:$I$404+('Grocery Spending'!$E$5:$E$404&lt;&gt;A43)*1000000))&gt;=1000000,"",SUMPRODUCT(MIN(('Grocery Spending'!$E$5:$E$404=A43)*'Grocery Spending'!$I$5:$I$404+('Grocery Spending'!$E$5:$E$404&lt;&gt;A43)*1000000))))</f>
        <v>0</v>
      </c>
      <c r="AJ43" s="8">
        <f>IF(A43="","",SUMPRODUCT(MAX(('Grocery Spending'!$E$5:$E$404=A43)*'Grocery Spending'!$I$5:$I$404)))</f>
        <v>0</v>
      </c>
      <c r="AK43" s="8">
        <f>IF(OR(A43="",AI43="",AJ43=0),"",AJ43-AI43)</f>
        <v>0</v>
      </c>
      <c r="AL43" s="8">
        <f>IF(OR(A43="",AG43="",AH43=""),"",AG43-AH43)</f>
        <v>0</v>
      </c>
      <c r="AM43" s="8">
        <f>IF(A43="","",IF(AL43="","",IF(AL43&gt;0.01,"Up",IF(AL43&lt;-0.01,"Down","Flat"))))</f>
        <v>0</v>
      </c>
      <c r="AN43" s="25"/>
    </row>
    <row r="44" spans="1:40">
      <c r="A44" s="7"/>
      <c r="B44" s="27"/>
      <c r="C44" s="27"/>
      <c r="D44" s="28"/>
      <c r="E44" s="27"/>
      <c r="F44" s="26"/>
      <c r="G44" s="8">
        <f>IF(OR(D44="",F44="",F44=0),"",D44/F44)</f>
        <v>0</v>
      </c>
      <c r="H44" s="26"/>
      <c r="I44" s="26"/>
      <c r="J44" s="26"/>
      <c r="K44" s="26"/>
      <c r="L44" s="26"/>
      <c r="M44" s="26"/>
      <c r="N44" s="27"/>
      <c r="O44" s="27"/>
      <c r="P44" s="27"/>
      <c r="Q44" s="27"/>
      <c r="R44" s="7"/>
      <c r="S44" s="8">
        <f>IF(A44="","",SUMIFS(Pantry!$C$5:$C$304,Pantry!$A$5:$A$304,A44))</f>
        <v>0</v>
      </c>
      <c r="T44" s="8">
        <f>IF(A44="","",COUNTIFS('Grocery List'!$A$5:$A$304,A44,'Grocery List'!$N$5:$N$304,"Yes"))</f>
        <v>0</v>
      </c>
      <c r="U44" s="8">
        <f>IF(A44="","",SUMIFS('Grocery List'!$M$5:$M$304,'Grocery List'!$A$5:$A$304,A44))</f>
        <v>0</v>
      </c>
      <c r="V44" s="8">
        <f>IF(A44="","",COUNTIFS('Recipe Ingredients'!$B$5:$B$1204,A44))</f>
        <v>0</v>
      </c>
      <c r="W44" s="8">
        <f>IF(A44="","",SUMIFS('Recipe Ingredients'!$C$5:$C$1204,'Recipe Ingredients'!$B$5:$B$1204,A44))</f>
        <v>0</v>
      </c>
      <c r="X44" s="8">
        <f>IF(A44="","",IF(U44&lt;=0,IF(S44&gt;0,99,0),ROUND(S44/U44,1)))</f>
        <v>0</v>
      </c>
      <c r="Y44" s="8">
        <f>IF(A44="","",U44*10+IF(O44="Yes",5,0)+IF(X44&lt;1,10,0)+IF(S44&lt;=0,3,0))</f>
        <v>0</v>
      </c>
      <c r="Z44" s="8">
        <f>IF(A44="","",COUNTIFS($Y$5:$Y$304,"&gt;"&amp;Y44)+1)</f>
        <v>0</v>
      </c>
      <c r="AA44" s="8">
        <f>IF(A44="","",IF(OR(U44&gt;0,AND(O44="Yes",X44&lt;2)),"Yes","No"))</f>
        <v>0</v>
      </c>
      <c r="AB44" s="8">
        <f>IF(OR(A44="",D44=""),"",S44*D44)</f>
        <v>0</v>
      </c>
      <c r="AC44" s="8">
        <f>IF(AB44="","",COUNTIFS($AB$5:$AB$304,"&gt;"&amp;AB44)+1)</f>
        <v>0</v>
      </c>
      <c r="AD44" s="8">
        <f>IF(A44="","",SUMIFS('Food Waste'!$E$5:$E$154,'Food Waste'!$C$5:$C$154,A44))</f>
        <v>0</v>
      </c>
      <c r="AE44" s="8">
        <f>IF(OR(A44="",AD44=0),"",COUNTIFS($AD$5:$AD$304,"&gt;"&amp;AD44)+1)</f>
        <v>0</v>
      </c>
      <c r="AF44" s="8">
        <f>IF(A44="","",IF(SUMPRODUCT(MAX(('Grocery Spending'!$E$5:$E$404=A44)*'Grocery Spending'!$A$5:$A$404))=0,"",SUMPRODUCT(MAX(('Grocery Spending'!$E$5:$E$404=A44)*'Grocery Spending'!$A$5:$A$404))))</f>
        <v>0</v>
      </c>
      <c r="AG44" s="8">
        <f>IF(OR(A44="",AF44=""),"",IFERROR(AVERAGEIFS('Grocery Spending'!$I$5:$I$404,'Grocery Spending'!$E$5:$E$404,A44,'Grocery Spending'!$A$5:$A$404,AF44),""))</f>
        <v>0</v>
      </c>
      <c r="AH44" s="8">
        <f>IF(A44="","",IFERROR(AVERAGEIFS('Grocery Spending'!$I$5:$I$404,'Grocery Spending'!$E$5:$E$404,A44),""))</f>
        <v>0</v>
      </c>
      <c r="AI44" s="8">
        <f>IF(A44="","",IF(SUMPRODUCT(MIN(('Grocery Spending'!$E$5:$E$404=A44)*'Grocery Spending'!$I$5:$I$404+('Grocery Spending'!$E$5:$E$404&lt;&gt;A44)*1000000))&gt;=1000000,"",SUMPRODUCT(MIN(('Grocery Spending'!$E$5:$E$404=A44)*'Grocery Spending'!$I$5:$I$404+('Grocery Spending'!$E$5:$E$404&lt;&gt;A44)*1000000))))</f>
        <v>0</v>
      </c>
      <c r="AJ44" s="8">
        <f>IF(A44="","",SUMPRODUCT(MAX(('Grocery Spending'!$E$5:$E$404=A44)*'Grocery Spending'!$I$5:$I$404)))</f>
        <v>0</v>
      </c>
      <c r="AK44" s="8">
        <f>IF(OR(A44="",AI44="",AJ44=0),"",AJ44-AI44)</f>
        <v>0</v>
      </c>
      <c r="AL44" s="8">
        <f>IF(OR(A44="",AG44="",AH44=""),"",AG44-AH44)</f>
        <v>0</v>
      </c>
      <c r="AM44" s="8">
        <f>IF(A44="","",IF(AL44="","",IF(AL44&gt;0.01,"Up",IF(AL44&lt;-0.01,"Down","Flat"))))</f>
        <v>0</v>
      </c>
      <c r="AN44" s="25"/>
    </row>
    <row r="45" spans="1:40">
      <c r="A45" s="7"/>
      <c r="B45" s="27"/>
      <c r="C45" s="27"/>
      <c r="D45" s="28"/>
      <c r="E45" s="27"/>
      <c r="F45" s="26"/>
      <c r="G45" s="8">
        <f>IF(OR(D45="",F45="",F45=0),"",D45/F45)</f>
        <v>0</v>
      </c>
      <c r="H45" s="26"/>
      <c r="I45" s="26"/>
      <c r="J45" s="26"/>
      <c r="K45" s="26"/>
      <c r="L45" s="26"/>
      <c r="M45" s="26"/>
      <c r="N45" s="27"/>
      <c r="O45" s="27"/>
      <c r="P45" s="27"/>
      <c r="Q45" s="27"/>
      <c r="R45" s="7"/>
      <c r="S45" s="8">
        <f>IF(A45="","",SUMIFS(Pantry!$C$5:$C$304,Pantry!$A$5:$A$304,A45))</f>
        <v>0</v>
      </c>
      <c r="T45" s="8">
        <f>IF(A45="","",COUNTIFS('Grocery List'!$A$5:$A$304,A45,'Grocery List'!$N$5:$N$304,"Yes"))</f>
        <v>0</v>
      </c>
      <c r="U45" s="8">
        <f>IF(A45="","",SUMIFS('Grocery List'!$M$5:$M$304,'Grocery List'!$A$5:$A$304,A45))</f>
        <v>0</v>
      </c>
      <c r="V45" s="8">
        <f>IF(A45="","",COUNTIFS('Recipe Ingredients'!$B$5:$B$1204,A45))</f>
        <v>0</v>
      </c>
      <c r="W45" s="8">
        <f>IF(A45="","",SUMIFS('Recipe Ingredients'!$C$5:$C$1204,'Recipe Ingredients'!$B$5:$B$1204,A45))</f>
        <v>0</v>
      </c>
      <c r="X45" s="8">
        <f>IF(A45="","",IF(U45&lt;=0,IF(S45&gt;0,99,0),ROUND(S45/U45,1)))</f>
        <v>0</v>
      </c>
      <c r="Y45" s="8">
        <f>IF(A45="","",U45*10+IF(O45="Yes",5,0)+IF(X45&lt;1,10,0)+IF(S45&lt;=0,3,0))</f>
        <v>0</v>
      </c>
      <c r="Z45" s="8">
        <f>IF(A45="","",COUNTIFS($Y$5:$Y$304,"&gt;"&amp;Y45)+1)</f>
        <v>0</v>
      </c>
      <c r="AA45" s="8">
        <f>IF(A45="","",IF(OR(U45&gt;0,AND(O45="Yes",X45&lt;2)),"Yes","No"))</f>
        <v>0</v>
      </c>
      <c r="AB45" s="8">
        <f>IF(OR(A45="",D45=""),"",S45*D45)</f>
        <v>0</v>
      </c>
      <c r="AC45" s="8">
        <f>IF(AB45="","",COUNTIFS($AB$5:$AB$304,"&gt;"&amp;AB45)+1)</f>
        <v>0</v>
      </c>
      <c r="AD45" s="8">
        <f>IF(A45="","",SUMIFS('Food Waste'!$E$5:$E$154,'Food Waste'!$C$5:$C$154,A45))</f>
        <v>0</v>
      </c>
      <c r="AE45" s="8">
        <f>IF(OR(A45="",AD45=0),"",COUNTIFS($AD$5:$AD$304,"&gt;"&amp;AD45)+1)</f>
        <v>0</v>
      </c>
      <c r="AF45" s="8">
        <f>IF(A45="","",IF(SUMPRODUCT(MAX(('Grocery Spending'!$E$5:$E$404=A45)*'Grocery Spending'!$A$5:$A$404))=0,"",SUMPRODUCT(MAX(('Grocery Spending'!$E$5:$E$404=A45)*'Grocery Spending'!$A$5:$A$404))))</f>
        <v>0</v>
      </c>
      <c r="AG45" s="8">
        <f>IF(OR(A45="",AF45=""),"",IFERROR(AVERAGEIFS('Grocery Spending'!$I$5:$I$404,'Grocery Spending'!$E$5:$E$404,A45,'Grocery Spending'!$A$5:$A$404,AF45),""))</f>
        <v>0</v>
      </c>
      <c r="AH45" s="8">
        <f>IF(A45="","",IFERROR(AVERAGEIFS('Grocery Spending'!$I$5:$I$404,'Grocery Spending'!$E$5:$E$404,A45),""))</f>
        <v>0</v>
      </c>
      <c r="AI45" s="8">
        <f>IF(A45="","",IF(SUMPRODUCT(MIN(('Grocery Spending'!$E$5:$E$404=A45)*'Grocery Spending'!$I$5:$I$404+('Grocery Spending'!$E$5:$E$404&lt;&gt;A45)*1000000))&gt;=1000000,"",SUMPRODUCT(MIN(('Grocery Spending'!$E$5:$E$404=A45)*'Grocery Spending'!$I$5:$I$404+('Grocery Spending'!$E$5:$E$404&lt;&gt;A45)*1000000))))</f>
        <v>0</v>
      </c>
      <c r="AJ45" s="8">
        <f>IF(A45="","",SUMPRODUCT(MAX(('Grocery Spending'!$E$5:$E$404=A45)*'Grocery Spending'!$I$5:$I$404)))</f>
        <v>0</v>
      </c>
      <c r="AK45" s="8">
        <f>IF(OR(A45="",AI45="",AJ45=0),"",AJ45-AI45)</f>
        <v>0</v>
      </c>
      <c r="AL45" s="8">
        <f>IF(OR(A45="",AG45="",AH45=""),"",AG45-AH45)</f>
        <v>0</v>
      </c>
      <c r="AM45" s="8">
        <f>IF(A45="","",IF(AL45="","",IF(AL45&gt;0.01,"Up",IF(AL45&lt;-0.01,"Down","Flat"))))</f>
        <v>0</v>
      </c>
      <c r="AN45" s="25"/>
    </row>
    <row r="46" spans="1:40">
      <c r="A46" s="7"/>
      <c r="B46" s="27"/>
      <c r="C46" s="27"/>
      <c r="D46" s="28"/>
      <c r="E46" s="27"/>
      <c r="F46" s="26"/>
      <c r="G46" s="8">
        <f>IF(OR(D46="",F46="",F46=0),"",D46/F46)</f>
        <v>0</v>
      </c>
      <c r="H46" s="26"/>
      <c r="I46" s="26"/>
      <c r="J46" s="26"/>
      <c r="K46" s="26"/>
      <c r="L46" s="26"/>
      <c r="M46" s="26"/>
      <c r="N46" s="27"/>
      <c r="O46" s="27"/>
      <c r="P46" s="27"/>
      <c r="Q46" s="27"/>
      <c r="R46" s="7"/>
      <c r="S46" s="8">
        <f>IF(A46="","",SUMIFS(Pantry!$C$5:$C$304,Pantry!$A$5:$A$304,A46))</f>
        <v>0</v>
      </c>
      <c r="T46" s="8">
        <f>IF(A46="","",COUNTIFS('Grocery List'!$A$5:$A$304,A46,'Grocery List'!$N$5:$N$304,"Yes"))</f>
        <v>0</v>
      </c>
      <c r="U46" s="8">
        <f>IF(A46="","",SUMIFS('Grocery List'!$M$5:$M$304,'Grocery List'!$A$5:$A$304,A46))</f>
        <v>0</v>
      </c>
      <c r="V46" s="8">
        <f>IF(A46="","",COUNTIFS('Recipe Ingredients'!$B$5:$B$1204,A46))</f>
        <v>0</v>
      </c>
      <c r="W46" s="8">
        <f>IF(A46="","",SUMIFS('Recipe Ingredients'!$C$5:$C$1204,'Recipe Ingredients'!$B$5:$B$1204,A46))</f>
        <v>0</v>
      </c>
      <c r="X46" s="8">
        <f>IF(A46="","",IF(U46&lt;=0,IF(S46&gt;0,99,0),ROUND(S46/U46,1)))</f>
        <v>0</v>
      </c>
      <c r="Y46" s="8">
        <f>IF(A46="","",U46*10+IF(O46="Yes",5,0)+IF(X46&lt;1,10,0)+IF(S46&lt;=0,3,0))</f>
        <v>0</v>
      </c>
      <c r="Z46" s="8">
        <f>IF(A46="","",COUNTIFS($Y$5:$Y$304,"&gt;"&amp;Y46)+1)</f>
        <v>0</v>
      </c>
      <c r="AA46" s="8">
        <f>IF(A46="","",IF(OR(U46&gt;0,AND(O46="Yes",X46&lt;2)),"Yes","No"))</f>
        <v>0</v>
      </c>
      <c r="AB46" s="8">
        <f>IF(OR(A46="",D46=""),"",S46*D46)</f>
        <v>0</v>
      </c>
      <c r="AC46" s="8">
        <f>IF(AB46="","",COUNTIFS($AB$5:$AB$304,"&gt;"&amp;AB46)+1)</f>
        <v>0</v>
      </c>
      <c r="AD46" s="8">
        <f>IF(A46="","",SUMIFS('Food Waste'!$E$5:$E$154,'Food Waste'!$C$5:$C$154,A46))</f>
        <v>0</v>
      </c>
      <c r="AE46" s="8">
        <f>IF(OR(A46="",AD46=0),"",COUNTIFS($AD$5:$AD$304,"&gt;"&amp;AD46)+1)</f>
        <v>0</v>
      </c>
      <c r="AF46" s="8">
        <f>IF(A46="","",IF(SUMPRODUCT(MAX(('Grocery Spending'!$E$5:$E$404=A46)*'Grocery Spending'!$A$5:$A$404))=0,"",SUMPRODUCT(MAX(('Grocery Spending'!$E$5:$E$404=A46)*'Grocery Spending'!$A$5:$A$404))))</f>
        <v>0</v>
      </c>
      <c r="AG46" s="8">
        <f>IF(OR(A46="",AF46=""),"",IFERROR(AVERAGEIFS('Grocery Spending'!$I$5:$I$404,'Grocery Spending'!$E$5:$E$404,A46,'Grocery Spending'!$A$5:$A$404,AF46),""))</f>
        <v>0</v>
      </c>
      <c r="AH46" s="8">
        <f>IF(A46="","",IFERROR(AVERAGEIFS('Grocery Spending'!$I$5:$I$404,'Grocery Spending'!$E$5:$E$404,A46),""))</f>
        <v>0</v>
      </c>
      <c r="AI46" s="8">
        <f>IF(A46="","",IF(SUMPRODUCT(MIN(('Grocery Spending'!$E$5:$E$404=A46)*'Grocery Spending'!$I$5:$I$404+('Grocery Spending'!$E$5:$E$404&lt;&gt;A46)*1000000))&gt;=1000000,"",SUMPRODUCT(MIN(('Grocery Spending'!$E$5:$E$404=A46)*'Grocery Spending'!$I$5:$I$404+('Grocery Spending'!$E$5:$E$404&lt;&gt;A46)*1000000))))</f>
        <v>0</v>
      </c>
      <c r="AJ46" s="8">
        <f>IF(A46="","",SUMPRODUCT(MAX(('Grocery Spending'!$E$5:$E$404=A46)*'Grocery Spending'!$I$5:$I$404)))</f>
        <v>0</v>
      </c>
      <c r="AK46" s="8">
        <f>IF(OR(A46="",AI46="",AJ46=0),"",AJ46-AI46)</f>
        <v>0</v>
      </c>
      <c r="AL46" s="8">
        <f>IF(OR(A46="",AG46="",AH46=""),"",AG46-AH46)</f>
        <v>0</v>
      </c>
      <c r="AM46" s="8">
        <f>IF(A46="","",IF(AL46="","",IF(AL46&gt;0.01,"Up",IF(AL46&lt;-0.01,"Down","Flat"))))</f>
        <v>0</v>
      </c>
      <c r="AN46" s="25"/>
    </row>
    <row r="47" spans="1:40">
      <c r="A47" s="7"/>
      <c r="B47" s="27"/>
      <c r="C47" s="27"/>
      <c r="D47" s="28"/>
      <c r="E47" s="27"/>
      <c r="F47" s="26"/>
      <c r="G47" s="8">
        <f>IF(OR(D47="",F47="",F47=0),"",D47/F47)</f>
        <v>0</v>
      </c>
      <c r="H47" s="26"/>
      <c r="I47" s="26"/>
      <c r="J47" s="26"/>
      <c r="K47" s="26"/>
      <c r="L47" s="26"/>
      <c r="M47" s="26"/>
      <c r="N47" s="27"/>
      <c r="O47" s="27"/>
      <c r="P47" s="27"/>
      <c r="Q47" s="27"/>
      <c r="R47" s="7"/>
      <c r="S47" s="8">
        <f>IF(A47="","",SUMIFS(Pantry!$C$5:$C$304,Pantry!$A$5:$A$304,A47))</f>
        <v>0</v>
      </c>
      <c r="T47" s="8">
        <f>IF(A47="","",COUNTIFS('Grocery List'!$A$5:$A$304,A47,'Grocery List'!$N$5:$N$304,"Yes"))</f>
        <v>0</v>
      </c>
      <c r="U47" s="8">
        <f>IF(A47="","",SUMIFS('Grocery List'!$M$5:$M$304,'Grocery List'!$A$5:$A$304,A47))</f>
        <v>0</v>
      </c>
      <c r="V47" s="8">
        <f>IF(A47="","",COUNTIFS('Recipe Ingredients'!$B$5:$B$1204,A47))</f>
        <v>0</v>
      </c>
      <c r="W47" s="8">
        <f>IF(A47="","",SUMIFS('Recipe Ingredients'!$C$5:$C$1204,'Recipe Ingredients'!$B$5:$B$1204,A47))</f>
        <v>0</v>
      </c>
      <c r="X47" s="8">
        <f>IF(A47="","",IF(U47&lt;=0,IF(S47&gt;0,99,0),ROUND(S47/U47,1)))</f>
        <v>0</v>
      </c>
      <c r="Y47" s="8">
        <f>IF(A47="","",U47*10+IF(O47="Yes",5,0)+IF(X47&lt;1,10,0)+IF(S47&lt;=0,3,0))</f>
        <v>0</v>
      </c>
      <c r="Z47" s="8">
        <f>IF(A47="","",COUNTIFS($Y$5:$Y$304,"&gt;"&amp;Y47)+1)</f>
        <v>0</v>
      </c>
      <c r="AA47" s="8">
        <f>IF(A47="","",IF(OR(U47&gt;0,AND(O47="Yes",X47&lt;2)),"Yes","No"))</f>
        <v>0</v>
      </c>
      <c r="AB47" s="8">
        <f>IF(OR(A47="",D47=""),"",S47*D47)</f>
        <v>0</v>
      </c>
      <c r="AC47" s="8">
        <f>IF(AB47="","",COUNTIFS($AB$5:$AB$304,"&gt;"&amp;AB47)+1)</f>
        <v>0</v>
      </c>
      <c r="AD47" s="8">
        <f>IF(A47="","",SUMIFS('Food Waste'!$E$5:$E$154,'Food Waste'!$C$5:$C$154,A47))</f>
        <v>0</v>
      </c>
      <c r="AE47" s="8">
        <f>IF(OR(A47="",AD47=0),"",COUNTIFS($AD$5:$AD$304,"&gt;"&amp;AD47)+1)</f>
        <v>0</v>
      </c>
      <c r="AF47" s="8">
        <f>IF(A47="","",IF(SUMPRODUCT(MAX(('Grocery Spending'!$E$5:$E$404=A47)*'Grocery Spending'!$A$5:$A$404))=0,"",SUMPRODUCT(MAX(('Grocery Spending'!$E$5:$E$404=A47)*'Grocery Spending'!$A$5:$A$404))))</f>
        <v>0</v>
      </c>
      <c r="AG47" s="8">
        <f>IF(OR(A47="",AF47=""),"",IFERROR(AVERAGEIFS('Grocery Spending'!$I$5:$I$404,'Grocery Spending'!$E$5:$E$404,A47,'Grocery Spending'!$A$5:$A$404,AF47),""))</f>
        <v>0</v>
      </c>
      <c r="AH47" s="8">
        <f>IF(A47="","",IFERROR(AVERAGEIFS('Grocery Spending'!$I$5:$I$404,'Grocery Spending'!$E$5:$E$404,A47),""))</f>
        <v>0</v>
      </c>
      <c r="AI47" s="8">
        <f>IF(A47="","",IF(SUMPRODUCT(MIN(('Grocery Spending'!$E$5:$E$404=A47)*'Grocery Spending'!$I$5:$I$404+('Grocery Spending'!$E$5:$E$404&lt;&gt;A47)*1000000))&gt;=1000000,"",SUMPRODUCT(MIN(('Grocery Spending'!$E$5:$E$404=A47)*'Grocery Spending'!$I$5:$I$404+('Grocery Spending'!$E$5:$E$404&lt;&gt;A47)*1000000))))</f>
        <v>0</v>
      </c>
      <c r="AJ47" s="8">
        <f>IF(A47="","",SUMPRODUCT(MAX(('Grocery Spending'!$E$5:$E$404=A47)*'Grocery Spending'!$I$5:$I$404)))</f>
        <v>0</v>
      </c>
      <c r="AK47" s="8">
        <f>IF(OR(A47="",AI47="",AJ47=0),"",AJ47-AI47)</f>
        <v>0</v>
      </c>
      <c r="AL47" s="8">
        <f>IF(OR(A47="",AG47="",AH47=""),"",AG47-AH47)</f>
        <v>0</v>
      </c>
      <c r="AM47" s="8">
        <f>IF(A47="","",IF(AL47="","",IF(AL47&gt;0.01,"Up",IF(AL47&lt;-0.01,"Down","Flat"))))</f>
        <v>0</v>
      </c>
      <c r="AN47" s="25"/>
    </row>
    <row r="48" spans="1:40">
      <c r="A48" s="7"/>
      <c r="B48" s="27"/>
      <c r="C48" s="27"/>
      <c r="D48" s="28"/>
      <c r="E48" s="27"/>
      <c r="F48" s="26"/>
      <c r="G48" s="8">
        <f>IF(OR(D48="",F48="",F48=0),"",D48/F48)</f>
        <v>0</v>
      </c>
      <c r="H48" s="26"/>
      <c r="I48" s="26"/>
      <c r="J48" s="26"/>
      <c r="K48" s="26"/>
      <c r="L48" s="26"/>
      <c r="M48" s="26"/>
      <c r="N48" s="27"/>
      <c r="O48" s="27"/>
      <c r="P48" s="27"/>
      <c r="Q48" s="27"/>
      <c r="R48" s="7"/>
      <c r="S48" s="8">
        <f>IF(A48="","",SUMIFS(Pantry!$C$5:$C$304,Pantry!$A$5:$A$304,A48))</f>
        <v>0</v>
      </c>
      <c r="T48" s="8">
        <f>IF(A48="","",COUNTIFS('Grocery List'!$A$5:$A$304,A48,'Grocery List'!$N$5:$N$304,"Yes"))</f>
        <v>0</v>
      </c>
      <c r="U48" s="8">
        <f>IF(A48="","",SUMIFS('Grocery List'!$M$5:$M$304,'Grocery List'!$A$5:$A$304,A48))</f>
        <v>0</v>
      </c>
      <c r="V48" s="8">
        <f>IF(A48="","",COUNTIFS('Recipe Ingredients'!$B$5:$B$1204,A48))</f>
        <v>0</v>
      </c>
      <c r="W48" s="8">
        <f>IF(A48="","",SUMIFS('Recipe Ingredients'!$C$5:$C$1204,'Recipe Ingredients'!$B$5:$B$1204,A48))</f>
        <v>0</v>
      </c>
      <c r="X48" s="8">
        <f>IF(A48="","",IF(U48&lt;=0,IF(S48&gt;0,99,0),ROUND(S48/U48,1)))</f>
        <v>0</v>
      </c>
      <c r="Y48" s="8">
        <f>IF(A48="","",U48*10+IF(O48="Yes",5,0)+IF(X48&lt;1,10,0)+IF(S48&lt;=0,3,0))</f>
        <v>0</v>
      </c>
      <c r="Z48" s="8">
        <f>IF(A48="","",COUNTIFS($Y$5:$Y$304,"&gt;"&amp;Y48)+1)</f>
        <v>0</v>
      </c>
      <c r="AA48" s="8">
        <f>IF(A48="","",IF(OR(U48&gt;0,AND(O48="Yes",X48&lt;2)),"Yes","No"))</f>
        <v>0</v>
      </c>
      <c r="AB48" s="8">
        <f>IF(OR(A48="",D48=""),"",S48*D48)</f>
        <v>0</v>
      </c>
      <c r="AC48" s="8">
        <f>IF(AB48="","",COUNTIFS($AB$5:$AB$304,"&gt;"&amp;AB48)+1)</f>
        <v>0</v>
      </c>
      <c r="AD48" s="8">
        <f>IF(A48="","",SUMIFS('Food Waste'!$E$5:$E$154,'Food Waste'!$C$5:$C$154,A48))</f>
        <v>0</v>
      </c>
      <c r="AE48" s="8">
        <f>IF(OR(A48="",AD48=0),"",COUNTIFS($AD$5:$AD$304,"&gt;"&amp;AD48)+1)</f>
        <v>0</v>
      </c>
      <c r="AF48" s="8">
        <f>IF(A48="","",IF(SUMPRODUCT(MAX(('Grocery Spending'!$E$5:$E$404=A48)*'Grocery Spending'!$A$5:$A$404))=0,"",SUMPRODUCT(MAX(('Grocery Spending'!$E$5:$E$404=A48)*'Grocery Spending'!$A$5:$A$404))))</f>
        <v>0</v>
      </c>
      <c r="AG48" s="8">
        <f>IF(OR(A48="",AF48=""),"",IFERROR(AVERAGEIFS('Grocery Spending'!$I$5:$I$404,'Grocery Spending'!$E$5:$E$404,A48,'Grocery Spending'!$A$5:$A$404,AF48),""))</f>
        <v>0</v>
      </c>
      <c r="AH48" s="8">
        <f>IF(A48="","",IFERROR(AVERAGEIFS('Grocery Spending'!$I$5:$I$404,'Grocery Spending'!$E$5:$E$404,A48),""))</f>
        <v>0</v>
      </c>
      <c r="AI48" s="8">
        <f>IF(A48="","",IF(SUMPRODUCT(MIN(('Grocery Spending'!$E$5:$E$404=A48)*'Grocery Spending'!$I$5:$I$404+('Grocery Spending'!$E$5:$E$404&lt;&gt;A48)*1000000))&gt;=1000000,"",SUMPRODUCT(MIN(('Grocery Spending'!$E$5:$E$404=A48)*'Grocery Spending'!$I$5:$I$404+('Grocery Spending'!$E$5:$E$404&lt;&gt;A48)*1000000))))</f>
        <v>0</v>
      </c>
      <c r="AJ48" s="8">
        <f>IF(A48="","",SUMPRODUCT(MAX(('Grocery Spending'!$E$5:$E$404=A48)*'Grocery Spending'!$I$5:$I$404)))</f>
        <v>0</v>
      </c>
      <c r="AK48" s="8">
        <f>IF(OR(A48="",AI48="",AJ48=0),"",AJ48-AI48)</f>
        <v>0</v>
      </c>
      <c r="AL48" s="8">
        <f>IF(OR(A48="",AG48="",AH48=""),"",AG48-AH48)</f>
        <v>0</v>
      </c>
      <c r="AM48" s="8">
        <f>IF(A48="","",IF(AL48="","",IF(AL48&gt;0.01,"Up",IF(AL48&lt;-0.01,"Down","Flat"))))</f>
        <v>0</v>
      </c>
      <c r="AN48" s="25"/>
    </row>
    <row r="49" spans="1:40">
      <c r="A49" s="7"/>
      <c r="B49" s="27"/>
      <c r="C49" s="27"/>
      <c r="D49" s="28"/>
      <c r="E49" s="27"/>
      <c r="F49" s="26"/>
      <c r="G49" s="8">
        <f>IF(OR(D49="",F49="",F49=0),"",D49/F49)</f>
        <v>0</v>
      </c>
      <c r="H49" s="26"/>
      <c r="I49" s="26"/>
      <c r="J49" s="26"/>
      <c r="K49" s="26"/>
      <c r="L49" s="26"/>
      <c r="M49" s="26"/>
      <c r="N49" s="27"/>
      <c r="O49" s="27"/>
      <c r="P49" s="27"/>
      <c r="Q49" s="27"/>
      <c r="R49" s="7"/>
      <c r="S49" s="8">
        <f>IF(A49="","",SUMIFS(Pantry!$C$5:$C$304,Pantry!$A$5:$A$304,A49))</f>
        <v>0</v>
      </c>
      <c r="T49" s="8">
        <f>IF(A49="","",COUNTIFS('Grocery List'!$A$5:$A$304,A49,'Grocery List'!$N$5:$N$304,"Yes"))</f>
        <v>0</v>
      </c>
      <c r="U49" s="8">
        <f>IF(A49="","",SUMIFS('Grocery List'!$M$5:$M$304,'Grocery List'!$A$5:$A$304,A49))</f>
        <v>0</v>
      </c>
      <c r="V49" s="8">
        <f>IF(A49="","",COUNTIFS('Recipe Ingredients'!$B$5:$B$1204,A49))</f>
        <v>0</v>
      </c>
      <c r="W49" s="8">
        <f>IF(A49="","",SUMIFS('Recipe Ingredients'!$C$5:$C$1204,'Recipe Ingredients'!$B$5:$B$1204,A49))</f>
        <v>0</v>
      </c>
      <c r="X49" s="8">
        <f>IF(A49="","",IF(U49&lt;=0,IF(S49&gt;0,99,0),ROUND(S49/U49,1)))</f>
        <v>0</v>
      </c>
      <c r="Y49" s="8">
        <f>IF(A49="","",U49*10+IF(O49="Yes",5,0)+IF(X49&lt;1,10,0)+IF(S49&lt;=0,3,0))</f>
        <v>0</v>
      </c>
      <c r="Z49" s="8">
        <f>IF(A49="","",COUNTIFS($Y$5:$Y$304,"&gt;"&amp;Y49)+1)</f>
        <v>0</v>
      </c>
      <c r="AA49" s="8">
        <f>IF(A49="","",IF(OR(U49&gt;0,AND(O49="Yes",X49&lt;2)),"Yes","No"))</f>
        <v>0</v>
      </c>
      <c r="AB49" s="8">
        <f>IF(OR(A49="",D49=""),"",S49*D49)</f>
        <v>0</v>
      </c>
      <c r="AC49" s="8">
        <f>IF(AB49="","",COUNTIFS($AB$5:$AB$304,"&gt;"&amp;AB49)+1)</f>
        <v>0</v>
      </c>
      <c r="AD49" s="8">
        <f>IF(A49="","",SUMIFS('Food Waste'!$E$5:$E$154,'Food Waste'!$C$5:$C$154,A49))</f>
        <v>0</v>
      </c>
      <c r="AE49" s="8">
        <f>IF(OR(A49="",AD49=0),"",COUNTIFS($AD$5:$AD$304,"&gt;"&amp;AD49)+1)</f>
        <v>0</v>
      </c>
      <c r="AF49" s="8">
        <f>IF(A49="","",IF(SUMPRODUCT(MAX(('Grocery Spending'!$E$5:$E$404=A49)*'Grocery Spending'!$A$5:$A$404))=0,"",SUMPRODUCT(MAX(('Grocery Spending'!$E$5:$E$404=A49)*'Grocery Spending'!$A$5:$A$404))))</f>
        <v>0</v>
      </c>
      <c r="AG49" s="8">
        <f>IF(OR(A49="",AF49=""),"",IFERROR(AVERAGEIFS('Grocery Spending'!$I$5:$I$404,'Grocery Spending'!$E$5:$E$404,A49,'Grocery Spending'!$A$5:$A$404,AF49),""))</f>
        <v>0</v>
      </c>
      <c r="AH49" s="8">
        <f>IF(A49="","",IFERROR(AVERAGEIFS('Grocery Spending'!$I$5:$I$404,'Grocery Spending'!$E$5:$E$404,A49),""))</f>
        <v>0</v>
      </c>
      <c r="AI49" s="8">
        <f>IF(A49="","",IF(SUMPRODUCT(MIN(('Grocery Spending'!$E$5:$E$404=A49)*'Grocery Spending'!$I$5:$I$404+('Grocery Spending'!$E$5:$E$404&lt;&gt;A49)*1000000))&gt;=1000000,"",SUMPRODUCT(MIN(('Grocery Spending'!$E$5:$E$404=A49)*'Grocery Spending'!$I$5:$I$404+('Grocery Spending'!$E$5:$E$404&lt;&gt;A49)*1000000))))</f>
        <v>0</v>
      </c>
      <c r="AJ49" s="8">
        <f>IF(A49="","",SUMPRODUCT(MAX(('Grocery Spending'!$E$5:$E$404=A49)*'Grocery Spending'!$I$5:$I$404)))</f>
        <v>0</v>
      </c>
      <c r="AK49" s="8">
        <f>IF(OR(A49="",AI49="",AJ49=0),"",AJ49-AI49)</f>
        <v>0</v>
      </c>
      <c r="AL49" s="8">
        <f>IF(OR(A49="",AG49="",AH49=""),"",AG49-AH49)</f>
        <v>0</v>
      </c>
      <c r="AM49" s="8">
        <f>IF(A49="","",IF(AL49="","",IF(AL49&gt;0.01,"Up",IF(AL49&lt;-0.01,"Down","Flat"))))</f>
        <v>0</v>
      </c>
      <c r="AN49" s="25"/>
    </row>
    <row r="50" spans="1:40">
      <c r="A50" s="7"/>
      <c r="B50" s="27"/>
      <c r="C50" s="27"/>
      <c r="D50" s="28"/>
      <c r="E50" s="27"/>
      <c r="F50" s="26"/>
      <c r="G50" s="8">
        <f>IF(OR(D50="",F50="",F50=0),"",D50/F50)</f>
        <v>0</v>
      </c>
      <c r="H50" s="26"/>
      <c r="I50" s="26"/>
      <c r="J50" s="26"/>
      <c r="K50" s="26"/>
      <c r="L50" s="26"/>
      <c r="M50" s="26"/>
      <c r="N50" s="27"/>
      <c r="O50" s="27"/>
      <c r="P50" s="27"/>
      <c r="Q50" s="27"/>
      <c r="R50" s="7"/>
      <c r="S50" s="8">
        <f>IF(A50="","",SUMIFS(Pantry!$C$5:$C$304,Pantry!$A$5:$A$304,A50))</f>
        <v>0</v>
      </c>
      <c r="T50" s="8">
        <f>IF(A50="","",COUNTIFS('Grocery List'!$A$5:$A$304,A50,'Grocery List'!$N$5:$N$304,"Yes"))</f>
        <v>0</v>
      </c>
      <c r="U50" s="8">
        <f>IF(A50="","",SUMIFS('Grocery List'!$M$5:$M$304,'Grocery List'!$A$5:$A$304,A50))</f>
        <v>0</v>
      </c>
      <c r="V50" s="8">
        <f>IF(A50="","",COUNTIFS('Recipe Ingredients'!$B$5:$B$1204,A50))</f>
        <v>0</v>
      </c>
      <c r="W50" s="8">
        <f>IF(A50="","",SUMIFS('Recipe Ingredients'!$C$5:$C$1204,'Recipe Ingredients'!$B$5:$B$1204,A50))</f>
        <v>0</v>
      </c>
      <c r="X50" s="8">
        <f>IF(A50="","",IF(U50&lt;=0,IF(S50&gt;0,99,0),ROUND(S50/U50,1)))</f>
        <v>0</v>
      </c>
      <c r="Y50" s="8">
        <f>IF(A50="","",U50*10+IF(O50="Yes",5,0)+IF(X50&lt;1,10,0)+IF(S50&lt;=0,3,0))</f>
        <v>0</v>
      </c>
      <c r="Z50" s="8">
        <f>IF(A50="","",COUNTIFS($Y$5:$Y$304,"&gt;"&amp;Y50)+1)</f>
        <v>0</v>
      </c>
      <c r="AA50" s="8">
        <f>IF(A50="","",IF(OR(U50&gt;0,AND(O50="Yes",X50&lt;2)),"Yes","No"))</f>
        <v>0</v>
      </c>
      <c r="AB50" s="8">
        <f>IF(OR(A50="",D50=""),"",S50*D50)</f>
        <v>0</v>
      </c>
      <c r="AC50" s="8">
        <f>IF(AB50="","",COUNTIFS($AB$5:$AB$304,"&gt;"&amp;AB50)+1)</f>
        <v>0</v>
      </c>
      <c r="AD50" s="8">
        <f>IF(A50="","",SUMIFS('Food Waste'!$E$5:$E$154,'Food Waste'!$C$5:$C$154,A50))</f>
        <v>0</v>
      </c>
      <c r="AE50" s="8">
        <f>IF(OR(A50="",AD50=0),"",COUNTIFS($AD$5:$AD$304,"&gt;"&amp;AD50)+1)</f>
        <v>0</v>
      </c>
      <c r="AF50" s="8">
        <f>IF(A50="","",IF(SUMPRODUCT(MAX(('Grocery Spending'!$E$5:$E$404=A50)*'Grocery Spending'!$A$5:$A$404))=0,"",SUMPRODUCT(MAX(('Grocery Spending'!$E$5:$E$404=A50)*'Grocery Spending'!$A$5:$A$404))))</f>
        <v>0</v>
      </c>
      <c r="AG50" s="8">
        <f>IF(OR(A50="",AF50=""),"",IFERROR(AVERAGEIFS('Grocery Spending'!$I$5:$I$404,'Grocery Spending'!$E$5:$E$404,A50,'Grocery Spending'!$A$5:$A$404,AF50),""))</f>
        <v>0</v>
      </c>
      <c r="AH50" s="8">
        <f>IF(A50="","",IFERROR(AVERAGEIFS('Grocery Spending'!$I$5:$I$404,'Grocery Spending'!$E$5:$E$404,A50),""))</f>
        <v>0</v>
      </c>
      <c r="AI50" s="8">
        <f>IF(A50="","",IF(SUMPRODUCT(MIN(('Grocery Spending'!$E$5:$E$404=A50)*'Grocery Spending'!$I$5:$I$404+('Grocery Spending'!$E$5:$E$404&lt;&gt;A50)*1000000))&gt;=1000000,"",SUMPRODUCT(MIN(('Grocery Spending'!$E$5:$E$404=A50)*'Grocery Spending'!$I$5:$I$404+('Grocery Spending'!$E$5:$E$404&lt;&gt;A50)*1000000))))</f>
        <v>0</v>
      </c>
      <c r="AJ50" s="8">
        <f>IF(A50="","",SUMPRODUCT(MAX(('Grocery Spending'!$E$5:$E$404=A50)*'Grocery Spending'!$I$5:$I$404)))</f>
        <v>0</v>
      </c>
      <c r="AK50" s="8">
        <f>IF(OR(A50="",AI50="",AJ50=0),"",AJ50-AI50)</f>
        <v>0</v>
      </c>
      <c r="AL50" s="8">
        <f>IF(OR(A50="",AG50="",AH50=""),"",AG50-AH50)</f>
        <v>0</v>
      </c>
      <c r="AM50" s="8">
        <f>IF(A50="","",IF(AL50="","",IF(AL50&gt;0.01,"Up",IF(AL50&lt;-0.01,"Down","Flat"))))</f>
        <v>0</v>
      </c>
      <c r="AN50" s="25"/>
    </row>
    <row r="51" spans="1:40">
      <c r="A51" s="7"/>
      <c r="B51" s="27"/>
      <c r="C51" s="27"/>
      <c r="D51" s="28"/>
      <c r="E51" s="27"/>
      <c r="F51" s="26"/>
      <c r="G51" s="8">
        <f>IF(OR(D51="",F51="",F51=0),"",D51/F51)</f>
        <v>0</v>
      </c>
      <c r="H51" s="26"/>
      <c r="I51" s="26"/>
      <c r="J51" s="26"/>
      <c r="K51" s="26"/>
      <c r="L51" s="26"/>
      <c r="M51" s="26"/>
      <c r="N51" s="27"/>
      <c r="O51" s="27"/>
      <c r="P51" s="27"/>
      <c r="Q51" s="27"/>
      <c r="R51" s="7"/>
      <c r="S51" s="8">
        <f>IF(A51="","",SUMIFS(Pantry!$C$5:$C$304,Pantry!$A$5:$A$304,A51))</f>
        <v>0</v>
      </c>
      <c r="T51" s="8">
        <f>IF(A51="","",COUNTIFS('Grocery List'!$A$5:$A$304,A51,'Grocery List'!$N$5:$N$304,"Yes"))</f>
        <v>0</v>
      </c>
      <c r="U51" s="8">
        <f>IF(A51="","",SUMIFS('Grocery List'!$M$5:$M$304,'Grocery List'!$A$5:$A$304,A51))</f>
        <v>0</v>
      </c>
      <c r="V51" s="8">
        <f>IF(A51="","",COUNTIFS('Recipe Ingredients'!$B$5:$B$1204,A51))</f>
        <v>0</v>
      </c>
      <c r="W51" s="8">
        <f>IF(A51="","",SUMIFS('Recipe Ingredients'!$C$5:$C$1204,'Recipe Ingredients'!$B$5:$B$1204,A51))</f>
        <v>0</v>
      </c>
      <c r="X51" s="8">
        <f>IF(A51="","",IF(U51&lt;=0,IF(S51&gt;0,99,0),ROUND(S51/U51,1)))</f>
        <v>0</v>
      </c>
      <c r="Y51" s="8">
        <f>IF(A51="","",U51*10+IF(O51="Yes",5,0)+IF(X51&lt;1,10,0)+IF(S51&lt;=0,3,0))</f>
        <v>0</v>
      </c>
      <c r="Z51" s="8">
        <f>IF(A51="","",COUNTIFS($Y$5:$Y$304,"&gt;"&amp;Y51)+1)</f>
        <v>0</v>
      </c>
      <c r="AA51" s="8">
        <f>IF(A51="","",IF(OR(U51&gt;0,AND(O51="Yes",X51&lt;2)),"Yes","No"))</f>
        <v>0</v>
      </c>
      <c r="AB51" s="8">
        <f>IF(OR(A51="",D51=""),"",S51*D51)</f>
        <v>0</v>
      </c>
      <c r="AC51" s="8">
        <f>IF(AB51="","",COUNTIFS($AB$5:$AB$304,"&gt;"&amp;AB51)+1)</f>
        <v>0</v>
      </c>
      <c r="AD51" s="8">
        <f>IF(A51="","",SUMIFS('Food Waste'!$E$5:$E$154,'Food Waste'!$C$5:$C$154,A51))</f>
        <v>0</v>
      </c>
      <c r="AE51" s="8">
        <f>IF(OR(A51="",AD51=0),"",COUNTIFS($AD$5:$AD$304,"&gt;"&amp;AD51)+1)</f>
        <v>0</v>
      </c>
      <c r="AF51" s="8">
        <f>IF(A51="","",IF(SUMPRODUCT(MAX(('Grocery Spending'!$E$5:$E$404=A51)*'Grocery Spending'!$A$5:$A$404))=0,"",SUMPRODUCT(MAX(('Grocery Spending'!$E$5:$E$404=A51)*'Grocery Spending'!$A$5:$A$404))))</f>
        <v>0</v>
      </c>
      <c r="AG51" s="8">
        <f>IF(OR(A51="",AF51=""),"",IFERROR(AVERAGEIFS('Grocery Spending'!$I$5:$I$404,'Grocery Spending'!$E$5:$E$404,A51,'Grocery Spending'!$A$5:$A$404,AF51),""))</f>
        <v>0</v>
      </c>
      <c r="AH51" s="8">
        <f>IF(A51="","",IFERROR(AVERAGEIFS('Grocery Spending'!$I$5:$I$404,'Grocery Spending'!$E$5:$E$404,A51),""))</f>
        <v>0</v>
      </c>
      <c r="AI51" s="8">
        <f>IF(A51="","",IF(SUMPRODUCT(MIN(('Grocery Spending'!$E$5:$E$404=A51)*'Grocery Spending'!$I$5:$I$404+('Grocery Spending'!$E$5:$E$404&lt;&gt;A51)*1000000))&gt;=1000000,"",SUMPRODUCT(MIN(('Grocery Spending'!$E$5:$E$404=A51)*'Grocery Spending'!$I$5:$I$404+('Grocery Spending'!$E$5:$E$404&lt;&gt;A51)*1000000))))</f>
        <v>0</v>
      </c>
      <c r="AJ51" s="8">
        <f>IF(A51="","",SUMPRODUCT(MAX(('Grocery Spending'!$E$5:$E$404=A51)*'Grocery Spending'!$I$5:$I$404)))</f>
        <v>0</v>
      </c>
      <c r="AK51" s="8">
        <f>IF(OR(A51="",AI51="",AJ51=0),"",AJ51-AI51)</f>
        <v>0</v>
      </c>
      <c r="AL51" s="8">
        <f>IF(OR(A51="",AG51="",AH51=""),"",AG51-AH51)</f>
        <v>0</v>
      </c>
      <c r="AM51" s="8">
        <f>IF(A51="","",IF(AL51="","",IF(AL51&gt;0.01,"Up",IF(AL51&lt;-0.01,"Down","Flat"))))</f>
        <v>0</v>
      </c>
      <c r="AN51" s="25"/>
    </row>
    <row r="52" spans="1:40">
      <c r="A52" s="7"/>
      <c r="B52" s="27"/>
      <c r="C52" s="27"/>
      <c r="D52" s="28"/>
      <c r="E52" s="27"/>
      <c r="F52" s="26"/>
      <c r="G52" s="8">
        <f>IF(OR(D52="",F52="",F52=0),"",D52/F52)</f>
        <v>0</v>
      </c>
      <c r="H52" s="26"/>
      <c r="I52" s="26"/>
      <c r="J52" s="26"/>
      <c r="K52" s="26"/>
      <c r="L52" s="26"/>
      <c r="M52" s="26"/>
      <c r="N52" s="27"/>
      <c r="O52" s="27"/>
      <c r="P52" s="27"/>
      <c r="Q52" s="27"/>
      <c r="R52" s="7"/>
      <c r="S52" s="8">
        <f>IF(A52="","",SUMIFS(Pantry!$C$5:$C$304,Pantry!$A$5:$A$304,A52))</f>
        <v>0</v>
      </c>
      <c r="T52" s="8">
        <f>IF(A52="","",COUNTIFS('Grocery List'!$A$5:$A$304,A52,'Grocery List'!$N$5:$N$304,"Yes"))</f>
        <v>0</v>
      </c>
      <c r="U52" s="8">
        <f>IF(A52="","",SUMIFS('Grocery List'!$M$5:$M$304,'Grocery List'!$A$5:$A$304,A52))</f>
        <v>0</v>
      </c>
      <c r="V52" s="8">
        <f>IF(A52="","",COUNTIFS('Recipe Ingredients'!$B$5:$B$1204,A52))</f>
        <v>0</v>
      </c>
      <c r="W52" s="8">
        <f>IF(A52="","",SUMIFS('Recipe Ingredients'!$C$5:$C$1204,'Recipe Ingredients'!$B$5:$B$1204,A52))</f>
        <v>0</v>
      </c>
      <c r="X52" s="8">
        <f>IF(A52="","",IF(U52&lt;=0,IF(S52&gt;0,99,0),ROUND(S52/U52,1)))</f>
        <v>0</v>
      </c>
      <c r="Y52" s="8">
        <f>IF(A52="","",U52*10+IF(O52="Yes",5,0)+IF(X52&lt;1,10,0)+IF(S52&lt;=0,3,0))</f>
        <v>0</v>
      </c>
      <c r="Z52" s="8">
        <f>IF(A52="","",COUNTIFS($Y$5:$Y$304,"&gt;"&amp;Y52)+1)</f>
        <v>0</v>
      </c>
      <c r="AA52" s="8">
        <f>IF(A52="","",IF(OR(U52&gt;0,AND(O52="Yes",X52&lt;2)),"Yes","No"))</f>
        <v>0</v>
      </c>
      <c r="AB52" s="8">
        <f>IF(OR(A52="",D52=""),"",S52*D52)</f>
        <v>0</v>
      </c>
      <c r="AC52" s="8">
        <f>IF(AB52="","",COUNTIFS($AB$5:$AB$304,"&gt;"&amp;AB52)+1)</f>
        <v>0</v>
      </c>
      <c r="AD52" s="8">
        <f>IF(A52="","",SUMIFS('Food Waste'!$E$5:$E$154,'Food Waste'!$C$5:$C$154,A52))</f>
        <v>0</v>
      </c>
      <c r="AE52" s="8">
        <f>IF(OR(A52="",AD52=0),"",COUNTIFS($AD$5:$AD$304,"&gt;"&amp;AD52)+1)</f>
        <v>0</v>
      </c>
      <c r="AF52" s="8">
        <f>IF(A52="","",IF(SUMPRODUCT(MAX(('Grocery Spending'!$E$5:$E$404=A52)*'Grocery Spending'!$A$5:$A$404))=0,"",SUMPRODUCT(MAX(('Grocery Spending'!$E$5:$E$404=A52)*'Grocery Spending'!$A$5:$A$404))))</f>
        <v>0</v>
      </c>
      <c r="AG52" s="8">
        <f>IF(OR(A52="",AF52=""),"",IFERROR(AVERAGEIFS('Grocery Spending'!$I$5:$I$404,'Grocery Spending'!$E$5:$E$404,A52,'Grocery Spending'!$A$5:$A$404,AF52),""))</f>
        <v>0</v>
      </c>
      <c r="AH52" s="8">
        <f>IF(A52="","",IFERROR(AVERAGEIFS('Grocery Spending'!$I$5:$I$404,'Grocery Spending'!$E$5:$E$404,A52),""))</f>
        <v>0</v>
      </c>
      <c r="AI52" s="8">
        <f>IF(A52="","",IF(SUMPRODUCT(MIN(('Grocery Spending'!$E$5:$E$404=A52)*'Grocery Spending'!$I$5:$I$404+('Grocery Spending'!$E$5:$E$404&lt;&gt;A52)*1000000))&gt;=1000000,"",SUMPRODUCT(MIN(('Grocery Spending'!$E$5:$E$404=A52)*'Grocery Spending'!$I$5:$I$404+('Grocery Spending'!$E$5:$E$404&lt;&gt;A52)*1000000))))</f>
        <v>0</v>
      </c>
      <c r="AJ52" s="8">
        <f>IF(A52="","",SUMPRODUCT(MAX(('Grocery Spending'!$E$5:$E$404=A52)*'Grocery Spending'!$I$5:$I$404)))</f>
        <v>0</v>
      </c>
      <c r="AK52" s="8">
        <f>IF(OR(A52="",AI52="",AJ52=0),"",AJ52-AI52)</f>
        <v>0</v>
      </c>
      <c r="AL52" s="8">
        <f>IF(OR(A52="",AG52="",AH52=""),"",AG52-AH52)</f>
        <v>0</v>
      </c>
      <c r="AM52" s="8">
        <f>IF(A52="","",IF(AL52="","",IF(AL52&gt;0.01,"Up",IF(AL52&lt;-0.01,"Down","Flat"))))</f>
        <v>0</v>
      </c>
      <c r="AN52" s="25"/>
    </row>
    <row r="53" spans="1:40">
      <c r="A53" s="7"/>
      <c r="B53" s="27"/>
      <c r="C53" s="27"/>
      <c r="D53" s="28"/>
      <c r="E53" s="27"/>
      <c r="F53" s="26"/>
      <c r="G53" s="8">
        <f>IF(OR(D53="",F53="",F53=0),"",D53/F53)</f>
        <v>0</v>
      </c>
      <c r="H53" s="26"/>
      <c r="I53" s="26"/>
      <c r="J53" s="26"/>
      <c r="K53" s="26"/>
      <c r="L53" s="26"/>
      <c r="M53" s="26"/>
      <c r="N53" s="27"/>
      <c r="O53" s="27"/>
      <c r="P53" s="27"/>
      <c r="Q53" s="27"/>
      <c r="R53" s="7"/>
      <c r="S53" s="8">
        <f>IF(A53="","",SUMIFS(Pantry!$C$5:$C$304,Pantry!$A$5:$A$304,A53))</f>
        <v>0</v>
      </c>
      <c r="T53" s="8">
        <f>IF(A53="","",COUNTIFS('Grocery List'!$A$5:$A$304,A53,'Grocery List'!$N$5:$N$304,"Yes"))</f>
        <v>0</v>
      </c>
      <c r="U53" s="8">
        <f>IF(A53="","",SUMIFS('Grocery List'!$M$5:$M$304,'Grocery List'!$A$5:$A$304,A53))</f>
        <v>0</v>
      </c>
      <c r="V53" s="8">
        <f>IF(A53="","",COUNTIFS('Recipe Ingredients'!$B$5:$B$1204,A53))</f>
        <v>0</v>
      </c>
      <c r="W53" s="8">
        <f>IF(A53="","",SUMIFS('Recipe Ingredients'!$C$5:$C$1204,'Recipe Ingredients'!$B$5:$B$1204,A53))</f>
        <v>0</v>
      </c>
      <c r="X53" s="8">
        <f>IF(A53="","",IF(U53&lt;=0,IF(S53&gt;0,99,0),ROUND(S53/U53,1)))</f>
        <v>0</v>
      </c>
      <c r="Y53" s="8">
        <f>IF(A53="","",U53*10+IF(O53="Yes",5,0)+IF(X53&lt;1,10,0)+IF(S53&lt;=0,3,0))</f>
        <v>0</v>
      </c>
      <c r="Z53" s="8">
        <f>IF(A53="","",COUNTIFS($Y$5:$Y$304,"&gt;"&amp;Y53)+1)</f>
        <v>0</v>
      </c>
      <c r="AA53" s="8">
        <f>IF(A53="","",IF(OR(U53&gt;0,AND(O53="Yes",X53&lt;2)),"Yes","No"))</f>
        <v>0</v>
      </c>
      <c r="AB53" s="8">
        <f>IF(OR(A53="",D53=""),"",S53*D53)</f>
        <v>0</v>
      </c>
      <c r="AC53" s="8">
        <f>IF(AB53="","",COUNTIFS($AB$5:$AB$304,"&gt;"&amp;AB53)+1)</f>
        <v>0</v>
      </c>
      <c r="AD53" s="8">
        <f>IF(A53="","",SUMIFS('Food Waste'!$E$5:$E$154,'Food Waste'!$C$5:$C$154,A53))</f>
        <v>0</v>
      </c>
      <c r="AE53" s="8">
        <f>IF(OR(A53="",AD53=0),"",COUNTIFS($AD$5:$AD$304,"&gt;"&amp;AD53)+1)</f>
        <v>0</v>
      </c>
      <c r="AF53" s="8">
        <f>IF(A53="","",IF(SUMPRODUCT(MAX(('Grocery Spending'!$E$5:$E$404=A53)*'Grocery Spending'!$A$5:$A$404))=0,"",SUMPRODUCT(MAX(('Grocery Spending'!$E$5:$E$404=A53)*'Grocery Spending'!$A$5:$A$404))))</f>
        <v>0</v>
      </c>
      <c r="AG53" s="8">
        <f>IF(OR(A53="",AF53=""),"",IFERROR(AVERAGEIFS('Grocery Spending'!$I$5:$I$404,'Grocery Spending'!$E$5:$E$404,A53,'Grocery Spending'!$A$5:$A$404,AF53),""))</f>
        <v>0</v>
      </c>
      <c r="AH53" s="8">
        <f>IF(A53="","",IFERROR(AVERAGEIFS('Grocery Spending'!$I$5:$I$404,'Grocery Spending'!$E$5:$E$404,A53),""))</f>
        <v>0</v>
      </c>
      <c r="AI53" s="8">
        <f>IF(A53="","",IF(SUMPRODUCT(MIN(('Grocery Spending'!$E$5:$E$404=A53)*'Grocery Spending'!$I$5:$I$404+('Grocery Spending'!$E$5:$E$404&lt;&gt;A53)*1000000))&gt;=1000000,"",SUMPRODUCT(MIN(('Grocery Spending'!$E$5:$E$404=A53)*'Grocery Spending'!$I$5:$I$404+('Grocery Spending'!$E$5:$E$404&lt;&gt;A53)*1000000))))</f>
        <v>0</v>
      </c>
      <c r="AJ53" s="8">
        <f>IF(A53="","",SUMPRODUCT(MAX(('Grocery Spending'!$E$5:$E$404=A53)*'Grocery Spending'!$I$5:$I$404)))</f>
        <v>0</v>
      </c>
      <c r="AK53" s="8">
        <f>IF(OR(A53="",AI53="",AJ53=0),"",AJ53-AI53)</f>
        <v>0</v>
      </c>
      <c r="AL53" s="8">
        <f>IF(OR(A53="",AG53="",AH53=""),"",AG53-AH53)</f>
        <v>0</v>
      </c>
      <c r="AM53" s="8">
        <f>IF(A53="","",IF(AL53="","",IF(AL53&gt;0.01,"Up",IF(AL53&lt;-0.01,"Down","Flat"))))</f>
        <v>0</v>
      </c>
      <c r="AN53" s="25"/>
    </row>
    <row r="54" spans="1:40">
      <c r="A54" s="7"/>
      <c r="B54" s="27"/>
      <c r="C54" s="27"/>
      <c r="D54" s="28"/>
      <c r="E54" s="27"/>
      <c r="F54" s="26"/>
      <c r="G54" s="8">
        <f>IF(OR(D54="",F54="",F54=0),"",D54/F54)</f>
        <v>0</v>
      </c>
      <c r="H54" s="26"/>
      <c r="I54" s="26"/>
      <c r="J54" s="26"/>
      <c r="K54" s="26"/>
      <c r="L54" s="26"/>
      <c r="M54" s="26"/>
      <c r="N54" s="27"/>
      <c r="O54" s="27"/>
      <c r="P54" s="27"/>
      <c r="Q54" s="27"/>
      <c r="R54" s="7"/>
      <c r="S54" s="8">
        <f>IF(A54="","",SUMIFS(Pantry!$C$5:$C$304,Pantry!$A$5:$A$304,A54))</f>
        <v>0</v>
      </c>
      <c r="T54" s="8">
        <f>IF(A54="","",COUNTIFS('Grocery List'!$A$5:$A$304,A54,'Grocery List'!$N$5:$N$304,"Yes"))</f>
        <v>0</v>
      </c>
      <c r="U54" s="8">
        <f>IF(A54="","",SUMIFS('Grocery List'!$M$5:$M$304,'Grocery List'!$A$5:$A$304,A54))</f>
        <v>0</v>
      </c>
      <c r="V54" s="8">
        <f>IF(A54="","",COUNTIFS('Recipe Ingredients'!$B$5:$B$1204,A54))</f>
        <v>0</v>
      </c>
      <c r="W54" s="8">
        <f>IF(A54="","",SUMIFS('Recipe Ingredients'!$C$5:$C$1204,'Recipe Ingredients'!$B$5:$B$1204,A54))</f>
        <v>0</v>
      </c>
      <c r="X54" s="8">
        <f>IF(A54="","",IF(U54&lt;=0,IF(S54&gt;0,99,0),ROUND(S54/U54,1)))</f>
        <v>0</v>
      </c>
      <c r="Y54" s="8">
        <f>IF(A54="","",U54*10+IF(O54="Yes",5,0)+IF(X54&lt;1,10,0)+IF(S54&lt;=0,3,0))</f>
        <v>0</v>
      </c>
      <c r="Z54" s="8">
        <f>IF(A54="","",COUNTIFS($Y$5:$Y$304,"&gt;"&amp;Y54)+1)</f>
        <v>0</v>
      </c>
      <c r="AA54" s="8">
        <f>IF(A54="","",IF(OR(U54&gt;0,AND(O54="Yes",X54&lt;2)),"Yes","No"))</f>
        <v>0</v>
      </c>
      <c r="AB54" s="8">
        <f>IF(OR(A54="",D54=""),"",S54*D54)</f>
        <v>0</v>
      </c>
      <c r="AC54" s="8">
        <f>IF(AB54="","",COUNTIFS($AB$5:$AB$304,"&gt;"&amp;AB54)+1)</f>
        <v>0</v>
      </c>
      <c r="AD54" s="8">
        <f>IF(A54="","",SUMIFS('Food Waste'!$E$5:$E$154,'Food Waste'!$C$5:$C$154,A54))</f>
        <v>0</v>
      </c>
      <c r="AE54" s="8">
        <f>IF(OR(A54="",AD54=0),"",COUNTIFS($AD$5:$AD$304,"&gt;"&amp;AD54)+1)</f>
        <v>0</v>
      </c>
      <c r="AF54" s="8">
        <f>IF(A54="","",IF(SUMPRODUCT(MAX(('Grocery Spending'!$E$5:$E$404=A54)*'Grocery Spending'!$A$5:$A$404))=0,"",SUMPRODUCT(MAX(('Grocery Spending'!$E$5:$E$404=A54)*'Grocery Spending'!$A$5:$A$404))))</f>
        <v>0</v>
      </c>
      <c r="AG54" s="8">
        <f>IF(OR(A54="",AF54=""),"",IFERROR(AVERAGEIFS('Grocery Spending'!$I$5:$I$404,'Grocery Spending'!$E$5:$E$404,A54,'Grocery Spending'!$A$5:$A$404,AF54),""))</f>
        <v>0</v>
      </c>
      <c r="AH54" s="8">
        <f>IF(A54="","",IFERROR(AVERAGEIFS('Grocery Spending'!$I$5:$I$404,'Grocery Spending'!$E$5:$E$404,A54),""))</f>
        <v>0</v>
      </c>
      <c r="AI54" s="8">
        <f>IF(A54="","",IF(SUMPRODUCT(MIN(('Grocery Spending'!$E$5:$E$404=A54)*'Grocery Spending'!$I$5:$I$404+('Grocery Spending'!$E$5:$E$404&lt;&gt;A54)*1000000))&gt;=1000000,"",SUMPRODUCT(MIN(('Grocery Spending'!$E$5:$E$404=A54)*'Grocery Spending'!$I$5:$I$404+('Grocery Spending'!$E$5:$E$404&lt;&gt;A54)*1000000))))</f>
        <v>0</v>
      </c>
      <c r="AJ54" s="8">
        <f>IF(A54="","",SUMPRODUCT(MAX(('Grocery Spending'!$E$5:$E$404=A54)*'Grocery Spending'!$I$5:$I$404)))</f>
        <v>0</v>
      </c>
      <c r="AK54" s="8">
        <f>IF(OR(A54="",AI54="",AJ54=0),"",AJ54-AI54)</f>
        <v>0</v>
      </c>
      <c r="AL54" s="8">
        <f>IF(OR(A54="",AG54="",AH54=""),"",AG54-AH54)</f>
        <v>0</v>
      </c>
      <c r="AM54" s="8">
        <f>IF(A54="","",IF(AL54="","",IF(AL54&gt;0.01,"Up",IF(AL54&lt;-0.01,"Down","Flat"))))</f>
        <v>0</v>
      </c>
      <c r="AN54" s="25"/>
    </row>
    <row r="55" spans="1:40">
      <c r="A55" s="7"/>
      <c r="B55" s="27"/>
      <c r="C55" s="27"/>
      <c r="D55" s="28"/>
      <c r="E55" s="27"/>
      <c r="F55" s="26"/>
      <c r="G55" s="8">
        <f>IF(OR(D55="",F55="",F55=0),"",D55/F55)</f>
        <v>0</v>
      </c>
      <c r="H55" s="26"/>
      <c r="I55" s="26"/>
      <c r="J55" s="26"/>
      <c r="K55" s="26"/>
      <c r="L55" s="26"/>
      <c r="M55" s="26"/>
      <c r="N55" s="27"/>
      <c r="O55" s="27"/>
      <c r="P55" s="27"/>
      <c r="Q55" s="27"/>
      <c r="R55" s="7"/>
      <c r="S55" s="8">
        <f>IF(A55="","",SUMIFS(Pantry!$C$5:$C$304,Pantry!$A$5:$A$304,A55))</f>
        <v>0</v>
      </c>
      <c r="T55" s="8">
        <f>IF(A55="","",COUNTIFS('Grocery List'!$A$5:$A$304,A55,'Grocery List'!$N$5:$N$304,"Yes"))</f>
        <v>0</v>
      </c>
      <c r="U55" s="8">
        <f>IF(A55="","",SUMIFS('Grocery List'!$M$5:$M$304,'Grocery List'!$A$5:$A$304,A55))</f>
        <v>0</v>
      </c>
      <c r="V55" s="8">
        <f>IF(A55="","",COUNTIFS('Recipe Ingredients'!$B$5:$B$1204,A55))</f>
        <v>0</v>
      </c>
      <c r="W55" s="8">
        <f>IF(A55="","",SUMIFS('Recipe Ingredients'!$C$5:$C$1204,'Recipe Ingredients'!$B$5:$B$1204,A55))</f>
        <v>0</v>
      </c>
      <c r="X55" s="8">
        <f>IF(A55="","",IF(U55&lt;=0,IF(S55&gt;0,99,0),ROUND(S55/U55,1)))</f>
        <v>0</v>
      </c>
      <c r="Y55" s="8">
        <f>IF(A55="","",U55*10+IF(O55="Yes",5,0)+IF(X55&lt;1,10,0)+IF(S55&lt;=0,3,0))</f>
        <v>0</v>
      </c>
      <c r="Z55" s="8">
        <f>IF(A55="","",COUNTIFS($Y$5:$Y$304,"&gt;"&amp;Y55)+1)</f>
        <v>0</v>
      </c>
      <c r="AA55" s="8">
        <f>IF(A55="","",IF(OR(U55&gt;0,AND(O55="Yes",X55&lt;2)),"Yes","No"))</f>
        <v>0</v>
      </c>
      <c r="AB55" s="8">
        <f>IF(OR(A55="",D55=""),"",S55*D55)</f>
        <v>0</v>
      </c>
      <c r="AC55" s="8">
        <f>IF(AB55="","",COUNTIFS($AB$5:$AB$304,"&gt;"&amp;AB55)+1)</f>
        <v>0</v>
      </c>
      <c r="AD55" s="8">
        <f>IF(A55="","",SUMIFS('Food Waste'!$E$5:$E$154,'Food Waste'!$C$5:$C$154,A55))</f>
        <v>0</v>
      </c>
      <c r="AE55" s="8">
        <f>IF(OR(A55="",AD55=0),"",COUNTIFS($AD$5:$AD$304,"&gt;"&amp;AD55)+1)</f>
        <v>0</v>
      </c>
      <c r="AF55" s="8">
        <f>IF(A55="","",IF(SUMPRODUCT(MAX(('Grocery Spending'!$E$5:$E$404=A55)*'Grocery Spending'!$A$5:$A$404))=0,"",SUMPRODUCT(MAX(('Grocery Spending'!$E$5:$E$404=A55)*'Grocery Spending'!$A$5:$A$404))))</f>
        <v>0</v>
      </c>
      <c r="AG55" s="8">
        <f>IF(OR(A55="",AF55=""),"",IFERROR(AVERAGEIFS('Grocery Spending'!$I$5:$I$404,'Grocery Spending'!$E$5:$E$404,A55,'Grocery Spending'!$A$5:$A$404,AF55),""))</f>
        <v>0</v>
      </c>
      <c r="AH55" s="8">
        <f>IF(A55="","",IFERROR(AVERAGEIFS('Grocery Spending'!$I$5:$I$404,'Grocery Spending'!$E$5:$E$404,A55),""))</f>
        <v>0</v>
      </c>
      <c r="AI55" s="8">
        <f>IF(A55="","",IF(SUMPRODUCT(MIN(('Grocery Spending'!$E$5:$E$404=A55)*'Grocery Spending'!$I$5:$I$404+('Grocery Spending'!$E$5:$E$404&lt;&gt;A55)*1000000))&gt;=1000000,"",SUMPRODUCT(MIN(('Grocery Spending'!$E$5:$E$404=A55)*'Grocery Spending'!$I$5:$I$404+('Grocery Spending'!$E$5:$E$404&lt;&gt;A55)*1000000))))</f>
        <v>0</v>
      </c>
      <c r="AJ55" s="8">
        <f>IF(A55="","",SUMPRODUCT(MAX(('Grocery Spending'!$E$5:$E$404=A55)*'Grocery Spending'!$I$5:$I$404)))</f>
        <v>0</v>
      </c>
      <c r="AK55" s="8">
        <f>IF(OR(A55="",AI55="",AJ55=0),"",AJ55-AI55)</f>
        <v>0</v>
      </c>
      <c r="AL55" s="8">
        <f>IF(OR(A55="",AG55="",AH55=""),"",AG55-AH55)</f>
        <v>0</v>
      </c>
      <c r="AM55" s="8">
        <f>IF(A55="","",IF(AL55="","",IF(AL55&gt;0.01,"Up",IF(AL55&lt;-0.01,"Down","Flat"))))</f>
        <v>0</v>
      </c>
      <c r="AN55" s="25"/>
    </row>
    <row r="56" spans="1:40">
      <c r="A56" s="7"/>
      <c r="B56" s="27"/>
      <c r="C56" s="27"/>
      <c r="D56" s="28"/>
      <c r="E56" s="27"/>
      <c r="F56" s="26"/>
      <c r="G56" s="8">
        <f>IF(OR(D56="",F56="",F56=0),"",D56/F56)</f>
        <v>0</v>
      </c>
      <c r="H56" s="26"/>
      <c r="I56" s="26"/>
      <c r="J56" s="26"/>
      <c r="K56" s="26"/>
      <c r="L56" s="26"/>
      <c r="M56" s="26"/>
      <c r="N56" s="27"/>
      <c r="O56" s="27"/>
      <c r="P56" s="27"/>
      <c r="Q56" s="27"/>
      <c r="R56" s="7"/>
      <c r="S56" s="8">
        <f>IF(A56="","",SUMIFS(Pantry!$C$5:$C$304,Pantry!$A$5:$A$304,A56))</f>
        <v>0</v>
      </c>
      <c r="T56" s="8">
        <f>IF(A56="","",COUNTIFS('Grocery List'!$A$5:$A$304,A56,'Grocery List'!$N$5:$N$304,"Yes"))</f>
        <v>0</v>
      </c>
      <c r="U56" s="8">
        <f>IF(A56="","",SUMIFS('Grocery List'!$M$5:$M$304,'Grocery List'!$A$5:$A$304,A56))</f>
        <v>0</v>
      </c>
      <c r="V56" s="8">
        <f>IF(A56="","",COUNTIFS('Recipe Ingredients'!$B$5:$B$1204,A56))</f>
        <v>0</v>
      </c>
      <c r="W56" s="8">
        <f>IF(A56="","",SUMIFS('Recipe Ingredients'!$C$5:$C$1204,'Recipe Ingredients'!$B$5:$B$1204,A56))</f>
        <v>0</v>
      </c>
      <c r="X56" s="8">
        <f>IF(A56="","",IF(U56&lt;=0,IF(S56&gt;0,99,0),ROUND(S56/U56,1)))</f>
        <v>0</v>
      </c>
      <c r="Y56" s="8">
        <f>IF(A56="","",U56*10+IF(O56="Yes",5,0)+IF(X56&lt;1,10,0)+IF(S56&lt;=0,3,0))</f>
        <v>0</v>
      </c>
      <c r="Z56" s="8">
        <f>IF(A56="","",COUNTIFS($Y$5:$Y$304,"&gt;"&amp;Y56)+1)</f>
        <v>0</v>
      </c>
      <c r="AA56" s="8">
        <f>IF(A56="","",IF(OR(U56&gt;0,AND(O56="Yes",X56&lt;2)),"Yes","No"))</f>
        <v>0</v>
      </c>
      <c r="AB56" s="8">
        <f>IF(OR(A56="",D56=""),"",S56*D56)</f>
        <v>0</v>
      </c>
      <c r="AC56" s="8">
        <f>IF(AB56="","",COUNTIFS($AB$5:$AB$304,"&gt;"&amp;AB56)+1)</f>
        <v>0</v>
      </c>
      <c r="AD56" s="8">
        <f>IF(A56="","",SUMIFS('Food Waste'!$E$5:$E$154,'Food Waste'!$C$5:$C$154,A56))</f>
        <v>0</v>
      </c>
      <c r="AE56" s="8">
        <f>IF(OR(A56="",AD56=0),"",COUNTIFS($AD$5:$AD$304,"&gt;"&amp;AD56)+1)</f>
        <v>0</v>
      </c>
      <c r="AF56" s="8">
        <f>IF(A56="","",IF(SUMPRODUCT(MAX(('Grocery Spending'!$E$5:$E$404=A56)*'Grocery Spending'!$A$5:$A$404))=0,"",SUMPRODUCT(MAX(('Grocery Spending'!$E$5:$E$404=A56)*'Grocery Spending'!$A$5:$A$404))))</f>
        <v>0</v>
      </c>
      <c r="AG56" s="8">
        <f>IF(OR(A56="",AF56=""),"",IFERROR(AVERAGEIFS('Grocery Spending'!$I$5:$I$404,'Grocery Spending'!$E$5:$E$404,A56,'Grocery Spending'!$A$5:$A$404,AF56),""))</f>
        <v>0</v>
      </c>
      <c r="AH56" s="8">
        <f>IF(A56="","",IFERROR(AVERAGEIFS('Grocery Spending'!$I$5:$I$404,'Grocery Spending'!$E$5:$E$404,A56),""))</f>
        <v>0</v>
      </c>
      <c r="AI56" s="8">
        <f>IF(A56="","",IF(SUMPRODUCT(MIN(('Grocery Spending'!$E$5:$E$404=A56)*'Grocery Spending'!$I$5:$I$404+('Grocery Spending'!$E$5:$E$404&lt;&gt;A56)*1000000))&gt;=1000000,"",SUMPRODUCT(MIN(('Grocery Spending'!$E$5:$E$404=A56)*'Grocery Spending'!$I$5:$I$404+('Grocery Spending'!$E$5:$E$404&lt;&gt;A56)*1000000))))</f>
        <v>0</v>
      </c>
      <c r="AJ56" s="8">
        <f>IF(A56="","",SUMPRODUCT(MAX(('Grocery Spending'!$E$5:$E$404=A56)*'Grocery Spending'!$I$5:$I$404)))</f>
        <v>0</v>
      </c>
      <c r="AK56" s="8">
        <f>IF(OR(A56="",AI56="",AJ56=0),"",AJ56-AI56)</f>
        <v>0</v>
      </c>
      <c r="AL56" s="8">
        <f>IF(OR(A56="",AG56="",AH56=""),"",AG56-AH56)</f>
        <v>0</v>
      </c>
      <c r="AM56" s="8">
        <f>IF(A56="","",IF(AL56="","",IF(AL56&gt;0.01,"Up",IF(AL56&lt;-0.01,"Down","Flat"))))</f>
        <v>0</v>
      </c>
      <c r="AN56" s="25"/>
    </row>
    <row r="57" spans="1:40">
      <c r="A57" s="7"/>
      <c r="B57" s="27"/>
      <c r="C57" s="27"/>
      <c r="D57" s="28"/>
      <c r="E57" s="27"/>
      <c r="F57" s="26"/>
      <c r="G57" s="8">
        <f>IF(OR(D57="",F57="",F57=0),"",D57/F57)</f>
        <v>0</v>
      </c>
      <c r="H57" s="26"/>
      <c r="I57" s="26"/>
      <c r="J57" s="26"/>
      <c r="K57" s="26"/>
      <c r="L57" s="26"/>
      <c r="M57" s="26"/>
      <c r="N57" s="27"/>
      <c r="O57" s="27"/>
      <c r="P57" s="27"/>
      <c r="Q57" s="27"/>
      <c r="R57" s="7"/>
      <c r="S57" s="8">
        <f>IF(A57="","",SUMIFS(Pantry!$C$5:$C$304,Pantry!$A$5:$A$304,A57))</f>
        <v>0</v>
      </c>
      <c r="T57" s="8">
        <f>IF(A57="","",COUNTIFS('Grocery List'!$A$5:$A$304,A57,'Grocery List'!$N$5:$N$304,"Yes"))</f>
        <v>0</v>
      </c>
      <c r="U57" s="8">
        <f>IF(A57="","",SUMIFS('Grocery List'!$M$5:$M$304,'Grocery List'!$A$5:$A$304,A57))</f>
        <v>0</v>
      </c>
      <c r="V57" s="8">
        <f>IF(A57="","",COUNTIFS('Recipe Ingredients'!$B$5:$B$1204,A57))</f>
        <v>0</v>
      </c>
      <c r="W57" s="8">
        <f>IF(A57="","",SUMIFS('Recipe Ingredients'!$C$5:$C$1204,'Recipe Ingredients'!$B$5:$B$1204,A57))</f>
        <v>0</v>
      </c>
      <c r="X57" s="8">
        <f>IF(A57="","",IF(U57&lt;=0,IF(S57&gt;0,99,0),ROUND(S57/U57,1)))</f>
        <v>0</v>
      </c>
      <c r="Y57" s="8">
        <f>IF(A57="","",U57*10+IF(O57="Yes",5,0)+IF(X57&lt;1,10,0)+IF(S57&lt;=0,3,0))</f>
        <v>0</v>
      </c>
      <c r="Z57" s="8">
        <f>IF(A57="","",COUNTIFS($Y$5:$Y$304,"&gt;"&amp;Y57)+1)</f>
        <v>0</v>
      </c>
      <c r="AA57" s="8">
        <f>IF(A57="","",IF(OR(U57&gt;0,AND(O57="Yes",X57&lt;2)),"Yes","No"))</f>
        <v>0</v>
      </c>
      <c r="AB57" s="8">
        <f>IF(OR(A57="",D57=""),"",S57*D57)</f>
        <v>0</v>
      </c>
      <c r="AC57" s="8">
        <f>IF(AB57="","",COUNTIFS($AB$5:$AB$304,"&gt;"&amp;AB57)+1)</f>
        <v>0</v>
      </c>
      <c r="AD57" s="8">
        <f>IF(A57="","",SUMIFS('Food Waste'!$E$5:$E$154,'Food Waste'!$C$5:$C$154,A57))</f>
        <v>0</v>
      </c>
      <c r="AE57" s="8">
        <f>IF(OR(A57="",AD57=0),"",COUNTIFS($AD$5:$AD$304,"&gt;"&amp;AD57)+1)</f>
        <v>0</v>
      </c>
      <c r="AF57" s="8">
        <f>IF(A57="","",IF(SUMPRODUCT(MAX(('Grocery Spending'!$E$5:$E$404=A57)*'Grocery Spending'!$A$5:$A$404))=0,"",SUMPRODUCT(MAX(('Grocery Spending'!$E$5:$E$404=A57)*'Grocery Spending'!$A$5:$A$404))))</f>
        <v>0</v>
      </c>
      <c r="AG57" s="8">
        <f>IF(OR(A57="",AF57=""),"",IFERROR(AVERAGEIFS('Grocery Spending'!$I$5:$I$404,'Grocery Spending'!$E$5:$E$404,A57,'Grocery Spending'!$A$5:$A$404,AF57),""))</f>
        <v>0</v>
      </c>
      <c r="AH57" s="8">
        <f>IF(A57="","",IFERROR(AVERAGEIFS('Grocery Spending'!$I$5:$I$404,'Grocery Spending'!$E$5:$E$404,A57),""))</f>
        <v>0</v>
      </c>
      <c r="AI57" s="8">
        <f>IF(A57="","",IF(SUMPRODUCT(MIN(('Grocery Spending'!$E$5:$E$404=A57)*'Grocery Spending'!$I$5:$I$404+('Grocery Spending'!$E$5:$E$404&lt;&gt;A57)*1000000))&gt;=1000000,"",SUMPRODUCT(MIN(('Grocery Spending'!$E$5:$E$404=A57)*'Grocery Spending'!$I$5:$I$404+('Grocery Spending'!$E$5:$E$404&lt;&gt;A57)*1000000))))</f>
        <v>0</v>
      </c>
      <c r="AJ57" s="8">
        <f>IF(A57="","",SUMPRODUCT(MAX(('Grocery Spending'!$E$5:$E$404=A57)*'Grocery Spending'!$I$5:$I$404)))</f>
        <v>0</v>
      </c>
      <c r="AK57" s="8">
        <f>IF(OR(A57="",AI57="",AJ57=0),"",AJ57-AI57)</f>
        <v>0</v>
      </c>
      <c r="AL57" s="8">
        <f>IF(OR(A57="",AG57="",AH57=""),"",AG57-AH57)</f>
        <v>0</v>
      </c>
      <c r="AM57" s="8">
        <f>IF(A57="","",IF(AL57="","",IF(AL57&gt;0.01,"Up",IF(AL57&lt;-0.01,"Down","Flat"))))</f>
        <v>0</v>
      </c>
      <c r="AN57" s="25"/>
    </row>
    <row r="58" spans="1:40">
      <c r="A58" s="7"/>
      <c r="B58" s="27"/>
      <c r="C58" s="27"/>
      <c r="D58" s="28"/>
      <c r="E58" s="27"/>
      <c r="F58" s="26"/>
      <c r="G58" s="8">
        <f>IF(OR(D58="",F58="",F58=0),"",D58/F58)</f>
        <v>0</v>
      </c>
      <c r="H58" s="26"/>
      <c r="I58" s="26"/>
      <c r="J58" s="26"/>
      <c r="K58" s="26"/>
      <c r="L58" s="26"/>
      <c r="M58" s="26"/>
      <c r="N58" s="27"/>
      <c r="O58" s="27"/>
      <c r="P58" s="27"/>
      <c r="Q58" s="27"/>
      <c r="R58" s="7"/>
      <c r="S58" s="8">
        <f>IF(A58="","",SUMIFS(Pantry!$C$5:$C$304,Pantry!$A$5:$A$304,A58))</f>
        <v>0</v>
      </c>
      <c r="T58" s="8">
        <f>IF(A58="","",COUNTIFS('Grocery List'!$A$5:$A$304,A58,'Grocery List'!$N$5:$N$304,"Yes"))</f>
        <v>0</v>
      </c>
      <c r="U58" s="8">
        <f>IF(A58="","",SUMIFS('Grocery List'!$M$5:$M$304,'Grocery List'!$A$5:$A$304,A58))</f>
        <v>0</v>
      </c>
      <c r="V58" s="8">
        <f>IF(A58="","",COUNTIFS('Recipe Ingredients'!$B$5:$B$1204,A58))</f>
        <v>0</v>
      </c>
      <c r="W58" s="8">
        <f>IF(A58="","",SUMIFS('Recipe Ingredients'!$C$5:$C$1204,'Recipe Ingredients'!$B$5:$B$1204,A58))</f>
        <v>0</v>
      </c>
      <c r="X58" s="8">
        <f>IF(A58="","",IF(U58&lt;=0,IF(S58&gt;0,99,0),ROUND(S58/U58,1)))</f>
        <v>0</v>
      </c>
      <c r="Y58" s="8">
        <f>IF(A58="","",U58*10+IF(O58="Yes",5,0)+IF(X58&lt;1,10,0)+IF(S58&lt;=0,3,0))</f>
        <v>0</v>
      </c>
      <c r="Z58" s="8">
        <f>IF(A58="","",COUNTIFS($Y$5:$Y$304,"&gt;"&amp;Y58)+1)</f>
        <v>0</v>
      </c>
      <c r="AA58" s="8">
        <f>IF(A58="","",IF(OR(U58&gt;0,AND(O58="Yes",X58&lt;2)),"Yes","No"))</f>
        <v>0</v>
      </c>
      <c r="AB58" s="8">
        <f>IF(OR(A58="",D58=""),"",S58*D58)</f>
        <v>0</v>
      </c>
      <c r="AC58" s="8">
        <f>IF(AB58="","",COUNTIFS($AB$5:$AB$304,"&gt;"&amp;AB58)+1)</f>
        <v>0</v>
      </c>
      <c r="AD58" s="8">
        <f>IF(A58="","",SUMIFS('Food Waste'!$E$5:$E$154,'Food Waste'!$C$5:$C$154,A58))</f>
        <v>0</v>
      </c>
      <c r="AE58" s="8">
        <f>IF(OR(A58="",AD58=0),"",COUNTIFS($AD$5:$AD$304,"&gt;"&amp;AD58)+1)</f>
        <v>0</v>
      </c>
      <c r="AF58" s="8">
        <f>IF(A58="","",IF(SUMPRODUCT(MAX(('Grocery Spending'!$E$5:$E$404=A58)*'Grocery Spending'!$A$5:$A$404))=0,"",SUMPRODUCT(MAX(('Grocery Spending'!$E$5:$E$404=A58)*'Grocery Spending'!$A$5:$A$404))))</f>
        <v>0</v>
      </c>
      <c r="AG58" s="8">
        <f>IF(OR(A58="",AF58=""),"",IFERROR(AVERAGEIFS('Grocery Spending'!$I$5:$I$404,'Grocery Spending'!$E$5:$E$404,A58,'Grocery Spending'!$A$5:$A$404,AF58),""))</f>
        <v>0</v>
      </c>
      <c r="AH58" s="8">
        <f>IF(A58="","",IFERROR(AVERAGEIFS('Grocery Spending'!$I$5:$I$404,'Grocery Spending'!$E$5:$E$404,A58),""))</f>
        <v>0</v>
      </c>
      <c r="AI58" s="8">
        <f>IF(A58="","",IF(SUMPRODUCT(MIN(('Grocery Spending'!$E$5:$E$404=A58)*'Grocery Spending'!$I$5:$I$404+('Grocery Spending'!$E$5:$E$404&lt;&gt;A58)*1000000))&gt;=1000000,"",SUMPRODUCT(MIN(('Grocery Spending'!$E$5:$E$404=A58)*'Grocery Spending'!$I$5:$I$404+('Grocery Spending'!$E$5:$E$404&lt;&gt;A58)*1000000))))</f>
        <v>0</v>
      </c>
      <c r="AJ58" s="8">
        <f>IF(A58="","",SUMPRODUCT(MAX(('Grocery Spending'!$E$5:$E$404=A58)*'Grocery Spending'!$I$5:$I$404)))</f>
        <v>0</v>
      </c>
      <c r="AK58" s="8">
        <f>IF(OR(A58="",AI58="",AJ58=0),"",AJ58-AI58)</f>
        <v>0</v>
      </c>
      <c r="AL58" s="8">
        <f>IF(OR(A58="",AG58="",AH58=""),"",AG58-AH58)</f>
        <v>0</v>
      </c>
      <c r="AM58" s="8">
        <f>IF(A58="","",IF(AL58="","",IF(AL58&gt;0.01,"Up",IF(AL58&lt;-0.01,"Down","Flat"))))</f>
        <v>0</v>
      </c>
      <c r="AN58" s="25"/>
    </row>
    <row r="59" spans="1:40">
      <c r="A59" s="7"/>
      <c r="B59" s="27"/>
      <c r="C59" s="27"/>
      <c r="D59" s="28"/>
      <c r="E59" s="27"/>
      <c r="F59" s="26"/>
      <c r="G59" s="8">
        <f>IF(OR(D59="",F59="",F59=0),"",D59/F59)</f>
        <v>0</v>
      </c>
      <c r="H59" s="26"/>
      <c r="I59" s="26"/>
      <c r="J59" s="26"/>
      <c r="K59" s="26"/>
      <c r="L59" s="26"/>
      <c r="M59" s="26"/>
      <c r="N59" s="27"/>
      <c r="O59" s="27"/>
      <c r="P59" s="27"/>
      <c r="Q59" s="27"/>
      <c r="R59" s="7"/>
      <c r="S59" s="8">
        <f>IF(A59="","",SUMIFS(Pantry!$C$5:$C$304,Pantry!$A$5:$A$304,A59))</f>
        <v>0</v>
      </c>
      <c r="T59" s="8">
        <f>IF(A59="","",COUNTIFS('Grocery List'!$A$5:$A$304,A59,'Grocery List'!$N$5:$N$304,"Yes"))</f>
        <v>0</v>
      </c>
      <c r="U59" s="8">
        <f>IF(A59="","",SUMIFS('Grocery List'!$M$5:$M$304,'Grocery List'!$A$5:$A$304,A59))</f>
        <v>0</v>
      </c>
      <c r="V59" s="8">
        <f>IF(A59="","",COUNTIFS('Recipe Ingredients'!$B$5:$B$1204,A59))</f>
        <v>0</v>
      </c>
      <c r="W59" s="8">
        <f>IF(A59="","",SUMIFS('Recipe Ingredients'!$C$5:$C$1204,'Recipe Ingredients'!$B$5:$B$1204,A59))</f>
        <v>0</v>
      </c>
      <c r="X59" s="8">
        <f>IF(A59="","",IF(U59&lt;=0,IF(S59&gt;0,99,0),ROUND(S59/U59,1)))</f>
        <v>0</v>
      </c>
      <c r="Y59" s="8">
        <f>IF(A59="","",U59*10+IF(O59="Yes",5,0)+IF(X59&lt;1,10,0)+IF(S59&lt;=0,3,0))</f>
        <v>0</v>
      </c>
      <c r="Z59" s="8">
        <f>IF(A59="","",COUNTIFS($Y$5:$Y$304,"&gt;"&amp;Y59)+1)</f>
        <v>0</v>
      </c>
      <c r="AA59" s="8">
        <f>IF(A59="","",IF(OR(U59&gt;0,AND(O59="Yes",X59&lt;2)),"Yes","No"))</f>
        <v>0</v>
      </c>
      <c r="AB59" s="8">
        <f>IF(OR(A59="",D59=""),"",S59*D59)</f>
        <v>0</v>
      </c>
      <c r="AC59" s="8">
        <f>IF(AB59="","",COUNTIFS($AB$5:$AB$304,"&gt;"&amp;AB59)+1)</f>
        <v>0</v>
      </c>
      <c r="AD59" s="8">
        <f>IF(A59="","",SUMIFS('Food Waste'!$E$5:$E$154,'Food Waste'!$C$5:$C$154,A59))</f>
        <v>0</v>
      </c>
      <c r="AE59" s="8">
        <f>IF(OR(A59="",AD59=0),"",COUNTIFS($AD$5:$AD$304,"&gt;"&amp;AD59)+1)</f>
        <v>0</v>
      </c>
      <c r="AF59" s="8">
        <f>IF(A59="","",IF(SUMPRODUCT(MAX(('Grocery Spending'!$E$5:$E$404=A59)*'Grocery Spending'!$A$5:$A$404))=0,"",SUMPRODUCT(MAX(('Grocery Spending'!$E$5:$E$404=A59)*'Grocery Spending'!$A$5:$A$404))))</f>
        <v>0</v>
      </c>
      <c r="AG59" s="8">
        <f>IF(OR(A59="",AF59=""),"",IFERROR(AVERAGEIFS('Grocery Spending'!$I$5:$I$404,'Grocery Spending'!$E$5:$E$404,A59,'Grocery Spending'!$A$5:$A$404,AF59),""))</f>
        <v>0</v>
      </c>
      <c r="AH59" s="8">
        <f>IF(A59="","",IFERROR(AVERAGEIFS('Grocery Spending'!$I$5:$I$404,'Grocery Spending'!$E$5:$E$404,A59),""))</f>
        <v>0</v>
      </c>
      <c r="AI59" s="8">
        <f>IF(A59="","",IF(SUMPRODUCT(MIN(('Grocery Spending'!$E$5:$E$404=A59)*'Grocery Spending'!$I$5:$I$404+('Grocery Spending'!$E$5:$E$404&lt;&gt;A59)*1000000))&gt;=1000000,"",SUMPRODUCT(MIN(('Grocery Spending'!$E$5:$E$404=A59)*'Grocery Spending'!$I$5:$I$404+('Grocery Spending'!$E$5:$E$404&lt;&gt;A59)*1000000))))</f>
        <v>0</v>
      </c>
      <c r="AJ59" s="8">
        <f>IF(A59="","",SUMPRODUCT(MAX(('Grocery Spending'!$E$5:$E$404=A59)*'Grocery Spending'!$I$5:$I$404)))</f>
        <v>0</v>
      </c>
      <c r="AK59" s="8">
        <f>IF(OR(A59="",AI59="",AJ59=0),"",AJ59-AI59)</f>
        <v>0</v>
      </c>
      <c r="AL59" s="8">
        <f>IF(OR(A59="",AG59="",AH59=""),"",AG59-AH59)</f>
        <v>0</v>
      </c>
      <c r="AM59" s="8">
        <f>IF(A59="","",IF(AL59="","",IF(AL59&gt;0.01,"Up",IF(AL59&lt;-0.01,"Down","Flat"))))</f>
        <v>0</v>
      </c>
      <c r="AN59" s="25"/>
    </row>
    <row r="60" spans="1:40">
      <c r="A60" s="7"/>
      <c r="B60" s="27"/>
      <c r="C60" s="27"/>
      <c r="D60" s="28"/>
      <c r="E60" s="27"/>
      <c r="F60" s="26"/>
      <c r="G60" s="8">
        <f>IF(OR(D60="",F60="",F60=0),"",D60/F60)</f>
        <v>0</v>
      </c>
      <c r="H60" s="26"/>
      <c r="I60" s="26"/>
      <c r="J60" s="26"/>
      <c r="K60" s="26"/>
      <c r="L60" s="26"/>
      <c r="M60" s="26"/>
      <c r="N60" s="27"/>
      <c r="O60" s="27"/>
      <c r="P60" s="27"/>
      <c r="Q60" s="27"/>
      <c r="R60" s="7"/>
      <c r="S60" s="8">
        <f>IF(A60="","",SUMIFS(Pantry!$C$5:$C$304,Pantry!$A$5:$A$304,A60))</f>
        <v>0</v>
      </c>
      <c r="T60" s="8">
        <f>IF(A60="","",COUNTIFS('Grocery List'!$A$5:$A$304,A60,'Grocery List'!$N$5:$N$304,"Yes"))</f>
        <v>0</v>
      </c>
      <c r="U60" s="8">
        <f>IF(A60="","",SUMIFS('Grocery List'!$M$5:$M$304,'Grocery List'!$A$5:$A$304,A60))</f>
        <v>0</v>
      </c>
      <c r="V60" s="8">
        <f>IF(A60="","",COUNTIFS('Recipe Ingredients'!$B$5:$B$1204,A60))</f>
        <v>0</v>
      </c>
      <c r="W60" s="8">
        <f>IF(A60="","",SUMIFS('Recipe Ingredients'!$C$5:$C$1204,'Recipe Ingredients'!$B$5:$B$1204,A60))</f>
        <v>0</v>
      </c>
      <c r="X60" s="8">
        <f>IF(A60="","",IF(U60&lt;=0,IF(S60&gt;0,99,0),ROUND(S60/U60,1)))</f>
        <v>0</v>
      </c>
      <c r="Y60" s="8">
        <f>IF(A60="","",U60*10+IF(O60="Yes",5,0)+IF(X60&lt;1,10,0)+IF(S60&lt;=0,3,0))</f>
        <v>0</v>
      </c>
      <c r="Z60" s="8">
        <f>IF(A60="","",COUNTIFS($Y$5:$Y$304,"&gt;"&amp;Y60)+1)</f>
        <v>0</v>
      </c>
      <c r="AA60" s="8">
        <f>IF(A60="","",IF(OR(U60&gt;0,AND(O60="Yes",X60&lt;2)),"Yes","No"))</f>
        <v>0</v>
      </c>
      <c r="AB60" s="8">
        <f>IF(OR(A60="",D60=""),"",S60*D60)</f>
        <v>0</v>
      </c>
      <c r="AC60" s="8">
        <f>IF(AB60="","",COUNTIFS($AB$5:$AB$304,"&gt;"&amp;AB60)+1)</f>
        <v>0</v>
      </c>
      <c r="AD60" s="8">
        <f>IF(A60="","",SUMIFS('Food Waste'!$E$5:$E$154,'Food Waste'!$C$5:$C$154,A60))</f>
        <v>0</v>
      </c>
      <c r="AE60" s="8">
        <f>IF(OR(A60="",AD60=0),"",COUNTIFS($AD$5:$AD$304,"&gt;"&amp;AD60)+1)</f>
        <v>0</v>
      </c>
      <c r="AF60" s="8">
        <f>IF(A60="","",IF(SUMPRODUCT(MAX(('Grocery Spending'!$E$5:$E$404=A60)*'Grocery Spending'!$A$5:$A$404))=0,"",SUMPRODUCT(MAX(('Grocery Spending'!$E$5:$E$404=A60)*'Grocery Spending'!$A$5:$A$404))))</f>
        <v>0</v>
      </c>
      <c r="AG60" s="8">
        <f>IF(OR(A60="",AF60=""),"",IFERROR(AVERAGEIFS('Grocery Spending'!$I$5:$I$404,'Grocery Spending'!$E$5:$E$404,A60,'Grocery Spending'!$A$5:$A$404,AF60),""))</f>
        <v>0</v>
      </c>
      <c r="AH60" s="8">
        <f>IF(A60="","",IFERROR(AVERAGEIFS('Grocery Spending'!$I$5:$I$404,'Grocery Spending'!$E$5:$E$404,A60),""))</f>
        <v>0</v>
      </c>
      <c r="AI60" s="8">
        <f>IF(A60="","",IF(SUMPRODUCT(MIN(('Grocery Spending'!$E$5:$E$404=A60)*'Grocery Spending'!$I$5:$I$404+('Grocery Spending'!$E$5:$E$404&lt;&gt;A60)*1000000))&gt;=1000000,"",SUMPRODUCT(MIN(('Grocery Spending'!$E$5:$E$404=A60)*'Grocery Spending'!$I$5:$I$404+('Grocery Spending'!$E$5:$E$404&lt;&gt;A60)*1000000))))</f>
        <v>0</v>
      </c>
      <c r="AJ60" s="8">
        <f>IF(A60="","",SUMPRODUCT(MAX(('Grocery Spending'!$E$5:$E$404=A60)*'Grocery Spending'!$I$5:$I$404)))</f>
        <v>0</v>
      </c>
      <c r="AK60" s="8">
        <f>IF(OR(A60="",AI60="",AJ60=0),"",AJ60-AI60)</f>
        <v>0</v>
      </c>
      <c r="AL60" s="8">
        <f>IF(OR(A60="",AG60="",AH60=""),"",AG60-AH60)</f>
        <v>0</v>
      </c>
      <c r="AM60" s="8">
        <f>IF(A60="","",IF(AL60="","",IF(AL60&gt;0.01,"Up",IF(AL60&lt;-0.01,"Down","Flat"))))</f>
        <v>0</v>
      </c>
      <c r="AN60" s="25"/>
    </row>
    <row r="61" spans="1:40">
      <c r="A61" s="7"/>
      <c r="B61" s="27"/>
      <c r="C61" s="27"/>
      <c r="D61" s="28"/>
      <c r="E61" s="27"/>
      <c r="F61" s="26"/>
      <c r="G61" s="8">
        <f>IF(OR(D61="",F61="",F61=0),"",D61/F61)</f>
        <v>0</v>
      </c>
      <c r="H61" s="26"/>
      <c r="I61" s="26"/>
      <c r="J61" s="26"/>
      <c r="K61" s="26"/>
      <c r="L61" s="26"/>
      <c r="M61" s="26"/>
      <c r="N61" s="27"/>
      <c r="O61" s="27"/>
      <c r="P61" s="27"/>
      <c r="Q61" s="27"/>
      <c r="R61" s="7"/>
      <c r="S61" s="8">
        <f>IF(A61="","",SUMIFS(Pantry!$C$5:$C$304,Pantry!$A$5:$A$304,A61))</f>
        <v>0</v>
      </c>
      <c r="T61" s="8">
        <f>IF(A61="","",COUNTIFS('Grocery List'!$A$5:$A$304,A61,'Grocery List'!$N$5:$N$304,"Yes"))</f>
        <v>0</v>
      </c>
      <c r="U61" s="8">
        <f>IF(A61="","",SUMIFS('Grocery List'!$M$5:$M$304,'Grocery List'!$A$5:$A$304,A61))</f>
        <v>0</v>
      </c>
      <c r="V61" s="8">
        <f>IF(A61="","",COUNTIFS('Recipe Ingredients'!$B$5:$B$1204,A61))</f>
        <v>0</v>
      </c>
      <c r="W61" s="8">
        <f>IF(A61="","",SUMIFS('Recipe Ingredients'!$C$5:$C$1204,'Recipe Ingredients'!$B$5:$B$1204,A61))</f>
        <v>0</v>
      </c>
      <c r="X61" s="8">
        <f>IF(A61="","",IF(U61&lt;=0,IF(S61&gt;0,99,0),ROUND(S61/U61,1)))</f>
        <v>0</v>
      </c>
      <c r="Y61" s="8">
        <f>IF(A61="","",U61*10+IF(O61="Yes",5,0)+IF(X61&lt;1,10,0)+IF(S61&lt;=0,3,0))</f>
        <v>0</v>
      </c>
      <c r="Z61" s="8">
        <f>IF(A61="","",COUNTIFS($Y$5:$Y$304,"&gt;"&amp;Y61)+1)</f>
        <v>0</v>
      </c>
      <c r="AA61" s="8">
        <f>IF(A61="","",IF(OR(U61&gt;0,AND(O61="Yes",X61&lt;2)),"Yes","No"))</f>
        <v>0</v>
      </c>
      <c r="AB61" s="8">
        <f>IF(OR(A61="",D61=""),"",S61*D61)</f>
        <v>0</v>
      </c>
      <c r="AC61" s="8">
        <f>IF(AB61="","",COUNTIFS($AB$5:$AB$304,"&gt;"&amp;AB61)+1)</f>
        <v>0</v>
      </c>
      <c r="AD61" s="8">
        <f>IF(A61="","",SUMIFS('Food Waste'!$E$5:$E$154,'Food Waste'!$C$5:$C$154,A61))</f>
        <v>0</v>
      </c>
      <c r="AE61" s="8">
        <f>IF(OR(A61="",AD61=0),"",COUNTIFS($AD$5:$AD$304,"&gt;"&amp;AD61)+1)</f>
        <v>0</v>
      </c>
      <c r="AF61" s="8">
        <f>IF(A61="","",IF(SUMPRODUCT(MAX(('Grocery Spending'!$E$5:$E$404=A61)*'Grocery Spending'!$A$5:$A$404))=0,"",SUMPRODUCT(MAX(('Grocery Spending'!$E$5:$E$404=A61)*'Grocery Spending'!$A$5:$A$404))))</f>
        <v>0</v>
      </c>
      <c r="AG61" s="8">
        <f>IF(OR(A61="",AF61=""),"",IFERROR(AVERAGEIFS('Grocery Spending'!$I$5:$I$404,'Grocery Spending'!$E$5:$E$404,A61,'Grocery Spending'!$A$5:$A$404,AF61),""))</f>
        <v>0</v>
      </c>
      <c r="AH61" s="8">
        <f>IF(A61="","",IFERROR(AVERAGEIFS('Grocery Spending'!$I$5:$I$404,'Grocery Spending'!$E$5:$E$404,A61),""))</f>
        <v>0</v>
      </c>
      <c r="AI61" s="8">
        <f>IF(A61="","",IF(SUMPRODUCT(MIN(('Grocery Spending'!$E$5:$E$404=A61)*'Grocery Spending'!$I$5:$I$404+('Grocery Spending'!$E$5:$E$404&lt;&gt;A61)*1000000))&gt;=1000000,"",SUMPRODUCT(MIN(('Grocery Spending'!$E$5:$E$404=A61)*'Grocery Spending'!$I$5:$I$404+('Grocery Spending'!$E$5:$E$404&lt;&gt;A61)*1000000))))</f>
        <v>0</v>
      </c>
      <c r="AJ61" s="8">
        <f>IF(A61="","",SUMPRODUCT(MAX(('Grocery Spending'!$E$5:$E$404=A61)*'Grocery Spending'!$I$5:$I$404)))</f>
        <v>0</v>
      </c>
      <c r="AK61" s="8">
        <f>IF(OR(A61="",AI61="",AJ61=0),"",AJ61-AI61)</f>
        <v>0</v>
      </c>
      <c r="AL61" s="8">
        <f>IF(OR(A61="",AG61="",AH61=""),"",AG61-AH61)</f>
        <v>0</v>
      </c>
      <c r="AM61" s="8">
        <f>IF(A61="","",IF(AL61="","",IF(AL61&gt;0.01,"Up",IF(AL61&lt;-0.01,"Down","Flat"))))</f>
        <v>0</v>
      </c>
      <c r="AN61" s="25"/>
    </row>
    <row r="62" spans="1:40">
      <c r="A62" s="7"/>
      <c r="B62" s="27"/>
      <c r="C62" s="27"/>
      <c r="D62" s="28"/>
      <c r="E62" s="27"/>
      <c r="F62" s="26"/>
      <c r="G62" s="8">
        <f>IF(OR(D62="",F62="",F62=0),"",D62/F62)</f>
        <v>0</v>
      </c>
      <c r="H62" s="26"/>
      <c r="I62" s="26"/>
      <c r="J62" s="26"/>
      <c r="K62" s="26"/>
      <c r="L62" s="26"/>
      <c r="M62" s="26"/>
      <c r="N62" s="27"/>
      <c r="O62" s="27"/>
      <c r="P62" s="27"/>
      <c r="Q62" s="27"/>
      <c r="R62" s="7"/>
      <c r="S62" s="8">
        <f>IF(A62="","",SUMIFS(Pantry!$C$5:$C$304,Pantry!$A$5:$A$304,A62))</f>
        <v>0</v>
      </c>
      <c r="T62" s="8">
        <f>IF(A62="","",COUNTIFS('Grocery List'!$A$5:$A$304,A62,'Grocery List'!$N$5:$N$304,"Yes"))</f>
        <v>0</v>
      </c>
      <c r="U62" s="8">
        <f>IF(A62="","",SUMIFS('Grocery List'!$M$5:$M$304,'Grocery List'!$A$5:$A$304,A62))</f>
        <v>0</v>
      </c>
      <c r="V62" s="8">
        <f>IF(A62="","",COUNTIFS('Recipe Ingredients'!$B$5:$B$1204,A62))</f>
        <v>0</v>
      </c>
      <c r="W62" s="8">
        <f>IF(A62="","",SUMIFS('Recipe Ingredients'!$C$5:$C$1204,'Recipe Ingredients'!$B$5:$B$1204,A62))</f>
        <v>0</v>
      </c>
      <c r="X62" s="8">
        <f>IF(A62="","",IF(U62&lt;=0,IF(S62&gt;0,99,0),ROUND(S62/U62,1)))</f>
        <v>0</v>
      </c>
      <c r="Y62" s="8">
        <f>IF(A62="","",U62*10+IF(O62="Yes",5,0)+IF(X62&lt;1,10,0)+IF(S62&lt;=0,3,0))</f>
        <v>0</v>
      </c>
      <c r="Z62" s="8">
        <f>IF(A62="","",COUNTIFS($Y$5:$Y$304,"&gt;"&amp;Y62)+1)</f>
        <v>0</v>
      </c>
      <c r="AA62" s="8">
        <f>IF(A62="","",IF(OR(U62&gt;0,AND(O62="Yes",X62&lt;2)),"Yes","No"))</f>
        <v>0</v>
      </c>
      <c r="AB62" s="8">
        <f>IF(OR(A62="",D62=""),"",S62*D62)</f>
        <v>0</v>
      </c>
      <c r="AC62" s="8">
        <f>IF(AB62="","",COUNTIFS($AB$5:$AB$304,"&gt;"&amp;AB62)+1)</f>
        <v>0</v>
      </c>
      <c r="AD62" s="8">
        <f>IF(A62="","",SUMIFS('Food Waste'!$E$5:$E$154,'Food Waste'!$C$5:$C$154,A62))</f>
        <v>0</v>
      </c>
      <c r="AE62" s="8">
        <f>IF(OR(A62="",AD62=0),"",COUNTIFS($AD$5:$AD$304,"&gt;"&amp;AD62)+1)</f>
        <v>0</v>
      </c>
      <c r="AF62" s="8">
        <f>IF(A62="","",IF(SUMPRODUCT(MAX(('Grocery Spending'!$E$5:$E$404=A62)*'Grocery Spending'!$A$5:$A$404))=0,"",SUMPRODUCT(MAX(('Grocery Spending'!$E$5:$E$404=A62)*'Grocery Spending'!$A$5:$A$404))))</f>
        <v>0</v>
      </c>
      <c r="AG62" s="8">
        <f>IF(OR(A62="",AF62=""),"",IFERROR(AVERAGEIFS('Grocery Spending'!$I$5:$I$404,'Grocery Spending'!$E$5:$E$404,A62,'Grocery Spending'!$A$5:$A$404,AF62),""))</f>
        <v>0</v>
      </c>
      <c r="AH62" s="8">
        <f>IF(A62="","",IFERROR(AVERAGEIFS('Grocery Spending'!$I$5:$I$404,'Grocery Spending'!$E$5:$E$404,A62),""))</f>
        <v>0</v>
      </c>
      <c r="AI62" s="8">
        <f>IF(A62="","",IF(SUMPRODUCT(MIN(('Grocery Spending'!$E$5:$E$404=A62)*'Grocery Spending'!$I$5:$I$404+('Grocery Spending'!$E$5:$E$404&lt;&gt;A62)*1000000))&gt;=1000000,"",SUMPRODUCT(MIN(('Grocery Spending'!$E$5:$E$404=A62)*'Grocery Spending'!$I$5:$I$404+('Grocery Spending'!$E$5:$E$404&lt;&gt;A62)*1000000))))</f>
        <v>0</v>
      </c>
      <c r="AJ62" s="8">
        <f>IF(A62="","",SUMPRODUCT(MAX(('Grocery Spending'!$E$5:$E$404=A62)*'Grocery Spending'!$I$5:$I$404)))</f>
        <v>0</v>
      </c>
      <c r="AK62" s="8">
        <f>IF(OR(A62="",AI62="",AJ62=0),"",AJ62-AI62)</f>
        <v>0</v>
      </c>
      <c r="AL62" s="8">
        <f>IF(OR(A62="",AG62="",AH62=""),"",AG62-AH62)</f>
        <v>0</v>
      </c>
      <c r="AM62" s="8">
        <f>IF(A62="","",IF(AL62="","",IF(AL62&gt;0.01,"Up",IF(AL62&lt;-0.01,"Down","Flat"))))</f>
        <v>0</v>
      </c>
      <c r="AN62" s="25"/>
    </row>
    <row r="63" spans="1:40">
      <c r="A63" s="7"/>
      <c r="B63" s="27"/>
      <c r="C63" s="27"/>
      <c r="D63" s="28"/>
      <c r="E63" s="27"/>
      <c r="F63" s="26"/>
      <c r="G63" s="8">
        <f>IF(OR(D63="",F63="",F63=0),"",D63/F63)</f>
        <v>0</v>
      </c>
      <c r="H63" s="26"/>
      <c r="I63" s="26"/>
      <c r="J63" s="26"/>
      <c r="K63" s="26"/>
      <c r="L63" s="26"/>
      <c r="M63" s="26"/>
      <c r="N63" s="27"/>
      <c r="O63" s="27"/>
      <c r="P63" s="27"/>
      <c r="Q63" s="27"/>
      <c r="R63" s="7"/>
      <c r="S63" s="8">
        <f>IF(A63="","",SUMIFS(Pantry!$C$5:$C$304,Pantry!$A$5:$A$304,A63))</f>
        <v>0</v>
      </c>
      <c r="T63" s="8">
        <f>IF(A63="","",COUNTIFS('Grocery List'!$A$5:$A$304,A63,'Grocery List'!$N$5:$N$304,"Yes"))</f>
        <v>0</v>
      </c>
      <c r="U63" s="8">
        <f>IF(A63="","",SUMIFS('Grocery List'!$M$5:$M$304,'Grocery List'!$A$5:$A$304,A63))</f>
        <v>0</v>
      </c>
      <c r="V63" s="8">
        <f>IF(A63="","",COUNTIFS('Recipe Ingredients'!$B$5:$B$1204,A63))</f>
        <v>0</v>
      </c>
      <c r="W63" s="8">
        <f>IF(A63="","",SUMIFS('Recipe Ingredients'!$C$5:$C$1204,'Recipe Ingredients'!$B$5:$B$1204,A63))</f>
        <v>0</v>
      </c>
      <c r="X63" s="8">
        <f>IF(A63="","",IF(U63&lt;=0,IF(S63&gt;0,99,0),ROUND(S63/U63,1)))</f>
        <v>0</v>
      </c>
      <c r="Y63" s="8">
        <f>IF(A63="","",U63*10+IF(O63="Yes",5,0)+IF(X63&lt;1,10,0)+IF(S63&lt;=0,3,0))</f>
        <v>0</v>
      </c>
      <c r="Z63" s="8">
        <f>IF(A63="","",COUNTIFS($Y$5:$Y$304,"&gt;"&amp;Y63)+1)</f>
        <v>0</v>
      </c>
      <c r="AA63" s="8">
        <f>IF(A63="","",IF(OR(U63&gt;0,AND(O63="Yes",X63&lt;2)),"Yes","No"))</f>
        <v>0</v>
      </c>
      <c r="AB63" s="8">
        <f>IF(OR(A63="",D63=""),"",S63*D63)</f>
        <v>0</v>
      </c>
      <c r="AC63" s="8">
        <f>IF(AB63="","",COUNTIFS($AB$5:$AB$304,"&gt;"&amp;AB63)+1)</f>
        <v>0</v>
      </c>
      <c r="AD63" s="8">
        <f>IF(A63="","",SUMIFS('Food Waste'!$E$5:$E$154,'Food Waste'!$C$5:$C$154,A63))</f>
        <v>0</v>
      </c>
      <c r="AE63" s="8">
        <f>IF(OR(A63="",AD63=0),"",COUNTIFS($AD$5:$AD$304,"&gt;"&amp;AD63)+1)</f>
        <v>0</v>
      </c>
      <c r="AF63" s="8">
        <f>IF(A63="","",IF(SUMPRODUCT(MAX(('Grocery Spending'!$E$5:$E$404=A63)*'Grocery Spending'!$A$5:$A$404))=0,"",SUMPRODUCT(MAX(('Grocery Spending'!$E$5:$E$404=A63)*'Grocery Spending'!$A$5:$A$404))))</f>
        <v>0</v>
      </c>
      <c r="AG63" s="8">
        <f>IF(OR(A63="",AF63=""),"",IFERROR(AVERAGEIFS('Grocery Spending'!$I$5:$I$404,'Grocery Spending'!$E$5:$E$404,A63,'Grocery Spending'!$A$5:$A$404,AF63),""))</f>
        <v>0</v>
      </c>
      <c r="AH63" s="8">
        <f>IF(A63="","",IFERROR(AVERAGEIFS('Grocery Spending'!$I$5:$I$404,'Grocery Spending'!$E$5:$E$404,A63),""))</f>
        <v>0</v>
      </c>
      <c r="AI63" s="8">
        <f>IF(A63="","",IF(SUMPRODUCT(MIN(('Grocery Spending'!$E$5:$E$404=A63)*'Grocery Spending'!$I$5:$I$404+('Grocery Spending'!$E$5:$E$404&lt;&gt;A63)*1000000))&gt;=1000000,"",SUMPRODUCT(MIN(('Grocery Spending'!$E$5:$E$404=A63)*'Grocery Spending'!$I$5:$I$404+('Grocery Spending'!$E$5:$E$404&lt;&gt;A63)*1000000))))</f>
        <v>0</v>
      </c>
      <c r="AJ63" s="8">
        <f>IF(A63="","",SUMPRODUCT(MAX(('Grocery Spending'!$E$5:$E$404=A63)*'Grocery Spending'!$I$5:$I$404)))</f>
        <v>0</v>
      </c>
      <c r="AK63" s="8">
        <f>IF(OR(A63="",AI63="",AJ63=0),"",AJ63-AI63)</f>
        <v>0</v>
      </c>
      <c r="AL63" s="8">
        <f>IF(OR(A63="",AG63="",AH63=""),"",AG63-AH63)</f>
        <v>0</v>
      </c>
      <c r="AM63" s="8">
        <f>IF(A63="","",IF(AL63="","",IF(AL63&gt;0.01,"Up",IF(AL63&lt;-0.01,"Down","Flat"))))</f>
        <v>0</v>
      </c>
      <c r="AN63" s="25"/>
    </row>
    <row r="64" spans="1:40">
      <c r="A64" s="7"/>
      <c r="B64" s="27"/>
      <c r="C64" s="27"/>
      <c r="D64" s="28"/>
      <c r="E64" s="27"/>
      <c r="F64" s="26"/>
      <c r="G64" s="8">
        <f>IF(OR(D64="",F64="",F64=0),"",D64/F64)</f>
        <v>0</v>
      </c>
      <c r="H64" s="26"/>
      <c r="I64" s="26"/>
      <c r="J64" s="26"/>
      <c r="K64" s="26"/>
      <c r="L64" s="26"/>
      <c r="M64" s="26"/>
      <c r="N64" s="27"/>
      <c r="O64" s="27"/>
      <c r="P64" s="27"/>
      <c r="Q64" s="27"/>
      <c r="R64" s="7"/>
      <c r="S64" s="8">
        <f>IF(A64="","",SUMIFS(Pantry!$C$5:$C$304,Pantry!$A$5:$A$304,A64))</f>
        <v>0</v>
      </c>
      <c r="T64" s="8">
        <f>IF(A64="","",COUNTIFS('Grocery List'!$A$5:$A$304,A64,'Grocery List'!$N$5:$N$304,"Yes"))</f>
        <v>0</v>
      </c>
      <c r="U64" s="8">
        <f>IF(A64="","",SUMIFS('Grocery List'!$M$5:$M$304,'Grocery List'!$A$5:$A$304,A64))</f>
        <v>0</v>
      </c>
      <c r="V64" s="8">
        <f>IF(A64="","",COUNTIFS('Recipe Ingredients'!$B$5:$B$1204,A64))</f>
        <v>0</v>
      </c>
      <c r="W64" s="8">
        <f>IF(A64="","",SUMIFS('Recipe Ingredients'!$C$5:$C$1204,'Recipe Ingredients'!$B$5:$B$1204,A64))</f>
        <v>0</v>
      </c>
      <c r="X64" s="8">
        <f>IF(A64="","",IF(U64&lt;=0,IF(S64&gt;0,99,0),ROUND(S64/U64,1)))</f>
        <v>0</v>
      </c>
      <c r="Y64" s="8">
        <f>IF(A64="","",U64*10+IF(O64="Yes",5,0)+IF(X64&lt;1,10,0)+IF(S64&lt;=0,3,0))</f>
        <v>0</v>
      </c>
      <c r="Z64" s="8">
        <f>IF(A64="","",COUNTIFS($Y$5:$Y$304,"&gt;"&amp;Y64)+1)</f>
        <v>0</v>
      </c>
      <c r="AA64" s="8">
        <f>IF(A64="","",IF(OR(U64&gt;0,AND(O64="Yes",X64&lt;2)),"Yes","No"))</f>
        <v>0</v>
      </c>
      <c r="AB64" s="8">
        <f>IF(OR(A64="",D64=""),"",S64*D64)</f>
        <v>0</v>
      </c>
      <c r="AC64" s="8">
        <f>IF(AB64="","",COUNTIFS($AB$5:$AB$304,"&gt;"&amp;AB64)+1)</f>
        <v>0</v>
      </c>
      <c r="AD64" s="8">
        <f>IF(A64="","",SUMIFS('Food Waste'!$E$5:$E$154,'Food Waste'!$C$5:$C$154,A64))</f>
        <v>0</v>
      </c>
      <c r="AE64" s="8">
        <f>IF(OR(A64="",AD64=0),"",COUNTIFS($AD$5:$AD$304,"&gt;"&amp;AD64)+1)</f>
        <v>0</v>
      </c>
      <c r="AF64" s="8">
        <f>IF(A64="","",IF(SUMPRODUCT(MAX(('Grocery Spending'!$E$5:$E$404=A64)*'Grocery Spending'!$A$5:$A$404))=0,"",SUMPRODUCT(MAX(('Grocery Spending'!$E$5:$E$404=A64)*'Grocery Spending'!$A$5:$A$404))))</f>
        <v>0</v>
      </c>
      <c r="AG64" s="8">
        <f>IF(OR(A64="",AF64=""),"",IFERROR(AVERAGEIFS('Grocery Spending'!$I$5:$I$404,'Grocery Spending'!$E$5:$E$404,A64,'Grocery Spending'!$A$5:$A$404,AF64),""))</f>
        <v>0</v>
      </c>
      <c r="AH64" s="8">
        <f>IF(A64="","",IFERROR(AVERAGEIFS('Grocery Spending'!$I$5:$I$404,'Grocery Spending'!$E$5:$E$404,A64),""))</f>
        <v>0</v>
      </c>
      <c r="AI64" s="8">
        <f>IF(A64="","",IF(SUMPRODUCT(MIN(('Grocery Spending'!$E$5:$E$404=A64)*'Grocery Spending'!$I$5:$I$404+('Grocery Spending'!$E$5:$E$404&lt;&gt;A64)*1000000))&gt;=1000000,"",SUMPRODUCT(MIN(('Grocery Spending'!$E$5:$E$404=A64)*'Grocery Spending'!$I$5:$I$404+('Grocery Spending'!$E$5:$E$404&lt;&gt;A64)*1000000))))</f>
        <v>0</v>
      </c>
      <c r="AJ64" s="8">
        <f>IF(A64="","",SUMPRODUCT(MAX(('Grocery Spending'!$E$5:$E$404=A64)*'Grocery Spending'!$I$5:$I$404)))</f>
        <v>0</v>
      </c>
      <c r="AK64" s="8">
        <f>IF(OR(A64="",AI64="",AJ64=0),"",AJ64-AI64)</f>
        <v>0</v>
      </c>
      <c r="AL64" s="8">
        <f>IF(OR(A64="",AG64="",AH64=""),"",AG64-AH64)</f>
        <v>0</v>
      </c>
      <c r="AM64" s="8">
        <f>IF(A64="","",IF(AL64="","",IF(AL64&gt;0.01,"Up",IF(AL64&lt;-0.01,"Down","Flat"))))</f>
        <v>0</v>
      </c>
      <c r="AN64" s="25"/>
    </row>
    <row r="65" spans="1:40">
      <c r="A65" s="7"/>
      <c r="B65" s="27"/>
      <c r="C65" s="27"/>
      <c r="D65" s="28"/>
      <c r="E65" s="27"/>
      <c r="F65" s="26"/>
      <c r="G65" s="8">
        <f>IF(OR(D65="",F65="",F65=0),"",D65/F65)</f>
        <v>0</v>
      </c>
      <c r="H65" s="26"/>
      <c r="I65" s="26"/>
      <c r="J65" s="26"/>
      <c r="K65" s="26"/>
      <c r="L65" s="26"/>
      <c r="M65" s="26"/>
      <c r="N65" s="27"/>
      <c r="O65" s="27"/>
      <c r="P65" s="27"/>
      <c r="Q65" s="27"/>
      <c r="R65" s="7"/>
      <c r="S65" s="8">
        <f>IF(A65="","",SUMIFS(Pantry!$C$5:$C$304,Pantry!$A$5:$A$304,A65))</f>
        <v>0</v>
      </c>
      <c r="T65" s="8">
        <f>IF(A65="","",COUNTIFS('Grocery List'!$A$5:$A$304,A65,'Grocery List'!$N$5:$N$304,"Yes"))</f>
        <v>0</v>
      </c>
      <c r="U65" s="8">
        <f>IF(A65="","",SUMIFS('Grocery List'!$M$5:$M$304,'Grocery List'!$A$5:$A$304,A65))</f>
        <v>0</v>
      </c>
      <c r="V65" s="8">
        <f>IF(A65="","",COUNTIFS('Recipe Ingredients'!$B$5:$B$1204,A65))</f>
        <v>0</v>
      </c>
      <c r="W65" s="8">
        <f>IF(A65="","",SUMIFS('Recipe Ingredients'!$C$5:$C$1204,'Recipe Ingredients'!$B$5:$B$1204,A65))</f>
        <v>0</v>
      </c>
      <c r="X65" s="8">
        <f>IF(A65="","",IF(U65&lt;=0,IF(S65&gt;0,99,0),ROUND(S65/U65,1)))</f>
        <v>0</v>
      </c>
      <c r="Y65" s="8">
        <f>IF(A65="","",U65*10+IF(O65="Yes",5,0)+IF(X65&lt;1,10,0)+IF(S65&lt;=0,3,0))</f>
        <v>0</v>
      </c>
      <c r="Z65" s="8">
        <f>IF(A65="","",COUNTIFS($Y$5:$Y$304,"&gt;"&amp;Y65)+1)</f>
        <v>0</v>
      </c>
      <c r="AA65" s="8">
        <f>IF(A65="","",IF(OR(U65&gt;0,AND(O65="Yes",X65&lt;2)),"Yes","No"))</f>
        <v>0</v>
      </c>
      <c r="AB65" s="8">
        <f>IF(OR(A65="",D65=""),"",S65*D65)</f>
        <v>0</v>
      </c>
      <c r="AC65" s="8">
        <f>IF(AB65="","",COUNTIFS($AB$5:$AB$304,"&gt;"&amp;AB65)+1)</f>
        <v>0</v>
      </c>
      <c r="AD65" s="8">
        <f>IF(A65="","",SUMIFS('Food Waste'!$E$5:$E$154,'Food Waste'!$C$5:$C$154,A65))</f>
        <v>0</v>
      </c>
      <c r="AE65" s="8">
        <f>IF(OR(A65="",AD65=0),"",COUNTIFS($AD$5:$AD$304,"&gt;"&amp;AD65)+1)</f>
        <v>0</v>
      </c>
      <c r="AF65" s="8">
        <f>IF(A65="","",IF(SUMPRODUCT(MAX(('Grocery Spending'!$E$5:$E$404=A65)*'Grocery Spending'!$A$5:$A$404))=0,"",SUMPRODUCT(MAX(('Grocery Spending'!$E$5:$E$404=A65)*'Grocery Spending'!$A$5:$A$404))))</f>
        <v>0</v>
      </c>
      <c r="AG65" s="8">
        <f>IF(OR(A65="",AF65=""),"",IFERROR(AVERAGEIFS('Grocery Spending'!$I$5:$I$404,'Grocery Spending'!$E$5:$E$404,A65,'Grocery Spending'!$A$5:$A$404,AF65),""))</f>
        <v>0</v>
      </c>
      <c r="AH65" s="8">
        <f>IF(A65="","",IFERROR(AVERAGEIFS('Grocery Spending'!$I$5:$I$404,'Grocery Spending'!$E$5:$E$404,A65),""))</f>
        <v>0</v>
      </c>
      <c r="AI65" s="8">
        <f>IF(A65="","",IF(SUMPRODUCT(MIN(('Grocery Spending'!$E$5:$E$404=A65)*'Grocery Spending'!$I$5:$I$404+('Grocery Spending'!$E$5:$E$404&lt;&gt;A65)*1000000))&gt;=1000000,"",SUMPRODUCT(MIN(('Grocery Spending'!$E$5:$E$404=A65)*'Grocery Spending'!$I$5:$I$404+('Grocery Spending'!$E$5:$E$404&lt;&gt;A65)*1000000))))</f>
        <v>0</v>
      </c>
      <c r="AJ65" s="8">
        <f>IF(A65="","",SUMPRODUCT(MAX(('Grocery Spending'!$E$5:$E$404=A65)*'Grocery Spending'!$I$5:$I$404)))</f>
        <v>0</v>
      </c>
      <c r="AK65" s="8">
        <f>IF(OR(A65="",AI65="",AJ65=0),"",AJ65-AI65)</f>
        <v>0</v>
      </c>
      <c r="AL65" s="8">
        <f>IF(OR(A65="",AG65="",AH65=""),"",AG65-AH65)</f>
        <v>0</v>
      </c>
      <c r="AM65" s="8">
        <f>IF(A65="","",IF(AL65="","",IF(AL65&gt;0.01,"Up",IF(AL65&lt;-0.01,"Down","Flat"))))</f>
        <v>0</v>
      </c>
      <c r="AN65" s="25"/>
    </row>
    <row r="66" spans="1:40">
      <c r="A66" s="7"/>
      <c r="B66" s="27"/>
      <c r="C66" s="27"/>
      <c r="D66" s="28"/>
      <c r="E66" s="27"/>
      <c r="F66" s="26"/>
      <c r="G66" s="8">
        <f>IF(OR(D66="",F66="",F66=0),"",D66/F66)</f>
        <v>0</v>
      </c>
      <c r="H66" s="26"/>
      <c r="I66" s="26"/>
      <c r="J66" s="26"/>
      <c r="K66" s="26"/>
      <c r="L66" s="26"/>
      <c r="M66" s="26"/>
      <c r="N66" s="27"/>
      <c r="O66" s="27"/>
      <c r="P66" s="27"/>
      <c r="Q66" s="27"/>
      <c r="R66" s="7"/>
      <c r="S66" s="8">
        <f>IF(A66="","",SUMIFS(Pantry!$C$5:$C$304,Pantry!$A$5:$A$304,A66))</f>
        <v>0</v>
      </c>
      <c r="T66" s="8">
        <f>IF(A66="","",COUNTIFS('Grocery List'!$A$5:$A$304,A66,'Grocery List'!$N$5:$N$304,"Yes"))</f>
        <v>0</v>
      </c>
      <c r="U66" s="8">
        <f>IF(A66="","",SUMIFS('Grocery List'!$M$5:$M$304,'Grocery List'!$A$5:$A$304,A66))</f>
        <v>0</v>
      </c>
      <c r="V66" s="8">
        <f>IF(A66="","",COUNTIFS('Recipe Ingredients'!$B$5:$B$1204,A66))</f>
        <v>0</v>
      </c>
      <c r="W66" s="8">
        <f>IF(A66="","",SUMIFS('Recipe Ingredients'!$C$5:$C$1204,'Recipe Ingredients'!$B$5:$B$1204,A66))</f>
        <v>0</v>
      </c>
      <c r="X66" s="8">
        <f>IF(A66="","",IF(U66&lt;=0,IF(S66&gt;0,99,0),ROUND(S66/U66,1)))</f>
        <v>0</v>
      </c>
      <c r="Y66" s="8">
        <f>IF(A66="","",U66*10+IF(O66="Yes",5,0)+IF(X66&lt;1,10,0)+IF(S66&lt;=0,3,0))</f>
        <v>0</v>
      </c>
      <c r="Z66" s="8">
        <f>IF(A66="","",COUNTIFS($Y$5:$Y$304,"&gt;"&amp;Y66)+1)</f>
        <v>0</v>
      </c>
      <c r="AA66" s="8">
        <f>IF(A66="","",IF(OR(U66&gt;0,AND(O66="Yes",X66&lt;2)),"Yes","No"))</f>
        <v>0</v>
      </c>
      <c r="AB66" s="8">
        <f>IF(OR(A66="",D66=""),"",S66*D66)</f>
        <v>0</v>
      </c>
      <c r="AC66" s="8">
        <f>IF(AB66="","",COUNTIFS($AB$5:$AB$304,"&gt;"&amp;AB66)+1)</f>
        <v>0</v>
      </c>
      <c r="AD66" s="8">
        <f>IF(A66="","",SUMIFS('Food Waste'!$E$5:$E$154,'Food Waste'!$C$5:$C$154,A66))</f>
        <v>0</v>
      </c>
      <c r="AE66" s="8">
        <f>IF(OR(A66="",AD66=0),"",COUNTIFS($AD$5:$AD$304,"&gt;"&amp;AD66)+1)</f>
        <v>0</v>
      </c>
      <c r="AF66" s="8">
        <f>IF(A66="","",IF(SUMPRODUCT(MAX(('Grocery Spending'!$E$5:$E$404=A66)*'Grocery Spending'!$A$5:$A$404))=0,"",SUMPRODUCT(MAX(('Grocery Spending'!$E$5:$E$404=A66)*'Grocery Spending'!$A$5:$A$404))))</f>
        <v>0</v>
      </c>
      <c r="AG66" s="8">
        <f>IF(OR(A66="",AF66=""),"",IFERROR(AVERAGEIFS('Grocery Spending'!$I$5:$I$404,'Grocery Spending'!$E$5:$E$404,A66,'Grocery Spending'!$A$5:$A$404,AF66),""))</f>
        <v>0</v>
      </c>
      <c r="AH66" s="8">
        <f>IF(A66="","",IFERROR(AVERAGEIFS('Grocery Spending'!$I$5:$I$404,'Grocery Spending'!$E$5:$E$404,A66),""))</f>
        <v>0</v>
      </c>
      <c r="AI66" s="8">
        <f>IF(A66="","",IF(SUMPRODUCT(MIN(('Grocery Spending'!$E$5:$E$404=A66)*'Grocery Spending'!$I$5:$I$404+('Grocery Spending'!$E$5:$E$404&lt;&gt;A66)*1000000))&gt;=1000000,"",SUMPRODUCT(MIN(('Grocery Spending'!$E$5:$E$404=A66)*'Grocery Spending'!$I$5:$I$404+('Grocery Spending'!$E$5:$E$404&lt;&gt;A66)*1000000))))</f>
        <v>0</v>
      </c>
      <c r="AJ66" s="8">
        <f>IF(A66="","",SUMPRODUCT(MAX(('Grocery Spending'!$E$5:$E$404=A66)*'Grocery Spending'!$I$5:$I$404)))</f>
        <v>0</v>
      </c>
      <c r="AK66" s="8">
        <f>IF(OR(A66="",AI66="",AJ66=0),"",AJ66-AI66)</f>
        <v>0</v>
      </c>
      <c r="AL66" s="8">
        <f>IF(OR(A66="",AG66="",AH66=""),"",AG66-AH66)</f>
        <v>0</v>
      </c>
      <c r="AM66" s="8">
        <f>IF(A66="","",IF(AL66="","",IF(AL66&gt;0.01,"Up",IF(AL66&lt;-0.01,"Down","Flat"))))</f>
        <v>0</v>
      </c>
      <c r="AN66" s="25"/>
    </row>
    <row r="67" spans="1:40">
      <c r="A67" s="7"/>
      <c r="B67" s="27"/>
      <c r="C67" s="27"/>
      <c r="D67" s="28"/>
      <c r="E67" s="27"/>
      <c r="F67" s="26"/>
      <c r="G67" s="8">
        <f>IF(OR(D67="",F67="",F67=0),"",D67/F67)</f>
        <v>0</v>
      </c>
      <c r="H67" s="26"/>
      <c r="I67" s="26"/>
      <c r="J67" s="26"/>
      <c r="K67" s="26"/>
      <c r="L67" s="26"/>
      <c r="M67" s="26"/>
      <c r="N67" s="27"/>
      <c r="O67" s="27"/>
      <c r="P67" s="27"/>
      <c r="Q67" s="27"/>
      <c r="R67" s="7"/>
      <c r="S67" s="8">
        <f>IF(A67="","",SUMIFS(Pantry!$C$5:$C$304,Pantry!$A$5:$A$304,A67))</f>
        <v>0</v>
      </c>
      <c r="T67" s="8">
        <f>IF(A67="","",COUNTIFS('Grocery List'!$A$5:$A$304,A67,'Grocery List'!$N$5:$N$304,"Yes"))</f>
        <v>0</v>
      </c>
      <c r="U67" s="8">
        <f>IF(A67="","",SUMIFS('Grocery List'!$M$5:$M$304,'Grocery List'!$A$5:$A$304,A67))</f>
        <v>0</v>
      </c>
      <c r="V67" s="8">
        <f>IF(A67="","",COUNTIFS('Recipe Ingredients'!$B$5:$B$1204,A67))</f>
        <v>0</v>
      </c>
      <c r="W67" s="8">
        <f>IF(A67="","",SUMIFS('Recipe Ingredients'!$C$5:$C$1204,'Recipe Ingredients'!$B$5:$B$1204,A67))</f>
        <v>0</v>
      </c>
      <c r="X67" s="8">
        <f>IF(A67="","",IF(U67&lt;=0,IF(S67&gt;0,99,0),ROUND(S67/U67,1)))</f>
        <v>0</v>
      </c>
      <c r="Y67" s="8">
        <f>IF(A67="","",U67*10+IF(O67="Yes",5,0)+IF(X67&lt;1,10,0)+IF(S67&lt;=0,3,0))</f>
        <v>0</v>
      </c>
      <c r="Z67" s="8">
        <f>IF(A67="","",COUNTIFS($Y$5:$Y$304,"&gt;"&amp;Y67)+1)</f>
        <v>0</v>
      </c>
      <c r="AA67" s="8">
        <f>IF(A67="","",IF(OR(U67&gt;0,AND(O67="Yes",X67&lt;2)),"Yes","No"))</f>
        <v>0</v>
      </c>
      <c r="AB67" s="8">
        <f>IF(OR(A67="",D67=""),"",S67*D67)</f>
        <v>0</v>
      </c>
      <c r="AC67" s="8">
        <f>IF(AB67="","",COUNTIFS($AB$5:$AB$304,"&gt;"&amp;AB67)+1)</f>
        <v>0</v>
      </c>
      <c r="AD67" s="8">
        <f>IF(A67="","",SUMIFS('Food Waste'!$E$5:$E$154,'Food Waste'!$C$5:$C$154,A67))</f>
        <v>0</v>
      </c>
      <c r="AE67" s="8">
        <f>IF(OR(A67="",AD67=0),"",COUNTIFS($AD$5:$AD$304,"&gt;"&amp;AD67)+1)</f>
        <v>0</v>
      </c>
      <c r="AF67" s="8">
        <f>IF(A67="","",IF(SUMPRODUCT(MAX(('Grocery Spending'!$E$5:$E$404=A67)*'Grocery Spending'!$A$5:$A$404))=0,"",SUMPRODUCT(MAX(('Grocery Spending'!$E$5:$E$404=A67)*'Grocery Spending'!$A$5:$A$404))))</f>
        <v>0</v>
      </c>
      <c r="AG67" s="8">
        <f>IF(OR(A67="",AF67=""),"",IFERROR(AVERAGEIFS('Grocery Spending'!$I$5:$I$404,'Grocery Spending'!$E$5:$E$404,A67,'Grocery Spending'!$A$5:$A$404,AF67),""))</f>
        <v>0</v>
      </c>
      <c r="AH67" s="8">
        <f>IF(A67="","",IFERROR(AVERAGEIFS('Grocery Spending'!$I$5:$I$404,'Grocery Spending'!$E$5:$E$404,A67),""))</f>
        <v>0</v>
      </c>
      <c r="AI67" s="8">
        <f>IF(A67="","",IF(SUMPRODUCT(MIN(('Grocery Spending'!$E$5:$E$404=A67)*'Grocery Spending'!$I$5:$I$404+('Grocery Spending'!$E$5:$E$404&lt;&gt;A67)*1000000))&gt;=1000000,"",SUMPRODUCT(MIN(('Grocery Spending'!$E$5:$E$404=A67)*'Grocery Spending'!$I$5:$I$404+('Grocery Spending'!$E$5:$E$404&lt;&gt;A67)*1000000))))</f>
        <v>0</v>
      </c>
      <c r="AJ67" s="8">
        <f>IF(A67="","",SUMPRODUCT(MAX(('Grocery Spending'!$E$5:$E$404=A67)*'Grocery Spending'!$I$5:$I$404)))</f>
        <v>0</v>
      </c>
      <c r="AK67" s="8">
        <f>IF(OR(A67="",AI67="",AJ67=0),"",AJ67-AI67)</f>
        <v>0</v>
      </c>
      <c r="AL67" s="8">
        <f>IF(OR(A67="",AG67="",AH67=""),"",AG67-AH67)</f>
        <v>0</v>
      </c>
      <c r="AM67" s="8">
        <f>IF(A67="","",IF(AL67="","",IF(AL67&gt;0.01,"Up",IF(AL67&lt;-0.01,"Down","Flat"))))</f>
        <v>0</v>
      </c>
      <c r="AN67" s="25"/>
    </row>
    <row r="68" spans="1:40">
      <c r="A68" s="7"/>
      <c r="B68" s="27"/>
      <c r="C68" s="27"/>
      <c r="D68" s="28"/>
      <c r="E68" s="27"/>
      <c r="F68" s="26"/>
      <c r="G68" s="8">
        <f>IF(OR(D68="",F68="",F68=0),"",D68/F68)</f>
        <v>0</v>
      </c>
      <c r="H68" s="26"/>
      <c r="I68" s="26"/>
      <c r="J68" s="26"/>
      <c r="K68" s="26"/>
      <c r="L68" s="26"/>
      <c r="M68" s="26"/>
      <c r="N68" s="27"/>
      <c r="O68" s="27"/>
      <c r="P68" s="27"/>
      <c r="Q68" s="27"/>
      <c r="R68" s="7"/>
      <c r="S68" s="8">
        <f>IF(A68="","",SUMIFS(Pantry!$C$5:$C$304,Pantry!$A$5:$A$304,A68))</f>
        <v>0</v>
      </c>
      <c r="T68" s="8">
        <f>IF(A68="","",COUNTIFS('Grocery List'!$A$5:$A$304,A68,'Grocery List'!$N$5:$N$304,"Yes"))</f>
        <v>0</v>
      </c>
      <c r="U68" s="8">
        <f>IF(A68="","",SUMIFS('Grocery List'!$M$5:$M$304,'Grocery List'!$A$5:$A$304,A68))</f>
        <v>0</v>
      </c>
      <c r="V68" s="8">
        <f>IF(A68="","",COUNTIFS('Recipe Ingredients'!$B$5:$B$1204,A68))</f>
        <v>0</v>
      </c>
      <c r="W68" s="8">
        <f>IF(A68="","",SUMIFS('Recipe Ingredients'!$C$5:$C$1204,'Recipe Ingredients'!$B$5:$B$1204,A68))</f>
        <v>0</v>
      </c>
      <c r="X68" s="8">
        <f>IF(A68="","",IF(U68&lt;=0,IF(S68&gt;0,99,0),ROUND(S68/U68,1)))</f>
        <v>0</v>
      </c>
      <c r="Y68" s="8">
        <f>IF(A68="","",U68*10+IF(O68="Yes",5,0)+IF(X68&lt;1,10,0)+IF(S68&lt;=0,3,0))</f>
        <v>0</v>
      </c>
      <c r="Z68" s="8">
        <f>IF(A68="","",COUNTIFS($Y$5:$Y$304,"&gt;"&amp;Y68)+1)</f>
        <v>0</v>
      </c>
      <c r="AA68" s="8">
        <f>IF(A68="","",IF(OR(U68&gt;0,AND(O68="Yes",X68&lt;2)),"Yes","No"))</f>
        <v>0</v>
      </c>
      <c r="AB68" s="8">
        <f>IF(OR(A68="",D68=""),"",S68*D68)</f>
        <v>0</v>
      </c>
      <c r="AC68" s="8">
        <f>IF(AB68="","",COUNTIFS($AB$5:$AB$304,"&gt;"&amp;AB68)+1)</f>
        <v>0</v>
      </c>
      <c r="AD68" s="8">
        <f>IF(A68="","",SUMIFS('Food Waste'!$E$5:$E$154,'Food Waste'!$C$5:$C$154,A68))</f>
        <v>0</v>
      </c>
      <c r="AE68" s="8">
        <f>IF(OR(A68="",AD68=0),"",COUNTIFS($AD$5:$AD$304,"&gt;"&amp;AD68)+1)</f>
        <v>0</v>
      </c>
      <c r="AF68" s="8">
        <f>IF(A68="","",IF(SUMPRODUCT(MAX(('Grocery Spending'!$E$5:$E$404=A68)*'Grocery Spending'!$A$5:$A$404))=0,"",SUMPRODUCT(MAX(('Grocery Spending'!$E$5:$E$404=A68)*'Grocery Spending'!$A$5:$A$404))))</f>
        <v>0</v>
      </c>
      <c r="AG68" s="8">
        <f>IF(OR(A68="",AF68=""),"",IFERROR(AVERAGEIFS('Grocery Spending'!$I$5:$I$404,'Grocery Spending'!$E$5:$E$404,A68,'Grocery Spending'!$A$5:$A$404,AF68),""))</f>
        <v>0</v>
      </c>
      <c r="AH68" s="8">
        <f>IF(A68="","",IFERROR(AVERAGEIFS('Grocery Spending'!$I$5:$I$404,'Grocery Spending'!$E$5:$E$404,A68),""))</f>
        <v>0</v>
      </c>
      <c r="AI68" s="8">
        <f>IF(A68="","",IF(SUMPRODUCT(MIN(('Grocery Spending'!$E$5:$E$404=A68)*'Grocery Spending'!$I$5:$I$404+('Grocery Spending'!$E$5:$E$404&lt;&gt;A68)*1000000))&gt;=1000000,"",SUMPRODUCT(MIN(('Grocery Spending'!$E$5:$E$404=A68)*'Grocery Spending'!$I$5:$I$404+('Grocery Spending'!$E$5:$E$404&lt;&gt;A68)*1000000))))</f>
        <v>0</v>
      </c>
      <c r="AJ68" s="8">
        <f>IF(A68="","",SUMPRODUCT(MAX(('Grocery Spending'!$E$5:$E$404=A68)*'Grocery Spending'!$I$5:$I$404)))</f>
        <v>0</v>
      </c>
      <c r="AK68" s="8">
        <f>IF(OR(A68="",AI68="",AJ68=0),"",AJ68-AI68)</f>
        <v>0</v>
      </c>
      <c r="AL68" s="8">
        <f>IF(OR(A68="",AG68="",AH68=""),"",AG68-AH68)</f>
        <v>0</v>
      </c>
      <c r="AM68" s="8">
        <f>IF(A68="","",IF(AL68="","",IF(AL68&gt;0.01,"Up",IF(AL68&lt;-0.01,"Down","Flat"))))</f>
        <v>0</v>
      </c>
      <c r="AN68" s="25"/>
    </row>
    <row r="69" spans="1:40">
      <c r="A69" s="7"/>
      <c r="B69" s="27"/>
      <c r="C69" s="27"/>
      <c r="D69" s="28"/>
      <c r="E69" s="27"/>
      <c r="F69" s="26"/>
      <c r="G69" s="8">
        <f>IF(OR(D69="",F69="",F69=0),"",D69/F69)</f>
        <v>0</v>
      </c>
      <c r="H69" s="26"/>
      <c r="I69" s="26"/>
      <c r="J69" s="26"/>
      <c r="K69" s="26"/>
      <c r="L69" s="26"/>
      <c r="M69" s="26"/>
      <c r="N69" s="27"/>
      <c r="O69" s="27"/>
      <c r="P69" s="27"/>
      <c r="Q69" s="27"/>
      <c r="R69" s="7"/>
      <c r="S69" s="8">
        <f>IF(A69="","",SUMIFS(Pantry!$C$5:$C$304,Pantry!$A$5:$A$304,A69))</f>
        <v>0</v>
      </c>
      <c r="T69" s="8">
        <f>IF(A69="","",COUNTIFS('Grocery List'!$A$5:$A$304,A69,'Grocery List'!$N$5:$N$304,"Yes"))</f>
        <v>0</v>
      </c>
      <c r="U69" s="8">
        <f>IF(A69="","",SUMIFS('Grocery List'!$M$5:$M$304,'Grocery List'!$A$5:$A$304,A69))</f>
        <v>0</v>
      </c>
      <c r="V69" s="8">
        <f>IF(A69="","",COUNTIFS('Recipe Ingredients'!$B$5:$B$1204,A69))</f>
        <v>0</v>
      </c>
      <c r="W69" s="8">
        <f>IF(A69="","",SUMIFS('Recipe Ingredients'!$C$5:$C$1204,'Recipe Ingredients'!$B$5:$B$1204,A69))</f>
        <v>0</v>
      </c>
      <c r="X69" s="8">
        <f>IF(A69="","",IF(U69&lt;=0,IF(S69&gt;0,99,0),ROUND(S69/U69,1)))</f>
        <v>0</v>
      </c>
      <c r="Y69" s="8">
        <f>IF(A69="","",U69*10+IF(O69="Yes",5,0)+IF(X69&lt;1,10,0)+IF(S69&lt;=0,3,0))</f>
        <v>0</v>
      </c>
      <c r="Z69" s="8">
        <f>IF(A69="","",COUNTIFS($Y$5:$Y$304,"&gt;"&amp;Y69)+1)</f>
        <v>0</v>
      </c>
      <c r="AA69" s="8">
        <f>IF(A69="","",IF(OR(U69&gt;0,AND(O69="Yes",X69&lt;2)),"Yes","No"))</f>
        <v>0</v>
      </c>
      <c r="AB69" s="8">
        <f>IF(OR(A69="",D69=""),"",S69*D69)</f>
        <v>0</v>
      </c>
      <c r="AC69" s="8">
        <f>IF(AB69="","",COUNTIFS($AB$5:$AB$304,"&gt;"&amp;AB69)+1)</f>
        <v>0</v>
      </c>
      <c r="AD69" s="8">
        <f>IF(A69="","",SUMIFS('Food Waste'!$E$5:$E$154,'Food Waste'!$C$5:$C$154,A69))</f>
        <v>0</v>
      </c>
      <c r="AE69" s="8">
        <f>IF(OR(A69="",AD69=0),"",COUNTIFS($AD$5:$AD$304,"&gt;"&amp;AD69)+1)</f>
        <v>0</v>
      </c>
      <c r="AF69" s="8">
        <f>IF(A69="","",IF(SUMPRODUCT(MAX(('Grocery Spending'!$E$5:$E$404=A69)*'Grocery Spending'!$A$5:$A$404))=0,"",SUMPRODUCT(MAX(('Grocery Spending'!$E$5:$E$404=A69)*'Grocery Spending'!$A$5:$A$404))))</f>
        <v>0</v>
      </c>
      <c r="AG69" s="8">
        <f>IF(OR(A69="",AF69=""),"",IFERROR(AVERAGEIFS('Grocery Spending'!$I$5:$I$404,'Grocery Spending'!$E$5:$E$404,A69,'Grocery Spending'!$A$5:$A$404,AF69),""))</f>
        <v>0</v>
      </c>
      <c r="AH69" s="8">
        <f>IF(A69="","",IFERROR(AVERAGEIFS('Grocery Spending'!$I$5:$I$404,'Grocery Spending'!$E$5:$E$404,A69),""))</f>
        <v>0</v>
      </c>
      <c r="AI69" s="8">
        <f>IF(A69="","",IF(SUMPRODUCT(MIN(('Grocery Spending'!$E$5:$E$404=A69)*'Grocery Spending'!$I$5:$I$404+('Grocery Spending'!$E$5:$E$404&lt;&gt;A69)*1000000))&gt;=1000000,"",SUMPRODUCT(MIN(('Grocery Spending'!$E$5:$E$404=A69)*'Grocery Spending'!$I$5:$I$404+('Grocery Spending'!$E$5:$E$404&lt;&gt;A69)*1000000))))</f>
        <v>0</v>
      </c>
      <c r="AJ69" s="8">
        <f>IF(A69="","",SUMPRODUCT(MAX(('Grocery Spending'!$E$5:$E$404=A69)*'Grocery Spending'!$I$5:$I$404)))</f>
        <v>0</v>
      </c>
      <c r="AK69" s="8">
        <f>IF(OR(A69="",AI69="",AJ69=0),"",AJ69-AI69)</f>
        <v>0</v>
      </c>
      <c r="AL69" s="8">
        <f>IF(OR(A69="",AG69="",AH69=""),"",AG69-AH69)</f>
        <v>0</v>
      </c>
      <c r="AM69" s="8">
        <f>IF(A69="","",IF(AL69="","",IF(AL69&gt;0.01,"Up",IF(AL69&lt;-0.01,"Down","Flat"))))</f>
        <v>0</v>
      </c>
      <c r="AN69" s="25"/>
    </row>
    <row r="70" spans="1:40">
      <c r="A70" s="7"/>
      <c r="B70" s="27"/>
      <c r="C70" s="27"/>
      <c r="D70" s="28"/>
      <c r="E70" s="27"/>
      <c r="F70" s="26"/>
      <c r="G70" s="8">
        <f>IF(OR(D70="",F70="",F70=0),"",D70/F70)</f>
        <v>0</v>
      </c>
      <c r="H70" s="26"/>
      <c r="I70" s="26"/>
      <c r="J70" s="26"/>
      <c r="K70" s="26"/>
      <c r="L70" s="26"/>
      <c r="M70" s="26"/>
      <c r="N70" s="27"/>
      <c r="O70" s="27"/>
      <c r="P70" s="27"/>
      <c r="Q70" s="27"/>
      <c r="R70" s="7"/>
      <c r="S70" s="8">
        <f>IF(A70="","",SUMIFS(Pantry!$C$5:$C$304,Pantry!$A$5:$A$304,A70))</f>
        <v>0</v>
      </c>
      <c r="T70" s="8">
        <f>IF(A70="","",COUNTIFS('Grocery List'!$A$5:$A$304,A70,'Grocery List'!$N$5:$N$304,"Yes"))</f>
        <v>0</v>
      </c>
      <c r="U70" s="8">
        <f>IF(A70="","",SUMIFS('Grocery List'!$M$5:$M$304,'Grocery List'!$A$5:$A$304,A70))</f>
        <v>0</v>
      </c>
      <c r="V70" s="8">
        <f>IF(A70="","",COUNTIFS('Recipe Ingredients'!$B$5:$B$1204,A70))</f>
        <v>0</v>
      </c>
      <c r="W70" s="8">
        <f>IF(A70="","",SUMIFS('Recipe Ingredients'!$C$5:$C$1204,'Recipe Ingredients'!$B$5:$B$1204,A70))</f>
        <v>0</v>
      </c>
      <c r="X70" s="8">
        <f>IF(A70="","",IF(U70&lt;=0,IF(S70&gt;0,99,0),ROUND(S70/U70,1)))</f>
        <v>0</v>
      </c>
      <c r="Y70" s="8">
        <f>IF(A70="","",U70*10+IF(O70="Yes",5,0)+IF(X70&lt;1,10,0)+IF(S70&lt;=0,3,0))</f>
        <v>0</v>
      </c>
      <c r="Z70" s="8">
        <f>IF(A70="","",COUNTIFS($Y$5:$Y$304,"&gt;"&amp;Y70)+1)</f>
        <v>0</v>
      </c>
      <c r="AA70" s="8">
        <f>IF(A70="","",IF(OR(U70&gt;0,AND(O70="Yes",X70&lt;2)),"Yes","No"))</f>
        <v>0</v>
      </c>
      <c r="AB70" s="8">
        <f>IF(OR(A70="",D70=""),"",S70*D70)</f>
        <v>0</v>
      </c>
      <c r="AC70" s="8">
        <f>IF(AB70="","",COUNTIFS($AB$5:$AB$304,"&gt;"&amp;AB70)+1)</f>
        <v>0</v>
      </c>
      <c r="AD70" s="8">
        <f>IF(A70="","",SUMIFS('Food Waste'!$E$5:$E$154,'Food Waste'!$C$5:$C$154,A70))</f>
        <v>0</v>
      </c>
      <c r="AE70" s="8">
        <f>IF(OR(A70="",AD70=0),"",COUNTIFS($AD$5:$AD$304,"&gt;"&amp;AD70)+1)</f>
        <v>0</v>
      </c>
      <c r="AF70" s="8">
        <f>IF(A70="","",IF(SUMPRODUCT(MAX(('Grocery Spending'!$E$5:$E$404=A70)*'Grocery Spending'!$A$5:$A$404))=0,"",SUMPRODUCT(MAX(('Grocery Spending'!$E$5:$E$404=A70)*'Grocery Spending'!$A$5:$A$404))))</f>
        <v>0</v>
      </c>
      <c r="AG70" s="8">
        <f>IF(OR(A70="",AF70=""),"",IFERROR(AVERAGEIFS('Grocery Spending'!$I$5:$I$404,'Grocery Spending'!$E$5:$E$404,A70,'Grocery Spending'!$A$5:$A$404,AF70),""))</f>
        <v>0</v>
      </c>
      <c r="AH70" s="8">
        <f>IF(A70="","",IFERROR(AVERAGEIFS('Grocery Spending'!$I$5:$I$404,'Grocery Spending'!$E$5:$E$404,A70),""))</f>
        <v>0</v>
      </c>
      <c r="AI70" s="8">
        <f>IF(A70="","",IF(SUMPRODUCT(MIN(('Grocery Spending'!$E$5:$E$404=A70)*'Grocery Spending'!$I$5:$I$404+('Grocery Spending'!$E$5:$E$404&lt;&gt;A70)*1000000))&gt;=1000000,"",SUMPRODUCT(MIN(('Grocery Spending'!$E$5:$E$404=A70)*'Grocery Spending'!$I$5:$I$404+('Grocery Spending'!$E$5:$E$404&lt;&gt;A70)*1000000))))</f>
        <v>0</v>
      </c>
      <c r="AJ70" s="8">
        <f>IF(A70="","",SUMPRODUCT(MAX(('Grocery Spending'!$E$5:$E$404=A70)*'Grocery Spending'!$I$5:$I$404)))</f>
        <v>0</v>
      </c>
      <c r="AK70" s="8">
        <f>IF(OR(A70="",AI70="",AJ70=0),"",AJ70-AI70)</f>
        <v>0</v>
      </c>
      <c r="AL70" s="8">
        <f>IF(OR(A70="",AG70="",AH70=""),"",AG70-AH70)</f>
        <v>0</v>
      </c>
      <c r="AM70" s="8">
        <f>IF(A70="","",IF(AL70="","",IF(AL70&gt;0.01,"Up",IF(AL70&lt;-0.01,"Down","Flat"))))</f>
        <v>0</v>
      </c>
      <c r="AN70" s="25"/>
    </row>
    <row r="71" spans="1:40">
      <c r="A71" s="7"/>
      <c r="B71" s="27"/>
      <c r="C71" s="27"/>
      <c r="D71" s="28"/>
      <c r="E71" s="27"/>
      <c r="F71" s="26"/>
      <c r="G71" s="8">
        <f>IF(OR(D71="",F71="",F71=0),"",D71/F71)</f>
        <v>0</v>
      </c>
      <c r="H71" s="26"/>
      <c r="I71" s="26"/>
      <c r="J71" s="26"/>
      <c r="K71" s="26"/>
      <c r="L71" s="26"/>
      <c r="M71" s="26"/>
      <c r="N71" s="27"/>
      <c r="O71" s="27"/>
      <c r="P71" s="27"/>
      <c r="Q71" s="27"/>
      <c r="R71" s="7"/>
      <c r="S71" s="8">
        <f>IF(A71="","",SUMIFS(Pantry!$C$5:$C$304,Pantry!$A$5:$A$304,A71))</f>
        <v>0</v>
      </c>
      <c r="T71" s="8">
        <f>IF(A71="","",COUNTIFS('Grocery List'!$A$5:$A$304,A71,'Grocery List'!$N$5:$N$304,"Yes"))</f>
        <v>0</v>
      </c>
      <c r="U71" s="8">
        <f>IF(A71="","",SUMIFS('Grocery List'!$M$5:$M$304,'Grocery List'!$A$5:$A$304,A71))</f>
        <v>0</v>
      </c>
      <c r="V71" s="8">
        <f>IF(A71="","",COUNTIFS('Recipe Ingredients'!$B$5:$B$1204,A71))</f>
        <v>0</v>
      </c>
      <c r="W71" s="8">
        <f>IF(A71="","",SUMIFS('Recipe Ingredients'!$C$5:$C$1204,'Recipe Ingredients'!$B$5:$B$1204,A71))</f>
        <v>0</v>
      </c>
      <c r="X71" s="8">
        <f>IF(A71="","",IF(U71&lt;=0,IF(S71&gt;0,99,0),ROUND(S71/U71,1)))</f>
        <v>0</v>
      </c>
      <c r="Y71" s="8">
        <f>IF(A71="","",U71*10+IF(O71="Yes",5,0)+IF(X71&lt;1,10,0)+IF(S71&lt;=0,3,0))</f>
        <v>0</v>
      </c>
      <c r="Z71" s="8">
        <f>IF(A71="","",COUNTIFS($Y$5:$Y$304,"&gt;"&amp;Y71)+1)</f>
        <v>0</v>
      </c>
      <c r="AA71" s="8">
        <f>IF(A71="","",IF(OR(U71&gt;0,AND(O71="Yes",X71&lt;2)),"Yes","No"))</f>
        <v>0</v>
      </c>
      <c r="AB71" s="8">
        <f>IF(OR(A71="",D71=""),"",S71*D71)</f>
        <v>0</v>
      </c>
      <c r="AC71" s="8">
        <f>IF(AB71="","",COUNTIFS($AB$5:$AB$304,"&gt;"&amp;AB71)+1)</f>
        <v>0</v>
      </c>
      <c r="AD71" s="8">
        <f>IF(A71="","",SUMIFS('Food Waste'!$E$5:$E$154,'Food Waste'!$C$5:$C$154,A71))</f>
        <v>0</v>
      </c>
      <c r="AE71" s="8">
        <f>IF(OR(A71="",AD71=0),"",COUNTIFS($AD$5:$AD$304,"&gt;"&amp;AD71)+1)</f>
        <v>0</v>
      </c>
      <c r="AF71" s="8">
        <f>IF(A71="","",IF(SUMPRODUCT(MAX(('Grocery Spending'!$E$5:$E$404=A71)*'Grocery Spending'!$A$5:$A$404))=0,"",SUMPRODUCT(MAX(('Grocery Spending'!$E$5:$E$404=A71)*'Grocery Spending'!$A$5:$A$404))))</f>
        <v>0</v>
      </c>
      <c r="AG71" s="8">
        <f>IF(OR(A71="",AF71=""),"",IFERROR(AVERAGEIFS('Grocery Spending'!$I$5:$I$404,'Grocery Spending'!$E$5:$E$404,A71,'Grocery Spending'!$A$5:$A$404,AF71),""))</f>
        <v>0</v>
      </c>
      <c r="AH71" s="8">
        <f>IF(A71="","",IFERROR(AVERAGEIFS('Grocery Spending'!$I$5:$I$404,'Grocery Spending'!$E$5:$E$404,A71),""))</f>
        <v>0</v>
      </c>
      <c r="AI71" s="8">
        <f>IF(A71="","",IF(SUMPRODUCT(MIN(('Grocery Spending'!$E$5:$E$404=A71)*'Grocery Spending'!$I$5:$I$404+('Grocery Spending'!$E$5:$E$404&lt;&gt;A71)*1000000))&gt;=1000000,"",SUMPRODUCT(MIN(('Grocery Spending'!$E$5:$E$404=A71)*'Grocery Spending'!$I$5:$I$404+('Grocery Spending'!$E$5:$E$404&lt;&gt;A71)*1000000))))</f>
        <v>0</v>
      </c>
      <c r="AJ71" s="8">
        <f>IF(A71="","",SUMPRODUCT(MAX(('Grocery Spending'!$E$5:$E$404=A71)*'Grocery Spending'!$I$5:$I$404)))</f>
        <v>0</v>
      </c>
      <c r="AK71" s="8">
        <f>IF(OR(A71="",AI71="",AJ71=0),"",AJ71-AI71)</f>
        <v>0</v>
      </c>
      <c r="AL71" s="8">
        <f>IF(OR(A71="",AG71="",AH71=""),"",AG71-AH71)</f>
        <v>0</v>
      </c>
      <c r="AM71" s="8">
        <f>IF(A71="","",IF(AL71="","",IF(AL71&gt;0.01,"Up",IF(AL71&lt;-0.01,"Down","Flat"))))</f>
        <v>0</v>
      </c>
      <c r="AN71" s="25"/>
    </row>
    <row r="72" spans="1:40">
      <c r="A72" s="7"/>
      <c r="B72" s="27"/>
      <c r="C72" s="27"/>
      <c r="D72" s="28"/>
      <c r="E72" s="27"/>
      <c r="F72" s="26"/>
      <c r="G72" s="8">
        <f>IF(OR(D72="",F72="",F72=0),"",D72/F72)</f>
        <v>0</v>
      </c>
      <c r="H72" s="26"/>
      <c r="I72" s="26"/>
      <c r="J72" s="26"/>
      <c r="K72" s="26"/>
      <c r="L72" s="26"/>
      <c r="M72" s="26"/>
      <c r="N72" s="27"/>
      <c r="O72" s="27"/>
      <c r="P72" s="27"/>
      <c r="Q72" s="27"/>
      <c r="R72" s="7"/>
      <c r="S72" s="8">
        <f>IF(A72="","",SUMIFS(Pantry!$C$5:$C$304,Pantry!$A$5:$A$304,A72))</f>
        <v>0</v>
      </c>
      <c r="T72" s="8">
        <f>IF(A72="","",COUNTIFS('Grocery List'!$A$5:$A$304,A72,'Grocery List'!$N$5:$N$304,"Yes"))</f>
        <v>0</v>
      </c>
      <c r="U72" s="8">
        <f>IF(A72="","",SUMIFS('Grocery List'!$M$5:$M$304,'Grocery List'!$A$5:$A$304,A72))</f>
        <v>0</v>
      </c>
      <c r="V72" s="8">
        <f>IF(A72="","",COUNTIFS('Recipe Ingredients'!$B$5:$B$1204,A72))</f>
        <v>0</v>
      </c>
      <c r="W72" s="8">
        <f>IF(A72="","",SUMIFS('Recipe Ingredients'!$C$5:$C$1204,'Recipe Ingredients'!$B$5:$B$1204,A72))</f>
        <v>0</v>
      </c>
      <c r="X72" s="8">
        <f>IF(A72="","",IF(U72&lt;=0,IF(S72&gt;0,99,0),ROUND(S72/U72,1)))</f>
        <v>0</v>
      </c>
      <c r="Y72" s="8">
        <f>IF(A72="","",U72*10+IF(O72="Yes",5,0)+IF(X72&lt;1,10,0)+IF(S72&lt;=0,3,0))</f>
        <v>0</v>
      </c>
      <c r="Z72" s="8">
        <f>IF(A72="","",COUNTIFS($Y$5:$Y$304,"&gt;"&amp;Y72)+1)</f>
        <v>0</v>
      </c>
      <c r="AA72" s="8">
        <f>IF(A72="","",IF(OR(U72&gt;0,AND(O72="Yes",X72&lt;2)),"Yes","No"))</f>
        <v>0</v>
      </c>
      <c r="AB72" s="8">
        <f>IF(OR(A72="",D72=""),"",S72*D72)</f>
        <v>0</v>
      </c>
      <c r="AC72" s="8">
        <f>IF(AB72="","",COUNTIFS($AB$5:$AB$304,"&gt;"&amp;AB72)+1)</f>
        <v>0</v>
      </c>
      <c r="AD72" s="8">
        <f>IF(A72="","",SUMIFS('Food Waste'!$E$5:$E$154,'Food Waste'!$C$5:$C$154,A72))</f>
        <v>0</v>
      </c>
      <c r="AE72" s="8">
        <f>IF(OR(A72="",AD72=0),"",COUNTIFS($AD$5:$AD$304,"&gt;"&amp;AD72)+1)</f>
        <v>0</v>
      </c>
      <c r="AF72" s="8">
        <f>IF(A72="","",IF(SUMPRODUCT(MAX(('Grocery Spending'!$E$5:$E$404=A72)*'Grocery Spending'!$A$5:$A$404))=0,"",SUMPRODUCT(MAX(('Grocery Spending'!$E$5:$E$404=A72)*'Grocery Spending'!$A$5:$A$404))))</f>
        <v>0</v>
      </c>
      <c r="AG72" s="8">
        <f>IF(OR(A72="",AF72=""),"",IFERROR(AVERAGEIFS('Grocery Spending'!$I$5:$I$404,'Grocery Spending'!$E$5:$E$404,A72,'Grocery Spending'!$A$5:$A$404,AF72),""))</f>
        <v>0</v>
      </c>
      <c r="AH72" s="8">
        <f>IF(A72="","",IFERROR(AVERAGEIFS('Grocery Spending'!$I$5:$I$404,'Grocery Spending'!$E$5:$E$404,A72),""))</f>
        <v>0</v>
      </c>
      <c r="AI72" s="8">
        <f>IF(A72="","",IF(SUMPRODUCT(MIN(('Grocery Spending'!$E$5:$E$404=A72)*'Grocery Spending'!$I$5:$I$404+('Grocery Spending'!$E$5:$E$404&lt;&gt;A72)*1000000))&gt;=1000000,"",SUMPRODUCT(MIN(('Grocery Spending'!$E$5:$E$404=A72)*'Grocery Spending'!$I$5:$I$404+('Grocery Spending'!$E$5:$E$404&lt;&gt;A72)*1000000))))</f>
        <v>0</v>
      </c>
      <c r="AJ72" s="8">
        <f>IF(A72="","",SUMPRODUCT(MAX(('Grocery Spending'!$E$5:$E$404=A72)*'Grocery Spending'!$I$5:$I$404)))</f>
        <v>0</v>
      </c>
      <c r="AK72" s="8">
        <f>IF(OR(A72="",AI72="",AJ72=0),"",AJ72-AI72)</f>
        <v>0</v>
      </c>
      <c r="AL72" s="8">
        <f>IF(OR(A72="",AG72="",AH72=""),"",AG72-AH72)</f>
        <v>0</v>
      </c>
      <c r="AM72" s="8">
        <f>IF(A72="","",IF(AL72="","",IF(AL72&gt;0.01,"Up",IF(AL72&lt;-0.01,"Down","Flat"))))</f>
        <v>0</v>
      </c>
      <c r="AN72" s="25"/>
    </row>
    <row r="73" spans="1:40">
      <c r="A73" s="7"/>
      <c r="B73" s="27"/>
      <c r="C73" s="27"/>
      <c r="D73" s="28"/>
      <c r="E73" s="27"/>
      <c r="F73" s="26"/>
      <c r="G73" s="8">
        <f>IF(OR(D73="",F73="",F73=0),"",D73/F73)</f>
        <v>0</v>
      </c>
      <c r="H73" s="26"/>
      <c r="I73" s="26"/>
      <c r="J73" s="26"/>
      <c r="K73" s="26"/>
      <c r="L73" s="26"/>
      <c r="M73" s="26"/>
      <c r="N73" s="27"/>
      <c r="O73" s="27"/>
      <c r="P73" s="27"/>
      <c r="Q73" s="27"/>
      <c r="R73" s="7"/>
      <c r="S73" s="8">
        <f>IF(A73="","",SUMIFS(Pantry!$C$5:$C$304,Pantry!$A$5:$A$304,A73))</f>
        <v>0</v>
      </c>
      <c r="T73" s="8">
        <f>IF(A73="","",COUNTIFS('Grocery List'!$A$5:$A$304,A73,'Grocery List'!$N$5:$N$304,"Yes"))</f>
        <v>0</v>
      </c>
      <c r="U73" s="8">
        <f>IF(A73="","",SUMIFS('Grocery List'!$M$5:$M$304,'Grocery List'!$A$5:$A$304,A73))</f>
        <v>0</v>
      </c>
      <c r="V73" s="8">
        <f>IF(A73="","",COUNTIFS('Recipe Ingredients'!$B$5:$B$1204,A73))</f>
        <v>0</v>
      </c>
      <c r="W73" s="8">
        <f>IF(A73="","",SUMIFS('Recipe Ingredients'!$C$5:$C$1204,'Recipe Ingredients'!$B$5:$B$1204,A73))</f>
        <v>0</v>
      </c>
      <c r="X73" s="8">
        <f>IF(A73="","",IF(U73&lt;=0,IF(S73&gt;0,99,0),ROUND(S73/U73,1)))</f>
        <v>0</v>
      </c>
      <c r="Y73" s="8">
        <f>IF(A73="","",U73*10+IF(O73="Yes",5,0)+IF(X73&lt;1,10,0)+IF(S73&lt;=0,3,0))</f>
        <v>0</v>
      </c>
      <c r="Z73" s="8">
        <f>IF(A73="","",COUNTIFS($Y$5:$Y$304,"&gt;"&amp;Y73)+1)</f>
        <v>0</v>
      </c>
      <c r="AA73" s="8">
        <f>IF(A73="","",IF(OR(U73&gt;0,AND(O73="Yes",X73&lt;2)),"Yes","No"))</f>
        <v>0</v>
      </c>
      <c r="AB73" s="8">
        <f>IF(OR(A73="",D73=""),"",S73*D73)</f>
        <v>0</v>
      </c>
      <c r="AC73" s="8">
        <f>IF(AB73="","",COUNTIFS($AB$5:$AB$304,"&gt;"&amp;AB73)+1)</f>
        <v>0</v>
      </c>
      <c r="AD73" s="8">
        <f>IF(A73="","",SUMIFS('Food Waste'!$E$5:$E$154,'Food Waste'!$C$5:$C$154,A73))</f>
        <v>0</v>
      </c>
      <c r="AE73" s="8">
        <f>IF(OR(A73="",AD73=0),"",COUNTIFS($AD$5:$AD$304,"&gt;"&amp;AD73)+1)</f>
        <v>0</v>
      </c>
      <c r="AF73" s="8">
        <f>IF(A73="","",IF(SUMPRODUCT(MAX(('Grocery Spending'!$E$5:$E$404=A73)*'Grocery Spending'!$A$5:$A$404))=0,"",SUMPRODUCT(MAX(('Grocery Spending'!$E$5:$E$404=A73)*'Grocery Spending'!$A$5:$A$404))))</f>
        <v>0</v>
      </c>
      <c r="AG73" s="8">
        <f>IF(OR(A73="",AF73=""),"",IFERROR(AVERAGEIFS('Grocery Spending'!$I$5:$I$404,'Grocery Spending'!$E$5:$E$404,A73,'Grocery Spending'!$A$5:$A$404,AF73),""))</f>
        <v>0</v>
      </c>
      <c r="AH73" s="8">
        <f>IF(A73="","",IFERROR(AVERAGEIFS('Grocery Spending'!$I$5:$I$404,'Grocery Spending'!$E$5:$E$404,A73),""))</f>
        <v>0</v>
      </c>
      <c r="AI73" s="8">
        <f>IF(A73="","",IF(SUMPRODUCT(MIN(('Grocery Spending'!$E$5:$E$404=A73)*'Grocery Spending'!$I$5:$I$404+('Grocery Spending'!$E$5:$E$404&lt;&gt;A73)*1000000))&gt;=1000000,"",SUMPRODUCT(MIN(('Grocery Spending'!$E$5:$E$404=A73)*'Grocery Spending'!$I$5:$I$404+('Grocery Spending'!$E$5:$E$404&lt;&gt;A73)*1000000))))</f>
        <v>0</v>
      </c>
      <c r="AJ73" s="8">
        <f>IF(A73="","",SUMPRODUCT(MAX(('Grocery Spending'!$E$5:$E$404=A73)*'Grocery Spending'!$I$5:$I$404)))</f>
        <v>0</v>
      </c>
      <c r="AK73" s="8">
        <f>IF(OR(A73="",AI73="",AJ73=0),"",AJ73-AI73)</f>
        <v>0</v>
      </c>
      <c r="AL73" s="8">
        <f>IF(OR(A73="",AG73="",AH73=""),"",AG73-AH73)</f>
        <v>0</v>
      </c>
      <c r="AM73" s="8">
        <f>IF(A73="","",IF(AL73="","",IF(AL73&gt;0.01,"Up",IF(AL73&lt;-0.01,"Down","Flat"))))</f>
        <v>0</v>
      </c>
      <c r="AN73" s="25"/>
    </row>
    <row r="74" spans="1:40">
      <c r="A74" s="7"/>
      <c r="B74" s="27"/>
      <c r="C74" s="27"/>
      <c r="D74" s="28"/>
      <c r="E74" s="27"/>
      <c r="F74" s="26"/>
      <c r="G74" s="8">
        <f>IF(OR(D74="",F74="",F74=0),"",D74/F74)</f>
        <v>0</v>
      </c>
      <c r="H74" s="26"/>
      <c r="I74" s="26"/>
      <c r="J74" s="26"/>
      <c r="K74" s="26"/>
      <c r="L74" s="26"/>
      <c r="M74" s="26"/>
      <c r="N74" s="27"/>
      <c r="O74" s="27"/>
      <c r="P74" s="27"/>
      <c r="Q74" s="27"/>
      <c r="R74" s="7"/>
      <c r="S74" s="8">
        <f>IF(A74="","",SUMIFS(Pantry!$C$5:$C$304,Pantry!$A$5:$A$304,A74))</f>
        <v>0</v>
      </c>
      <c r="T74" s="8">
        <f>IF(A74="","",COUNTIFS('Grocery List'!$A$5:$A$304,A74,'Grocery List'!$N$5:$N$304,"Yes"))</f>
        <v>0</v>
      </c>
      <c r="U74" s="8">
        <f>IF(A74="","",SUMIFS('Grocery List'!$M$5:$M$304,'Grocery List'!$A$5:$A$304,A74))</f>
        <v>0</v>
      </c>
      <c r="V74" s="8">
        <f>IF(A74="","",COUNTIFS('Recipe Ingredients'!$B$5:$B$1204,A74))</f>
        <v>0</v>
      </c>
      <c r="W74" s="8">
        <f>IF(A74="","",SUMIFS('Recipe Ingredients'!$C$5:$C$1204,'Recipe Ingredients'!$B$5:$B$1204,A74))</f>
        <v>0</v>
      </c>
      <c r="X74" s="8">
        <f>IF(A74="","",IF(U74&lt;=0,IF(S74&gt;0,99,0),ROUND(S74/U74,1)))</f>
        <v>0</v>
      </c>
      <c r="Y74" s="8">
        <f>IF(A74="","",U74*10+IF(O74="Yes",5,0)+IF(X74&lt;1,10,0)+IF(S74&lt;=0,3,0))</f>
        <v>0</v>
      </c>
      <c r="Z74" s="8">
        <f>IF(A74="","",COUNTIFS($Y$5:$Y$304,"&gt;"&amp;Y74)+1)</f>
        <v>0</v>
      </c>
      <c r="AA74" s="8">
        <f>IF(A74="","",IF(OR(U74&gt;0,AND(O74="Yes",X74&lt;2)),"Yes","No"))</f>
        <v>0</v>
      </c>
      <c r="AB74" s="8">
        <f>IF(OR(A74="",D74=""),"",S74*D74)</f>
        <v>0</v>
      </c>
      <c r="AC74" s="8">
        <f>IF(AB74="","",COUNTIFS($AB$5:$AB$304,"&gt;"&amp;AB74)+1)</f>
        <v>0</v>
      </c>
      <c r="AD74" s="8">
        <f>IF(A74="","",SUMIFS('Food Waste'!$E$5:$E$154,'Food Waste'!$C$5:$C$154,A74))</f>
        <v>0</v>
      </c>
      <c r="AE74" s="8">
        <f>IF(OR(A74="",AD74=0),"",COUNTIFS($AD$5:$AD$304,"&gt;"&amp;AD74)+1)</f>
        <v>0</v>
      </c>
      <c r="AF74" s="8">
        <f>IF(A74="","",IF(SUMPRODUCT(MAX(('Grocery Spending'!$E$5:$E$404=A74)*'Grocery Spending'!$A$5:$A$404))=0,"",SUMPRODUCT(MAX(('Grocery Spending'!$E$5:$E$404=A74)*'Grocery Spending'!$A$5:$A$404))))</f>
        <v>0</v>
      </c>
      <c r="AG74" s="8">
        <f>IF(OR(A74="",AF74=""),"",IFERROR(AVERAGEIFS('Grocery Spending'!$I$5:$I$404,'Grocery Spending'!$E$5:$E$404,A74,'Grocery Spending'!$A$5:$A$404,AF74),""))</f>
        <v>0</v>
      </c>
      <c r="AH74" s="8">
        <f>IF(A74="","",IFERROR(AVERAGEIFS('Grocery Spending'!$I$5:$I$404,'Grocery Spending'!$E$5:$E$404,A74),""))</f>
        <v>0</v>
      </c>
      <c r="AI74" s="8">
        <f>IF(A74="","",IF(SUMPRODUCT(MIN(('Grocery Spending'!$E$5:$E$404=A74)*'Grocery Spending'!$I$5:$I$404+('Grocery Spending'!$E$5:$E$404&lt;&gt;A74)*1000000))&gt;=1000000,"",SUMPRODUCT(MIN(('Grocery Spending'!$E$5:$E$404=A74)*'Grocery Spending'!$I$5:$I$404+('Grocery Spending'!$E$5:$E$404&lt;&gt;A74)*1000000))))</f>
        <v>0</v>
      </c>
      <c r="AJ74" s="8">
        <f>IF(A74="","",SUMPRODUCT(MAX(('Grocery Spending'!$E$5:$E$404=A74)*'Grocery Spending'!$I$5:$I$404)))</f>
        <v>0</v>
      </c>
      <c r="AK74" s="8">
        <f>IF(OR(A74="",AI74="",AJ74=0),"",AJ74-AI74)</f>
        <v>0</v>
      </c>
      <c r="AL74" s="8">
        <f>IF(OR(A74="",AG74="",AH74=""),"",AG74-AH74)</f>
        <v>0</v>
      </c>
      <c r="AM74" s="8">
        <f>IF(A74="","",IF(AL74="","",IF(AL74&gt;0.01,"Up",IF(AL74&lt;-0.01,"Down","Flat"))))</f>
        <v>0</v>
      </c>
      <c r="AN74" s="25"/>
    </row>
    <row r="75" spans="1:40">
      <c r="A75" s="7"/>
      <c r="B75" s="27"/>
      <c r="C75" s="27"/>
      <c r="D75" s="28"/>
      <c r="E75" s="27"/>
      <c r="F75" s="26"/>
      <c r="G75" s="8">
        <f>IF(OR(D75="",F75="",F75=0),"",D75/F75)</f>
        <v>0</v>
      </c>
      <c r="H75" s="26"/>
      <c r="I75" s="26"/>
      <c r="J75" s="26"/>
      <c r="K75" s="26"/>
      <c r="L75" s="26"/>
      <c r="M75" s="26"/>
      <c r="N75" s="27"/>
      <c r="O75" s="27"/>
      <c r="P75" s="27"/>
      <c r="Q75" s="27"/>
      <c r="R75" s="7"/>
      <c r="S75" s="8">
        <f>IF(A75="","",SUMIFS(Pantry!$C$5:$C$304,Pantry!$A$5:$A$304,A75))</f>
        <v>0</v>
      </c>
      <c r="T75" s="8">
        <f>IF(A75="","",COUNTIFS('Grocery List'!$A$5:$A$304,A75,'Grocery List'!$N$5:$N$304,"Yes"))</f>
        <v>0</v>
      </c>
      <c r="U75" s="8">
        <f>IF(A75="","",SUMIFS('Grocery List'!$M$5:$M$304,'Grocery List'!$A$5:$A$304,A75))</f>
        <v>0</v>
      </c>
      <c r="V75" s="8">
        <f>IF(A75="","",COUNTIFS('Recipe Ingredients'!$B$5:$B$1204,A75))</f>
        <v>0</v>
      </c>
      <c r="W75" s="8">
        <f>IF(A75="","",SUMIFS('Recipe Ingredients'!$C$5:$C$1204,'Recipe Ingredients'!$B$5:$B$1204,A75))</f>
        <v>0</v>
      </c>
      <c r="X75" s="8">
        <f>IF(A75="","",IF(U75&lt;=0,IF(S75&gt;0,99,0),ROUND(S75/U75,1)))</f>
        <v>0</v>
      </c>
      <c r="Y75" s="8">
        <f>IF(A75="","",U75*10+IF(O75="Yes",5,0)+IF(X75&lt;1,10,0)+IF(S75&lt;=0,3,0))</f>
        <v>0</v>
      </c>
      <c r="Z75" s="8">
        <f>IF(A75="","",COUNTIFS($Y$5:$Y$304,"&gt;"&amp;Y75)+1)</f>
        <v>0</v>
      </c>
      <c r="AA75" s="8">
        <f>IF(A75="","",IF(OR(U75&gt;0,AND(O75="Yes",X75&lt;2)),"Yes","No"))</f>
        <v>0</v>
      </c>
      <c r="AB75" s="8">
        <f>IF(OR(A75="",D75=""),"",S75*D75)</f>
        <v>0</v>
      </c>
      <c r="AC75" s="8">
        <f>IF(AB75="","",COUNTIFS($AB$5:$AB$304,"&gt;"&amp;AB75)+1)</f>
        <v>0</v>
      </c>
      <c r="AD75" s="8">
        <f>IF(A75="","",SUMIFS('Food Waste'!$E$5:$E$154,'Food Waste'!$C$5:$C$154,A75))</f>
        <v>0</v>
      </c>
      <c r="AE75" s="8">
        <f>IF(OR(A75="",AD75=0),"",COUNTIFS($AD$5:$AD$304,"&gt;"&amp;AD75)+1)</f>
        <v>0</v>
      </c>
      <c r="AF75" s="8">
        <f>IF(A75="","",IF(SUMPRODUCT(MAX(('Grocery Spending'!$E$5:$E$404=A75)*'Grocery Spending'!$A$5:$A$404))=0,"",SUMPRODUCT(MAX(('Grocery Spending'!$E$5:$E$404=A75)*'Grocery Spending'!$A$5:$A$404))))</f>
        <v>0</v>
      </c>
      <c r="AG75" s="8">
        <f>IF(OR(A75="",AF75=""),"",IFERROR(AVERAGEIFS('Grocery Spending'!$I$5:$I$404,'Grocery Spending'!$E$5:$E$404,A75,'Grocery Spending'!$A$5:$A$404,AF75),""))</f>
        <v>0</v>
      </c>
      <c r="AH75" s="8">
        <f>IF(A75="","",IFERROR(AVERAGEIFS('Grocery Spending'!$I$5:$I$404,'Grocery Spending'!$E$5:$E$404,A75),""))</f>
        <v>0</v>
      </c>
      <c r="AI75" s="8">
        <f>IF(A75="","",IF(SUMPRODUCT(MIN(('Grocery Spending'!$E$5:$E$404=A75)*'Grocery Spending'!$I$5:$I$404+('Grocery Spending'!$E$5:$E$404&lt;&gt;A75)*1000000))&gt;=1000000,"",SUMPRODUCT(MIN(('Grocery Spending'!$E$5:$E$404=A75)*'Grocery Spending'!$I$5:$I$404+('Grocery Spending'!$E$5:$E$404&lt;&gt;A75)*1000000))))</f>
        <v>0</v>
      </c>
      <c r="AJ75" s="8">
        <f>IF(A75="","",SUMPRODUCT(MAX(('Grocery Spending'!$E$5:$E$404=A75)*'Grocery Spending'!$I$5:$I$404)))</f>
        <v>0</v>
      </c>
      <c r="AK75" s="8">
        <f>IF(OR(A75="",AI75="",AJ75=0),"",AJ75-AI75)</f>
        <v>0</v>
      </c>
      <c r="AL75" s="8">
        <f>IF(OR(A75="",AG75="",AH75=""),"",AG75-AH75)</f>
        <v>0</v>
      </c>
      <c r="AM75" s="8">
        <f>IF(A75="","",IF(AL75="","",IF(AL75&gt;0.01,"Up",IF(AL75&lt;-0.01,"Down","Flat"))))</f>
        <v>0</v>
      </c>
      <c r="AN75" s="25"/>
    </row>
    <row r="76" spans="1:40">
      <c r="A76" s="7"/>
      <c r="B76" s="27"/>
      <c r="C76" s="27"/>
      <c r="D76" s="28"/>
      <c r="E76" s="27"/>
      <c r="F76" s="26"/>
      <c r="G76" s="8">
        <f>IF(OR(D76="",F76="",F76=0),"",D76/F76)</f>
        <v>0</v>
      </c>
      <c r="H76" s="26"/>
      <c r="I76" s="26"/>
      <c r="J76" s="26"/>
      <c r="K76" s="26"/>
      <c r="L76" s="26"/>
      <c r="M76" s="26"/>
      <c r="N76" s="27"/>
      <c r="O76" s="27"/>
      <c r="P76" s="27"/>
      <c r="Q76" s="27"/>
      <c r="R76" s="7"/>
      <c r="S76" s="8">
        <f>IF(A76="","",SUMIFS(Pantry!$C$5:$C$304,Pantry!$A$5:$A$304,A76))</f>
        <v>0</v>
      </c>
      <c r="T76" s="8">
        <f>IF(A76="","",COUNTIFS('Grocery List'!$A$5:$A$304,A76,'Grocery List'!$N$5:$N$304,"Yes"))</f>
        <v>0</v>
      </c>
      <c r="U76" s="8">
        <f>IF(A76="","",SUMIFS('Grocery List'!$M$5:$M$304,'Grocery List'!$A$5:$A$304,A76))</f>
        <v>0</v>
      </c>
      <c r="V76" s="8">
        <f>IF(A76="","",COUNTIFS('Recipe Ingredients'!$B$5:$B$1204,A76))</f>
        <v>0</v>
      </c>
      <c r="W76" s="8">
        <f>IF(A76="","",SUMIFS('Recipe Ingredients'!$C$5:$C$1204,'Recipe Ingredients'!$B$5:$B$1204,A76))</f>
        <v>0</v>
      </c>
      <c r="X76" s="8">
        <f>IF(A76="","",IF(U76&lt;=0,IF(S76&gt;0,99,0),ROUND(S76/U76,1)))</f>
        <v>0</v>
      </c>
      <c r="Y76" s="8">
        <f>IF(A76="","",U76*10+IF(O76="Yes",5,0)+IF(X76&lt;1,10,0)+IF(S76&lt;=0,3,0))</f>
        <v>0</v>
      </c>
      <c r="Z76" s="8">
        <f>IF(A76="","",COUNTIFS($Y$5:$Y$304,"&gt;"&amp;Y76)+1)</f>
        <v>0</v>
      </c>
      <c r="AA76" s="8">
        <f>IF(A76="","",IF(OR(U76&gt;0,AND(O76="Yes",X76&lt;2)),"Yes","No"))</f>
        <v>0</v>
      </c>
      <c r="AB76" s="8">
        <f>IF(OR(A76="",D76=""),"",S76*D76)</f>
        <v>0</v>
      </c>
      <c r="AC76" s="8">
        <f>IF(AB76="","",COUNTIFS($AB$5:$AB$304,"&gt;"&amp;AB76)+1)</f>
        <v>0</v>
      </c>
      <c r="AD76" s="8">
        <f>IF(A76="","",SUMIFS('Food Waste'!$E$5:$E$154,'Food Waste'!$C$5:$C$154,A76))</f>
        <v>0</v>
      </c>
      <c r="AE76" s="8">
        <f>IF(OR(A76="",AD76=0),"",COUNTIFS($AD$5:$AD$304,"&gt;"&amp;AD76)+1)</f>
        <v>0</v>
      </c>
      <c r="AF76" s="8">
        <f>IF(A76="","",IF(SUMPRODUCT(MAX(('Grocery Spending'!$E$5:$E$404=A76)*'Grocery Spending'!$A$5:$A$404))=0,"",SUMPRODUCT(MAX(('Grocery Spending'!$E$5:$E$404=A76)*'Grocery Spending'!$A$5:$A$404))))</f>
        <v>0</v>
      </c>
      <c r="AG76" s="8">
        <f>IF(OR(A76="",AF76=""),"",IFERROR(AVERAGEIFS('Grocery Spending'!$I$5:$I$404,'Grocery Spending'!$E$5:$E$404,A76,'Grocery Spending'!$A$5:$A$404,AF76),""))</f>
        <v>0</v>
      </c>
      <c r="AH76" s="8">
        <f>IF(A76="","",IFERROR(AVERAGEIFS('Grocery Spending'!$I$5:$I$404,'Grocery Spending'!$E$5:$E$404,A76),""))</f>
        <v>0</v>
      </c>
      <c r="AI76" s="8">
        <f>IF(A76="","",IF(SUMPRODUCT(MIN(('Grocery Spending'!$E$5:$E$404=A76)*'Grocery Spending'!$I$5:$I$404+('Grocery Spending'!$E$5:$E$404&lt;&gt;A76)*1000000))&gt;=1000000,"",SUMPRODUCT(MIN(('Grocery Spending'!$E$5:$E$404=A76)*'Grocery Spending'!$I$5:$I$404+('Grocery Spending'!$E$5:$E$404&lt;&gt;A76)*1000000))))</f>
        <v>0</v>
      </c>
      <c r="AJ76" s="8">
        <f>IF(A76="","",SUMPRODUCT(MAX(('Grocery Spending'!$E$5:$E$404=A76)*'Grocery Spending'!$I$5:$I$404)))</f>
        <v>0</v>
      </c>
      <c r="AK76" s="8">
        <f>IF(OR(A76="",AI76="",AJ76=0),"",AJ76-AI76)</f>
        <v>0</v>
      </c>
      <c r="AL76" s="8">
        <f>IF(OR(A76="",AG76="",AH76=""),"",AG76-AH76)</f>
        <v>0</v>
      </c>
      <c r="AM76" s="8">
        <f>IF(A76="","",IF(AL76="","",IF(AL76&gt;0.01,"Up",IF(AL76&lt;-0.01,"Down","Flat"))))</f>
        <v>0</v>
      </c>
      <c r="AN76" s="25"/>
    </row>
    <row r="77" spans="1:40">
      <c r="A77" s="7"/>
      <c r="B77" s="27"/>
      <c r="C77" s="27"/>
      <c r="D77" s="28"/>
      <c r="E77" s="27"/>
      <c r="F77" s="26"/>
      <c r="G77" s="8">
        <f>IF(OR(D77="",F77="",F77=0),"",D77/F77)</f>
        <v>0</v>
      </c>
      <c r="H77" s="26"/>
      <c r="I77" s="26"/>
      <c r="J77" s="26"/>
      <c r="K77" s="26"/>
      <c r="L77" s="26"/>
      <c r="M77" s="26"/>
      <c r="N77" s="27"/>
      <c r="O77" s="27"/>
      <c r="P77" s="27"/>
      <c r="Q77" s="27"/>
      <c r="R77" s="7"/>
      <c r="S77" s="8">
        <f>IF(A77="","",SUMIFS(Pantry!$C$5:$C$304,Pantry!$A$5:$A$304,A77))</f>
        <v>0</v>
      </c>
      <c r="T77" s="8">
        <f>IF(A77="","",COUNTIFS('Grocery List'!$A$5:$A$304,A77,'Grocery List'!$N$5:$N$304,"Yes"))</f>
        <v>0</v>
      </c>
      <c r="U77" s="8">
        <f>IF(A77="","",SUMIFS('Grocery List'!$M$5:$M$304,'Grocery List'!$A$5:$A$304,A77))</f>
        <v>0</v>
      </c>
      <c r="V77" s="8">
        <f>IF(A77="","",COUNTIFS('Recipe Ingredients'!$B$5:$B$1204,A77))</f>
        <v>0</v>
      </c>
      <c r="W77" s="8">
        <f>IF(A77="","",SUMIFS('Recipe Ingredients'!$C$5:$C$1204,'Recipe Ingredients'!$B$5:$B$1204,A77))</f>
        <v>0</v>
      </c>
      <c r="X77" s="8">
        <f>IF(A77="","",IF(U77&lt;=0,IF(S77&gt;0,99,0),ROUND(S77/U77,1)))</f>
        <v>0</v>
      </c>
      <c r="Y77" s="8">
        <f>IF(A77="","",U77*10+IF(O77="Yes",5,0)+IF(X77&lt;1,10,0)+IF(S77&lt;=0,3,0))</f>
        <v>0</v>
      </c>
      <c r="Z77" s="8">
        <f>IF(A77="","",COUNTIFS($Y$5:$Y$304,"&gt;"&amp;Y77)+1)</f>
        <v>0</v>
      </c>
      <c r="AA77" s="8">
        <f>IF(A77="","",IF(OR(U77&gt;0,AND(O77="Yes",X77&lt;2)),"Yes","No"))</f>
        <v>0</v>
      </c>
      <c r="AB77" s="8">
        <f>IF(OR(A77="",D77=""),"",S77*D77)</f>
        <v>0</v>
      </c>
      <c r="AC77" s="8">
        <f>IF(AB77="","",COUNTIFS($AB$5:$AB$304,"&gt;"&amp;AB77)+1)</f>
        <v>0</v>
      </c>
      <c r="AD77" s="8">
        <f>IF(A77="","",SUMIFS('Food Waste'!$E$5:$E$154,'Food Waste'!$C$5:$C$154,A77))</f>
        <v>0</v>
      </c>
      <c r="AE77" s="8">
        <f>IF(OR(A77="",AD77=0),"",COUNTIFS($AD$5:$AD$304,"&gt;"&amp;AD77)+1)</f>
        <v>0</v>
      </c>
      <c r="AF77" s="8">
        <f>IF(A77="","",IF(SUMPRODUCT(MAX(('Grocery Spending'!$E$5:$E$404=A77)*'Grocery Spending'!$A$5:$A$404))=0,"",SUMPRODUCT(MAX(('Grocery Spending'!$E$5:$E$404=A77)*'Grocery Spending'!$A$5:$A$404))))</f>
        <v>0</v>
      </c>
      <c r="AG77" s="8">
        <f>IF(OR(A77="",AF77=""),"",IFERROR(AVERAGEIFS('Grocery Spending'!$I$5:$I$404,'Grocery Spending'!$E$5:$E$404,A77,'Grocery Spending'!$A$5:$A$404,AF77),""))</f>
        <v>0</v>
      </c>
      <c r="AH77" s="8">
        <f>IF(A77="","",IFERROR(AVERAGEIFS('Grocery Spending'!$I$5:$I$404,'Grocery Spending'!$E$5:$E$404,A77),""))</f>
        <v>0</v>
      </c>
      <c r="AI77" s="8">
        <f>IF(A77="","",IF(SUMPRODUCT(MIN(('Grocery Spending'!$E$5:$E$404=A77)*'Grocery Spending'!$I$5:$I$404+('Grocery Spending'!$E$5:$E$404&lt;&gt;A77)*1000000))&gt;=1000000,"",SUMPRODUCT(MIN(('Grocery Spending'!$E$5:$E$404=A77)*'Grocery Spending'!$I$5:$I$404+('Grocery Spending'!$E$5:$E$404&lt;&gt;A77)*1000000))))</f>
        <v>0</v>
      </c>
      <c r="AJ77" s="8">
        <f>IF(A77="","",SUMPRODUCT(MAX(('Grocery Spending'!$E$5:$E$404=A77)*'Grocery Spending'!$I$5:$I$404)))</f>
        <v>0</v>
      </c>
      <c r="AK77" s="8">
        <f>IF(OR(A77="",AI77="",AJ77=0),"",AJ77-AI77)</f>
        <v>0</v>
      </c>
      <c r="AL77" s="8">
        <f>IF(OR(A77="",AG77="",AH77=""),"",AG77-AH77)</f>
        <v>0</v>
      </c>
      <c r="AM77" s="8">
        <f>IF(A77="","",IF(AL77="","",IF(AL77&gt;0.01,"Up",IF(AL77&lt;-0.01,"Down","Flat"))))</f>
        <v>0</v>
      </c>
      <c r="AN77" s="25"/>
    </row>
    <row r="78" spans="1:40">
      <c r="A78" s="7"/>
      <c r="B78" s="27"/>
      <c r="C78" s="27"/>
      <c r="D78" s="28"/>
      <c r="E78" s="27"/>
      <c r="F78" s="26"/>
      <c r="G78" s="8">
        <f>IF(OR(D78="",F78="",F78=0),"",D78/F78)</f>
        <v>0</v>
      </c>
      <c r="H78" s="26"/>
      <c r="I78" s="26"/>
      <c r="J78" s="26"/>
      <c r="K78" s="26"/>
      <c r="L78" s="26"/>
      <c r="M78" s="26"/>
      <c r="N78" s="27"/>
      <c r="O78" s="27"/>
      <c r="P78" s="27"/>
      <c r="Q78" s="27"/>
      <c r="R78" s="7"/>
      <c r="S78" s="8">
        <f>IF(A78="","",SUMIFS(Pantry!$C$5:$C$304,Pantry!$A$5:$A$304,A78))</f>
        <v>0</v>
      </c>
      <c r="T78" s="8">
        <f>IF(A78="","",COUNTIFS('Grocery List'!$A$5:$A$304,A78,'Grocery List'!$N$5:$N$304,"Yes"))</f>
        <v>0</v>
      </c>
      <c r="U78" s="8">
        <f>IF(A78="","",SUMIFS('Grocery List'!$M$5:$M$304,'Grocery List'!$A$5:$A$304,A78))</f>
        <v>0</v>
      </c>
      <c r="V78" s="8">
        <f>IF(A78="","",COUNTIFS('Recipe Ingredients'!$B$5:$B$1204,A78))</f>
        <v>0</v>
      </c>
      <c r="W78" s="8">
        <f>IF(A78="","",SUMIFS('Recipe Ingredients'!$C$5:$C$1204,'Recipe Ingredients'!$B$5:$B$1204,A78))</f>
        <v>0</v>
      </c>
      <c r="X78" s="8">
        <f>IF(A78="","",IF(U78&lt;=0,IF(S78&gt;0,99,0),ROUND(S78/U78,1)))</f>
        <v>0</v>
      </c>
      <c r="Y78" s="8">
        <f>IF(A78="","",U78*10+IF(O78="Yes",5,0)+IF(X78&lt;1,10,0)+IF(S78&lt;=0,3,0))</f>
        <v>0</v>
      </c>
      <c r="Z78" s="8">
        <f>IF(A78="","",COUNTIFS($Y$5:$Y$304,"&gt;"&amp;Y78)+1)</f>
        <v>0</v>
      </c>
      <c r="AA78" s="8">
        <f>IF(A78="","",IF(OR(U78&gt;0,AND(O78="Yes",X78&lt;2)),"Yes","No"))</f>
        <v>0</v>
      </c>
      <c r="AB78" s="8">
        <f>IF(OR(A78="",D78=""),"",S78*D78)</f>
        <v>0</v>
      </c>
      <c r="AC78" s="8">
        <f>IF(AB78="","",COUNTIFS($AB$5:$AB$304,"&gt;"&amp;AB78)+1)</f>
        <v>0</v>
      </c>
      <c r="AD78" s="8">
        <f>IF(A78="","",SUMIFS('Food Waste'!$E$5:$E$154,'Food Waste'!$C$5:$C$154,A78))</f>
        <v>0</v>
      </c>
      <c r="AE78" s="8">
        <f>IF(OR(A78="",AD78=0),"",COUNTIFS($AD$5:$AD$304,"&gt;"&amp;AD78)+1)</f>
        <v>0</v>
      </c>
      <c r="AF78" s="8">
        <f>IF(A78="","",IF(SUMPRODUCT(MAX(('Grocery Spending'!$E$5:$E$404=A78)*'Grocery Spending'!$A$5:$A$404))=0,"",SUMPRODUCT(MAX(('Grocery Spending'!$E$5:$E$404=A78)*'Grocery Spending'!$A$5:$A$404))))</f>
        <v>0</v>
      </c>
      <c r="AG78" s="8">
        <f>IF(OR(A78="",AF78=""),"",IFERROR(AVERAGEIFS('Grocery Spending'!$I$5:$I$404,'Grocery Spending'!$E$5:$E$404,A78,'Grocery Spending'!$A$5:$A$404,AF78),""))</f>
        <v>0</v>
      </c>
      <c r="AH78" s="8">
        <f>IF(A78="","",IFERROR(AVERAGEIFS('Grocery Spending'!$I$5:$I$404,'Grocery Spending'!$E$5:$E$404,A78),""))</f>
        <v>0</v>
      </c>
      <c r="AI78" s="8">
        <f>IF(A78="","",IF(SUMPRODUCT(MIN(('Grocery Spending'!$E$5:$E$404=A78)*'Grocery Spending'!$I$5:$I$404+('Grocery Spending'!$E$5:$E$404&lt;&gt;A78)*1000000))&gt;=1000000,"",SUMPRODUCT(MIN(('Grocery Spending'!$E$5:$E$404=A78)*'Grocery Spending'!$I$5:$I$404+('Grocery Spending'!$E$5:$E$404&lt;&gt;A78)*1000000))))</f>
        <v>0</v>
      </c>
      <c r="AJ78" s="8">
        <f>IF(A78="","",SUMPRODUCT(MAX(('Grocery Spending'!$E$5:$E$404=A78)*'Grocery Spending'!$I$5:$I$404)))</f>
        <v>0</v>
      </c>
      <c r="AK78" s="8">
        <f>IF(OR(A78="",AI78="",AJ78=0),"",AJ78-AI78)</f>
        <v>0</v>
      </c>
      <c r="AL78" s="8">
        <f>IF(OR(A78="",AG78="",AH78=""),"",AG78-AH78)</f>
        <v>0</v>
      </c>
      <c r="AM78" s="8">
        <f>IF(A78="","",IF(AL78="","",IF(AL78&gt;0.01,"Up",IF(AL78&lt;-0.01,"Down","Flat"))))</f>
        <v>0</v>
      </c>
      <c r="AN78" s="25"/>
    </row>
    <row r="79" spans="1:40">
      <c r="A79" s="7"/>
      <c r="B79" s="27"/>
      <c r="C79" s="27"/>
      <c r="D79" s="28"/>
      <c r="E79" s="27"/>
      <c r="F79" s="26"/>
      <c r="G79" s="8">
        <f>IF(OR(D79="",F79="",F79=0),"",D79/F79)</f>
        <v>0</v>
      </c>
      <c r="H79" s="26"/>
      <c r="I79" s="26"/>
      <c r="J79" s="26"/>
      <c r="K79" s="26"/>
      <c r="L79" s="26"/>
      <c r="M79" s="26"/>
      <c r="N79" s="27"/>
      <c r="O79" s="27"/>
      <c r="P79" s="27"/>
      <c r="Q79" s="27"/>
      <c r="R79" s="7"/>
      <c r="S79" s="8">
        <f>IF(A79="","",SUMIFS(Pantry!$C$5:$C$304,Pantry!$A$5:$A$304,A79))</f>
        <v>0</v>
      </c>
      <c r="T79" s="8">
        <f>IF(A79="","",COUNTIFS('Grocery List'!$A$5:$A$304,A79,'Grocery List'!$N$5:$N$304,"Yes"))</f>
        <v>0</v>
      </c>
      <c r="U79" s="8">
        <f>IF(A79="","",SUMIFS('Grocery List'!$M$5:$M$304,'Grocery List'!$A$5:$A$304,A79))</f>
        <v>0</v>
      </c>
      <c r="V79" s="8">
        <f>IF(A79="","",COUNTIFS('Recipe Ingredients'!$B$5:$B$1204,A79))</f>
        <v>0</v>
      </c>
      <c r="W79" s="8">
        <f>IF(A79="","",SUMIFS('Recipe Ingredients'!$C$5:$C$1204,'Recipe Ingredients'!$B$5:$B$1204,A79))</f>
        <v>0</v>
      </c>
      <c r="X79" s="8">
        <f>IF(A79="","",IF(U79&lt;=0,IF(S79&gt;0,99,0),ROUND(S79/U79,1)))</f>
        <v>0</v>
      </c>
      <c r="Y79" s="8">
        <f>IF(A79="","",U79*10+IF(O79="Yes",5,0)+IF(X79&lt;1,10,0)+IF(S79&lt;=0,3,0))</f>
        <v>0</v>
      </c>
      <c r="Z79" s="8">
        <f>IF(A79="","",COUNTIFS($Y$5:$Y$304,"&gt;"&amp;Y79)+1)</f>
        <v>0</v>
      </c>
      <c r="AA79" s="8">
        <f>IF(A79="","",IF(OR(U79&gt;0,AND(O79="Yes",X79&lt;2)),"Yes","No"))</f>
        <v>0</v>
      </c>
      <c r="AB79" s="8">
        <f>IF(OR(A79="",D79=""),"",S79*D79)</f>
        <v>0</v>
      </c>
      <c r="AC79" s="8">
        <f>IF(AB79="","",COUNTIFS($AB$5:$AB$304,"&gt;"&amp;AB79)+1)</f>
        <v>0</v>
      </c>
      <c r="AD79" s="8">
        <f>IF(A79="","",SUMIFS('Food Waste'!$E$5:$E$154,'Food Waste'!$C$5:$C$154,A79))</f>
        <v>0</v>
      </c>
      <c r="AE79" s="8">
        <f>IF(OR(A79="",AD79=0),"",COUNTIFS($AD$5:$AD$304,"&gt;"&amp;AD79)+1)</f>
        <v>0</v>
      </c>
      <c r="AF79" s="8">
        <f>IF(A79="","",IF(SUMPRODUCT(MAX(('Grocery Spending'!$E$5:$E$404=A79)*'Grocery Spending'!$A$5:$A$404))=0,"",SUMPRODUCT(MAX(('Grocery Spending'!$E$5:$E$404=A79)*'Grocery Spending'!$A$5:$A$404))))</f>
        <v>0</v>
      </c>
      <c r="AG79" s="8">
        <f>IF(OR(A79="",AF79=""),"",IFERROR(AVERAGEIFS('Grocery Spending'!$I$5:$I$404,'Grocery Spending'!$E$5:$E$404,A79,'Grocery Spending'!$A$5:$A$404,AF79),""))</f>
        <v>0</v>
      </c>
      <c r="AH79" s="8">
        <f>IF(A79="","",IFERROR(AVERAGEIFS('Grocery Spending'!$I$5:$I$404,'Grocery Spending'!$E$5:$E$404,A79),""))</f>
        <v>0</v>
      </c>
      <c r="AI79" s="8">
        <f>IF(A79="","",IF(SUMPRODUCT(MIN(('Grocery Spending'!$E$5:$E$404=A79)*'Grocery Spending'!$I$5:$I$404+('Grocery Spending'!$E$5:$E$404&lt;&gt;A79)*1000000))&gt;=1000000,"",SUMPRODUCT(MIN(('Grocery Spending'!$E$5:$E$404=A79)*'Grocery Spending'!$I$5:$I$404+('Grocery Spending'!$E$5:$E$404&lt;&gt;A79)*1000000))))</f>
        <v>0</v>
      </c>
      <c r="AJ79" s="8">
        <f>IF(A79="","",SUMPRODUCT(MAX(('Grocery Spending'!$E$5:$E$404=A79)*'Grocery Spending'!$I$5:$I$404)))</f>
        <v>0</v>
      </c>
      <c r="AK79" s="8">
        <f>IF(OR(A79="",AI79="",AJ79=0),"",AJ79-AI79)</f>
        <v>0</v>
      </c>
      <c r="AL79" s="8">
        <f>IF(OR(A79="",AG79="",AH79=""),"",AG79-AH79)</f>
        <v>0</v>
      </c>
      <c r="AM79" s="8">
        <f>IF(A79="","",IF(AL79="","",IF(AL79&gt;0.01,"Up",IF(AL79&lt;-0.01,"Down","Flat"))))</f>
        <v>0</v>
      </c>
      <c r="AN79" s="25"/>
    </row>
    <row r="80" spans="1:40">
      <c r="A80" s="7"/>
      <c r="B80" s="27"/>
      <c r="C80" s="27"/>
      <c r="D80" s="28"/>
      <c r="E80" s="27"/>
      <c r="F80" s="26"/>
      <c r="G80" s="8">
        <f>IF(OR(D80="",F80="",F80=0),"",D80/F80)</f>
        <v>0</v>
      </c>
      <c r="H80" s="26"/>
      <c r="I80" s="26"/>
      <c r="J80" s="26"/>
      <c r="K80" s="26"/>
      <c r="L80" s="26"/>
      <c r="M80" s="26"/>
      <c r="N80" s="27"/>
      <c r="O80" s="27"/>
      <c r="P80" s="27"/>
      <c r="Q80" s="27"/>
      <c r="R80" s="7"/>
      <c r="S80" s="8">
        <f>IF(A80="","",SUMIFS(Pantry!$C$5:$C$304,Pantry!$A$5:$A$304,A80))</f>
        <v>0</v>
      </c>
      <c r="T80" s="8">
        <f>IF(A80="","",COUNTIFS('Grocery List'!$A$5:$A$304,A80,'Grocery List'!$N$5:$N$304,"Yes"))</f>
        <v>0</v>
      </c>
      <c r="U80" s="8">
        <f>IF(A80="","",SUMIFS('Grocery List'!$M$5:$M$304,'Grocery List'!$A$5:$A$304,A80))</f>
        <v>0</v>
      </c>
      <c r="V80" s="8">
        <f>IF(A80="","",COUNTIFS('Recipe Ingredients'!$B$5:$B$1204,A80))</f>
        <v>0</v>
      </c>
      <c r="W80" s="8">
        <f>IF(A80="","",SUMIFS('Recipe Ingredients'!$C$5:$C$1204,'Recipe Ingredients'!$B$5:$B$1204,A80))</f>
        <v>0</v>
      </c>
      <c r="X80" s="8">
        <f>IF(A80="","",IF(U80&lt;=0,IF(S80&gt;0,99,0),ROUND(S80/U80,1)))</f>
        <v>0</v>
      </c>
      <c r="Y80" s="8">
        <f>IF(A80="","",U80*10+IF(O80="Yes",5,0)+IF(X80&lt;1,10,0)+IF(S80&lt;=0,3,0))</f>
        <v>0</v>
      </c>
      <c r="Z80" s="8">
        <f>IF(A80="","",COUNTIFS($Y$5:$Y$304,"&gt;"&amp;Y80)+1)</f>
        <v>0</v>
      </c>
      <c r="AA80" s="8">
        <f>IF(A80="","",IF(OR(U80&gt;0,AND(O80="Yes",X80&lt;2)),"Yes","No"))</f>
        <v>0</v>
      </c>
      <c r="AB80" s="8">
        <f>IF(OR(A80="",D80=""),"",S80*D80)</f>
        <v>0</v>
      </c>
      <c r="AC80" s="8">
        <f>IF(AB80="","",COUNTIFS($AB$5:$AB$304,"&gt;"&amp;AB80)+1)</f>
        <v>0</v>
      </c>
      <c r="AD80" s="8">
        <f>IF(A80="","",SUMIFS('Food Waste'!$E$5:$E$154,'Food Waste'!$C$5:$C$154,A80))</f>
        <v>0</v>
      </c>
      <c r="AE80" s="8">
        <f>IF(OR(A80="",AD80=0),"",COUNTIFS($AD$5:$AD$304,"&gt;"&amp;AD80)+1)</f>
        <v>0</v>
      </c>
      <c r="AF80" s="8">
        <f>IF(A80="","",IF(SUMPRODUCT(MAX(('Grocery Spending'!$E$5:$E$404=A80)*'Grocery Spending'!$A$5:$A$404))=0,"",SUMPRODUCT(MAX(('Grocery Spending'!$E$5:$E$404=A80)*'Grocery Spending'!$A$5:$A$404))))</f>
        <v>0</v>
      </c>
      <c r="AG80" s="8">
        <f>IF(OR(A80="",AF80=""),"",IFERROR(AVERAGEIFS('Grocery Spending'!$I$5:$I$404,'Grocery Spending'!$E$5:$E$404,A80,'Grocery Spending'!$A$5:$A$404,AF80),""))</f>
        <v>0</v>
      </c>
      <c r="AH80" s="8">
        <f>IF(A80="","",IFERROR(AVERAGEIFS('Grocery Spending'!$I$5:$I$404,'Grocery Spending'!$E$5:$E$404,A80),""))</f>
        <v>0</v>
      </c>
      <c r="AI80" s="8">
        <f>IF(A80="","",IF(SUMPRODUCT(MIN(('Grocery Spending'!$E$5:$E$404=A80)*'Grocery Spending'!$I$5:$I$404+('Grocery Spending'!$E$5:$E$404&lt;&gt;A80)*1000000))&gt;=1000000,"",SUMPRODUCT(MIN(('Grocery Spending'!$E$5:$E$404=A80)*'Grocery Spending'!$I$5:$I$404+('Grocery Spending'!$E$5:$E$404&lt;&gt;A80)*1000000))))</f>
        <v>0</v>
      </c>
      <c r="AJ80" s="8">
        <f>IF(A80="","",SUMPRODUCT(MAX(('Grocery Spending'!$E$5:$E$404=A80)*'Grocery Spending'!$I$5:$I$404)))</f>
        <v>0</v>
      </c>
      <c r="AK80" s="8">
        <f>IF(OR(A80="",AI80="",AJ80=0),"",AJ80-AI80)</f>
        <v>0</v>
      </c>
      <c r="AL80" s="8">
        <f>IF(OR(A80="",AG80="",AH80=""),"",AG80-AH80)</f>
        <v>0</v>
      </c>
      <c r="AM80" s="8">
        <f>IF(A80="","",IF(AL80="","",IF(AL80&gt;0.01,"Up",IF(AL80&lt;-0.01,"Down","Flat"))))</f>
        <v>0</v>
      </c>
      <c r="AN80" s="25"/>
    </row>
    <row r="81" spans="1:40">
      <c r="A81" s="7"/>
      <c r="B81" s="27"/>
      <c r="C81" s="27"/>
      <c r="D81" s="28"/>
      <c r="E81" s="27"/>
      <c r="F81" s="26"/>
      <c r="G81" s="8">
        <f>IF(OR(D81="",F81="",F81=0),"",D81/F81)</f>
        <v>0</v>
      </c>
      <c r="H81" s="26"/>
      <c r="I81" s="26"/>
      <c r="J81" s="26"/>
      <c r="K81" s="26"/>
      <c r="L81" s="26"/>
      <c r="M81" s="26"/>
      <c r="N81" s="27"/>
      <c r="O81" s="27"/>
      <c r="P81" s="27"/>
      <c r="Q81" s="27"/>
      <c r="R81" s="7"/>
      <c r="S81" s="8">
        <f>IF(A81="","",SUMIFS(Pantry!$C$5:$C$304,Pantry!$A$5:$A$304,A81))</f>
        <v>0</v>
      </c>
      <c r="T81" s="8">
        <f>IF(A81="","",COUNTIFS('Grocery List'!$A$5:$A$304,A81,'Grocery List'!$N$5:$N$304,"Yes"))</f>
        <v>0</v>
      </c>
      <c r="U81" s="8">
        <f>IF(A81="","",SUMIFS('Grocery List'!$M$5:$M$304,'Grocery List'!$A$5:$A$304,A81))</f>
        <v>0</v>
      </c>
      <c r="V81" s="8">
        <f>IF(A81="","",COUNTIFS('Recipe Ingredients'!$B$5:$B$1204,A81))</f>
        <v>0</v>
      </c>
      <c r="W81" s="8">
        <f>IF(A81="","",SUMIFS('Recipe Ingredients'!$C$5:$C$1204,'Recipe Ingredients'!$B$5:$B$1204,A81))</f>
        <v>0</v>
      </c>
      <c r="X81" s="8">
        <f>IF(A81="","",IF(U81&lt;=0,IF(S81&gt;0,99,0),ROUND(S81/U81,1)))</f>
        <v>0</v>
      </c>
      <c r="Y81" s="8">
        <f>IF(A81="","",U81*10+IF(O81="Yes",5,0)+IF(X81&lt;1,10,0)+IF(S81&lt;=0,3,0))</f>
        <v>0</v>
      </c>
      <c r="Z81" s="8">
        <f>IF(A81="","",COUNTIFS($Y$5:$Y$304,"&gt;"&amp;Y81)+1)</f>
        <v>0</v>
      </c>
      <c r="AA81" s="8">
        <f>IF(A81="","",IF(OR(U81&gt;0,AND(O81="Yes",X81&lt;2)),"Yes","No"))</f>
        <v>0</v>
      </c>
      <c r="AB81" s="8">
        <f>IF(OR(A81="",D81=""),"",S81*D81)</f>
        <v>0</v>
      </c>
      <c r="AC81" s="8">
        <f>IF(AB81="","",COUNTIFS($AB$5:$AB$304,"&gt;"&amp;AB81)+1)</f>
        <v>0</v>
      </c>
      <c r="AD81" s="8">
        <f>IF(A81="","",SUMIFS('Food Waste'!$E$5:$E$154,'Food Waste'!$C$5:$C$154,A81))</f>
        <v>0</v>
      </c>
      <c r="AE81" s="8">
        <f>IF(OR(A81="",AD81=0),"",COUNTIFS($AD$5:$AD$304,"&gt;"&amp;AD81)+1)</f>
        <v>0</v>
      </c>
      <c r="AF81" s="8">
        <f>IF(A81="","",IF(SUMPRODUCT(MAX(('Grocery Spending'!$E$5:$E$404=A81)*'Grocery Spending'!$A$5:$A$404))=0,"",SUMPRODUCT(MAX(('Grocery Spending'!$E$5:$E$404=A81)*'Grocery Spending'!$A$5:$A$404))))</f>
        <v>0</v>
      </c>
      <c r="AG81" s="8">
        <f>IF(OR(A81="",AF81=""),"",IFERROR(AVERAGEIFS('Grocery Spending'!$I$5:$I$404,'Grocery Spending'!$E$5:$E$404,A81,'Grocery Spending'!$A$5:$A$404,AF81),""))</f>
        <v>0</v>
      </c>
      <c r="AH81" s="8">
        <f>IF(A81="","",IFERROR(AVERAGEIFS('Grocery Spending'!$I$5:$I$404,'Grocery Spending'!$E$5:$E$404,A81),""))</f>
        <v>0</v>
      </c>
      <c r="AI81" s="8">
        <f>IF(A81="","",IF(SUMPRODUCT(MIN(('Grocery Spending'!$E$5:$E$404=A81)*'Grocery Spending'!$I$5:$I$404+('Grocery Spending'!$E$5:$E$404&lt;&gt;A81)*1000000))&gt;=1000000,"",SUMPRODUCT(MIN(('Grocery Spending'!$E$5:$E$404=A81)*'Grocery Spending'!$I$5:$I$404+('Grocery Spending'!$E$5:$E$404&lt;&gt;A81)*1000000))))</f>
        <v>0</v>
      </c>
      <c r="AJ81" s="8">
        <f>IF(A81="","",SUMPRODUCT(MAX(('Grocery Spending'!$E$5:$E$404=A81)*'Grocery Spending'!$I$5:$I$404)))</f>
        <v>0</v>
      </c>
      <c r="AK81" s="8">
        <f>IF(OR(A81="",AI81="",AJ81=0),"",AJ81-AI81)</f>
        <v>0</v>
      </c>
      <c r="AL81" s="8">
        <f>IF(OR(A81="",AG81="",AH81=""),"",AG81-AH81)</f>
        <v>0</v>
      </c>
      <c r="AM81" s="8">
        <f>IF(A81="","",IF(AL81="","",IF(AL81&gt;0.01,"Up",IF(AL81&lt;-0.01,"Down","Flat"))))</f>
        <v>0</v>
      </c>
      <c r="AN81" s="25"/>
    </row>
    <row r="82" spans="1:40">
      <c r="A82" s="7"/>
      <c r="B82" s="27"/>
      <c r="C82" s="27"/>
      <c r="D82" s="28"/>
      <c r="E82" s="27"/>
      <c r="F82" s="26"/>
      <c r="G82" s="8">
        <f>IF(OR(D82="",F82="",F82=0),"",D82/F82)</f>
        <v>0</v>
      </c>
      <c r="H82" s="26"/>
      <c r="I82" s="26"/>
      <c r="J82" s="26"/>
      <c r="K82" s="26"/>
      <c r="L82" s="26"/>
      <c r="M82" s="26"/>
      <c r="N82" s="27"/>
      <c r="O82" s="27"/>
      <c r="P82" s="27"/>
      <c r="Q82" s="27"/>
      <c r="R82" s="7"/>
      <c r="S82" s="8">
        <f>IF(A82="","",SUMIFS(Pantry!$C$5:$C$304,Pantry!$A$5:$A$304,A82))</f>
        <v>0</v>
      </c>
      <c r="T82" s="8">
        <f>IF(A82="","",COUNTIFS('Grocery List'!$A$5:$A$304,A82,'Grocery List'!$N$5:$N$304,"Yes"))</f>
        <v>0</v>
      </c>
      <c r="U82" s="8">
        <f>IF(A82="","",SUMIFS('Grocery List'!$M$5:$M$304,'Grocery List'!$A$5:$A$304,A82))</f>
        <v>0</v>
      </c>
      <c r="V82" s="8">
        <f>IF(A82="","",COUNTIFS('Recipe Ingredients'!$B$5:$B$1204,A82))</f>
        <v>0</v>
      </c>
      <c r="W82" s="8">
        <f>IF(A82="","",SUMIFS('Recipe Ingredients'!$C$5:$C$1204,'Recipe Ingredients'!$B$5:$B$1204,A82))</f>
        <v>0</v>
      </c>
      <c r="X82" s="8">
        <f>IF(A82="","",IF(U82&lt;=0,IF(S82&gt;0,99,0),ROUND(S82/U82,1)))</f>
        <v>0</v>
      </c>
      <c r="Y82" s="8">
        <f>IF(A82="","",U82*10+IF(O82="Yes",5,0)+IF(X82&lt;1,10,0)+IF(S82&lt;=0,3,0))</f>
        <v>0</v>
      </c>
      <c r="Z82" s="8">
        <f>IF(A82="","",COUNTIFS($Y$5:$Y$304,"&gt;"&amp;Y82)+1)</f>
        <v>0</v>
      </c>
      <c r="AA82" s="8">
        <f>IF(A82="","",IF(OR(U82&gt;0,AND(O82="Yes",X82&lt;2)),"Yes","No"))</f>
        <v>0</v>
      </c>
      <c r="AB82" s="8">
        <f>IF(OR(A82="",D82=""),"",S82*D82)</f>
        <v>0</v>
      </c>
      <c r="AC82" s="8">
        <f>IF(AB82="","",COUNTIFS($AB$5:$AB$304,"&gt;"&amp;AB82)+1)</f>
        <v>0</v>
      </c>
      <c r="AD82" s="8">
        <f>IF(A82="","",SUMIFS('Food Waste'!$E$5:$E$154,'Food Waste'!$C$5:$C$154,A82))</f>
        <v>0</v>
      </c>
      <c r="AE82" s="8">
        <f>IF(OR(A82="",AD82=0),"",COUNTIFS($AD$5:$AD$304,"&gt;"&amp;AD82)+1)</f>
        <v>0</v>
      </c>
      <c r="AF82" s="8">
        <f>IF(A82="","",IF(SUMPRODUCT(MAX(('Grocery Spending'!$E$5:$E$404=A82)*'Grocery Spending'!$A$5:$A$404))=0,"",SUMPRODUCT(MAX(('Grocery Spending'!$E$5:$E$404=A82)*'Grocery Spending'!$A$5:$A$404))))</f>
        <v>0</v>
      </c>
      <c r="AG82" s="8">
        <f>IF(OR(A82="",AF82=""),"",IFERROR(AVERAGEIFS('Grocery Spending'!$I$5:$I$404,'Grocery Spending'!$E$5:$E$404,A82,'Grocery Spending'!$A$5:$A$404,AF82),""))</f>
        <v>0</v>
      </c>
      <c r="AH82" s="8">
        <f>IF(A82="","",IFERROR(AVERAGEIFS('Grocery Spending'!$I$5:$I$404,'Grocery Spending'!$E$5:$E$404,A82),""))</f>
        <v>0</v>
      </c>
      <c r="AI82" s="8">
        <f>IF(A82="","",IF(SUMPRODUCT(MIN(('Grocery Spending'!$E$5:$E$404=A82)*'Grocery Spending'!$I$5:$I$404+('Grocery Spending'!$E$5:$E$404&lt;&gt;A82)*1000000))&gt;=1000000,"",SUMPRODUCT(MIN(('Grocery Spending'!$E$5:$E$404=A82)*'Grocery Spending'!$I$5:$I$404+('Grocery Spending'!$E$5:$E$404&lt;&gt;A82)*1000000))))</f>
        <v>0</v>
      </c>
      <c r="AJ82" s="8">
        <f>IF(A82="","",SUMPRODUCT(MAX(('Grocery Spending'!$E$5:$E$404=A82)*'Grocery Spending'!$I$5:$I$404)))</f>
        <v>0</v>
      </c>
      <c r="AK82" s="8">
        <f>IF(OR(A82="",AI82="",AJ82=0),"",AJ82-AI82)</f>
        <v>0</v>
      </c>
      <c r="AL82" s="8">
        <f>IF(OR(A82="",AG82="",AH82=""),"",AG82-AH82)</f>
        <v>0</v>
      </c>
      <c r="AM82" s="8">
        <f>IF(A82="","",IF(AL82="","",IF(AL82&gt;0.01,"Up",IF(AL82&lt;-0.01,"Down","Flat"))))</f>
        <v>0</v>
      </c>
      <c r="AN82" s="25"/>
    </row>
    <row r="83" spans="1:40">
      <c r="A83" s="7"/>
      <c r="B83" s="27"/>
      <c r="C83" s="27"/>
      <c r="D83" s="28"/>
      <c r="E83" s="27"/>
      <c r="F83" s="26"/>
      <c r="G83" s="8">
        <f>IF(OR(D83="",F83="",F83=0),"",D83/F83)</f>
        <v>0</v>
      </c>
      <c r="H83" s="26"/>
      <c r="I83" s="26"/>
      <c r="J83" s="26"/>
      <c r="K83" s="26"/>
      <c r="L83" s="26"/>
      <c r="M83" s="26"/>
      <c r="N83" s="27"/>
      <c r="O83" s="27"/>
      <c r="P83" s="27"/>
      <c r="Q83" s="27"/>
      <c r="R83" s="7"/>
      <c r="S83" s="8">
        <f>IF(A83="","",SUMIFS(Pantry!$C$5:$C$304,Pantry!$A$5:$A$304,A83))</f>
        <v>0</v>
      </c>
      <c r="T83" s="8">
        <f>IF(A83="","",COUNTIFS('Grocery List'!$A$5:$A$304,A83,'Grocery List'!$N$5:$N$304,"Yes"))</f>
        <v>0</v>
      </c>
      <c r="U83" s="8">
        <f>IF(A83="","",SUMIFS('Grocery List'!$M$5:$M$304,'Grocery List'!$A$5:$A$304,A83))</f>
        <v>0</v>
      </c>
      <c r="V83" s="8">
        <f>IF(A83="","",COUNTIFS('Recipe Ingredients'!$B$5:$B$1204,A83))</f>
        <v>0</v>
      </c>
      <c r="W83" s="8">
        <f>IF(A83="","",SUMIFS('Recipe Ingredients'!$C$5:$C$1204,'Recipe Ingredients'!$B$5:$B$1204,A83))</f>
        <v>0</v>
      </c>
      <c r="X83" s="8">
        <f>IF(A83="","",IF(U83&lt;=0,IF(S83&gt;0,99,0),ROUND(S83/U83,1)))</f>
        <v>0</v>
      </c>
      <c r="Y83" s="8">
        <f>IF(A83="","",U83*10+IF(O83="Yes",5,0)+IF(X83&lt;1,10,0)+IF(S83&lt;=0,3,0))</f>
        <v>0</v>
      </c>
      <c r="Z83" s="8">
        <f>IF(A83="","",COUNTIFS($Y$5:$Y$304,"&gt;"&amp;Y83)+1)</f>
        <v>0</v>
      </c>
      <c r="AA83" s="8">
        <f>IF(A83="","",IF(OR(U83&gt;0,AND(O83="Yes",X83&lt;2)),"Yes","No"))</f>
        <v>0</v>
      </c>
      <c r="AB83" s="8">
        <f>IF(OR(A83="",D83=""),"",S83*D83)</f>
        <v>0</v>
      </c>
      <c r="AC83" s="8">
        <f>IF(AB83="","",COUNTIFS($AB$5:$AB$304,"&gt;"&amp;AB83)+1)</f>
        <v>0</v>
      </c>
      <c r="AD83" s="8">
        <f>IF(A83="","",SUMIFS('Food Waste'!$E$5:$E$154,'Food Waste'!$C$5:$C$154,A83))</f>
        <v>0</v>
      </c>
      <c r="AE83" s="8">
        <f>IF(OR(A83="",AD83=0),"",COUNTIFS($AD$5:$AD$304,"&gt;"&amp;AD83)+1)</f>
        <v>0</v>
      </c>
      <c r="AF83" s="8">
        <f>IF(A83="","",IF(SUMPRODUCT(MAX(('Grocery Spending'!$E$5:$E$404=A83)*'Grocery Spending'!$A$5:$A$404))=0,"",SUMPRODUCT(MAX(('Grocery Spending'!$E$5:$E$404=A83)*'Grocery Spending'!$A$5:$A$404))))</f>
        <v>0</v>
      </c>
      <c r="AG83" s="8">
        <f>IF(OR(A83="",AF83=""),"",IFERROR(AVERAGEIFS('Grocery Spending'!$I$5:$I$404,'Grocery Spending'!$E$5:$E$404,A83,'Grocery Spending'!$A$5:$A$404,AF83),""))</f>
        <v>0</v>
      </c>
      <c r="AH83" s="8">
        <f>IF(A83="","",IFERROR(AVERAGEIFS('Grocery Spending'!$I$5:$I$404,'Grocery Spending'!$E$5:$E$404,A83),""))</f>
        <v>0</v>
      </c>
      <c r="AI83" s="8">
        <f>IF(A83="","",IF(SUMPRODUCT(MIN(('Grocery Spending'!$E$5:$E$404=A83)*'Grocery Spending'!$I$5:$I$404+('Grocery Spending'!$E$5:$E$404&lt;&gt;A83)*1000000))&gt;=1000000,"",SUMPRODUCT(MIN(('Grocery Spending'!$E$5:$E$404=A83)*'Grocery Spending'!$I$5:$I$404+('Grocery Spending'!$E$5:$E$404&lt;&gt;A83)*1000000))))</f>
        <v>0</v>
      </c>
      <c r="AJ83" s="8">
        <f>IF(A83="","",SUMPRODUCT(MAX(('Grocery Spending'!$E$5:$E$404=A83)*'Grocery Spending'!$I$5:$I$404)))</f>
        <v>0</v>
      </c>
      <c r="AK83" s="8">
        <f>IF(OR(A83="",AI83="",AJ83=0),"",AJ83-AI83)</f>
        <v>0</v>
      </c>
      <c r="AL83" s="8">
        <f>IF(OR(A83="",AG83="",AH83=""),"",AG83-AH83)</f>
        <v>0</v>
      </c>
      <c r="AM83" s="8">
        <f>IF(A83="","",IF(AL83="","",IF(AL83&gt;0.01,"Up",IF(AL83&lt;-0.01,"Down","Flat"))))</f>
        <v>0</v>
      </c>
      <c r="AN83" s="25"/>
    </row>
    <row r="84" spans="1:40">
      <c r="A84" s="7"/>
      <c r="B84" s="27"/>
      <c r="C84" s="27"/>
      <c r="D84" s="28"/>
      <c r="E84" s="27"/>
      <c r="F84" s="26"/>
      <c r="G84" s="8">
        <f>IF(OR(D84="",F84="",F84=0),"",D84/F84)</f>
        <v>0</v>
      </c>
      <c r="H84" s="26"/>
      <c r="I84" s="26"/>
      <c r="J84" s="26"/>
      <c r="K84" s="26"/>
      <c r="L84" s="26"/>
      <c r="M84" s="26"/>
      <c r="N84" s="27"/>
      <c r="O84" s="27"/>
      <c r="P84" s="27"/>
      <c r="Q84" s="27"/>
      <c r="R84" s="7"/>
      <c r="S84" s="8">
        <f>IF(A84="","",SUMIFS(Pantry!$C$5:$C$304,Pantry!$A$5:$A$304,A84))</f>
        <v>0</v>
      </c>
      <c r="T84" s="8">
        <f>IF(A84="","",COUNTIFS('Grocery List'!$A$5:$A$304,A84,'Grocery List'!$N$5:$N$304,"Yes"))</f>
        <v>0</v>
      </c>
      <c r="U84" s="8">
        <f>IF(A84="","",SUMIFS('Grocery List'!$M$5:$M$304,'Grocery List'!$A$5:$A$304,A84))</f>
        <v>0</v>
      </c>
      <c r="V84" s="8">
        <f>IF(A84="","",COUNTIFS('Recipe Ingredients'!$B$5:$B$1204,A84))</f>
        <v>0</v>
      </c>
      <c r="W84" s="8">
        <f>IF(A84="","",SUMIFS('Recipe Ingredients'!$C$5:$C$1204,'Recipe Ingredients'!$B$5:$B$1204,A84))</f>
        <v>0</v>
      </c>
      <c r="X84" s="8">
        <f>IF(A84="","",IF(U84&lt;=0,IF(S84&gt;0,99,0),ROUND(S84/U84,1)))</f>
        <v>0</v>
      </c>
      <c r="Y84" s="8">
        <f>IF(A84="","",U84*10+IF(O84="Yes",5,0)+IF(X84&lt;1,10,0)+IF(S84&lt;=0,3,0))</f>
        <v>0</v>
      </c>
      <c r="Z84" s="8">
        <f>IF(A84="","",COUNTIFS($Y$5:$Y$304,"&gt;"&amp;Y84)+1)</f>
        <v>0</v>
      </c>
      <c r="AA84" s="8">
        <f>IF(A84="","",IF(OR(U84&gt;0,AND(O84="Yes",X84&lt;2)),"Yes","No"))</f>
        <v>0</v>
      </c>
      <c r="AB84" s="8">
        <f>IF(OR(A84="",D84=""),"",S84*D84)</f>
        <v>0</v>
      </c>
      <c r="AC84" s="8">
        <f>IF(AB84="","",COUNTIFS($AB$5:$AB$304,"&gt;"&amp;AB84)+1)</f>
        <v>0</v>
      </c>
      <c r="AD84" s="8">
        <f>IF(A84="","",SUMIFS('Food Waste'!$E$5:$E$154,'Food Waste'!$C$5:$C$154,A84))</f>
        <v>0</v>
      </c>
      <c r="AE84" s="8">
        <f>IF(OR(A84="",AD84=0),"",COUNTIFS($AD$5:$AD$304,"&gt;"&amp;AD84)+1)</f>
        <v>0</v>
      </c>
      <c r="AF84" s="8">
        <f>IF(A84="","",IF(SUMPRODUCT(MAX(('Grocery Spending'!$E$5:$E$404=A84)*'Grocery Spending'!$A$5:$A$404))=0,"",SUMPRODUCT(MAX(('Grocery Spending'!$E$5:$E$404=A84)*'Grocery Spending'!$A$5:$A$404))))</f>
        <v>0</v>
      </c>
      <c r="AG84" s="8">
        <f>IF(OR(A84="",AF84=""),"",IFERROR(AVERAGEIFS('Grocery Spending'!$I$5:$I$404,'Grocery Spending'!$E$5:$E$404,A84,'Grocery Spending'!$A$5:$A$404,AF84),""))</f>
        <v>0</v>
      </c>
      <c r="AH84" s="8">
        <f>IF(A84="","",IFERROR(AVERAGEIFS('Grocery Spending'!$I$5:$I$404,'Grocery Spending'!$E$5:$E$404,A84),""))</f>
        <v>0</v>
      </c>
      <c r="AI84" s="8">
        <f>IF(A84="","",IF(SUMPRODUCT(MIN(('Grocery Spending'!$E$5:$E$404=A84)*'Grocery Spending'!$I$5:$I$404+('Grocery Spending'!$E$5:$E$404&lt;&gt;A84)*1000000))&gt;=1000000,"",SUMPRODUCT(MIN(('Grocery Spending'!$E$5:$E$404=A84)*'Grocery Spending'!$I$5:$I$404+('Grocery Spending'!$E$5:$E$404&lt;&gt;A84)*1000000))))</f>
        <v>0</v>
      </c>
      <c r="AJ84" s="8">
        <f>IF(A84="","",SUMPRODUCT(MAX(('Grocery Spending'!$E$5:$E$404=A84)*'Grocery Spending'!$I$5:$I$404)))</f>
        <v>0</v>
      </c>
      <c r="AK84" s="8">
        <f>IF(OR(A84="",AI84="",AJ84=0),"",AJ84-AI84)</f>
        <v>0</v>
      </c>
      <c r="AL84" s="8">
        <f>IF(OR(A84="",AG84="",AH84=""),"",AG84-AH84)</f>
        <v>0</v>
      </c>
      <c r="AM84" s="8">
        <f>IF(A84="","",IF(AL84="","",IF(AL84&gt;0.01,"Up",IF(AL84&lt;-0.01,"Down","Flat"))))</f>
        <v>0</v>
      </c>
      <c r="AN84" s="25"/>
    </row>
    <row r="85" spans="1:40">
      <c r="A85" s="7"/>
      <c r="B85" s="27"/>
      <c r="C85" s="27"/>
      <c r="D85" s="28"/>
      <c r="E85" s="27"/>
      <c r="F85" s="26"/>
      <c r="G85" s="8">
        <f>IF(OR(D85="",F85="",F85=0),"",D85/F85)</f>
        <v>0</v>
      </c>
      <c r="H85" s="26"/>
      <c r="I85" s="26"/>
      <c r="J85" s="26"/>
      <c r="K85" s="26"/>
      <c r="L85" s="26"/>
      <c r="M85" s="26"/>
      <c r="N85" s="27"/>
      <c r="O85" s="27"/>
      <c r="P85" s="27"/>
      <c r="Q85" s="27"/>
      <c r="R85" s="7"/>
      <c r="S85" s="8">
        <f>IF(A85="","",SUMIFS(Pantry!$C$5:$C$304,Pantry!$A$5:$A$304,A85))</f>
        <v>0</v>
      </c>
      <c r="T85" s="8">
        <f>IF(A85="","",COUNTIFS('Grocery List'!$A$5:$A$304,A85,'Grocery List'!$N$5:$N$304,"Yes"))</f>
        <v>0</v>
      </c>
      <c r="U85" s="8">
        <f>IF(A85="","",SUMIFS('Grocery List'!$M$5:$M$304,'Grocery List'!$A$5:$A$304,A85))</f>
        <v>0</v>
      </c>
      <c r="V85" s="8">
        <f>IF(A85="","",COUNTIFS('Recipe Ingredients'!$B$5:$B$1204,A85))</f>
        <v>0</v>
      </c>
      <c r="W85" s="8">
        <f>IF(A85="","",SUMIFS('Recipe Ingredients'!$C$5:$C$1204,'Recipe Ingredients'!$B$5:$B$1204,A85))</f>
        <v>0</v>
      </c>
      <c r="X85" s="8">
        <f>IF(A85="","",IF(U85&lt;=0,IF(S85&gt;0,99,0),ROUND(S85/U85,1)))</f>
        <v>0</v>
      </c>
      <c r="Y85" s="8">
        <f>IF(A85="","",U85*10+IF(O85="Yes",5,0)+IF(X85&lt;1,10,0)+IF(S85&lt;=0,3,0))</f>
        <v>0</v>
      </c>
      <c r="Z85" s="8">
        <f>IF(A85="","",COUNTIFS($Y$5:$Y$304,"&gt;"&amp;Y85)+1)</f>
        <v>0</v>
      </c>
      <c r="AA85" s="8">
        <f>IF(A85="","",IF(OR(U85&gt;0,AND(O85="Yes",X85&lt;2)),"Yes","No"))</f>
        <v>0</v>
      </c>
      <c r="AB85" s="8">
        <f>IF(OR(A85="",D85=""),"",S85*D85)</f>
        <v>0</v>
      </c>
      <c r="AC85" s="8">
        <f>IF(AB85="","",COUNTIFS($AB$5:$AB$304,"&gt;"&amp;AB85)+1)</f>
        <v>0</v>
      </c>
      <c r="AD85" s="8">
        <f>IF(A85="","",SUMIFS('Food Waste'!$E$5:$E$154,'Food Waste'!$C$5:$C$154,A85))</f>
        <v>0</v>
      </c>
      <c r="AE85" s="8">
        <f>IF(OR(A85="",AD85=0),"",COUNTIFS($AD$5:$AD$304,"&gt;"&amp;AD85)+1)</f>
        <v>0</v>
      </c>
      <c r="AF85" s="8">
        <f>IF(A85="","",IF(SUMPRODUCT(MAX(('Grocery Spending'!$E$5:$E$404=A85)*'Grocery Spending'!$A$5:$A$404))=0,"",SUMPRODUCT(MAX(('Grocery Spending'!$E$5:$E$404=A85)*'Grocery Spending'!$A$5:$A$404))))</f>
        <v>0</v>
      </c>
      <c r="AG85" s="8">
        <f>IF(OR(A85="",AF85=""),"",IFERROR(AVERAGEIFS('Grocery Spending'!$I$5:$I$404,'Grocery Spending'!$E$5:$E$404,A85,'Grocery Spending'!$A$5:$A$404,AF85),""))</f>
        <v>0</v>
      </c>
      <c r="AH85" s="8">
        <f>IF(A85="","",IFERROR(AVERAGEIFS('Grocery Spending'!$I$5:$I$404,'Grocery Spending'!$E$5:$E$404,A85),""))</f>
        <v>0</v>
      </c>
      <c r="AI85" s="8">
        <f>IF(A85="","",IF(SUMPRODUCT(MIN(('Grocery Spending'!$E$5:$E$404=A85)*'Grocery Spending'!$I$5:$I$404+('Grocery Spending'!$E$5:$E$404&lt;&gt;A85)*1000000))&gt;=1000000,"",SUMPRODUCT(MIN(('Grocery Spending'!$E$5:$E$404=A85)*'Grocery Spending'!$I$5:$I$404+('Grocery Spending'!$E$5:$E$404&lt;&gt;A85)*1000000))))</f>
        <v>0</v>
      </c>
      <c r="AJ85" s="8">
        <f>IF(A85="","",SUMPRODUCT(MAX(('Grocery Spending'!$E$5:$E$404=A85)*'Grocery Spending'!$I$5:$I$404)))</f>
        <v>0</v>
      </c>
      <c r="AK85" s="8">
        <f>IF(OR(A85="",AI85="",AJ85=0),"",AJ85-AI85)</f>
        <v>0</v>
      </c>
      <c r="AL85" s="8">
        <f>IF(OR(A85="",AG85="",AH85=""),"",AG85-AH85)</f>
        <v>0</v>
      </c>
      <c r="AM85" s="8">
        <f>IF(A85="","",IF(AL85="","",IF(AL85&gt;0.01,"Up",IF(AL85&lt;-0.01,"Down","Flat"))))</f>
        <v>0</v>
      </c>
      <c r="AN85" s="25"/>
    </row>
    <row r="86" spans="1:40">
      <c r="A86" s="7"/>
      <c r="B86" s="27"/>
      <c r="C86" s="27"/>
      <c r="D86" s="28"/>
      <c r="E86" s="27"/>
      <c r="F86" s="26"/>
      <c r="G86" s="8">
        <f>IF(OR(D86="",F86="",F86=0),"",D86/F86)</f>
        <v>0</v>
      </c>
      <c r="H86" s="26"/>
      <c r="I86" s="26"/>
      <c r="J86" s="26"/>
      <c r="K86" s="26"/>
      <c r="L86" s="26"/>
      <c r="M86" s="26"/>
      <c r="N86" s="27"/>
      <c r="O86" s="27"/>
      <c r="P86" s="27"/>
      <c r="Q86" s="27"/>
      <c r="R86" s="7"/>
      <c r="S86" s="8">
        <f>IF(A86="","",SUMIFS(Pantry!$C$5:$C$304,Pantry!$A$5:$A$304,A86))</f>
        <v>0</v>
      </c>
      <c r="T86" s="8">
        <f>IF(A86="","",COUNTIFS('Grocery List'!$A$5:$A$304,A86,'Grocery List'!$N$5:$N$304,"Yes"))</f>
        <v>0</v>
      </c>
      <c r="U86" s="8">
        <f>IF(A86="","",SUMIFS('Grocery List'!$M$5:$M$304,'Grocery List'!$A$5:$A$304,A86))</f>
        <v>0</v>
      </c>
      <c r="V86" s="8">
        <f>IF(A86="","",COUNTIFS('Recipe Ingredients'!$B$5:$B$1204,A86))</f>
        <v>0</v>
      </c>
      <c r="W86" s="8">
        <f>IF(A86="","",SUMIFS('Recipe Ingredients'!$C$5:$C$1204,'Recipe Ingredients'!$B$5:$B$1204,A86))</f>
        <v>0</v>
      </c>
      <c r="X86" s="8">
        <f>IF(A86="","",IF(U86&lt;=0,IF(S86&gt;0,99,0),ROUND(S86/U86,1)))</f>
        <v>0</v>
      </c>
      <c r="Y86" s="8">
        <f>IF(A86="","",U86*10+IF(O86="Yes",5,0)+IF(X86&lt;1,10,0)+IF(S86&lt;=0,3,0))</f>
        <v>0</v>
      </c>
      <c r="Z86" s="8">
        <f>IF(A86="","",COUNTIFS($Y$5:$Y$304,"&gt;"&amp;Y86)+1)</f>
        <v>0</v>
      </c>
      <c r="AA86" s="8">
        <f>IF(A86="","",IF(OR(U86&gt;0,AND(O86="Yes",X86&lt;2)),"Yes","No"))</f>
        <v>0</v>
      </c>
      <c r="AB86" s="8">
        <f>IF(OR(A86="",D86=""),"",S86*D86)</f>
        <v>0</v>
      </c>
      <c r="AC86" s="8">
        <f>IF(AB86="","",COUNTIFS($AB$5:$AB$304,"&gt;"&amp;AB86)+1)</f>
        <v>0</v>
      </c>
      <c r="AD86" s="8">
        <f>IF(A86="","",SUMIFS('Food Waste'!$E$5:$E$154,'Food Waste'!$C$5:$C$154,A86))</f>
        <v>0</v>
      </c>
      <c r="AE86" s="8">
        <f>IF(OR(A86="",AD86=0),"",COUNTIFS($AD$5:$AD$304,"&gt;"&amp;AD86)+1)</f>
        <v>0</v>
      </c>
      <c r="AF86" s="8">
        <f>IF(A86="","",IF(SUMPRODUCT(MAX(('Grocery Spending'!$E$5:$E$404=A86)*'Grocery Spending'!$A$5:$A$404))=0,"",SUMPRODUCT(MAX(('Grocery Spending'!$E$5:$E$404=A86)*'Grocery Spending'!$A$5:$A$404))))</f>
        <v>0</v>
      </c>
      <c r="AG86" s="8">
        <f>IF(OR(A86="",AF86=""),"",IFERROR(AVERAGEIFS('Grocery Spending'!$I$5:$I$404,'Grocery Spending'!$E$5:$E$404,A86,'Grocery Spending'!$A$5:$A$404,AF86),""))</f>
        <v>0</v>
      </c>
      <c r="AH86" s="8">
        <f>IF(A86="","",IFERROR(AVERAGEIFS('Grocery Spending'!$I$5:$I$404,'Grocery Spending'!$E$5:$E$404,A86),""))</f>
        <v>0</v>
      </c>
      <c r="AI86" s="8">
        <f>IF(A86="","",IF(SUMPRODUCT(MIN(('Grocery Spending'!$E$5:$E$404=A86)*'Grocery Spending'!$I$5:$I$404+('Grocery Spending'!$E$5:$E$404&lt;&gt;A86)*1000000))&gt;=1000000,"",SUMPRODUCT(MIN(('Grocery Spending'!$E$5:$E$404=A86)*'Grocery Spending'!$I$5:$I$404+('Grocery Spending'!$E$5:$E$404&lt;&gt;A86)*1000000))))</f>
        <v>0</v>
      </c>
      <c r="AJ86" s="8">
        <f>IF(A86="","",SUMPRODUCT(MAX(('Grocery Spending'!$E$5:$E$404=A86)*'Grocery Spending'!$I$5:$I$404)))</f>
        <v>0</v>
      </c>
      <c r="AK86" s="8">
        <f>IF(OR(A86="",AI86="",AJ86=0),"",AJ86-AI86)</f>
        <v>0</v>
      </c>
      <c r="AL86" s="8">
        <f>IF(OR(A86="",AG86="",AH86=""),"",AG86-AH86)</f>
        <v>0</v>
      </c>
      <c r="AM86" s="8">
        <f>IF(A86="","",IF(AL86="","",IF(AL86&gt;0.01,"Up",IF(AL86&lt;-0.01,"Down","Flat"))))</f>
        <v>0</v>
      </c>
      <c r="AN86" s="25"/>
    </row>
    <row r="87" spans="1:40">
      <c r="A87" s="7"/>
      <c r="B87" s="27"/>
      <c r="C87" s="27"/>
      <c r="D87" s="28"/>
      <c r="E87" s="27"/>
      <c r="F87" s="26"/>
      <c r="G87" s="8">
        <f>IF(OR(D87="",F87="",F87=0),"",D87/F87)</f>
        <v>0</v>
      </c>
      <c r="H87" s="26"/>
      <c r="I87" s="26"/>
      <c r="J87" s="26"/>
      <c r="K87" s="26"/>
      <c r="L87" s="26"/>
      <c r="M87" s="26"/>
      <c r="N87" s="27"/>
      <c r="O87" s="27"/>
      <c r="P87" s="27"/>
      <c r="Q87" s="27"/>
      <c r="R87" s="7"/>
      <c r="S87" s="8">
        <f>IF(A87="","",SUMIFS(Pantry!$C$5:$C$304,Pantry!$A$5:$A$304,A87))</f>
        <v>0</v>
      </c>
      <c r="T87" s="8">
        <f>IF(A87="","",COUNTIFS('Grocery List'!$A$5:$A$304,A87,'Grocery List'!$N$5:$N$304,"Yes"))</f>
        <v>0</v>
      </c>
      <c r="U87" s="8">
        <f>IF(A87="","",SUMIFS('Grocery List'!$M$5:$M$304,'Grocery List'!$A$5:$A$304,A87))</f>
        <v>0</v>
      </c>
      <c r="V87" s="8">
        <f>IF(A87="","",COUNTIFS('Recipe Ingredients'!$B$5:$B$1204,A87))</f>
        <v>0</v>
      </c>
      <c r="W87" s="8">
        <f>IF(A87="","",SUMIFS('Recipe Ingredients'!$C$5:$C$1204,'Recipe Ingredients'!$B$5:$B$1204,A87))</f>
        <v>0</v>
      </c>
      <c r="X87" s="8">
        <f>IF(A87="","",IF(U87&lt;=0,IF(S87&gt;0,99,0),ROUND(S87/U87,1)))</f>
        <v>0</v>
      </c>
      <c r="Y87" s="8">
        <f>IF(A87="","",U87*10+IF(O87="Yes",5,0)+IF(X87&lt;1,10,0)+IF(S87&lt;=0,3,0))</f>
        <v>0</v>
      </c>
      <c r="Z87" s="8">
        <f>IF(A87="","",COUNTIFS($Y$5:$Y$304,"&gt;"&amp;Y87)+1)</f>
        <v>0</v>
      </c>
      <c r="AA87" s="8">
        <f>IF(A87="","",IF(OR(U87&gt;0,AND(O87="Yes",X87&lt;2)),"Yes","No"))</f>
        <v>0</v>
      </c>
      <c r="AB87" s="8">
        <f>IF(OR(A87="",D87=""),"",S87*D87)</f>
        <v>0</v>
      </c>
      <c r="AC87" s="8">
        <f>IF(AB87="","",COUNTIFS($AB$5:$AB$304,"&gt;"&amp;AB87)+1)</f>
        <v>0</v>
      </c>
      <c r="AD87" s="8">
        <f>IF(A87="","",SUMIFS('Food Waste'!$E$5:$E$154,'Food Waste'!$C$5:$C$154,A87))</f>
        <v>0</v>
      </c>
      <c r="AE87" s="8">
        <f>IF(OR(A87="",AD87=0),"",COUNTIFS($AD$5:$AD$304,"&gt;"&amp;AD87)+1)</f>
        <v>0</v>
      </c>
      <c r="AF87" s="8">
        <f>IF(A87="","",IF(SUMPRODUCT(MAX(('Grocery Spending'!$E$5:$E$404=A87)*'Grocery Spending'!$A$5:$A$404))=0,"",SUMPRODUCT(MAX(('Grocery Spending'!$E$5:$E$404=A87)*'Grocery Spending'!$A$5:$A$404))))</f>
        <v>0</v>
      </c>
      <c r="AG87" s="8">
        <f>IF(OR(A87="",AF87=""),"",IFERROR(AVERAGEIFS('Grocery Spending'!$I$5:$I$404,'Grocery Spending'!$E$5:$E$404,A87,'Grocery Spending'!$A$5:$A$404,AF87),""))</f>
        <v>0</v>
      </c>
      <c r="AH87" s="8">
        <f>IF(A87="","",IFERROR(AVERAGEIFS('Grocery Spending'!$I$5:$I$404,'Grocery Spending'!$E$5:$E$404,A87),""))</f>
        <v>0</v>
      </c>
      <c r="AI87" s="8">
        <f>IF(A87="","",IF(SUMPRODUCT(MIN(('Grocery Spending'!$E$5:$E$404=A87)*'Grocery Spending'!$I$5:$I$404+('Grocery Spending'!$E$5:$E$404&lt;&gt;A87)*1000000))&gt;=1000000,"",SUMPRODUCT(MIN(('Grocery Spending'!$E$5:$E$404=A87)*'Grocery Spending'!$I$5:$I$404+('Grocery Spending'!$E$5:$E$404&lt;&gt;A87)*1000000))))</f>
        <v>0</v>
      </c>
      <c r="AJ87" s="8">
        <f>IF(A87="","",SUMPRODUCT(MAX(('Grocery Spending'!$E$5:$E$404=A87)*'Grocery Spending'!$I$5:$I$404)))</f>
        <v>0</v>
      </c>
      <c r="AK87" s="8">
        <f>IF(OR(A87="",AI87="",AJ87=0),"",AJ87-AI87)</f>
        <v>0</v>
      </c>
      <c r="AL87" s="8">
        <f>IF(OR(A87="",AG87="",AH87=""),"",AG87-AH87)</f>
        <v>0</v>
      </c>
      <c r="AM87" s="8">
        <f>IF(A87="","",IF(AL87="","",IF(AL87&gt;0.01,"Up",IF(AL87&lt;-0.01,"Down","Flat"))))</f>
        <v>0</v>
      </c>
      <c r="AN87" s="25"/>
    </row>
    <row r="88" spans="1:40">
      <c r="A88" s="7"/>
      <c r="B88" s="27"/>
      <c r="C88" s="27"/>
      <c r="D88" s="28"/>
      <c r="E88" s="27"/>
      <c r="F88" s="26"/>
      <c r="G88" s="8">
        <f>IF(OR(D88="",F88="",F88=0),"",D88/F88)</f>
        <v>0</v>
      </c>
      <c r="H88" s="26"/>
      <c r="I88" s="26"/>
      <c r="J88" s="26"/>
      <c r="K88" s="26"/>
      <c r="L88" s="26"/>
      <c r="M88" s="26"/>
      <c r="N88" s="27"/>
      <c r="O88" s="27"/>
      <c r="P88" s="27"/>
      <c r="Q88" s="27"/>
      <c r="R88" s="7"/>
      <c r="S88" s="8">
        <f>IF(A88="","",SUMIFS(Pantry!$C$5:$C$304,Pantry!$A$5:$A$304,A88))</f>
        <v>0</v>
      </c>
      <c r="T88" s="8">
        <f>IF(A88="","",COUNTIFS('Grocery List'!$A$5:$A$304,A88,'Grocery List'!$N$5:$N$304,"Yes"))</f>
        <v>0</v>
      </c>
      <c r="U88" s="8">
        <f>IF(A88="","",SUMIFS('Grocery List'!$M$5:$M$304,'Grocery List'!$A$5:$A$304,A88))</f>
        <v>0</v>
      </c>
      <c r="V88" s="8">
        <f>IF(A88="","",COUNTIFS('Recipe Ingredients'!$B$5:$B$1204,A88))</f>
        <v>0</v>
      </c>
      <c r="W88" s="8">
        <f>IF(A88="","",SUMIFS('Recipe Ingredients'!$C$5:$C$1204,'Recipe Ingredients'!$B$5:$B$1204,A88))</f>
        <v>0</v>
      </c>
      <c r="X88" s="8">
        <f>IF(A88="","",IF(U88&lt;=0,IF(S88&gt;0,99,0),ROUND(S88/U88,1)))</f>
        <v>0</v>
      </c>
      <c r="Y88" s="8">
        <f>IF(A88="","",U88*10+IF(O88="Yes",5,0)+IF(X88&lt;1,10,0)+IF(S88&lt;=0,3,0))</f>
        <v>0</v>
      </c>
      <c r="Z88" s="8">
        <f>IF(A88="","",COUNTIFS($Y$5:$Y$304,"&gt;"&amp;Y88)+1)</f>
        <v>0</v>
      </c>
      <c r="AA88" s="8">
        <f>IF(A88="","",IF(OR(U88&gt;0,AND(O88="Yes",X88&lt;2)),"Yes","No"))</f>
        <v>0</v>
      </c>
      <c r="AB88" s="8">
        <f>IF(OR(A88="",D88=""),"",S88*D88)</f>
        <v>0</v>
      </c>
      <c r="AC88" s="8">
        <f>IF(AB88="","",COUNTIFS($AB$5:$AB$304,"&gt;"&amp;AB88)+1)</f>
        <v>0</v>
      </c>
      <c r="AD88" s="8">
        <f>IF(A88="","",SUMIFS('Food Waste'!$E$5:$E$154,'Food Waste'!$C$5:$C$154,A88))</f>
        <v>0</v>
      </c>
      <c r="AE88" s="8">
        <f>IF(OR(A88="",AD88=0),"",COUNTIFS($AD$5:$AD$304,"&gt;"&amp;AD88)+1)</f>
        <v>0</v>
      </c>
      <c r="AF88" s="8">
        <f>IF(A88="","",IF(SUMPRODUCT(MAX(('Grocery Spending'!$E$5:$E$404=A88)*'Grocery Spending'!$A$5:$A$404))=0,"",SUMPRODUCT(MAX(('Grocery Spending'!$E$5:$E$404=A88)*'Grocery Spending'!$A$5:$A$404))))</f>
        <v>0</v>
      </c>
      <c r="AG88" s="8">
        <f>IF(OR(A88="",AF88=""),"",IFERROR(AVERAGEIFS('Grocery Spending'!$I$5:$I$404,'Grocery Spending'!$E$5:$E$404,A88,'Grocery Spending'!$A$5:$A$404,AF88),""))</f>
        <v>0</v>
      </c>
      <c r="AH88" s="8">
        <f>IF(A88="","",IFERROR(AVERAGEIFS('Grocery Spending'!$I$5:$I$404,'Grocery Spending'!$E$5:$E$404,A88),""))</f>
        <v>0</v>
      </c>
      <c r="AI88" s="8">
        <f>IF(A88="","",IF(SUMPRODUCT(MIN(('Grocery Spending'!$E$5:$E$404=A88)*'Grocery Spending'!$I$5:$I$404+('Grocery Spending'!$E$5:$E$404&lt;&gt;A88)*1000000))&gt;=1000000,"",SUMPRODUCT(MIN(('Grocery Spending'!$E$5:$E$404=A88)*'Grocery Spending'!$I$5:$I$404+('Grocery Spending'!$E$5:$E$404&lt;&gt;A88)*1000000))))</f>
        <v>0</v>
      </c>
      <c r="AJ88" s="8">
        <f>IF(A88="","",SUMPRODUCT(MAX(('Grocery Spending'!$E$5:$E$404=A88)*'Grocery Spending'!$I$5:$I$404)))</f>
        <v>0</v>
      </c>
      <c r="AK88" s="8">
        <f>IF(OR(A88="",AI88="",AJ88=0),"",AJ88-AI88)</f>
        <v>0</v>
      </c>
      <c r="AL88" s="8">
        <f>IF(OR(A88="",AG88="",AH88=""),"",AG88-AH88)</f>
        <v>0</v>
      </c>
      <c r="AM88" s="8">
        <f>IF(A88="","",IF(AL88="","",IF(AL88&gt;0.01,"Up",IF(AL88&lt;-0.01,"Down","Flat"))))</f>
        <v>0</v>
      </c>
      <c r="AN88" s="25"/>
    </row>
    <row r="89" spans="1:40">
      <c r="A89" s="7"/>
      <c r="B89" s="27"/>
      <c r="C89" s="27"/>
      <c r="D89" s="28"/>
      <c r="E89" s="27"/>
      <c r="F89" s="26"/>
      <c r="G89" s="8">
        <f>IF(OR(D89="",F89="",F89=0),"",D89/F89)</f>
        <v>0</v>
      </c>
      <c r="H89" s="26"/>
      <c r="I89" s="26"/>
      <c r="J89" s="26"/>
      <c r="K89" s="26"/>
      <c r="L89" s="26"/>
      <c r="M89" s="26"/>
      <c r="N89" s="27"/>
      <c r="O89" s="27"/>
      <c r="P89" s="27"/>
      <c r="Q89" s="27"/>
      <c r="R89" s="7"/>
      <c r="S89" s="8">
        <f>IF(A89="","",SUMIFS(Pantry!$C$5:$C$304,Pantry!$A$5:$A$304,A89))</f>
        <v>0</v>
      </c>
      <c r="T89" s="8">
        <f>IF(A89="","",COUNTIFS('Grocery List'!$A$5:$A$304,A89,'Grocery List'!$N$5:$N$304,"Yes"))</f>
        <v>0</v>
      </c>
      <c r="U89" s="8">
        <f>IF(A89="","",SUMIFS('Grocery List'!$M$5:$M$304,'Grocery List'!$A$5:$A$304,A89))</f>
        <v>0</v>
      </c>
      <c r="V89" s="8">
        <f>IF(A89="","",COUNTIFS('Recipe Ingredients'!$B$5:$B$1204,A89))</f>
        <v>0</v>
      </c>
      <c r="W89" s="8">
        <f>IF(A89="","",SUMIFS('Recipe Ingredients'!$C$5:$C$1204,'Recipe Ingredients'!$B$5:$B$1204,A89))</f>
        <v>0</v>
      </c>
      <c r="X89" s="8">
        <f>IF(A89="","",IF(U89&lt;=0,IF(S89&gt;0,99,0),ROUND(S89/U89,1)))</f>
        <v>0</v>
      </c>
      <c r="Y89" s="8">
        <f>IF(A89="","",U89*10+IF(O89="Yes",5,0)+IF(X89&lt;1,10,0)+IF(S89&lt;=0,3,0))</f>
        <v>0</v>
      </c>
      <c r="Z89" s="8">
        <f>IF(A89="","",COUNTIFS($Y$5:$Y$304,"&gt;"&amp;Y89)+1)</f>
        <v>0</v>
      </c>
      <c r="AA89" s="8">
        <f>IF(A89="","",IF(OR(U89&gt;0,AND(O89="Yes",X89&lt;2)),"Yes","No"))</f>
        <v>0</v>
      </c>
      <c r="AB89" s="8">
        <f>IF(OR(A89="",D89=""),"",S89*D89)</f>
        <v>0</v>
      </c>
      <c r="AC89" s="8">
        <f>IF(AB89="","",COUNTIFS($AB$5:$AB$304,"&gt;"&amp;AB89)+1)</f>
        <v>0</v>
      </c>
      <c r="AD89" s="8">
        <f>IF(A89="","",SUMIFS('Food Waste'!$E$5:$E$154,'Food Waste'!$C$5:$C$154,A89))</f>
        <v>0</v>
      </c>
      <c r="AE89" s="8">
        <f>IF(OR(A89="",AD89=0),"",COUNTIFS($AD$5:$AD$304,"&gt;"&amp;AD89)+1)</f>
        <v>0</v>
      </c>
      <c r="AF89" s="8">
        <f>IF(A89="","",IF(SUMPRODUCT(MAX(('Grocery Spending'!$E$5:$E$404=A89)*'Grocery Spending'!$A$5:$A$404))=0,"",SUMPRODUCT(MAX(('Grocery Spending'!$E$5:$E$404=A89)*'Grocery Spending'!$A$5:$A$404))))</f>
        <v>0</v>
      </c>
      <c r="AG89" s="8">
        <f>IF(OR(A89="",AF89=""),"",IFERROR(AVERAGEIFS('Grocery Spending'!$I$5:$I$404,'Grocery Spending'!$E$5:$E$404,A89,'Grocery Spending'!$A$5:$A$404,AF89),""))</f>
        <v>0</v>
      </c>
      <c r="AH89" s="8">
        <f>IF(A89="","",IFERROR(AVERAGEIFS('Grocery Spending'!$I$5:$I$404,'Grocery Spending'!$E$5:$E$404,A89),""))</f>
        <v>0</v>
      </c>
      <c r="AI89" s="8">
        <f>IF(A89="","",IF(SUMPRODUCT(MIN(('Grocery Spending'!$E$5:$E$404=A89)*'Grocery Spending'!$I$5:$I$404+('Grocery Spending'!$E$5:$E$404&lt;&gt;A89)*1000000))&gt;=1000000,"",SUMPRODUCT(MIN(('Grocery Spending'!$E$5:$E$404=A89)*'Grocery Spending'!$I$5:$I$404+('Grocery Spending'!$E$5:$E$404&lt;&gt;A89)*1000000))))</f>
        <v>0</v>
      </c>
      <c r="AJ89" s="8">
        <f>IF(A89="","",SUMPRODUCT(MAX(('Grocery Spending'!$E$5:$E$404=A89)*'Grocery Spending'!$I$5:$I$404)))</f>
        <v>0</v>
      </c>
      <c r="AK89" s="8">
        <f>IF(OR(A89="",AI89="",AJ89=0),"",AJ89-AI89)</f>
        <v>0</v>
      </c>
      <c r="AL89" s="8">
        <f>IF(OR(A89="",AG89="",AH89=""),"",AG89-AH89)</f>
        <v>0</v>
      </c>
      <c r="AM89" s="8">
        <f>IF(A89="","",IF(AL89="","",IF(AL89&gt;0.01,"Up",IF(AL89&lt;-0.01,"Down","Flat"))))</f>
        <v>0</v>
      </c>
      <c r="AN89" s="25"/>
    </row>
    <row r="90" spans="1:40">
      <c r="A90" s="7"/>
      <c r="B90" s="27"/>
      <c r="C90" s="27"/>
      <c r="D90" s="28"/>
      <c r="E90" s="27"/>
      <c r="F90" s="26"/>
      <c r="G90" s="8">
        <f>IF(OR(D90="",F90="",F90=0),"",D90/F90)</f>
        <v>0</v>
      </c>
      <c r="H90" s="26"/>
      <c r="I90" s="26"/>
      <c r="J90" s="26"/>
      <c r="K90" s="26"/>
      <c r="L90" s="26"/>
      <c r="M90" s="26"/>
      <c r="N90" s="27"/>
      <c r="O90" s="27"/>
      <c r="P90" s="27"/>
      <c r="Q90" s="27"/>
      <c r="R90" s="7"/>
      <c r="S90" s="8">
        <f>IF(A90="","",SUMIFS(Pantry!$C$5:$C$304,Pantry!$A$5:$A$304,A90))</f>
        <v>0</v>
      </c>
      <c r="T90" s="8">
        <f>IF(A90="","",COUNTIFS('Grocery List'!$A$5:$A$304,A90,'Grocery List'!$N$5:$N$304,"Yes"))</f>
        <v>0</v>
      </c>
      <c r="U90" s="8">
        <f>IF(A90="","",SUMIFS('Grocery List'!$M$5:$M$304,'Grocery List'!$A$5:$A$304,A90))</f>
        <v>0</v>
      </c>
      <c r="V90" s="8">
        <f>IF(A90="","",COUNTIFS('Recipe Ingredients'!$B$5:$B$1204,A90))</f>
        <v>0</v>
      </c>
      <c r="W90" s="8">
        <f>IF(A90="","",SUMIFS('Recipe Ingredients'!$C$5:$C$1204,'Recipe Ingredients'!$B$5:$B$1204,A90))</f>
        <v>0</v>
      </c>
      <c r="X90" s="8">
        <f>IF(A90="","",IF(U90&lt;=0,IF(S90&gt;0,99,0),ROUND(S90/U90,1)))</f>
        <v>0</v>
      </c>
      <c r="Y90" s="8">
        <f>IF(A90="","",U90*10+IF(O90="Yes",5,0)+IF(X90&lt;1,10,0)+IF(S90&lt;=0,3,0))</f>
        <v>0</v>
      </c>
      <c r="Z90" s="8">
        <f>IF(A90="","",COUNTIFS($Y$5:$Y$304,"&gt;"&amp;Y90)+1)</f>
        <v>0</v>
      </c>
      <c r="AA90" s="8">
        <f>IF(A90="","",IF(OR(U90&gt;0,AND(O90="Yes",X90&lt;2)),"Yes","No"))</f>
        <v>0</v>
      </c>
      <c r="AB90" s="8">
        <f>IF(OR(A90="",D90=""),"",S90*D90)</f>
        <v>0</v>
      </c>
      <c r="AC90" s="8">
        <f>IF(AB90="","",COUNTIFS($AB$5:$AB$304,"&gt;"&amp;AB90)+1)</f>
        <v>0</v>
      </c>
      <c r="AD90" s="8">
        <f>IF(A90="","",SUMIFS('Food Waste'!$E$5:$E$154,'Food Waste'!$C$5:$C$154,A90))</f>
        <v>0</v>
      </c>
      <c r="AE90" s="8">
        <f>IF(OR(A90="",AD90=0),"",COUNTIFS($AD$5:$AD$304,"&gt;"&amp;AD90)+1)</f>
        <v>0</v>
      </c>
      <c r="AF90" s="8">
        <f>IF(A90="","",IF(SUMPRODUCT(MAX(('Grocery Spending'!$E$5:$E$404=A90)*'Grocery Spending'!$A$5:$A$404))=0,"",SUMPRODUCT(MAX(('Grocery Spending'!$E$5:$E$404=A90)*'Grocery Spending'!$A$5:$A$404))))</f>
        <v>0</v>
      </c>
      <c r="AG90" s="8">
        <f>IF(OR(A90="",AF90=""),"",IFERROR(AVERAGEIFS('Grocery Spending'!$I$5:$I$404,'Grocery Spending'!$E$5:$E$404,A90,'Grocery Spending'!$A$5:$A$404,AF90),""))</f>
        <v>0</v>
      </c>
      <c r="AH90" s="8">
        <f>IF(A90="","",IFERROR(AVERAGEIFS('Grocery Spending'!$I$5:$I$404,'Grocery Spending'!$E$5:$E$404,A90),""))</f>
        <v>0</v>
      </c>
      <c r="AI90" s="8">
        <f>IF(A90="","",IF(SUMPRODUCT(MIN(('Grocery Spending'!$E$5:$E$404=A90)*'Grocery Spending'!$I$5:$I$404+('Grocery Spending'!$E$5:$E$404&lt;&gt;A90)*1000000))&gt;=1000000,"",SUMPRODUCT(MIN(('Grocery Spending'!$E$5:$E$404=A90)*'Grocery Spending'!$I$5:$I$404+('Grocery Spending'!$E$5:$E$404&lt;&gt;A90)*1000000))))</f>
        <v>0</v>
      </c>
      <c r="AJ90" s="8">
        <f>IF(A90="","",SUMPRODUCT(MAX(('Grocery Spending'!$E$5:$E$404=A90)*'Grocery Spending'!$I$5:$I$404)))</f>
        <v>0</v>
      </c>
      <c r="AK90" s="8">
        <f>IF(OR(A90="",AI90="",AJ90=0),"",AJ90-AI90)</f>
        <v>0</v>
      </c>
      <c r="AL90" s="8">
        <f>IF(OR(A90="",AG90="",AH90=""),"",AG90-AH90)</f>
        <v>0</v>
      </c>
      <c r="AM90" s="8">
        <f>IF(A90="","",IF(AL90="","",IF(AL90&gt;0.01,"Up",IF(AL90&lt;-0.01,"Down","Flat"))))</f>
        <v>0</v>
      </c>
      <c r="AN90" s="25"/>
    </row>
    <row r="91" spans="1:40">
      <c r="A91" s="7"/>
      <c r="B91" s="27"/>
      <c r="C91" s="27"/>
      <c r="D91" s="28"/>
      <c r="E91" s="27"/>
      <c r="F91" s="26"/>
      <c r="G91" s="8">
        <f>IF(OR(D91="",F91="",F91=0),"",D91/F91)</f>
        <v>0</v>
      </c>
      <c r="H91" s="26"/>
      <c r="I91" s="26"/>
      <c r="J91" s="26"/>
      <c r="K91" s="26"/>
      <c r="L91" s="26"/>
      <c r="M91" s="26"/>
      <c r="N91" s="27"/>
      <c r="O91" s="27"/>
      <c r="P91" s="27"/>
      <c r="Q91" s="27"/>
      <c r="R91" s="7"/>
      <c r="S91" s="8">
        <f>IF(A91="","",SUMIFS(Pantry!$C$5:$C$304,Pantry!$A$5:$A$304,A91))</f>
        <v>0</v>
      </c>
      <c r="T91" s="8">
        <f>IF(A91="","",COUNTIFS('Grocery List'!$A$5:$A$304,A91,'Grocery List'!$N$5:$N$304,"Yes"))</f>
        <v>0</v>
      </c>
      <c r="U91" s="8">
        <f>IF(A91="","",SUMIFS('Grocery List'!$M$5:$M$304,'Grocery List'!$A$5:$A$304,A91))</f>
        <v>0</v>
      </c>
      <c r="V91" s="8">
        <f>IF(A91="","",COUNTIFS('Recipe Ingredients'!$B$5:$B$1204,A91))</f>
        <v>0</v>
      </c>
      <c r="W91" s="8">
        <f>IF(A91="","",SUMIFS('Recipe Ingredients'!$C$5:$C$1204,'Recipe Ingredients'!$B$5:$B$1204,A91))</f>
        <v>0</v>
      </c>
      <c r="X91" s="8">
        <f>IF(A91="","",IF(U91&lt;=0,IF(S91&gt;0,99,0),ROUND(S91/U91,1)))</f>
        <v>0</v>
      </c>
      <c r="Y91" s="8">
        <f>IF(A91="","",U91*10+IF(O91="Yes",5,0)+IF(X91&lt;1,10,0)+IF(S91&lt;=0,3,0))</f>
        <v>0</v>
      </c>
      <c r="Z91" s="8">
        <f>IF(A91="","",COUNTIFS($Y$5:$Y$304,"&gt;"&amp;Y91)+1)</f>
        <v>0</v>
      </c>
      <c r="AA91" s="8">
        <f>IF(A91="","",IF(OR(U91&gt;0,AND(O91="Yes",X91&lt;2)),"Yes","No"))</f>
        <v>0</v>
      </c>
      <c r="AB91" s="8">
        <f>IF(OR(A91="",D91=""),"",S91*D91)</f>
        <v>0</v>
      </c>
      <c r="AC91" s="8">
        <f>IF(AB91="","",COUNTIFS($AB$5:$AB$304,"&gt;"&amp;AB91)+1)</f>
        <v>0</v>
      </c>
      <c r="AD91" s="8">
        <f>IF(A91="","",SUMIFS('Food Waste'!$E$5:$E$154,'Food Waste'!$C$5:$C$154,A91))</f>
        <v>0</v>
      </c>
      <c r="AE91" s="8">
        <f>IF(OR(A91="",AD91=0),"",COUNTIFS($AD$5:$AD$304,"&gt;"&amp;AD91)+1)</f>
        <v>0</v>
      </c>
      <c r="AF91" s="8">
        <f>IF(A91="","",IF(SUMPRODUCT(MAX(('Grocery Spending'!$E$5:$E$404=A91)*'Grocery Spending'!$A$5:$A$404))=0,"",SUMPRODUCT(MAX(('Grocery Spending'!$E$5:$E$404=A91)*'Grocery Spending'!$A$5:$A$404))))</f>
        <v>0</v>
      </c>
      <c r="AG91" s="8">
        <f>IF(OR(A91="",AF91=""),"",IFERROR(AVERAGEIFS('Grocery Spending'!$I$5:$I$404,'Grocery Spending'!$E$5:$E$404,A91,'Grocery Spending'!$A$5:$A$404,AF91),""))</f>
        <v>0</v>
      </c>
      <c r="AH91" s="8">
        <f>IF(A91="","",IFERROR(AVERAGEIFS('Grocery Spending'!$I$5:$I$404,'Grocery Spending'!$E$5:$E$404,A91),""))</f>
        <v>0</v>
      </c>
      <c r="AI91" s="8">
        <f>IF(A91="","",IF(SUMPRODUCT(MIN(('Grocery Spending'!$E$5:$E$404=A91)*'Grocery Spending'!$I$5:$I$404+('Grocery Spending'!$E$5:$E$404&lt;&gt;A91)*1000000))&gt;=1000000,"",SUMPRODUCT(MIN(('Grocery Spending'!$E$5:$E$404=A91)*'Grocery Spending'!$I$5:$I$404+('Grocery Spending'!$E$5:$E$404&lt;&gt;A91)*1000000))))</f>
        <v>0</v>
      </c>
      <c r="AJ91" s="8">
        <f>IF(A91="","",SUMPRODUCT(MAX(('Grocery Spending'!$E$5:$E$404=A91)*'Grocery Spending'!$I$5:$I$404)))</f>
        <v>0</v>
      </c>
      <c r="AK91" s="8">
        <f>IF(OR(A91="",AI91="",AJ91=0),"",AJ91-AI91)</f>
        <v>0</v>
      </c>
      <c r="AL91" s="8">
        <f>IF(OR(A91="",AG91="",AH91=""),"",AG91-AH91)</f>
        <v>0</v>
      </c>
      <c r="AM91" s="8">
        <f>IF(A91="","",IF(AL91="","",IF(AL91&gt;0.01,"Up",IF(AL91&lt;-0.01,"Down","Flat"))))</f>
        <v>0</v>
      </c>
      <c r="AN91" s="25"/>
    </row>
    <row r="92" spans="1:40">
      <c r="A92" s="7"/>
      <c r="B92" s="27"/>
      <c r="C92" s="27"/>
      <c r="D92" s="28"/>
      <c r="E92" s="27"/>
      <c r="F92" s="26"/>
      <c r="G92" s="8">
        <f>IF(OR(D92="",F92="",F92=0),"",D92/F92)</f>
        <v>0</v>
      </c>
      <c r="H92" s="26"/>
      <c r="I92" s="26"/>
      <c r="J92" s="26"/>
      <c r="K92" s="26"/>
      <c r="L92" s="26"/>
      <c r="M92" s="26"/>
      <c r="N92" s="27"/>
      <c r="O92" s="27"/>
      <c r="P92" s="27"/>
      <c r="Q92" s="27"/>
      <c r="R92" s="7"/>
      <c r="S92" s="8">
        <f>IF(A92="","",SUMIFS(Pantry!$C$5:$C$304,Pantry!$A$5:$A$304,A92))</f>
        <v>0</v>
      </c>
      <c r="T92" s="8">
        <f>IF(A92="","",COUNTIFS('Grocery List'!$A$5:$A$304,A92,'Grocery List'!$N$5:$N$304,"Yes"))</f>
        <v>0</v>
      </c>
      <c r="U92" s="8">
        <f>IF(A92="","",SUMIFS('Grocery List'!$M$5:$M$304,'Grocery List'!$A$5:$A$304,A92))</f>
        <v>0</v>
      </c>
      <c r="V92" s="8">
        <f>IF(A92="","",COUNTIFS('Recipe Ingredients'!$B$5:$B$1204,A92))</f>
        <v>0</v>
      </c>
      <c r="W92" s="8">
        <f>IF(A92="","",SUMIFS('Recipe Ingredients'!$C$5:$C$1204,'Recipe Ingredients'!$B$5:$B$1204,A92))</f>
        <v>0</v>
      </c>
      <c r="X92" s="8">
        <f>IF(A92="","",IF(U92&lt;=0,IF(S92&gt;0,99,0),ROUND(S92/U92,1)))</f>
        <v>0</v>
      </c>
      <c r="Y92" s="8">
        <f>IF(A92="","",U92*10+IF(O92="Yes",5,0)+IF(X92&lt;1,10,0)+IF(S92&lt;=0,3,0))</f>
        <v>0</v>
      </c>
      <c r="Z92" s="8">
        <f>IF(A92="","",COUNTIFS($Y$5:$Y$304,"&gt;"&amp;Y92)+1)</f>
        <v>0</v>
      </c>
      <c r="AA92" s="8">
        <f>IF(A92="","",IF(OR(U92&gt;0,AND(O92="Yes",X92&lt;2)),"Yes","No"))</f>
        <v>0</v>
      </c>
      <c r="AB92" s="8">
        <f>IF(OR(A92="",D92=""),"",S92*D92)</f>
        <v>0</v>
      </c>
      <c r="AC92" s="8">
        <f>IF(AB92="","",COUNTIFS($AB$5:$AB$304,"&gt;"&amp;AB92)+1)</f>
        <v>0</v>
      </c>
      <c r="AD92" s="8">
        <f>IF(A92="","",SUMIFS('Food Waste'!$E$5:$E$154,'Food Waste'!$C$5:$C$154,A92))</f>
        <v>0</v>
      </c>
      <c r="AE92" s="8">
        <f>IF(OR(A92="",AD92=0),"",COUNTIFS($AD$5:$AD$304,"&gt;"&amp;AD92)+1)</f>
        <v>0</v>
      </c>
      <c r="AF92" s="8">
        <f>IF(A92="","",IF(SUMPRODUCT(MAX(('Grocery Spending'!$E$5:$E$404=A92)*'Grocery Spending'!$A$5:$A$404))=0,"",SUMPRODUCT(MAX(('Grocery Spending'!$E$5:$E$404=A92)*'Grocery Spending'!$A$5:$A$404))))</f>
        <v>0</v>
      </c>
      <c r="AG92" s="8">
        <f>IF(OR(A92="",AF92=""),"",IFERROR(AVERAGEIFS('Grocery Spending'!$I$5:$I$404,'Grocery Spending'!$E$5:$E$404,A92,'Grocery Spending'!$A$5:$A$404,AF92),""))</f>
        <v>0</v>
      </c>
      <c r="AH92" s="8">
        <f>IF(A92="","",IFERROR(AVERAGEIFS('Grocery Spending'!$I$5:$I$404,'Grocery Spending'!$E$5:$E$404,A92),""))</f>
        <v>0</v>
      </c>
      <c r="AI92" s="8">
        <f>IF(A92="","",IF(SUMPRODUCT(MIN(('Grocery Spending'!$E$5:$E$404=A92)*'Grocery Spending'!$I$5:$I$404+('Grocery Spending'!$E$5:$E$404&lt;&gt;A92)*1000000))&gt;=1000000,"",SUMPRODUCT(MIN(('Grocery Spending'!$E$5:$E$404=A92)*'Grocery Spending'!$I$5:$I$404+('Grocery Spending'!$E$5:$E$404&lt;&gt;A92)*1000000))))</f>
        <v>0</v>
      </c>
      <c r="AJ92" s="8">
        <f>IF(A92="","",SUMPRODUCT(MAX(('Grocery Spending'!$E$5:$E$404=A92)*'Grocery Spending'!$I$5:$I$404)))</f>
        <v>0</v>
      </c>
      <c r="AK92" s="8">
        <f>IF(OR(A92="",AI92="",AJ92=0),"",AJ92-AI92)</f>
        <v>0</v>
      </c>
      <c r="AL92" s="8">
        <f>IF(OR(A92="",AG92="",AH92=""),"",AG92-AH92)</f>
        <v>0</v>
      </c>
      <c r="AM92" s="8">
        <f>IF(A92="","",IF(AL92="","",IF(AL92&gt;0.01,"Up",IF(AL92&lt;-0.01,"Down","Flat"))))</f>
        <v>0</v>
      </c>
      <c r="AN92" s="25"/>
    </row>
    <row r="93" spans="1:40">
      <c r="A93" s="7"/>
      <c r="B93" s="27"/>
      <c r="C93" s="27"/>
      <c r="D93" s="28"/>
      <c r="E93" s="27"/>
      <c r="F93" s="26"/>
      <c r="G93" s="8">
        <f>IF(OR(D93="",F93="",F93=0),"",D93/F93)</f>
        <v>0</v>
      </c>
      <c r="H93" s="26"/>
      <c r="I93" s="26"/>
      <c r="J93" s="26"/>
      <c r="K93" s="26"/>
      <c r="L93" s="26"/>
      <c r="M93" s="26"/>
      <c r="N93" s="27"/>
      <c r="O93" s="27"/>
      <c r="P93" s="27"/>
      <c r="Q93" s="27"/>
      <c r="R93" s="7"/>
      <c r="S93" s="8">
        <f>IF(A93="","",SUMIFS(Pantry!$C$5:$C$304,Pantry!$A$5:$A$304,A93))</f>
        <v>0</v>
      </c>
      <c r="T93" s="8">
        <f>IF(A93="","",COUNTIFS('Grocery List'!$A$5:$A$304,A93,'Grocery List'!$N$5:$N$304,"Yes"))</f>
        <v>0</v>
      </c>
      <c r="U93" s="8">
        <f>IF(A93="","",SUMIFS('Grocery List'!$M$5:$M$304,'Grocery List'!$A$5:$A$304,A93))</f>
        <v>0</v>
      </c>
      <c r="V93" s="8">
        <f>IF(A93="","",COUNTIFS('Recipe Ingredients'!$B$5:$B$1204,A93))</f>
        <v>0</v>
      </c>
      <c r="W93" s="8">
        <f>IF(A93="","",SUMIFS('Recipe Ingredients'!$C$5:$C$1204,'Recipe Ingredients'!$B$5:$B$1204,A93))</f>
        <v>0</v>
      </c>
      <c r="X93" s="8">
        <f>IF(A93="","",IF(U93&lt;=0,IF(S93&gt;0,99,0),ROUND(S93/U93,1)))</f>
        <v>0</v>
      </c>
      <c r="Y93" s="8">
        <f>IF(A93="","",U93*10+IF(O93="Yes",5,0)+IF(X93&lt;1,10,0)+IF(S93&lt;=0,3,0))</f>
        <v>0</v>
      </c>
      <c r="Z93" s="8">
        <f>IF(A93="","",COUNTIFS($Y$5:$Y$304,"&gt;"&amp;Y93)+1)</f>
        <v>0</v>
      </c>
      <c r="AA93" s="8">
        <f>IF(A93="","",IF(OR(U93&gt;0,AND(O93="Yes",X93&lt;2)),"Yes","No"))</f>
        <v>0</v>
      </c>
      <c r="AB93" s="8">
        <f>IF(OR(A93="",D93=""),"",S93*D93)</f>
        <v>0</v>
      </c>
      <c r="AC93" s="8">
        <f>IF(AB93="","",COUNTIFS($AB$5:$AB$304,"&gt;"&amp;AB93)+1)</f>
        <v>0</v>
      </c>
      <c r="AD93" s="8">
        <f>IF(A93="","",SUMIFS('Food Waste'!$E$5:$E$154,'Food Waste'!$C$5:$C$154,A93))</f>
        <v>0</v>
      </c>
      <c r="AE93" s="8">
        <f>IF(OR(A93="",AD93=0),"",COUNTIFS($AD$5:$AD$304,"&gt;"&amp;AD93)+1)</f>
        <v>0</v>
      </c>
      <c r="AF93" s="8">
        <f>IF(A93="","",IF(SUMPRODUCT(MAX(('Grocery Spending'!$E$5:$E$404=A93)*'Grocery Spending'!$A$5:$A$404))=0,"",SUMPRODUCT(MAX(('Grocery Spending'!$E$5:$E$404=A93)*'Grocery Spending'!$A$5:$A$404))))</f>
        <v>0</v>
      </c>
      <c r="AG93" s="8">
        <f>IF(OR(A93="",AF93=""),"",IFERROR(AVERAGEIFS('Grocery Spending'!$I$5:$I$404,'Grocery Spending'!$E$5:$E$404,A93,'Grocery Spending'!$A$5:$A$404,AF93),""))</f>
        <v>0</v>
      </c>
      <c r="AH93" s="8">
        <f>IF(A93="","",IFERROR(AVERAGEIFS('Grocery Spending'!$I$5:$I$404,'Grocery Spending'!$E$5:$E$404,A93),""))</f>
        <v>0</v>
      </c>
      <c r="AI93" s="8">
        <f>IF(A93="","",IF(SUMPRODUCT(MIN(('Grocery Spending'!$E$5:$E$404=A93)*'Grocery Spending'!$I$5:$I$404+('Grocery Spending'!$E$5:$E$404&lt;&gt;A93)*1000000))&gt;=1000000,"",SUMPRODUCT(MIN(('Grocery Spending'!$E$5:$E$404=A93)*'Grocery Spending'!$I$5:$I$404+('Grocery Spending'!$E$5:$E$404&lt;&gt;A93)*1000000))))</f>
        <v>0</v>
      </c>
      <c r="AJ93" s="8">
        <f>IF(A93="","",SUMPRODUCT(MAX(('Grocery Spending'!$E$5:$E$404=A93)*'Grocery Spending'!$I$5:$I$404)))</f>
        <v>0</v>
      </c>
      <c r="AK93" s="8">
        <f>IF(OR(A93="",AI93="",AJ93=0),"",AJ93-AI93)</f>
        <v>0</v>
      </c>
      <c r="AL93" s="8">
        <f>IF(OR(A93="",AG93="",AH93=""),"",AG93-AH93)</f>
        <v>0</v>
      </c>
      <c r="AM93" s="8">
        <f>IF(A93="","",IF(AL93="","",IF(AL93&gt;0.01,"Up",IF(AL93&lt;-0.01,"Down","Flat"))))</f>
        <v>0</v>
      </c>
      <c r="AN93" s="25"/>
    </row>
    <row r="94" spans="1:40">
      <c r="A94" s="7"/>
      <c r="B94" s="27"/>
      <c r="C94" s="27"/>
      <c r="D94" s="28"/>
      <c r="E94" s="27"/>
      <c r="F94" s="26"/>
      <c r="G94" s="8">
        <f>IF(OR(D94="",F94="",F94=0),"",D94/F94)</f>
        <v>0</v>
      </c>
      <c r="H94" s="26"/>
      <c r="I94" s="26"/>
      <c r="J94" s="26"/>
      <c r="K94" s="26"/>
      <c r="L94" s="26"/>
      <c r="M94" s="26"/>
      <c r="N94" s="27"/>
      <c r="O94" s="27"/>
      <c r="P94" s="27"/>
      <c r="Q94" s="27"/>
      <c r="R94" s="7"/>
      <c r="S94" s="8">
        <f>IF(A94="","",SUMIFS(Pantry!$C$5:$C$304,Pantry!$A$5:$A$304,A94))</f>
        <v>0</v>
      </c>
      <c r="T94" s="8">
        <f>IF(A94="","",COUNTIFS('Grocery List'!$A$5:$A$304,A94,'Grocery List'!$N$5:$N$304,"Yes"))</f>
        <v>0</v>
      </c>
      <c r="U94" s="8">
        <f>IF(A94="","",SUMIFS('Grocery List'!$M$5:$M$304,'Grocery List'!$A$5:$A$304,A94))</f>
        <v>0</v>
      </c>
      <c r="V94" s="8">
        <f>IF(A94="","",COUNTIFS('Recipe Ingredients'!$B$5:$B$1204,A94))</f>
        <v>0</v>
      </c>
      <c r="W94" s="8">
        <f>IF(A94="","",SUMIFS('Recipe Ingredients'!$C$5:$C$1204,'Recipe Ingredients'!$B$5:$B$1204,A94))</f>
        <v>0</v>
      </c>
      <c r="X94" s="8">
        <f>IF(A94="","",IF(U94&lt;=0,IF(S94&gt;0,99,0),ROUND(S94/U94,1)))</f>
        <v>0</v>
      </c>
      <c r="Y94" s="8">
        <f>IF(A94="","",U94*10+IF(O94="Yes",5,0)+IF(X94&lt;1,10,0)+IF(S94&lt;=0,3,0))</f>
        <v>0</v>
      </c>
      <c r="Z94" s="8">
        <f>IF(A94="","",COUNTIFS($Y$5:$Y$304,"&gt;"&amp;Y94)+1)</f>
        <v>0</v>
      </c>
      <c r="AA94" s="8">
        <f>IF(A94="","",IF(OR(U94&gt;0,AND(O94="Yes",X94&lt;2)),"Yes","No"))</f>
        <v>0</v>
      </c>
      <c r="AB94" s="8">
        <f>IF(OR(A94="",D94=""),"",S94*D94)</f>
        <v>0</v>
      </c>
      <c r="AC94" s="8">
        <f>IF(AB94="","",COUNTIFS($AB$5:$AB$304,"&gt;"&amp;AB94)+1)</f>
        <v>0</v>
      </c>
      <c r="AD94" s="8">
        <f>IF(A94="","",SUMIFS('Food Waste'!$E$5:$E$154,'Food Waste'!$C$5:$C$154,A94))</f>
        <v>0</v>
      </c>
      <c r="AE94" s="8">
        <f>IF(OR(A94="",AD94=0),"",COUNTIFS($AD$5:$AD$304,"&gt;"&amp;AD94)+1)</f>
        <v>0</v>
      </c>
      <c r="AF94" s="8">
        <f>IF(A94="","",IF(SUMPRODUCT(MAX(('Grocery Spending'!$E$5:$E$404=A94)*'Grocery Spending'!$A$5:$A$404))=0,"",SUMPRODUCT(MAX(('Grocery Spending'!$E$5:$E$404=A94)*'Grocery Spending'!$A$5:$A$404))))</f>
        <v>0</v>
      </c>
      <c r="AG94" s="8">
        <f>IF(OR(A94="",AF94=""),"",IFERROR(AVERAGEIFS('Grocery Spending'!$I$5:$I$404,'Grocery Spending'!$E$5:$E$404,A94,'Grocery Spending'!$A$5:$A$404,AF94),""))</f>
        <v>0</v>
      </c>
      <c r="AH94" s="8">
        <f>IF(A94="","",IFERROR(AVERAGEIFS('Grocery Spending'!$I$5:$I$404,'Grocery Spending'!$E$5:$E$404,A94),""))</f>
        <v>0</v>
      </c>
      <c r="AI94" s="8">
        <f>IF(A94="","",IF(SUMPRODUCT(MIN(('Grocery Spending'!$E$5:$E$404=A94)*'Grocery Spending'!$I$5:$I$404+('Grocery Spending'!$E$5:$E$404&lt;&gt;A94)*1000000))&gt;=1000000,"",SUMPRODUCT(MIN(('Grocery Spending'!$E$5:$E$404=A94)*'Grocery Spending'!$I$5:$I$404+('Grocery Spending'!$E$5:$E$404&lt;&gt;A94)*1000000))))</f>
        <v>0</v>
      </c>
      <c r="AJ94" s="8">
        <f>IF(A94="","",SUMPRODUCT(MAX(('Grocery Spending'!$E$5:$E$404=A94)*'Grocery Spending'!$I$5:$I$404)))</f>
        <v>0</v>
      </c>
      <c r="AK94" s="8">
        <f>IF(OR(A94="",AI94="",AJ94=0),"",AJ94-AI94)</f>
        <v>0</v>
      </c>
      <c r="AL94" s="8">
        <f>IF(OR(A94="",AG94="",AH94=""),"",AG94-AH94)</f>
        <v>0</v>
      </c>
      <c r="AM94" s="8">
        <f>IF(A94="","",IF(AL94="","",IF(AL94&gt;0.01,"Up",IF(AL94&lt;-0.01,"Down","Flat"))))</f>
        <v>0</v>
      </c>
      <c r="AN94" s="25"/>
    </row>
    <row r="95" spans="1:40">
      <c r="A95" s="7"/>
      <c r="B95" s="27"/>
      <c r="C95" s="27"/>
      <c r="D95" s="28"/>
      <c r="E95" s="27"/>
      <c r="F95" s="26"/>
      <c r="G95" s="8">
        <f>IF(OR(D95="",F95="",F95=0),"",D95/F95)</f>
        <v>0</v>
      </c>
      <c r="H95" s="26"/>
      <c r="I95" s="26"/>
      <c r="J95" s="26"/>
      <c r="K95" s="26"/>
      <c r="L95" s="26"/>
      <c r="M95" s="26"/>
      <c r="N95" s="27"/>
      <c r="O95" s="27"/>
      <c r="P95" s="27"/>
      <c r="Q95" s="27"/>
      <c r="R95" s="7"/>
      <c r="S95" s="8">
        <f>IF(A95="","",SUMIFS(Pantry!$C$5:$C$304,Pantry!$A$5:$A$304,A95))</f>
        <v>0</v>
      </c>
      <c r="T95" s="8">
        <f>IF(A95="","",COUNTIFS('Grocery List'!$A$5:$A$304,A95,'Grocery List'!$N$5:$N$304,"Yes"))</f>
        <v>0</v>
      </c>
      <c r="U95" s="8">
        <f>IF(A95="","",SUMIFS('Grocery List'!$M$5:$M$304,'Grocery List'!$A$5:$A$304,A95))</f>
        <v>0</v>
      </c>
      <c r="V95" s="8">
        <f>IF(A95="","",COUNTIFS('Recipe Ingredients'!$B$5:$B$1204,A95))</f>
        <v>0</v>
      </c>
      <c r="W95" s="8">
        <f>IF(A95="","",SUMIFS('Recipe Ingredients'!$C$5:$C$1204,'Recipe Ingredients'!$B$5:$B$1204,A95))</f>
        <v>0</v>
      </c>
      <c r="X95" s="8">
        <f>IF(A95="","",IF(U95&lt;=0,IF(S95&gt;0,99,0),ROUND(S95/U95,1)))</f>
        <v>0</v>
      </c>
      <c r="Y95" s="8">
        <f>IF(A95="","",U95*10+IF(O95="Yes",5,0)+IF(X95&lt;1,10,0)+IF(S95&lt;=0,3,0))</f>
        <v>0</v>
      </c>
      <c r="Z95" s="8">
        <f>IF(A95="","",COUNTIFS($Y$5:$Y$304,"&gt;"&amp;Y95)+1)</f>
        <v>0</v>
      </c>
      <c r="AA95" s="8">
        <f>IF(A95="","",IF(OR(U95&gt;0,AND(O95="Yes",X95&lt;2)),"Yes","No"))</f>
        <v>0</v>
      </c>
      <c r="AB95" s="8">
        <f>IF(OR(A95="",D95=""),"",S95*D95)</f>
        <v>0</v>
      </c>
      <c r="AC95" s="8">
        <f>IF(AB95="","",COUNTIFS($AB$5:$AB$304,"&gt;"&amp;AB95)+1)</f>
        <v>0</v>
      </c>
      <c r="AD95" s="8">
        <f>IF(A95="","",SUMIFS('Food Waste'!$E$5:$E$154,'Food Waste'!$C$5:$C$154,A95))</f>
        <v>0</v>
      </c>
      <c r="AE95" s="8">
        <f>IF(OR(A95="",AD95=0),"",COUNTIFS($AD$5:$AD$304,"&gt;"&amp;AD95)+1)</f>
        <v>0</v>
      </c>
      <c r="AF95" s="8">
        <f>IF(A95="","",IF(SUMPRODUCT(MAX(('Grocery Spending'!$E$5:$E$404=A95)*'Grocery Spending'!$A$5:$A$404))=0,"",SUMPRODUCT(MAX(('Grocery Spending'!$E$5:$E$404=A95)*'Grocery Spending'!$A$5:$A$404))))</f>
        <v>0</v>
      </c>
      <c r="AG95" s="8">
        <f>IF(OR(A95="",AF95=""),"",IFERROR(AVERAGEIFS('Grocery Spending'!$I$5:$I$404,'Grocery Spending'!$E$5:$E$404,A95,'Grocery Spending'!$A$5:$A$404,AF95),""))</f>
        <v>0</v>
      </c>
      <c r="AH95" s="8">
        <f>IF(A95="","",IFERROR(AVERAGEIFS('Grocery Spending'!$I$5:$I$404,'Grocery Spending'!$E$5:$E$404,A95),""))</f>
        <v>0</v>
      </c>
      <c r="AI95" s="8">
        <f>IF(A95="","",IF(SUMPRODUCT(MIN(('Grocery Spending'!$E$5:$E$404=A95)*'Grocery Spending'!$I$5:$I$404+('Grocery Spending'!$E$5:$E$404&lt;&gt;A95)*1000000))&gt;=1000000,"",SUMPRODUCT(MIN(('Grocery Spending'!$E$5:$E$404=A95)*'Grocery Spending'!$I$5:$I$404+('Grocery Spending'!$E$5:$E$404&lt;&gt;A95)*1000000))))</f>
        <v>0</v>
      </c>
      <c r="AJ95" s="8">
        <f>IF(A95="","",SUMPRODUCT(MAX(('Grocery Spending'!$E$5:$E$404=A95)*'Grocery Spending'!$I$5:$I$404)))</f>
        <v>0</v>
      </c>
      <c r="AK95" s="8">
        <f>IF(OR(A95="",AI95="",AJ95=0),"",AJ95-AI95)</f>
        <v>0</v>
      </c>
      <c r="AL95" s="8">
        <f>IF(OR(A95="",AG95="",AH95=""),"",AG95-AH95)</f>
        <v>0</v>
      </c>
      <c r="AM95" s="8">
        <f>IF(A95="","",IF(AL95="","",IF(AL95&gt;0.01,"Up",IF(AL95&lt;-0.01,"Down","Flat"))))</f>
        <v>0</v>
      </c>
      <c r="AN95" s="25"/>
    </row>
    <row r="96" spans="1:40">
      <c r="A96" s="7"/>
      <c r="B96" s="27"/>
      <c r="C96" s="27"/>
      <c r="D96" s="28"/>
      <c r="E96" s="27"/>
      <c r="F96" s="26"/>
      <c r="G96" s="8">
        <f>IF(OR(D96="",F96="",F96=0),"",D96/F96)</f>
        <v>0</v>
      </c>
      <c r="H96" s="26"/>
      <c r="I96" s="26"/>
      <c r="J96" s="26"/>
      <c r="K96" s="26"/>
      <c r="L96" s="26"/>
      <c r="M96" s="26"/>
      <c r="N96" s="27"/>
      <c r="O96" s="27"/>
      <c r="P96" s="27"/>
      <c r="Q96" s="27"/>
      <c r="R96" s="7"/>
      <c r="S96" s="8">
        <f>IF(A96="","",SUMIFS(Pantry!$C$5:$C$304,Pantry!$A$5:$A$304,A96))</f>
        <v>0</v>
      </c>
      <c r="T96" s="8">
        <f>IF(A96="","",COUNTIFS('Grocery List'!$A$5:$A$304,A96,'Grocery List'!$N$5:$N$304,"Yes"))</f>
        <v>0</v>
      </c>
      <c r="U96" s="8">
        <f>IF(A96="","",SUMIFS('Grocery List'!$M$5:$M$304,'Grocery List'!$A$5:$A$304,A96))</f>
        <v>0</v>
      </c>
      <c r="V96" s="8">
        <f>IF(A96="","",COUNTIFS('Recipe Ingredients'!$B$5:$B$1204,A96))</f>
        <v>0</v>
      </c>
      <c r="W96" s="8">
        <f>IF(A96="","",SUMIFS('Recipe Ingredients'!$C$5:$C$1204,'Recipe Ingredients'!$B$5:$B$1204,A96))</f>
        <v>0</v>
      </c>
      <c r="X96" s="8">
        <f>IF(A96="","",IF(U96&lt;=0,IF(S96&gt;0,99,0),ROUND(S96/U96,1)))</f>
        <v>0</v>
      </c>
      <c r="Y96" s="8">
        <f>IF(A96="","",U96*10+IF(O96="Yes",5,0)+IF(X96&lt;1,10,0)+IF(S96&lt;=0,3,0))</f>
        <v>0</v>
      </c>
      <c r="Z96" s="8">
        <f>IF(A96="","",COUNTIFS($Y$5:$Y$304,"&gt;"&amp;Y96)+1)</f>
        <v>0</v>
      </c>
      <c r="AA96" s="8">
        <f>IF(A96="","",IF(OR(U96&gt;0,AND(O96="Yes",X96&lt;2)),"Yes","No"))</f>
        <v>0</v>
      </c>
      <c r="AB96" s="8">
        <f>IF(OR(A96="",D96=""),"",S96*D96)</f>
        <v>0</v>
      </c>
      <c r="AC96" s="8">
        <f>IF(AB96="","",COUNTIFS($AB$5:$AB$304,"&gt;"&amp;AB96)+1)</f>
        <v>0</v>
      </c>
      <c r="AD96" s="8">
        <f>IF(A96="","",SUMIFS('Food Waste'!$E$5:$E$154,'Food Waste'!$C$5:$C$154,A96))</f>
        <v>0</v>
      </c>
      <c r="AE96" s="8">
        <f>IF(OR(A96="",AD96=0),"",COUNTIFS($AD$5:$AD$304,"&gt;"&amp;AD96)+1)</f>
        <v>0</v>
      </c>
      <c r="AF96" s="8">
        <f>IF(A96="","",IF(SUMPRODUCT(MAX(('Grocery Spending'!$E$5:$E$404=A96)*'Grocery Spending'!$A$5:$A$404))=0,"",SUMPRODUCT(MAX(('Grocery Spending'!$E$5:$E$404=A96)*'Grocery Spending'!$A$5:$A$404))))</f>
        <v>0</v>
      </c>
      <c r="AG96" s="8">
        <f>IF(OR(A96="",AF96=""),"",IFERROR(AVERAGEIFS('Grocery Spending'!$I$5:$I$404,'Grocery Spending'!$E$5:$E$404,A96,'Grocery Spending'!$A$5:$A$404,AF96),""))</f>
        <v>0</v>
      </c>
      <c r="AH96" s="8">
        <f>IF(A96="","",IFERROR(AVERAGEIFS('Grocery Spending'!$I$5:$I$404,'Grocery Spending'!$E$5:$E$404,A96),""))</f>
        <v>0</v>
      </c>
      <c r="AI96" s="8">
        <f>IF(A96="","",IF(SUMPRODUCT(MIN(('Grocery Spending'!$E$5:$E$404=A96)*'Grocery Spending'!$I$5:$I$404+('Grocery Spending'!$E$5:$E$404&lt;&gt;A96)*1000000))&gt;=1000000,"",SUMPRODUCT(MIN(('Grocery Spending'!$E$5:$E$404=A96)*'Grocery Spending'!$I$5:$I$404+('Grocery Spending'!$E$5:$E$404&lt;&gt;A96)*1000000))))</f>
        <v>0</v>
      </c>
      <c r="AJ96" s="8">
        <f>IF(A96="","",SUMPRODUCT(MAX(('Grocery Spending'!$E$5:$E$404=A96)*'Grocery Spending'!$I$5:$I$404)))</f>
        <v>0</v>
      </c>
      <c r="AK96" s="8">
        <f>IF(OR(A96="",AI96="",AJ96=0),"",AJ96-AI96)</f>
        <v>0</v>
      </c>
      <c r="AL96" s="8">
        <f>IF(OR(A96="",AG96="",AH96=""),"",AG96-AH96)</f>
        <v>0</v>
      </c>
      <c r="AM96" s="8">
        <f>IF(A96="","",IF(AL96="","",IF(AL96&gt;0.01,"Up",IF(AL96&lt;-0.01,"Down","Flat"))))</f>
        <v>0</v>
      </c>
      <c r="AN96" s="25"/>
    </row>
    <row r="97" spans="1:40">
      <c r="A97" s="7"/>
      <c r="B97" s="27"/>
      <c r="C97" s="27"/>
      <c r="D97" s="28"/>
      <c r="E97" s="27"/>
      <c r="F97" s="26"/>
      <c r="G97" s="8">
        <f>IF(OR(D97="",F97="",F97=0),"",D97/F97)</f>
        <v>0</v>
      </c>
      <c r="H97" s="26"/>
      <c r="I97" s="26"/>
      <c r="J97" s="26"/>
      <c r="K97" s="26"/>
      <c r="L97" s="26"/>
      <c r="M97" s="26"/>
      <c r="N97" s="27"/>
      <c r="O97" s="27"/>
      <c r="P97" s="27"/>
      <c r="Q97" s="27"/>
      <c r="R97" s="7"/>
      <c r="S97" s="8">
        <f>IF(A97="","",SUMIFS(Pantry!$C$5:$C$304,Pantry!$A$5:$A$304,A97))</f>
        <v>0</v>
      </c>
      <c r="T97" s="8">
        <f>IF(A97="","",COUNTIFS('Grocery List'!$A$5:$A$304,A97,'Grocery List'!$N$5:$N$304,"Yes"))</f>
        <v>0</v>
      </c>
      <c r="U97" s="8">
        <f>IF(A97="","",SUMIFS('Grocery List'!$M$5:$M$304,'Grocery List'!$A$5:$A$304,A97))</f>
        <v>0</v>
      </c>
      <c r="V97" s="8">
        <f>IF(A97="","",COUNTIFS('Recipe Ingredients'!$B$5:$B$1204,A97))</f>
        <v>0</v>
      </c>
      <c r="W97" s="8">
        <f>IF(A97="","",SUMIFS('Recipe Ingredients'!$C$5:$C$1204,'Recipe Ingredients'!$B$5:$B$1204,A97))</f>
        <v>0</v>
      </c>
      <c r="X97" s="8">
        <f>IF(A97="","",IF(U97&lt;=0,IF(S97&gt;0,99,0),ROUND(S97/U97,1)))</f>
        <v>0</v>
      </c>
      <c r="Y97" s="8">
        <f>IF(A97="","",U97*10+IF(O97="Yes",5,0)+IF(X97&lt;1,10,0)+IF(S97&lt;=0,3,0))</f>
        <v>0</v>
      </c>
      <c r="Z97" s="8">
        <f>IF(A97="","",COUNTIFS($Y$5:$Y$304,"&gt;"&amp;Y97)+1)</f>
        <v>0</v>
      </c>
      <c r="AA97" s="8">
        <f>IF(A97="","",IF(OR(U97&gt;0,AND(O97="Yes",X97&lt;2)),"Yes","No"))</f>
        <v>0</v>
      </c>
      <c r="AB97" s="8">
        <f>IF(OR(A97="",D97=""),"",S97*D97)</f>
        <v>0</v>
      </c>
      <c r="AC97" s="8">
        <f>IF(AB97="","",COUNTIFS($AB$5:$AB$304,"&gt;"&amp;AB97)+1)</f>
        <v>0</v>
      </c>
      <c r="AD97" s="8">
        <f>IF(A97="","",SUMIFS('Food Waste'!$E$5:$E$154,'Food Waste'!$C$5:$C$154,A97))</f>
        <v>0</v>
      </c>
      <c r="AE97" s="8">
        <f>IF(OR(A97="",AD97=0),"",COUNTIFS($AD$5:$AD$304,"&gt;"&amp;AD97)+1)</f>
        <v>0</v>
      </c>
      <c r="AF97" s="8">
        <f>IF(A97="","",IF(SUMPRODUCT(MAX(('Grocery Spending'!$E$5:$E$404=A97)*'Grocery Spending'!$A$5:$A$404))=0,"",SUMPRODUCT(MAX(('Grocery Spending'!$E$5:$E$404=A97)*'Grocery Spending'!$A$5:$A$404))))</f>
        <v>0</v>
      </c>
      <c r="AG97" s="8">
        <f>IF(OR(A97="",AF97=""),"",IFERROR(AVERAGEIFS('Grocery Spending'!$I$5:$I$404,'Grocery Spending'!$E$5:$E$404,A97,'Grocery Spending'!$A$5:$A$404,AF97),""))</f>
        <v>0</v>
      </c>
      <c r="AH97" s="8">
        <f>IF(A97="","",IFERROR(AVERAGEIFS('Grocery Spending'!$I$5:$I$404,'Grocery Spending'!$E$5:$E$404,A97),""))</f>
        <v>0</v>
      </c>
      <c r="AI97" s="8">
        <f>IF(A97="","",IF(SUMPRODUCT(MIN(('Grocery Spending'!$E$5:$E$404=A97)*'Grocery Spending'!$I$5:$I$404+('Grocery Spending'!$E$5:$E$404&lt;&gt;A97)*1000000))&gt;=1000000,"",SUMPRODUCT(MIN(('Grocery Spending'!$E$5:$E$404=A97)*'Grocery Spending'!$I$5:$I$404+('Grocery Spending'!$E$5:$E$404&lt;&gt;A97)*1000000))))</f>
        <v>0</v>
      </c>
      <c r="AJ97" s="8">
        <f>IF(A97="","",SUMPRODUCT(MAX(('Grocery Spending'!$E$5:$E$404=A97)*'Grocery Spending'!$I$5:$I$404)))</f>
        <v>0</v>
      </c>
      <c r="AK97" s="8">
        <f>IF(OR(A97="",AI97="",AJ97=0),"",AJ97-AI97)</f>
        <v>0</v>
      </c>
      <c r="AL97" s="8">
        <f>IF(OR(A97="",AG97="",AH97=""),"",AG97-AH97)</f>
        <v>0</v>
      </c>
      <c r="AM97" s="8">
        <f>IF(A97="","",IF(AL97="","",IF(AL97&gt;0.01,"Up",IF(AL97&lt;-0.01,"Down","Flat"))))</f>
        <v>0</v>
      </c>
      <c r="AN97" s="25"/>
    </row>
    <row r="98" spans="1:40">
      <c r="A98" s="7"/>
      <c r="B98" s="27"/>
      <c r="C98" s="27"/>
      <c r="D98" s="28"/>
      <c r="E98" s="27"/>
      <c r="F98" s="26"/>
      <c r="G98" s="8">
        <f>IF(OR(D98="",F98="",F98=0),"",D98/F98)</f>
        <v>0</v>
      </c>
      <c r="H98" s="26"/>
      <c r="I98" s="26"/>
      <c r="J98" s="26"/>
      <c r="K98" s="26"/>
      <c r="L98" s="26"/>
      <c r="M98" s="26"/>
      <c r="N98" s="27"/>
      <c r="O98" s="27"/>
      <c r="P98" s="27"/>
      <c r="Q98" s="27"/>
      <c r="R98" s="7"/>
      <c r="S98" s="8">
        <f>IF(A98="","",SUMIFS(Pantry!$C$5:$C$304,Pantry!$A$5:$A$304,A98))</f>
        <v>0</v>
      </c>
      <c r="T98" s="8">
        <f>IF(A98="","",COUNTIFS('Grocery List'!$A$5:$A$304,A98,'Grocery List'!$N$5:$N$304,"Yes"))</f>
        <v>0</v>
      </c>
      <c r="U98" s="8">
        <f>IF(A98="","",SUMIFS('Grocery List'!$M$5:$M$304,'Grocery List'!$A$5:$A$304,A98))</f>
        <v>0</v>
      </c>
      <c r="V98" s="8">
        <f>IF(A98="","",COUNTIFS('Recipe Ingredients'!$B$5:$B$1204,A98))</f>
        <v>0</v>
      </c>
      <c r="W98" s="8">
        <f>IF(A98="","",SUMIFS('Recipe Ingredients'!$C$5:$C$1204,'Recipe Ingredients'!$B$5:$B$1204,A98))</f>
        <v>0</v>
      </c>
      <c r="X98" s="8">
        <f>IF(A98="","",IF(U98&lt;=0,IF(S98&gt;0,99,0),ROUND(S98/U98,1)))</f>
        <v>0</v>
      </c>
      <c r="Y98" s="8">
        <f>IF(A98="","",U98*10+IF(O98="Yes",5,0)+IF(X98&lt;1,10,0)+IF(S98&lt;=0,3,0))</f>
        <v>0</v>
      </c>
      <c r="Z98" s="8">
        <f>IF(A98="","",COUNTIFS($Y$5:$Y$304,"&gt;"&amp;Y98)+1)</f>
        <v>0</v>
      </c>
      <c r="AA98" s="8">
        <f>IF(A98="","",IF(OR(U98&gt;0,AND(O98="Yes",X98&lt;2)),"Yes","No"))</f>
        <v>0</v>
      </c>
      <c r="AB98" s="8">
        <f>IF(OR(A98="",D98=""),"",S98*D98)</f>
        <v>0</v>
      </c>
      <c r="AC98" s="8">
        <f>IF(AB98="","",COUNTIFS($AB$5:$AB$304,"&gt;"&amp;AB98)+1)</f>
        <v>0</v>
      </c>
      <c r="AD98" s="8">
        <f>IF(A98="","",SUMIFS('Food Waste'!$E$5:$E$154,'Food Waste'!$C$5:$C$154,A98))</f>
        <v>0</v>
      </c>
      <c r="AE98" s="8">
        <f>IF(OR(A98="",AD98=0),"",COUNTIFS($AD$5:$AD$304,"&gt;"&amp;AD98)+1)</f>
        <v>0</v>
      </c>
      <c r="AF98" s="8">
        <f>IF(A98="","",IF(SUMPRODUCT(MAX(('Grocery Spending'!$E$5:$E$404=A98)*'Grocery Spending'!$A$5:$A$404))=0,"",SUMPRODUCT(MAX(('Grocery Spending'!$E$5:$E$404=A98)*'Grocery Spending'!$A$5:$A$404))))</f>
        <v>0</v>
      </c>
      <c r="AG98" s="8">
        <f>IF(OR(A98="",AF98=""),"",IFERROR(AVERAGEIFS('Grocery Spending'!$I$5:$I$404,'Grocery Spending'!$E$5:$E$404,A98,'Grocery Spending'!$A$5:$A$404,AF98),""))</f>
        <v>0</v>
      </c>
      <c r="AH98" s="8">
        <f>IF(A98="","",IFERROR(AVERAGEIFS('Grocery Spending'!$I$5:$I$404,'Grocery Spending'!$E$5:$E$404,A98),""))</f>
        <v>0</v>
      </c>
      <c r="AI98" s="8">
        <f>IF(A98="","",IF(SUMPRODUCT(MIN(('Grocery Spending'!$E$5:$E$404=A98)*'Grocery Spending'!$I$5:$I$404+('Grocery Spending'!$E$5:$E$404&lt;&gt;A98)*1000000))&gt;=1000000,"",SUMPRODUCT(MIN(('Grocery Spending'!$E$5:$E$404=A98)*'Grocery Spending'!$I$5:$I$404+('Grocery Spending'!$E$5:$E$404&lt;&gt;A98)*1000000))))</f>
        <v>0</v>
      </c>
      <c r="AJ98" s="8">
        <f>IF(A98="","",SUMPRODUCT(MAX(('Grocery Spending'!$E$5:$E$404=A98)*'Grocery Spending'!$I$5:$I$404)))</f>
        <v>0</v>
      </c>
      <c r="AK98" s="8">
        <f>IF(OR(A98="",AI98="",AJ98=0),"",AJ98-AI98)</f>
        <v>0</v>
      </c>
      <c r="AL98" s="8">
        <f>IF(OR(A98="",AG98="",AH98=""),"",AG98-AH98)</f>
        <v>0</v>
      </c>
      <c r="AM98" s="8">
        <f>IF(A98="","",IF(AL98="","",IF(AL98&gt;0.01,"Up",IF(AL98&lt;-0.01,"Down","Flat"))))</f>
        <v>0</v>
      </c>
      <c r="AN98" s="25"/>
    </row>
    <row r="99" spans="1:40">
      <c r="A99" s="7"/>
      <c r="B99" s="27"/>
      <c r="C99" s="27"/>
      <c r="D99" s="28"/>
      <c r="E99" s="27"/>
      <c r="F99" s="26"/>
      <c r="G99" s="8">
        <f>IF(OR(D99="",F99="",F99=0),"",D99/F99)</f>
        <v>0</v>
      </c>
      <c r="H99" s="26"/>
      <c r="I99" s="26"/>
      <c r="J99" s="26"/>
      <c r="K99" s="26"/>
      <c r="L99" s="26"/>
      <c r="M99" s="26"/>
      <c r="N99" s="27"/>
      <c r="O99" s="27"/>
      <c r="P99" s="27"/>
      <c r="Q99" s="27"/>
      <c r="R99" s="7"/>
      <c r="S99" s="8">
        <f>IF(A99="","",SUMIFS(Pantry!$C$5:$C$304,Pantry!$A$5:$A$304,A99))</f>
        <v>0</v>
      </c>
      <c r="T99" s="8">
        <f>IF(A99="","",COUNTIFS('Grocery List'!$A$5:$A$304,A99,'Grocery List'!$N$5:$N$304,"Yes"))</f>
        <v>0</v>
      </c>
      <c r="U99" s="8">
        <f>IF(A99="","",SUMIFS('Grocery List'!$M$5:$M$304,'Grocery List'!$A$5:$A$304,A99))</f>
        <v>0</v>
      </c>
      <c r="V99" s="8">
        <f>IF(A99="","",COUNTIFS('Recipe Ingredients'!$B$5:$B$1204,A99))</f>
        <v>0</v>
      </c>
      <c r="W99" s="8">
        <f>IF(A99="","",SUMIFS('Recipe Ingredients'!$C$5:$C$1204,'Recipe Ingredients'!$B$5:$B$1204,A99))</f>
        <v>0</v>
      </c>
      <c r="X99" s="8">
        <f>IF(A99="","",IF(U99&lt;=0,IF(S99&gt;0,99,0),ROUND(S99/U99,1)))</f>
        <v>0</v>
      </c>
      <c r="Y99" s="8">
        <f>IF(A99="","",U99*10+IF(O99="Yes",5,0)+IF(X99&lt;1,10,0)+IF(S99&lt;=0,3,0))</f>
        <v>0</v>
      </c>
      <c r="Z99" s="8">
        <f>IF(A99="","",COUNTIFS($Y$5:$Y$304,"&gt;"&amp;Y99)+1)</f>
        <v>0</v>
      </c>
      <c r="AA99" s="8">
        <f>IF(A99="","",IF(OR(U99&gt;0,AND(O99="Yes",X99&lt;2)),"Yes","No"))</f>
        <v>0</v>
      </c>
      <c r="AB99" s="8">
        <f>IF(OR(A99="",D99=""),"",S99*D99)</f>
        <v>0</v>
      </c>
      <c r="AC99" s="8">
        <f>IF(AB99="","",COUNTIFS($AB$5:$AB$304,"&gt;"&amp;AB99)+1)</f>
        <v>0</v>
      </c>
      <c r="AD99" s="8">
        <f>IF(A99="","",SUMIFS('Food Waste'!$E$5:$E$154,'Food Waste'!$C$5:$C$154,A99))</f>
        <v>0</v>
      </c>
      <c r="AE99" s="8">
        <f>IF(OR(A99="",AD99=0),"",COUNTIFS($AD$5:$AD$304,"&gt;"&amp;AD99)+1)</f>
        <v>0</v>
      </c>
      <c r="AF99" s="8">
        <f>IF(A99="","",IF(SUMPRODUCT(MAX(('Grocery Spending'!$E$5:$E$404=A99)*'Grocery Spending'!$A$5:$A$404))=0,"",SUMPRODUCT(MAX(('Grocery Spending'!$E$5:$E$404=A99)*'Grocery Spending'!$A$5:$A$404))))</f>
        <v>0</v>
      </c>
      <c r="AG99" s="8">
        <f>IF(OR(A99="",AF99=""),"",IFERROR(AVERAGEIFS('Grocery Spending'!$I$5:$I$404,'Grocery Spending'!$E$5:$E$404,A99,'Grocery Spending'!$A$5:$A$404,AF99),""))</f>
        <v>0</v>
      </c>
      <c r="AH99" s="8">
        <f>IF(A99="","",IFERROR(AVERAGEIFS('Grocery Spending'!$I$5:$I$404,'Grocery Spending'!$E$5:$E$404,A99),""))</f>
        <v>0</v>
      </c>
      <c r="AI99" s="8">
        <f>IF(A99="","",IF(SUMPRODUCT(MIN(('Grocery Spending'!$E$5:$E$404=A99)*'Grocery Spending'!$I$5:$I$404+('Grocery Spending'!$E$5:$E$404&lt;&gt;A99)*1000000))&gt;=1000000,"",SUMPRODUCT(MIN(('Grocery Spending'!$E$5:$E$404=A99)*'Grocery Spending'!$I$5:$I$404+('Grocery Spending'!$E$5:$E$404&lt;&gt;A99)*1000000))))</f>
        <v>0</v>
      </c>
      <c r="AJ99" s="8">
        <f>IF(A99="","",SUMPRODUCT(MAX(('Grocery Spending'!$E$5:$E$404=A99)*'Grocery Spending'!$I$5:$I$404)))</f>
        <v>0</v>
      </c>
      <c r="AK99" s="8">
        <f>IF(OR(A99="",AI99="",AJ99=0),"",AJ99-AI99)</f>
        <v>0</v>
      </c>
      <c r="AL99" s="8">
        <f>IF(OR(A99="",AG99="",AH99=""),"",AG99-AH99)</f>
        <v>0</v>
      </c>
      <c r="AM99" s="8">
        <f>IF(A99="","",IF(AL99="","",IF(AL99&gt;0.01,"Up",IF(AL99&lt;-0.01,"Down","Flat"))))</f>
        <v>0</v>
      </c>
      <c r="AN99" s="25"/>
    </row>
    <row r="100" spans="1:40">
      <c r="A100" s="7"/>
      <c r="B100" s="27"/>
      <c r="C100" s="27"/>
      <c r="D100" s="28"/>
      <c r="E100" s="27"/>
      <c r="F100" s="26"/>
      <c r="G100" s="8">
        <f>IF(OR(D100="",F100="",F100=0),"",D100/F100)</f>
        <v>0</v>
      </c>
      <c r="H100" s="26"/>
      <c r="I100" s="26"/>
      <c r="J100" s="26"/>
      <c r="K100" s="26"/>
      <c r="L100" s="26"/>
      <c r="M100" s="26"/>
      <c r="N100" s="27"/>
      <c r="O100" s="27"/>
      <c r="P100" s="27"/>
      <c r="Q100" s="27"/>
      <c r="R100" s="7"/>
      <c r="S100" s="8">
        <f>IF(A100="","",SUMIFS(Pantry!$C$5:$C$304,Pantry!$A$5:$A$304,A100))</f>
        <v>0</v>
      </c>
      <c r="T100" s="8">
        <f>IF(A100="","",COUNTIFS('Grocery List'!$A$5:$A$304,A100,'Grocery List'!$N$5:$N$304,"Yes"))</f>
        <v>0</v>
      </c>
      <c r="U100" s="8">
        <f>IF(A100="","",SUMIFS('Grocery List'!$M$5:$M$304,'Grocery List'!$A$5:$A$304,A100))</f>
        <v>0</v>
      </c>
      <c r="V100" s="8">
        <f>IF(A100="","",COUNTIFS('Recipe Ingredients'!$B$5:$B$1204,A100))</f>
        <v>0</v>
      </c>
      <c r="W100" s="8">
        <f>IF(A100="","",SUMIFS('Recipe Ingredients'!$C$5:$C$1204,'Recipe Ingredients'!$B$5:$B$1204,A100))</f>
        <v>0</v>
      </c>
      <c r="X100" s="8">
        <f>IF(A100="","",IF(U100&lt;=0,IF(S100&gt;0,99,0),ROUND(S100/U100,1)))</f>
        <v>0</v>
      </c>
      <c r="Y100" s="8">
        <f>IF(A100="","",U100*10+IF(O100="Yes",5,0)+IF(X100&lt;1,10,0)+IF(S100&lt;=0,3,0))</f>
        <v>0</v>
      </c>
      <c r="Z100" s="8">
        <f>IF(A100="","",COUNTIFS($Y$5:$Y$304,"&gt;"&amp;Y100)+1)</f>
        <v>0</v>
      </c>
      <c r="AA100" s="8">
        <f>IF(A100="","",IF(OR(U100&gt;0,AND(O100="Yes",X100&lt;2)),"Yes","No"))</f>
        <v>0</v>
      </c>
      <c r="AB100" s="8">
        <f>IF(OR(A100="",D100=""),"",S100*D100)</f>
        <v>0</v>
      </c>
      <c r="AC100" s="8">
        <f>IF(AB100="","",COUNTIFS($AB$5:$AB$304,"&gt;"&amp;AB100)+1)</f>
        <v>0</v>
      </c>
      <c r="AD100" s="8">
        <f>IF(A100="","",SUMIFS('Food Waste'!$E$5:$E$154,'Food Waste'!$C$5:$C$154,A100))</f>
        <v>0</v>
      </c>
      <c r="AE100" s="8">
        <f>IF(OR(A100="",AD100=0),"",COUNTIFS($AD$5:$AD$304,"&gt;"&amp;AD100)+1)</f>
        <v>0</v>
      </c>
      <c r="AF100" s="8">
        <f>IF(A100="","",IF(SUMPRODUCT(MAX(('Grocery Spending'!$E$5:$E$404=A100)*'Grocery Spending'!$A$5:$A$404))=0,"",SUMPRODUCT(MAX(('Grocery Spending'!$E$5:$E$404=A100)*'Grocery Spending'!$A$5:$A$404))))</f>
        <v>0</v>
      </c>
      <c r="AG100" s="8">
        <f>IF(OR(A100="",AF100=""),"",IFERROR(AVERAGEIFS('Grocery Spending'!$I$5:$I$404,'Grocery Spending'!$E$5:$E$404,A100,'Grocery Spending'!$A$5:$A$404,AF100),""))</f>
        <v>0</v>
      </c>
      <c r="AH100" s="8">
        <f>IF(A100="","",IFERROR(AVERAGEIFS('Grocery Spending'!$I$5:$I$404,'Grocery Spending'!$E$5:$E$404,A100),""))</f>
        <v>0</v>
      </c>
      <c r="AI100" s="8">
        <f>IF(A100="","",IF(SUMPRODUCT(MIN(('Grocery Spending'!$E$5:$E$404=A100)*'Grocery Spending'!$I$5:$I$404+('Grocery Spending'!$E$5:$E$404&lt;&gt;A100)*1000000))&gt;=1000000,"",SUMPRODUCT(MIN(('Grocery Spending'!$E$5:$E$404=A100)*'Grocery Spending'!$I$5:$I$404+('Grocery Spending'!$E$5:$E$404&lt;&gt;A100)*1000000))))</f>
        <v>0</v>
      </c>
      <c r="AJ100" s="8">
        <f>IF(A100="","",SUMPRODUCT(MAX(('Grocery Spending'!$E$5:$E$404=A100)*'Grocery Spending'!$I$5:$I$404)))</f>
        <v>0</v>
      </c>
      <c r="AK100" s="8">
        <f>IF(OR(A100="",AI100="",AJ100=0),"",AJ100-AI100)</f>
        <v>0</v>
      </c>
      <c r="AL100" s="8">
        <f>IF(OR(A100="",AG100="",AH100=""),"",AG100-AH100)</f>
        <v>0</v>
      </c>
      <c r="AM100" s="8">
        <f>IF(A100="","",IF(AL100="","",IF(AL100&gt;0.01,"Up",IF(AL100&lt;-0.01,"Down","Flat"))))</f>
        <v>0</v>
      </c>
      <c r="AN100" s="25"/>
    </row>
    <row r="101" spans="1:40">
      <c r="A101" s="7"/>
      <c r="B101" s="27"/>
      <c r="C101" s="27"/>
      <c r="D101" s="28"/>
      <c r="E101" s="27"/>
      <c r="F101" s="26"/>
      <c r="G101" s="8">
        <f>IF(OR(D101="",F101="",F101=0),"",D101/F101)</f>
        <v>0</v>
      </c>
      <c r="H101" s="26"/>
      <c r="I101" s="26"/>
      <c r="J101" s="26"/>
      <c r="K101" s="26"/>
      <c r="L101" s="26"/>
      <c r="M101" s="26"/>
      <c r="N101" s="27"/>
      <c r="O101" s="27"/>
      <c r="P101" s="27"/>
      <c r="Q101" s="27"/>
      <c r="R101" s="7"/>
      <c r="S101" s="8">
        <f>IF(A101="","",SUMIFS(Pantry!$C$5:$C$304,Pantry!$A$5:$A$304,A101))</f>
        <v>0</v>
      </c>
      <c r="T101" s="8">
        <f>IF(A101="","",COUNTIFS('Grocery List'!$A$5:$A$304,A101,'Grocery List'!$N$5:$N$304,"Yes"))</f>
        <v>0</v>
      </c>
      <c r="U101" s="8">
        <f>IF(A101="","",SUMIFS('Grocery List'!$M$5:$M$304,'Grocery List'!$A$5:$A$304,A101))</f>
        <v>0</v>
      </c>
      <c r="V101" s="8">
        <f>IF(A101="","",COUNTIFS('Recipe Ingredients'!$B$5:$B$1204,A101))</f>
        <v>0</v>
      </c>
      <c r="W101" s="8">
        <f>IF(A101="","",SUMIFS('Recipe Ingredients'!$C$5:$C$1204,'Recipe Ingredients'!$B$5:$B$1204,A101))</f>
        <v>0</v>
      </c>
      <c r="X101" s="8">
        <f>IF(A101="","",IF(U101&lt;=0,IF(S101&gt;0,99,0),ROUND(S101/U101,1)))</f>
        <v>0</v>
      </c>
      <c r="Y101" s="8">
        <f>IF(A101="","",U101*10+IF(O101="Yes",5,0)+IF(X101&lt;1,10,0)+IF(S101&lt;=0,3,0))</f>
        <v>0</v>
      </c>
      <c r="Z101" s="8">
        <f>IF(A101="","",COUNTIFS($Y$5:$Y$304,"&gt;"&amp;Y101)+1)</f>
        <v>0</v>
      </c>
      <c r="AA101" s="8">
        <f>IF(A101="","",IF(OR(U101&gt;0,AND(O101="Yes",X101&lt;2)),"Yes","No"))</f>
        <v>0</v>
      </c>
      <c r="AB101" s="8">
        <f>IF(OR(A101="",D101=""),"",S101*D101)</f>
        <v>0</v>
      </c>
      <c r="AC101" s="8">
        <f>IF(AB101="","",COUNTIFS($AB$5:$AB$304,"&gt;"&amp;AB101)+1)</f>
        <v>0</v>
      </c>
      <c r="AD101" s="8">
        <f>IF(A101="","",SUMIFS('Food Waste'!$E$5:$E$154,'Food Waste'!$C$5:$C$154,A101))</f>
        <v>0</v>
      </c>
      <c r="AE101" s="8">
        <f>IF(OR(A101="",AD101=0),"",COUNTIFS($AD$5:$AD$304,"&gt;"&amp;AD101)+1)</f>
        <v>0</v>
      </c>
      <c r="AF101" s="8">
        <f>IF(A101="","",IF(SUMPRODUCT(MAX(('Grocery Spending'!$E$5:$E$404=A101)*'Grocery Spending'!$A$5:$A$404))=0,"",SUMPRODUCT(MAX(('Grocery Spending'!$E$5:$E$404=A101)*'Grocery Spending'!$A$5:$A$404))))</f>
        <v>0</v>
      </c>
      <c r="AG101" s="8">
        <f>IF(OR(A101="",AF101=""),"",IFERROR(AVERAGEIFS('Grocery Spending'!$I$5:$I$404,'Grocery Spending'!$E$5:$E$404,A101,'Grocery Spending'!$A$5:$A$404,AF101),""))</f>
        <v>0</v>
      </c>
      <c r="AH101" s="8">
        <f>IF(A101="","",IFERROR(AVERAGEIFS('Grocery Spending'!$I$5:$I$404,'Grocery Spending'!$E$5:$E$404,A101),""))</f>
        <v>0</v>
      </c>
      <c r="AI101" s="8">
        <f>IF(A101="","",IF(SUMPRODUCT(MIN(('Grocery Spending'!$E$5:$E$404=A101)*'Grocery Spending'!$I$5:$I$404+('Grocery Spending'!$E$5:$E$404&lt;&gt;A101)*1000000))&gt;=1000000,"",SUMPRODUCT(MIN(('Grocery Spending'!$E$5:$E$404=A101)*'Grocery Spending'!$I$5:$I$404+('Grocery Spending'!$E$5:$E$404&lt;&gt;A101)*1000000))))</f>
        <v>0</v>
      </c>
      <c r="AJ101" s="8">
        <f>IF(A101="","",SUMPRODUCT(MAX(('Grocery Spending'!$E$5:$E$404=A101)*'Grocery Spending'!$I$5:$I$404)))</f>
        <v>0</v>
      </c>
      <c r="AK101" s="8">
        <f>IF(OR(A101="",AI101="",AJ101=0),"",AJ101-AI101)</f>
        <v>0</v>
      </c>
      <c r="AL101" s="8">
        <f>IF(OR(A101="",AG101="",AH101=""),"",AG101-AH101)</f>
        <v>0</v>
      </c>
      <c r="AM101" s="8">
        <f>IF(A101="","",IF(AL101="","",IF(AL101&gt;0.01,"Up",IF(AL101&lt;-0.01,"Down","Flat"))))</f>
        <v>0</v>
      </c>
      <c r="AN101" s="25"/>
    </row>
    <row r="102" spans="1:40">
      <c r="A102" s="7"/>
      <c r="B102" s="27"/>
      <c r="C102" s="27"/>
      <c r="D102" s="28"/>
      <c r="E102" s="27"/>
      <c r="F102" s="26"/>
      <c r="G102" s="8">
        <f>IF(OR(D102="",F102="",F102=0),"",D102/F102)</f>
        <v>0</v>
      </c>
      <c r="H102" s="26"/>
      <c r="I102" s="26"/>
      <c r="J102" s="26"/>
      <c r="K102" s="26"/>
      <c r="L102" s="26"/>
      <c r="M102" s="26"/>
      <c r="N102" s="27"/>
      <c r="O102" s="27"/>
      <c r="P102" s="27"/>
      <c r="Q102" s="27"/>
      <c r="R102" s="7"/>
      <c r="S102" s="8">
        <f>IF(A102="","",SUMIFS(Pantry!$C$5:$C$304,Pantry!$A$5:$A$304,A102))</f>
        <v>0</v>
      </c>
      <c r="T102" s="8">
        <f>IF(A102="","",COUNTIFS('Grocery List'!$A$5:$A$304,A102,'Grocery List'!$N$5:$N$304,"Yes"))</f>
        <v>0</v>
      </c>
      <c r="U102" s="8">
        <f>IF(A102="","",SUMIFS('Grocery List'!$M$5:$M$304,'Grocery List'!$A$5:$A$304,A102))</f>
        <v>0</v>
      </c>
      <c r="V102" s="8">
        <f>IF(A102="","",COUNTIFS('Recipe Ingredients'!$B$5:$B$1204,A102))</f>
        <v>0</v>
      </c>
      <c r="W102" s="8">
        <f>IF(A102="","",SUMIFS('Recipe Ingredients'!$C$5:$C$1204,'Recipe Ingredients'!$B$5:$B$1204,A102))</f>
        <v>0</v>
      </c>
      <c r="X102" s="8">
        <f>IF(A102="","",IF(U102&lt;=0,IF(S102&gt;0,99,0),ROUND(S102/U102,1)))</f>
        <v>0</v>
      </c>
      <c r="Y102" s="8">
        <f>IF(A102="","",U102*10+IF(O102="Yes",5,0)+IF(X102&lt;1,10,0)+IF(S102&lt;=0,3,0))</f>
        <v>0</v>
      </c>
      <c r="Z102" s="8">
        <f>IF(A102="","",COUNTIFS($Y$5:$Y$304,"&gt;"&amp;Y102)+1)</f>
        <v>0</v>
      </c>
      <c r="AA102" s="8">
        <f>IF(A102="","",IF(OR(U102&gt;0,AND(O102="Yes",X102&lt;2)),"Yes","No"))</f>
        <v>0</v>
      </c>
      <c r="AB102" s="8">
        <f>IF(OR(A102="",D102=""),"",S102*D102)</f>
        <v>0</v>
      </c>
      <c r="AC102" s="8">
        <f>IF(AB102="","",COUNTIFS($AB$5:$AB$304,"&gt;"&amp;AB102)+1)</f>
        <v>0</v>
      </c>
      <c r="AD102" s="8">
        <f>IF(A102="","",SUMIFS('Food Waste'!$E$5:$E$154,'Food Waste'!$C$5:$C$154,A102))</f>
        <v>0</v>
      </c>
      <c r="AE102" s="8">
        <f>IF(OR(A102="",AD102=0),"",COUNTIFS($AD$5:$AD$304,"&gt;"&amp;AD102)+1)</f>
        <v>0</v>
      </c>
      <c r="AF102" s="8">
        <f>IF(A102="","",IF(SUMPRODUCT(MAX(('Grocery Spending'!$E$5:$E$404=A102)*'Grocery Spending'!$A$5:$A$404))=0,"",SUMPRODUCT(MAX(('Grocery Spending'!$E$5:$E$404=A102)*'Grocery Spending'!$A$5:$A$404))))</f>
        <v>0</v>
      </c>
      <c r="AG102" s="8">
        <f>IF(OR(A102="",AF102=""),"",IFERROR(AVERAGEIFS('Grocery Spending'!$I$5:$I$404,'Grocery Spending'!$E$5:$E$404,A102,'Grocery Spending'!$A$5:$A$404,AF102),""))</f>
        <v>0</v>
      </c>
      <c r="AH102" s="8">
        <f>IF(A102="","",IFERROR(AVERAGEIFS('Grocery Spending'!$I$5:$I$404,'Grocery Spending'!$E$5:$E$404,A102),""))</f>
        <v>0</v>
      </c>
      <c r="AI102" s="8">
        <f>IF(A102="","",IF(SUMPRODUCT(MIN(('Grocery Spending'!$E$5:$E$404=A102)*'Grocery Spending'!$I$5:$I$404+('Grocery Spending'!$E$5:$E$404&lt;&gt;A102)*1000000))&gt;=1000000,"",SUMPRODUCT(MIN(('Grocery Spending'!$E$5:$E$404=A102)*'Grocery Spending'!$I$5:$I$404+('Grocery Spending'!$E$5:$E$404&lt;&gt;A102)*1000000))))</f>
        <v>0</v>
      </c>
      <c r="AJ102" s="8">
        <f>IF(A102="","",SUMPRODUCT(MAX(('Grocery Spending'!$E$5:$E$404=A102)*'Grocery Spending'!$I$5:$I$404)))</f>
        <v>0</v>
      </c>
      <c r="AK102" s="8">
        <f>IF(OR(A102="",AI102="",AJ102=0),"",AJ102-AI102)</f>
        <v>0</v>
      </c>
      <c r="AL102" s="8">
        <f>IF(OR(A102="",AG102="",AH102=""),"",AG102-AH102)</f>
        <v>0</v>
      </c>
      <c r="AM102" s="8">
        <f>IF(A102="","",IF(AL102="","",IF(AL102&gt;0.01,"Up",IF(AL102&lt;-0.01,"Down","Flat"))))</f>
        <v>0</v>
      </c>
      <c r="AN102" s="25"/>
    </row>
    <row r="103" spans="1:40">
      <c r="A103" s="7"/>
      <c r="B103" s="27"/>
      <c r="C103" s="27"/>
      <c r="D103" s="28"/>
      <c r="E103" s="27"/>
      <c r="F103" s="26"/>
      <c r="G103" s="8">
        <f>IF(OR(D103="",F103="",F103=0),"",D103/F103)</f>
        <v>0</v>
      </c>
      <c r="H103" s="26"/>
      <c r="I103" s="26"/>
      <c r="J103" s="26"/>
      <c r="K103" s="26"/>
      <c r="L103" s="26"/>
      <c r="M103" s="26"/>
      <c r="N103" s="27"/>
      <c r="O103" s="27"/>
      <c r="P103" s="27"/>
      <c r="Q103" s="27"/>
      <c r="R103" s="7"/>
      <c r="S103" s="8">
        <f>IF(A103="","",SUMIFS(Pantry!$C$5:$C$304,Pantry!$A$5:$A$304,A103))</f>
        <v>0</v>
      </c>
      <c r="T103" s="8">
        <f>IF(A103="","",COUNTIFS('Grocery List'!$A$5:$A$304,A103,'Grocery List'!$N$5:$N$304,"Yes"))</f>
        <v>0</v>
      </c>
      <c r="U103" s="8">
        <f>IF(A103="","",SUMIFS('Grocery List'!$M$5:$M$304,'Grocery List'!$A$5:$A$304,A103))</f>
        <v>0</v>
      </c>
      <c r="V103" s="8">
        <f>IF(A103="","",COUNTIFS('Recipe Ingredients'!$B$5:$B$1204,A103))</f>
        <v>0</v>
      </c>
      <c r="W103" s="8">
        <f>IF(A103="","",SUMIFS('Recipe Ingredients'!$C$5:$C$1204,'Recipe Ingredients'!$B$5:$B$1204,A103))</f>
        <v>0</v>
      </c>
      <c r="X103" s="8">
        <f>IF(A103="","",IF(U103&lt;=0,IF(S103&gt;0,99,0),ROUND(S103/U103,1)))</f>
        <v>0</v>
      </c>
      <c r="Y103" s="8">
        <f>IF(A103="","",U103*10+IF(O103="Yes",5,0)+IF(X103&lt;1,10,0)+IF(S103&lt;=0,3,0))</f>
        <v>0</v>
      </c>
      <c r="Z103" s="8">
        <f>IF(A103="","",COUNTIFS($Y$5:$Y$304,"&gt;"&amp;Y103)+1)</f>
        <v>0</v>
      </c>
      <c r="AA103" s="8">
        <f>IF(A103="","",IF(OR(U103&gt;0,AND(O103="Yes",X103&lt;2)),"Yes","No"))</f>
        <v>0</v>
      </c>
      <c r="AB103" s="8">
        <f>IF(OR(A103="",D103=""),"",S103*D103)</f>
        <v>0</v>
      </c>
      <c r="AC103" s="8">
        <f>IF(AB103="","",COUNTIFS($AB$5:$AB$304,"&gt;"&amp;AB103)+1)</f>
        <v>0</v>
      </c>
      <c r="AD103" s="8">
        <f>IF(A103="","",SUMIFS('Food Waste'!$E$5:$E$154,'Food Waste'!$C$5:$C$154,A103))</f>
        <v>0</v>
      </c>
      <c r="AE103" s="8">
        <f>IF(OR(A103="",AD103=0),"",COUNTIFS($AD$5:$AD$304,"&gt;"&amp;AD103)+1)</f>
        <v>0</v>
      </c>
      <c r="AF103" s="8">
        <f>IF(A103="","",IF(SUMPRODUCT(MAX(('Grocery Spending'!$E$5:$E$404=A103)*'Grocery Spending'!$A$5:$A$404))=0,"",SUMPRODUCT(MAX(('Grocery Spending'!$E$5:$E$404=A103)*'Grocery Spending'!$A$5:$A$404))))</f>
        <v>0</v>
      </c>
      <c r="AG103" s="8">
        <f>IF(OR(A103="",AF103=""),"",IFERROR(AVERAGEIFS('Grocery Spending'!$I$5:$I$404,'Grocery Spending'!$E$5:$E$404,A103,'Grocery Spending'!$A$5:$A$404,AF103),""))</f>
        <v>0</v>
      </c>
      <c r="AH103" s="8">
        <f>IF(A103="","",IFERROR(AVERAGEIFS('Grocery Spending'!$I$5:$I$404,'Grocery Spending'!$E$5:$E$404,A103),""))</f>
        <v>0</v>
      </c>
      <c r="AI103" s="8">
        <f>IF(A103="","",IF(SUMPRODUCT(MIN(('Grocery Spending'!$E$5:$E$404=A103)*'Grocery Spending'!$I$5:$I$404+('Grocery Spending'!$E$5:$E$404&lt;&gt;A103)*1000000))&gt;=1000000,"",SUMPRODUCT(MIN(('Grocery Spending'!$E$5:$E$404=A103)*'Grocery Spending'!$I$5:$I$404+('Grocery Spending'!$E$5:$E$404&lt;&gt;A103)*1000000))))</f>
        <v>0</v>
      </c>
      <c r="AJ103" s="8">
        <f>IF(A103="","",SUMPRODUCT(MAX(('Grocery Spending'!$E$5:$E$404=A103)*'Grocery Spending'!$I$5:$I$404)))</f>
        <v>0</v>
      </c>
      <c r="AK103" s="8">
        <f>IF(OR(A103="",AI103="",AJ103=0),"",AJ103-AI103)</f>
        <v>0</v>
      </c>
      <c r="AL103" s="8">
        <f>IF(OR(A103="",AG103="",AH103=""),"",AG103-AH103)</f>
        <v>0</v>
      </c>
      <c r="AM103" s="8">
        <f>IF(A103="","",IF(AL103="","",IF(AL103&gt;0.01,"Up",IF(AL103&lt;-0.01,"Down","Flat"))))</f>
        <v>0</v>
      </c>
      <c r="AN103" s="25"/>
    </row>
    <row r="104" spans="1:40">
      <c r="A104" s="7"/>
      <c r="B104" s="27"/>
      <c r="C104" s="27"/>
      <c r="D104" s="28"/>
      <c r="E104" s="27"/>
      <c r="F104" s="26"/>
      <c r="G104" s="8">
        <f>IF(OR(D104="",F104="",F104=0),"",D104/F104)</f>
        <v>0</v>
      </c>
      <c r="H104" s="26"/>
      <c r="I104" s="26"/>
      <c r="J104" s="26"/>
      <c r="K104" s="26"/>
      <c r="L104" s="26"/>
      <c r="M104" s="26"/>
      <c r="N104" s="27"/>
      <c r="O104" s="27"/>
      <c r="P104" s="27"/>
      <c r="Q104" s="27"/>
      <c r="R104" s="7"/>
      <c r="S104" s="8">
        <f>IF(A104="","",SUMIFS(Pantry!$C$5:$C$304,Pantry!$A$5:$A$304,A104))</f>
        <v>0</v>
      </c>
      <c r="T104" s="8">
        <f>IF(A104="","",COUNTIFS('Grocery List'!$A$5:$A$304,A104,'Grocery List'!$N$5:$N$304,"Yes"))</f>
        <v>0</v>
      </c>
      <c r="U104" s="8">
        <f>IF(A104="","",SUMIFS('Grocery List'!$M$5:$M$304,'Grocery List'!$A$5:$A$304,A104))</f>
        <v>0</v>
      </c>
      <c r="V104" s="8">
        <f>IF(A104="","",COUNTIFS('Recipe Ingredients'!$B$5:$B$1204,A104))</f>
        <v>0</v>
      </c>
      <c r="W104" s="8">
        <f>IF(A104="","",SUMIFS('Recipe Ingredients'!$C$5:$C$1204,'Recipe Ingredients'!$B$5:$B$1204,A104))</f>
        <v>0</v>
      </c>
      <c r="X104" s="8">
        <f>IF(A104="","",IF(U104&lt;=0,IF(S104&gt;0,99,0),ROUND(S104/U104,1)))</f>
        <v>0</v>
      </c>
      <c r="Y104" s="8">
        <f>IF(A104="","",U104*10+IF(O104="Yes",5,0)+IF(X104&lt;1,10,0)+IF(S104&lt;=0,3,0))</f>
        <v>0</v>
      </c>
      <c r="Z104" s="8">
        <f>IF(A104="","",COUNTIFS($Y$5:$Y$304,"&gt;"&amp;Y104)+1)</f>
        <v>0</v>
      </c>
      <c r="AA104" s="8">
        <f>IF(A104="","",IF(OR(U104&gt;0,AND(O104="Yes",X104&lt;2)),"Yes","No"))</f>
        <v>0</v>
      </c>
      <c r="AB104" s="8">
        <f>IF(OR(A104="",D104=""),"",S104*D104)</f>
        <v>0</v>
      </c>
      <c r="AC104" s="8">
        <f>IF(AB104="","",COUNTIFS($AB$5:$AB$304,"&gt;"&amp;AB104)+1)</f>
        <v>0</v>
      </c>
      <c r="AD104" s="8">
        <f>IF(A104="","",SUMIFS('Food Waste'!$E$5:$E$154,'Food Waste'!$C$5:$C$154,A104))</f>
        <v>0</v>
      </c>
      <c r="AE104" s="8">
        <f>IF(OR(A104="",AD104=0),"",COUNTIFS($AD$5:$AD$304,"&gt;"&amp;AD104)+1)</f>
        <v>0</v>
      </c>
      <c r="AF104" s="8">
        <f>IF(A104="","",IF(SUMPRODUCT(MAX(('Grocery Spending'!$E$5:$E$404=A104)*'Grocery Spending'!$A$5:$A$404))=0,"",SUMPRODUCT(MAX(('Grocery Spending'!$E$5:$E$404=A104)*'Grocery Spending'!$A$5:$A$404))))</f>
        <v>0</v>
      </c>
      <c r="AG104" s="8">
        <f>IF(OR(A104="",AF104=""),"",IFERROR(AVERAGEIFS('Grocery Spending'!$I$5:$I$404,'Grocery Spending'!$E$5:$E$404,A104,'Grocery Spending'!$A$5:$A$404,AF104),""))</f>
        <v>0</v>
      </c>
      <c r="AH104" s="8">
        <f>IF(A104="","",IFERROR(AVERAGEIFS('Grocery Spending'!$I$5:$I$404,'Grocery Spending'!$E$5:$E$404,A104),""))</f>
        <v>0</v>
      </c>
      <c r="AI104" s="8">
        <f>IF(A104="","",IF(SUMPRODUCT(MIN(('Grocery Spending'!$E$5:$E$404=A104)*'Grocery Spending'!$I$5:$I$404+('Grocery Spending'!$E$5:$E$404&lt;&gt;A104)*1000000))&gt;=1000000,"",SUMPRODUCT(MIN(('Grocery Spending'!$E$5:$E$404=A104)*'Grocery Spending'!$I$5:$I$404+('Grocery Spending'!$E$5:$E$404&lt;&gt;A104)*1000000))))</f>
        <v>0</v>
      </c>
      <c r="AJ104" s="8">
        <f>IF(A104="","",SUMPRODUCT(MAX(('Grocery Spending'!$E$5:$E$404=A104)*'Grocery Spending'!$I$5:$I$404)))</f>
        <v>0</v>
      </c>
      <c r="AK104" s="8">
        <f>IF(OR(A104="",AI104="",AJ104=0),"",AJ104-AI104)</f>
        <v>0</v>
      </c>
      <c r="AL104" s="8">
        <f>IF(OR(A104="",AG104="",AH104=""),"",AG104-AH104)</f>
        <v>0</v>
      </c>
      <c r="AM104" s="8">
        <f>IF(A104="","",IF(AL104="","",IF(AL104&gt;0.01,"Up",IF(AL104&lt;-0.01,"Down","Flat"))))</f>
        <v>0</v>
      </c>
      <c r="AN104" s="25"/>
    </row>
    <row r="105" spans="1:40">
      <c r="A105" s="7"/>
      <c r="B105" s="27"/>
      <c r="C105" s="27"/>
      <c r="D105" s="28"/>
      <c r="E105" s="27"/>
      <c r="F105" s="26"/>
      <c r="G105" s="8">
        <f>IF(OR(D105="",F105="",F105=0),"",D105/F105)</f>
        <v>0</v>
      </c>
      <c r="H105" s="26"/>
      <c r="I105" s="26"/>
      <c r="J105" s="26"/>
      <c r="K105" s="26"/>
      <c r="L105" s="26"/>
      <c r="M105" s="26"/>
      <c r="N105" s="27"/>
      <c r="O105" s="27"/>
      <c r="P105" s="27"/>
      <c r="Q105" s="27"/>
      <c r="R105" s="7"/>
      <c r="S105" s="8">
        <f>IF(A105="","",SUMIFS(Pantry!$C$5:$C$304,Pantry!$A$5:$A$304,A105))</f>
        <v>0</v>
      </c>
      <c r="T105" s="8">
        <f>IF(A105="","",COUNTIFS('Grocery List'!$A$5:$A$304,A105,'Grocery List'!$N$5:$N$304,"Yes"))</f>
        <v>0</v>
      </c>
      <c r="U105" s="8">
        <f>IF(A105="","",SUMIFS('Grocery List'!$M$5:$M$304,'Grocery List'!$A$5:$A$304,A105))</f>
        <v>0</v>
      </c>
      <c r="V105" s="8">
        <f>IF(A105="","",COUNTIFS('Recipe Ingredients'!$B$5:$B$1204,A105))</f>
        <v>0</v>
      </c>
      <c r="W105" s="8">
        <f>IF(A105="","",SUMIFS('Recipe Ingredients'!$C$5:$C$1204,'Recipe Ingredients'!$B$5:$B$1204,A105))</f>
        <v>0</v>
      </c>
      <c r="X105" s="8">
        <f>IF(A105="","",IF(U105&lt;=0,IF(S105&gt;0,99,0),ROUND(S105/U105,1)))</f>
        <v>0</v>
      </c>
      <c r="Y105" s="8">
        <f>IF(A105="","",U105*10+IF(O105="Yes",5,0)+IF(X105&lt;1,10,0)+IF(S105&lt;=0,3,0))</f>
        <v>0</v>
      </c>
      <c r="Z105" s="8">
        <f>IF(A105="","",COUNTIFS($Y$5:$Y$304,"&gt;"&amp;Y105)+1)</f>
        <v>0</v>
      </c>
      <c r="AA105" s="8">
        <f>IF(A105="","",IF(OR(U105&gt;0,AND(O105="Yes",X105&lt;2)),"Yes","No"))</f>
        <v>0</v>
      </c>
      <c r="AB105" s="8">
        <f>IF(OR(A105="",D105=""),"",S105*D105)</f>
        <v>0</v>
      </c>
      <c r="AC105" s="8">
        <f>IF(AB105="","",COUNTIFS($AB$5:$AB$304,"&gt;"&amp;AB105)+1)</f>
        <v>0</v>
      </c>
      <c r="AD105" s="8">
        <f>IF(A105="","",SUMIFS('Food Waste'!$E$5:$E$154,'Food Waste'!$C$5:$C$154,A105))</f>
        <v>0</v>
      </c>
      <c r="AE105" s="8">
        <f>IF(OR(A105="",AD105=0),"",COUNTIFS($AD$5:$AD$304,"&gt;"&amp;AD105)+1)</f>
        <v>0</v>
      </c>
      <c r="AF105" s="8">
        <f>IF(A105="","",IF(SUMPRODUCT(MAX(('Grocery Spending'!$E$5:$E$404=A105)*'Grocery Spending'!$A$5:$A$404))=0,"",SUMPRODUCT(MAX(('Grocery Spending'!$E$5:$E$404=A105)*'Grocery Spending'!$A$5:$A$404))))</f>
        <v>0</v>
      </c>
      <c r="AG105" s="8">
        <f>IF(OR(A105="",AF105=""),"",IFERROR(AVERAGEIFS('Grocery Spending'!$I$5:$I$404,'Grocery Spending'!$E$5:$E$404,A105,'Grocery Spending'!$A$5:$A$404,AF105),""))</f>
        <v>0</v>
      </c>
      <c r="AH105" s="8">
        <f>IF(A105="","",IFERROR(AVERAGEIFS('Grocery Spending'!$I$5:$I$404,'Grocery Spending'!$E$5:$E$404,A105),""))</f>
        <v>0</v>
      </c>
      <c r="AI105" s="8">
        <f>IF(A105="","",IF(SUMPRODUCT(MIN(('Grocery Spending'!$E$5:$E$404=A105)*'Grocery Spending'!$I$5:$I$404+('Grocery Spending'!$E$5:$E$404&lt;&gt;A105)*1000000))&gt;=1000000,"",SUMPRODUCT(MIN(('Grocery Spending'!$E$5:$E$404=A105)*'Grocery Spending'!$I$5:$I$404+('Grocery Spending'!$E$5:$E$404&lt;&gt;A105)*1000000))))</f>
        <v>0</v>
      </c>
      <c r="AJ105" s="8">
        <f>IF(A105="","",SUMPRODUCT(MAX(('Grocery Spending'!$E$5:$E$404=A105)*'Grocery Spending'!$I$5:$I$404)))</f>
        <v>0</v>
      </c>
      <c r="AK105" s="8">
        <f>IF(OR(A105="",AI105="",AJ105=0),"",AJ105-AI105)</f>
        <v>0</v>
      </c>
      <c r="AL105" s="8">
        <f>IF(OR(A105="",AG105="",AH105=""),"",AG105-AH105)</f>
        <v>0</v>
      </c>
      <c r="AM105" s="8">
        <f>IF(A105="","",IF(AL105="","",IF(AL105&gt;0.01,"Up",IF(AL105&lt;-0.01,"Down","Flat"))))</f>
        <v>0</v>
      </c>
      <c r="AN105" s="25"/>
    </row>
    <row r="106" spans="1:40">
      <c r="A106" s="7"/>
      <c r="B106" s="27"/>
      <c r="C106" s="27"/>
      <c r="D106" s="28"/>
      <c r="E106" s="27"/>
      <c r="F106" s="26"/>
      <c r="G106" s="8">
        <f>IF(OR(D106="",F106="",F106=0),"",D106/F106)</f>
        <v>0</v>
      </c>
      <c r="H106" s="26"/>
      <c r="I106" s="26"/>
      <c r="J106" s="26"/>
      <c r="K106" s="26"/>
      <c r="L106" s="26"/>
      <c r="M106" s="26"/>
      <c r="N106" s="27"/>
      <c r="O106" s="27"/>
      <c r="P106" s="27"/>
      <c r="Q106" s="27"/>
      <c r="R106" s="7"/>
      <c r="S106" s="8">
        <f>IF(A106="","",SUMIFS(Pantry!$C$5:$C$304,Pantry!$A$5:$A$304,A106))</f>
        <v>0</v>
      </c>
      <c r="T106" s="8">
        <f>IF(A106="","",COUNTIFS('Grocery List'!$A$5:$A$304,A106,'Grocery List'!$N$5:$N$304,"Yes"))</f>
        <v>0</v>
      </c>
      <c r="U106" s="8">
        <f>IF(A106="","",SUMIFS('Grocery List'!$M$5:$M$304,'Grocery List'!$A$5:$A$304,A106))</f>
        <v>0</v>
      </c>
      <c r="V106" s="8">
        <f>IF(A106="","",COUNTIFS('Recipe Ingredients'!$B$5:$B$1204,A106))</f>
        <v>0</v>
      </c>
      <c r="W106" s="8">
        <f>IF(A106="","",SUMIFS('Recipe Ingredients'!$C$5:$C$1204,'Recipe Ingredients'!$B$5:$B$1204,A106))</f>
        <v>0</v>
      </c>
      <c r="X106" s="8">
        <f>IF(A106="","",IF(U106&lt;=0,IF(S106&gt;0,99,0),ROUND(S106/U106,1)))</f>
        <v>0</v>
      </c>
      <c r="Y106" s="8">
        <f>IF(A106="","",U106*10+IF(O106="Yes",5,0)+IF(X106&lt;1,10,0)+IF(S106&lt;=0,3,0))</f>
        <v>0</v>
      </c>
      <c r="Z106" s="8">
        <f>IF(A106="","",COUNTIFS($Y$5:$Y$304,"&gt;"&amp;Y106)+1)</f>
        <v>0</v>
      </c>
      <c r="AA106" s="8">
        <f>IF(A106="","",IF(OR(U106&gt;0,AND(O106="Yes",X106&lt;2)),"Yes","No"))</f>
        <v>0</v>
      </c>
      <c r="AB106" s="8">
        <f>IF(OR(A106="",D106=""),"",S106*D106)</f>
        <v>0</v>
      </c>
      <c r="AC106" s="8">
        <f>IF(AB106="","",COUNTIFS($AB$5:$AB$304,"&gt;"&amp;AB106)+1)</f>
        <v>0</v>
      </c>
      <c r="AD106" s="8">
        <f>IF(A106="","",SUMIFS('Food Waste'!$E$5:$E$154,'Food Waste'!$C$5:$C$154,A106))</f>
        <v>0</v>
      </c>
      <c r="AE106" s="8">
        <f>IF(OR(A106="",AD106=0),"",COUNTIFS($AD$5:$AD$304,"&gt;"&amp;AD106)+1)</f>
        <v>0</v>
      </c>
      <c r="AF106" s="8">
        <f>IF(A106="","",IF(SUMPRODUCT(MAX(('Grocery Spending'!$E$5:$E$404=A106)*'Grocery Spending'!$A$5:$A$404))=0,"",SUMPRODUCT(MAX(('Grocery Spending'!$E$5:$E$404=A106)*'Grocery Spending'!$A$5:$A$404))))</f>
        <v>0</v>
      </c>
      <c r="AG106" s="8">
        <f>IF(OR(A106="",AF106=""),"",IFERROR(AVERAGEIFS('Grocery Spending'!$I$5:$I$404,'Grocery Spending'!$E$5:$E$404,A106,'Grocery Spending'!$A$5:$A$404,AF106),""))</f>
        <v>0</v>
      </c>
      <c r="AH106" s="8">
        <f>IF(A106="","",IFERROR(AVERAGEIFS('Grocery Spending'!$I$5:$I$404,'Grocery Spending'!$E$5:$E$404,A106),""))</f>
        <v>0</v>
      </c>
      <c r="AI106" s="8">
        <f>IF(A106="","",IF(SUMPRODUCT(MIN(('Grocery Spending'!$E$5:$E$404=A106)*'Grocery Spending'!$I$5:$I$404+('Grocery Spending'!$E$5:$E$404&lt;&gt;A106)*1000000))&gt;=1000000,"",SUMPRODUCT(MIN(('Grocery Spending'!$E$5:$E$404=A106)*'Grocery Spending'!$I$5:$I$404+('Grocery Spending'!$E$5:$E$404&lt;&gt;A106)*1000000))))</f>
        <v>0</v>
      </c>
      <c r="AJ106" s="8">
        <f>IF(A106="","",SUMPRODUCT(MAX(('Grocery Spending'!$E$5:$E$404=A106)*'Grocery Spending'!$I$5:$I$404)))</f>
        <v>0</v>
      </c>
      <c r="AK106" s="8">
        <f>IF(OR(A106="",AI106="",AJ106=0),"",AJ106-AI106)</f>
        <v>0</v>
      </c>
      <c r="AL106" s="8">
        <f>IF(OR(A106="",AG106="",AH106=""),"",AG106-AH106)</f>
        <v>0</v>
      </c>
      <c r="AM106" s="8">
        <f>IF(A106="","",IF(AL106="","",IF(AL106&gt;0.01,"Up",IF(AL106&lt;-0.01,"Down","Flat"))))</f>
        <v>0</v>
      </c>
      <c r="AN106" s="25"/>
    </row>
    <row r="107" spans="1:40">
      <c r="A107" s="7"/>
      <c r="B107" s="27"/>
      <c r="C107" s="27"/>
      <c r="D107" s="28"/>
      <c r="E107" s="27"/>
      <c r="F107" s="26"/>
      <c r="G107" s="8">
        <f>IF(OR(D107="",F107="",F107=0),"",D107/F107)</f>
        <v>0</v>
      </c>
      <c r="H107" s="26"/>
      <c r="I107" s="26"/>
      <c r="J107" s="26"/>
      <c r="K107" s="26"/>
      <c r="L107" s="26"/>
      <c r="M107" s="26"/>
      <c r="N107" s="27"/>
      <c r="O107" s="27"/>
      <c r="P107" s="27"/>
      <c r="Q107" s="27"/>
      <c r="R107" s="7"/>
      <c r="S107" s="8">
        <f>IF(A107="","",SUMIFS(Pantry!$C$5:$C$304,Pantry!$A$5:$A$304,A107))</f>
        <v>0</v>
      </c>
      <c r="T107" s="8">
        <f>IF(A107="","",COUNTIFS('Grocery List'!$A$5:$A$304,A107,'Grocery List'!$N$5:$N$304,"Yes"))</f>
        <v>0</v>
      </c>
      <c r="U107" s="8">
        <f>IF(A107="","",SUMIFS('Grocery List'!$M$5:$M$304,'Grocery List'!$A$5:$A$304,A107))</f>
        <v>0</v>
      </c>
      <c r="V107" s="8">
        <f>IF(A107="","",COUNTIFS('Recipe Ingredients'!$B$5:$B$1204,A107))</f>
        <v>0</v>
      </c>
      <c r="W107" s="8">
        <f>IF(A107="","",SUMIFS('Recipe Ingredients'!$C$5:$C$1204,'Recipe Ingredients'!$B$5:$B$1204,A107))</f>
        <v>0</v>
      </c>
      <c r="X107" s="8">
        <f>IF(A107="","",IF(U107&lt;=0,IF(S107&gt;0,99,0),ROUND(S107/U107,1)))</f>
        <v>0</v>
      </c>
      <c r="Y107" s="8">
        <f>IF(A107="","",U107*10+IF(O107="Yes",5,0)+IF(X107&lt;1,10,0)+IF(S107&lt;=0,3,0))</f>
        <v>0</v>
      </c>
      <c r="Z107" s="8">
        <f>IF(A107="","",COUNTIFS($Y$5:$Y$304,"&gt;"&amp;Y107)+1)</f>
        <v>0</v>
      </c>
      <c r="AA107" s="8">
        <f>IF(A107="","",IF(OR(U107&gt;0,AND(O107="Yes",X107&lt;2)),"Yes","No"))</f>
        <v>0</v>
      </c>
      <c r="AB107" s="8">
        <f>IF(OR(A107="",D107=""),"",S107*D107)</f>
        <v>0</v>
      </c>
      <c r="AC107" s="8">
        <f>IF(AB107="","",COUNTIFS($AB$5:$AB$304,"&gt;"&amp;AB107)+1)</f>
        <v>0</v>
      </c>
      <c r="AD107" s="8">
        <f>IF(A107="","",SUMIFS('Food Waste'!$E$5:$E$154,'Food Waste'!$C$5:$C$154,A107))</f>
        <v>0</v>
      </c>
      <c r="AE107" s="8">
        <f>IF(OR(A107="",AD107=0),"",COUNTIFS($AD$5:$AD$304,"&gt;"&amp;AD107)+1)</f>
        <v>0</v>
      </c>
      <c r="AF107" s="8">
        <f>IF(A107="","",IF(SUMPRODUCT(MAX(('Grocery Spending'!$E$5:$E$404=A107)*'Grocery Spending'!$A$5:$A$404))=0,"",SUMPRODUCT(MAX(('Grocery Spending'!$E$5:$E$404=A107)*'Grocery Spending'!$A$5:$A$404))))</f>
        <v>0</v>
      </c>
      <c r="AG107" s="8">
        <f>IF(OR(A107="",AF107=""),"",IFERROR(AVERAGEIFS('Grocery Spending'!$I$5:$I$404,'Grocery Spending'!$E$5:$E$404,A107,'Grocery Spending'!$A$5:$A$404,AF107),""))</f>
        <v>0</v>
      </c>
      <c r="AH107" s="8">
        <f>IF(A107="","",IFERROR(AVERAGEIFS('Grocery Spending'!$I$5:$I$404,'Grocery Spending'!$E$5:$E$404,A107),""))</f>
        <v>0</v>
      </c>
      <c r="AI107" s="8">
        <f>IF(A107="","",IF(SUMPRODUCT(MIN(('Grocery Spending'!$E$5:$E$404=A107)*'Grocery Spending'!$I$5:$I$404+('Grocery Spending'!$E$5:$E$404&lt;&gt;A107)*1000000))&gt;=1000000,"",SUMPRODUCT(MIN(('Grocery Spending'!$E$5:$E$404=A107)*'Grocery Spending'!$I$5:$I$404+('Grocery Spending'!$E$5:$E$404&lt;&gt;A107)*1000000))))</f>
        <v>0</v>
      </c>
      <c r="AJ107" s="8">
        <f>IF(A107="","",SUMPRODUCT(MAX(('Grocery Spending'!$E$5:$E$404=A107)*'Grocery Spending'!$I$5:$I$404)))</f>
        <v>0</v>
      </c>
      <c r="AK107" s="8">
        <f>IF(OR(A107="",AI107="",AJ107=0),"",AJ107-AI107)</f>
        <v>0</v>
      </c>
      <c r="AL107" s="8">
        <f>IF(OR(A107="",AG107="",AH107=""),"",AG107-AH107)</f>
        <v>0</v>
      </c>
      <c r="AM107" s="8">
        <f>IF(A107="","",IF(AL107="","",IF(AL107&gt;0.01,"Up",IF(AL107&lt;-0.01,"Down","Flat"))))</f>
        <v>0</v>
      </c>
      <c r="AN107" s="25"/>
    </row>
    <row r="108" spans="1:40">
      <c r="A108" s="7"/>
      <c r="B108" s="27"/>
      <c r="C108" s="27"/>
      <c r="D108" s="28"/>
      <c r="E108" s="27"/>
      <c r="F108" s="26"/>
      <c r="G108" s="8">
        <f>IF(OR(D108="",F108="",F108=0),"",D108/F108)</f>
        <v>0</v>
      </c>
      <c r="H108" s="26"/>
      <c r="I108" s="26"/>
      <c r="J108" s="26"/>
      <c r="K108" s="26"/>
      <c r="L108" s="26"/>
      <c r="M108" s="26"/>
      <c r="N108" s="27"/>
      <c r="O108" s="27"/>
      <c r="P108" s="27"/>
      <c r="Q108" s="27"/>
      <c r="R108" s="7"/>
      <c r="S108" s="8">
        <f>IF(A108="","",SUMIFS(Pantry!$C$5:$C$304,Pantry!$A$5:$A$304,A108))</f>
        <v>0</v>
      </c>
      <c r="T108" s="8">
        <f>IF(A108="","",COUNTIFS('Grocery List'!$A$5:$A$304,A108,'Grocery List'!$N$5:$N$304,"Yes"))</f>
        <v>0</v>
      </c>
      <c r="U108" s="8">
        <f>IF(A108="","",SUMIFS('Grocery List'!$M$5:$M$304,'Grocery List'!$A$5:$A$304,A108))</f>
        <v>0</v>
      </c>
      <c r="V108" s="8">
        <f>IF(A108="","",COUNTIFS('Recipe Ingredients'!$B$5:$B$1204,A108))</f>
        <v>0</v>
      </c>
      <c r="W108" s="8">
        <f>IF(A108="","",SUMIFS('Recipe Ingredients'!$C$5:$C$1204,'Recipe Ingredients'!$B$5:$B$1204,A108))</f>
        <v>0</v>
      </c>
      <c r="X108" s="8">
        <f>IF(A108="","",IF(U108&lt;=0,IF(S108&gt;0,99,0),ROUND(S108/U108,1)))</f>
        <v>0</v>
      </c>
      <c r="Y108" s="8">
        <f>IF(A108="","",U108*10+IF(O108="Yes",5,0)+IF(X108&lt;1,10,0)+IF(S108&lt;=0,3,0))</f>
        <v>0</v>
      </c>
      <c r="Z108" s="8">
        <f>IF(A108="","",COUNTIFS($Y$5:$Y$304,"&gt;"&amp;Y108)+1)</f>
        <v>0</v>
      </c>
      <c r="AA108" s="8">
        <f>IF(A108="","",IF(OR(U108&gt;0,AND(O108="Yes",X108&lt;2)),"Yes","No"))</f>
        <v>0</v>
      </c>
      <c r="AB108" s="8">
        <f>IF(OR(A108="",D108=""),"",S108*D108)</f>
        <v>0</v>
      </c>
      <c r="AC108" s="8">
        <f>IF(AB108="","",COUNTIFS($AB$5:$AB$304,"&gt;"&amp;AB108)+1)</f>
        <v>0</v>
      </c>
      <c r="AD108" s="8">
        <f>IF(A108="","",SUMIFS('Food Waste'!$E$5:$E$154,'Food Waste'!$C$5:$C$154,A108))</f>
        <v>0</v>
      </c>
      <c r="AE108" s="8">
        <f>IF(OR(A108="",AD108=0),"",COUNTIFS($AD$5:$AD$304,"&gt;"&amp;AD108)+1)</f>
        <v>0</v>
      </c>
      <c r="AF108" s="8">
        <f>IF(A108="","",IF(SUMPRODUCT(MAX(('Grocery Spending'!$E$5:$E$404=A108)*'Grocery Spending'!$A$5:$A$404))=0,"",SUMPRODUCT(MAX(('Grocery Spending'!$E$5:$E$404=A108)*'Grocery Spending'!$A$5:$A$404))))</f>
        <v>0</v>
      </c>
      <c r="AG108" s="8">
        <f>IF(OR(A108="",AF108=""),"",IFERROR(AVERAGEIFS('Grocery Spending'!$I$5:$I$404,'Grocery Spending'!$E$5:$E$404,A108,'Grocery Spending'!$A$5:$A$404,AF108),""))</f>
        <v>0</v>
      </c>
      <c r="AH108" s="8">
        <f>IF(A108="","",IFERROR(AVERAGEIFS('Grocery Spending'!$I$5:$I$404,'Grocery Spending'!$E$5:$E$404,A108),""))</f>
        <v>0</v>
      </c>
      <c r="AI108" s="8">
        <f>IF(A108="","",IF(SUMPRODUCT(MIN(('Grocery Spending'!$E$5:$E$404=A108)*'Grocery Spending'!$I$5:$I$404+('Grocery Spending'!$E$5:$E$404&lt;&gt;A108)*1000000))&gt;=1000000,"",SUMPRODUCT(MIN(('Grocery Spending'!$E$5:$E$404=A108)*'Grocery Spending'!$I$5:$I$404+('Grocery Spending'!$E$5:$E$404&lt;&gt;A108)*1000000))))</f>
        <v>0</v>
      </c>
      <c r="AJ108" s="8">
        <f>IF(A108="","",SUMPRODUCT(MAX(('Grocery Spending'!$E$5:$E$404=A108)*'Grocery Spending'!$I$5:$I$404)))</f>
        <v>0</v>
      </c>
      <c r="AK108" s="8">
        <f>IF(OR(A108="",AI108="",AJ108=0),"",AJ108-AI108)</f>
        <v>0</v>
      </c>
      <c r="AL108" s="8">
        <f>IF(OR(A108="",AG108="",AH108=""),"",AG108-AH108)</f>
        <v>0</v>
      </c>
      <c r="AM108" s="8">
        <f>IF(A108="","",IF(AL108="","",IF(AL108&gt;0.01,"Up",IF(AL108&lt;-0.01,"Down","Flat"))))</f>
        <v>0</v>
      </c>
      <c r="AN108" s="25"/>
    </row>
    <row r="109" spans="1:40">
      <c r="A109" s="7"/>
      <c r="B109" s="27"/>
      <c r="C109" s="27"/>
      <c r="D109" s="28"/>
      <c r="E109" s="27"/>
      <c r="F109" s="26"/>
      <c r="G109" s="8">
        <f>IF(OR(D109="",F109="",F109=0),"",D109/F109)</f>
        <v>0</v>
      </c>
      <c r="H109" s="26"/>
      <c r="I109" s="26"/>
      <c r="J109" s="26"/>
      <c r="K109" s="26"/>
      <c r="L109" s="26"/>
      <c r="M109" s="26"/>
      <c r="N109" s="27"/>
      <c r="O109" s="27"/>
      <c r="P109" s="27"/>
      <c r="Q109" s="27"/>
      <c r="R109" s="7"/>
      <c r="S109" s="8">
        <f>IF(A109="","",SUMIFS(Pantry!$C$5:$C$304,Pantry!$A$5:$A$304,A109))</f>
        <v>0</v>
      </c>
      <c r="T109" s="8">
        <f>IF(A109="","",COUNTIFS('Grocery List'!$A$5:$A$304,A109,'Grocery List'!$N$5:$N$304,"Yes"))</f>
        <v>0</v>
      </c>
      <c r="U109" s="8">
        <f>IF(A109="","",SUMIFS('Grocery List'!$M$5:$M$304,'Grocery List'!$A$5:$A$304,A109))</f>
        <v>0</v>
      </c>
      <c r="V109" s="8">
        <f>IF(A109="","",COUNTIFS('Recipe Ingredients'!$B$5:$B$1204,A109))</f>
        <v>0</v>
      </c>
      <c r="W109" s="8">
        <f>IF(A109="","",SUMIFS('Recipe Ingredients'!$C$5:$C$1204,'Recipe Ingredients'!$B$5:$B$1204,A109))</f>
        <v>0</v>
      </c>
      <c r="X109" s="8">
        <f>IF(A109="","",IF(U109&lt;=0,IF(S109&gt;0,99,0),ROUND(S109/U109,1)))</f>
        <v>0</v>
      </c>
      <c r="Y109" s="8">
        <f>IF(A109="","",U109*10+IF(O109="Yes",5,0)+IF(X109&lt;1,10,0)+IF(S109&lt;=0,3,0))</f>
        <v>0</v>
      </c>
      <c r="Z109" s="8">
        <f>IF(A109="","",COUNTIFS($Y$5:$Y$304,"&gt;"&amp;Y109)+1)</f>
        <v>0</v>
      </c>
      <c r="AA109" s="8">
        <f>IF(A109="","",IF(OR(U109&gt;0,AND(O109="Yes",X109&lt;2)),"Yes","No"))</f>
        <v>0</v>
      </c>
      <c r="AB109" s="8">
        <f>IF(OR(A109="",D109=""),"",S109*D109)</f>
        <v>0</v>
      </c>
      <c r="AC109" s="8">
        <f>IF(AB109="","",COUNTIFS($AB$5:$AB$304,"&gt;"&amp;AB109)+1)</f>
        <v>0</v>
      </c>
      <c r="AD109" s="8">
        <f>IF(A109="","",SUMIFS('Food Waste'!$E$5:$E$154,'Food Waste'!$C$5:$C$154,A109))</f>
        <v>0</v>
      </c>
      <c r="AE109" s="8">
        <f>IF(OR(A109="",AD109=0),"",COUNTIFS($AD$5:$AD$304,"&gt;"&amp;AD109)+1)</f>
        <v>0</v>
      </c>
      <c r="AF109" s="8">
        <f>IF(A109="","",IF(SUMPRODUCT(MAX(('Grocery Spending'!$E$5:$E$404=A109)*'Grocery Spending'!$A$5:$A$404))=0,"",SUMPRODUCT(MAX(('Grocery Spending'!$E$5:$E$404=A109)*'Grocery Spending'!$A$5:$A$404))))</f>
        <v>0</v>
      </c>
      <c r="AG109" s="8">
        <f>IF(OR(A109="",AF109=""),"",IFERROR(AVERAGEIFS('Grocery Spending'!$I$5:$I$404,'Grocery Spending'!$E$5:$E$404,A109,'Grocery Spending'!$A$5:$A$404,AF109),""))</f>
        <v>0</v>
      </c>
      <c r="AH109" s="8">
        <f>IF(A109="","",IFERROR(AVERAGEIFS('Grocery Spending'!$I$5:$I$404,'Grocery Spending'!$E$5:$E$404,A109),""))</f>
        <v>0</v>
      </c>
      <c r="AI109" s="8">
        <f>IF(A109="","",IF(SUMPRODUCT(MIN(('Grocery Spending'!$E$5:$E$404=A109)*'Grocery Spending'!$I$5:$I$404+('Grocery Spending'!$E$5:$E$404&lt;&gt;A109)*1000000))&gt;=1000000,"",SUMPRODUCT(MIN(('Grocery Spending'!$E$5:$E$404=A109)*'Grocery Spending'!$I$5:$I$404+('Grocery Spending'!$E$5:$E$404&lt;&gt;A109)*1000000))))</f>
        <v>0</v>
      </c>
      <c r="AJ109" s="8">
        <f>IF(A109="","",SUMPRODUCT(MAX(('Grocery Spending'!$E$5:$E$404=A109)*'Grocery Spending'!$I$5:$I$404)))</f>
        <v>0</v>
      </c>
      <c r="AK109" s="8">
        <f>IF(OR(A109="",AI109="",AJ109=0),"",AJ109-AI109)</f>
        <v>0</v>
      </c>
      <c r="AL109" s="8">
        <f>IF(OR(A109="",AG109="",AH109=""),"",AG109-AH109)</f>
        <v>0</v>
      </c>
      <c r="AM109" s="8">
        <f>IF(A109="","",IF(AL109="","",IF(AL109&gt;0.01,"Up",IF(AL109&lt;-0.01,"Down","Flat"))))</f>
        <v>0</v>
      </c>
      <c r="AN109" s="25"/>
    </row>
    <row r="110" spans="1:40">
      <c r="A110" s="7"/>
      <c r="B110" s="27"/>
      <c r="C110" s="27"/>
      <c r="D110" s="28"/>
      <c r="E110" s="27"/>
      <c r="F110" s="26"/>
      <c r="G110" s="8">
        <f>IF(OR(D110="",F110="",F110=0),"",D110/F110)</f>
        <v>0</v>
      </c>
      <c r="H110" s="26"/>
      <c r="I110" s="26"/>
      <c r="J110" s="26"/>
      <c r="K110" s="26"/>
      <c r="L110" s="26"/>
      <c r="M110" s="26"/>
      <c r="N110" s="27"/>
      <c r="O110" s="27"/>
      <c r="P110" s="27"/>
      <c r="Q110" s="27"/>
      <c r="R110" s="7"/>
      <c r="S110" s="8">
        <f>IF(A110="","",SUMIFS(Pantry!$C$5:$C$304,Pantry!$A$5:$A$304,A110))</f>
        <v>0</v>
      </c>
      <c r="T110" s="8">
        <f>IF(A110="","",COUNTIFS('Grocery List'!$A$5:$A$304,A110,'Grocery List'!$N$5:$N$304,"Yes"))</f>
        <v>0</v>
      </c>
      <c r="U110" s="8">
        <f>IF(A110="","",SUMIFS('Grocery List'!$M$5:$M$304,'Grocery List'!$A$5:$A$304,A110))</f>
        <v>0</v>
      </c>
      <c r="V110" s="8">
        <f>IF(A110="","",COUNTIFS('Recipe Ingredients'!$B$5:$B$1204,A110))</f>
        <v>0</v>
      </c>
      <c r="W110" s="8">
        <f>IF(A110="","",SUMIFS('Recipe Ingredients'!$C$5:$C$1204,'Recipe Ingredients'!$B$5:$B$1204,A110))</f>
        <v>0</v>
      </c>
      <c r="X110" s="8">
        <f>IF(A110="","",IF(U110&lt;=0,IF(S110&gt;0,99,0),ROUND(S110/U110,1)))</f>
        <v>0</v>
      </c>
      <c r="Y110" s="8">
        <f>IF(A110="","",U110*10+IF(O110="Yes",5,0)+IF(X110&lt;1,10,0)+IF(S110&lt;=0,3,0))</f>
        <v>0</v>
      </c>
      <c r="Z110" s="8">
        <f>IF(A110="","",COUNTIFS($Y$5:$Y$304,"&gt;"&amp;Y110)+1)</f>
        <v>0</v>
      </c>
      <c r="AA110" s="8">
        <f>IF(A110="","",IF(OR(U110&gt;0,AND(O110="Yes",X110&lt;2)),"Yes","No"))</f>
        <v>0</v>
      </c>
      <c r="AB110" s="8">
        <f>IF(OR(A110="",D110=""),"",S110*D110)</f>
        <v>0</v>
      </c>
      <c r="AC110" s="8">
        <f>IF(AB110="","",COUNTIFS($AB$5:$AB$304,"&gt;"&amp;AB110)+1)</f>
        <v>0</v>
      </c>
      <c r="AD110" s="8">
        <f>IF(A110="","",SUMIFS('Food Waste'!$E$5:$E$154,'Food Waste'!$C$5:$C$154,A110))</f>
        <v>0</v>
      </c>
      <c r="AE110" s="8">
        <f>IF(OR(A110="",AD110=0),"",COUNTIFS($AD$5:$AD$304,"&gt;"&amp;AD110)+1)</f>
        <v>0</v>
      </c>
      <c r="AF110" s="8">
        <f>IF(A110="","",IF(SUMPRODUCT(MAX(('Grocery Spending'!$E$5:$E$404=A110)*'Grocery Spending'!$A$5:$A$404))=0,"",SUMPRODUCT(MAX(('Grocery Spending'!$E$5:$E$404=A110)*'Grocery Spending'!$A$5:$A$404))))</f>
        <v>0</v>
      </c>
      <c r="AG110" s="8">
        <f>IF(OR(A110="",AF110=""),"",IFERROR(AVERAGEIFS('Grocery Spending'!$I$5:$I$404,'Grocery Spending'!$E$5:$E$404,A110,'Grocery Spending'!$A$5:$A$404,AF110),""))</f>
        <v>0</v>
      </c>
      <c r="AH110" s="8">
        <f>IF(A110="","",IFERROR(AVERAGEIFS('Grocery Spending'!$I$5:$I$404,'Grocery Spending'!$E$5:$E$404,A110),""))</f>
        <v>0</v>
      </c>
      <c r="AI110" s="8">
        <f>IF(A110="","",IF(SUMPRODUCT(MIN(('Grocery Spending'!$E$5:$E$404=A110)*'Grocery Spending'!$I$5:$I$404+('Grocery Spending'!$E$5:$E$404&lt;&gt;A110)*1000000))&gt;=1000000,"",SUMPRODUCT(MIN(('Grocery Spending'!$E$5:$E$404=A110)*'Grocery Spending'!$I$5:$I$404+('Grocery Spending'!$E$5:$E$404&lt;&gt;A110)*1000000))))</f>
        <v>0</v>
      </c>
      <c r="AJ110" s="8">
        <f>IF(A110="","",SUMPRODUCT(MAX(('Grocery Spending'!$E$5:$E$404=A110)*'Grocery Spending'!$I$5:$I$404)))</f>
        <v>0</v>
      </c>
      <c r="AK110" s="8">
        <f>IF(OR(A110="",AI110="",AJ110=0),"",AJ110-AI110)</f>
        <v>0</v>
      </c>
      <c r="AL110" s="8">
        <f>IF(OR(A110="",AG110="",AH110=""),"",AG110-AH110)</f>
        <v>0</v>
      </c>
      <c r="AM110" s="8">
        <f>IF(A110="","",IF(AL110="","",IF(AL110&gt;0.01,"Up",IF(AL110&lt;-0.01,"Down","Flat"))))</f>
        <v>0</v>
      </c>
      <c r="AN110" s="25"/>
    </row>
    <row r="111" spans="1:40">
      <c r="A111" s="7"/>
      <c r="B111" s="27"/>
      <c r="C111" s="27"/>
      <c r="D111" s="28"/>
      <c r="E111" s="27"/>
      <c r="F111" s="26"/>
      <c r="G111" s="8">
        <f>IF(OR(D111="",F111="",F111=0),"",D111/F111)</f>
        <v>0</v>
      </c>
      <c r="H111" s="26"/>
      <c r="I111" s="26"/>
      <c r="J111" s="26"/>
      <c r="K111" s="26"/>
      <c r="L111" s="26"/>
      <c r="M111" s="26"/>
      <c r="N111" s="27"/>
      <c r="O111" s="27"/>
      <c r="P111" s="27"/>
      <c r="Q111" s="27"/>
      <c r="R111" s="7"/>
      <c r="S111" s="8">
        <f>IF(A111="","",SUMIFS(Pantry!$C$5:$C$304,Pantry!$A$5:$A$304,A111))</f>
        <v>0</v>
      </c>
      <c r="T111" s="8">
        <f>IF(A111="","",COUNTIFS('Grocery List'!$A$5:$A$304,A111,'Grocery List'!$N$5:$N$304,"Yes"))</f>
        <v>0</v>
      </c>
      <c r="U111" s="8">
        <f>IF(A111="","",SUMIFS('Grocery List'!$M$5:$M$304,'Grocery List'!$A$5:$A$304,A111))</f>
        <v>0</v>
      </c>
      <c r="V111" s="8">
        <f>IF(A111="","",COUNTIFS('Recipe Ingredients'!$B$5:$B$1204,A111))</f>
        <v>0</v>
      </c>
      <c r="W111" s="8">
        <f>IF(A111="","",SUMIFS('Recipe Ingredients'!$C$5:$C$1204,'Recipe Ingredients'!$B$5:$B$1204,A111))</f>
        <v>0</v>
      </c>
      <c r="X111" s="8">
        <f>IF(A111="","",IF(U111&lt;=0,IF(S111&gt;0,99,0),ROUND(S111/U111,1)))</f>
        <v>0</v>
      </c>
      <c r="Y111" s="8">
        <f>IF(A111="","",U111*10+IF(O111="Yes",5,0)+IF(X111&lt;1,10,0)+IF(S111&lt;=0,3,0))</f>
        <v>0</v>
      </c>
      <c r="Z111" s="8">
        <f>IF(A111="","",COUNTIFS($Y$5:$Y$304,"&gt;"&amp;Y111)+1)</f>
        <v>0</v>
      </c>
      <c r="AA111" s="8">
        <f>IF(A111="","",IF(OR(U111&gt;0,AND(O111="Yes",X111&lt;2)),"Yes","No"))</f>
        <v>0</v>
      </c>
      <c r="AB111" s="8">
        <f>IF(OR(A111="",D111=""),"",S111*D111)</f>
        <v>0</v>
      </c>
      <c r="AC111" s="8">
        <f>IF(AB111="","",COUNTIFS($AB$5:$AB$304,"&gt;"&amp;AB111)+1)</f>
        <v>0</v>
      </c>
      <c r="AD111" s="8">
        <f>IF(A111="","",SUMIFS('Food Waste'!$E$5:$E$154,'Food Waste'!$C$5:$C$154,A111))</f>
        <v>0</v>
      </c>
      <c r="AE111" s="8">
        <f>IF(OR(A111="",AD111=0),"",COUNTIFS($AD$5:$AD$304,"&gt;"&amp;AD111)+1)</f>
        <v>0</v>
      </c>
      <c r="AF111" s="8">
        <f>IF(A111="","",IF(SUMPRODUCT(MAX(('Grocery Spending'!$E$5:$E$404=A111)*'Grocery Spending'!$A$5:$A$404))=0,"",SUMPRODUCT(MAX(('Grocery Spending'!$E$5:$E$404=A111)*'Grocery Spending'!$A$5:$A$404))))</f>
        <v>0</v>
      </c>
      <c r="AG111" s="8">
        <f>IF(OR(A111="",AF111=""),"",IFERROR(AVERAGEIFS('Grocery Spending'!$I$5:$I$404,'Grocery Spending'!$E$5:$E$404,A111,'Grocery Spending'!$A$5:$A$404,AF111),""))</f>
        <v>0</v>
      </c>
      <c r="AH111" s="8">
        <f>IF(A111="","",IFERROR(AVERAGEIFS('Grocery Spending'!$I$5:$I$404,'Grocery Spending'!$E$5:$E$404,A111),""))</f>
        <v>0</v>
      </c>
      <c r="AI111" s="8">
        <f>IF(A111="","",IF(SUMPRODUCT(MIN(('Grocery Spending'!$E$5:$E$404=A111)*'Grocery Spending'!$I$5:$I$404+('Grocery Spending'!$E$5:$E$404&lt;&gt;A111)*1000000))&gt;=1000000,"",SUMPRODUCT(MIN(('Grocery Spending'!$E$5:$E$404=A111)*'Grocery Spending'!$I$5:$I$404+('Grocery Spending'!$E$5:$E$404&lt;&gt;A111)*1000000))))</f>
        <v>0</v>
      </c>
      <c r="AJ111" s="8">
        <f>IF(A111="","",SUMPRODUCT(MAX(('Grocery Spending'!$E$5:$E$404=A111)*'Grocery Spending'!$I$5:$I$404)))</f>
        <v>0</v>
      </c>
      <c r="AK111" s="8">
        <f>IF(OR(A111="",AI111="",AJ111=0),"",AJ111-AI111)</f>
        <v>0</v>
      </c>
      <c r="AL111" s="8">
        <f>IF(OR(A111="",AG111="",AH111=""),"",AG111-AH111)</f>
        <v>0</v>
      </c>
      <c r="AM111" s="8">
        <f>IF(A111="","",IF(AL111="","",IF(AL111&gt;0.01,"Up",IF(AL111&lt;-0.01,"Down","Flat"))))</f>
        <v>0</v>
      </c>
      <c r="AN111" s="25"/>
    </row>
    <row r="112" spans="1:40">
      <c r="A112" s="7"/>
      <c r="B112" s="27"/>
      <c r="C112" s="27"/>
      <c r="D112" s="28"/>
      <c r="E112" s="27"/>
      <c r="F112" s="26"/>
      <c r="G112" s="8">
        <f>IF(OR(D112="",F112="",F112=0),"",D112/F112)</f>
        <v>0</v>
      </c>
      <c r="H112" s="26"/>
      <c r="I112" s="26"/>
      <c r="J112" s="26"/>
      <c r="K112" s="26"/>
      <c r="L112" s="26"/>
      <c r="M112" s="26"/>
      <c r="N112" s="27"/>
      <c r="O112" s="27"/>
      <c r="P112" s="27"/>
      <c r="Q112" s="27"/>
      <c r="R112" s="7"/>
      <c r="S112" s="8">
        <f>IF(A112="","",SUMIFS(Pantry!$C$5:$C$304,Pantry!$A$5:$A$304,A112))</f>
        <v>0</v>
      </c>
      <c r="T112" s="8">
        <f>IF(A112="","",COUNTIFS('Grocery List'!$A$5:$A$304,A112,'Grocery List'!$N$5:$N$304,"Yes"))</f>
        <v>0</v>
      </c>
      <c r="U112" s="8">
        <f>IF(A112="","",SUMIFS('Grocery List'!$M$5:$M$304,'Grocery List'!$A$5:$A$304,A112))</f>
        <v>0</v>
      </c>
      <c r="V112" s="8">
        <f>IF(A112="","",COUNTIFS('Recipe Ingredients'!$B$5:$B$1204,A112))</f>
        <v>0</v>
      </c>
      <c r="W112" s="8">
        <f>IF(A112="","",SUMIFS('Recipe Ingredients'!$C$5:$C$1204,'Recipe Ingredients'!$B$5:$B$1204,A112))</f>
        <v>0</v>
      </c>
      <c r="X112" s="8">
        <f>IF(A112="","",IF(U112&lt;=0,IF(S112&gt;0,99,0),ROUND(S112/U112,1)))</f>
        <v>0</v>
      </c>
      <c r="Y112" s="8">
        <f>IF(A112="","",U112*10+IF(O112="Yes",5,0)+IF(X112&lt;1,10,0)+IF(S112&lt;=0,3,0))</f>
        <v>0</v>
      </c>
      <c r="Z112" s="8">
        <f>IF(A112="","",COUNTIFS($Y$5:$Y$304,"&gt;"&amp;Y112)+1)</f>
        <v>0</v>
      </c>
      <c r="AA112" s="8">
        <f>IF(A112="","",IF(OR(U112&gt;0,AND(O112="Yes",X112&lt;2)),"Yes","No"))</f>
        <v>0</v>
      </c>
      <c r="AB112" s="8">
        <f>IF(OR(A112="",D112=""),"",S112*D112)</f>
        <v>0</v>
      </c>
      <c r="AC112" s="8">
        <f>IF(AB112="","",COUNTIFS($AB$5:$AB$304,"&gt;"&amp;AB112)+1)</f>
        <v>0</v>
      </c>
      <c r="AD112" s="8">
        <f>IF(A112="","",SUMIFS('Food Waste'!$E$5:$E$154,'Food Waste'!$C$5:$C$154,A112))</f>
        <v>0</v>
      </c>
      <c r="AE112" s="8">
        <f>IF(OR(A112="",AD112=0),"",COUNTIFS($AD$5:$AD$304,"&gt;"&amp;AD112)+1)</f>
        <v>0</v>
      </c>
      <c r="AF112" s="8">
        <f>IF(A112="","",IF(SUMPRODUCT(MAX(('Grocery Spending'!$E$5:$E$404=A112)*'Grocery Spending'!$A$5:$A$404))=0,"",SUMPRODUCT(MAX(('Grocery Spending'!$E$5:$E$404=A112)*'Grocery Spending'!$A$5:$A$404))))</f>
        <v>0</v>
      </c>
      <c r="AG112" s="8">
        <f>IF(OR(A112="",AF112=""),"",IFERROR(AVERAGEIFS('Grocery Spending'!$I$5:$I$404,'Grocery Spending'!$E$5:$E$404,A112,'Grocery Spending'!$A$5:$A$404,AF112),""))</f>
        <v>0</v>
      </c>
      <c r="AH112" s="8">
        <f>IF(A112="","",IFERROR(AVERAGEIFS('Grocery Spending'!$I$5:$I$404,'Grocery Spending'!$E$5:$E$404,A112),""))</f>
        <v>0</v>
      </c>
      <c r="AI112" s="8">
        <f>IF(A112="","",IF(SUMPRODUCT(MIN(('Grocery Spending'!$E$5:$E$404=A112)*'Grocery Spending'!$I$5:$I$404+('Grocery Spending'!$E$5:$E$404&lt;&gt;A112)*1000000))&gt;=1000000,"",SUMPRODUCT(MIN(('Grocery Spending'!$E$5:$E$404=A112)*'Grocery Spending'!$I$5:$I$404+('Grocery Spending'!$E$5:$E$404&lt;&gt;A112)*1000000))))</f>
        <v>0</v>
      </c>
      <c r="AJ112" s="8">
        <f>IF(A112="","",SUMPRODUCT(MAX(('Grocery Spending'!$E$5:$E$404=A112)*'Grocery Spending'!$I$5:$I$404)))</f>
        <v>0</v>
      </c>
      <c r="AK112" s="8">
        <f>IF(OR(A112="",AI112="",AJ112=0),"",AJ112-AI112)</f>
        <v>0</v>
      </c>
      <c r="AL112" s="8">
        <f>IF(OR(A112="",AG112="",AH112=""),"",AG112-AH112)</f>
        <v>0</v>
      </c>
      <c r="AM112" s="8">
        <f>IF(A112="","",IF(AL112="","",IF(AL112&gt;0.01,"Up",IF(AL112&lt;-0.01,"Down","Flat"))))</f>
        <v>0</v>
      </c>
      <c r="AN112" s="25"/>
    </row>
    <row r="113" spans="1:40">
      <c r="A113" s="7"/>
      <c r="B113" s="27"/>
      <c r="C113" s="27"/>
      <c r="D113" s="28"/>
      <c r="E113" s="27"/>
      <c r="F113" s="26"/>
      <c r="G113" s="8">
        <f>IF(OR(D113="",F113="",F113=0),"",D113/F113)</f>
        <v>0</v>
      </c>
      <c r="H113" s="26"/>
      <c r="I113" s="26"/>
      <c r="J113" s="26"/>
      <c r="K113" s="26"/>
      <c r="L113" s="26"/>
      <c r="M113" s="26"/>
      <c r="N113" s="27"/>
      <c r="O113" s="27"/>
      <c r="P113" s="27"/>
      <c r="Q113" s="27"/>
      <c r="R113" s="7"/>
      <c r="S113" s="8">
        <f>IF(A113="","",SUMIFS(Pantry!$C$5:$C$304,Pantry!$A$5:$A$304,A113))</f>
        <v>0</v>
      </c>
      <c r="T113" s="8">
        <f>IF(A113="","",COUNTIFS('Grocery List'!$A$5:$A$304,A113,'Grocery List'!$N$5:$N$304,"Yes"))</f>
        <v>0</v>
      </c>
      <c r="U113" s="8">
        <f>IF(A113="","",SUMIFS('Grocery List'!$M$5:$M$304,'Grocery List'!$A$5:$A$304,A113))</f>
        <v>0</v>
      </c>
      <c r="V113" s="8">
        <f>IF(A113="","",COUNTIFS('Recipe Ingredients'!$B$5:$B$1204,A113))</f>
        <v>0</v>
      </c>
      <c r="W113" s="8">
        <f>IF(A113="","",SUMIFS('Recipe Ingredients'!$C$5:$C$1204,'Recipe Ingredients'!$B$5:$B$1204,A113))</f>
        <v>0</v>
      </c>
      <c r="X113" s="8">
        <f>IF(A113="","",IF(U113&lt;=0,IF(S113&gt;0,99,0),ROUND(S113/U113,1)))</f>
        <v>0</v>
      </c>
      <c r="Y113" s="8">
        <f>IF(A113="","",U113*10+IF(O113="Yes",5,0)+IF(X113&lt;1,10,0)+IF(S113&lt;=0,3,0))</f>
        <v>0</v>
      </c>
      <c r="Z113" s="8">
        <f>IF(A113="","",COUNTIFS($Y$5:$Y$304,"&gt;"&amp;Y113)+1)</f>
        <v>0</v>
      </c>
      <c r="AA113" s="8">
        <f>IF(A113="","",IF(OR(U113&gt;0,AND(O113="Yes",X113&lt;2)),"Yes","No"))</f>
        <v>0</v>
      </c>
      <c r="AB113" s="8">
        <f>IF(OR(A113="",D113=""),"",S113*D113)</f>
        <v>0</v>
      </c>
      <c r="AC113" s="8">
        <f>IF(AB113="","",COUNTIFS($AB$5:$AB$304,"&gt;"&amp;AB113)+1)</f>
        <v>0</v>
      </c>
      <c r="AD113" s="8">
        <f>IF(A113="","",SUMIFS('Food Waste'!$E$5:$E$154,'Food Waste'!$C$5:$C$154,A113))</f>
        <v>0</v>
      </c>
      <c r="AE113" s="8">
        <f>IF(OR(A113="",AD113=0),"",COUNTIFS($AD$5:$AD$304,"&gt;"&amp;AD113)+1)</f>
        <v>0</v>
      </c>
      <c r="AF113" s="8">
        <f>IF(A113="","",IF(SUMPRODUCT(MAX(('Grocery Spending'!$E$5:$E$404=A113)*'Grocery Spending'!$A$5:$A$404))=0,"",SUMPRODUCT(MAX(('Grocery Spending'!$E$5:$E$404=A113)*'Grocery Spending'!$A$5:$A$404))))</f>
        <v>0</v>
      </c>
      <c r="AG113" s="8">
        <f>IF(OR(A113="",AF113=""),"",IFERROR(AVERAGEIFS('Grocery Spending'!$I$5:$I$404,'Grocery Spending'!$E$5:$E$404,A113,'Grocery Spending'!$A$5:$A$404,AF113),""))</f>
        <v>0</v>
      </c>
      <c r="AH113" s="8">
        <f>IF(A113="","",IFERROR(AVERAGEIFS('Grocery Spending'!$I$5:$I$404,'Grocery Spending'!$E$5:$E$404,A113),""))</f>
        <v>0</v>
      </c>
      <c r="AI113" s="8">
        <f>IF(A113="","",IF(SUMPRODUCT(MIN(('Grocery Spending'!$E$5:$E$404=A113)*'Grocery Spending'!$I$5:$I$404+('Grocery Spending'!$E$5:$E$404&lt;&gt;A113)*1000000))&gt;=1000000,"",SUMPRODUCT(MIN(('Grocery Spending'!$E$5:$E$404=A113)*'Grocery Spending'!$I$5:$I$404+('Grocery Spending'!$E$5:$E$404&lt;&gt;A113)*1000000))))</f>
        <v>0</v>
      </c>
      <c r="AJ113" s="8">
        <f>IF(A113="","",SUMPRODUCT(MAX(('Grocery Spending'!$E$5:$E$404=A113)*'Grocery Spending'!$I$5:$I$404)))</f>
        <v>0</v>
      </c>
      <c r="AK113" s="8">
        <f>IF(OR(A113="",AI113="",AJ113=0),"",AJ113-AI113)</f>
        <v>0</v>
      </c>
      <c r="AL113" s="8">
        <f>IF(OR(A113="",AG113="",AH113=""),"",AG113-AH113)</f>
        <v>0</v>
      </c>
      <c r="AM113" s="8">
        <f>IF(A113="","",IF(AL113="","",IF(AL113&gt;0.01,"Up",IF(AL113&lt;-0.01,"Down","Flat"))))</f>
        <v>0</v>
      </c>
      <c r="AN113" s="25"/>
    </row>
    <row r="114" spans="1:40">
      <c r="A114" s="7"/>
      <c r="B114" s="27"/>
      <c r="C114" s="27"/>
      <c r="D114" s="28"/>
      <c r="E114" s="27"/>
      <c r="F114" s="26"/>
      <c r="G114" s="8">
        <f>IF(OR(D114="",F114="",F114=0),"",D114/F114)</f>
        <v>0</v>
      </c>
      <c r="H114" s="26"/>
      <c r="I114" s="26"/>
      <c r="J114" s="26"/>
      <c r="K114" s="26"/>
      <c r="L114" s="26"/>
      <c r="M114" s="26"/>
      <c r="N114" s="27"/>
      <c r="O114" s="27"/>
      <c r="P114" s="27"/>
      <c r="Q114" s="27"/>
      <c r="R114" s="7"/>
      <c r="S114" s="8">
        <f>IF(A114="","",SUMIFS(Pantry!$C$5:$C$304,Pantry!$A$5:$A$304,A114))</f>
        <v>0</v>
      </c>
      <c r="T114" s="8">
        <f>IF(A114="","",COUNTIFS('Grocery List'!$A$5:$A$304,A114,'Grocery List'!$N$5:$N$304,"Yes"))</f>
        <v>0</v>
      </c>
      <c r="U114" s="8">
        <f>IF(A114="","",SUMIFS('Grocery List'!$M$5:$M$304,'Grocery List'!$A$5:$A$304,A114))</f>
        <v>0</v>
      </c>
      <c r="V114" s="8">
        <f>IF(A114="","",COUNTIFS('Recipe Ingredients'!$B$5:$B$1204,A114))</f>
        <v>0</v>
      </c>
      <c r="W114" s="8">
        <f>IF(A114="","",SUMIFS('Recipe Ingredients'!$C$5:$C$1204,'Recipe Ingredients'!$B$5:$B$1204,A114))</f>
        <v>0</v>
      </c>
      <c r="X114" s="8">
        <f>IF(A114="","",IF(U114&lt;=0,IF(S114&gt;0,99,0),ROUND(S114/U114,1)))</f>
        <v>0</v>
      </c>
      <c r="Y114" s="8">
        <f>IF(A114="","",U114*10+IF(O114="Yes",5,0)+IF(X114&lt;1,10,0)+IF(S114&lt;=0,3,0))</f>
        <v>0</v>
      </c>
      <c r="Z114" s="8">
        <f>IF(A114="","",COUNTIFS($Y$5:$Y$304,"&gt;"&amp;Y114)+1)</f>
        <v>0</v>
      </c>
      <c r="AA114" s="8">
        <f>IF(A114="","",IF(OR(U114&gt;0,AND(O114="Yes",X114&lt;2)),"Yes","No"))</f>
        <v>0</v>
      </c>
      <c r="AB114" s="8">
        <f>IF(OR(A114="",D114=""),"",S114*D114)</f>
        <v>0</v>
      </c>
      <c r="AC114" s="8">
        <f>IF(AB114="","",COUNTIFS($AB$5:$AB$304,"&gt;"&amp;AB114)+1)</f>
        <v>0</v>
      </c>
      <c r="AD114" s="8">
        <f>IF(A114="","",SUMIFS('Food Waste'!$E$5:$E$154,'Food Waste'!$C$5:$C$154,A114))</f>
        <v>0</v>
      </c>
      <c r="AE114" s="8">
        <f>IF(OR(A114="",AD114=0),"",COUNTIFS($AD$5:$AD$304,"&gt;"&amp;AD114)+1)</f>
        <v>0</v>
      </c>
      <c r="AF114" s="8">
        <f>IF(A114="","",IF(SUMPRODUCT(MAX(('Grocery Spending'!$E$5:$E$404=A114)*'Grocery Spending'!$A$5:$A$404))=0,"",SUMPRODUCT(MAX(('Grocery Spending'!$E$5:$E$404=A114)*'Grocery Spending'!$A$5:$A$404))))</f>
        <v>0</v>
      </c>
      <c r="AG114" s="8">
        <f>IF(OR(A114="",AF114=""),"",IFERROR(AVERAGEIFS('Grocery Spending'!$I$5:$I$404,'Grocery Spending'!$E$5:$E$404,A114,'Grocery Spending'!$A$5:$A$404,AF114),""))</f>
        <v>0</v>
      </c>
      <c r="AH114" s="8">
        <f>IF(A114="","",IFERROR(AVERAGEIFS('Grocery Spending'!$I$5:$I$404,'Grocery Spending'!$E$5:$E$404,A114),""))</f>
        <v>0</v>
      </c>
      <c r="AI114" s="8">
        <f>IF(A114="","",IF(SUMPRODUCT(MIN(('Grocery Spending'!$E$5:$E$404=A114)*'Grocery Spending'!$I$5:$I$404+('Grocery Spending'!$E$5:$E$404&lt;&gt;A114)*1000000))&gt;=1000000,"",SUMPRODUCT(MIN(('Grocery Spending'!$E$5:$E$404=A114)*'Grocery Spending'!$I$5:$I$404+('Grocery Spending'!$E$5:$E$404&lt;&gt;A114)*1000000))))</f>
        <v>0</v>
      </c>
      <c r="AJ114" s="8">
        <f>IF(A114="","",SUMPRODUCT(MAX(('Grocery Spending'!$E$5:$E$404=A114)*'Grocery Spending'!$I$5:$I$404)))</f>
        <v>0</v>
      </c>
      <c r="AK114" s="8">
        <f>IF(OR(A114="",AI114="",AJ114=0),"",AJ114-AI114)</f>
        <v>0</v>
      </c>
      <c r="AL114" s="8">
        <f>IF(OR(A114="",AG114="",AH114=""),"",AG114-AH114)</f>
        <v>0</v>
      </c>
      <c r="AM114" s="8">
        <f>IF(A114="","",IF(AL114="","",IF(AL114&gt;0.01,"Up",IF(AL114&lt;-0.01,"Down","Flat"))))</f>
        <v>0</v>
      </c>
      <c r="AN114" s="25"/>
    </row>
    <row r="115" spans="1:40">
      <c r="A115" s="7"/>
      <c r="B115" s="27"/>
      <c r="C115" s="27"/>
      <c r="D115" s="28"/>
      <c r="E115" s="27"/>
      <c r="F115" s="26"/>
      <c r="G115" s="8">
        <f>IF(OR(D115="",F115="",F115=0),"",D115/F115)</f>
        <v>0</v>
      </c>
      <c r="H115" s="26"/>
      <c r="I115" s="26"/>
      <c r="J115" s="26"/>
      <c r="K115" s="26"/>
      <c r="L115" s="26"/>
      <c r="M115" s="26"/>
      <c r="N115" s="27"/>
      <c r="O115" s="27"/>
      <c r="P115" s="27"/>
      <c r="Q115" s="27"/>
      <c r="R115" s="7"/>
      <c r="S115" s="8">
        <f>IF(A115="","",SUMIFS(Pantry!$C$5:$C$304,Pantry!$A$5:$A$304,A115))</f>
        <v>0</v>
      </c>
      <c r="T115" s="8">
        <f>IF(A115="","",COUNTIFS('Grocery List'!$A$5:$A$304,A115,'Grocery List'!$N$5:$N$304,"Yes"))</f>
        <v>0</v>
      </c>
      <c r="U115" s="8">
        <f>IF(A115="","",SUMIFS('Grocery List'!$M$5:$M$304,'Grocery List'!$A$5:$A$304,A115))</f>
        <v>0</v>
      </c>
      <c r="V115" s="8">
        <f>IF(A115="","",COUNTIFS('Recipe Ingredients'!$B$5:$B$1204,A115))</f>
        <v>0</v>
      </c>
      <c r="W115" s="8">
        <f>IF(A115="","",SUMIFS('Recipe Ingredients'!$C$5:$C$1204,'Recipe Ingredients'!$B$5:$B$1204,A115))</f>
        <v>0</v>
      </c>
      <c r="X115" s="8">
        <f>IF(A115="","",IF(U115&lt;=0,IF(S115&gt;0,99,0),ROUND(S115/U115,1)))</f>
        <v>0</v>
      </c>
      <c r="Y115" s="8">
        <f>IF(A115="","",U115*10+IF(O115="Yes",5,0)+IF(X115&lt;1,10,0)+IF(S115&lt;=0,3,0))</f>
        <v>0</v>
      </c>
      <c r="Z115" s="8">
        <f>IF(A115="","",COUNTIFS($Y$5:$Y$304,"&gt;"&amp;Y115)+1)</f>
        <v>0</v>
      </c>
      <c r="AA115" s="8">
        <f>IF(A115="","",IF(OR(U115&gt;0,AND(O115="Yes",X115&lt;2)),"Yes","No"))</f>
        <v>0</v>
      </c>
      <c r="AB115" s="8">
        <f>IF(OR(A115="",D115=""),"",S115*D115)</f>
        <v>0</v>
      </c>
      <c r="AC115" s="8">
        <f>IF(AB115="","",COUNTIFS($AB$5:$AB$304,"&gt;"&amp;AB115)+1)</f>
        <v>0</v>
      </c>
      <c r="AD115" s="8">
        <f>IF(A115="","",SUMIFS('Food Waste'!$E$5:$E$154,'Food Waste'!$C$5:$C$154,A115))</f>
        <v>0</v>
      </c>
      <c r="AE115" s="8">
        <f>IF(OR(A115="",AD115=0),"",COUNTIFS($AD$5:$AD$304,"&gt;"&amp;AD115)+1)</f>
        <v>0</v>
      </c>
      <c r="AF115" s="8">
        <f>IF(A115="","",IF(SUMPRODUCT(MAX(('Grocery Spending'!$E$5:$E$404=A115)*'Grocery Spending'!$A$5:$A$404))=0,"",SUMPRODUCT(MAX(('Grocery Spending'!$E$5:$E$404=A115)*'Grocery Spending'!$A$5:$A$404))))</f>
        <v>0</v>
      </c>
      <c r="AG115" s="8">
        <f>IF(OR(A115="",AF115=""),"",IFERROR(AVERAGEIFS('Grocery Spending'!$I$5:$I$404,'Grocery Spending'!$E$5:$E$404,A115,'Grocery Spending'!$A$5:$A$404,AF115),""))</f>
        <v>0</v>
      </c>
      <c r="AH115" s="8">
        <f>IF(A115="","",IFERROR(AVERAGEIFS('Grocery Spending'!$I$5:$I$404,'Grocery Spending'!$E$5:$E$404,A115),""))</f>
        <v>0</v>
      </c>
      <c r="AI115" s="8">
        <f>IF(A115="","",IF(SUMPRODUCT(MIN(('Grocery Spending'!$E$5:$E$404=A115)*'Grocery Spending'!$I$5:$I$404+('Grocery Spending'!$E$5:$E$404&lt;&gt;A115)*1000000))&gt;=1000000,"",SUMPRODUCT(MIN(('Grocery Spending'!$E$5:$E$404=A115)*'Grocery Spending'!$I$5:$I$404+('Grocery Spending'!$E$5:$E$404&lt;&gt;A115)*1000000))))</f>
        <v>0</v>
      </c>
      <c r="AJ115" s="8">
        <f>IF(A115="","",SUMPRODUCT(MAX(('Grocery Spending'!$E$5:$E$404=A115)*'Grocery Spending'!$I$5:$I$404)))</f>
        <v>0</v>
      </c>
      <c r="AK115" s="8">
        <f>IF(OR(A115="",AI115="",AJ115=0),"",AJ115-AI115)</f>
        <v>0</v>
      </c>
      <c r="AL115" s="8">
        <f>IF(OR(A115="",AG115="",AH115=""),"",AG115-AH115)</f>
        <v>0</v>
      </c>
      <c r="AM115" s="8">
        <f>IF(A115="","",IF(AL115="","",IF(AL115&gt;0.01,"Up",IF(AL115&lt;-0.01,"Down","Flat"))))</f>
        <v>0</v>
      </c>
      <c r="AN115" s="25"/>
    </row>
    <row r="116" spans="1:40">
      <c r="A116" s="7"/>
      <c r="B116" s="27"/>
      <c r="C116" s="27"/>
      <c r="D116" s="28"/>
      <c r="E116" s="27"/>
      <c r="F116" s="26"/>
      <c r="G116" s="8">
        <f>IF(OR(D116="",F116="",F116=0),"",D116/F116)</f>
        <v>0</v>
      </c>
      <c r="H116" s="26"/>
      <c r="I116" s="26"/>
      <c r="J116" s="26"/>
      <c r="K116" s="26"/>
      <c r="L116" s="26"/>
      <c r="M116" s="26"/>
      <c r="N116" s="27"/>
      <c r="O116" s="27"/>
      <c r="P116" s="27"/>
      <c r="Q116" s="27"/>
      <c r="R116" s="7"/>
      <c r="S116" s="8">
        <f>IF(A116="","",SUMIFS(Pantry!$C$5:$C$304,Pantry!$A$5:$A$304,A116))</f>
        <v>0</v>
      </c>
      <c r="T116" s="8">
        <f>IF(A116="","",COUNTIFS('Grocery List'!$A$5:$A$304,A116,'Grocery List'!$N$5:$N$304,"Yes"))</f>
        <v>0</v>
      </c>
      <c r="U116" s="8">
        <f>IF(A116="","",SUMIFS('Grocery List'!$M$5:$M$304,'Grocery List'!$A$5:$A$304,A116))</f>
        <v>0</v>
      </c>
      <c r="V116" s="8">
        <f>IF(A116="","",COUNTIFS('Recipe Ingredients'!$B$5:$B$1204,A116))</f>
        <v>0</v>
      </c>
      <c r="W116" s="8">
        <f>IF(A116="","",SUMIFS('Recipe Ingredients'!$C$5:$C$1204,'Recipe Ingredients'!$B$5:$B$1204,A116))</f>
        <v>0</v>
      </c>
      <c r="X116" s="8">
        <f>IF(A116="","",IF(U116&lt;=0,IF(S116&gt;0,99,0),ROUND(S116/U116,1)))</f>
        <v>0</v>
      </c>
      <c r="Y116" s="8">
        <f>IF(A116="","",U116*10+IF(O116="Yes",5,0)+IF(X116&lt;1,10,0)+IF(S116&lt;=0,3,0))</f>
        <v>0</v>
      </c>
      <c r="Z116" s="8">
        <f>IF(A116="","",COUNTIFS($Y$5:$Y$304,"&gt;"&amp;Y116)+1)</f>
        <v>0</v>
      </c>
      <c r="AA116" s="8">
        <f>IF(A116="","",IF(OR(U116&gt;0,AND(O116="Yes",X116&lt;2)),"Yes","No"))</f>
        <v>0</v>
      </c>
      <c r="AB116" s="8">
        <f>IF(OR(A116="",D116=""),"",S116*D116)</f>
        <v>0</v>
      </c>
      <c r="AC116" s="8">
        <f>IF(AB116="","",COUNTIFS($AB$5:$AB$304,"&gt;"&amp;AB116)+1)</f>
        <v>0</v>
      </c>
      <c r="AD116" s="8">
        <f>IF(A116="","",SUMIFS('Food Waste'!$E$5:$E$154,'Food Waste'!$C$5:$C$154,A116))</f>
        <v>0</v>
      </c>
      <c r="AE116" s="8">
        <f>IF(OR(A116="",AD116=0),"",COUNTIFS($AD$5:$AD$304,"&gt;"&amp;AD116)+1)</f>
        <v>0</v>
      </c>
      <c r="AF116" s="8">
        <f>IF(A116="","",IF(SUMPRODUCT(MAX(('Grocery Spending'!$E$5:$E$404=A116)*'Grocery Spending'!$A$5:$A$404))=0,"",SUMPRODUCT(MAX(('Grocery Spending'!$E$5:$E$404=A116)*'Grocery Spending'!$A$5:$A$404))))</f>
        <v>0</v>
      </c>
      <c r="AG116" s="8">
        <f>IF(OR(A116="",AF116=""),"",IFERROR(AVERAGEIFS('Grocery Spending'!$I$5:$I$404,'Grocery Spending'!$E$5:$E$404,A116,'Grocery Spending'!$A$5:$A$404,AF116),""))</f>
        <v>0</v>
      </c>
      <c r="AH116" s="8">
        <f>IF(A116="","",IFERROR(AVERAGEIFS('Grocery Spending'!$I$5:$I$404,'Grocery Spending'!$E$5:$E$404,A116),""))</f>
        <v>0</v>
      </c>
      <c r="AI116" s="8">
        <f>IF(A116="","",IF(SUMPRODUCT(MIN(('Grocery Spending'!$E$5:$E$404=A116)*'Grocery Spending'!$I$5:$I$404+('Grocery Spending'!$E$5:$E$404&lt;&gt;A116)*1000000))&gt;=1000000,"",SUMPRODUCT(MIN(('Grocery Spending'!$E$5:$E$404=A116)*'Grocery Spending'!$I$5:$I$404+('Grocery Spending'!$E$5:$E$404&lt;&gt;A116)*1000000))))</f>
        <v>0</v>
      </c>
      <c r="AJ116" s="8">
        <f>IF(A116="","",SUMPRODUCT(MAX(('Grocery Spending'!$E$5:$E$404=A116)*'Grocery Spending'!$I$5:$I$404)))</f>
        <v>0</v>
      </c>
      <c r="AK116" s="8">
        <f>IF(OR(A116="",AI116="",AJ116=0),"",AJ116-AI116)</f>
        <v>0</v>
      </c>
      <c r="AL116" s="8">
        <f>IF(OR(A116="",AG116="",AH116=""),"",AG116-AH116)</f>
        <v>0</v>
      </c>
      <c r="AM116" s="8">
        <f>IF(A116="","",IF(AL116="","",IF(AL116&gt;0.01,"Up",IF(AL116&lt;-0.01,"Down","Flat"))))</f>
        <v>0</v>
      </c>
      <c r="AN116" s="25"/>
    </row>
    <row r="117" spans="1:40">
      <c r="A117" s="7"/>
      <c r="B117" s="27"/>
      <c r="C117" s="27"/>
      <c r="D117" s="28"/>
      <c r="E117" s="27"/>
      <c r="F117" s="26"/>
      <c r="G117" s="8">
        <f>IF(OR(D117="",F117="",F117=0),"",D117/F117)</f>
        <v>0</v>
      </c>
      <c r="H117" s="26"/>
      <c r="I117" s="26"/>
      <c r="J117" s="26"/>
      <c r="K117" s="26"/>
      <c r="L117" s="26"/>
      <c r="M117" s="26"/>
      <c r="N117" s="27"/>
      <c r="O117" s="27"/>
      <c r="P117" s="27"/>
      <c r="Q117" s="27"/>
      <c r="R117" s="7"/>
      <c r="S117" s="8">
        <f>IF(A117="","",SUMIFS(Pantry!$C$5:$C$304,Pantry!$A$5:$A$304,A117))</f>
        <v>0</v>
      </c>
      <c r="T117" s="8">
        <f>IF(A117="","",COUNTIFS('Grocery List'!$A$5:$A$304,A117,'Grocery List'!$N$5:$N$304,"Yes"))</f>
        <v>0</v>
      </c>
      <c r="U117" s="8">
        <f>IF(A117="","",SUMIFS('Grocery List'!$M$5:$M$304,'Grocery List'!$A$5:$A$304,A117))</f>
        <v>0</v>
      </c>
      <c r="V117" s="8">
        <f>IF(A117="","",COUNTIFS('Recipe Ingredients'!$B$5:$B$1204,A117))</f>
        <v>0</v>
      </c>
      <c r="W117" s="8">
        <f>IF(A117="","",SUMIFS('Recipe Ingredients'!$C$5:$C$1204,'Recipe Ingredients'!$B$5:$B$1204,A117))</f>
        <v>0</v>
      </c>
      <c r="X117" s="8">
        <f>IF(A117="","",IF(U117&lt;=0,IF(S117&gt;0,99,0),ROUND(S117/U117,1)))</f>
        <v>0</v>
      </c>
      <c r="Y117" s="8">
        <f>IF(A117="","",U117*10+IF(O117="Yes",5,0)+IF(X117&lt;1,10,0)+IF(S117&lt;=0,3,0))</f>
        <v>0</v>
      </c>
      <c r="Z117" s="8">
        <f>IF(A117="","",COUNTIFS($Y$5:$Y$304,"&gt;"&amp;Y117)+1)</f>
        <v>0</v>
      </c>
      <c r="AA117" s="8">
        <f>IF(A117="","",IF(OR(U117&gt;0,AND(O117="Yes",X117&lt;2)),"Yes","No"))</f>
        <v>0</v>
      </c>
      <c r="AB117" s="8">
        <f>IF(OR(A117="",D117=""),"",S117*D117)</f>
        <v>0</v>
      </c>
      <c r="AC117" s="8">
        <f>IF(AB117="","",COUNTIFS($AB$5:$AB$304,"&gt;"&amp;AB117)+1)</f>
        <v>0</v>
      </c>
      <c r="AD117" s="8">
        <f>IF(A117="","",SUMIFS('Food Waste'!$E$5:$E$154,'Food Waste'!$C$5:$C$154,A117))</f>
        <v>0</v>
      </c>
      <c r="AE117" s="8">
        <f>IF(OR(A117="",AD117=0),"",COUNTIFS($AD$5:$AD$304,"&gt;"&amp;AD117)+1)</f>
        <v>0</v>
      </c>
      <c r="AF117" s="8">
        <f>IF(A117="","",IF(SUMPRODUCT(MAX(('Grocery Spending'!$E$5:$E$404=A117)*'Grocery Spending'!$A$5:$A$404))=0,"",SUMPRODUCT(MAX(('Grocery Spending'!$E$5:$E$404=A117)*'Grocery Spending'!$A$5:$A$404))))</f>
        <v>0</v>
      </c>
      <c r="AG117" s="8">
        <f>IF(OR(A117="",AF117=""),"",IFERROR(AVERAGEIFS('Grocery Spending'!$I$5:$I$404,'Grocery Spending'!$E$5:$E$404,A117,'Grocery Spending'!$A$5:$A$404,AF117),""))</f>
        <v>0</v>
      </c>
      <c r="AH117" s="8">
        <f>IF(A117="","",IFERROR(AVERAGEIFS('Grocery Spending'!$I$5:$I$404,'Grocery Spending'!$E$5:$E$404,A117),""))</f>
        <v>0</v>
      </c>
      <c r="AI117" s="8">
        <f>IF(A117="","",IF(SUMPRODUCT(MIN(('Grocery Spending'!$E$5:$E$404=A117)*'Grocery Spending'!$I$5:$I$404+('Grocery Spending'!$E$5:$E$404&lt;&gt;A117)*1000000))&gt;=1000000,"",SUMPRODUCT(MIN(('Grocery Spending'!$E$5:$E$404=A117)*'Grocery Spending'!$I$5:$I$404+('Grocery Spending'!$E$5:$E$404&lt;&gt;A117)*1000000))))</f>
        <v>0</v>
      </c>
      <c r="AJ117" s="8">
        <f>IF(A117="","",SUMPRODUCT(MAX(('Grocery Spending'!$E$5:$E$404=A117)*'Grocery Spending'!$I$5:$I$404)))</f>
        <v>0</v>
      </c>
      <c r="AK117" s="8">
        <f>IF(OR(A117="",AI117="",AJ117=0),"",AJ117-AI117)</f>
        <v>0</v>
      </c>
      <c r="AL117" s="8">
        <f>IF(OR(A117="",AG117="",AH117=""),"",AG117-AH117)</f>
        <v>0</v>
      </c>
      <c r="AM117" s="8">
        <f>IF(A117="","",IF(AL117="","",IF(AL117&gt;0.01,"Up",IF(AL117&lt;-0.01,"Down","Flat"))))</f>
        <v>0</v>
      </c>
      <c r="AN117" s="25"/>
    </row>
    <row r="118" spans="1:40">
      <c r="A118" s="7"/>
      <c r="B118" s="27"/>
      <c r="C118" s="27"/>
      <c r="D118" s="28"/>
      <c r="E118" s="27"/>
      <c r="F118" s="26"/>
      <c r="G118" s="8">
        <f>IF(OR(D118="",F118="",F118=0),"",D118/F118)</f>
        <v>0</v>
      </c>
      <c r="H118" s="26"/>
      <c r="I118" s="26"/>
      <c r="J118" s="26"/>
      <c r="K118" s="26"/>
      <c r="L118" s="26"/>
      <c r="M118" s="26"/>
      <c r="N118" s="27"/>
      <c r="O118" s="27"/>
      <c r="P118" s="27"/>
      <c r="Q118" s="27"/>
      <c r="R118" s="7"/>
      <c r="S118" s="8">
        <f>IF(A118="","",SUMIFS(Pantry!$C$5:$C$304,Pantry!$A$5:$A$304,A118))</f>
        <v>0</v>
      </c>
      <c r="T118" s="8">
        <f>IF(A118="","",COUNTIFS('Grocery List'!$A$5:$A$304,A118,'Grocery List'!$N$5:$N$304,"Yes"))</f>
        <v>0</v>
      </c>
      <c r="U118" s="8">
        <f>IF(A118="","",SUMIFS('Grocery List'!$M$5:$M$304,'Grocery List'!$A$5:$A$304,A118))</f>
        <v>0</v>
      </c>
      <c r="V118" s="8">
        <f>IF(A118="","",COUNTIFS('Recipe Ingredients'!$B$5:$B$1204,A118))</f>
        <v>0</v>
      </c>
      <c r="W118" s="8">
        <f>IF(A118="","",SUMIFS('Recipe Ingredients'!$C$5:$C$1204,'Recipe Ingredients'!$B$5:$B$1204,A118))</f>
        <v>0</v>
      </c>
      <c r="X118" s="8">
        <f>IF(A118="","",IF(U118&lt;=0,IF(S118&gt;0,99,0),ROUND(S118/U118,1)))</f>
        <v>0</v>
      </c>
      <c r="Y118" s="8">
        <f>IF(A118="","",U118*10+IF(O118="Yes",5,0)+IF(X118&lt;1,10,0)+IF(S118&lt;=0,3,0))</f>
        <v>0</v>
      </c>
      <c r="Z118" s="8">
        <f>IF(A118="","",COUNTIFS($Y$5:$Y$304,"&gt;"&amp;Y118)+1)</f>
        <v>0</v>
      </c>
      <c r="AA118" s="8">
        <f>IF(A118="","",IF(OR(U118&gt;0,AND(O118="Yes",X118&lt;2)),"Yes","No"))</f>
        <v>0</v>
      </c>
      <c r="AB118" s="8">
        <f>IF(OR(A118="",D118=""),"",S118*D118)</f>
        <v>0</v>
      </c>
      <c r="AC118" s="8">
        <f>IF(AB118="","",COUNTIFS($AB$5:$AB$304,"&gt;"&amp;AB118)+1)</f>
        <v>0</v>
      </c>
      <c r="AD118" s="8">
        <f>IF(A118="","",SUMIFS('Food Waste'!$E$5:$E$154,'Food Waste'!$C$5:$C$154,A118))</f>
        <v>0</v>
      </c>
      <c r="AE118" s="8">
        <f>IF(OR(A118="",AD118=0),"",COUNTIFS($AD$5:$AD$304,"&gt;"&amp;AD118)+1)</f>
        <v>0</v>
      </c>
      <c r="AF118" s="8">
        <f>IF(A118="","",IF(SUMPRODUCT(MAX(('Grocery Spending'!$E$5:$E$404=A118)*'Grocery Spending'!$A$5:$A$404))=0,"",SUMPRODUCT(MAX(('Grocery Spending'!$E$5:$E$404=A118)*'Grocery Spending'!$A$5:$A$404))))</f>
        <v>0</v>
      </c>
      <c r="AG118" s="8">
        <f>IF(OR(A118="",AF118=""),"",IFERROR(AVERAGEIFS('Grocery Spending'!$I$5:$I$404,'Grocery Spending'!$E$5:$E$404,A118,'Grocery Spending'!$A$5:$A$404,AF118),""))</f>
        <v>0</v>
      </c>
      <c r="AH118" s="8">
        <f>IF(A118="","",IFERROR(AVERAGEIFS('Grocery Spending'!$I$5:$I$404,'Grocery Spending'!$E$5:$E$404,A118),""))</f>
        <v>0</v>
      </c>
      <c r="AI118" s="8">
        <f>IF(A118="","",IF(SUMPRODUCT(MIN(('Grocery Spending'!$E$5:$E$404=A118)*'Grocery Spending'!$I$5:$I$404+('Grocery Spending'!$E$5:$E$404&lt;&gt;A118)*1000000))&gt;=1000000,"",SUMPRODUCT(MIN(('Grocery Spending'!$E$5:$E$404=A118)*'Grocery Spending'!$I$5:$I$404+('Grocery Spending'!$E$5:$E$404&lt;&gt;A118)*1000000))))</f>
        <v>0</v>
      </c>
      <c r="AJ118" s="8">
        <f>IF(A118="","",SUMPRODUCT(MAX(('Grocery Spending'!$E$5:$E$404=A118)*'Grocery Spending'!$I$5:$I$404)))</f>
        <v>0</v>
      </c>
      <c r="AK118" s="8">
        <f>IF(OR(A118="",AI118="",AJ118=0),"",AJ118-AI118)</f>
        <v>0</v>
      </c>
      <c r="AL118" s="8">
        <f>IF(OR(A118="",AG118="",AH118=""),"",AG118-AH118)</f>
        <v>0</v>
      </c>
      <c r="AM118" s="8">
        <f>IF(A118="","",IF(AL118="","",IF(AL118&gt;0.01,"Up",IF(AL118&lt;-0.01,"Down","Flat"))))</f>
        <v>0</v>
      </c>
      <c r="AN118" s="25"/>
    </row>
    <row r="119" spans="1:40">
      <c r="A119" s="7"/>
      <c r="B119" s="27"/>
      <c r="C119" s="27"/>
      <c r="D119" s="28"/>
      <c r="E119" s="27"/>
      <c r="F119" s="26"/>
      <c r="G119" s="8">
        <f>IF(OR(D119="",F119="",F119=0),"",D119/F119)</f>
        <v>0</v>
      </c>
      <c r="H119" s="26"/>
      <c r="I119" s="26"/>
      <c r="J119" s="26"/>
      <c r="K119" s="26"/>
      <c r="L119" s="26"/>
      <c r="M119" s="26"/>
      <c r="N119" s="27"/>
      <c r="O119" s="27"/>
      <c r="P119" s="27"/>
      <c r="Q119" s="27"/>
      <c r="R119" s="7"/>
      <c r="S119" s="8">
        <f>IF(A119="","",SUMIFS(Pantry!$C$5:$C$304,Pantry!$A$5:$A$304,A119))</f>
        <v>0</v>
      </c>
      <c r="T119" s="8">
        <f>IF(A119="","",COUNTIFS('Grocery List'!$A$5:$A$304,A119,'Grocery List'!$N$5:$N$304,"Yes"))</f>
        <v>0</v>
      </c>
      <c r="U119" s="8">
        <f>IF(A119="","",SUMIFS('Grocery List'!$M$5:$M$304,'Grocery List'!$A$5:$A$304,A119))</f>
        <v>0</v>
      </c>
      <c r="V119" s="8">
        <f>IF(A119="","",COUNTIFS('Recipe Ingredients'!$B$5:$B$1204,A119))</f>
        <v>0</v>
      </c>
      <c r="W119" s="8">
        <f>IF(A119="","",SUMIFS('Recipe Ingredients'!$C$5:$C$1204,'Recipe Ingredients'!$B$5:$B$1204,A119))</f>
        <v>0</v>
      </c>
      <c r="X119" s="8">
        <f>IF(A119="","",IF(U119&lt;=0,IF(S119&gt;0,99,0),ROUND(S119/U119,1)))</f>
        <v>0</v>
      </c>
      <c r="Y119" s="8">
        <f>IF(A119="","",U119*10+IF(O119="Yes",5,0)+IF(X119&lt;1,10,0)+IF(S119&lt;=0,3,0))</f>
        <v>0</v>
      </c>
      <c r="Z119" s="8">
        <f>IF(A119="","",COUNTIFS($Y$5:$Y$304,"&gt;"&amp;Y119)+1)</f>
        <v>0</v>
      </c>
      <c r="AA119" s="8">
        <f>IF(A119="","",IF(OR(U119&gt;0,AND(O119="Yes",X119&lt;2)),"Yes","No"))</f>
        <v>0</v>
      </c>
      <c r="AB119" s="8">
        <f>IF(OR(A119="",D119=""),"",S119*D119)</f>
        <v>0</v>
      </c>
      <c r="AC119" s="8">
        <f>IF(AB119="","",COUNTIFS($AB$5:$AB$304,"&gt;"&amp;AB119)+1)</f>
        <v>0</v>
      </c>
      <c r="AD119" s="8">
        <f>IF(A119="","",SUMIFS('Food Waste'!$E$5:$E$154,'Food Waste'!$C$5:$C$154,A119))</f>
        <v>0</v>
      </c>
      <c r="AE119" s="8">
        <f>IF(OR(A119="",AD119=0),"",COUNTIFS($AD$5:$AD$304,"&gt;"&amp;AD119)+1)</f>
        <v>0</v>
      </c>
      <c r="AF119" s="8">
        <f>IF(A119="","",IF(SUMPRODUCT(MAX(('Grocery Spending'!$E$5:$E$404=A119)*'Grocery Spending'!$A$5:$A$404))=0,"",SUMPRODUCT(MAX(('Grocery Spending'!$E$5:$E$404=A119)*'Grocery Spending'!$A$5:$A$404))))</f>
        <v>0</v>
      </c>
      <c r="AG119" s="8">
        <f>IF(OR(A119="",AF119=""),"",IFERROR(AVERAGEIFS('Grocery Spending'!$I$5:$I$404,'Grocery Spending'!$E$5:$E$404,A119,'Grocery Spending'!$A$5:$A$404,AF119),""))</f>
        <v>0</v>
      </c>
      <c r="AH119" s="8">
        <f>IF(A119="","",IFERROR(AVERAGEIFS('Grocery Spending'!$I$5:$I$404,'Grocery Spending'!$E$5:$E$404,A119),""))</f>
        <v>0</v>
      </c>
      <c r="AI119" s="8">
        <f>IF(A119="","",IF(SUMPRODUCT(MIN(('Grocery Spending'!$E$5:$E$404=A119)*'Grocery Spending'!$I$5:$I$404+('Grocery Spending'!$E$5:$E$404&lt;&gt;A119)*1000000))&gt;=1000000,"",SUMPRODUCT(MIN(('Grocery Spending'!$E$5:$E$404=A119)*'Grocery Spending'!$I$5:$I$404+('Grocery Spending'!$E$5:$E$404&lt;&gt;A119)*1000000))))</f>
        <v>0</v>
      </c>
      <c r="AJ119" s="8">
        <f>IF(A119="","",SUMPRODUCT(MAX(('Grocery Spending'!$E$5:$E$404=A119)*'Grocery Spending'!$I$5:$I$404)))</f>
        <v>0</v>
      </c>
      <c r="AK119" s="8">
        <f>IF(OR(A119="",AI119="",AJ119=0),"",AJ119-AI119)</f>
        <v>0</v>
      </c>
      <c r="AL119" s="8">
        <f>IF(OR(A119="",AG119="",AH119=""),"",AG119-AH119)</f>
        <v>0</v>
      </c>
      <c r="AM119" s="8">
        <f>IF(A119="","",IF(AL119="","",IF(AL119&gt;0.01,"Up",IF(AL119&lt;-0.01,"Down","Flat"))))</f>
        <v>0</v>
      </c>
      <c r="AN119" s="25"/>
    </row>
    <row r="120" spans="1:40">
      <c r="A120" s="7"/>
      <c r="B120" s="27"/>
      <c r="C120" s="27"/>
      <c r="D120" s="28"/>
      <c r="E120" s="27"/>
      <c r="F120" s="26"/>
      <c r="G120" s="8">
        <f>IF(OR(D120="",F120="",F120=0),"",D120/F120)</f>
        <v>0</v>
      </c>
      <c r="H120" s="26"/>
      <c r="I120" s="26"/>
      <c r="J120" s="26"/>
      <c r="K120" s="26"/>
      <c r="L120" s="26"/>
      <c r="M120" s="26"/>
      <c r="N120" s="27"/>
      <c r="O120" s="27"/>
      <c r="P120" s="27"/>
      <c r="Q120" s="27"/>
      <c r="R120" s="7"/>
      <c r="S120" s="8">
        <f>IF(A120="","",SUMIFS(Pantry!$C$5:$C$304,Pantry!$A$5:$A$304,A120))</f>
        <v>0</v>
      </c>
      <c r="T120" s="8">
        <f>IF(A120="","",COUNTIFS('Grocery List'!$A$5:$A$304,A120,'Grocery List'!$N$5:$N$304,"Yes"))</f>
        <v>0</v>
      </c>
      <c r="U120" s="8">
        <f>IF(A120="","",SUMIFS('Grocery List'!$M$5:$M$304,'Grocery List'!$A$5:$A$304,A120))</f>
        <v>0</v>
      </c>
      <c r="V120" s="8">
        <f>IF(A120="","",COUNTIFS('Recipe Ingredients'!$B$5:$B$1204,A120))</f>
        <v>0</v>
      </c>
      <c r="W120" s="8">
        <f>IF(A120="","",SUMIFS('Recipe Ingredients'!$C$5:$C$1204,'Recipe Ingredients'!$B$5:$B$1204,A120))</f>
        <v>0</v>
      </c>
      <c r="X120" s="8">
        <f>IF(A120="","",IF(U120&lt;=0,IF(S120&gt;0,99,0),ROUND(S120/U120,1)))</f>
        <v>0</v>
      </c>
      <c r="Y120" s="8">
        <f>IF(A120="","",U120*10+IF(O120="Yes",5,0)+IF(X120&lt;1,10,0)+IF(S120&lt;=0,3,0))</f>
        <v>0</v>
      </c>
      <c r="Z120" s="8">
        <f>IF(A120="","",COUNTIFS($Y$5:$Y$304,"&gt;"&amp;Y120)+1)</f>
        <v>0</v>
      </c>
      <c r="AA120" s="8">
        <f>IF(A120="","",IF(OR(U120&gt;0,AND(O120="Yes",X120&lt;2)),"Yes","No"))</f>
        <v>0</v>
      </c>
      <c r="AB120" s="8">
        <f>IF(OR(A120="",D120=""),"",S120*D120)</f>
        <v>0</v>
      </c>
      <c r="AC120" s="8">
        <f>IF(AB120="","",COUNTIFS($AB$5:$AB$304,"&gt;"&amp;AB120)+1)</f>
        <v>0</v>
      </c>
      <c r="AD120" s="8">
        <f>IF(A120="","",SUMIFS('Food Waste'!$E$5:$E$154,'Food Waste'!$C$5:$C$154,A120))</f>
        <v>0</v>
      </c>
      <c r="AE120" s="8">
        <f>IF(OR(A120="",AD120=0),"",COUNTIFS($AD$5:$AD$304,"&gt;"&amp;AD120)+1)</f>
        <v>0</v>
      </c>
      <c r="AF120" s="8">
        <f>IF(A120="","",IF(SUMPRODUCT(MAX(('Grocery Spending'!$E$5:$E$404=A120)*'Grocery Spending'!$A$5:$A$404))=0,"",SUMPRODUCT(MAX(('Grocery Spending'!$E$5:$E$404=A120)*'Grocery Spending'!$A$5:$A$404))))</f>
        <v>0</v>
      </c>
      <c r="AG120" s="8">
        <f>IF(OR(A120="",AF120=""),"",IFERROR(AVERAGEIFS('Grocery Spending'!$I$5:$I$404,'Grocery Spending'!$E$5:$E$404,A120,'Grocery Spending'!$A$5:$A$404,AF120),""))</f>
        <v>0</v>
      </c>
      <c r="AH120" s="8">
        <f>IF(A120="","",IFERROR(AVERAGEIFS('Grocery Spending'!$I$5:$I$404,'Grocery Spending'!$E$5:$E$404,A120),""))</f>
        <v>0</v>
      </c>
      <c r="AI120" s="8">
        <f>IF(A120="","",IF(SUMPRODUCT(MIN(('Grocery Spending'!$E$5:$E$404=A120)*'Grocery Spending'!$I$5:$I$404+('Grocery Spending'!$E$5:$E$404&lt;&gt;A120)*1000000))&gt;=1000000,"",SUMPRODUCT(MIN(('Grocery Spending'!$E$5:$E$404=A120)*'Grocery Spending'!$I$5:$I$404+('Grocery Spending'!$E$5:$E$404&lt;&gt;A120)*1000000))))</f>
        <v>0</v>
      </c>
      <c r="AJ120" s="8">
        <f>IF(A120="","",SUMPRODUCT(MAX(('Grocery Spending'!$E$5:$E$404=A120)*'Grocery Spending'!$I$5:$I$404)))</f>
        <v>0</v>
      </c>
      <c r="AK120" s="8">
        <f>IF(OR(A120="",AI120="",AJ120=0),"",AJ120-AI120)</f>
        <v>0</v>
      </c>
      <c r="AL120" s="8">
        <f>IF(OR(A120="",AG120="",AH120=""),"",AG120-AH120)</f>
        <v>0</v>
      </c>
      <c r="AM120" s="8">
        <f>IF(A120="","",IF(AL120="","",IF(AL120&gt;0.01,"Up",IF(AL120&lt;-0.01,"Down","Flat"))))</f>
        <v>0</v>
      </c>
      <c r="AN120" s="25"/>
    </row>
    <row r="121" spans="1:40">
      <c r="A121" s="7"/>
      <c r="B121" s="27"/>
      <c r="C121" s="27"/>
      <c r="D121" s="28"/>
      <c r="E121" s="27"/>
      <c r="F121" s="26"/>
      <c r="G121" s="8">
        <f>IF(OR(D121="",F121="",F121=0),"",D121/F121)</f>
        <v>0</v>
      </c>
      <c r="H121" s="26"/>
      <c r="I121" s="26"/>
      <c r="J121" s="26"/>
      <c r="K121" s="26"/>
      <c r="L121" s="26"/>
      <c r="M121" s="26"/>
      <c r="N121" s="27"/>
      <c r="O121" s="27"/>
      <c r="P121" s="27"/>
      <c r="Q121" s="27"/>
      <c r="R121" s="7"/>
      <c r="S121" s="8">
        <f>IF(A121="","",SUMIFS(Pantry!$C$5:$C$304,Pantry!$A$5:$A$304,A121))</f>
        <v>0</v>
      </c>
      <c r="T121" s="8">
        <f>IF(A121="","",COUNTIFS('Grocery List'!$A$5:$A$304,A121,'Grocery List'!$N$5:$N$304,"Yes"))</f>
        <v>0</v>
      </c>
      <c r="U121" s="8">
        <f>IF(A121="","",SUMIFS('Grocery List'!$M$5:$M$304,'Grocery List'!$A$5:$A$304,A121))</f>
        <v>0</v>
      </c>
      <c r="V121" s="8">
        <f>IF(A121="","",COUNTIFS('Recipe Ingredients'!$B$5:$B$1204,A121))</f>
        <v>0</v>
      </c>
      <c r="W121" s="8">
        <f>IF(A121="","",SUMIFS('Recipe Ingredients'!$C$5:$C$1204,'Recipe Ingredients'!$B$5:$B$1204,A121))</f>
        <v>0</v>
      </c>
      <c r="X121" s="8">
        <f>IF(A121="","",IF(U121&lt;=0,IF(S121&gt;0,99,0),ROUND(S121/U121,1)))</f>
        <v>0</v>
      </c>
      <c r="Y121" s="8">
        <f>IF(A121="","",U121*10+IF(O121="Yes",5,0)+IF(X121&lt;1,10,0)+IF(S121&lt;=0,3,0))</f>
        <v>0</v>
      </c>
      <c r="Z121" s="8">
        <f>IF(A121="","",COUNTIFS($Y$5:$Y$304,"&gt;"&amp;Y121)+1)</f>
        <v>0</v>
      </c>
      <c r="AA121" s="8">
        <f>IF(A121="","",IF(OR(U121&gt;0,AND(O121="Yes",X121&lt;2)),"Yes","No"))</f>
        <v>0</v>
      </c>
      <c r="AB121" s="8">
        <f>IF(OR(A121="",D121=""),"",S121*D121)</f>
        <v>0</v>
      </c>
      <c r="AC121" s="8">
        <f>IF(AB121="","",COUNTIFS($AB$5:$AB$304,"&gt;"&amp;AB121)+1)</f>
        <v>0</v>
      </c>
      <c r="AD121" s="8">
        <f>IF(A121="","",SUMIFS('Food Waste'!$E$5:$E$154,'Food Waste'!$C$5:$C$154,A121))</f>
        <v>0</v>
      </c>
      <c r="AE121" s="8">
        <f>IF(OR(A121="",AD121=0),"",COUNTIFS($AD$5:$AD$304,"&gt;"&amp;AD121)+1)</f>
        <v>0</v>
      </c>
      <c r="AF121" s="8">
        <f>IF(A121="","",IF(SUMPRODUCT(MAX(('Grocery Spending'!$E$5:$E$404=A121)*'Grocery Spending'!$A$5:$A$404))=0,"",SUMPRODUCT(MAX(('Grocery Spending'!$E$5:$E$404=A121)*'Grocery Spending'!$A$5:$A$404))))</f>
        <v>0</v>
      </c>
      <c r="AG121" s="8">
        <f>IF(OR(A121="",AF121=""),"",IFERROR(AVERAGEIFS('Grocery Spending'!$I$5:$I$404,'Grocery Spending'!$E$5:$E$404,A121,'Grocery Spending'!$A$5:$A$404,AF121),""))</f>
        <v>0</v>
      </c>
      <c r="AH121" s="8">
        <f>IF(A121="","",IFERROR(AVERAGEIFS('Grocery Spending'!$I$5:$I$404,'Grocery Spending'!$E$5:$E$404,A121),""))</f>
        <v>0</v>
      </c>
      <c r="AI121" s="8">
        <f>IF(A121="","",IF(SUMPRODUCT(MIN(('Grocery Spending'!$E$5:$E$404=A121)*'Grocery Spending'!$I$5:$I$404+('Grocery Spending'!$E$5:$E$404&lt;&gt;A121)*1000000))&gt;=1000000,"",SUMPRODUCT(MIN(('Grocery Spending'!$E$5:$E$404=A121)*'Grocery Spending'!$I$5:$I$404+('Grocery Spending'!$E$5:$E$404&lt;&gt;A121)*1000000))))</f>
        <v>0</v>
      </c>
      <c r="AJ121" s="8">
        <f>IF(A121="","",SUMPRODUCT(MAX(('Grocery Spending'!$E$5:$E$404=A121)*'Grocery Spending'!$I$5:$I$404)))</f>
        <v>0</v>
      </c>
      <c r="AK121" s="8">
        <f>IF(OR(A121="",AI121="",AJ121=0),"",AJ121-AI121)</f>
        <v>0</v>
      </c>
      <c r="AL121" s="8">
        <f>IF(OR(A121="",AG121="",AH121=""),"",AG121-AH121)</f>
        <v>0</v>
      </c>
      <c r="AM121" s="8">
        <f>IF(A121="","",IF(AL121="","",IF(AL121&gt;0.01,"Up",IF(AL121&lt;-0.01,"Down","Flat"))))</f>
        <v>0</v>
      </c>
      <c r="AN121" s="25"/>
    </row>
    <row r="122" spans="1:40">
      <c r="A122" s="7"/>
      <c r="B122" s="27"/>
      <c r="C122" s="27"/>
      <c r="D122" s="28"/>
      <c r="E122" s="27"/>
      <c r="F122" s="26"/>
      <c r="G122" s="8">
        <f>IF(OR(D122="",F122="",F122=0),"",D122/F122)</f>
        <v>0</v>
      </c>
      <c r="H122" s="26"/>
      <c r="I122" s="26"/>
      <c r="J122" s="26"/>
      <c r="K122" s="26"/>
      <c r="L122" s="26"/>
      <c r="M122" s="26"/>
      <c r="N122" s="27"/>
      <c r="O122" s="27"/>
      <c r="P122" s="27"/>
      <c r="Q122" s="27"/>
      <c r="R122" s="7"/>
      <c r="S122" s="8">
        <f>IF(A122="","",SUMIFS(Pantry!$C$5:$C$304,Pantry!$A$5:$A$304,A122))</f>
        <v>0</v>
      </c>
      <c r="T122" s="8">
        <f>IF(A122="","",COUNTIFS('Grocery List'!$A$5:$A$304,A122,'Grocery List'!$N$5:$N$304,"Yes"))</f>
        <v>0</v>
      </c>
      <c r="U122" s="8">
        <f>IF(A122="","",SUMIFS('Grocery List'!$M$5:$M$304,'Grocery List'!$A$5:$A$304,A122))</f>
        <v>0</v>
      </c>
      <c r="V122" s="8">
        <f>IF(A122="","",COUNTIFS('Recipe Ingredients'!$B$5:$B$1204,A122))</f>
        <v>0</v>
      </c>
      <c r="W122" s="8">
        <f>IF(A122="","",SUMIFS('Recipe Ingredients'!$C$5:$C$1204,'Recipe Ingredients'!$B$5:$B$1204,A122))</f>
        <v>0</v>
      </c>
      <c r="X122" s="8">
        <f>IF(A122="","",IF(U122&lt;=0,IF(S122&gt;0,99,0),ROUND(S122/U122,1)))</f>
        <v>0</v>
      </c>
      <c r="Y122" s="8">
        <f>IF(A122="","",U122*10+IF(O122="Yes",5,0)+IF(X122&lt;1,10,0)+IF(S122&lt;=0,3,0))</f>
        <v>0</v>
      </c>
      <c r="Z122" s="8">
        <f>IF(A122="","",COUNTIFS($Y$5:$Y$304,"&gt;"&amp;Y122)+1)</f>
        <v>0</v>
      </c>
      <c r="AA122" s="8">
        <f>IF(A122="","",IF(OR(U122&gt;0,AND(O122="Yes",X122&lt;2)),"Yes","No"))</f>
        <v>0</v>
      </c>
      <c r="AB122" s="8">
        <f>IF(OR(A122="",D122=""),"",S122*D122)</f>
        <v>0</v>
      </c>
      <c r="AC122" s="8">
        <f>IF(AB122="","",COUNTIFS($AB$5:$AB$304,"&gt;"&amp;AB122)+1)</f>
        <v>0</v>
      </c>
      <c r="AD122" s="8">
        <f>IF(A122="","",SUMIFS('Food Waste'!$E$5:$E$154,'Food Waste'!$C$5:$C$154,A122))</f>
        <v>0</v>
      </c>
      <c r="AE122" s="8">
        <f>IF(OR(A122="",AD122=0),"",COUNTIFS($AD$5:$AD$304,"&gt;"&amp;AD122)+1)</f>
        <v>0</v>
      </c>
      <c r="AF122" s="8">
        <f>IF(A122="","",IF(SUMPRODUCT(MAX(('Grocery Spending'!$E$5:$E$404=A122)*'Grocery Spending'!$A$5:$A$404))=0,"",SUMPRODUCT(MAX(('Grocery Spending'!$E$5:$E$404=A122)*'Grocery Spending'!$A$5:$A$404))))</f>
        <v>0</v>
      </c>
      <c r="AG122" s="8">
        <f>IF(OR(A122="",AF122=""),"",IFERROR(AVERAGEIFS('Grocery Spending'!$I$5:$I$404,'Grocery Spending'!$E$5:$E$404,A122,'Grocery Spending'!$A$5:$A$404,AF122),""))</f>
        <v>0</v>
      </c>
      <c r="AH122" s="8">
        <f>IF(A122="","",IFERROR(AVERAGEIFS('Grocery Spending'!$I$5:$I$404,'Grocery Spending'!$E$5:$E$404,A122),""))</f>
        <v>0</v>
      </c>
      <c r="AI122" s="8">
        <f>IF(A122="","",IF(SUMPRODUCT(MIN(('Grocery Spending'!$E$5:$E$404=A122)*'Grocery Spending'!$I$5:$I$404+('Grocery Spending'!$E$5:$E$404&lt;&gt;A122)*1000000))&gt;=1000000,"",SUMPRODUCT(MIN(('Grocery Spending'!$E$5:$E$404=A122)*'Grocery Spending'!$I$5:$I$404+('Grocery Spending'!$E$5:$E$404&lt;&gt;A122)*1000000))))</f>
        <v>0</v>
      </c>
      <c r="AJ122" s="8">
        <f>IF(A122="","",SUMPRODUCT(MAX(('Grocery Spending'!$E$5:$E$404=A122)*'Grocery Spending'!$I$5:$I$404)))</f>
        <v>0</v>
      </c>
      <c r="AK122" s="8">
        <f>IF(OR(A122="",AI122="",AJ122=0),"",AJ122-AI122)</f>
        <v>0</v>
      </c>
      <c r="AL122" s="8">
        <f>IF(OR(A122="",AG122="",AH122=""),"",AG122-AH122)</f>
        <v>0</v>
      </c>
      <c r="AM122" s="8">
        <f>IF(A122="","",IF(AL122="","",IF(AL122&gt;0.01,"Up",IF(AL122&lt;-0.01,"Down","Flat"))))</f>
        <v>0</v>
      </c>
      <c r="AN122" s="25"/>
    </row>
    <row r="123" spans="1:40">
      <c r="A123" s="7"/>
      <c r="B123" s="27"/>
      <c r="C123" s="27"/>
      <c r="D123" s="28"/>
      <c r="E123" s="27"/>
      <c r="F123" s="26"/>
      <c r="G123" s="8">
        <f>IF(OR(D123="",F123="",F123=0),"",D123/F123)</f>
        <v>0</v>
      </c>
      <c r="H123" s="26"/>
      <c r="I123" s="26"/>
      <c r="J123" s="26"/>
      <c r="K123" s="26"/>
      <c r="L123" s="26"/>
      <c r="M123" s="26"/>
      <c r="N123" s="27"/>
      <c r="O123" s="27"/>
      <c r="P123" s="27"/>
      <c r="Q123" s="27"/>
      <c r="R123" s="7"/>
      <c r="S123" s="8">
        <f>IF(A123="","",SUMIFS(Pantry!$C$5:$C$304,Pantry!$A$5:$A$304,A123))</f>
        <v>0</v>
      </c>
      <c r="T123" s="8">
        <f>IF(A123="","",COUNTIFS('Grocery List'!$A$5:$A$304,A123,'Grocery List'!$N$5:$N$304,"Yes"))</f>
        <v>0</v>
      </c>
      <c r="U123" s="8">
        <f>IF(A123="","",SUMIFS('Grocery List'!$M$5:$M$304,'Grocery List'!$A$5:$A$304,A123))</f>
        <v>0</v>
      </c>
      <c r="V123" s="8">
        <f>IF(A123="","",COUNTIFS('Recipe Ingredients'!$B$5:$B$1204,A123))</f>
        <v>0</v>
      </c>
      <c r="W123" s="8">
        <f>IF(A123="","",SUMIFS('Recipe Ingredients'!$C$5:$C$1204,'Recipe Ingredients'!$B$5:$B$1204,A123))</f>
        <v>0</v>
      </c>
      <c r="X123" s="8">
        <f>IF(A123="","",IF(U123&lt;=0,IF(S123&gt;0,99,0),ROUND(S123/U123,1)))</f>
        <v>0</v>
      </c>
      <c r="Y123" s="8">
        <f>IF(A123="","",U123*10+IF(O123="Yes",5,0)+IF(X123&lt;1,10,0)+IF(S123&lt;=0,3,0))</f>
        <v>0</v>
      </c>
      <c r="Z123" s="8">
        <f>IF(A123="","",COUNTIFS($Y$5:$Y$304,"&gt;"&amp;Y123)+1)</f>
        <v>0</v>
      </c>
      <c r="AA123" s="8">
        <f>IF(A123="","",IF(OR(U123&gt;0,AND(O123="Yes",X123&lt;2)),"Yes","No"))</f>
        <v>0</v>
      </c>
      <c r="AB123" s="8">
        <f>IF(OR(A123="",D123=""),"",S123*D123)</f>
        <v>0</v>
      </c>
      <c r="AC123" s="8">
        <f>IF(AB123="","",COUNTIFS($AB$5:$AB$304,"&gt;"&amp;AB123)+1)</f>
        <v>0</v>
      </c>
      <c r="AD123" s="8">
        <f>IF(A123="","",SUMIFS('Food Waste'!$E$5:$E$154,'Food Waste'!$C$5:$C$154,A123))</f>
        <v>0</v>
      </c>
      <c r="AE123" s="8">
        <f>IF(OR(A123="",AD123=0),"",COUNTIFS($AD$5:$AD$304,"&gt;"&amp;AD123)+1)</f>
        <v>0</v>
      </c>
      <c r="AF123" s="8">
        <f>IF(A123="","",IF(SUMPRODUCT(MAX(('Grocery Spending'!$E$5:$E$404=A123)*'Grocery Spending'!$A$5:$A$404))=0,"",SUMPRODUCT(MAX(('Grocery Spending'!$E$5:$E$404=A123)*'Grocery Spending'!$A$5:$A$404))))</f>
        <v>0</v>
      </c>
      <c r="AG123" s="8">
        <f>IF(OR(A123="",AF123=""),"",IFERROR(AVERAGEIFS('Grocery Spending'!$I$5:$I$404,'Grocery Spending'!$E$5:$E$404,A123,'Grocery Spending'!$A$5:$A$404,AF123),""))</f>
        <v>0</v>
      </c>
      <c r="AH123" s="8">
        <f>IF(A123="","",IFERROR(AVERAGEIFS('Grocery Spending'!$I$5:$I$404,'Grocery Spending'!$E$5:$E$404,A123),""))</f>
        <v>0</v>
      </c>
      <c r="AI123" s="8">
        <f>IF(A123="","",IF(SUMPRODUCT(MIN(('Grocery Spending'!$E$5:$E$404=A123)*'Grocery Spending'!$I$5:$I$404+('Grocery Spending'!$E$5:$E$404&lt;&gt;A123)*1000000))&gt;=1000000,"",SUMPRODUCT(MIN(('Grocery Spending'!$E$5:$E$404=A123)*'Grocery Spending'!$I$5:$I$404+('Grocery Spending'!$E$5:$E$404&lt;&gt;A123)*1000000))))</f>
        <v>0</v>
      </c>
      <c r="AJ123" s="8">
        <f>IF(A123="","",SUMPRODUCT(MAX(('Grocery Spending'!$E$5:$E$404=A123)*'Grocery Spending'!$I$5:$I$404)))</f>
        <v>0</v>
      </c>
      <c r="AK123" s="8">
        <f>IF(OR(A123="",AI123="",AJ123=0),"",AJ123-AI123)</f>
        <v>0</v>
      </c>
      <c r="AL123" s="8">
        <f>IF(OR(A123="",AG123="",AH123=""),"",AG123-AH123)</f>
        <v>0</v>
      </c>
      <c r="AM123" s="8">
        <f>IF(A123="","",IF(AL123="","",IF(AL123&gt;0.01,"Up",IF(AL123&lt;-0.01,"Down","Flat"))))</f>
        <v>0</v>
      </c>
      <c r="AN123" s="25"/>
    </row>
    <row r="124" spans="1:40">
      <c r="A124" s="7"/>
      <c r="B124" s="27"/>
      <c r="C124" s="27"/>
      <c r="D124" s="28"/>
      <c r="E124" s="27"/>
      <c r="F124" s="26"/>
      <c r="G124" s="8">
        <f>IF(OR(D124="",F124="",F124=0),"",D124/F124)</f>
        <v>0</v>
      </c>
      <c r="H124" s="26"/>
      <c r="I124" s="26"/>
      <c r="J124" s="26"/>
      <c r="K124" s="26"/>
      <c r="L124" s="26"/>
      <c r="M124" s="26"/>
      <c r="N124" s="27"/>
      <c r="O124" s="27"/>
      <c r="P124" s="27"/>
      <c r="Q124" s="27"/>
      <c r="R124" s="7"/>
      <c r="S124" s="8">
        <f>IF(A124="","",SUMIFS(Pantry!$C$5:$C$304,Pantry!$A$5:$A$304,A124))</f>
        <v>0</v>
      </c>
      <c r="T124" s="8">
        <f>IF(A124="","",COUNTIFS('Grocery List'!$A$5:$A$304,A124,'Grocery List'!$N$5:$N$304,"Yes"))</f>
        <v>0</v>
      </c>
      <c r="U124" s="8">
        <f>IF(A124="","",SUMIFS('Grocery List'!$M$5:$M$304,'Grocery List'!$A$5:$A$304,A124))</f>
        <v>0</v>
      </c>
      <c r="V124" s="8">
        <f>IF(A124="","",COUNTIFS('Recipe Ingredients'!$B$5:$B$1204,A124))</f>
        <v>0</v>
      </c>
      <c r="W124" s="8">
        <f>IF(A124="","",SUMIFS('Recipe Ingredients'!$C$5:$C$1204,'Recipe Ingredients'!$B$5:$B$1204,A124))</f>
        <v>0</v>
      </c>
      <c r="X124" s="8">
        <f>IF(A124="","",IF(U124&lt;=0,IF(S124&gt;0,99,0),ROUND(S124/U124,1)))</f>
        <v>0</v>
      </c>
      <c r="Y124" s="8">
        <f>IF(A124="","",U124*10+IF(O124="Yes",5,0)+IF(X124&lt;1,10,0)+IF(S124&lt;=0,3,0))</f>
        <v>0</v>
      </c>
      <c r="Z124" s="8">
        <f>IF(A124="","",COUNTIFS($Y$5:$Y$304,"&gt;"&amp;Y124)+1)</f>
        <v>0</v>
      </c>
      <c r="AA124" s="8">
        <f>IF(A124="","",IF(OR(U124&gt;0,AND(O124="Yes",X124&lt;2)),"Yes","No"))</f>
        <v>0</v>
      </c>
      <c r="AB124" s="8">
        <f>IF(OR(A124="",D124=""),"",S124*D124)</f>
        <v>0</v>
      </c>
      <c r="AC124" s="8">
        <f>IF(AB124="","",COUNTIFS($AB$5:$AB$304,"&gt;"&amp;AB124)+1)</f>
        <v>0</v>
      </c>
      <c r="AD124" s="8">
        <f>IF(A124="","",SUMIFS('Food Waste'!$E$5:$E$154,'Food Waste'!$C$5:$C$154,A124))</f>
        <v>0</v>
      </c>
      <c r="AE124" s="8">
        <f>IF(OR(A124="",AD124=0),"",COUNTIFS($AD$5:$AD$304,"&gt;"&amp;AD124)+1)</f>
        <v>0</v>
      </c>
      <c r="AF124" s="8">
        <f>IF(A124="","",IF(SUMPRODUCT(MAX(('Grocery Spending'!$E$5:$E$404=A124)*'Grocery Spending'!$A$5:$A$404))=0,"",SUMPRODUCT(MAX(('Grocery Spending'!$E$5:$E$404=A124)*'Grocery Spending'!$A$5:$A$404))))</f>
        <v>0</v>
      </c>
      <c r="AG124" s="8">
        <f>IF(OR(A124="",AF124=""),"",IFERROR(AVERAGEIFS('Grocery Spending'!$I$5:$I$404,'Grocery Spending'!$E$5:$E$404,A124,'Grocery Spending'!$A$5:$A$404,AF124),""))</f>
        <v>0</v>
      </c>
      <c r="AH124" s="8">
        <f>IF(A124="","",IFERROR(AVERAGEIFS('Grocery Spending'!$I$5:$I$404,'Grocery Spending'!$E$5:$E$404,A124),""))</f>
        <v>0</v>
      </c>
      <c r="AI124" s="8">
        <f>IF(A124="","",IF(SUMPRODUCT(MIN(('Grocery Spending'!$E$5:$E$404=A124)*'Grocery Spending'!$I$5:$I$404+('Grocery Spending'!$E$5:$E$404&lt;&gt;A124)*1000000))&gt;=1000000,"",SUMPRODUCT(MIN(('Grocery Spending'!$E$5:$E$404=A124)*'Grocery Spending'!$I$5:$I$404+('Grocery Spending'!$E$5:$E$404&lt;&gt;A124)*1000000))))</f>
        <v>0</v>
      </c>
      <c r="AJ124" s="8">
        <f>IF(A124="","",SUMPRODUCT(MAX(('Grocery Spending'!$E$5:$E$404=A124)*'Grocery Spending'!$I$5:$I$404)))</f>
        <v>0</v>
      </c>
      <c r="AK124" s="8">
        <f>IF(OR(A124="",AI124="",AJ124=0),"",AJ124-AI124)</f>
        <v>0</v>
      </c>
      <c r="AL124" s="8">
        <f>IF(OR(A124="",AG124="",AH124=""),"",AG124-AH124)</f>
        <v>0</v>
      </c>
      <c r="AM124" s="8">
        <f>IF(A124="","",IF(AL124="","",IF(AL124&gt;0.01,"Up",IF(AL124&lt;-0.01,"Down","Flat"))))</f>
        <v>0</v>
      </c>
      <c r="AN124" s="25"/>
    </row>
    <row r="125" spans="1:40">
      <c r="A125" s="7"/>
      <c r="B125" s="27"/>
      <c r="C125" s="27"/>
      <c r="D125" s="28"/>
      <c r="E125" s="27"/>
      <c r="F125" s="26"/>
      <c r="G125" s="8">
        <f>IF(OR(D125="",F125="",F125=0),"",D125/F125)</f>
        <v>0</v>
      </c>
      <c r="H125" s="26"/>
      <c r="I125" s="26"/>
      <c r="J125" s="26"/>
      <c r="K125" s="26"/>
      <c r="L125" s="26"/>
      <c r="M125" s="26"/>
      <c r="N125" s="27"/>
      <c r="O125" s="27"/>
      <c r="P125" s="27"/>
      <c r="Q125" s="27"/>
      <c r="R125" s="7"/>
      <c r="S125" s="8">
        <f>IF(A125="","",SUMIFS(Pantry!$C$5:$C$304,Pantry!$A$5:$A$304,A125))</f>
        <v>0</v>
      </c>
      <c r="T125" s="8">
        <f>IF(A125="","",COUNTIFS('Grocery List'!$A$5:$A$304,A125,'Grocery List'!$N$5:$N$304,"Yes"))</f>
        <v>0</v>
      </c>
      <c r="U125" s="8">
        <f>IF(A125="","",SUMIFS('Grocery List'!$M$5:$M$304,'Grocery List'!$A$5:$A$304,A125))</f>
        <v>0</v>
      </c>
      <c r="V125" s="8">
        <f>IF(A125="","",COUNTIFS('Recipe Ingredients'!$B$5:$B$1204,A125))</f>
        <v>0</v>
      </c>
      <c r="W125" s="8">
        <f>IF(A125="","",SUMIFS('Recipe Ingredients'!$C$5:$C$1204,'Recipe Ingredients'!$B$5:$B$1204,A125))</f>
        <v>0</v>
      </c>
      <c r="X125" s="8">
        <f>IF(A125="","",IF(U125&lt;=0,IF(S125&gt;0,99,0),ROUND(S125/U125,1)))</f>
        <v>0</v>
      </c>
      <c r="Y125" s="8">
        <f>IF(A125="","",U125*10+IF(O125="Yes",5,0)+IF(X125&lt;1,10,0)+IF(S125&lt;=0,3,0))</f>
        <v>0</v>
      </c>
      <c r="Z125" s="8">
        <f>IF(A125="","",COUNTIFS($Y$5:$Y$304,"&gt;"&amp;Y125)+1)</f>
        <v>0</v>
      </c>
      <c r="AA125" s="8">
        <f>IF(A125="","",IF(OR(U125&gt;0,AND(O125="Yes",X125&lt;2)),"Yes","No"))</f>
        <v>0</v>
      </c>
      <c r="AB125" s="8">
        <f>IF(OR(A125="",D125=""),"",S125*D125)</f>
        <v>0</v>
      </c>
      <c r="AC125" s="8">
        <f>IF(AB125="","",COUNTIFS($AB$5:$AB$304,"&gt;"&amp;AB125)+1)</f>
        <v>0</v>
      </c>
      <c r="AD125" s="8">
        <f>IF(A125="","",SUMIFS('Food Waste'!$E$5:$E$154,'Food Waste'!$C$5:$C$154,A125))</f>
        <v>0</v>
      </c>
      <c r="AE125" s="8">
        <f>IF(OR(A125="",AD125=0),"",COUNTIFS($AD$5:$AD$304,"&gt;"&amp;AD125)+1)</f>
        <v>0</v>
      </c>
      <c r="AF125" s="8">
        <f>IF(A125="","",IF(SUMPRODUCT(MAX(('Grocery Spending'!$E$5:$E$404=A125)*'Grocery Spending'!$A$5:$A$404))=0,"",SUMPRODUCT(MAX(('Grocery Spending'!$E$5:$E$404=A125)*'Grocery Spending'!$A$5:$A$404))))</f>
        <v>0</v>
      </c>
      <c r="AG125" s="8">
        <f>IF(OR(A125="",AF125=""),"",IFERROR(AVERAGEIFS('Grocery Spending'!$I$5:$I$404,'Grocery Spending'!$E$5:$E$404,A125,'Grocery Spending'!$A$5:$A$404,AF125),""))</f>
        <v>0</v>
      </c>
      <c r="AH125" s="8">
        <f>IF(A125="","",IFERROR(AVERAGEIFS('Grocery Spending'!$I$5:$I$404,'Grocery Spending'!$E$5:$E$404,A125),""))</f>
        <v>0</v>
      </c>
      <c r="AI125" s="8">
        <f>IF(A125="","",IF(SUMPRODUCT(MIN(('Grocery Spending'!$E$5:$E$404=A125)*'Grocery Spending'!$I$5:$I$404+('Grocery Spending'!$E$5:$E$404&lt;&gt;A125)*1000000))&gt;=1000000,"",SUMPRODUCT(MIN(('Grocery Spending'!$E$5:$E$404=A125)*'Grocery Spending'!$I$5:$I$404+('Grocery Spending'!$E$5:$E$404&lt;&gt;A125)*1000000))))</f>
        <v>0</v>
      </c>
      <c r="AJ125" s="8">
        <f>IF(A125="","",SUMPRODUCT(MAX(('Grocery Spending'!$E$5:$E$404=A125)*'Grocery Spending'!$I$5:$I$404)))</f>
        <v>0</v>
      </c>
      <c r="AK125" s="8">
        <f>IF(OR(A125="",AI125="",AJ125=0),"",AJ125-AI125)</f>
        <v>0</v>
      </c>
      <c r="AL125" s="8">
        <f>IF(OR(A125="",AG125="",AH125=""),"",AG125-AH125)</f>
        <v>0</v>
      </c>
      <c r="AM125" s="8">
        <f>IF(A125="","",IF(AL125="","",IF(AL125&gt;0.01,"Up",IF(AL125&lt;-0.01,"Down","Flat"))))</f>
        <v>0</v>
      </c>
      <c r="AN125" s="25"/>
    </row>
    <row r="126" spans="1:40">
      <c r="A126" s="7"/>
      <c r="B126" s="27"/>
      <c r="C126" s="27"/>
      <c r="D126" s="28"/>
      <c r="E126" s="27"/>
      <c r="F126" s="26"/>
      <c r="G126" s="8">
        <f>IF(OR(D126="",F126="",F126=0),"",D126/F126)</f>
        <v>0</v>
      </c>
      <c r="H126" s="26"/>
      <c r="I126" s="26"/>
      <c r="J126" s="26"/>
      <c r="K126" s="26"/>
      <c r="L126" s="26"/>
      <c r="M126" s="26"/>
      <c r="N126" s="27"/>
      <c r="O126" s="27"/>
      <c r="P126" s="27"/>
      <c r="Q126" s="27"/>
      <c r="R126" s="7"/>
      <c r="S126" s="8">
        <f>IF(A126="","",SUMIFS(Pantry!$C$5:$C$304,Pantry!$A$5:$A$304,A126))</f>
        <v>0</v>
      </c>
      <c r="T126" s="8">
        <f>IF(A126="","",COUNTIFS('Grocery List'!$A$5:$A$304,A126,'Grocery List'!$N$5:$N$304,"Yes"))</f>
        <v>0</v>
      </c>
      <c r="U126" s="8">
        <f>IF(A126="","",SUMIFS('Grocery List'!$M$5:$M$304,'Grocery List'!$A$5:$A$304,A126))</f>
        <v>0</v>
      </c>
      <c r="V126" s="8">
        <f>IF(A126="","",COUNTIFS('Recipe Ingredients'!$B$5:$B$1204,A126))</f>
        <v>0</v>
      </c>
      <c r="W126" s="8">
        <f>IF(A126="","",SUMIFS('Recipe Ingredients'!$C$5:$C$1204,'Recipe Ingredients'!$B$5:$B$1204,A126))</f>
        <v>0</v>
      </c>
      <c r="X126" s="8">
        <f>IF(A126="","",IF(U126&lt;=0,IF(S126&gt;0,99,0),ROUND(S126/U126,1)))</f>
        <v>0</v>
      </c>
      <c r="Y126" s="8">
        <f>IF(A126="","",U126*10+IF(O126="Yes",5,0)+IF(X126&lt;1,10,0)+IF(S126&lt;=0,3,0))</f>
        <v>0</v>
      </c>
      <c r="Z126" s="8">
        <f>IF(A126="","",COUNTIFS($Y$5:$Y$304,"&gt;"&amp;Y126)+1)</f>
        <v>0</v>
      </c>
      <c r="AA126" s="8">
        <f>IF(A126="","",IF(OR(U126&gt;0,AND(O126="Yes",X126&lt;2)),"Yes","No"))</f>
        <v>0</v>
      </c>
      <c r="AB126" s="8">
        <f>IF(OR(A126="",D126=""),"",S126*D126)</f>
        <v>0</v>
      </c>
      <c r="AC126" s="8">
        <f>IF(AB126="","",COUNTIFS($AB$5:$AB$304,"&gt;"&amp;AB126)+1)</f>
        <v>0</v>
      </c>
      <c r="AD126" s="8">
        <f>IF(A126="","",SUMIFS('Food Waste'!$E$5:$E$154,'Food Waste'!$C$5:$C$154,A126))</f>
        <v>0</v>
      </c>
      <c r="AE126" s="8">
        <f>IF(OR(A126="",AD126=0),"",COUNTIFS($AD$5:$AD$304,"&gt;"&amp;AD126)+1)</f>
        <v>0</v>
      </c>
      <c r="AF126" s="8">
        <f>IF(A126="","",IF(SUMPRODUCT(MAX(('Grocery Spending'!$E$5:$E$404=A126)*'Grocery Spending'!$A$5:$A$404))=0,"",SUMPRODUCT(MAX(('Grocery Spending'!$E$5:$E$404=A126)*'Grocery Spending'!$A$5:$A$404))))</f>
        <v>0</v>
      </c>
      <c r="AG126" s="8">
        <f>IF(OR(A126="",AF126=""),"",IFERROR(AVERAGEIFS('Grocery Spending'!$I$5:$I$404,'Grocery Spending'!$E$5:$E$404,A126,'Grocery Spending'!$A$5:$A$404,AF126),""))</f>
        <v>0</v>
      </c>
      <c r="AH126" s="8">
        <f>IF(A126="","",IFERROR(AVERAGEIFS('Grocery Spending'!$I$5:$I$404,'Grocery Spending'!$E$5:$E$404,A126),""))</f>
        <v>0</v>
      </c>
      <c r="AI126" s="8">
        <f>IF(A126="","",IF(SUMPRODUCT(MIN(('Grocery Spending'!$E$5:$E$404=A126)*'Grocery Spending'!$I$5:$I$404+('Grocery Spending'!$E$5:$E$404&lt;&gt;A126)*1000000))&gt;=1000000,"",SUMPRODUCT(MIN(('Grocery Spending'!$E$5:$E$404=A126)*'Grocery Spending'!$I$5:$I$404+('Grocery Spending'!$E$5:$E$404&lt;&gt;A126)*1000000))))</f>
        <v>0</v>
      </c>
      <c r="AJ126" s="8">
        <f>IF(A126="","",SUMPRODUCT(MAX(('Grocery Spending'!$E$5:$E$404=A126)*'Grocery Spending'!$I$5:$I$404)))</f>
        <v>0</v>
      </c>
      <c r="AK126" s="8">
        <f>IF(OR(A126="",AI126="",AJ126=0),"",AJ126-AI126)</f>
        <v>0</v>
      </c>
      <c r="AL126" s="8">
        <f>IF(OR(A126="",AG126="",AH126=""),"",AG126-AH126)</f>
        <v>0</v>
      </c>
      <c r="AM126" s="8">
        <f>IF(A126="","",IF(AL126="","",IF(AL126&gt;0.01,"Up",IF(AL126&lt;-0.01,"Down","Flat"))))</f>
        <v>0</v>
      </c>
      <c r="AN126" s="25"/>
    </row>
    <row r="127" spans="1:40">
      <c r="A127" s="7"/>
      <c r="B127" s="27"/>
      <c r="C127" s="27"/>
      <c r="D127" s="28"/>
      <c r="E127" s="27"/>
      <c r="F127" s="26"/>
      <c r="G127" s="8">
        <f>IF(OR(D127="",F127="",F127=0),"",D127/F127)</f>
        <v>0</v>
      </c>
      <c r="H127" s="26"/>
      <c r="I127" s="26"/>
      <c r="J127" s="26"/>
      <c r="K127" s="26"/>
      <c r="L127" s="26"/>
      <c r="M127" s="26"/>
      <c r="N127" s="27"/>
      <c r="O127" s="27"/>
      <c r="P127" s="27"/>
      <c r="Q127" s="27"/>
      <c r="R127" s="7"/>
      <c r="S127" s="8">
        <f>IF(A127="","",SUMIFS(Pantry!$C$5:$C$304,Pantry!$A$5:$A$304,A127))</f>
        <v>0</v>
      </c>
      <c r="T127" s="8">
        <f>IF(A127="","",COUNTIFS('Grocery List'!$A$5:$A$304,A127,'Grocery List'!$N$5:$N$304,"Yes"))</f>
        <v>0</v>
      </c>
      <c r="U127" s="8">
        <f>IF(A127="","",SUMIFS('Grocery List'!$M$5:$M$304,'Grocery List'!$A$5:$A$304,A127))</f>
        <v>0</v>
      </c>
      <c r="V127" s="8">
        <f>IF(A127="","",COUNTIFS('Recipe Ingredients'!$B$5:$B$1204,A127))</f>
        <v>0</v>
      </c>
      <c r="W127" s="8">
        <f>IF(A127="","",SUMIFS('Recipe Ingredients'!$C$5:$C$1204,'Recipe Ingredients'!$B$5:$B$1204,A127))</f>
        <v>0</v>
      </c>
      <c r="X127" s="8">
        <f>IF(A127="","",IF(U127&lt;=0,IF(S127&gt;0,99,0),ROUND(S127/U127,1)))</f>
        <v>0</v>
      </c>
      <c r="Y127" s="8">
        <f>IF(A127="","",U127*10+IF(O127="Yes",5,0)+IF(X127&lt;1,10,0)+IF(S127&lt;=0,3,0))</f>
        <v>0</v>
      </c>
      <c r="Z127" s="8">
        <f>IF(A127="","",COUNTIFS($Y$5:$Y$304,"&gt;"&amp;Y127)+1)</f>
        <v>0</v>
      </c>
      <c r="AA127" s="8">
        <f>IF(A127="","",IF(OR(U127&gt;0,AND(O127="Yes",X127&lt;2)),"Yes","No"))</f>
        <v>0</v>
      </c>
      <c r="AB127" s="8">
        <f>IF(OR(A127="",D127=""),"",S127*D127)</f>
        <v>0</v>
      </c>
      <c r="AC127" s="8">
        <f>IF(AB127="","",COUNTIFS($AB$5:$AB$304,"&gt;"&amp;AB127)+1)</f>
        <v>0</v>
      </c>
      <c r="AD127" s="8">
        <f>IF(A127="","",SUMIFS('Food Waste'!$E$5:$E$154,'Food Waste'!$C$5:$C$154,A127))</f>
        <v>0</v>
      </c>
      <c r="AE127" s="8">
        <f>IF(OR(A127="",AD127=0),"",COUNTIFS($AD$5:$AD$304,"&gt;"&amp;AD127)+1)</f>
        <v>0</v>
      </c>
      <c r="AF127" s="8">
        <f>IF(A127="","",IF(SUMPRODUCT(MAX(('Grocery Spending'!$E$5:$E$404=A127)*'Grocery Spending'!$A$5:$A$404))=0,"",SUMPRODUCT(MAX(('Grocery Spending'!$E$5:$E$404=A127)*'Grocery Spending'!$A$5:$A$404))))</f>
        <v>0</v>
      </c>
      <c r="AG127" s="8">
        <f>IF(OR(A127="",AF127=""),"",IFERROR(AVERAGEIFS('Grocery Spending'!$I$5:$I$404,'Grocery Spending'!$E$5:$E$404,A127,'Grocery Spending'!$A$5:$A$404,AF127),""))</f>
        <v>0</v>
      </c>
      <c r="AH127" s="8">
        <f>IF(A127="","",IFERROR(AVERAGEIFS('Grocery Spending'!$I$5:$I$404,'Grocery Spending'!$E$5:$E$404,A127),""))</f>
        <v>0</v>
      </c>
      <c r="AI127" s="8">
        <f>IF(A127="","",IF(SUMPRODUCT(MIN(('Grocery Spending'!$E$5:$E$404=A127)*'Grocery Spending'!$I$5:$I$404+('Grocery Spending'!$E$5:$E$404&lt;&gt;A127)*1000000))&gt;=1000000,"",SUMPRODUCT(MIN(('Grocery Spending'!$E$5:$E$404=A127)*'Grocery Spending'!$I$5:$I$404+('Grocery Spending'!$E$5:$E$404&lt;&gt;A127)*1000000))))</f>
        <v>0</v>
      </c>
      <c r="AJ127" s="8">
        <f>IF(A127="","",SUMPRODUCT(MAX(('Grocery Spending'!$E$5:$E$404=A127)*'Grocery Spending'!$I$5:$I$404)))</f>
        <v>0</v>
      </c>
      <c r="AK127" s="8">
        <f>IF(OR(A127="",AI127="",AJ127=0),"",AJ127-AI127)</f>
        <v>0</v>
      </c>
      <c r="AL127" s="8">
        <f>IF(OR(A127="",AG127="",AH127=""),"",AG127-AH127)</f>
        <v>0</v>
      </c>
      <c r="AM127" s="8">
        <f>IF(A127="","",IF(AL127="","",IF(AL127&gt;0.01,"Up",IF(AL127&lt;-0.01,"Down","Flat"))))</f>
        <v>0</v>
      </c>
      <c r="AN127" s="25"/>
    </row>
    <row r="128" spans="1:40">
      <c r="A128" s="7"/>
      <c r="B128" s="27"/>
      <c r="C128" s="27"/>
      <c r="D128" s="28"/>
      <c r="E128" s="27"/>
      <c r="F128" s="26"/>
      <c r="G128" s="8">
        <f>IF(OR(D128="",F128="",F128=0),"",D128/F128)</f>
        <v>0</v>
      </c>
      <c r="H128" s="26"/>
      <c r="I128" s="26"/>
      <c r="J128" s="26"/>
      <c r="K128" s="26"/>
      <c r="L128" s="26"/>
      <c r="M128" s="26"/>
      <c r="N128" s="27"/>
      <c r="O128" s="27"/>
      <c r="P128" s="27"/>
      <c r="Q128" s="27"/>
      <c r="R128" s="7"/>
      <c r="S128" s="8">
        <f>IF(A128="","",SUMIFS(Pantry!$C$5:$C$304,Pantry!$A$5:$A$304,A128))</f>
        <v>0</v>
      </c>
      <c r="T128" s="8">
        <f>IF(A128="","",COUNTIFS('Grocery List'!$A$5:$A$304,A128,'Grocery List'!$N$5:$N$304,"Yes"))</f>
        <v>0</v>
      </c>
      <c r="U128" s="8">
        <f>IF(A128="","",SUMIFS('Grocery List'!$M$5:$M$304,'Grocery List'!$A$5:$A$304,A128))</f>
        <v>0</v>
      </c>
      <c r="V128" s="8">
        <f>IF(A128="","",COUNTIFS('Recipe Ingredients'!$B$5:$B$1204,A128))</f>
        <v>0</v>
      </c>
      <c r="W128" s="8">
        <f>IF(A128="","",SUMIFS('Recipe Ingredients'!$C$5:$C$1204,'Recipe Ingredients'!$B$5:$B$1204,A128))</f>
        <v>0</v>
      </c>
      <c r="X128" s="8">
        <f>IF(A128="","",IF(U128&lt;=0,IF(S128&gt;0,99,0),ROUND(S128/U128,1)))</f>
        <v>0</v>
      </c>
      <c r="Y128" s="8">
        <f>IF(A128="","",U128*10+IF(O128="Yes",5,0)+IF(X128&lt;1,10,0)+IF(S128&lt;=0,3,0))</f>
        <v>0</v>
      </c>
      <c r="Z128" s="8">
        <f>IF(A128="","",COUNTIFS($Y$5:$Y$304,"&gt;"&amp;Y128)+1)</f>
        <v>0</v>
      </c>
      <c r="AA128" s="8">
        <f>IF(A128="","",IF(OR(U128&gt;0,AND(O128="Yes",X128&lt;2)),"Yes","No"))</f>
        <v>0</v>
      </c>
      <c r="AB128" s="8">
        <f>IF(OR(A128="",D128=""),"",S128*D128)</f>
        <v>0</v>
      </c>
      <c r="AC128" s="8">
        <f>IF(AB128="","",COUNTIFS($AB$5:$AB$304,"&gt;"&amp;AB128)+1)</f>
        <v>0</v>
      </c>
      <c r="AD128" s="8">
        <f>IF(A128="","",SUMIFS('Food Waste'!$E$5:$E$154,'Food Waste'!$C$5:$C$154,A128))</f>
        <v>0</v>
      </c>
      <c r="AE128" s="8">
        <f>IF(OR(A128="",AD128=0),"",COUNTIFS($AD$5:$AD$304,"&gt;"&amp;AD128)+1)</f>
        <v>0</v>
      </c>
      <c r="AF128" s="8">
        <f>IF(A128="","",IF(SUMPRODUCT(MAX(('Grocery Spending'!$E$5:$E$404=A128)*'Grocery Spending'!$A$5:$A$404))=0,"",SUMPRODUCT(MAX(('Grocery Spending'!$E$5:$E$404=A128)*'Grocery Spending'!$A$5:$A$404))))</f>
        <v>0</v>
      </c>
      <c r="AG128" s="8">
        <f>IF(OR(A128="",AF128=""),"",IFERROR(AVERAGEIFS('Grocery Spending'!$I$5:$I$404,'Grocery Spending'!$E$5:$E$404,A128,'Grocery Spending'!$A$5:$A$404,AF128),""))</f>
        <v>0</v>
      </c>
      <c r="AH128" s="8">
        <f>IF(A128="","",IFERROR(AVERAGEIFS('Grocery Spending'!$I$5:$I$404,'Grocery Spending'!$E$5:$E$404,A128),""))</f>
        <v>0</v>
      </c>
      <c r="AI128" s="8">
        <f>IF(A128="","",IF(SUMPRODUCT(MIN(('Grocery Spending'!$E$5:$E$404=A128)*'Grocery Spending'!$I$5:$I$404+('Grocery Spending'!$E$5:$E$404&lt;&gt;A128)*1000000))&gt;=1000000,"",SUMPRODUCT(MIN(('Grocery Spending'!$E$5:$E$404=A128)*'Grocery Spending'!$I$5:$I$404+('Grocery Spending'!$E$5:$E$404&lt;&gt;A128)*1000000))))</f>
        <v>0</v>
      </c>
      <c r="AJ128" s="8">
        <f>IF(A128="","",SUMPRODUCT(MAX(('Grocery Spending'!$E$5:$E$404=A128)*'Grocery Spending'!$I$5:$I$404)))</f>
        <v>0</v>
      </c>
      <c r="AK128" s="8">
        <f>IF(OR(A128="",AI128="",AJ128=0),"",AJ128-AI128)</f>
        <v>0</v>
      </c>
      <c r="AL128" s="8">
        <f>IF(OR(A128="",AG128="",AH128=""),"",AG128-AH128)</f>
        <v>0</v>
      </c>
      <c r="AM128" s="8">
        <f>IF(A128="","",IF(AL128="","",IF(AL128&gt;0.01,"Up",IF(AL128&lt;-0.01,"Down","Flat"))))</f>
        <v>0</v>
      </c>
      <c r="AN128" s="25"/>
    </row>
    <row r="129" spans="1:40">
      <c r="A129" s="7"/>
      <c r="B129" s="27"/>
      <c r="C129" s="27"/>
      <c r="D129" s="28"/>
      <c r="E129" s="27"/>
      <c r="F129" s="26"/>
      <c r="G129" s="8">
        <f>IF(OR(D129="",F129="",F129=0),"",D129/F129)</f>
        <v>0</v>
      </c>
      <c r="H129" s="26"/>
      <c r="I129" s="26"/>
      <c r="J129" s="26"/>
      <c r="K129" s="26"/>
      <c r="L129" s="26"/>
      <c r="M129" s="26"/>
      <c r="N129" s="27"/>
      <c r="O129" s="27"/>
      <c r="P129" s="27"/>
      <c r="Q129" s="27"/>
      <c r="R129" s="7"/>
      <c r="S129" s="8">
        <f>IF(A129="","",SUMIFS(Pantry!$C$5:$C$304,Pantry!$A$5:$A$304,A129))</f>
        <v>0</v>
      </c>
      <c r="T129" s="8">
        <f>IF(A129="","",COUNTIFS('Grocery List'!$A$5:$A$304,A129,'Grocery List'!$N$5:$N$304,"Yes"))</f>
        <v>0</v>
      </c>
      <c r="U129" s="8">
        <f>IF(A129="","",SUMIFS('Grocery List'!$M$5:$M$304,'Grocery List'!$A$5:$A$304,A129))</f>
        <v>0</v>
      </c>
      <c r="V129" s="8">
        <f>IF(A129="","",COUNTIFS('Recipe Ingredients'!$B$5:$B$1204,A129))</f>
        <v>0</v>
      </c>
      <c r="W129" s="8">
        <f>IF(A129="","",SUMIFS('Recipe Ingredients'!$C$5:$C$1204,'Recipe Ingredients'!$B$5:$B$1204,A129))</f>
        <v>0</v>
      </c>
      <c r="X129" s="8">
        <f>IF(A129="","",IF(U129&lt;=0,IF(S129&gt;0,99,0),ROUND(S129/U129,1)))</f>
        <v>0</v>
      </c>
      <c r="Y129" s="8">
        <f>IF(A129="","",U129*10+IF(O129="Yes",5,0)+IF(X129&lt;1,10,0)+IF(S129&lt;=0,3,0))</f>
        <v>0</v>
      </c>
      <c r="Z129" s="8">
        <f>IF(A129="","",COUNTIFS($Y$5:$Y$304,"&gt;"&amp;Y129)+1)</f>
        <v>0</v>
      </c>
      <c r="AA129" s="8">
        <f>IF(A129="","",IF(OR(U129&gt;0,AND(O129="Yes",X129&lt;2)),"Yes","No"))</f>
        <v>0</v>
      </c>
      <c r="AB129" s="8">
        <f>IF(OR(A129="",D129=""),"",S129*D129)</f>
        <v>0</v>
      </c>
      <c r="AC129" s="8">
        <f>IF(AB129="","",COUNTIFS($AB$5:$AB$304,"&gt;"&amp;AB129)+1)</f>
        <v>0</v>
      </c>
      <c r="AD129" s="8">
        <f>IF(A129="","",SUMIFS('Food Waste'!$E$5:$E$154,'Food Waste'!$C$5:$C$154,A129))</f>
        <v>0</v>
      </c>
      <c r="AE129" s="8">
        <f>IF(OR(A129="",AD129=0),"",COUNTIFS($AD$5:$AD$304,"&gt;"&amp;AD129)+1)</f>
        <v>0</v>
      </c>
      <c r="AF129" s="8">
        <f>IF(A129="","",IF(SUMPRODUCT(MAX(('Grocery Spending'!$E$5:$E$404=A129)*'Grocery Spending'!$A$5:$A$404))=0,"",SUMPRODUCT(MAX(('Grocery Spending'!$E$5:$E$404=A129)*'Grocery Spending'!$A$5:$A$404))))</f>
        <v>0</v>
      </c>
      <c r="AG129" s="8">
        <f>IF(OR(A129="",AF129=""),"",IFERROR(AVERAGEIFS('Grocery Spending'!$I$5:$I$404,'Grocery Spending'!$E$5:$E$404,A129,'Grocery Spending'!$A$5:$A$404,AF129),""))</f>
        <v>0</v>
      </c>
      <c r="AH129" s="8">
        <f>IF(A129="","",IFERROR(AVERAGEIFS('Grocery Spending'!$I$5:$I$404,'Grocery Spending'!$E$5:$E$404,A129),""))</f>
        <v>0</v>
      </c>
      <c r="AI129" s="8">
        <f>IF(A129="","",IF(SUMPRODUCT(MIN(('Grocery Spending'!$E$5:$E$404=A129)*'Grocery Spending'!$I$5:$I$404+('Grocery Spending'!$E$5:$E$404&lt;&gt;A129)*1000000))&gt;=1000000,"",SUMPRODUCT(MIN(('Grocery Spending'!$E$5:$E$404=A129)*'Grocery Spending'!$I$5:$I$404+('Grocery Spending'!$E$5:$E$404&lt;&gt;A129)*1000000))))</f>
        <v>0</v>
      </c>
      <c r="AJ129" s="8">
        <f>IF(A129="","",SUMPRODUCT(MAX(('Grocery Spending'!$E$5:$E$404=A129)*'Grocery Spending'!$I$5:$I$404)))</f>
        <v>0</v>
      </c>
      <c r="AK129" s="8">
        <f>IF(OR(A129="",AI129="",AJ129=0),"",AJ129-AI129)</f>
        <v>0</v>
      </c>
      <c r="AL129" s="8">
        <f>IF(OR(A129="",AG129="",AH129=""),"",AG129-AH129)</f>
        <v>0</v>
      </c>
      <c r="AM129" s="8">
        <f>IF(A129="","",IF(AL129="","",IF(AL129&gt;0.01,"Up",IF(AL129&lt;-0.01,"Down","Flat"))))</f>
        <v>0</v>
      </c>
      <c r="AN129" s="25"/>
    </row>
    <row r="130" spans="1:40">
      <c r="A130" s="7"/>
      <c r="B130" s="27"/>
      <c r="C130" s="27"/>
      <c r="D130" s="28"/>
      <c r="E130" s="27"/>
      <c r="F130" s="26"/>
      <c r="G130" s="8">
        <f>IF(OR(D130="",F130="",F130=0),"",D130/F130)</f>
        <v>0</v>
      </c>
      <c r="H130" s="26"/>
      <c r="I130" s="26"/>
      <c r="J130" s="26"/>
      <c r="K130" s="26"/>
      <c r="L130" s="26"/>
      <c r="M130" s="26"/>
      <c r="N130" s="27"/>
      <c r="O130" s="27"/>
      <c r="P130" s="27"/>
      <c r="Q130" s="27"/>
      <c r="R130" s="7"/>
      <c r="S130" s="8">
        <f>IF(A130="","",SUMIFS(Pantry!$C$5:$C$304,Pantry!$A$5:$A$304,A130))</f>
        <v>0</v>
      </c>
      <c r="T130" s="8">
        <f>IF(A130="","",COUNTIFS('Grocery List'!$A$5:$A$304,A130,'Grocery List'!$N$5:$N$304,"Yes"))</f>
        <v>0</v>
      </c>
      <c r="U130" s="8">
        <f>IF(A130="","",SUMIFS('Grocery List'!$M$5:$M$304,'Grocery List'!$A$5:$A$304,A130))</f>
        <v>0</v>
      </c>
      <c r="V130" s="8">
        <f>IF(A130="","",COUNTIFS('Recipe Ingredients'!$B$5:$B$1204,A130))</f>
        <v>0</v>
      </c>
      <c r="W130" s="8">
        <f>IF(A130="","",SUMIFS('Recipe Ingredients'!$C$5:$C$1204,'Recipe Ingredients'!$B$5:$B$1204,A130))</f>
        <v>0</v>
      </c>
      <c r="X130" s="8">
        <f>IF(A130="","",IF(U130&lt;=0,IF(S130&gt;0,99,0),ROUND(S130/U130,1)))</f>
        <v>0</v>
      </c>
      <c r="Y130" s="8">
        <f>IF(A130="","",U130*10+IF(O130="Yes",5,0)+IF(X130&lt;1,10,0)+IF(S130&lt;=0,3,0))</f>
        <v>0</v>
      </c>
      <c r="Z130" s="8">
        <f>IF(A130="","",COUNTIFS($Y$5:$Y$304,"&gt;"&amp;Y130)+1)</f>
        <v>0</v>
      </c>
      <c r="AA130" s="8">
        <f>IF(A130="","",IF(OR(U130&gt;0,AND(O130="Yes",X130&lt;2)),"Yes","No"))</f>
        <v>0</v>
      </c>
      <c r="AB130" s="8">
        <f>IF(OR(A130="",D130=""),"",S130*D130)</f>
        <v>0</v>
      </c>
      <c r="AC130" s="8">
        <f>IF(AB130="","",COUNTIFS($AB$5:$AB$304,"&gt;"&amp;AB130)+1)</f>
        <v>0</v>
      </c>
      <c r="AD130" s="8">
        <f>IF(A130="","",SUMIFS('Food Waste'!$E$5:$E$154,'Food Waste'!$C$5:$C$154,A130))</f>
        <v>0</v>
      </c>
      <c r="AE130" s="8">
        <f>IF(OR(A130="",AD130=0),"",COUNTIFS($AD$5:$AD$304,"&gt;"&amp;AD130)+1)</f>
        <v>0</v>
      </c>
      <c r="AF130" s="8">
        <f>IF(A130="","",IF(SUMPRODUCT(MAX(('Grocery Spending'!$E$5:$E$404=A130)*'Grocery Spending'!$A$5:$A$404))=0,"",SUMPRODUCT(MAX(('Grocery Spending'!$E$5:$E$404=A130)*'Grocery Spending'!$A$5:$A$404))))</f>
        <v>0</v>
      </c>
      <c r="AG130" s="8">
        <f>IF(OR(A130="",AF130=""),"",IFERROR(AVERAGEIFS('Grocery Spending'!$I$5:$I$404,'Grocery Spending'!$E$5:$E$404,A130,'Grocery Spending'!$A$5:$A$404,AF130),""))</f>
        <v>0</v>
      </c>
      <c r="AH130" s="8">
        <f>IF(A130="","",IFERROR(AVERAGEIFS('Grocery Spending'!$I$5:$I$404,'Grocery Spending'!$E$5:$E$404,A130),""))</f>
        <v>0</v>
      </c>
      <c r="AI130" s="8">
        <f>IF(A130="","",IF(SUMPRODUCT(MIN(('Grocery Spending'!$E$5:$E$404=A130)*'Grocery Spending'!$I$5:$I$404+('Grocery Spending'!$E$5:$E$404&lt;&gt;A130)*1000000))&gt;=1000000,"",SUMPRODUCT(MIN(('Grocery Spending'!$E$5:$E$404=A130)*'Grocery Spending'!$I$5:$I$404+('Grocery Spending'!$E$5:$E$404&lt;&gt;A130)*1000000))))</f>
        <v>0</v>
      </c>
      <c r="AJ130" s="8">
        <f>IF(A130="","",SUMPRODUCT(MAX(('Grocery Spending'!$E$5:$E$404=A130)*'Grocery Spending'!$I$5:$I$404)))</f>
        <v>0</v>
      </c>
      <c r="AK130" s="8">
        <f>IF(OR(A130="",AI130="",AJ130=0),"",AJ130-AI130)</f>
        <v>0</v>
      </c>
      <c r="AL130" s="8">
        <f>IF(OR(A130="",AG130="",AH130=""),"",AG130-AH130)</f>
        <v>0</v>
      </c>
      <c r="AM130" s="8">
        <f>IF(A130="","",IF(AL130="","",IF(AL130&gt;0.01,"Up",IF(AL130&lt;-0.01,"Down","Flat"))))</f>
        <v>0</v>
      </c>
      <c r="AN130" s="25"/>
    </row>
    <row r="131" spans="1:40">
      <c r="A131" s="7"/>
      <c r="B131" s="27"/>
      <c r="C131" s="27"/>
      <c r="D131" s="28"/>
      <c r="E131" s="27"/>
      <c r="F131" s="26"/>
      <c r="G131" s="8">
        <f>IF(OR(D131="",F131="",F131=0),"",D131/F131)</f>
        <v>0</v>
      </c>
      <c r="H131" s="26"/>
      <c r="I131" s="26"/>
      <c r="J131" s="26"/>
      <c r="K131" s="26"/>
      <c r="L131" s="26"/>
      <c r="M131" s="26"/>
      <c r="N131" s="27"/>
      <c r="O131" s="27"/>
      <c r="P131" s="27"/>
      <c r="Q131" s="27"/>
      <c r="R131" s="7"/>
      <c r="S131" s="8">
        <f>IF(A131="","",SUMIFS(Pantry!$C$5:$C$304,Pantry!$A$5:$A$304,A131))</f>
        <v>0</v>
      </c>
      <c r="T131" s="8">
        <f>IF(A131="","",COUNTIFS('Grocery List'!$A$5:$A$304,A131,'Grocery List'!$N$5:$N$304,"Yes"))</f>
        <v>0</v>
      </c>
      <c r="U131" s="8">
        <f>IF(A131="","",SUMIFS('Grocery List'!$M$5:$M$304,'Grocery List'!$A$5:$A$304,A131))</f>
        <v>0</v>
      </c>
      <c r="V131" s="8">
        <f>IF(A131="","",COUNTIFS('Recipe Ingredients'!$B$5:$B$1204,A131))</f>
        <v>0</v>
      </c>
      <c r="W131" s="8">
        <f>IF(A131="","",SUMIFS('Recipe Ingredients'!$C$5:$C$1204,'Recipe Ingredients'!$B$5:$B$1204,A131))</f>
        <v>0</v>
      </c>
      <c r="X131" s="8">
        <f>IF(A131="","",IF(U131&lt;=0,IF(S131&gt;0,99,0),ROUND(S131/U131,1)))</f>
        <v>0</v>
      </c>
      <c r="Y131" s="8">
        <f>IF(A131="","",U131*10+IF(O131="Yes",5,0)+IF(X131&lt;1,10,0)+IF(S131&lt;=0,3,0))</f>
        <v>0</v>
      </c>
      <c r="Z131" s="8">
        <f>IF(A131="","",COUNTIFS($Y$5:$Y$304,"&gt;"&amp;Y131)+1)</f>
        <v>0</v>
      </c>
      <c r="AA131" s="8">
        <f>IF(A131="","",IF(OR(U131&gt;0,AND(O131="Yes",X131&lt;2)),"Yes","No"))</f>
        <v>0</v>
      </c>
      <c r="AB131" s="8">
        <f>IF(OR(A131="",D131=""),"",S131*D131)</f>
        <v>0</v>
      </c>
      <c r="AC131" s="8">
        <f>IF(AB131="","",COUNTIFS($AB$5:$AB$304,"&gt;"&amp;AB131)+1)</f>
        <v>0</v>
      </c>
      <c r="AD131" s="8">
        <f>IF(A131="","",SUMIFS('Food Waste'!$E$5:$E$154,'Food Waste'!$C$5:$C$154,A131))</f>
        <v>0</v>
      </c>
      <c r="AE131" s="8">
        <f>IF(OR(A131="",AD131=0),"",COUNTIFS($AD$5:$AD$304,"&gt;"&amp;AD131)+1)</f>
        <v>0</v>
      </c>
      <c r="AF131" s="8">
        <f>IF(A131="","",IF(SUMPRODUCT(MAX(('Grocery Spending'!$E$5:$E$404=A131)*'Grocery Spending'!$A$5:$A$404))=0,"",SUMPRODUCT(MAX(('Grocery Spending'!$E$5:$E$404=A131)*'Grocery Spending'!$A$5:$A$404))))</f>
        <v>0</v>
      </c>
      <c r="AG131" s="8">
        <f>IF(OR(A131="",AF131=""),"",IFERROR(AVERAGEIFS('Grocery Spending'!$I$5:$I$404,'Grocery Spending'!$E$5:$E$404,A131,'Grocery Spending'!$A$5:$A$404,AF131),""))</f>
        <v>0</v>
      </c>
      <c r="AH131" s="8">
        <f>IF(A131="","",IFERROR(AVERAGEIFS('Grocery Spending'!$I$5:$I$404,'Grocery Spending'!$E$5:$E$404,A131),""))</f>
        <v>0</v>
      </c>
      <c r="AI131" s="8">
        <f>IF(A131="","",IF(SUMPRODUCT(MIN(('Grocery Spending'!$E$5:$E$404=A131)*'Grocery Spending'!$I$5:$I$404+('Grocery Spending'!$E$5:$E$404&lt;&gt;A131)*1000000))&gt;=1000000,"",SUMPRODUCT(MIN(('Grocery Spending'!$E$5:$E$404=A131)*'Grocery Spending'!$I$5:$I$404+('Grocery Spending'!$E$5:$E$404&lt;&gt;A131)*1000000))))</f>
        <v>0</v>
      </c>
      <c r="AJ131" s="8">
        <f>IF(A131="","",SUMPRODUCT(MAX(('Grocery Spending'!$E$5:$E$404=A131)*'Grocery Spending'!$I$5:$I$404)))</f>
        <v>0</v>
      </c>
      <c r="AK131" s="8">
        <f>IF(OR(A131="",AI131="",AJ131=0),"",AJ131-AI131)</f>
        <v>0</v>
      </c>
      <c r="AL131" s="8">
        <f>IF(OR(A131="",AG131="",AH131=""),"",AG131-AH131)</f>
        <v>0</v>
      </c>
      <c r="AM131" s="8">
        <f>IF(A131="","",IF(AL131="","",IF(AL131&gt;0.01,"Up",IF(AL131&lt;-0.01,"Down","Flat"))))</f>
        <v>0</v>
      </c>
      <c r="AN131" s="25"/>
    </row>
    <row r="132" spans="1:40">
      <c r="A132" s="7"/>
      <c r="B132" s="27"/>
      <c r="C132" s="27"/>
      <c r="D132" s="28"/>
      <c r="E132" s="27"/>
      <c r="F132" s="26"/>
      <c r="G132" s="8">
        <f>IF(OR(D132="",F132="",F132=0),"",D132/F132)</f>
        <v>0</v>
      </c>
      <c r="H132" s="26"/>
      <c r="I132" s="26"/>
      <c r="J132" s="26"/>
      <c r="K132" s="26"/>
      <c r="L132" s="26"/>
      <c r="M132" s="26"/>
      <c r="N132" s="27"/>
      <c r="O132" s="27"/>
      <c r="P132" s="27"/>
      <c r="Q132" s="27"/>
      <c r="R132" s="7"/>
      <c r="S132" s="8">
        <f>IF(A132="","",SUMIFS(Pantry!$C$5:$C$304,Pantry!$A$5:$A$304,A132))</f>
        <v>0</v>
      </c>
      <c r="T132" s="8">
        <f>IF(A132="","",COUNTIFS('Grocery List'!$A$5:$A$304,A132,'Grocery List'!$N$5:$N$304,"Yes"))</f>
        <v>0</v>
      </c>
      <c r="U132" s="8">
        <f>IF(A132="","",SUMIFS('Grocery List'!$M$5:$M$304,'Grocery List'!$A$5:$A$304,A132))</f>
        <v>0</v>
      </c>
      <c r="V132" s="8">
        <f>IF(A132="","",COUNTIFS('Recipe Ingredients'!$B$5:$B$1204,A132))</f>
        <v>0</v>
      </c>
      <c r="W132" s="8">
        <f>IF(A132="","",SUMIFS('Recipe Ingredients'!$C$5:$C$1204,'Recipe Ingredients'!$B$5:$B$1204,A132))</f>
        <v>0</v>
      </c>
      <c r="X132" s="8">
        <f>IF(A132="","",IF(U132&lt;=0,IF(S132&gt;0,99,0),ROUND(S132/U132,1)))</f>
        <v>0</v>
      </c>
      <c r="Y132" s="8">
        <f>IF(A132="","",U132*10+IF(O132="Yes",5,0)+IF(X132&lt;1,10,0)+IF(S132&lt;=0,3,0))</f>
        <v>0</v>
      </c>
      <c r="Z132" s="8">
        <f>IF(A132="","",COUNTIFS($Y$5:$Y$304,"&gt;"&amp;Y132)+1)</f>
        <v>0</v>
      </c>
      <c r="AA132" s="8">
        <f>IF(A132="","",IF(OR(U132&gt;0,AND(O132="Yes",X132&lt;2)),"Yes","No"))</f>
        <v>0</v>
      </c>
      <c r="AB132" s="8">
        <f>IF(OR(A132="",D132=""),"",S132*D132)</f>
        <v>0</v>
      </c>
      <c r="AC132" s="8">
        <f>IF(AB132="","",COUNTIFS($AB$5:$AB$304,"&gt;"&amp;AB132)+1)</f>
        <v>0</v>
      </c>
      <c r="AD132" s="8">
        <f>IF(A132="","",SUMIFS('Food Waste'!$E$5:$E$154,'Food Waste'!$C$5:$C$154,A132))</f>
        <v>0</v>
      </c>
      <c r="AE132" s="8">
        <f>IF(OR(A132="",AD132=0),"",COUNTIFS($AD$5:$AD$304,"&gt;"&amp;AD132)+1)</f>
        <v>0</v>
      </c>
      <c r="AF132" s="8">
        <f>IF(A132="","",IF(SUMPRODUCT(MAX(('Grocery Spending'!$E$5:$E$404=A132)*'Grocery Spending'!$A$5:$A$404))=0,"",SUMPRODUCT(MAX(('Grocery Spending'!$E$5:$E$404=A132)*'Grocery Spending'!$A$5:$A$404))))</f>
        <v>0</v>
      </c>
      <c r="AG132" s="8">
        <f>IF(OR(A132="",AF132=""),"",IFERROR(AVERAGEIFS('Grocery Spending'!$I$5:$I$404,'Grocery Spending'!$E$5:$E$404,A132,'Grocery Spending'!$A$5:$A$404,AF132),""))</f>
        <v>0</v>
      </c>
      <c r="AH132" s="8">
        <f>IF(A132="","",IFERROR(AVERAGEIFS('Grocery Spending'!$I$5:$I$404,'Grocery Spending'!$E$5:$E$404,A132),""))</f>
        <v>0</v>
      </c>
      <c r="AI132" s="8">
        <f>IF(A132="","",IF(SUMPRODUCT(MIN(('Grocery Spending'!$E$5:$E$404=A132)*'Grocery Spending'!$I$5:$I$404+('Grocery Spending'!$E$5:$E$404&lt;&gt;A132)*1000000))&gt;=1000000,"",SUMPRODUCT(MIN(('Grocery Spending'!$E$5:$E$404=A132)*'Grocery Spending'!$I$5:$I$404+('Grocery Spending'!$E$5:$E$404&lt;&gt;A132)*1000000))))</f>
        <v>0</v>
      </c>
      <c r="AJ132" s="8">
        <f>IF(A132="","",SUMPRODUCT(MAX(('Grocery Spending'!$E$5:$E$404=A132)*'Grocery Spending'!$I$5:$I$404)))</f>
        <v>0</v>
      </c>
      <c r="AK132" s="8">
        <f>IF(OR(A132="",AI132="",AJ132=0),"",AJ132-AI132)</f>
        <v>0</v>
      </c>
      <c r="AL132" s="8">
        <f>IF(OR(A132="",AG132="",AH132=""),"",AG132-AH132)</f>
        <v>0</v>
      </c>
      <c r="AM132" s="8">
        <f>IF(A132="","",IF(AL132="","",IF(AL132&gt;0.01,"Up",IF(AL132&lt;-0.01,"Down","Flat"))))</f>
        <v>0</v>
      </c>
      <c r="AN132" s="25"/>
    </row>
    <row r="133" spans="1:40">
      <c r="A133" s="7"/>
      <c r="B133" s="27"/>
      <c r="C133" s="27"/>
      <c r="D133" s="28"/>
      <c r="E133" s="27"/>
      <c r="F133" s="26"/>
      <c r="G133" s="8">
        <f>IF(OR(D133="",F133="",F133=0),"",D133/F133)</f>
        <v>0</v>
      </c>
      <c r="H133" s="26"/>
      <c r="I133" s="26"/>
      <c r="J133" s="26"/>
      <c r="K133" s="26"/>
      <c r="L133" s="26"/>
      <c r="M133" s="26"/>
      <c r="N133" s="27"/>
      <c r="O133" s="27"/>
      <c r="P133" s="27"/>
      <c r="Q133" s="27"/>
      <c r="R133" s="7"/>
      <c r="S133" s="8">
        <f>IF(A133="","",SUMIFS(Pantry!$C$5:$C$304,Pantry!$A$5:$A$304,A133))</f>
        <v>0</v>
      </c>
      <c r="T133" s="8">
        <f>IF(A133="","",COUNTIFS('Grocery List'!$A$5:$A$304,A133,'Grocery List'!$N$5:$N$304,"Yes"))</f>
        <v>0</v>
      </c>
      <c r="U133" s="8">
        <f>IF(A133="","",SUMIFS('Grocery List'!$M$5:$M$304,'Grocery List'!$A$5:$A$304,A133))</f>
        <v>0</v>
      </c>
      <c r="V133" s="8">
        <f>IF(A133="","",COUNTIFS('Recipe Ingredients'!$B$5:$B$1204,A133))</f>
        <v>0</v>
      </c>
      <c r="W133" s="8">
        <f>IF(A133="","",SUMIFS('Recipe Ingredients'!$C$5:$C$1204,'Recipe Ingredients'!$B$5:$B$1204,A133))</f>
        <v>0</v>
      </c>
      <c r="X133" s="8">
        <f>IF(A133="","",IF(U133&lt;=0,IF(S133&gt;0,99,0),ROUND(S133/U133,1)))</f>
        <v>0</v>
      </c>
      <c r="Y133" s="8">
        <f>IF(A133="","",U133*10+IF(O133="Yes",5,0)+IF(X133&lt;1,10,0)+IF(S133&lt;=0,3,0))</f>
        <v>0</v>
      </c>
      <c r="Z133" s="8">
        <f>IF(A133="","",COUNTIFS($Y$5:$Y$304,"&gt;"&amp;Y133)+1)</f>
        <v>0</v>
      </c>
      <c r="AA133" s="8">
        <f>IF(A133="","",IF(OR(U133&gt;0,AND(O133="Yes",X133&lt;2)),"Yes","No"))</f>
        <v>0</v>
      </c>
      <c r="AB133" s="8">
        <f>IF(OR(A133="",D133=""),"",S133*D133)</f>
        <v>0</v>
      </c>
      <c r="AC133" s="8">
        <f>IF(AB133="","",COUNTIFS($AB$5:$AB$304,"&gt;"&amp;AB133)+1)</f>
        <v>0</v>
      </c>
      <c r="AD133" s="8">
        <f>IF(A133="","",SUMIFS('Food Waste'!$E$5:$E$154,'Food Waste'!$C$5:$C$154,A133))</f>
        <v>0</v>
      </c>
      <c r="AE133" s="8">
        <f>IF(OR(A133="",AD133=0),"",COUNTIFS($AD$5:$AD$304,"&gt;"&amp;AD133)+1)</f>
        <v>0</v>
      </c>
      <c r="AF133" s="8">
        <f>IF(A133="","",IF(SUMPRODUCT(MAX(('Grocery Spending'!$E$5:$E$404=A133)*'Grocery Spending'!$A$5:$A$404))=0,"",SUMPRODUCT(MAX(('Grocery Spending'!$E$5:$E$404=A133)*'Grocery Spending'!$A$5:$A$404))))</f>
        <v>0</v>
      </c>
      <c r="AG133" s="8">
        <f>IF(OR(A133="",AF133=""),"",IFERROR(AVERAGEIFS('Grocery Spending'!$I$5:$I$404,'Grocery Spending'!$E$5:$E$404,A133,'Grocery Spending'!$A$5:$A$404,AF133),""))</f>
        <v>0</v>
      </c>
      <c r="AH133" s="8">
        <f>IF(A133="","",IFERROR(AVERAGEIFS('Grocery Spending'!$I$5:$I$404,'Grocery Spending'!$E$5:$E$404,A133),""))</f>
        <v>0</v>
      </c>
      <c r="AI133" s="8">
        <f>IF(A133="","",IF(SUMPRODUCT(MIN(('Grocery Spending'!$E$5:$E$404=A133)*'Grocery Spending'!$I$5:$I$404+('Grocery Spending'!$E$5:$E$404&lt;&gt;A133)*1000000))&gt;=1000000,"",SUMPRODUCT(MIN(('Grocery Spending'!$E$5:$E$404=A133)*'Grocery Spending'!$I$5:$I$404+('Grocery Spending'!$E$5:$E$404&lt;&gt;A133)*1000000))))</f>
        <v>0</v>
      </c>
      <c r="AJ133" s="8">
        <f>IF(A133="","",SUMPRODUCT(MAX(('Grocery Spending'!$E$5:$E$404=A133)*'Grocery Spending'!$I$5:$I$404)))</f>
        <v>0</v>
      </c>
      <c r="AK133" s="8">
        <f>IF(OR(A133="",AI133="",AJ133=0),"",AJ133-AI133)</f>
        <v>0</v>
      </c>
      <c r="AL133" s="8">
        <f>IF(OR(A133="",AG133="",AH133=""),"",AG133-AH133)</f>
        <v>0</v>
      </c>
      <c r="AM133" s="8">
        <f>IF(A133="","",IF(AL133="","",IF(AL133&gt;0.01,"Up",IF(AL133&lt;-0.01,"Down","Flat"))))</f>
        <v>0</v>
      </c>
      <c r="AN133" s="25"/>
    </row>
    <row r="134" spans="1:40">
      <c r="A134" s="7"/>
      <c r="B134" s="27"/>
      <c r="C134" s="27"/>
      <c r="D134" s="28"/>
      <c r="E134" s="27"/>
      <c r="F134" s="26"/>
      <c r="G134" s="8">
        <f>IF(OR(D134="",F134="",F134=0),"",D134/F134)</f>
        <v>0</v>
      </c>
      <c r="H134" s="26"/>
      <c r="I134" s="26"/>
      <c r="J134" s="26"/>
      <c r="K134" s="26"/>
      <c r="L134" s="26"/>
      <c r="M134" s="26"/>
      <c r="N134" s="27"/>
      <c r="O134" s="27"/>
      <c r="P134" s="27"/>
      <c r="Q134" s="27"/>
      <c r="R134" s="7"/>
      <c r="S134" s="8">
        <f>IF(A134="","",SUMIFS(Pantry!$C$5:$C$304,Pantry!$A$5:$A$304,A134))</f>
        <v>0</v>
      </c>
      <c r="T134" s="8">
        <f>IF(A134="","",COUNTIFS('Grocery List'!$A$5:$A$304,A134,'Grocery List'!$N$5:$N$304,"Yes"))</f>
        <v>0</v>
      </c>
      <c r="U134" s="8">
        <f>IF(A134="","",SUMIFS('Grocery List'!$M$5:$M$304,'Grocery List'!$A$5:$A$304,A134))</f>
        <v>0</v>
      </c>
      <c r="V134" s="8">
        <f>IF(A134="","",COUNTIFS('Recipe Ingredients'!$B$5:$B$1204,A134))</f>
        <v>0</v>
      </c>
      <c r="W134" s="8">
        <f>IF(A134="","",SUMIFS('Recipe Ingredients'!$C$5:$C$1204,'Recipe Ingredients'!$B$5:$B$1204,A134))</f>
        <v>0</v>
      </c>
      <c r="X134" s="8">
        <f>IF(A134="","",IF(U134&lt;=0,IF(S134&gt;0,99,0),ROUND(S134/U134,1)))</f>
        <v>0</v>
      </c>
      <c r="Y134" s="8">
        <f>IF(A134="","",U134*10+IF(O134="Yes",5,0)+IF(X134&lt;1,10,0)+IF(S134&lt;=0,3,0))</f>
        <v>0</v>
      </c>
      <c r="Z134" s="8">
        <f>IF(A134="","",COUNTIFS($Y$5:$Y$304,"&gt;"&amp;Y134)+1)</f>
        <v>0</v>
      </c>
      <c r="AA134" s="8">
        <f>IF(A134="","",IF(OR(U134&gt;0,AND(O134="Yes",X134&lt;2)),"Yes","No"))</f>
        <v>0</v>
      </c>
      <c r="AB134" s="8">
        <f>IF(OR(A134="",D134=""),"",S134*D134)</f>
        <v>0</v>
      </c>
      <c r="AC134" s="8">
        <f>IF(AB134="","",COUNTIFS($AB$5:$AB$304,"&gt;"&amp;AB134)+1)</f>
        <v>0</v>
      </c>
      <c r="AD134" s="8">
        <f>IF(A134="","",SUMIFS('Food Waste'!$E$5:$E$154,'Food Waste'!$C$5:$C$154,A134))</f>
        <v>0</v>
      </c>
      <c r="AE134" s="8">
        <f>IF(OR(A134="",AD134=0),"",COUNTIFS($AD$5:$AD$304,"&gt;"&amp;AD134)+1)</f>
        <v>0</v>
      </c>
      <c r="AF134" s="8">
        <f>IF(A134="","",IF(SUMPRODUCT(MAX(('Grocery Spending'!$E$5:$E$404=A134)*'Grocery Spending'!$A$5:$A$404))=0,"",SUMPRODUCT(MAX(('Grocery Spending'!$E$5:$E$404=A134)*'Grocery Spending'!$A$5:$A$404))))</f>
        <v>0</v>
      </c>
      <c r="AG134" s="8">
        <f>IF(OR(A134="",AF134=""),"",IFERROR(AVERAGEIFS('Grocery Spending'!$I$5:$I$404,'Grocery Spending'!$E$5:$E$404,A134,'Grocery Spending'!$A$5:$A$404,AF134),""))</f>
        <v>0</v>
      </c>
      <c r="AH134" s="8">
        <f>IF(A134="","",IFERROR(AVERAGEIFS('Grocery Spending'!$I$5:$I$404,'Grocery Spending'!$E$5:$E$404,A134),""))</f>
        <v>0</v>
      </c>
      <c r="AI134" s="8">
        <f>IF(A134="","",IF(SUMPRODUCT(MIN(('Grocery Spending'!$E$5:$E$404=A134)*'Grocery Spending'!$I$5:$I$404+('Grocery Spending'!$E$5:$E$404&lt;&gt;A134)*1000000))&gt;=1000000,"",SUMPRODUCT(MIN(('Grocery Spending'!$E$5:$E$404=A134)*'Grocery Spending'!$I$5:$I$404+('Grocery Spending'!$E$5:$E$404&lt;&gt;A134)*1000000))))</f>
        <v>0</v>
      </c>
      <c r="AJ134" s="8">
        <f>IF(A134="","",SUMPRODUCT(MAX(('Grocery Spending'!$E$5:$E$404=A134)*'Grocery Spending'!$I$5:$I$404)))</f>
        <v>0</v>
      </c>
      <c r="AK134" s="8">
        <f>IF(OR(A134="",AI134="",AJ134=0),"",AJ134-AI134)</f>
        <v>0</v>
      </c>
      <c r="AL134" s="8">
        <f>IF(OR(A134="",AG134="",AH134=""),"",AG134-AH134)</f>
        <v>0</v>
      </c>
      <c r="AM134" s="8">
        <f>IF(A134="","",IF(AL134="","",IF(AL134&gt;0.01,"Up",IF(AL134&lt;-0.01,"Down","Flat"))))</f>
        <v>0</v>
      </c>
      <c r="AN134" s="25"/>
    </row>
    <row r="135" spans="1:40">
      <c r="A135" s="7"/>
      <c r="B135" s="27"/>
      <c r="C135" s="27"/>
      <c r="D135" s="28"/>
      <c r="E135" s="27"/>
      <c r="F135" s="26"/>
      <c r="G135" s="8">
        <f>IF(OR(D135="",F135="",F135=0),"",D135/F135)</f>
        <v>0</v>
      </c>
      <c r="H135" s="26"/>
      <c r="I135" s="26"/>
      <c r="J135" s="26"/>
      <c r="K135" s="26"/>
      <c r="L135" s="26"/>
      <c r="M135" s="26"/>
      <c r="N135" s="27"/>
      <c r="O135" s="27"/>
      <c r="P135" s="27"/>
      <c r="Q135" s="27"/>
      <c r="R135" s="7"/>
      <c r="S135" s="8">
        <f>IF(A135="","",SUMIFS(Pantry!$C$5:$C$304,Pantry!$A$5:$A$304,A135))</f>
        <v>0</v>
      </c>
      <c r="T135" s="8">
        <f>IF(A135="","",COUNTIFS('Grocery List'!$A$5:$A$304,A135,'Grocery List'!$N$5:$N$304,"Yes"))</f>
        <v>0</v>
      </c>
      <c r="U135" s="8">
        <f>IF(A135="","",SUMIFS('Grocery List'!$M$5:$M$304,'Grocery List'!$A$5:$A$304,A135))</f>
        <v>0</v>
      </c>
      <c r="V135" s="8">
        <f>IF(A135="","",COUNTIFS('Recipe Ingredients'!$B$5:$B$1204,A135))</f>
        <v>0</v>
      </c>
      <c r="W135" s="8">
        <f>IF(A135="","",SUMIFS('Recipe Ingredients'!$C$5:$C$1204,'Recipe Ingredients'!$B$5:$B$1204,A135))</f>
        <v>0</v>
      </c>
      <c r="X135" s="8">
        <f>IF(A135="","",IF(U135&lt;=0,IF(S135&gt;0,99,0),ROUND(S135/U135,1)))</f>
        <v>0</v>
      </c>
      <c r="Y135" s="8">
        <f>IF(A135="","",U135*10+IF(O135="Yes",5,0)+IF(X135&lt;1,10,0)+IF(S135&lt;=0,3,0))</f>
        <v>0</v>
      </c>
      <c r="Z135" s="8">
        <f>IF(A135="","",COUNTIFS($Y$5:$Y$304,"&gt;"&amp;Y135)+1)</f>
        <v>0</v>
      </c>
      <c r="AA135" s="8">
        <f>IF(A135="","",IF(OR(U135&gt;0,AND(O135="Yes",X135&lt;2)),"Yes","No"))</f>
        <v>0</v>
      </c>
      <c r="AB135" s="8">
        <f>IF(OR(A135="",D135=""),"",S135*D135)</f>
        <v>0</v>
      </c>
      <c r="AC135" s="8">
        <f>IF(AB135="","",COUNTIFS($AB$5:$AB$304,"&gt;"&amp;AB135)+1)</f>
        <v>0</v>
      </c>
      <c r="AD135" s="8">
        <f>IF(A135="","",SUMIFS('Food Waste'!$E$5:$E$154,'Food Waste'!$C$5:$C$154,A135))</f>
        <v>0</v>
      </c>
      <c r="AE135" s="8">
        <f>IF(OR(A135="",AD135=0),"",COUNTIFS($AD$5:$AD$304,"&gt;"&amp;AD135)+1)</f>
        <v>0</v>
      </c>
      <c r="AF135" s="8">
        <f>IF(A135="","",IF(SUMPRODUCT(MAX(('Grocery Spending'!$E$5:$E$404=A135)*'Grocery Spending'!$A$5:$A$404))=0,"",SUMPRODUCT(MAX(('Grocery Spending'!$E$5:$E$404=A135)*'Grocery Spending'!$A$5:$A$404))))</f>
        <v>0</v>
      </c>
      <c r="AG135" s="8">
        <f>IF(OR(A135="",AF135=""),"",IFERROR(AVERAGEIFS('Grocery Spending'!$I$5:$I$404,'Grocery Spending'!$E$5:$E$404,A135,'Grocery Spending'!$A$5:$A$404,AF135),""))</f>
        <v>0</v>
      </c>
      <c r="AH135" s="8">
        <f>IF(A135="","",IFERROR(AVERAGEIFS('Grocery Spending'!$I$5:$I$404,'Grocery Spending'!$E$5:$E$404,A135),""))</f>
        <v>0</v>
      </c>
      <c r="AI135" s="8">
        <f>IF(A135="","",IF(SUMPRODUCT(MIN(('Grocery Spending'!$E$5:$E$404=A135)*'Grocery Spending'!$I$5:$I$404+('Grocery Spending'!$E$5:$E$404&lt;&gt;A135)*1000000))&gt;=1000000,"",SUMPRODUCT(MIN(('Grocery Spending'!$E$5:$E$404=A135)*'Grocery Spending'!$I$5:$I$404+('Grocery Spending'!$E$5:$E$404&lt;&gt;A135)*1000000))))</f>
        <v>0</v>
      </c>
      <c r="AJ135" s="8">
        <f>IF(A135="","",SUMPRODUCT(MAX(('Grocery Spending'!$E$5:$E$404=A135)*'Grocery Spending'!$I$5:$I$404)))</f>
        <v>0</v>
      </c>
      <c r="AK135" s="8">
        <f>IF(OR(A135="",AI135="",AJ135=0),"",AJ135-AI135)</f>
        <v>0</v>
      </c>
      <c r="AL135" s="8">
        <f>IF(OR(A135="",AG135="",AH135=""),"",AG135-AH135)</f>
        <v>0</v>
      </c>
      <c r="AM135" s="8">
        <f>IF(A135="","",IF(AL135="","",IF(AL135&gt;0.01,"Up",IF(AL135&lt;-0.01,"Down","Flat"))))</f>
        <v>0</v>
      </c>
      <c r="AN135" s="25"/>
    </row>
    <row r="136" spans="1:40">
      <c r="A136" s="7"/>
      <c r="B136" s="27"/>
      <c r="C136" s="27"/>
      <c r="D136" s="28"/>
      <c r="E136" s="27"/>
      <c r="F136" s="26"/>
      <c r="G136" s="8">
        <f>IF(OR(D136="",F136="",F136=0),"",D136/F136)</f>
        <v>0</v>
      </c>
      <c r="H136" s="26"/>
      <c r="I136" s="26"/>
      <c r="J136" s="26"/>
      <c r="K136" s="26"/>
      <c r="L136" s="26"/>
      <c r="M136" s="26"/>
      <c r="N136" s="27"/>
      <c r="O136" s="27"/>
      <c r="P136" s="27"/>
      <c r="Q136" s="27"/>
      <c r="R136" s="7"/>
      <c r="S136" s="8">
        <f>IF(A136="","",SUMIFS(Pantry!$C$5:$C$304,Pantry!$A$5:$A$304,A136))</f>
        <v>0</v>
      </c>
      <c r="T136" s="8">
        <f>IF(A136="","",COUNTIFS('Grocery List'!$A$5:$A$304,A136,'Grocery List'!$N$5:$N$304,"Yes"))</f>
        <v>0</v>
      </c>
      <c r="U136" s="8">
        <f>IF(A136="","",SUMIFS('Grocery List'!$M$5:$M$304,'Grocery List'!$A$5:$A$304,A136))</f>
        <v>0</v>
      </c>
      <c r="V136" s="8">
        <f>IF(A136="","",COUNTIFS('Recipe Ingredients'!$B$5:$B$1204,A136))</f>
        <v>0</v>
      </c>
      <c r="W136" s="8">
        <f>IF(A136="","",SUMIFS('Recipe Ingredients'!$C$5:$C$1204,'Recipe Ingredients'!$B$5:$B$1204,A136))</f>
        <v>0</v>
      </c>
      <c r="X136" s="8">
        <f>IF(A136="","",IF(U136&lt;=0,IF(S136&gt;0,99,0),ROUND(S136/U136,1)))</f>
        <v>0</v>
      </c>
      <c r="Y136" s="8">
        <f>IF(A136="","",U136*10+IF(O136="Yes",5,0)+IF(X136&lt;1,10,0)+IF(S136&lt;=0,3,0))</f>
        <v>0</v>
      </c>
      <c r="Z136" s="8">
        <f>IF(A136="","",COUNTIFS($Y$5:$Y$304,"&gt;"&amp;Y136)+1)</f>
        <v>0</v>
      </c>
      <c r="AA136" s="8">
        <f>IF(A136="","",IF(OR(U136&gt;0,AND(O136="Yes",X136&lt;2)),"Yes","No"))</f>
        <v>0</v>
      </c>
      <c r="AB136" s="8">
        <f>IF(OR(A136="",D136=""),"",S136*D136)</f>
        <v>0</v>
      </c>
      <c r="AC136" s="8">
        <f>IF(AB136="","",COUNTIFS($AB$5:$AB$304,"&gt;"&amp;AB136)+1)</f>
        <v>0</v>
      </c>
      <c r="AD136" s="8">
        <f>IF(A136="","",SUMIFS('Food Waste'!$E$5:$E$154,'Food Waste'!$C$5:$C$154,A136))</f>
        <v>0</v>
      </c>
      <c r="AE136" s="8">
        <f>IF(OR(A136="",AD136=0),"",COUNTIFS($AD$5:$AD$304,"&gt;"&amp;AD136)+1)</f>
        <v>0</v>
      </c>
      <c r="AF136" s="8">
        <f>IF(A136="","",IF(SUMPRODUCT(MAX(('Grocery Spending'!$E$5:$E$404=A136)*'Grocery Spending'!$A$5:$A$404))=0,"",SUMPRODUCT(MAX(('Grocery Spending'!$E$5:$E$404=A136)*'Grocery Spending'!$A$5:$A$404))))</f>
        <v>0</v>
      </c>
      <c r="AG136" s="8">
        <f>IF(OR(A136="",AF136=""),"",IFERROR(AVERAGEIFS('Grocery Spending'!$I$5:$I$404,'Grocery Spending'!$E$5:$E$404,A136,'Grocery Spending'!$A$5:$A$404,AF136),""))</f>
        <v>0</v>
      </c>
      <c r="AH136" s="8">
        <f>IF(A136="","",IFERROR(AVERAGEIFS('Grocery Spending'!$I$5:$I$404,'Grocery Spending'!$E$5:$E$404,A136),""))</f>
        <v>0</v>
      </c>
      <c r="AI136" s="8">
        <f>IF(A136="","",IF(SUMPRODUCT(MIN(('Grocery Spending'!$E$5:$E$404=A136)*'Grocery Spending'!$I$5:$I$404+('Grocery Spending'!$E$5:$E$404&lt;&gt;A136)*1000000))&gt;=1000000,"",SUMPRODUCT(MIN(('Grocery Spending'!$E$5:$E$404=A136)*'Grocery Spending'!$I$5:$I$404+('Grocery Spending'!$E$5:$E$404&lt;&gt;A136)*1000000))))</f>
        <v>0</v>
      </c>
      <c r="AJ136" s="8">
        <f>IF(A136="","",SUMPRODUCT(MAX(('Grocery Spending'!$E$5:$E$404=A136)*'Grocery Spending'!$I$5:$I$404)))</f>
        <v>0</v>
      </c>
      <c r="AK136" s="8">
        <f>IF(OR(A136="",AI136="",AJ136=0),"",AJ136-AI136)</f>
        <v>0</v>
      </c>
      <c r="AL136" s="8">
        <f>IF(OR(A136="",AG136="",AH136=""),"",AG136-AH136)</f>
        <v>0</v>
      </c>
      <c r="AM136" s="8">
        <f>IF(A136="","",IF(AL136="","",IF(AL136&gt;0.01,"Up",IF(AL136&lt;-0.01,"Down","Flat"))))</f>
        <v>0</v>
      </c>
      <c r="AN136" s="25"/>
    </row>
    <row r="137" spans="1:40">
      <c r="A137" s="7"/>
      <c r="B137" s="27"/>
      <c r="C137" s="27"/>
      <c r="D137" s="28"/>
      <c r="E137" s="27"/>
      <c r="F137" s="26"/>
      <c r="G137" s="8">
        <f>IF(OR(D137="",F137="",F137=0),"",D137/F137)</f>
        <v>0</v>
      </c>
      <c r="H137" s="26"/>
      <c r="I137" s="26"/>
      <c r="J137" s="26"/>
      <c r="K137" s="26"/>
      <c r="L137" s="26"/>
      <c r="M137" s="26"/>
      <c r="N137" s="27"/>
      <c r="O137" s="27"/>
      <c r="P137" s="27"/>
      <c r="Q137" s="27"/>
      <c r="R137" s="7"/>
      <c r="S137" s="8">
        <f>IF(A137="","",SUMIFS(Pantry!$C$5:$C$304,Pantry!$A$5:$A$304,A137))</f>
        <v>0</v>
      </c>
      <c r="T137" s="8">
        <f>IF(A137="","",COUNTIFS('Grocery List'!$A$5:$A$304,A137,'Grocery List'!$N$5:$N$304,"Yes"))</f>
        <v>0</v>
      </c>
      <c r="U137" s="8">
        <f>IF(A137="","",SUMIFS('Grocery List'!$M$5:$M$304,'Grocery List'!$A$5:$A$304,A137))</f>
        <v>0</v>
      </c>
      <c r="V137" s="8">
        <f>IF(A137="","",COUNTIFS('Recipe Ingredients'!$B$5:$B$1204,A137))</f>
        <v>0</v>
      </c>
      <c r="W137" s="8">
        <f>IF(A137="","",SUMIFS('Recipe Ingredients'!$C$5:$C$1204,'Recipe Ingredients'!$B$5:$B$1204,A137))</f>
        <v>0</v>
      </c>
      <c r="X137" s="8">
        <f>IF(A137="","",IF(U137&lt;=0,IF(S137&gt;0,99,0),ROUND(S137/U137,1)))</f>
        <v>0</v>
      </c>
      <c r="Y137" s="8">
        <f>IF(A137="","",U137*10+IF(O137="Yes",5,0)+IF(X137&lt;1,10,0)+IF(S137&lt;=0,3,0))</f>
        <v>0</v>
      </c>
      <c r="Z137" s="8">
        <f>IF(A137="","",COUNTIFS($Y$5:$Y$304,"&gt;"&amp;Y137)+1)</f>
        <v>0</v>
      </c>
      <c r="AA137" s="8">
        <f>IF(A137="","",IF(OR(U137&gt;0,AND(O137="Yes",X137&lt;2)),"Yes","No"))</f>
        <v>0</v>
      </c>
      <c r="AB137" s="8">
        <f>IF(OR(A137="",D137=""),"",S137*D137)</f>
        <v>0</v>
      </c>
      <c r="AC137" s="8">
        <f>IF(AB137="","",COUNTIFS($AB$5:$AB$304,"&gt;"&amp;AB137)+1)</f>
        <v>0</v>
      </c>
      <c r="AD137" s="8">
        <f>IF(A137="","",SUMIFS('Food Waste'!$E$5:$E$154,'Food Waste'!$C$5:$C$154,A137))</f>
        <v>0</v>
      </c>
      <c r="AE137" s="8">
        <f>IF(OR(A137="",AD137=0),"",COUNTIFS($AD$5:$AD$304,"&gt;"&amp;AD137)+1)</f>
        <v>0</v>
      </c>
      <c r="AF137" s="8">
        <f>IF(A137="","",IF(SUMPRODUCT(MAX(('Grocery Spending'!$E$5:$E$404=A137)*'Grocery Spending'!$A$5:$A$404))=0,"",SUMPRODUCT(MAX(('Grocery Spending'!$E$5:$E$404=A137)*'Grocery Spending'!$A$5:$A$404))))</f>
        <v>0</v>
      </c>
      <c r="AG137" s="8">
        <f>IF(OR(A137="",AF137=""),"",IFERROR(AVERAGEIFS('Grocery Spending'!$I$5:$I$404,'Grocery Spending'!$E$5:$E$404,A137,'Grocery Spending'!$A$5:$A$404,AF137),""))</f>
        <v>0</v>
      </c>
      <c r="AH137" s="8">
        <f>IF(A137="","",IFERROR(AVERAGEIFS('Grocery Spending'!$I$5:$I$404,'Grocery Spending'!$E$5:$E$404,A137),""))</f>
        <v>0</v>
      </c>
      <c r="AI137" s="8">
        <f>IF(A137="","",IF(SUMPRODUCT(MIN(('Grocery Spending'!$E$5:$E$404=A137)*'Grocery Spending'!$I$5:$I$404+('Grocery Spending'!$E$5:$E$404&lt;&gt;A137)*1000000))&gt;=1000000,"",SUMPRODUCT(MIN(('Grocery Spending'!$E$5:$E$404=A137)*'Grocery Spending'!$I$5:$I$404+('Grocery Spending'!$E$5:$E$404&lt;&gt;A137)*1000000))))</f>
        <v>0</v>
      </c>
      <c r="AJ137" s="8">
        <f>IF(A137="","",SUMPRODUCT(MAX(('Grocery Spending'!$E$5:$E$404=A137)*'Grocery Spending'!$I$5:$I$404)))</f>
        <v>0</v>
      </c>
      <c r="AK137" s="8">
        <f>IF(OR(A137="",AI137="",AJ137=0),"",AJ137-AI137)</f>
        <v>0</v>
      </c>
      <c r="AL137" s="8">
        <f>IF(OR(A137="",AG137="",AH137=""),"",AG137-AH137)</f>
        <v>0</v>
      </c>
      <c r="AM137" s="8">
        <f>IF(A137="","",IF(AL137="","",IF(AL137&gt;0.01,"Up",IF(AL137&lt;-0.01,"Down","Flat"))))</f>
        <v>0</v>
      </c>
      <c r="AN137" s="25"/>
    </row>
    <row r="138" spans="1:40">
      <c r="A138" s="7"/>
      <c r="B138" s="27"/>
      <c r="C138" s="27"/>
      <c r="D138" s="28"/>
      <c r="E138" s="27"/>
      <c r="F138" s="26"/>
      <c r="G138" s="8">
        <f>IF(OR(D138="",F138="",F138=0),"",D138/F138)</f>
        <v>0</v>
      </c>
      <c r="H138" s="26"/>
      <c r="I138" s="26"/>
      <c r="J138" s="26"/>
      <c r="K138" s="26"/>
      <c r="L138" s="26"/>
      <c r="M138" s="26"/>
      <c r="N138" s="27"/>
      <c r="O138" s="27"/>
      <c r="P138" s="27"/>
      <c r="Q138" s="27"/>
      <c r="R138" s="7"/>
      <c r="S138" s="8">
        <f>IF(A138="","",SUMIFS(Pantry!$C$5:$C$304,Pantry!$A$5:$A$304,A138))</f>
        <v>0</v>
      </c>
      <c r="T138" s="8">
        <f>IF(A138="","",COUNTIFS('Grocery List'!$A$5:$A$304,A138,'Grocery List'!$N$5:$N$304,"Yes"))</f>
        <v>0</v>
      </c>
      <c r="U138" s="8">
        <f>IF(A138="","",SUMIFS('Grocery List'!$M$5:$M$304,'Grocery List'!$A$5:$A$304,A138))</f>
        <v>0</v>
      </c>
      <c r="V138" s="8">
        <f>IF(A138="","",COUNTIFS('Recipe Ingredients'!$B$5:$B$1204,A138))</f>
        <v>0</v>
      </c>
      <c r="W138" s="8">
        <f>IF(A138="","",SUMIFS('Recipe Ingredients'!$C$5:$C$1204,'Recipe Ingredients'!$B$5:$B$1204,A138))</f>
        <v>0</v>
      </c>
      <c r="X138" s="8">
        <f>IF(A138="","",IF(U138&lt;=0,IF(S138&gt;0,99,0),ROUND(S138/U138,1)))</f>
        <v>0</v>
      </c>
      <c r="Y138" s="8">
        <f>IF(A138="","",U138*10+IF(O138="Yes",5,0)+IF(X138&lt;1,10,0)+IF(S138&lt;=0,3,0))</f>
        <v>0</v>
      </c>
      <c r="Z138" s="8">
        <f>IF(A138="","",COUNTIFS($Y$5:$Y$304,"&gt;"&amp;Y138)+1)</f>
        <v>0</v>
      </c>
      <c r="AA138" s="8">
        <f>IF(A138="","",IF(OR(U138&gt;0,AND(O138="Yes",X138&lt;2)),"Yes","No"))</f>
        <v>0</v>
      </c>
      <c r="AB138" s="8">
        <f>IF(OR(A138="",D138=""),"",S138*D138)</f>
        <v>0</v>
      </c>
      <c r="AC138" s="8">
        <f>IF(AB138="","",COUNTIFS($AB$5:$AB$304,"&gt;"&amp;AB138)+1)</f>
        <v>0</v>
      </c>
      <c r="AD138" s="8">
        <f>IF(A138="","",SUMIFS('Food Waste'!$E$5:$E$154,'Food Waste'!$C$5:$C$154,A138))</f>
        <v>0</v>
      </c>
      <c r="AE138" s="8">
        <f>IF(OR(A138="",AD138=0),"",COUNTIFS($AD$5:$AD$304,"&gt;"&amp;AD138)+1)</f>
        <v>0</v>
      </c>
      <c r="AF138" s="8">
        <f>IF(A138="","",IF(SUMPRODUCT(MAX(('Grocery Spending'!$E$5:$E$404=A138)*'Grocery Spending'!$A$5:$A$404))=0,"",SUMPRODUCT(MAX(('Grocery Spending'!$E$5:$E$404=A138)*'Grocery Spending'!$A$5:$A$404))))</f>
        <v>0</v>
      </c>
      <c r="AG138" s="8">
        <f>IF(OR(A138="",AF138=""),"",IFERROR(AVERAGEIFS('Grocery Spending'!$I$5:$I$404,'Grocery Spending'!$E$5:$E$404,A138,'Grocery Spending'!$A$5:$A$404,AF138),""))</f>
        <v>0</v>
      </c>
      <c r="AH138" s="8">
        <f>IF(A138="","",IFERROR(AVERAGEIFS('Grocery Spending'!$I$5:$I$404,'Grocery Spending'!$E$5:$E$404,A138),""))</f>
        <v>0</v>
      </c>
      <c r="AI138" s="8">
        <f>IF(A138="","",IF(SUMPRODUCT(MIN(('Grocery Spending'!$E$5:$E$404=A138)*'Grocery Spending'!$I$5:$I$404+('Grocery Spending'!$E$5:$E$404&lt;&gt;A138)*1000000))&gt;=1000000,"",SUMPRODUCT(MIN(('Grocery Spending'!$E$5:$E$404=A138)*'Grocery Spending'!$I$5:$I$404+('Grocery Spending'!$E$5:$E$404&lt;&gt;A138)*1000000))))</f>
        <v>0</v>
      </c>
      <c r="AJ138" s="8">
        <f>IF(A138="","",SUMPRODUCT(MAX(('Grocery Spending'!$E$5:$E$404=A138)*'Grocery Spending'!$I$5:$I$404)))</f>
        <v>0</v>
      </c>
      <c r="AK138" s="8">
        <f>IF(OR(A138="",AI138="",AJ138=0),"",AJ138-AI138)</f>
        <v>0</v>
      </c>
      <c r="AL138" s="8">
        <f>IF(OR(A138="",AG138="",AH138=""),"",AG138-AH138)</f>
        <v>0</v>
      </c>
      <c r="AM138" s="8">
        <f>IF(A138="","",IF(AL138="","",IF(AL138&gt;0.01,"Up",IF(AL138&lt;-0.01,"Down","Flat"))))</f>
        <v>0</v>
      </c>
      <c r="AN138" s="25"/>
    </row>
    <row r="139" spans="1:40">
      <c r="A139" s="7"/>
      <c r="B139" s="27"/>
      <c r="C139" s="27"/>
      <c r="D139" s="28"/>
      <c r="E139" s="27"/>
      <c r="F139" s="26"/>
      <c r="G139" s="8">
        <f>IF(OR(D139="",F139="",F139=0),"",D139/F139)</f>
        <v>0</v>
      </c>
      <c r="H139" s="26"/>
      <c r="I139" s="26"/>
      <c r="J139" s="26"/>
      <c r="K139" s="26"/>
      <c r="L139" s="26"/>
      <c r="M139" s="26"/>
      <c r="N139" s="27"/>
      <c r="O139" s="27"/>
      <c r="P139" s="27"/>
      <c r="Q139" s="27"/>
      <c r="R139" s="7"/>
      <c r="S139" s="8">
        <f>IF(A139="","",SUMIFS(Pantry!$C$5:$C$304,Pantry!$A$5:$A$304,A139))</f>
        <v>0</v>
      </c>
      <c r="T139" s="8">
        <f>IF(A139="","",COUNTIFS('Grocery List'!$A$5:$A$304,A139,'Grocery List'!$N$5:$N$304,"Yes"))</f>
        <v>0</v>
      </c>
      <c r="U139" s="8">
        <f>IF(A139="","",SUMIFS('Grocery List'!$M$5:$M$304,'Grocery List'!$A$5:$A$304,A139))</f>
        <v>0</v>
      </c>
      <c r="V139" s="8">
        <f>IF(A139="","",COUNTIFS('Recipe Ingredients'!$B$5:$B$1204,A139))</f>
        <v>0</v>
      </c>
      <c r="W139" s="8">
        <f>IF(A139="","",SUMIFS('Recipe Ingredients'!$C$5:$C$1204,'Recipe Ingredients'!$B$5:$B$1204,A139))</f>
        <v>0</v>
      </c>
      <c r="X139" s="8">
        <f>IF(A139="","",IF(U139&lt;=0,IF(S139&gt;0,99,0),ROUND(S139/U139,1)))</f>
        <v>0</v>
      </c>
      <c r="Y139" s="8">
        <f>IF(A139="","",U139*10+IF(O139="Yes",5,0)+IF(X139&lt;1,10,0)+IF(S139&lt;=0,3,0))</f>
        <v>0</v>
      </c>
      <c r="Z139" s="8">
        <f>IF(A139="","",COUNTIFS($Y$5:$Y$304,"&gt;"&amp;Y139)+1)</f>
        <v>0</v>
      </c>
      <c r="AA139" s="8">
        <f>IF(A139="","",IF(OR(U139&gt;0,AND(O139="Yes",X139&lt;2)),"Yes","No"))</f>
        <v>0</v>
      </c>
      <c r="AB139" s="8">
        <f>IF(OR(A139="",D139=""),"",S139*D139)</f>
        <v>0</v>
      </c>
      <c r="AC139" s="8">
        <f>IF(AB139="","",COUNTIFS($AB$5:$AB$304,"&gt;"&amp;AB139)+1)</f>
        <v>0</v>
      </c>
      <c r="AD139" s="8">
        <f>IF(A139="","",SUMIFS('Food Waste'!$E$5:$E$154,'Food Waste'!$C$5:$C$154,A139))</f>
        <v>0</v>
      </c>
      <c r="AE139" s="8">
        <f>IF(OR(A139="",AD139=0),"",COUNTIFS($AD$5:$AD$304,"&gt;"&amp;AD139)+1)</f>
        <v>0</v>
      </c>
      <c r="AF139" s="8">
        <f>IF(A139="","",IF(SUMPRODUCT(MAX(('Grocery Spending'!$E$5:$E$404=A139)*'Grocery Spending'!$A$5:$A$404))=0,"",SUMPRODUCT(MAX(('Grocery Spending'!$E$5:$E$404=A139)*'Grocery Spending'!$A$5:$A$404))))</f>
        <v>0</v>
      </c>
      <c r="AG139" s="8">
        <f>IF(OR(A139="",AF139=""),"",IFERROR(AVERAGEIFS('Grocery Spending'!$I$5:$I$404,'Grocery Spending'!$E$5:$E$404,A139,'Grocery Spending'!$A$5:$A$404,AF139),""))</f>
        <v>0</v>
      </c>
      <c r="AH139" s="8">
        <f>IF(A139="","",IFERROR(AVERAGEIFS('Grocery Spending'!$I$5:$I$404,'Grocery Spending'!$E$5:$E$404,A139),""))</f>
        <v>0</v>
      </c>
      <c r="AI139" s="8">
        <f>IF(A139="","",IF(SUMPRODUCT(MIN(('Grocery Spending'!$E$5:$E$404=A139)*'Grocery Spending'!$I$5:$I$404+('Grocery Spending'!$E$5:$E$404&lt;&gt;A139)*1000000))&gt;=1000000,"",SUMPRODUCT(MIN(('Grocery Spending'!$E$5:$E$404=A139)*'Grocery Spending'!$I$5:$I$404+('Grocery Spending'!$E$5:$E$404&lt;&gt;A139)*1000000))))</f>
        <v>0</v>
      </c>
      <c r="AJ139" s="8">
        <f>IF(A139="","",SUMPRODUCT(MAX(('Grocery Spending'!$E$5:$E$404=A139)*'Grocery Spending'!$I$5:$I$404)))</f>
        <v>0</v>
      </c>
      <c r="AK139" s="8">
        <f>IF(OR(A139="",AI139="",AJ139=0),"",AJ139-AI139)</f>
        <v>0</v>
      </c>
      <c r="AL139" s="8">
        <f>IF(OR(A139="",AG139="",AH139=""),"",AG139-AH139)</f>
        <v>0</v>
      </c>
      <c r="AM139" s="8">
        <f>IF(A139="","",IF(AL139="","",IF(AL139&gt;0.01,"Up",IF(AL139&lt;-0.01,"Down","Flat"))))</f>
        <v>0</v>
      </c>
      <c r="AN139" s="25"/>
    </row>
    <row r="140" spans="1:40">
      <c r="A140" s="7"/>
      <c r="B140" s="27"/>
      <c r="C140" s="27"/>
      <c r="D140" s="28"/>
      <c r="E140" s="27"/>
      <c r="F140" s="26"/>
      <c r="G140" s="8">
        <f>IF(OR(D140="",F140="",F140=0),"",D140/F140)</f>
        <v>0</v>
      </c>
      <c r="H140" s="26"/>
      <c r="I140" s="26"/>
      <c r="J140" s="26"/>
      <c r="K140" s="26"/>
      <c r="L140" s="26"/>
      <c r="M140" s="26"/>
      <c r="N140" s="27"/>
      <c r="O140" s="27"/>
      <c r="P140" s="27"/>
      <c r="Q140" s="27"/>
      <c r="R140" s="7"/>
      <c r="S140" s="8">
        <f>IF(A140="","",SUMIFS(Pantry!$C$5:$C$304,Pantry!$A$5:$A$304,A140))</f>
        <v>0</v>
      </c>
      <c r="T140" s="8">
        <f>IF(A140="","",COUNTIFS('Grocery List'!$A$5:$A$304,A140,'Grocery List'!$N$5:$N$304,"Yes"))</f>
        <v>0</v>
      </c>
      <c r="U140" s="8">
        <f>IF(A140="","",SUMIFS('Grocery List'!$M$5:$M$304,'Grocery List'!$A$5:$A$304,A140))</f>
        <v>0</v>
      </c>
      <c r="V140" s="8">
        <f>IF(A140="","",COUNTIFS('Recipe Ingredients'!$B$5:$B$1204,A140))</f>
        <v>0</v>
      </c>
      <c r="W140" s="8">
        <f>IF(A140="","",SUMIFS('Recipe Ingredients'!$C$5:$C$1204,'Recipe Ingredients'!$B$5:$B$1204,A140))</f>
        <v>0</v>
      </c>
      <c r="X140" s="8">
        <f>IF(A140="","",IF(U140&lt;=0,IF(S140&gt;0,99,0),ROUND(S140/U140,1)))</f>
        <v>0</v>
      </c>
      <c r="Y140" s="8">
        <f>IF(A140="","",U140*10+IF(O140="Yes",5,0)+IF(X140&lt;1,10,0)+IF(S140&lt;=0,3,0))</f>
        <v>0</v>
      </c>
      <c r="Z140" s="8">
        <f>IF(A140="","",COUNTIFS($Y$5:$Y$304,"&gt;"&amp;Y140)+1)</f>
        <v>0</v>
      </c>
      <c r="AA140" s="8">
        <f>IF(A140="","",IF(OR(U140&gt;0,AND(O140="Yes",X140&lt;2)),"Yes","No"))</f>
        <v>0</v>
      </c>
      <c r="AB140" s="8">
        <f>IF(OR(A140="",D140=""),"",S140*D140)</f>
        <v>0</v>
      </c>
      <c r="AC140" s="8">
        <f>IF(AB140="","",COUNTIFS($AB$5:$AB$304,"&gt;"&amp;AB140)+1)</f>
        <v>0</v>
      </c>
      <c r="AD140" s="8">
        <f>IF(A140="","",SUMIFS('Food Waste'!$E$5:$E$154,'Food Waste'!$C$5:$C$154,A140))</f>
        <v>0</v>
      </c>
      <c r="AE140" s="8">
        <f>IF(OR(A140="",AD140=0),"",COUNTIFS($AD$5:$AD$304,"&gt;"&amp;AD140)+1)</f>
        <v>0</v>
      </c>
      <c r="AF140" s="8">
        <f>IF(A140="","",IF(SUMPRODUCT(MAX(('Grocery Spending'!$E$5:$E$404=A140)*'Grocery Spending'!$A$5:$A$404))=0,"",SUMPRODUCT(MAX(('Grocery Spending'!$E$5:$E$404=A140)*'Grocery Spending'!$A$5:$A$404))))</f>
        <v>0</v>
      </c>
      <c r="AG140" s="8">
        <f>IF(OR(A140="",AF140=""),"",IFERROR(AVERAGEIFS('Grocery Spending'!$I$5:$I$404,'Grocery Spending'!$E$5:$E$404,A140,'Grocery Spending'!$A$5:$A$404,AF140),""))</f>
        <v>0</v>
      </c>
      <c r="AH140" s="8">
        <f>IF(A140="","",IFERROR(AVERAGEIFS('Grocery Spending'!$I$5:$I$404,'Grocery Spending'!$E$5:$E$404,A140),""))</f>
        <v>0</v>
      </c>
      <c r="AI140" s="8">
        <f>IF(A140="","",IF(SUMPRODUCT(MIN(('Grocery Spending'!$E$5:$E$404=A140)*'Grocery Spending'!$I$5:$I$404+('Grocery Spending'!$E$5:$E$404&lt;&gt;A140)*1000000))&gt;=1000000,"",SUMPRODUCT(MIN(('Grocery Spending'!$E$5:$E$404=A140)*'Grocery Spending'!$I$5:$I$404+('Grocery Spending'!$E$5:$E$404&lt;&gt;A140)*1000000))))</f>
        <v>0</v>
      </c>
      <c r="AJ140" s="8">
        <f>IF(A140="","",SUMPRODUCT(MAX(('Grocery Spending'!$E$5:$E$404=A140)*'Grocery Spending'!$I$5:$I$404)))</f>
        <v>0</v>
      </c>
      <c r="AK140" s="8">
        <f>IF(OR(A140="",AI140="",AJ140=0),"",AJ140-AI140)</f>
        <v>0</v>
      </c>
      <c r="AL140" s="8">
        <f>IF(OR(A140="",AG140="",AH140=""),"",AG140-AH140)</f>
        <v>0</v>
      </c>
      <c r="AM140" s="8">
        <f>IF(A140="","",IF(AL140="","",IF(AL140&gt;0.01,"Up",IF(AL140&lt;-0.01,"Down","Flat"))))</f>
        <v>0</v>
      </c>
      <c r="AN140" s="25"/>
    </row>
    <row r="141" spans="1:40">
      <c r="A141" s="7"/>
      <c r="B141" s="27"/>
      <c r="C141" s="27"/>
      <c r="D141" s="28"/>
      <c r="E141" s="27"/>
      <c r="F141" s="26"/>
      <c r="G141" s="8">
        <f>IF(OR(D141="",F141="",F141=0),"",D141/F141)</f>
        <v>0</v>
      </c>
      <c r="H141" s="26"/>
      <c r="I141" s="26"/>
      <c r="J141" s="26"/>
      <c r="K141" s="26"/>
      <c r="L141" s="26"/>
      <c r="M141" s="26"/>
      <c r="N141" s="27"/>
      <c r="O141" s="27"/>
      <c r="P141" s="27"/>
      <c r="Q141" s="27"/>
      <c r="R141" s="7"/>
      <c r="S141" s="8">
        <f>IF(A141="","",SUMIFS(Pantry!$C$5:$C$304,Pantry!$A$5:$A$304,A141))</f>
        <v>0</v>
      </c>
      <c r="T141" s="8">
        <f>IF(A141="","",COUNTIFS('Grocery List'!$A$5:$A$304,A141,'Grocery List'!$N$5:$N$304,"Yes"))</f>
        <v>0</v>
      </c>
      <c r="U141" s="8">
        <f>IF(A141="","",SUMIFS('Grocery List'!$M$5:$M$304,'Grocery List'!$A$5:$A$304,A141))</f>
        <v>0</v>
      </c>
      <c r="V141" s="8">
        <f>IF(A141="","",COUNTIFS('Recipe Ingredients'!$B$5:$B$1204,A141))</f>
        <v>0</v>
      </c>
      <c r="W141" s="8">
        <f>IF(A141="","",SUMIFS('Recipe Ingredients'!$C$5:$C$1204,'Recipe Ingredients'!$B$5:$B$1204,A141))</f>
        <v>0</v>
      </c>
      <c r="X141" s="8">
        <f>IF(A141="","",IF(U141&lt;=0,IF(S141&gt;0,99,0),ROUND(S141/U141,1)))</f>
        <v>0</v>
      </c>
      <c r="Y141" s="8">
        <f>IF(A141="","",U141*10+IF(O141="Yes",5,0)+IF(X141&lt;1,10,0)+IF(S141&lt;=0,3,0))</f>
        <v>0</v>
      </c>
      <c r="Z141" s="8">
        <f>IF(A141="","",COUNTIFS($Y$5:$Y$304,"&gt;"&amp;Y141)+1)</f>
        <v>0</v>
      </c>
      <c r="AA141" s="8">
        <f>IF(A141="","",IF(OR(U141&gt;0,AND(O141="Yes",X141&lt;2)),"Yes","No"))</f>
        <v>0</v>
      </c>
      <c r="AB141" s="8">
        <f>IF(OR(A141="",D141=""),"",S141*D141)</f>
        <v>0</v>
      </c>
      <c r="AC141" s="8">
        <f>IF(AB141="","",COUNTIFS($AB$5:$AB$304,"&gt;"&amp;AB141)+1)</f>
        <v>0</v>
      </c>
      <c r="AD141" s="8">
        <f>IF(A141="","",SUMIFS('Food Waste'!$E$5:$E$154,'Food Waste'!$C$5:$C$154,A141))</f>
        <v>0</v>
      </c>
      <c r="AE141" s="8">
        <f>IF(OR(A141="",AD141=0),"",COUNTIFS($AD$5:$AD$304,"&gt;"&amp;AD141)+1)</f>
        <v>0</v>
      </c>
      <c r="AF141" s="8">
        <f>IF(A141="","",IF(SUMPRODUCT(MAX(('Grocery Spending'!$E$5:$E$404=A141)*'Grocery Spending'!$A$5:$A$404))=0,"",SUMPRODUCT(MAX(('Grocery Spending'!$E$5:$E$404=A141)*'Grocery Spending'!$A$5:$A$404))))</f>
        <v>0</v>
      </c>
      <c r="AG141" s="8">
        <f>IF(OR(A141="",AF141=""),"",IFERROR(AVERAGEIFS('Grocery Spending'!$I$5:$I$404,'Grocery Spending'!$E$5:$E$404,A141,'Grocery Spending'!$A$5:$A$404,AF141),""))</f>
        <v>0</v>
      </c>
      <c r="AH141" s="8">
        <f>IF(A141="","",IFERROR(AVERAGEIFS('Grocery Spending'!$I$5:$I$404,'Grocery Spending'!$E$5:$E$404,A141),""))</f>
        <v>0</v>
      </c>
      <c r="AI141" s="8">
        <f>IF(A141="","",IF(SUMPRODUCT(MIN(('Grocery Spending'!$E$5:$E$404=A141)*'Grocery Spending'!$I$5:$I$404+('Grocery Spending'!$E$5:$E$404&lt;&gt;A141)*1000000))&gt;=1000000,"",SUMPRODUCT(MIN(('Grocery Spending'!$E$5:$E$404=A141)*'Grocery Spending'!$I$5:$I$404+('Grocery Spending'!$E$5:$E$404&lt;&gt;A141)*1000000))))</f>
        <v>0</v>
      </c>
      <c r="AJ141" s="8">
        <f>IF(A141="","",SUMPRODUCT(MAX(('Grocery Spending'!$E$5:$E$404=A141)*'Grocery Spending'!$I$5:$I$404)))</f>
        <v>0</v>
      </c>
      <c r="AK141" s="8">
        <f>IF(OR(A141="",AI141="",AJ141=0),"",AJ141-AI141)</f>
        <v>0</v>
      </c>
      <c r="AL141" s="8">
        <f>IF(OR(A141="",AG141="",AH141=""),"",AG141-AH141)</f>
        <v>0</v>
      </c>
      <c r="AM141" s="8">
        <f>IF(A141="","",IF(AL141="","",IF(AL141&gt;0.01,"Up",IF(AL141&lt;-0.01,"Down","Flat"))))</f>
        <v>0</v>
      </c>
      <c r="AN141" s="25"/>
    </row>
    <row r="142" spans="1:40">
      <c r="A142" s="7"/>
      <c r="B142" s="27"/>
      <c r="C142" s="27"/>
      <c r="D142" s="28"/>
      <c r="E142" s="27"/>
      <c r="F142" s="26"/>
      <c r="G142" s="8">
        <f>IF(OR(D142="",F142="",F142=0),"",D142/F142)</f>
        <v>0</v>
      </c>
      <c r="H142" s="26"/>
      <c r="I142" s="26"/>
      <c r="J142" s="26"/>
      <c r="K142" s="26"/>
      <c r="L142" s="26"/>
      <c r="M142" s="26"/>
      <c r="N142" s="27"/>
      <c r="O142" s="27"/>
      <c r="P142" s="27"/>
      <c r="Q142" s="27"/>
      <c r="R142" s="7"/>
      <c r="S142" s="8">
        <f>IF(A142="","",SUMIFS(Pantry!$C$5:$C$304,Pantry!$A$5:$A$304,A142))</f>
        <v>0</v>
      </c>
      <c r="T142" s="8">
        <f>IF(A142="","",COUNTIFS('Grocery List'!$A$5:$A$304,A142,'Grocery List'!$N$5:$N$304,"Yes"))</f>
        <v>0</v>
      </c>
      <c r="U142" s="8">
        <f>IF(A142="","",SUMIFS('Grocery List'!$M$5:$M$304,'Grocery List'!$A$5:$A$304,A142))</f>
        <v>0</v>
      </c>
      <c r="V142" s="8">
        <f>IF(A142="","",COUNTIFS('Recipe Ingredients'!$B$5:$B$1204,A142))</f>
        <v>0</v>
      </c>
      <c r="W142" s="8">
        <f>IF(A142="","",SUMIFS('Recipe Ingredients'!$C$5:$C$1204,'Recipe Ingredients'!$B$5:$B$1204,A142))</f>
        <v>0</v>
      </c>
      <c r="X142" s="8">
        <f>IF(A142="","",IF(U142&lt;=0,IF(S142&gt;0,99,0),ROUND(S142/U142,1)))</f>
        <v>0</v>
      </c>
      <c r="Y142" s="8">
        <f>IF(A142="","",U142*10+IF(O142="Yes",5,0)+IF(X142&lt;1,10,0)+IF(S142&lt;=0,3,0))</f>
        <v>0</v>
      </c>
      <c r="Z142" s="8">
        <f>IF(A142="","",COUNTIFS($Y$5:$Y$304,"&gt;"&amp;Y142)+1)</f>
        <v>0</v>
      </c>
      <c r="AA142" s="8">
        <f>IF(A142="","",IF(OR(U142&gt;0,AND(O142="Yes",X142&lt;2)),"Yes","No"))</f>
        <v>0</v>
      </c>
      <c r="AB142" s="8">
        <f>IF(OR(A142="",D142=""),"",S142*D142)</f>
        <v>0</v>
      </c>
      <c r="AC142" s="8">
        <f>IF(AB142="","",COUNTIFS($AB$5:$AB$304,"&gt;"&amp;AB142)+1)</f>
        <v>0</v>
      </c>
      <c r="AD142" s="8">
        <f>IF(A142="","",SUMIFS('Food Waste'!$E$5:$E$154,'Food Waste'!$C$5:$C$154,A142))</f>
        <v>0</v>
      </c>
      <c r="AE142" s="8">
        <f>IF(OR(A142="",AD142=0),"",COUNTIFS($AD$5:$AD$304,"&gt;"&amp;AD142)+1)</f>
        <v>0</v>
      </c>
      <c r="AF142" s="8">
        <f>IF(A142="","",IF(SUMPRODUCT(MAX(('Grocery Spending'!$E$5:$E$404=A142)*'Grocery Spending'!$A$5:$A$404))=0,"",SUMPRODUCT(MAX(('Grocery Spending'!$E$5:$E$404=A142)*'Grocery Spending'!$A$5:$A$404))))</f>
        <v>0</v>
      </c>
      <c r="AG142" s="8">
        <f>IF(OR(A142="",AF142=""),"",IFERROR(AVERAGEIFS('Grocery Spending'!$I$5:$I$404,'Grocery Spending'!$E$5:$E$404,A142,'Grocery Spending'!$A$5:$A$404,AF142),""))</f>
        <v>0</v>
      </c>
      <c r="AH142" s="8">
        <f>IF(A142="","",IFERROR(AVERAGEIFS('Grocery Spending'!$I$5:$I$404,'Grocery Spending'!$E$5:$E$404,A142),""))</f>
        <v>0</v>
      </c>
      <c r="AI142" s="8">
        <f>IF(A142="","",IF(SUMPRODUCT(MIN(('Grocery Spending'!$E$5:$E$404=A142)*'Grocery Spending'!$I$5:$I$404+('Grocery Spending'!$E$5:$E$404&lt;&gt;A142)*1000000))&gt;=1000000,"",SUMPRODUCT(MIN(('Grocery Spending'!$E$5:$E$404=A142)*'Grocery Spending'!$I$5:$I$404+('Grocery Spending'!$E$5:$E$404&lt;&gt;A142)*1000000))))</f>
        <v>0</v>
      </c>
      <c r="AJ142" s="8">
        <f>IF(A142="","",SUMPRODUCT(MAX(('Grocery Spending'!$E$5:$E$404=A142)*'Grocery Spending'!$I$5:$I$404)))</f>
        <v>0</v>
      </c>
      <c r="AK142" s="8">
        <f>IF(OR(A142="",AI142="",AJ142=0),"",AJ142-AI142)</f>
        <v>0</v>
      </c>
      <c r="AL142" s="8">
        <f>IF(OR(A142="",AG142="",AH142=""),"",AG142-AH142)</f>
        <v>0</v>
      </c>
      <c r="AM142" s="8">
        <f>IF(A142="","",IF(AL142="","",IF(AL142&gt;0.01,"Up",IF(AL142&lt;-0.01,"Down","Flat"))))</f>
        <v>0</v>
      </c>
      <c r="AN142" s="25"/>
    </row>
    <row r="143" spans="1:40">
      <c r="A143" s="7"/>
      <c r="B143" s="27"/>
      <c r="C143" s="27"/>
      <c r="D143" s="28"/>
      <c r="E143" s="27"/>
      <c r="F143" s="26"/>
      <c r="G143" s="8">
        <f>IF(OR(D143="",F143="",F143=0),"",D143/F143)</f>
        <v>0</v>
      </c>
      <c r="H143" s="26"/>
      <c r="I143" s="26"/>
      <c r="J143" s="26"/>
      <c r="K143" s="26"/>
      <c r="L143" s="26"/>
      <c r="M143" s="26"/>
      <c r="N143" s="27"/>
      <c r="O143" s="27"/>
      <c r="P143" s="27"/>
      <c r="Q143" s="27"/>
      <c r="R143" s="7"/>
      <c r="S143" s="8">
        <f>IF(A143="","",SUMIFS(Pantry!$C$5:$C$304,Pantry!$A$5:$A$304,A143))</f>
        <v>0</v>
      </c>
      <c r="T143" s="8">
        <f>IF(A143="","",COUNTIFS('Grocery List'!$A$5:$A$304,A143,'Grocery List'!$N$5:$N$304,"Yes"))</f>
        <v>0</v>
      </c>
      <c r="U143" s="8">
        <f>IF(A143="","",SUMIFS('Grocery List'!$M$5:$M$304,'Grocery List'!$A$5:$A$304,A143))</f>
        <v>0</v>
      </c>
      <c r="V143" s="8">
        <f>IF(A143="","",COUNTIFS('Recipe Ingredients'!$B$5:$B$1204,A143))</f>
        <v>0</v>
      </c>
      <c r="W143" s="8">
        <f>IF(A143="","",SUMIFS('Recipe Ingredients'!$C$5:$C$1204,'Recipe Ingredients'!$B$5:$B$1204,A143))</f>
        <v>0</v>
      </c>
      <c r="X143" s="8">
        <f>IF(A143="","",IF(U143&lt;=0,IF(S143&gt;0,99,0),ROUND(S143/U143,1)))</f>
        <v>0</v>
      </c>
      <c r="Y143" s="8">
        <f>IF(A143="","",U143*10+IF(O143="Yes",5,0)+IF(X143&lt;1,10,0)+IF(S143&lt;=0,3,0))</f>
        <v>0</v>
      </c>
      <c r="Z143" s="8">
        <f>IF(A143="","",COUNTIFS($Y$5:$Y$304,"&gt;"&amp;Y143)+1)</f>
        <v>0</v>
      </c>
      <c r="AA143" s="8">
        <f>IF(A143="","",IF(OR(U143&gt;0,AND(O143="Yes",X143&lt;2)),"Yes","No"))</f>
        <v>0</v>
      </c>
      <c r="AB143" s="8">
        <f>IF(OR(A143="",D143=""),"",S143*D143)</f>
        <v>0</v>
      </c>
      <c r="AC143" s="8">
        <f>IF(AB143="","",COUNTIFS($AB$5:$AB$304,"&gt;"&amp;AB143)+1)</f>
        <v>0</v>
      </c>
      <c r="AD143" s="8">
        <f>IF(A143="","",SUMIFS('Food Waste'!$E$5:$E$154,'Food Waste'!$C$5:$C$154,A143))</f>
        <v>0</v>
      </c>
      <c r="AE143" s="8">
        <f>IF(OR(A143="",AD143=0),"",COUNTIFS($AD$5:$AD$304,"&gt;"&amp;AD143)+1)</f>
        <v>0</v>
      </c>
      <c r="AF143" s="8">
        <f>IF(A143="","",IF(SUMPRODUCT(MAX(('Grocery Spending'!$E$5:$E$404=A143)*'Grocery Spending'!$A$5:$A$404))=0,"",SUMPRODUCT(MAX(('Grocery Spending'!$E$5:$E$404=A143)*'Grocery Spending'!$A$5:$A$404))))</f>
        <v>0</v>
      </c>
      <c r="AG143" s="8">
        <f>IF(OR(A143="",AF143=""),"",IFERROR(AVERAGEIFS('Grocery Spending'!$I$5:$I$404,'Grocery Spending'!$E$5:$E$404,A143,'Grocery Spending'!$A$5:$A$404,AF143),""))</f>
        <v>0</v>
      </c>
      <c r="AH143" s="8">
        <f>IF(A143="","",IFERROR(AVERAGEIFS('Grocery Spending'!$I$5:$I$404,'Grocery Spending'!$E$5:$E$404,A143),""))</f>
        <v>0</v>
      </c>
      <c r="AI143" s="8">
        <f>IF(A143="","",IF(SUMPRODUCT(MIN(('Grocery Spending'!$E$5:$E$404=A143)*'Grocery Spending'!$I$5:$I$404+('Grocery Spending'!$E$5:$E$404&lt;&gt;A143)*1000000))&gt;=1000000,"",SUMPRODUCT(MIN(('Grocery Spending'!$E$5:$E$404=A143)*'Grocery Spending'!$I$5:$I$404+('Grocery Spending'!$E$5:$E$404&lt;&gt;A143)*1000000))))</f>
        <v>0</v>
      </c>
      <c r="AJ143" s="8">
        <f>IF(A143="","",SUMPRODUCT(MAX(('Grocery Spending'!$E$5:$E$404=A143)*'Grocery Spending'!$I$5:$I$404)))</f>
        <v>0</v>
      </c>
      <c r="AK143" s="8">
        <f>IF(OR(A143="",AI143="",AJ143=0),"",AJ143-AI143)</f>
        <v>0</v>
      </c>
      <c r="AL143" s="8">
        <f>IF(OR(A143="",AG143="",AH143=""),"",AG143-AH143)</f>
        <v>0</v>
      </c>
      <c r="AM143" s="8">
        <f>IF(A143="","",IF(AL143="","",IF(AL143&gt;0.01,"Up",IF(AL143&lt;-0.01,"Down","Flat"))))</f>
        <v>0</v>
      </c>
      <c r="AN143" s="25"/>
    </row>
    <row r="144" spans="1:40">
      <c r="A144" s="7"/>
      <c r="B144" s="27"/>
      <c r="C144" s="27"/>
      <c r="D144" s="28"/>
      <c r="E144" s="27"/>
      <c r="F144" s="26"/>
      <c r="G144" s="8">
        <f>IF(OR(D144="",F144="",F144=0),"",D144/F144)</f>
        <v>0</v>
      </c>
      <c r="H144" s="26"/>
      <c r="I144" s="26"/>
      <c r="J144" s="26"/>
      <c r="K144" s="26"/>
      <c r="L144" s="26"/>
      <c r="M144" s="26"/>
      <c r="N144" s="27"/>
      <c r="O144" s="27"/>
      <c r="P144" s="27"/>
      <c r="Q144" s="27"/>
      <c r="R144" s="7"/>
      <c r="S144" s="8">
        <f>IF(A144="","",SUMIFS(Pantry!$C$5:$C$304,Pantry!$A$5:$A$304,A144))</f>
        <v>0</v>
      </c>
      <c r="T144" s="8">
        <f>IF(A144="","",COUNTIFS('Grocery List'!$A$5:$A$304,A144,'Grocery List'!$N$5:$N$304,"Yes"))</f>
        <v>0</v>
      </c>
      <c r="U144" s="8">
        <f>IF(A144="","",SUMIFS('Grocery List'!$M$5:$M$304,'Grocery List'!$A$5:$A$304,A144))</f>
        <v>0</v>
      </c>
      <c r="V144" s="8">
        <f>IF(A144="","",COUNTIFS('Recipe Ingredients'!$B$5:$B$1204,A144))</f>
        <v>0</v>
      </c>
      <c r="W144" s="8">
        <f>IF(A144="","",SUMIFS('Recipe Ingredients'!$C$5:$C$1204,'Recipe Ingredients'!$B$5:$B$1204,A144))</f>
        <v>0</v>
      </c>
      <c r="X144" s="8">
        <f>IF(A144="","",IF(U144&lt;=0,IF(S144&gt;0,99,0),ROUND(S144/U144,1)))</f>
        <v>0</v>
      </c>
      <c r="Y144" s="8">
        <f>IF(A144="","",U144*10+IF(O144="Yes",5,0)+IF(X144&lt;1,10,0)+IF(S144&lt;=0,3,0))</f>
        <v>0</v>
      </c>
      <c r="Z144" s="8">
        <f>IF(A144="","",COUNTIFS($Y$5:$Y$304,"&gt;"&amp;Y144)+1)</f>
        <v>0</v>
      </c>
      <c r="AA144" s="8">
        <f>IF(A144="","",IF(OR(U144&gt;0,AND(O144="Yes",X144&lt;2)),"Yes","No"))</f>
        <v>0</v>
      </c>
      <c r="AB144" s="8">
        <f>IF(OR(A144="",D144=""),"",S144*D144)</f>
        <v>0</v>
      </c>
      <c r="AC144" s="8">
        <f>IF(AB144="","",COUNTIFS($AB$5:$AB$304,"&gt;"&amp;AB144)+1)</f>
        <v>0</v>
      </c>
      <c r="AD144" s="8">
        <f>IF(A144="","",SUMIFS('Food Waste'!$E$5:$E$154,'Food Waste'!$C$5:$C$154,A144))</f>
        <v>0</v>
      </c>
      <c r="AE144" s="8">
        <f>IF(OR(A144="",AD144=0),"",COUNTIFS($AD$5:$AD$304,"&gt;"&amp;AD144)+1)</f>
        <v>0</v>
      </c>
      <c r="AF144" s="8">
        <f>IF(A144="","",IF(SUMPRODUCT(MAX(('Grocery Spending'!$E$5:$E$404=A144)*'Grocery Spending'!$A$5:$A$404))=0,"",SUMPRODUCT(MAX(('Grocery Spending'!$E$5:$E$404=A144)*'Grocery Spending'!$A$5:$A$404))))</f>
        <v>0</v>
      </c>
      <c r="AG144" s="8">
        <f>IF(OR(A144="",AF144=""),"",IFERROR(AVERAGEIFS('Grocery Spending'!$I$5:$I$404,'Grocery Spending'!$E$5:$E$404,A144,'Grocery Spending'!$A$5:$A$404,AF144),""))</f>
        <v>0</v>
      </c>
      <c r="AH144" s="8">
        <f>IF(A144="","",IFERROR(AVERAGEIFS('Grocery Spending'!$I$5:$I$404,'Grocery Spending'!$E$5:$E$404,A144),""))</f>
        <v>0</v>
      </c>
      <c r="AI144" s="8">
        <f>IF(A144="","",IF(SUMPRODUCT(MIN(('Grocery Spending'!$E$5:$E$404=A144)*'Grocery Spending'!$I$5:$I$404+('Grocery Spending'!$E$5:$E$404&lt;&gt;A144)*1000000))&gt;=1000000,"",SUMPRODUCT(MIN(('Grocery Spending'!$E$5:$E$404=A144)*'Grocery Spending'!$I$5:$I$404+('Grocery Spending'!$E$5:$E$404&lt;&gt;A144)*1000000))))</f>
        <v>0</v>
      </c>
      <c r="AJ144" s="8">
        <f>IF(A144="","",SUMPRODUCT(MAX(('Grocery Spending'!$E$5:$E$404=A144)*'Grocery Spending'!$I$5:$I$404)))</f>
        <v>0</v>
      </c>
      <c r="AK144" s="8">
        <f>IF(OR(A144="",AI144="",AJ144=0),"",AJ144-AI144)</f>
        <v>0</v>
      </c>
      <c r="AL144" s="8">
        <f>IF(OR(A144="",AG144="",AH144=""),"",AG144-AH144)</f>
        <v>0</v>
      </c>
      <c r="AM144" s="8">
        <f>IF(A144="","",IF(AL144="","",IF(AL144&gt;0.01,"Up",IF(AL144&lt;-0.01,"Down","Flat"))))</f>
        <v>0</v>
      </c>
      <c r="AN144" s="25"/>
    </row>
    <row r="145" spans="1:40">
      <c r="A145" s="7"/>
      <c r="B145" s="27"/>
      <c r="C145" s="27"/>
      <c r="D145" s="28"/>
      <c r="E145" s="27"/>
      <c r="F145" s="26"/>
      <c r="G145" s="8">
        <f>IF(OR(D145="",F145="",F145=0),"",D145/F145)</f>
        <v>0</v>
      </c>
      <c r="H145" s="26"/>
      <c r="I145" s="26"/>
      <c r="J145" s="26"/>
      <c r="K145" s="26"/>
      <c r="L145" s="26"/>
      <c r="M145" s="26"/>
      <c r="N145" s="27"/>
      <c r="O145" s="27"/>
      <c r="P145" s="27"/>
      <c r="Q145" s="27"/>
      <c r="R145" s="7"/>
      <c r="S145" s="8">
        <f>IF(A145="","",SUMIFS(Pantry!$C$5:$C$304,Pantry!$A$5:$A$304,A145))</f>
        <v>0</v>
      </c>
      <c r="T145" s="8">
        <f>IF(A145="","",COUNTIFS('Grocery List'!$A$5:$A$304,A145,'Grocery List'!$N$5:$N$304,"Yes"))</f>
        <v>0</v>
      </c>
      <c r="U145" s="8">
        <f>IF(A145="","",SUMIFS('Grocery List'!$M$5:$M$304,'Grocery List'!$A$5:$A$304,A145))</f>
        <v>0</v>
      </c>
      <c r="V145" s="8">
        <f>IF(A145="","",COUNTIFS('Recipe Ingredients'!$B$5:$B$1204,A145))</f>
        <v>0</v>
      </c>
      <c r="W145" s="8">
        <f>IF(A145="","",SUMIFS('Recipe Ingredients'!$C$5:$C$1204,'Recipe Ingredients'!$B$5:$B$1204,A145))</f>
        <v>0</v>
      </c>
      <c r="X145" s="8">
        <f>IF(A145="","",IF(U145&lt;=0,IF(S145&gt;0,99,0),ROUND(S145/U145,1)))</f>
        <v>0</v>
      </c>
      <c r="Y145" s="8">
        <f>IF(A145="","",U145*10+IF(O145="Yes",5,0)+IF(X145&lt;1,10,0)+IF(S145&lt;=0,3,0))</f>
        <v>0</v>
      </c>
      <c r="Z145" s="8">
        <f>IF(A145="","",COUNTIFS($Y$5:$Y$304,"&gt;"&amp;Y145)+1)</f>
        <v>0</v>
      </c>
      <c r="AA145" s="8">
        <f>IF(A145="","",IF(OR(U145&gt;0,AND(O145="Yes",X145&lt;2)),"Yes","No"))</f>
        <v>0</v>
      </c>
      <c r="AB145" s="8">
        <f>IF(OR(A145="",D145=""),"",S145*D145)</f>
        <v>0</v>
      </c>
      <c r="AC145" s="8">
        <f>IF(AB145="","",COUNTIFS($AB$5:$AB$304,"&gt;"&amp;AB145)+1)</f>
        <v>0</v>
      </c>
      <c r="AD145" s="8">
        <f>IF(A145="","",SUMIFS('Food Waste'!$E$5:$E$154,'Food Waste'!$C$5:$C$154,A145))</f>
        <v>0</v>
      </c>
      <c r="AE145" s="8">
        <f>IF(OR(A145="",AD145=0),"",COUNTIFS($AD$5:$AD$304,"&gt;"&amp;AD145)+1)</f>
        <v>0</v>
      </c>
      <c r="AF145" s="8">
        <f>IF(A145="","",IF(SUMPRODUCT(MAX(('Grocery Spending'!$E$5:$E$404=A145)*'Grocery Spending'!$A$5:$A$404))=0,"",SUMPRODUCT(MAX(('Grocery Spending'!$E$5:$E$404=A145)*'Grocery Spending'!$A$5:$A$404))))</f>
        <v>0</v>
      </c>
      <c r="AG145" s="8">
        <f>IF(OR(A145="",AF145=""),"",IFERROR(AVERAGEIFS('Grocery Spending'!$I$5:$I$404,'Grocery Spending'!$E$5:$E$404,A145,'Grocery Spending'!$A$5:$A$404,AF145),""))</f>
        <v>0</v>
      </c>
      <c r="AH145" s="8">
        <f>IF(A145="","",IFERROR(AVERAGEIFS('Grocery Spending'!$I$5:$I$404,'Grocery Spending'!$E$5:$E$404,A145),""))</f>
        <v>0</v>
      </c>
      <c r="AI145" s="8">
        <f>IF(A145="","",IF(SUMPRODUCT(MIN(('Grocery Spending'!$E$5:$E$404=A145)*'Grocery Spending'!$I$5:$I$404+('Grocery Spending'!$E$5:$E$404&lt;&gt;A145)*1000000))&gt;=1000000,"",SUMPRODUCT(MIN(('Grocery Spending'!$E$5:$E$404=A145)*'Grocery Spending'!$I$5:$I$404+('Grocery Spending'!$E$5:$E$404&lt;&gt;A145)*1000000))))</f>
        <v>0</v>
      </c>
      <c r="AJ145" s="8">
        <f>IF(A145="","",SUMPRODUCT(MAX(('Grocery Spending'!$E$5:$E$404=A145)*'Grocery Spending'!$I$5:$I$404)))</f>
        <v>0</v>
      </c>
      <c r="AK145" s="8">
        <f>IF(OR(A145="",AI145="",AJ145=0),"",AJ145-AI145)</f>
        <v>0</v>
      </c>
      <c r="AL145" s="8">
        <f>IF(OR(A145="",AG145="",AH145=""),"",AG145-AH145)</f>
        <v>0</v>
      </c>
      <c r="AM145" s="8">
        <f>IF(A145="","",IF(AL145="","",IF(AL145&gt;0.01,"Up",IF(AL145&lt;-0.01,"Down","Flat"))))</f>
        <v>0</v>
      </c>
      <c r="AN145" s="25"/>
    </row>
    <row r="146" spans="1:40">
      <c r="A146" s="7"/>
      <c r="B146" s="27"/>
      <c r="C146" s="27"/>
      <c r="D146" s="28"/>
      <c r="E146" s="27"/>
      <c r="F146" s="26"/>
      <c r="G146" s="8">
        <f>IF(OR(D146="",F146="",F146=0),"",D146/F146)</f>
        <v>0</v>
      </c>
      <c r="H146" s="26"/>
      <c r="I146" s="26"/>
      <c r="J146" s="26"/>
      <c r="K146" s="26"/>
      <c r="L146" s="26"/>
      <c r="M146" s="26"/>
      <c r="N146" s="27"/>
      <c r="O146" s="27"/>
      <c r="P146" s="27"/>
      <c r="Q146" s="27"/>
      <c r="R146" s="7"/>
      <c r="S146" s="8">
        <f>IF(A146="","",SUMIFS(Pantry!$C$5:$C$304,Pantry!$A$5:$A$304,A146))</f>
        <v>0</v>
      </c>
      <c r="T146" s="8">
        <f>IF(A146="","",COUNTIFS('Grocery List'!$A$5:$A$304,A146,'Grocery List'!$N$5:$N$304,"Yes"))</f>
        <v>0</v>
      </c>
      <c r="U146" s="8">
        <f>IF(A146="","",SUMIFS('Grocery List'!$M$5:$M$304,'Grocery List'!$A$5:$A$304,A146))</f>
        <v>0</v>
      </c>
      <c r="V146" s="8">
        <f>IF(A146="","",COUNTIFS('Recipe Ingredients'!$B$5:$B$1204,A146))</f>
        <v>0</v>
      </c>
      <c r="W146" s="8">
        <f>IF(A146="","",SUMIFS('Recipe Ingredients'!$C$5:$C$1204,'Recipe Ingredients'!$B$5:$B$1204,A146))</f>
        <v>0</v>
      </c>
      <c r="X146" s="8">
        <f>IF(A146="","",IF(U146&lt;=0,IF(S146&gt;0,99,0),ROUND(S146/U146,1)))</f>
        <v>0</v>
      </c>
      <c r="Y146" s="8">
        <f>IF(A146="","",U146*10+IF(O146="Yes",5,0)+IF(X146&lt;1,10,0)+IF(S146&lt;=0,3,0))</f>
        <v>0</v>
      </c>
      <c r="Z146" s="8">
        <f>IF(A146="","",COUNTIFS($Y$5:$Y$304,"&gt;"&amp;Y146)+1)</f>
        <v>0</v>
      </c>
      <c r="AA146" s="8">
        <f>IF(A146="","",IF(OR(U146&gt;0,AND(O146="Yes",X146&lt;2)),"Yes","No"))</f>
        <v>0</v>
      </c>
      <c r="AB146" s="8">
        <f>IF(OR(A146="",D146=""),"",S146*D146)</f>
        <v>0</v>
      </c>
      <c r="AC146" s="8">
        <f>IF(AB146="","",COUNTIFS($AB$5:$AB$304,"&gt;"&amp;AB146)+1)</f>
        <v>0</v>
      </c>
      <c r="AD146" s="8">
        <f>IF(A146="","",SUMIFS('Food Waste'!$E$5:$E$154,'Food Waste'!$C$5:$C$154,A146))</f>
        <v>0</v>
      </c>
      <c r="AE146" s="8">
        <f>IF(OR(A146="",AD146=0),"",COUNTIFS($AD$5:$AD$304,"&gt;"&amp;AD146)+1)</f>
        <v>0</v>
      </c>
      <c r="AF146" s="8">
        <f>IF(A146="","",IF(SUMPRODUCT(MAX(('Grocery Spending'!$E$5:$E$404=A146)*'Grocery Spending'!$A$5:$A$404))=0,"",SUMPRODUCT(MAX(('Grocery Spending'!$E$5:$E$404=A146)*'Grocery Spending'!$A$5:$A$404))))</f>
        <v>0</v>
      </c>
      <c r="AG146" s="8">
        <f>IF(OR(A146="",AF146=""),"",IFERROR(AVERAGEIFS('Grocery Spending'!$I$5:$I$404,'Grocery Spending'!$E$5:$E$404,A146,'Grocery Spending'!$A$5:$A$404,AF146),""))</f>
        <v>0</v>
      </c>
      <c r="AH146" s="8">
        <f>IF(A146="","",IFERROR(AVERAGEIFS('Grocery Spending'!$I$5:$I$404,'Grocery Spending'!$E$5:$E$404,A146),""))</f>
        <v>0</v>
      </c>
      <c r="AI146" s="8">
        <f>IF(A146="","",IF(SUMPRODUCT(MIN(('Grocery Spending'!$E$5:$E$404=A146)*'Grocery Spending'!$I$5:$I$404+('Grocery Spending'!$E$5:$E$404&lt;&gt;A146)*1000000))&gt;=1000000,"",SUMPRODUCT(MIN(('Grocery Spending'!$E$5:$E$404=A146)*'Grocery Spending'!$I$5:$I$404+('Grocery Spending'!$E$5:$E$404&lt;&gt;A146)*1000000))))</f>
        <v>0</v>
      </c>
      <c r="AJ146" s="8">
        <f>IF(A146="","",SUMPRODUCT(MAX(('Grocery Spending'!$E$5:$E$404=A146)*'Grocery Spending'!$I$5:$I$404)))</f>
        <v>0</v>
      </c>
      <c r="AK146" s="8">
        <f>IF(OR(A146="",AI146="",AJ146=0),"",AJ146-AI146)</f>
        <v>0</v>
      </c>
      <c r="AL146" s="8">
        <f>IF(OR(A146="",AG146="",AH146=""),"",AG146-AH146)</f>
        <v>0</v>
      </c>
      <c r="AM146" s="8">
        <f>IF(A146="","",IF(AL146="","",IF(AL146&gt;0.01,"Up",IF(AL146&lt;-0.01,"Down","Flat"))))</f>
        <v>0</v>
      </c>
      <c r="AN146" s="25"/>
    </row>
    <row r="147" spans="1:40">
      <c r="A147" s="7"/>
      <c r="B147" s="27"/>
      <c r="C147" s="27"/>
      <c r="D147" s="28"/>
      <c r="E147" s="27"/>
      <c r="F147" s="26"/>
      <c r="G147" s="8">
        <f>IF(OR(D147="",F147="",F147=0),"",D147/F147)</f>
        <v>0</v>
      </c>
      <c r="H147" s="26"/>
      <c r="I147" s="26"/>
      <c r="J147" s="26"/>
      <c r="K147" s="26"/>
      <c r="L147" s="26"/>
      <c r="M147" s="26"/>
      <c r="N147" s="27"/>
      <c r="O147" s="27"/>
      <c r="P147" s="27"/>
      <c r="Q147" s="27"/>
      <c r="R147" s="7"/>
      <c r="S147" s="8">
        <f>IF(A147="","",SUMIFS(Pantry!$C$5:$C$304,Pantry!$A$5:$A$304,A147))</f>
        <v>0</v>
      </c>
      <c r="T147" s="8">
        <f>IF(A147="","",COUNTIFS('Grocery List'!$A$5:$A$304,A147,'Grocery List'!$N$5:$N$304,"Yes"))</f>
        <v>0</v>
      </c>
      <c r="U147" s="8">
        <f>IF(A147="","",SUMIFS('Grocery List'!$M$5:$M$304,'Grocery List'!$A$5:$A$304,A147))</f>
        <v>0</v>
      </c>
      <c r="V147" s="8">
        <f>IF(A147="","",COUNTIFS('Recipe Ingredients'!$B$5:$B$1204,A147))</f>
        <v>0</v>
      </c>
      <c r="W147" s="8">
        <f>IF(A147="","",SUMIFS('Recipe Ingredients'!$C$5:$C$1204,'Recipe Ingredients'!$B$5:$B$1204,A147))</f>
        <v>0</v>
      </c>
      <c r="X147" s="8">
        <f>IF(A147="","",IF(U147&lt;=0,IF(S147&gt;0,99,0),ROUND(S147/U147,1)))</f>
        <v>0</v>
      </c>
      <c r="Y147" s="8">
        <f>IF(A147="","",U147*10+IF(O147="Yes",5,0)+IF(X147&lt;1,10,0)+IF(S147&lt;=0,3,0))</f>
        <v>0</v>
      </c>
      <c r="Z147" s="8">
        <f>IF(A147="","",COUNTIFS($Y$5:$Y$304,"&gt;"&amp;Y147)+1)</f>
        <v>0</v>
      </c>
      <c r="AA147" s="8">
        <f>IF(A147="","",IF(OR(U147&gt;0,AND(O147="Yes",X147&lt;2)),"Yes","No"))</f>
        <v>0</v>
      </c>
      <c r="AB147" s="8">
        <f>IF(OR(A147="",D147=""),"",S147*D147)</f>
        <v>0</v>
      </c>
      <c r="AC147" s="8">
        <f>IF(AB147="","",COUNTIFS($AB$5:$AB$304,"&gt;"&amp;AB147)+1)</f>
        <v>0</v>
      </c>
      <c r="AD147" s="8">
        <f>IF(A147="","",SUMIFS('Food Waste'!$E$5:$E$154,'Food Waste'!$C$5:$C$154,A147))</f>
        <v>0</v>
      </c>
      <c r="AE147" s="8">
        <f>IF(OR(A147="",AD147=0),"",COUNTIFS($AD$5:$AD$304,"&gt;"&amp;AD147)+1)</f>
        <v>0</v>
      </c>
      <c r="AF147" s="8">
        <f>IF(A147="","",IF(SUMPRODUCT(MAX(('Grocery Spending'!$E$5:$E$404=A147)*'Grocery Spending'!$A$5:$A$404))=0,"",SUMPRODUCT(MAX(('Grocery Spending'!$E$5:$E$404=A147)*'Grocery Spending'!$A$5:$A$404))))</f>
        <v>0</v>
      </c>
      <c r="AG147" s="8">
        <f>IF(OR(A147="",AF147=""),"",IFERROR(AVERAGEIFS('Grocery Spending'!$I$5:$I$404,'Grocery Spending'!$E$5:$E$404,A147,'Grocery Spending'!$A$5:$A$404,AF147),""))</f>
        <v>0</v>
      </c>
      <c r="AH147" s="8">
        <f>IF(A147="","",IFERROR(AVERAGEIFS('Grocery Spending'!$I$5:$I$404,'Grocery Spending'!$E$5:$E$404,A147),""))</f>
        <v>0</v>
      </c>
      <c r="AI147" s="8">
        <f>IF(A147="","",IF(SUMPRODUCT(MIN(('Grocery Spending'!$E$5:$E$404=A147)*'Grocery Spending'!$I$5:$I$404+('Grocery Spending'!$E$5:$E$404&lt;&gt;A147)*1000000))&gt;=1000000,"",SUMPRODUCT(MIN(('Grocery Spending'!$E$5:$E$404=A147)*'Grocery Spending'!$I$5:$I$404+('Grocery Spending'!$E$5:$E$404&lt;&gt;A147)*1000000))))</f>
        <v>0</v>
      </c>
      <c r="AJ147" s="8">
        <f>IF(A147="","",SUMPRODUCT(MAX(('Grocery Spending'!$E$5:$E$404=A147)*'Grocery Spending'!$I$5:$I$404)))</f>
        <v>0</v>
      </c>
      <c r="AK147" s="8">
        <f>IF(OR(A147="",AI147="",AJ147=0),"",AJ147-AI147)</f>
        <v>0</v>
      </c>
      <c r="AL147" s="8">
        <f>IF(OR(A147="",AG147="",AH147=""),"",AG147-AH147)</f>
        <v>0</v>
      </c>
      <c r="AM147" s="8">
        <f>IF(A147="","",IF(AL147="","",IF(AL147&gt;0.01,"Up",IF(AL147&lt;-0.01,"Down","Flat"))))</f>
        <v>0</v>
      </c>
      <c r="AN147" s="25"/>
    </row>
    <row r="148" spans="1:40">
      <c r="A148" s="7"/>
      <c r="B148" s="27"/>
      <c r="C148" s="27"/>
      <c r="D148" s="28"/>
      <c r="E148" s="27"/>
      <c r="F148" s="26"/>
      <c r="G148" s="8">
        <f>IF(OR(D148="",F148="",F148=0),"",D148/F148)</f>
        <v>0</v>
      </c>
      <c r="H148" s="26"/>
      <c r="I148" s="26"/>
      <c r="J148" s="26"/>
      <c r="K148" s="26"/>
      <c r="L148" s="26"/>
      <c r="M148" s="26"/>
      <c r="N148" s="27"/>
      <c r="O148" s="27"/>
      <c r="P148" s="27"/>
      <c r="Q148" s="27"/>
      <c r="R148" s="7"/>
      <c r="S148" s="8">
        <f>IF(A148="","",SUMIFS(Pantry!$C$5:$C$304,Pantry!$A$5:$A$304,A148))</f>
        <v>0</v>
      </c>
      <c r="T148" s="8">
        <f>IF(A148="","",COUNTIFS('Grocery List'!$A$5:$A$304,A148,'Grocery List'!$N$5:$N$304,"Yes"))</f>
        <v>0</v>
      </c>
      <c r="U148" s="8">
        <f>IF(A148="","",SUMIFS('Grocery List'!$M$5:$M$304,'Grocery List'!$A$5:$A$304,A148))</f>
        <v>0</v>
      </c>
      <c r="V148" s="8">
        <f>IF(A148="","",COUNTIFS('Recipe Ingredients'!$B$5:$B$1204,A148))</f>
        <v>0</v>
      </c>
      <c r="W148" s="8">
        <f>IF(A148="","",SUMIFS('Recipe Ingredients'!$C$5:$C$1204,'Recipe Ingredients'!$B$5:$B$1204,A148))</f>
        <v>0</v>
      </c>
      <c r="X148" s="8">
        <f>IF(A148="","",IF(U148&lt;=0,IF(S148&gt;0,99,0),ROUND(S148/U148,1)))</f>
        <v>0</v>
      </c>
      <c r="Y148" s="8">
        <f>IF(A148="","",U148*10+IF(O148="Yes",5,0)+IF(X148&lt;1,10,0)+IF(S148&lt;=0,3,0))</f>
        <v>0</v>
      </c>
      <c r="Z148" s="8">
        <f>IF(A148="","",COUNTIFS($Y$5:$Y$304,"&gt;"&amp;Y148)+1)</f>
        <v>0</v>
      </c>
      <c r="AA148" s="8">
        <f>IF(A148="","",IF(OR(U148&gt;0,AND(O148="Yes",X148&lt;2)),"Yes","No"))</f>
        <v>0</v>
      </c>
      <c r="AB148" s="8">
        <f>IF(OR(A148="",D148=""),"",S148*D148)</f>
        <v>0</v>
      </c>
      <c r="AC148" s="8">
        <f>IF(AB148="","",COUNTIFS($AB$5:$AB$304,"&gt;"&amp;AB148)+1)</f>
        <v>0</v>
      </c>
      <c r="AD148" s="8">
        <f>IF(A148="","",SUMIFS('Food Waste'!$E$5:$E$154,'Food Waste'!$C$5:$C$154,A148))</f>
        <v>0</v>
      </c>
      <c r="AE148" s="8">
        <f>IF(OR(A148="",AD148=0),"",COUNTIFS($AD$5:$AD$304,"&gt;"&amp;AD148)+1)</f>
        <v>0</v>
      </c>
      <c r="AF148" s="8">
        <f>IF(A148="","",IF(SUMPRODUCT(MAX(('Grocery Spending'!$E$5:$E$404=A148)*'Grocery Spending'!$A$5:$A$404))=0,"",SUMPRODUCT(MAX(('Grocery Spending'!$E$5:$E$404=A148)*'Grocery Spending'!$A$5:$A$404))))</f>
        <v>0</v>
      </c>
      <c r="AG148" s="8">
        <f>IF(OR(A148="",AF148=""),"",IFERROR(AVERAGEIFS('Grocery Spending'!$I$5:$I$404,'Grocery Spending'!$E$5:$E$404,A148,'Grocery Spending'!$A$5:$A$404,AF148),""))</f>
        <v>0</v>
      </c>
      <c r="AH148" s="8">
        <f>IF(A148="","",IFERROR(AVERAGEIFS('Grocery Spending'!$I$5:$I$404,'Grocery Spending'!$E$5:$E$404,A148),""))</f>
        <v>0</v>
      </c>
      <c r="AI148" s="8">
        <f>IF(A148="","",IF(SUMPRODUCT(MIN(('Grocery Spending'!$E$5:$E$404=A148)*'Grocery Spending'!$I$5:$I$404+('Grocery Spending'!$E$5:$E$404&lt;&gt;A148)*1000000))&gt;=1000000,"",SUMPRODUCT(MIN(('Grocery Spending'!$E$5:$E$404=A148)*'Grocery Spending'!$I$5:$I$404+('Grocery Spending'!$E$5:$E$404&lt;&gt;A148)*1000000))))</f>
        <v>0</v>
      </c>
      <c r="AJ148" s="8">
        <f>IF(A148="","",SUMPRODUCT(MAX(('Grocery Spending'!$E$5:$E$404=A148)*'Grocery Spending'!$I$5:$I$404)))</f>
        <v>0</v>
      </c>
      <c r="AK148" s="8">
        <f>IF(OR(A148="",AI148="",AJ148=0),"",AJ148-AI148)</f>
        <v>0</v>
      </c>
      <c r="AL148" s="8">
        <f>IF(OR(A148="",AG148="",AH148=""),"",AG148-AH148)</f>
        <v>0</v>
      </c>
      <c r="AM148" s="8">
        <f>IF(A148="","",IF(AL148="","",IF(AL148&gt;0.01,"Up",IF(AL148&lt;-0.01,"Down","Flat"))))</f>
        <v>0</v>
      </c>
      <c r="AN148" s="25"/>
    </row>
    <row r="149" spans="1:40">
      <c r="A149" s="7"/>
      <c r="B149" s="27"/>
      <c r="C149" s="27"/>
      <c r="D149" s="28"/>
      <c r="E149" s="27"/>
      <c r="F149" s="26"/>
      <c r="G149" s="8">
        <f>IF(OR(D149="",F149="",F149=0),"",D149/F149)</f>
        <v>0</v>
      </c>
      <c r="H149" s="26"/>
      <c r="I149" s="26"/>
      <c r="J149" s="26"/>
      <c r="K149" s="26"/>
      <c r="L149" s="26"/>
      <c r="M149" s="26"/>
      <c r="N149" s="27"/>
      <c r="O149" s="27"/>
      <c r="P149" s="27"/>
      <c r="Q149" s="27"/>
      <c r="R149" s="7"/>
      <c r="S149" s="8">
        <f>IF(A149="","",SUMIFS(Pantry!$C$5:$C$304,Pantry!$A$5:$A$304,A149))</f>
        <v>0</v>
      </c>
      <c r="T149" s="8">
        <f>IF(A149="","",COUNTIFS('Grocery List'!$A$5:$A$304,A149,'Grocery List'!$N$5:$N$304,"Yes"))</f>
        <v>0</v>
      </c>
      <c r="U149" s="8">
        <f>IF(A149="","",SUMIFS('Grocery List'!$M$5:$M$304,'Grocery List'!$A$5:$A$304,A149))</f>
        <v>0</v>
      </c>
      <c r="V149" s="8">
        <f>IF(A149="","",COUNTIFS('Recipe Ingredients'!$B$5:$B$1204,A149))</f>
        <v>0</v>
      </c>
      <c r="W149" s="8">
        <f>IF(A149="","",SUMIFS('Recipe Ingredients'!$C$5:$C$1204,'Recipe Ingredients'!$B$5:$B$1204,A149))</f>
        <v>0</v>
      </c>
      <c r="X149" s="8">
        <f>IF(A149="","",IF(U149&lt;=0,IF(S149&gt;0,99,0),ROUND(S149/U149,1)))</f>
        <v>0</v>
      </c>
      <c r="Y149" s="8">
        <f>IF(A149="","",U149*10+IF(O149="Yes",5,0)+IF(X149&lt;1,10,0)+IF(S149&lt;=0,3,0))</f>
        <v>0</v>
      </c>
      <c r="Z149" s="8">
        <f>IF(A149="","",COUNTIFS($Y$5:$Y$304,"&gt;"&amp;Y149)+1)</f>
        <v>0</v>
      </c>
      <c r="AA149" s="8">
        <f>IF(A149="","",IF(OR(U149&gt;0,AND(O149="Yes",X149&lt;2)),"Yes","No"))</f>
        <v>0</v>
      </c>
      <c r="AB149" s="8">
        <f>IF(OR(A149="",D149=""),"",S149*D149)</f>
        <v>0</v>
      </c>
      <c r="AC149" s="8">
        <f>IF(AB149="","",COUNTIFS($AB$5:$AB$304,"&gt;"&amp;AB149)+1)</f>
        <v>0</v>
      </c>
      <c r="AD149" s="8">
        <f>IF(A149="","",SUMIFS('Food Waste'!$E$5:$E$154,'Food Waste'!$C$5:$C$154,A149))</f>
        <v>0</v>
      </c>
      <c r="AE149" s="8">
        <f>IF(OR(A149="",AD149=0),"",COUNTIFS($AD$5:$AD$304,"&gt;"&amp;AD149)+1)</f>
        <v>0</v>
      </c>
      <c r="AF149" s="8">
        <f>IF(A149="","",IF(SUMPRODUCT(MAX(('Grocery Spending'!$E$5:$E$404=A149)*'Grocery Spending'!$A$5:$A$404))=0,"",SUMPRODUCT(MAX(('Grocery Spending'!$E$5:$E$404=A149)*'Grocery Spending'!$A$5:$A$404))))</f>
        <v>0</v>
      </c>
      <c r="AG149" s="8">
        <f>IF(OR(A149="",AF149=""),"",IFERROR(AVERAGEIFS('Grocery Spending'!$I$5:$I$404,'Grocery Spending'!$E$5:$E$404,A149,'Grocery Spending'!$A$5:$A$404,AF149),""))</f>
        <v>0</v>
      </c>
      <c r="AH149" s="8">
        <f>IF(A149="","",IFERROR(AVERAGEIFS('Grocery Spending'!$I$5:$I$404,'Grocery Spending'!$E$5:$E$404,A149),""))</f>
        <v>0</v>
      </c>
      <c r="AI149" s="8">
        <f>IF(A149="","",IF(SUMPRODUCT(MIN(('Grocery Spending'!$E$5:$E$404=A149)*'Grocery Spending'!$I$5:$I$404+('Grocery Spending'!$E$5:$E$404&lt;&gt;A149)*1000000))&gt;=1000000,"",SUMPRODUCT(MIN(('Grocery Spending'!$E$5:$E$404=A149)*'Grocery Spending'!$I$5:$I$404+('Grocery Spending'!$E$5:$E$404&lt;&gt;A149)*1000000))))</f>
        <v>0</v>
      </c>
      <c r="AJ149" s="8">
        <f>IF(A149="","",SUMPRODUCT(MAX(('Grocery Spending'!$E$5:$E$404=A149)*'Grocery Spending'!$I$5:$I$404)))</f>
        <v>0</v>
      </c>
      <c r="AK149" s="8">
        <f>IF(OR(A149="",AI149="",AJ149=0),"",AJ149-AI149)</f>
        <v>0</v>
      </c>
      <c r="AL149" s="8">
        <f>IF(OR(A149="",AG149="",AH149=""),"",AG149-AH149)</f>
        <v>0</v>
      </c>
      <c r="AM149" s="8">
        <f>IF(A149="","",IF(AL149="","",IF(AL149&gt;0.01,"Up",IF(AL149&lt;-0.01,"Down","Flat"))))</f>
        <v>0</v>
      </c>
      <c r="AN149" s="25"/>
    </row>
    <row r="150" spans="1:40">
      <c r="A150" s="7"/>
      <c r="B150" s="27"/>
      <c r="C150" s="27"/>
      <c r="D150" s="28"/>
      <c r="E150" s="27"/>
      <c r="F150" s="26"/>
      <c r="G150" s="8">
        <f>IF(OR(D150="",F150="",F150=0),"",D150/F150)</f>
        <v>0</v>
      </c>
      <c r="H150" s="26"/>
      <c r="I150" s="26"/>
      <c r="J150" s="26"/>
      <c r="K150" s="26"/>
      <c r="L150" s="26"/>
      <c r="M150" s="26"/>
      <c r="N150" s="27"/>
      <c r="O150" s="27"/>
      <c r="P150" s="27"/>
      <c r="Q150" s="27"/>
      <c r="R150" s="7"/>
      <c r="S150" s="8">
        <f>IF(A150="","",SUMIFS(Pantry!$C$5:$C$304,Pantry!$A$5:$A$304,A150))</f>
        <v>0</v>
      </c>
      <c r="T150" s="8">
        <f>IF(A150="","",COUNTIFS('Grocery List'!$A$5:$A$304,A150,'Grocery List'!$N$5:$N$304,"Yes"))</f>
        <v>0</v>
      </c>
      <c r="U150" s="8">
        <f>IF(A150="","",SUMIFS('Grocery List'!$M$5:$M$304,'Grocery List'!$A$5:$A$304,A150))</f>
        <v>0</v>
      </c>
      <c r="V150" s="8">
        <f>IF(A150="","",COUNTIFS('Recipe Ingredients'!$B$5:$B$1204,A150))</f>
        <v>0</v>
      </c>
      <c r="W150" s="8">
        <f>IF(A150="","",SUMIFS('Recipe Ingredients'!$C$5:$C$1204,'Recipe Ingredients'!$B$5:$B$1204,A150))</f>
        <v>0</v>
      </c>
      <c r="X150" s="8">
        <f>IF(A150="","",IF(U150&lt;=0,IF(S150&gt;0,99,0),ROUND(S150/U150,1)))</f>
        <v>0</v>
      </c>
      <c r="Y150" s="8">
        <f>IF(A150="","",U150*10+IF(O150="Yes",5,0)+IF(X150&lt;1,10,0)+IF(S150&lt;=0,3,0))</f>
        <v>0</v>
      </c>
      <c r="Z150" s="8">
        <f>IF(A150="","",COUNTIFS($Y$5:$Y$304,"&gt;"&amp;Y150)+1)</f>
        <v>0</v>
      </c>
      <c r="AA150" s="8">
        <f>IF(A150="","",IF(OR(U150&gt;0,AND(O150="Yes",X150&lt;2)),"Yes","No"))</f>
        <v>0</v>
      </c>
      <c r="AB150" s="8">
        <f>IF(OR(A150="",D150=""),"",S150*D150)</f>
        <v>0</v>
      </c>
      <c r="AC150" s="8">
        <f>IF(AB150="","",COUNTIFS($AB$5:$AB$304,"&gt;"&amp;AB150)+1)</f>
        <v>0</v>
      </c>
      <c r="AD150" s="8">
        <f>IF(A150="","",SUMIFS('Food Waste'!$E$5:$E$154,'Food Waste'!$C$5:$C$154,A150))</f>
        <v>0</v>
      </c>
      <c r="AE150" s="8">
        <f>IF(OR(A150="",AD150=0),"",COUNTIFS($AD$5:$AD$304,"&gt;"&amp;AD150)+1)</f>
        <v>0</v>
      </c>
      <c r="AF150" s="8">
        <f>IF(A150="","",IF(SUMPRODUCT(MAX(('Grocery Spending'!$E$5:$E$404=A150)*'Grocery Spending'!$A$5:$A$404))=0,"",SUMPRODUCT(MAX(('Grocery Spending'!$E$5:$E$404=A150)*'Grocery Spending'!$A$5:$A$404))))</f>
        <v>0</v>
      </c>
      <c r="AG150" s="8">
        <f>IF(OR(A150="",AF150=""),"",IFERROR(AVERAGEIFS('Grocery Spending'!$I$5:$I$404,'Grocery Spending'!$E$5:$E$404,A150,'Grocery Spending'!$A$5:$A$404,AF150),""))</f>
        <v>0</v>
      </c>
      <c r="AH150" s="8">
        <f>IF(A150="","",IFERROR(AVERAGEIFS('Grocery Spending'!$I$5:$I$404,'Grocery Spending'!$E$5:$E$404,A150),""))</f>
        <v>0</v>
      </c>
      <c r="AI150" s="8">
        <f>IF(A150="","",IF(SUMPRODUCT(MIN(('Grocery Spending'!$E$5:$E$404=A150)*'Grocery Spending'!$I$5:$I$404+('Grocery Spending'!$E$5:$E$404&lt;&gt;A150)*1000000))&gt;=1000000,"",SUMPRODUCT(MIN(('Grocery Spending'!$E$5:$E$404=A150)*'Grocery Spending'!$I$5:$I$404+('Grocery Spending'!$E$5:$E$404&lt;&gt;A150)*1000000))))</f>
        <v>0</v>
      </c>
      <c r="AJ150" s="8">
        <f>IF(A150="","",SUMPRODUCT(MAX(('Grocery Spending'!$E$5:$E$404=A150)*'Grocery Spending'!$I$5:$I$404)))</f>
        <v>0</v>
      </c>
      <c r="AK150" s="8">
        <f>IF(OR(A150="",AI150="",AJ150=0),"",AJ150-AI150)</f>
        <v>0</v>
      </c>
      <c r="AL150" s="8">
        <f>IF(OR(A150="",AG150="",AH150=""),"",AG150-AH150)</f>
        <v>0</v>
      </c>
      <c r="AM150" s="8">
        <f>IF(A150="","",IF(AL150="","",IF(AL150&gt;0.01,"Up",IF(AL150&lt;-0.01,"Down","Flat"))))</f>
        <v>0</v>
      </c>
      <c r="AN150" s="25"/>
    </row>
    <row r="151" spans="1:40">
      <c r="A151" s="7"/>
      <c r="B151" s="27"/>
      <c r="C151" s="27"/>
      <c r="D151" s="28"/>
      <c r="E151" s="27"/>
      <c r="F151" s="26"/>
      <c r="G151" s="8">
        <f>IF(OR(D151="",F151="",F151=0),"",D151/F151)</f>
        <v>0</v>
      </c>
      <c r="H151" s="26"/>
      <c r="I151" s="26"/>
      <c r="J151" s="26"/>
      <c r="K151" s="26"/>
      <c r="L151" s="26"/>
      <c r="M151" s="26"/>
      <c r="N151" s="27"/>
      <c r="O151" s="27"/>
      <c r="P151" s="27"/>
      <c r="Q151" s="27"/>
      <c r="R151" s="7"/>
      <c r="S151" s="8">
        <f>IF(A151="","",SUMIFS(Pantry!$C$5:$C$304,Pantry!$A$5:$A$304,A151))</f>
        <v>0</v>
      </c>
      <c r="T151" s="8">
        <f>IF(A151="","",COUNTIFS('Grocery List'!$A$5:$A$304,A151,'Grocery List'!$N$5:$N$304,"Yes"))</f>
        <v>0</v>
      </c>
      <c r="U151" s="8">
        <f>IF(A151="","",SUMIFS('Grocery List'!$M$5:$M$304,'Grocery List'!$A$5:$A$304,A151))</f>
        <v>0</v>
      </c>
      <c r="V151" s="8">
        <f>IF(A151="","",COUNTIFS('Recipe Ingredients'!$B$5:$B$1204,A151))</f>
        <v>0</v>
      </c>
      <c r="W151" s="8">
        <f>IF(A151="","",SUMIFS('Recipe Ingredients'!$C$5:$C$1204,'Recipe Ingredients'!$B$5:$B$1204,A151))</f>
        <v>0</v>
      </c>
      <c r="X151" s="8">
        <f>IF(A151="","",IF(U151&lt;=0,IF(S151&gt;0,99,0),ROUND(S151/U151,1)))</f>
        <v>0</v>
      </c>
      <c r="Y151" s="8">
        <f>IF(A151="","",U151*10+IF(O151="Yes",5,0)+IF(X151&lt;1,10,0)+IF(S151&lt;=0,3,0))</f>
        <v>0</v>
      </c>
      <c r="Z151" s="8">
        <f>IF(A151="","",COUNTIFS($Y$5:$Y$304,"&gt;"&amp;Y151)+1)</f>
        <v>0</v>
      </c>
      <c r="AA151" s="8">
        <f>IF(A151="","",IF(OR(U151&gt;0,AND(O151="Yes",X151&lt;2)),"Yes","No"))</f>
        <v>0</v>
      </c>
      <c r="AB151" s="8">
        <f>IF(OR(A151="",D151=""),"",S151*D151)</f>
        <v>0</v>
      </c>
      <c r="AC151" s="8">
        <f>IF(AB151="","",COUNTIFS($AB$5:$AB$304,"&gt;"&amp;AB151)+1)</f>
        <v>0</v>
      </c>
      <c r="AD151" s="8">
        <f>IF(A151="","",SUMIFS('Food Waste'!$E$5:$E$154,'Food Waste'!$C$5:$C$154,A151))</f>
        <v>0</v>
      </c>
      <c r="AE151" s="8">
        <f>IF(OR(A151="",AD151=0),"",COUNTIFS($AD$5:$AD$304,"&gt;"&amp;AD151)+1)</f>
        <v>0</v>
      </c>
      <c r="AF151" s="8">
        <f>IF(A151="","",IF(SUMPRODUCT(MAX(('Grocery Spending'!$E$5:$E$404=A151)*'Grocery Spending'!$A$5:$A$404))=0,"",SUMPRODUCT(MAX(('Grocery Spending'!$E$5:$E$404=A151)*'Grocery Spending'!$A$5:$A$404))))</f>
        <v>0</v>
      </c>
      <c r="AG151" s="8">
        <f>IF(OR(A151="",AF151=""),"",IFERROR(AVERAGEIFS('Grocery Spending'!$I$5:$I$404,'Grocery Spending'!$E$5:$E$404,A151,'Grocery Spending'!$A$5:$A$404,AF151),""))</f>
        <v>0</v>
      </c>
      <c r="AH151" s="8">
        <f>IF(A151="","",IFERROR(AVERAGEIFS('Grocery Spending'!$I$5:$I$404,'Grocery Spending'!$E$5:$E$404,A151),""))</f>
        <v>0</v>
      </c>
      <c r="AI151" s="8">
        <f>IF(A151="","",IF(SUMPRODUCT(MIN(('Grocery Spending'!$E$5:$E$404=A151)*'Grocery Spending'!$I$5:$I$404+('Grocery Spending'!$E$5:$E$404&lt;&gt;A151)*1000000))&gt;=1000000,"",SUMPRODUCT(MIN(('Grocery Spending'!$E$5:$E$404=A151)*'Grocery Spending'!$I$5:$I$404+('Grocery Spending'!$E$5:$E$404&lt;&gt;A151)*1000000))))</f>
        <v>0</v>
      </c>
      <c r="AJ151" s="8">
        <f>IF(A151="","",SUMPRODUCT(MAX(('Grocery Spending'!$E$5:$E$404=A151)*'Grocery Spending'!$I$5:$I$404)))</f>
        <v>0</v>
      </c>
      <c r="AK151" s="8">
        <f>IF(OR(A151="",AI151="",AJ151=0),"",AJ151-AI151)</f>
        <v>0</v>
      </c>
      <c r="AL151" s="8">
        <f>IF(OR(A151="",AG151="",AH151=""),"",AG151-AH151)</f>
        <v>0</v>
      </c>
      <c r="AM151" s="8">
        <f>IF(A151="","",IF(AL151="","",IF(AL151&gt;0.01,"Up",IF(AL151&lt;-0.01,"Down","Flat"))))</f>
        <v>0</v>
      </c>
      <c r="AN151" s="25"/>
    </row>
    <row r="152" spans="1:40">
      <c r="A152" s="7"/>
      <c r="B152" s="27"/>
      <c r="C152" s="27"/>
      <c r="D152" s="28"/>
      <c r="E152" s="27"/>
      <c r="F152" s="26"/>
      <c r="G152" s="8">
        <f>IF(OR(D152="",F152="",F152=0),"",D152/F152)</f>
        <v>0</v>
      </c>
      <c r="H152" s="26"/>
      <c r="I152" s="26"/>
      <c r="J152" s="26"/>
      <c r="K152" s="26"/>
      <c r="L152" s="26"/>
      <c r="M152" s="26"/>
      <c r="N152" s="27"/>
      <c r="O152" s="27"/>
      <c r="P152" s="27"/>
      <c r="Q152" s="27"/>
      <c r="R152" s="7"/>
      <c r="S152" s="8">
        <f>IF(A152="","",SUMIFS(Pantry!$C$5:$C$304,Pantry!$A$5:$A$304,A152))</f>
        <v>0</v>
      </c>
      <c r="T152" s="8">
        <f>IF(A152="","",COUNTIFS('Grocery List'!$A$5:$A$304,A152,'Grocery List'!$N$5:$N$304,"Yes"))</f>
        <v>0</v>
      </c>
      <c r="U152" s="8">
        <f>IF(A152="","",SUMIFS('Grocery List'!$M$5:$M$304,'Grocery List'!$A$5:$A$304,A152))</f>
        <v>0</v>
      </c>
      <c r="V152" s="8">
        <f>IF(A152="","",COUNTIFS('Recipe Ingredients'!$B$5:$B$1204,A152))</f>
        <v>0</v>
      </c>
      <c r="W152" s="8">
        <f>IF(A152="","",SUMIFS('Recipe Ingredients'!$C$5:$C$1204,'Recipe Ingredients'!$B$5:$B$1204,A152))</f>
        <v>0</v>
      </c>
      <c r="X152" s="8">
        <f>IF(A152="","",IF(U152&lt;=0,IF(S152&gt;0,99,0),ROUND(S152/U152,1)))</f>
        <v>0</v>
      </c>
      <c r="Y152" s="8">
        <f>IF(A152="","",U152*10+IF(O152="Yes",5,0)+IF(X152&lt;1,10,0)+IF(S152&lt;=0,3,0))</f>
        <v>0</v>
      </c>
      <c r="Z152" s="8">
        <f>IF(A152="","",COUNTIFS($Y$5:$Y$304,"&gt;"&amp;Y152)+1)</f>
        <v>0</v>
      </c>
      <c r="AA152" s="8">
        <f>IF(A152="","",IF(OR(U152&gt;0,AND(O152="Yes",X152&lt;2)),"Yes","No"))</f>
        <v>0</v>
      </c>
      <c r="AB152" s="8">
        <f>IF(OR(A152="",D152=""),"",S152*D152)</f>
        <v>0</v>
      </c>
      <c r="AC152" s="8">
        <f>IF(AB152="","",COUNTIFS($AB$5:$AB$304,"&gt;"&amp;AB152)+1)</f>
        <v>0</v>
      </c>
      <c r="AD152" s="8">
        <f>IF(A152="","",SUMIFS('Food Waste'!$E$5:$E$154,'Food Waste'!$C$5:$C$154,A152))</f>
        <v>0</v>
      </c>
      <c r="AE152" s="8">
        <f>IF(OR(A152="",AD152=0),"",COUNTIFS($AD$5:$AD$304,"&gt;"&amp;AD152)+1)</f>
        <v>0</v>
      </c>
      <c r="AF152" s="8">
        <f>IF(A152="","",IF(SUMPRODUCT(MAX(('Grocery Spending'!$E$5:$E$404=A152)*'Grocery Spending'!$A$5:$A$404))=0,"",SUMPRODUCT(MAX(('Grocery Spending'!$E$5:$E$404=A152)*'Grocery Spending'!$A$5:$A$404))))</f>
        <v>0</v>
      </c>
      <c r="AG152" s="8">
        <f>IF(OR(A152="",AF152=""),"",IFERROR(AVERAGEIFS('Grocery Spending'!$I$5:$I$404,'Grocery Spending'!$E$5:$E$404,A152,'Grocery Spending'!$A$5:$A$404,AF152),""))</f>
        <v>0</v>
      </c>
      <c r="AH152" s="8">
        <f>IF(A152="","",IFERROR(AVERAGEIFS('Grocery Spending'!$I$5:$I$404,'Grocery Spending'!$E$5:$E$404,A152),""))</f>
        <v>0</v>
      </c>
      <c r="AI152" s="8">
        <f>IF(A152="","",IF(SUMPRODUCT(MIN(('Grocery Spending'!$E$5:$E$404=A152)*'Grocery Spending'!$I$5:$I$404+('Grocery Spending'!$E$5:$E$404&lt;&gt;A152)*1000000))&gt;=1000000,"",SUMPRODUCT(MIN(('Grocery Spending'!$E$5:$E$404=A152)*'Grocery Spending'!$I$5:$I$404+('Grocery Spending'!$E$5:$E$404&lt;&gt;A152)*1000000))))</f>
        <v>0</v>
      </c>
      <c r="AJ152" s="8">
        <f>IF(A152="","",SUMPRODUCT(MAX(('Grocery Spending'!$E$5:$E$404=A152)*'Grocery Spending'!$I$5:$I$404)))</f>
        <v>0</v>
      </c>
      <c r="AK152" s="8">
        <f>IF(OR(A152="",AI152="",AJ152=0),"",AJ152-AI152)</f>
        <v>0</v>
      </c>
      <c r="AL152" s="8">
        <f>IF(OR(A152="",AG152="",AH152=""),"",AG152-AH152)</f>
        <v>0</v>
      </c>
      <c r="AM152" s="8">
        <f>IF(A152="","",IF(AL152="","",IF(AL152&gt;0.01,"Up",IF(AL152&lt;-0.01,"Down","Flat"))))</f>
        <v>0</v>
      </c>
      <c r="AN152" s="25"/>
    </row>
    <row r="153" spans="1:40">
      <c r="A153" s="7"/>
      <c r="B153" s="27"/>
      <c r="C153" s="27"/>
      <c r="D153" s="28"/>
      <c r="E153" s="27"/>
      <c r="F153" s="26"/>
      <c r="G153" s="8">
        <f>IF(OR(D153="",F153="",F153=0),"",D153/F153)</f>
        <v>0</v>
      </c>
      <c r="H153" s="26"/>
      <c r="I153" s="26"/>
      <c r="J153" s="26"/>
      <c r="K153" s="26"/>
      <c r="L153" s="26"/>
      <c r="M153" s="26"/>
      <c r="N153" s="27"/>
      <c r="O153" s="27"/>
      <c r="P153" s="27"/>
      <c r="Q153" s="27"/>
      <c r="R153" s="7"/>
      <c r="S153" s="8">
        <f>IF(A153="","",SUMIFS(Pantry!$C$5:$C$304,Pantry!$A$5:$A$304,A153))</f>
        <v>0</v>
      </c>
      <c r="T153" s="8">
        <f>IF(A153="","",COUNTIFS('Grocery List'!$A$5:$A$304,A153,'Grocery List'!$N$5:$N$304,"Yes"))</f>
        <v>0</v>
      </c>
      <c r="U153" s="8">
        <f>IF(A153="","",SUMIFS('Grocery List'!$M$5:$M$304,'Grocery List'!$A$5:$A$304,A153))</f>
        <v>0</v>
      </c>
      <c r="V153" s="8">
        <f>IF(A153="","",COUNTIFS('Recipe Ingredients'!$B$5:$B$1204,A153))</f>
        <v>0</v>
      </c>
      <c r="W153" s="8">
        <f>IF(A153="","",SUMIFS('Recipe Ingredients'!$C$5:$C$1204,'Recipe Ingredients'!$B$5:$B$1204,A153))</f>
        <v>0</v>
      </c>
      <c r="X153" s="8">
        <f>IF(A153="","",IF(U153&lt;=0,IF(S153&gt;0,99,0),ROUND(S153/U153,1)))</f>
        <v>0</v>
      </c>
      <c r="Y153" s="8">
        <f>IF(A153="","",U153*10+IF(O153="Yes",5,0)+IF(X153&lt;1,10,0)+IF(S153&lt;=0,3,0))</f>
        <v>0</v>
      </c>
      <c r="Z153" s="8">
        <f>IF(A153="","",COUNTIFS($Y$5:$Y$304,"&gt;"&amp;Y153)+1)</f>
        <v>0</v>
      </c>
      <c r="AA153" s="8">
        <f>IF(A153="","",IF(OR(U153&gt;0,AND(O153="Yes",X153&lt;2)),"Yes","No"))</f>
        <v>0</v>
      </c>
      <c r="AB153" s="8">
        <f>IF(OR(A153="",D153=""),"",S153*D153)</f>
        <v>0</v>
      </c>
      <c r="AC153" s="8">
        <f>IF(AB153="","",COUNTIFS($AB$5:$AB$304,"&gt;"&amp;AB153)+1)</f>
        <v>0</v>
      </c>
      <c r="AD153" s="8">
        <f>IF(A153="","",SUMIFS('Food Waste'!$E$5:$E$154,'Food Waste'!$C$5:$C$154,A153))</f>
        <v>0</v>
      </c>
      <c r="AE153" s="8">
        <f>IF(OR(A153="",AD153=0),"",COUNTIFS($AD$5:$AD$304,"&gt;"&amp;AD153)+1)</f>
        <v>0</v>
      </c>
      <c r="AF153" s="8">
        <f>IF(A153="","",IF(SUMPRODUCT(MAX(('Grocery Spending'!$E$5:$E$404=A153)*'Grocery Spending'!$A$5:$A$404))=0,"",SUMPRODUCT(MAX(('Grocery Spending'!$E$5:$E$404=A153)*'Grocery Spending'!$A$5:$A$404))))</f>
        <v>0</v>
      </c>
      <c r="AG153" s="8">
        <f>IF(OR(A153="",AF153=""),"",IFERROR(AVERAGEIFS('Grocery Spending'!$I$5:$I$404,'Grocery Spending'!$E$5:$E$404,A153,'Grocery Spending'!$A$5:$A$404,AF153),""))</f>
        <v>0</v>
      </c>
      <c r="AH153" s="8">
        <f>IF(A153="","",IFERROR(AVERAGEIFS('Grocery Spending'!$I$5:$I$404,'Grocery Spending'!$E$5:$E$404,A153),""))</f>
        <v>0</v>
      </c>
      <c r="AI153" s="8">
        <f>IF(A153="","",IF(SUMPRODUCT(MIN(('Grocery Spending'!$E$5:$E$404=A153)*'Grocery Spending'!$I$5:$I$404+('Grocery Spending'!$E$5:$E$404&lt;&gt;A153)*1000000))&gt;=1000000,"",SUMPRODUCT(MIN(('Grocery Spending'!$E$5:$E$404=A153)*'Grocery Spending'!$I$5:$I$404+('Grocery Spending'!$E$5:$E$404&lt;&gt;A153)*1000000))))</f>
        <v>0</v>
      </c>
      <c r="AJ153" s="8">
        <f>IF(A153="","",SUMPRODUCT(MAX(('Grocery Spending'!$E$5:$E$404=A153)*'Grocery Spending'!$I$5:$I$404)))</f>
        <v>0</v>
      </c>
      <c r="AK153" s="8">
        <f>IF(OR(A153="",AI153="",AJ153=0),"",AJ153-AI153)</f>
        <v>0</v>
      </c>
      <c r="AL153" s="8">
        <f>IF(OR(A153="",AG153="",AH153=""),"",AG153-AH153)</f>
        <v>0</v>
      </c>
      <c r="AM153" s="8">
        <f>IF(A153="","",IF(AL153="","",IF(AL153&gt;0.01,"Up",IF(AL153&lt;-0.01,"Down","Flat"))))</f>
        <v>0</v>
      </c>
      <c r="AN153" s="25"/>
    </row>
    <row r="154" spans="1:40">
      <c r="A154" s="7"/>
      <c r="B154" s="27"/>
      <c r="C154" s="27"/>
      <c r="D154" s="28"/>
      <c r="E154" s="27"/>
      <c r="F154" s="26"/>
      <c r="G154" s="8">
        <f>IF(OR(D154="",F154="",F154=0),"",D154/F154)</f>
        <v>0</v>
      </c>
      <c r="H154" s="26"/>
      <c r="I154" s="26"/>
      <c r="J154" s="26"/>
      <c r="K154" s="26"/>
      <c r="L154" s="26"/>
      <c r="M154" s="26"/>
      <c r="N154" s="27"/>
      <c r="O154" s="27"/>
      <c r="P154" s="27"/>
      <c r="Q154" s="27"/>
      <c r="R154" s="7"/>
      <c r="S154" s="8">
        <f>IF(A154="","",SUMIFS(Pantry!$C$5:$C$304,Pantry!$A$5:$A$304,A154))</f>
        <v>0</v>
      </c>
      <c r="T154" s="8">
        <f>IF(A154="","",COUNTIFS('Grocery List'!$A$5:$A$304,A154,'Grocery List'!$N$5:$N$304,"Yes"))</f>
        <v>0</v>
      </c>
      <c r="U154" s="8">
        <f>IF(A154="","",SUMIFS('Grocery List'!$M$5:$M$304,'Grocery List'!$A$5:$A$304,A154))</f>
        <v>0</v>
      </c>
      <c r="V154" s="8">
        <f>IF(A154="","",COUNTIFS('Recipe Ingredients'!$B$5:$B$1204,A154))</f>
        <v>0</v>
      </c>
      <c r="W154" s="8">
        <f>IF(A154="","",SUMIFS('Recipe Ingredients'!$C$5:$C$1204,'Recipe Ingredients'!$B$5:$B$1204,A154))</f>
        <v>0</v>
      </c>
      <c r="X154" s="8">
        <f>IF(A154="","",IF(U154&lt;=0,IF(S154&gt;0,99,0),ROUND(S154/U154,1)))</f>
        <v>0</v>
      </c>
      <c r="Y154" s="8">
        <f>IF(A154="","",U154*10+IF(O154="Yes",5,0)+IF(X154&lt;1,10,0)+IF(S154&lt;=0,3,0))</f>
        <v>0</v>
      </c>
      <c r="Z154" s="8">
        <f>IF(A154="","",COUNTIFS($Y$5:$Y$304,"&gt;"&amp;Y154)+1)</f>
        <v>0</v>
      </c>
      <c r="AA154" s="8">
        <f>IF(A154="","",IF(OR(U154&gt;0,AND(O154="Yes",X154&lt;2)),"Yes","No"))</f>
        <v>0</v>
      </c>
      <c r="AB154" s="8">
        <f>IF(OR(A154="",D154=""),"",S154*D154)</f>
        <v>0</v>
      </c>
      <c r="AC154" s="8">
        <f>IF(AB154="","",COUNTIFS($AB$5:$AB$304,"&gt;"&amp;AB154)+1)</f>
        <v>0</v>
      </c>
      <c r="AD154" s="8">
        <f>IF(A154="","",SUMIFS('Food Waste'!$E$5:$E$154,'Food Waste'!$C$5:$C$154,A154))</f>
        <v>0</v>
      </c>
      <c r="AE154" s="8">
        <f>IF(OR(A154="",AD154=0),"",COUNTIFS($AD$5:$AD$304,"&gt;"&amp;AD154)+1)</f>
        <v>0</v>
      </c>
      <c r="AF154" s="8">
        <f>IF(A154="","",IF(SUMPRODUCT(MAX(('Grocery Spending'!$E$5:$E$404=A154)*'Grocery Spending'!$A$5:$A$404))=0,"",SUMPRODUCT(MAX(('Grocery Spending'!$E$5:$E$404=A154)*'Grocery Spending'!$A$5:$A$404))))</f>
        <v>0</v>
      </c>
      <c r="AG154" s="8">
        <f>IF(OR(A154="",AF154=""),"",IFERROR(AVERAGEIFS('Grocery Spending'!$I$5:$I$404,'Grocery Spending'!$E$5:$E$404,A154,'Grocery Spending'!$A$5:$A$404,AF154),""))</f>
        <v>0</v>
      </c>
      <c r="AH154" s="8">
        <f>IF(A154="","",IFERROR(AVERAGEIFS('Grocery Spending'!$I$5:$I$404,'Grocery Spending'!$E$5:$E$404,A154),""))</f>
        <v>0</v>
      </c>
      <c r="AI154" s="8">
        <f>IF(A154="","",IF(SUMPRODUCT(MIN(('Grocery Spending'!$E$5:$E$404=A154)*'Grocery Spending'!$I$5:$I$404+('Grocery Spending'!$E$5:$E$404&lt;&gt;A154)*1000000))&gt;=1000000,"",SUMPRODUCT(MIN(('Grocery Spending'!$E$5:$E$404=A154)*'Grocery Spending'!$I$5:$I$404+('Grocery Spending'!$E$5:$E$404&lt;&gt;A154)*1000000))))</f>
        <v>0</v>
      </c>
      <c r="AJ154" s="8">
        <f>IF(A154="","",SUMPRODUCT(MAX(('Grocery Spending'!$E$5:$E$404=A154)*'Grocery Spending'!$I$5:$I$404)))</f>
        <v>0</v>
      </c>
      <c r="AK154" s="8">
        <f>IF(OR(A154="",AI154="",AJ154=0),"",AJ154-AI154)</f>
        <v>0</v>
      </c>
      <c r="AL154" s="8">
        <f>IF(OR(A154="",AG154="",AH154=""),"",AG154-AH154)</f>
        <v>0</v>
      </c>
      <c r="AM154" s="8">
        <f>IF(A154="","",IF(AL154="","",IF(AL154&gt;0.01,"Up",IF(AL154&lt;-0.01,"Down","Flat"))))</f>
        <v>0</v>
      </c>
      <c r="AN154" s="25"/>
    </row>
    <row r="155" spans="1:40">
      <c r="A155" s="7"/>
      <c r="B155" s="27"/>
      <c r="C155" s="27"/>
      <c r="D155" s="28"/>
      <c r="E155" s="27"/>
      <c r="F155" s="26"/>
      <c r="G155" s="8">
        <f>IF(OR(D155="",F155="",F155=0),"",D155/F155)</f>
        <v>0</v>
      </c>
      <c r="H155" s="26"/>
      <c r="I155" s="26"/>
      <c r="J155" s="26"/>
      <c r="K155" s="26"/>
      <c r="L155" s="26"/>
      <c r="M155" s="26"/>
      <c r="N155" s="27"/>
      <c r="O155" s="27"/>
      <c r="P155" s="27"/>
      <c r="Q155" s="27"/>
      <c r="R155" s="7"/>
      <c r="S155" s="8">
        <f>IF(A155="","",SUMIFS(Pantry!$C$5:$C$304,Pantry!$A$5:$A$304,A155))</f>
        <v>0</v>
      </c>
      <c r="T155" s="8">
        <f>IF(A155="","",COUNTIFS('Grocery List'!$A$5:$A$304,A155,'Grocery List'!$N$5:$N$304,"Yes"))</f>
        <v>0</v>
      </c>
      <c r="U155" s="8">
        <f>IF(A155="","",SUMIFS('Grocery List'!$M$5:$M$304,'Grocery List'!$A$5:$A$304,A155))</f>
        <v>0</v>
      </c>
      <c r="V155" s="8">
        <f>IF(A155="","",COUNTIFS('Recipe Ingredients'!$B$5:$B$1204,A155))</f>
        <v>0</v>
      </c>
      <c r="W155" s="8">
        <f>IF(A155="","",SUMIFS('Recipe Ingredients'!$C$5:$C$1204,'Recipe Ingredients'!$B$5:$B$1204,A155))</f>
        <v>0</v>
      </c>
      <c r="X155" s="8">
        <f>IF(A155="","",IF(U155&lt;=0,IF(S155&gt;0,99,0),ROUND(S155/U155,1)))</f>
        <v>0</v>
      </c>
      <c r="Y155" s="8">
        <f>IF(A155="","",U155*10+IF(O155="Yes",5,0)+IF(X155&lt;1,10,0)+IF(S155&lt;=0,3,0))</f>
        <v>0</v>
      </c>
      <c r="Z155" s="8">
        <f>IF(A155="","",COUNTIFS($Y$5:$Y$304,"&gt;"&amp;Y155)+1)</f>
        <v>0</v>
      </c>
      <c r="AA155" s="8">
        <f>IF(A155="","",IF(OR(U155&gt;0,AND(O155="Yes",X155&lt;2)),"Yes","No"))</f>
        <v>0</v>
      </c>
      <c r="AB155" s="8">
        <f>IF(OR(A155="",D155=""),"",S155*D155)</f>
        <v>0</v>
      </c>
      <c r="AC155" s="8">
        <f>IF(AB155="","",COUNTIFS($AB$5:$AB$304,"&gt;"&amp;AB155)+1)</f>
        <v>0</v>
      </c>
      <c r="AD155" s="8">
        <f>IF(A155="","",SUMIFS('Food Waste'!$E$5:$E$154,'Food Waste'!$C$5:$C$154,A155))</f>
        <v>0</v>
      </c>
      <c r="AE155" s="8">
        <f>IF(OR(A155="",AD155=0),"",COUNTIFS($AD$5:$AD$304,"&gt;"&amp;AD155)+1)</f>
        <v>0</v>
      </c>
      <c r="AF155" s="8">
        <f>IF(A155="","",IF(SUMPRODUCT(MAX(('Grocery Spending'!$E$5:$E$404=A155)*'Grocery Spending'!$A$5:$A$404))=0,"",SUMPRODUCT(MAX(('Grocery Spending'!$E$5:$E$404=A155)*'Grocery Spending'!$A$5:$A$404))))</f>
        <v>0</v>
      </c>
      <c r="AG155" s="8">
        <f>IF(OR(A155="",AF155=""),"",IFERROR(AVERAGEIFS('Grocery Spending'!$I$5:$I$404,'Grocery Spending'!$E$5:$E$404,A155,'Grocery Spending'!$A$5:$A$404,AF155),""))</f>
        <v>0</v>
      </c>
      <c r="AH155" s="8">
        <f>IF(A155="","",IFERROR(AVERAGEIFS('Grocery Spending'!$I$5:$I$404,'Grocery Spending'!$E$5:$E$404,A155),""))</f>
        <v>0</v>
      </c>
      <c r="AI155" s="8">
        <f>IF(A155="","",IF(SUMPRODUCT(MIN(('Grocery Spending'!$E$5:$E$404=A155)*'Grocery Spending'!$I$5:$I$404+('Grocery Spending'!$E$5:$E$404&lt;&gt;A155)*1000000))&gt;=1000000,"",SUMPRODUCT(MIN(('Grocery Spending'!$E$5:$E$404=A155)*'Grocery Spending'!$I$5:$I$404+('Grocery Spending'!$E$5:$E$404&lt;&gt;A155)*1000000))))</f>
        <v>0</v>
      </c>
      <c r="AJ155" s="8">
        <f>IF(A155="","",SUMPRODUCT(MAX(('Grocery Spending'!$E$5:$E$404=A155)*'Grocery Spending'!$I$5:$I$404)))</f>
        <v>0</v>
      </c>
      <c r="AK155" s="8">
        <f>IF(OR(A155="",AI155="",AJ155=0),"",AJ155-AI155)</f>
        <v>0</v>
      </c>
      <c r="AL155" s="8">
        <f>IF(OR(A155="",AG155="",AH155=""),"",AG155-AH155)</f>
        <v>0</v>
      </c>
      <c r="AM155" s="8">
        <f>IF(A155="","",IF(AL155="","",IF(AL155&gt;0.01,"Up",IF(AL155&lt;-0.01,"Down","Flat"))))</f>
        <v>0</v>
      </c>
      <c r="AN155" s="25"/>
    </row>
    <row r="156" spans="1:40">
      <c r="A156" s="7"/>
      <c r="B156" s="27"/>
      <c r="C156" s="27"/>
      <c r="D156" s="28"/>
      <c r="E156" s="27"/>
      <c r="F156" s="26"/>
      <c r="G156" s="8">
        <f>IF(OR(D156="",F156="",F156=0),"",D156/F156)</f>
        <v>0</v>
      </c>
      <c r="H156" s="26"/>
      <c r="I156" s="26"/>
      <c r="J156" s="26"/>
      <c r="K156" s="26"/>
      <c r="L156" s="26"/>
      <c r="M156" s="26"/>
      <c r="N156" s="27"/>
      <c r="O156" s="27"/>
      <c r="P156" s="27"/>
      <c r="Q156" s="27"/>
      <c r="R156" s="7"/>
      <c r="S156" s="8">
        <f>IF(A156="","",SUMIFS(Pantry!$C$5:$C$304,Pantry!$A$5:$A$304,A156))</f>
        <v>0</v>
      </c>
      <c r="T156" s="8">
        <f>IF(A156="","",COUNTIFS('Grocery List'!$A$5:$A$304,A156,'Grocery List'!$N$5:$N$304,"Yes"))</f>
        <v>0</v>
      </c>
      <c r="U156" s="8">
        <f>IF(A156="","",SUMIFS('Grocery List'!$M$5:$M$304,'Grocery List'!$A$5:$A$304,A156))</f>
        <v>0</v>
      </c>
      <c r="V156" s="8">
        <f>IF(A156="","",COUNTIFS('Recipe Ingredients'!$B$5:$B$1204,A156))</f>
        <v>0</v>
      </c>
      <c r="W156" s="8">
        <f>IF(A156="","",SUMIFS('Recipe Ingredients'!$C$5:$C$1204,'Recipe Ingredients'!$B$5:$B$1204,A156))</f>
        <v>0</v>
      </c>
      <c r="X156" s="8">
        <f>IF(A156="","",IF(U156&lt;=0,IF(S156&gt;0,99,0),ROUND(S156/U156,1)))</f>
        <v>0</v>
      </c>
      <c r="Y156" s="8">
        <f>IF(A156="","",U156*10+IF(O156="Yes",5,0)+IF(X156&lt;1,10,0)+IF(S156&lt;=0,3,0))</f>
        <v>0</v>
      </c>
      <c r="Z156" s="8">
        <f>IF(A156="","",COUNTIFS($Y$5:$Y$304,"&gt;"&amp;Y156)+1)</f>
        <v>0</v>
      </c>
      <c r="AA156" s="8">
        <f>IF(A156="","",IF(OR(U156&gt;0,AND(O156="Yes",X156&lt;2)),"Yes","No"))</f>
        <v>0</v>
      </c>
      <c r="AB156" s="8">
        <f>IF(OR(A156="",D156=""),"",S156*D156)</f>
        <v>0</v>
      </c>
      <c r="AC156" s="8">
        <f>IF(AB156="","",COUNTIFS($AB$5:$AB$304,"&gt;"&amp;AB156)+1)</f>
        <v>0</v>
      </c>
      <c r="AD156" s="8">
        <f>IF(A156="","",SUMIFS('Food Waste'!$E$5:$E$154,'Food Waste'!$C$5:$C$154,A156))</f>
        <v>0</v>
      </c>
      <c r="AE156" s="8">
        <f>IF(OR(A156="",AD156=0),"",COUNTIFS($AD$5:$AD$304,"&gt;"&amp;AD156)+1)</f>
        <v>0</v>
      </c>
      <c r="AF156" s="8">
        <f>IF(A156="","",IF(SUMPRODUCT(MAX(('Grocery Spending'!$E$5:$E$404=A156)*'Grocery Spending'!$A$5:$A$404))=0,"",SUMPRODUCT(MAX(('Grocery Spending'!$E$5:$E$404=A156)*'Grocery Spending'!$A$5:$A$404))))</f>
        <v>0</v>
      </c>
      <c r="AG156" s="8">
        <f>IF(OR(A156="",AF156=""),"",IFERROR(AVERAGEIFS('Grocery Spending'!$I$5:$I$404,'Grocery Spending'!$E$5:$E$404,A156,'Grocery Spending'!$A$5:$A$404,AF156),""))</f>
        <v>0</v>
      </c>
      <c r="AH156" s="8">
        <f>IF(A156="","",IFERROR(AVERAGEIFS('Grocery Spending'!$I$5:$I$404,'Grocery Spending'!$E$5:$E$404,A156),""))</f>
        <v>0</v>
      </c>
      <c r="AI156" s="8">
        <f>IF(A156="","",IF(SUMPRODUCT(MIN(('Grocery Spending'!$E$5:$E$404=A156)*'Grocery Spending'!$I$5:$I$404+('Grocery Spending'!$E$5:$E$404&lt;&gt;A156)*1000000))&gt;=1000000,"",SUMPRODUCT(MIN(('Grocery Spending'!$E$5:$E$404=A156)*'Grocery Spending'!$I$5:$I$404+('Grocery Spending'!$E$5:$E$404&lt;&gt;A156)*1000000))))</f>
        <v>0</v>
      </c>
      <c r="AJ156" s="8">
        <f>IF(A156="","",SUMPRODUCT(MAX(('Grocery Spending'!$E$5:$E$404=A156)*'Grocery Spending'!$I$5:$I$404)))</f>
        <v>0</v>
      </c>
      <c r="AK156" s="8">
        <f>IF(OR(A156="",AI156="",AJ156=0),"",AJ156-AI156)</f>
        <v>0</v>
      </c>
      <c r="AL156" s="8">
        <f>IF(OR(A156="",AG156="",AH156=""),"",AG156-AH156)</f>
        <v>0</v>
      </c>
      <c r="AM156" s="8">
        <f>IF(A156="","",IF(AL156="","",IF(AL156&gt;0.01,"Up",IF(AL156&lt;-0.01,"Down","Flat"))))</f>
        <v>0</v>
      </c>
      <c r="AN156" s="25"/>
    </row>
    <row r="157" spans="1:40">
      <c r="A157" s="7"/>
      <c r="B157" s="27"/>
      <c r="C157" s="27"/>
      <c r="D157" s="28"/>
      <c r="E157" s="27"/>
      <c r="F157" s="26"/>
      <c r="G157" s="8">
        <f>IF(OR(D157="",F157="",F157=0),"",D157/F157)</f>
        <v>0</v>
      </c>
      <c r="H157" s="26"/>
      <c r="I157" s="26"/>
      <c r="J157" s="26"/>
      <c r="K157" s="26"/>
      <c r="L157" s="26"/>
      <c r="M157" s="26"/>
      <c r="N157" s="27"/>
      <c r="O157" s="27"/>
      <c r="P157" s="27"/>
      <c r="Q157" s="27"/>
      <c r="R157" s="7"/>
      <c r="S157" s="8">
        <f>IF(A157="","",SUMIFS(Pantry!$C$5:$C$304,Pantry!$A$5:$A$304,A157))</f>
        <v>0</v>
      </c>
      <c r="T157" s="8">
        <f>IF(A157="","",COUNTIFS('Grocery List'!$A$5:$A$304,A157,'Grocery List'!$N$5:$N$304,"Yes"))</f>
        <v>0</v>
      </c>
      <c r="U157" s="8">
        <f>IF(A157="","",SUMIFS('Grocery List'!$M$5:$M$304,'Grocery List'!$A$5:$A$304,A157))</f>
        <v>0</v>
      </c>
      <c r="V157" s="8">
        <f>IF(A157="","",COUNTIFS('Recipe Ingredients'!$B$5:$B$1204,A157))</f>
        <v>0</v>
      </c>
      <c r="W157" s="8">
        <f>IF(A157="","",SUMIFS('Recipe Ingredients'!$C$5:$C$1204,'Recipe Ingredients'!$B$5:$B$1204,A157))</f>
        <v>0</v>
      </c>
      <c r="X157" s="8">
        <f>IF(A157="","",IF(U157&lt;=0,IF(S157&gt;0,99,0),ROUND(S157/U157,1)))</f>
        <v>0</v>
      </c>
      <c r="Y157" s="8">
        <f>IF(A157="","",U157*10+IF(O157="Yes",5,0)+IF(X157&lt;1,10,0)+IF(S157&lt;=0,3,0))</f>
        <v>0</v>
      </c>
      <c r="Z157" s="8">
        <f>IF(A157="","",COUNTIFS($Y$5:$Y$304,"&gt;"&amp;Y157)+1)</f>
        <v>0</v>
      </c>
      <c r="AA157" s="8">
        <f>IF(A157="","",IF(OR(U157&gt;0,AND(O157="Yes",X157&lt;2)),"Yes","No"))</f>
        <v>0</v>
      </c>
      <c r="AB157" s="8">
        <f>IF(OR(A157="",D157=""),"",S157*D157)</f>
        <v>0</v>
      </c>
      <c r="AC157" s="8">
        <f>IF(AB157="","",COUNTIFS($AB$5:$AB$304,"&gt;"&amp;AB157)+1)</f>
        <v>0</v>
      </c>
      <c r="AD157" s="8">
        <f>IF(A157="","",SUMIFS('Food Waste'!$E$5:$E$154,'Food Waste'!$C$5:$C$154,A157))</f>
        <v>0</v>
      </c>
      <c r="AE157" s="8">
        <f>IF(OR(A157="",AD157=0),"",COUNTIFS($AD$5:$AD$304,"&gt;"&amp;AD157)+1)</f>
        <v>0</v>
      </c>
      <c r="AF157" s="8">
        <f>IF(A157="","",IF(SUMPRODUCT(MAX(('Grocery Spending'!$E$5:$E$404=A157)*'Grocery Spending'!$A$5:$A$404))=0,"",SUMPRODUCT(MAX(('Grocery Spending'!$E$5:$E$404=A157)*'Grocery Spending'!$A$5:$A$404))))</f>
        <v>0</v>
      </c>
      <c r="AG157" s="8">
        <f>IF(OR(A157="",AF157=""),"",IFERROR(AVERAGEIFS('Grocery Spending'!$I$5:$I$404,'Grocery Spending'!$E$5:$E$404,A157,'Grocery Spending'!$A$5:$A$404,AF157),""))</f>
        <v>0</v>
      </c>
      <c r="AH157" s="8">
        <f>IF(A157="","",IFERROR(AVERAGEIFS('Grocery Spending'!$I$5:$I$404,'Grocery Spending'!$E$5:$E$404,A157),""))</f>
        <v>0</v>
      </c>
      <c r="AI157" s="8">
        <f>IF(A157="","",IF(SUMPRODUCT(MIN(('Grocery Spending'!$E$5:$E$404=A157)*'Grocery Spending'!$I$5:$I$404+('Grocery Spending'!$E$5:$E$404&lt;&gt;A157)*1000000))&gt;=1000000,"",SUMPRODUCT(MIN(('Grocery Spending'!$E$5:$E$404=A157)*'Grocery Spending'!$I$5:$I$404+('Grocery Spending'!$E$5:$E$404&lt;&gt;A157)*1000000))))</f>
        <v>0</v>
      </c>
      <c r="AJ157" s="8">
        <f>IF(A157="","",SUMPRODUCT(MAX(('Grocery Spending'!$E$5:$E$404=A157)*'Grocery Spending'!$I$5:$I$404)))</f>
        <v>0</v>
      </c>
      <c r="AK157" s="8">
        <f>IF(OR(A157="",AI157="",AJ157=0),"",AJ157-AI157)</f>
        <v>0</v>
      </c>
      <c r="AL157" s="8">
        <f>IF(OR(A157="",AG157="",AH157=""),"",AG157-AH157)</f>
        <v>0</v>
      </c>
      <c r="AM157" s="8">
        <f>IF(A157="","",IF(AL157="","",IF(AL157&gt;0.01,"Up",IF(AL157&lt;-0.01,"Down","Flat"))))</f>
        <v>0</v>
      </c>
      <c r="AN157" s="25"/>
    </row>
    <row r="158" spans="1:40">
      <c r="A158" s="7"/>
      <c r="B158" s="27"/>
      <c r="C158" s="27"/>
      <c r="D158" s="28"/>
      <c r="E158" s="27"/>
      <c r="F158" s="26"/>
      <c r="G158" s="8">
        <f>IF(OR(D158="",F158="",F158=0),"",D158/F158)</f>
        <v>0</v>
      </c>
      <c r="H158" s="26"/>
      <c r="I158" s="26"/>
      <c r="J158" s="26"/>
      <c r="K158" s="26"/>
      <c r="L158" s="26"/>
      <c r="M158" s="26"/>
      <c r="N158" s="27"/>
      <c r="O158" s="27"/>
      <c r="P158" s="27"/>
      <c r="Q158" s="27"/>
      <c r="R158" s="7"/>
      <c r="S158" s="8">
        <f>IF(A158="","",SUMIFS(Pantry!$C$5:$C$304,Pantry!$A$5:$A$304,A158))</f>
        <v>0</v>
      </c>
      <c r="T158" s="8">
        <f>IF(A158="","",COUNTIFS('Grocery List'!$A$5:$A$304,A158,'Grocery List'!$N$5:$N$304,"Yes"))</f>
        <v>0</v>
      </c>
      <c r="U158" s="8">
        <f>IF(A158="","",SUMIFS('Grocery List'!$M$5:$M$304,'Grocery List'!$A$5:$A$304,A158))</f>
        <v>0</v>
      </c>
      <c r="V158" s="8">
        <f>IF(A158="","",COUNTIFS('Recipe Ingredients'!$B$5:$B$1204,A158))</f>
        <v>0</v>
      </c>
      <c r="W158" s="8">
        <f>IF(A158="","",SUMIFS('Recipe Ingredients'!$C$5:$C$1204,'Recipe Ingredients'!$B$5:$B$1204,A158))</f>
        <v>0</v>
      </c>
      <c r="X158" s="8">
        <f>IF(A158="","",IF(U158&lt;=0,IF(S158&gt;0,99,0),ROUND(S158/U158,1)))</f>
        <v>0</v>
      </c>
      <c r="Y158" s="8">
        <f>IF(A158="","",U158*10+IF(O158="Yes",5,0)+IF(X158&lt;1,10,0)+IF(S158&lt;=0,3,0))</f>
        <v>0</v>
      </c>
      <c r="Z158" s="8">
        <f>IF(A158="","",COUNTIFS($Y$5:$Y$304,"&gt;"&amp;Y158)+1)</f>
        <v>0</v>
      </c>
      <c r="AA158" s="8">
        <f>IF(A158="","",IF(OR(U158&gt;0,AND(O158="Yes",X158&lt;2)),"Yes","No"))</f>
        <v>0</v>
      </c>
      <c r="AB158" s="8">
        <f>IF(OR(A158="",D158=""),"",S158*D158)</f>
        <v>0</v>
      </c>
      <c r="AC158" s="8">
        <f>IF(AB158="","",COUNTIFS($AB$5:$AB$304,"&gt;"&amp;AB158)+1)</f>
        <v>0</v>
      </c>
      <c r="AD158" s="8">
        <f>IF(A158="","",SUMIFS('Food Waste'!$E$5:$E$154,'Food Waste'!$C$5:$C$154,A158))</f>
        <v>0</v>
      </c>
      <c r="AE158" s="8">
        <f>IF(OR(A158="",AD158=0),"",COUNTIFS($AD$5:$AD$304,"&gt;"&amp;AD158)+1)</f>
        <v>0</v>
      </c>
      <c r="AF158" s="8">
        <f>IF(A158="","",IF(SUMPRODUCT(MAX(('Grocery Spending'!$E$5:$E$404=A158)*'Grocery Spending'!$A$5:$A$404))=0,"",SUMPRODUCT(MAX(('Grocery Spending'!$E$5:$E$404=A158)*'Grocery Spending'!$A$5:$A$404))))</f>
        <v>0</v>
      </c>
      <c r="AG158" s="8">
        <f>IF(OR(A158="",AF158=""),"",IFERROR(AVERAGEIFS('Grocery Spending'!$I$5:$I$404,'Grocery Spending'!$E$5:$E$404,A158,'Grocery Spending'!$A$5:$A$404,AF158),""))</f>
        <v>0</v>
      </c>
      <c r="AH158" s="8">
        <f>IF(A158="","",IFERROR(AVERAGEIFS('Grocery Spending'!$I$5:$I$404,'Grocery Spending'!$E$5:$E$404,A158),""))</f>
        <v>0</v>
      </c>
      <c r="AI158" s="8">
        <f>IF(A158="","",IF(SUMPRODUCT(MIN(('Grocery Spending'!$E$5:$E$404=A158)*'Grocery Spending'!$I$5:$I$404+('Grocery Spending'!$E$5:$E$404&lt;&gt;A158)*1000000))&gt;=1000000,"",SUMPRODUCT(MIN(('Grocery Spending'!$E$5:$E$404=A158)*'Grocery Spending'!$I$5:$I$404+('Grocery Spending'!$E$5:$E$404&lt;&gt;A158)*1000000))))</f>
        <v>0</v>
      </c>
      <c r="AJ158" s="8">
        <f>IF(A158="","",SUMPRODUCT(MAX(('Grocery Spending'!$E$5:$E$404=A158)*'Grocery Spending'!$I$5:$I$404)))</f>
        <v>0</v>
      </c>
      <c r="AK158" s="8">
        <f>IF(OR(A158="",AI158="",AJ158=0),"",AJ158-AI158)</f>
        <v>0</v>
      </c>
      <c r="AL158" s="8">
        <f>IF(OR(A158="",AG158="",AH158=""),"",AG158-AH158)</f>
        <v>0</v>
      </c>
      <c r="AM158" s="8">
        <f>IF(A158="","",IF(AL158="","",IF(AL158&gt;0.01,"Up",IF(AL158&lt;-0.01,"Down","Flat"))))</f>
        <v>0</v>
      </c>
      <c r="AN158" s="25"/>
    </row>
    <row r="159" spans="1:40">
      <c r="A159" s="7"/>
      <c r="B159" s="27"/>
      <c r="C159" s="27"/>
      <c r="D159" s="28"/>
      <c r="E159" s="27"/>
      <c r="F159" s="26"/>
      <c r="G159" s="8">
        <f>IF(OR(D159="",F159="",F159=0),"",D159/F159)</f>
        <v>0</v>
      </c>
      <c r="H159" s="26"/>
      <c r="I159" s="26"/>
      <c r="J159" s="26"/>
      <c r="K159" s="26"/>
      <c r="L159" s="26"/>
      <c r="M159" s="26"/>
      <c r="N159" s="27"/>
      <c r="O159" s="27"/>
      <c r="P159" s="27"/>
      <c r="Q159" s="27"/>
      <c r="R159" s="7"/>
      <c r="S159" s="8">
        <f>IF(A159="","",SUMIFS(Pantry!$C$5:$C$304,Pantry!$A$5:$A$304,A159))</f>
        <v>0</v>
      </c>
      <c r="T159" s="8">
        <f>IF(A159="","",COUNTIFS('Grocery List'!$A$5:$A$304,A159,'Grocery List'!$N$5:$N$304,"Yes"))</f>
        <v>0</v>
      </c>
      <c r="U159" s="8">
        <f>IF(A159="","",SUMIFS('Grocery List'!$M$5:$M$304,'Grocery List'!$A$5:$A$304,A159))</f>
        <v>0</v>
      </c>
      <c r="V159" s="8">
        <f>IF(A159="","",COUNTIFS('Recipe Ingredients'!$B$5:$B$1204,A159))</f>
        <v>0</v>
      </c>
      <c r="W159" s="8">
        <f>IF(A159="","",SUMIFS('Recipe Ingredients'!$C$5:$C$1204,'Recipe Ingredients'!$B$5:$B$1204,A159))</f>
        <v>0</v>
      </c>
      <c r="X159" s="8">
        <f>IF(A159="","",IF(U159&lt;=0,IF(S159&gt;0,99,0),ROUND(S159/U159,1)))</f>
        <v>0</v>
      </c>
      <c r="Y159" s="8">
        <f>IF(A159="","",U159*10+IF(O159="Yes",5,0)+IF(X159&lt;1,10,0)+IF(S159&lt;=0,3,0))</f>
        <v>0</v>
      </c>
      <c r="Z159" s="8">
        <f>IF(A159="","",COUNTIFS($Y$5:$Y$304,"&gt;"&amp;Y159)+1)</f>
        <v>0</v>
      </c>
      <c r="AA159" s="8">
        <f>IF(A159="","",IF(OR(U159&gt;0,AND(O159="Yes",X159&lt;2)),"Yes","No"))</f>
        <v>0</v>
      </c>
      <c r="AB159" s="8">
        <f>IF(OR(A159="",D159=""),"",S159*D159)</f>
        <v>0</v>
      </c>
      <c r="AC159" s="8">
        <f>IF(AB159="","",COUNTIFS($AB$5:$AB$304,"&gt;"&amp;AB159)+1)</f>
        <v>0</v>
      </c>
      <c r="AD159" s="8">
        <f>IF(A159="","",SUMIFS('Food Waste'!$E$5:$E$154,'Food Waste'!$C$5:$C$154,A159))</f>
        <v>0</v>
      </c>
      <c r="AE159" s="8">
        <f>IF(OR(A159="",AD159=0),"",COUNTIFS($AD$5:$AD$304,"&gt;"&amp;AD159)+1)</f>
        <v>0</v>
      </c>
      <c r="AF159" s="8">
        <f>IF(A159="","",IF(SUMPRODUCT(MAX(('Grocery Spending'!$E$5:$E$404=A159)*'Grocery Spending'!$A$5:$A$404))=0,"",SUMPRODUCT(MAX(('Grocery Spending'!$E$5:$E$404=A159)*'Grocery Spending'!$A$5:$A$404))))</f>
        <v>0</v>
      </c>
      <c r="AG159" s="8">
        <f>IF(OR(A159="",AF159=""),"",IFERROR(AVERAGEIFS('Grocery Spending'!$I$5:$I$404,'Grocery Spending'!$E$5:$E$404,A159,'Grocery Spending'!$A$5:$A$404,AF159),""))</f>
        <v>0</v>
      </c>
      <c r="AH159" s="8">
        <f>IF(A159="","",IFERROR(AVERAGEIFS('Grocery Spending'!$I$5:$I$404,'Grocery Spending'!$E$5:$E$404,A159),""))</f>
        <v>0</v>
      </c>
      <c r="AI159" s="8">
        <f>IF(A159="","",IF(SUMPRODUCT(MIN(('Grocery Spending'!$E$5:$E$404=A159)*'Grocery Spending'!$I$5:$I$404+('Grocery Spending'!$E$5:$E$404&lt;&gt;A159)*1000000))&gt;=1000000,"",SUMPRODUCT(MIN(('Grocery Spending'!$E$5:$E$404=A159)*'Grocery Spending'!$I$5:$I$404+('Grocery Spending'!$E$5:$E$404&lt;&gt;A159)*1000000))))</f>
        <v>0</v>
      </c>
      <c r="AJ159" s="8">
        <f>IF(A159="","",SUMPRODUCT(MAX(('Grocery Spending'!$E$5:$E$404=A159)*'Grocery Spending'!$I$5:$I$404)))</f>
        <v>0</v>
      </c>
      <c r="AK159" s="8">
        <f>IF(OR(A159="",AI159="",AJ159=0),"",AJ159-AI159)</f>
        <v>0</v>
      </c>
      <c r="AL159" s="8">
        <f>IF(OR(A159="",AG159="",AH159=""),"",AG159-AH159)</f>
        <v>0</v>
      </c>
      <c r="AM159" s="8">
        <f>IF(A159="","",IF(AL159="","",IF(AL159&gt;0.01,"Up",IF(AL159&lt;-0.01,"Down","Flat"))))</f>
        <v>0</v>
      </c>
      <c r="AN159" s="25"/>
    </row>
    <row r="160" spans="1:40">
      <c r="A160" s="7"/>
      <c r="B160" s="27"/>
      <c r="C160" s="27"/>
      <c r="D160" s="28"/>
      <c r="E160" s="27"/>
      <c r="F160" s="26"/>
      <c r="G160" s="8">
        <f>IF(OR(D160="",F160="",F160=0),"",D160/F160)</f>
        <v>0</v>
      </c>
      <c r="H160" s="26"/>
      <c r="I160" s="26"/>
      <c r="J160" s="26"/>
      <c r="K160" s="26"/>
      <c r="L160" s="26"/>
      <c r="M160" s="26"/>
      <c r="N160" s="27"/>
      <c r="O160" s="27"/>
      <c r="P160" s="27"/>
      <c r="Q160" s="27"/>
      <c r="R160" s="7"/>
      <c r="S160" s="8">
        <f>IF(A160="","",SUMIFS(Pantry!$C$5:$C$304,Pantry!$A$5:$A$304,A160))</f>
        <v>0</v>
      </c>
      <c r="T160" s="8">
        <f>IF(A160="","",COUNTIFS('Grocery List'!$A$5:$A$304,A160,'Grocery List'!$N$5:$N$304,"Yes"))</f>
        <v>0</v>
      </c>
      <c r="U160" s="8">
        <f>IF(A160="","",SUMIFS('Grocery List'!$M$5:$M$304,'Grocery List'!$A$5:$A$304,A160))</f>
        <v>0</v>
      </c>
      <c r="V160" s="8">
        <f>IF(A160="","",COUNTIFS('Recipe Ingredients'!$B$5:$B$1204,A160))</f>
        <v>0</v>
      </c>
      <c r="W160" s="8">
        <f>IF(A160="","",SUMIFS('Recipe Ingredients'!$C$5:$C$1204,'Recipe Ingredients'!$B$5:$B$1204,A160))</f>
        <v>0</v>
      </c>
      <c r="X160" s="8">
        <f>IF(A160="","",IF(U160&lt;=0,IF(S160&gt;0,99,0),ROUND(S160/U160,1)))</f>
        <v>0</v>
      </c>
      <c r="Y160" s="8">
        <f>IF(A160="","",U160*10+IF(O160="Yes",5,0)+IF(X160&lt;1,10,0)+IF(S160&lt;=0,3,0))</f>
        <v>0</v>
      </c>
      <c r="Z160" s="8">
        <f>IF(A160="","",COUNTIFS($Y$5:$Y$304,"&gt;"&amp;Y160)+1)</f>
        <v>0</v>
      </c>
      <c r="AA160" s="8">
        <f>IF(A160="","",IF(OR(U160&gt;0,AND(O160="Yes",X160&lt;2)),"Yes","No"))</f>
        <v>0</v>
      </c>
      <c r="AB160" s="8">
        <f>IF(OR(A160="",D160=""),"",S160*D160)</f>
        <v>0</v>
      </c>
      <c r="AC160" s="8">
        <f>IF(AB160="","",COUNTIFS($AB$5:$AB$304,"&gt;"&amp;AB160)+1)</f>
        <v>0</v>
      </c>
      <c r="AD160" s="8">
        <f>IF(A160="","",SUMIFS('Food Waste'!$E$5:$E$154,'Food Waste'!$C$5:$C$154,A160))</f>
        <v>0</v>
      </c>
      <c r="AE160" s="8">
        <f>IF(OR(A160="",AD160=0),"",COUNTIFS($AD$5:$AD$304,"&gt;"&amp;AD160)+1)</f>
        <v>0</v>
      </c>
      <c r="AF160" s="8">
        <f>IF(A160="","",IF(SUMPRODUCT(MAX(('Grocery Spending'!$E$5:$E$404=A160)*'Grocery Spending'!$A$5:$A$404))=0,"",SUMPRODUCT(MAX(('Grocery Spending'!$E$5:$E$404=A160)*'Grocery Spending'!$A$5:$A$404))))</f>
        <v>0</v>
      </c>
      <c r="AG160" s="8">
        <f>IF(OR(A160="",AF160=""),"",IFERROR(AVERAGEIFS('Grocery Spending'!$I$5:$I$404,'Grocery Spending'!$E$5:$E$404,A160,'Grocery Spending'!$A$5:$A$404,AF160),""))</f>
        <v>0</v>
      </c>
      <c r="AH160" s="8">
        <f>IF(A160="","",IFERROR(AVERAGEIFS('Grocery Spending'!$I$5:$I$404,'Grocery Spending'!$E$5:$E$404,A160),""))</f>
        <v>0</v>
      </c>
      <c r="AI160" s="8">
        <f>IF(A160="","",IF(SUMPRODUCT(MIN(('Grocery Spending'!$E$5:$E$404=A160)*'Grocery Spending'!$I$5:$I$404+('Grocery Spending'!$E$5:$E$404&lt;&gt;A160)*1000000))&gt;=1000000,"",SUMPRODUCT(MIN(('Grocery Spending'!$E$5:$E$404=A160)*'Grocery Spending'!$I$5:$I$404+('Grocery Spending'!$E$5:$E$404&lt;&gt;A160)*1000000))))</f>
        <v>0</v>
      </c>
      <c r="AJ160" s="8">
        <f>IF(A160="","",SUMPRODUCT(MAX(('Grocery Spending'!$E$5:$E$404=A160)*'Grocery Spending'!$I$5:$I$404)))</f>
        <v>0</v>
      </c>
      <c r="AK160" s="8">
        <f>IF(OR(A160="",AI160="",AJ160=0),"",AJ160-AI160)</f>
        <v>0</v>
      </c>
      <c r="AL160" s="8">
        <f>IF(OR(A160="",AG160="",AH160=""),"",AG160-AH160)</f>
        <v>0</v>
      </c>
      <c r="AM160" s="8">
        <f>IF(A160="","",IF(AL160="","",IF(AL160&gt;0.01,"Up",IF(AL160&lt;-0.01,"Down","Flat"))))</f>
        <v>0</v>
      </c>
      <c r="AN160" s="25"/>
    </row>
    <row r="161" spans="1:40">
      <c r="A161" s="7"/>
      <c r="B161" s="27"/>
      <c r="C161" s="27"/>
      <c r="D161" s="28"/>
      <c r="E161" s="27"/>
      <c r="F161" s="26"/>
      <c r="G161" s="8">
        <f>IF(OR(D161="",F161="",F161=0),"",D161/F161)</f>
        <v>0</v>
      </c>
      <c r="H161" s="26"/>
      <c r="I161" s="26"/>
      <c r="J161" s="26"/>
      <c r="K161" s="26"/>
      <c r="L161" s="26"/>
      <c r="M161" s="26"/>
      <c r="N161" s="27"/>
      <c r="O161" s="27"/>
      <c r="P161" s="27"/>
      <c r="Q161" s="27"/>
      <c r="R161" s="7"/>
      <c r="S161" s="8">
        <f>IF(A161="","",SUMIFS(Pantry!$C$5:$C$304,Pantry!$A$5:$A$304,A161))</f>
        <v>0</v>
      </c>
      <c r="T161" s="8">
        <f>IF(A161="","",COUNTIFS('Grocery List'!$A$5:$A$304,A161,'Grocery List'!$N$5:$N$304,"Yes"))</f>
        <v>0</v>
      </c>
      <c r="U161" s="8">
        <f>IF(A161="","",SUMIFS('Grocery List'!$M$5:$M$304,'Grocery List'!$A$5:$A$304,A161))</f>
        <v>0</v>
      </c>
      <c r="V161" s="8">
        <f>IF(A161="","",COUNTIFS('Recipe Ingredients'!$B$5:$B$1204,A161))</f>
        <v>0</v>
      </c>
      <c r="W161" s="8">
        <f>IF(A161="","",SUMIFS('Recipe Ingredients'!$C$5:$C$1204,'Recipe Ingredients'!$B$5:$B$1204,A161))</f>
        <v>0</v>
      </c>
      <c r="X161" s="8">
        <f>IF(A161="","",IF(U161&lt;=0,IF(S161&gt;0,99,0),ROUND(S161/U161,1)))</f>
        <v>0</v>
      </c>
      <c r="Y161" s="8">
        <f>IF(A161="","",U161*10+IF(O161="Yes",5,0)+IF(X161&lt;1,10,0)+IF(S161&lt;=0,3,0))</f>
        <v>0</v>
      </c>
      <c r="Z161" s="8">
        <f>IF(A161="","",COUNTIFS($Y$5:$Y$304,"&gt;"&amp;Y161)+1)</f>
        <v>0</v>
      </c>
      <c r="AA161" s="8">
        <f>IF(A161="","",IF(OR(U161&gt;0,AND(O161="Yes",X161&lt;2)),"Yes","No"))</f>
        <v>0</v>
      </c>
      <c r="AB161" s="8">
        <f>IF(OR(A161="",D161=""),"",S161*D161)</f>
        <v>0</v>
      </c>
      <c r="AC161" s="8">
        <f>IF(AB161="","",COUNTIFS($AB$5:$AB$304,"&gt;"&amp;AB161)+1)</f>
        <v>0</v>
      </c>
      <c r="AD161" s="8">
        <f>IF(A161="","",SUMIFS('Food Waste'!$E$5:$E$154,'Food Waste'!$C$5:$C$154,A161))</f>
        <v>0</v>
      </c>
      <c r="AE161" s="8">
        <f>IF(OR(A161="",AD161=0),"",COUNTIFS($AD$5:$AD$304,"&gt;"&amp;AD161)+1)</f>
        <v>0</v>
      </c>
      <c r="AF161" s="8">
        <f>IF(A161="","",IF(SUMPRODUCT(MAX(('Grocery Spending'!$E$5:$E$404=A161)*'Grocery Spending'!$A$5:$A$404))=0,"",SUMPRODUCT(MAX(('Grocery Spending'!$E$5:$E$404=A161)*'Grocery Spending'!$A$5:$A$404))))</f>
        <v>0</v>
      </c>
      <c r="AG161" s="8">
        <f>IF(OR(A161="",AF161=""),"",IFERROR(AVERAGEIFS('Grocery Spending'!$I$5:$I$404,'Grocery Spending'!$E$5:$E$404,A161,'Grocery Spending'!$A$5:$A$404,AF161),""))</f>
        <v>0</v>
      </c>
      <c r="AH161" s="8">
        <f>IF(A161="","",IFERROR(AVERAGEIFS('Grocery Spending'!$I$5:$I$404,'Grocery Spending'!$E$5:$E$404,A161),""))</f>
        <v>0</v>
      </c>
      <c r="AI161" s="8">
        <f>IF(A161="","",IF(SUMPRODUCT(MIN(('Grocery Spending'!$E$5:$E$404=A161)*'Grocery Spending'!$I$5:$I$404+('Grocery Spending'!$E$5:$E$404&lt;&gt;A161)*1000000))&gt;=1000000,"",SUMPRODUCT(MIN(('Grocery Spending'!$E$5:$E$404=A161)*'Grocery Spending'!$I$5:$I$404+('Grocery Spending'!$E$5:$E$404&lt;&gt;A161)*1000000))))</f>
        <v>0</v>
      </c>
      <c r="AJ161" s="8">
        <f>IF(A161="","",SUMPRODUCT(MAX(('Grocery Spending'!$E$5:$E$404=A161)*'Grocery Spending'!$I$5:$I$404)))</f>
        <v>0</v>
      </c>
      <c r="AK161" s="8">
        <f>IF(OR(A161="",AI161="",AJ161=0),"",AJ161-AI161)</f>
        <v>0</v>
      </c>
      <c r="AL161" s="8">
        <f>IF(OR(A161="",AG161="",AH161=""),"",AG161-AH161)</f>
        <v>0</v>
      </c>
      <c r="AM161" s="8">
        <f>IF(A161="","",IF(AL161="","",IF(AL161&gt;0.01,"Up",IF(AL161&lt;-0.01,"Down","Flat"))))</f>
        <v>0</v>
      </c>
      <c r="AN161" s="25"/>
    </row>
    <row r="162" spans="1:40">
      <c r="A162" s="7"/>
      <c r="B162" s="27"/>
      <c r="C162" s="27"/>
      <c r="D162" s="28"/>
      <c r="E162" s="27"/>
      <c r="F162" s="26"/>
      <c r="G162" s="8">
        <f>IF(OR(D162="",F162="",F162=0),"",D162/F162)</f>
        <v>0</v>
      </c>
      <c r="H162" s="26"/>
      <c r="I162" s="26"/>
      <c r="J162" s="26"/>
      <c r="K162" s="26"/>
      <c r="L162" s="26"/>
      <c r="M162" s="26"/>
      <c r="N162" s="27"/>
      <c r="O162" s="27"/>
      <c r="P162" s="27"/>
      <c r="Q162" s="27"/>
      <c r="R162" s="7"/>
      <c r="S162" s="8">
        <f>IF(A162="","",SUMIFS(Pantry!$C$5:$C$304,Pantry!$A$5:$A$304,A162))</f>
        <v>0</v>
      </c>
      <c r="T162" s="8">
        <f>IF(A162="","",COUNTIFS('Grocery List'!$A$5:$A$304,A162,'Grocery List'!$N$5:$N$304,"Yes"))</f>
        <v>0</v>
      </c>
      <c r="U162" s="8">
        <f>IF(A162="","",SUMIFS('Grocery List'!$M$5:$M$304,'Grocery List'!$A$5:$A$304,A162))</f>
        <v>0</v>
      </c>
      <c r="V162" s="8">
        <f>IF(A162="","",COUNTIFS('Recipe Ingredients'!$B$5:$B$1204,A162))</f>
        <v>0</v>
      </c>
      <c r="W162" s="8">
        <f>IF(A162="","",SUMIFS('Recipe Ingredients'!$C$5:$C$1204,'Recipe Ingredients'!$B$5:$B$1204,A162))</f>
        <v>0</v>
      </c>
      <c r="X162" s="8">
        <f>IF(A162="","",IF(U162&lt;=0,IF(S162&gt;0,99,0),ROUND(S162/U162,1)))</f>
        <v>0</v>
      </c>
      <c r="Y162" s="8">
        <f>IF(A162="","",U162*10+IF(O162="Yes",5,0)+IF(X162&lt;1,10,0)+IF(S162&lt;=0,3,0))</f>
        <v>0</v>
      </c>
      <c r="Z162" s="8">
        <f>IF(A162="","",COUNTIFS($Y$5:$Y$304,"&gt;"&amp;Y162)+1)</f>
        <v>0</v>
      </c>
      <c r="AA162" s="8">
        <f>IF(A162="","",IF(OR(U162&gt;0,AND(O162="Yes",X162&lt;2)),"Yes","No"))</f>
        <v>0</v>
      </c>
      <c r="AB162" s="8">
        <f>IF(OR(A162="",D162=""),"",S162*D162)</f>
        <v>0</v>
      </c>
      <c r="AC162" s="8">
        <f>IF(AB162="","",COUNTIFS($AB$5:$AB$304,"&gt;"&amp;AB162)+1)</f>
        <v>0</v>
      </c>
      <c r="AD162" s="8">
        <f>IF(A162="","",SUMIFS('Food Waste'!$E$5:$E$154,'Food Waste'!$C$5:$C$154,A162))</f>
        <v>0</v>
      </c>
      <c r="AE162" s="8">
        <f>IF(OR(A162="",AD162=0),"",COUNTIFS($AD$5:$AD$304,"&gt;"&amp;AD162)+1)</f>
        <v>0</v>
      </c>
      <c r="AF162" s="8">
        <f>IF(A162="","",IF(SUMPRODUCT(MAX(('Grocery Spending'!$E$5:$E$404=A162)*'Grocery Spending'!$A$5:$A$404))=0,"",SUMPRODUCT(MAX(('Grocery Spending'!$E$5:$E$404=A162)*'Grocery Spending'!$A$5:$A$404))))</f>
        <v>0</v>
      </c>
      <c r="AG162" s="8">
        <f>IF(OR(A162="",AF162=""),"",IFERROR(AVERAGEIFS('Grocery Spending'!$I$5:$I$404,'Grocery Spending'!$E$5:$E$404,A162,'Grocery Spending'!$A$5:$A$404,AF162),""))</f>
        <v>0</v>
      </c>
      <c r="AH162" s="8">
        <f>IF(A162="","",IFERROR(AVERAGEIFS('Grocery Spending'!$I$5:$I$404,'Grocery Spending'!$E$5:$E$404,A162),""))</f>
        <v>0</v>
      </c>
      <c r="AI162" s="8">
        <f>IF(A162="","",IF(SUMPRODUCT(MIN(('Grocery Spending'!$E$5:$E$404=A162)*'Grocery Spending'!$I$5:$I$404+('Grocery Spending'!$E$5:$E$404&lt;&gt;A162)*1000000))&gt;=1000000,"",SUMPRODUCT(MIN(('Grocery Spending'!$E$5:$E$404=A162)*'Grocery Spending'!$I$5:$I$404+('Grocery Spending'!$E$5:$E$404&lt;&gt;A162)*1000000))))</f>
        <v>0</v>
      </c>
      <c r="AJ162" s="8">
        <f>IF(A162="","",SUMPRODUCT(MAX(('Grocery Spending'!$E$5:$E$404=A162)*'Grocery Spending'!$I$5:$I$404)))</f>
        <v>0</v>
      </c>
      <c r="AK162" s="8">
        <f>IF(OR(A162="",AI162="",AJ162=0),"",AJ162-AI162)</f>
        <v>0</v>
      </c>
      <c r="AL162" s="8">
        <f>IF(OR(A162="",AG162="",AH162=""),"",AG162-AH162)</f>
        <v>0</v>
      </c>
      <c r="AM162" s="8">
        <f>IF(A162="","",IF(AL162="","",IF(AL162&gt;0.01,"Up",IF(AL162&lt;-0.01,"Down","Flat"))))</f>
        <v>0</v>
      </c>
      <c r="AN162" s="25"/>
    </row>
    <row r="163" spans="1:40">
      <c r="A163" s="7"/>
      <c r="B163" s="27"/>
      <c r="C163" s="27"/>
      <c r="D163" s="28"/>
      <c r="E163" s="27"/>
      <c r="F163" s="26"/>
      <c r="G163" s="8">
        <f>IF(OR(D163="",F163="",F163=0),"",D163/F163)</f>
        <v>0</v>
      </c>
      <c r="H163" s="26"/>
      <c r="I163" s="26"/>
      <c r="J163" s="26"/>
      <c r="K163" s="26"/>
      <c r="L163" s="26"/>
      <c r="M163" s="26"/>
      <c r="N163" s="27"/>
      <c r="O163" s="27"/>
      <c r="P163" s="27"/>
      <c r="Q163" s="27"/>
      <c r="R163" s="7"/>
      <c r="S163" s="8">
        <f>IF(A163="","",SUMIFS(Pantry!$C$5:$C$304,Pantry!$A$5:$A$304,A163))</f>
        <v>0</v>
      </c>
      <c r="T163" s="8">
        <f>IF(A163="","",COUNTIFS('Grocery List'!$A$5:$A$304,A163,'Grocery List'!$N$5:$N$304,"Yes"))</f>
        <v>0</v>
      </c>
      <c r="U163" s="8">
        <f>IF(A163="","",SUMIFS('Grocery List'!$M$5:$M$304,'Grocery List'!$A$5:$A$304,A163))</f>
        <v>0</v>
      </c>
      <c r="V163" s="8">
        <f>IF(A163="","",COUNTIFS('Recipe Ingredients'!$B$5:$B$1204,A163))</f>
        <v>0</v>
      </c>
      <c r="W163" s="8">
        <f>IF(A163="","",SUMIFS('Recipe Ingredients'!$C$5:$C$1204,'Recipe Ingredients'!$B$5:$B$1204,A163))</f>
        <v>0</v>
      </c>
      <c r="X163" s="8">
        <f>IF(A163="","",IF(U163&lt;=0,IF(S163&gt;0,99,0),ROUND(S163/U163,1)))</f>
        <v>0</v>
      </c>
      <c r="Y163" s="8">
        <f>IF(A163="","",U163*10+IF(O163="Yes",5,0)+IF(X163&lt;1,10,0)+IF(S163&lt;=0,3,0))</f>
        <v>0</v>
      </c>
      <c r="Z163" s="8">
        <f>IF(A163="","",COUNTIFS($Y$5:$Y$304,"&gt;"&amp;Y163)+1)</f>
        <v>0</v>
      </c>
      <c r="AA163" s="8">
        <f>IF(A163="","",IF(OR(U163&gt;0,AND(O163="Yes",X163&lt;2)),"Yes","No"))</f>
        <v>0</v>
      </c>
      <c r="AB163" s="8">
        <f>IF(OR(A163="",D163=""),"",S163*D163)</f>
        <v>0</v>
      </c>
      <c r="AC163" s="8">
        <f>IF(AB163="","",COUNTIFS($AB$5:$AB$304,"&gt;"&amp;AB163)+1)</f>
        <v>0</v>
      </c>
      <c r="AD163" s="8">
        <f>IF(A163="","",SUMIFS('Food Waste'!$E$5:$E$154,'Food Waste'!$C$5:$C$154,A163))</f>
        <v>0</v>
      </c>
      <c r="AE163" s="8">
        <f>IF(OR(A163="",AD163=0),"",COUNTIFS($AD$5:$AD$304,"&gt;"&amp;AD163)+1)</f>
        <v>0</v>
      </c>
      <c r="AF163" s="8">
        <f>IF(A163="","",IF(SUMPRODUCT(MAX(('Grocery Spending'!$E$5:$E$404=A163)*'Grocery Spending'!$A$5:$A$404))=0,"",SUMPRODUCT(MAX(('Grocery Spending'!$E$5:$E$404=A163)*'Grocery Spending'!$A$5:$A$404))))</f>
        <v>0</v>
      </c>
      <c r="AG163" s="8">
        <f>IF(OR(A163="",AF163=""),"",IFERROR(AVERAGEIFS('Grocery Spending'!$I$5:$I$404,'Grocery Spending'!$E$5:$E$404,A163,'Grocery Spending'!$A$5:$A$404,AF163),""))</f>
        <v>0</v>
      </c>
      <c r="AH163" s="8">
        <f>IF(A163="","",IFERROR(AVERAGEIFS('Grocery Spending'!$I$5:$I$404,'Grocery Spending'!$E$5:$E$404,A163),""))</f>
        <v>0</v>
      </c>
      <c r="AI163" s="8">
        <f>IF(A163="","",IF(SUMPRODUCT(MIN(('Grocery Spending'!$E$5:$E$404=A163)*'Grocery Spending'!$I$5:$I$404+('Grocery Spending'!$E$5:$E$404&lt;&gt;A163)*1000000))&gt;=1000000,"",SUMPRODUCT(MIN(('Grocery Spending'!$E$5:$E$404=A163)*'Grocery Spending'!$I$5:$I$404+('Grocery Spending'!$E$5:$E$404&lt;&gt;A163)*1000000))))</f>
        <v>0</v>
      </c>
      <c r="AJ163" s="8">
        <f>IF(A163="","",SUMPRODUCT(MAX(('Grocery Spending'!$E$5:$E$404=A163)*'Grocery Spending'!$I$5:$I$404)))</f>
        <v>0</v>
      </c>
      <c r="AK163" s="8">
        <f>IF(OR(A163="",AI163="",AJ163=0),"",AJ163-AI163)</f>
        <v>0</v>
      </c>
      <c r="AL163" s="8">
        <f>IF(OR(A163="",AG163="",AH163=""),"",AG163-AH163)</f>
        <v>0</v>
      </c>
      <c r="AM163" s="8">
        <f>IF(A163="","",IF(AL163="","",IF(AL163&gt;0.01,"Up",IF(AL163&lt;-0.01,"Down","Flat"))))</f>
        <v>0</v>
      </c>
      <c r="AN163" s="25"/>
    </row>
    <row r="164" spans="1:40">
      <c r="A164" s="7"/>
      <c r="B164" s="27"/>
      <c r="C164" s="27"/>
      <c r="D164" s="28"/>
      <c r="E164" s="27"/>
      <c r="F164" s="26"/>
      <c r="G164" s="8">
        <f>IF(OR(D164="",F164="",F164=0),"",D164/F164)</f>
        <v>0</v>
      </c>
      <c r="H164" s="26"/>
      <c r="I164" s="26"/>
      <c r="J164" s="26"/>
      <c r="K164" s="26"/>
      <c r="L164" s="26"/>
      <c r="M164" s="26"/>
      <c r="N164" s="27"/>
      <c r="O164" s="27"/>
      <c r="P164" s="27"/>
      <c r="Q164" s="27"/>
      <c r="R164" s="7"/>
      <c r="S164" s="8">
        <f>IF(A164="","",SUMIFS(Pantry!$C$5:$C$304,Pantry!$A$5:$A$304,A164))</f>
        <v>0</v>
      </c>
      <c r="T164" s="8">
        <f>IF(A164="","",COUNTIFS('Grocery List'!$A$5:$A$304,A164,'Grocery List'!$N$5:$N$304,"Yes"))</f>
        <v>0</v>
      </c>
      <c r="U164" s="8">
        <f>IF(A164="","",SUMIFS('Grocery List'!$M$5:$M$304,'Grocery List'!$A$5:$A$304,A164))</f>
        <v>0</v>
      </c>
      <c r="V164" s="8">
        <f>IF(A164="","",COUNTIFS('Recipe Ingredients'!$B$5:$B$1204,A164))</f>
        <v>0</v>
      </c>
      <c r="W164" s="8">
        <f>IF(A164="","",SUMIFS('Recipe Ingredients'!$C$5:$C$1204,'Recipe Ingredients'!$B$5:$B$1204,A164))</f>
        <v>0</v>
      </c>
      <c r="X164" s="8">
        <f>IF(A164="","",IF(U164&lt;=0,IF(S164&gt;0,99,0),ROUND(S164/U164,1)))</f>
        <v>0</v>
      </c>
      <c r="Y164" s="8">
        <f>IF(A164="","",U164*10+IF(O164="Yes",5,0)+IF(X164&lt;1,10,0)+IF(S164&lt;=0,3,0))</f>
        <v>0</v>
      </c>
      <c r="Z164" s="8">
        <f>IF(A164="","",COUNTIFS($Y$5:$Y$304,"&gt;"&amp;Y164)+1)</f>
        <v>0</v>
      </c>
      <c r="AA164" s="8">
        <f>IF(A164="","",IF(OR(U164&gt;0,AND(O164="Yes",X164&lt;2)),"Yes","No"))</f>
        <v>0</v>
      </c>
      <c r="AB164" s="8">
        <f>IF(OR(A164="",D164=""),"",S164*D164)</f>
        <v>0</v>
      </c>
      <c r="AC164" s="8">
        <f>IF(AB164="","",COUNTIFS($AB$5:$AB$304,"&gt;"&amp;AB164)+1)</f>
        <v>0</v>
      </c>
      <c r="AD164" s="8">
        <f>IF(A164="","",SUMIFS('Food Waste'!$E$5:$E$154,'Food Waste'!$C$5:$C$154,A164))</f>
        <v>0</v>
      </c>
      <c r="AE164" s="8">
        <f>IF(OR(A164="",AD164=0),"",COUNTIFS($AD$5:$AD$304,"&gt;"&amp;AD164)+1)</f>
        <v>0</v>
      </c>
      <c r="AF164" s="8">
        <f>IF(A164="","",IF(SUMPRODUCT(MAX(('Grocery Spending'!$E$5:$E$404=A164)*'Grocery Spending'!$A$5:$A$404))=0,"",SUMPRODUCT(MAX(('Grocery Spending'!$E$5:$E$404=A164)*'Grocery Spending'!$A$5:$A$404))))</f>
        <v>0</v>
      </c>
      <c r="AG164" s="8">
        <f>IF(OR(A164="",AF164=""),"",IFERROR(AVERAGEIFS('Grocery Spending'!$I$5:$I$404,'Grocery Spending'!$E$5:$E$404,A164,'Grocery Spending'!$A$5:$A$404,AF164),""))</f>
        <v>0</v>
      </c>
      <c r="AH164" s="8">
        <f>IF(A164="","",IFERROR(AVERAGEIFS('Grocery Spending'!$I$5:$I$404,'Grocery Spending'!$E$5:$E$404,A164),""))</f>
        <v>0</v>
      </c>
      <c r="AI164" s="8">
        <f>IF(A164="","",IF(SUMPRODUCT(MIN(('Grocery Spending'!$E$5:$E$404=A164)*'Grocery Spending'!$I$5:$I$404+('Grocery Spending'!$E$5:$E$404&lt;&gt;A164)*1000000))&gt;=1000000,"",SUMPRODUCT(MIN(('Grocery Spending'!$E$5:$E$404=A164)*'Grocery Spending'!$I$5:$I$404+('Grocery Spending'!$E$5:$E$404&lt;&gt;A164)*1000000))))</f>
        <v>0</v>
      </c>
      <c r="AJ164" s="8">
        <f>IF(A164="","",SUMPRODUCT(MAX(('Grocery Spending'!$E$5:$E$404=A164)*'Grocery Spending'!$I$5:$I$404)))</f>
        <v>0</v>
      </c>
      <c r="AK164" s="8">
        <f>IF(OR(A164="",AI164="",AJ164=0),"",AJ164-AI164)</f>
        <v>0</v>
      </c>
      <c r="AL164" s="8">
        <f>IF(OR(A164="",AG164="",AH164=""),"",AG164-AH164)</f>
        <v>0</v>
      </c>
      <c r="AM164" s="8">
        <f>IF(A164="","",IF(AL164="","",IF(AL164&gt;0.01,"Up",IF(AL164&lt;-0.01,"Down","Flat"))))</f>
        <v>0</v>
      </c>
      <c r="AN164" s="25"/>
    </row>
    <row r="165" spans="1:40">
      <c r="A165" s="7"/>
      <c r="B165" s="27"/>
      <c r="C165" s="27"/>
      <c r="D165" s="28"/>
      <c r="E165" s="27"/>
      <c r="F165" s="26"/>
      <c r="G165" s="8">
        <f>IF(OR(D165="",F165="",F165=0),"",D165/F165)</f>
        <v>0</v>
      </c>
      <c r="H165" s="26"/>
      <c r="I165" s="26"/>
      <c r="J165" s="26"/>
      <c r="K165" s="26"/>
      <c r="L165" s="26"/>
      <c r="M165" s="26"/>
      <c r="N165" s="27"/>
      <c r="O165" s="27"/>
      <c r="P165" s="27"/>
      <c r="Q165" s="27"/>
      <c r="R165" s="7"/>
      <c r="S165" s="8">
        <f>IF(A165="","",SUMIFS(Pantry!$C$5:$C$304,Pantry!$A$5:$A$304,A165))</f>
        <v>0</v>
      </c>
      <c r="T165" s="8">
        <f>IF(A165="","",COUNTIFS('Grocery List'!$A$5:$A$304,A165,'Grocery List'!$N$5:$N$304,"Yes"))</f>
        <v>0</v>
      </c>
      <c r="U165" s="8">
        <f>IF(A165="","",SUMIFS('Grocery List'!$M$5:$M$304,'Grocery List'!$A$5:$A$304,A165))</f>
        <v>0</v>
      </c>
      <c r="V165" s="8">
        <f>IF(A165="","",COUNTIFS('Recipe Ingredients'!$B$5:$B$1204,A165))</f>
        <v>0</v>
      </c>
      <c r="W165" s="8">
        <f>IF(A165="","",SUMIFS('Recipe Ingredients'!$C$5:$C$1204,'Recipe Ingredients'!$B$5:$B$1204,A165))</f>
        <v>0</v>
      </c>
      <c r="X165" s="8">
        <f>IF(A165="","",IF(U165&lt;=0,IF(S165&gt;0,99,0),ROUND(S165/U165,1)))</f>
        <v>0</v>
      </c>
      <c r="Y165" s="8">
        <f>IF(A165="","",U165*10+IF(O165="Yes",5,0)+IF(X165&lt;1,10,0)+IF(S165&lt;=0,3,0))</f>
        <v>0</v>
      </c>
      <c r="Z165" s="8">
        <f>IF(A165="","",COUNTIFS($Y$5:$Y$304,"&gt;"&amp;Y165)+1)</f>
        <v>0</v>
      </c>
      <c r="AA165" s="8">
        <f>IF(A165="","",IF(OR(U165&gt;0,AND(O165="Yes",X165&lt;2)),"Yes","No"))</f>
        <v>0</v>
      </c>
      <c r="AB165" s="8">
        <f>IF(OR(A165="",D165=""),"",S165*D165)</f>
        <v>0</v>
      </c>
      <c r="AC165" s="8">
        <f>IF(AB165="","",COUNTIFS($AB$5:$AB$304,"&gt;"&amp;AB165)+1)</f>
        <v>0</v>
      </c>
      <c r="AD165" s="8">
        <f>IF(A165="","",SUMIFS('Food Waste'!$E$5:$E$154,'Food Waste'!$C$5:$C$154,A165))</f>
        <v>0</v>
      </c>
      <c r="AE165" s="8">
        <f>IF(OR(A165="",AD165=0),"",COUNTIFS($AD$5:$AD$304,"&gt;"&amp;AD165)+1)</f>
        <v>0</v>
      </c>
      <c r="AF165" s="8">
        <f>IF(A165="","",IF(SUMPRODUCT(MAX(('Grocery Spending'!$E$5:$E$404=A165)*'Grocery Spending'!$A$5:$A$404))=0,"",SUMPRODUCT(MAX(('Grocery Spending'!$E$5:$E$404=A165)*'Grocery Spending'!$A$5:$A$404))))</f>
        <v>0</v>
      </c>
      <c r="AG165" s="8">
        <f>IF(OR(A165="",AF165=""),"",IFERROR(AVERAGEIFS('Grocery Spending'!$I$5:$I$404,'Grocery Spending'!$E$5:$E$404,A165,'Grocery Spending'!$A$5:$A$404,AF165),""))</f>
        <v>0</v>
      </c>
      <c r="AH165" s="8">
        <f>IF(A165="","",IFERROR(AVERAGEIFS('Grocery Spending'!$I$5:$I$404,'Grocery Spending'!$E$5:$E$404,A165),""))</f>
        <v>0</v>
      </c>
      <c r="AI165" s="8">
        <f>IF(A165="","",IF(SUMPRODUCT(MIN(('Grocery Spending'!$E$5:$E$404=A165)*'Grocery Spending'!$I$5:$I$404+('Grocery Spending'!$E$5:$E$404&lt;&gt;A165)*1000000))&gt;=1000000,"",SUMPRODUCT(MIN(('Grocery Spending'!$E$5:$E$404=A165)*'Grocery Spending'!$I$5:$I$404+('Grocery Spending'!$E$5:$E$404&lt;&gt;A165)*1000000))))</f>
        <v>0</v>
      </c>
      <c r="AJ165" s="8">
        <f>IF(A165="","",SUMPRODUCT(MAX(('Grocery Spending'!$E$5:$E$404=A165)*'Grocery Spending'!$I$5:$I$404)))</f>
        <v>0</v>
      </c>
      <c r="AK165" s="8">
        <f>IF(OR(A165="",AI165="",AJ165=0),"",AJ165-AI165)</f>
        <v>0</v>
      </c>
      <c r="AL165" s="8">
        <f>IF(OR(A165="",AG165="",AH165=""),"",AG165-AH165)</f>
        <v>0</v>
      </c>
      <c r="AM165" s="8">
        <f>IF(A165="","",IF(AL165="","",IF(AL165&gt;0.01,"Up",IF(AL165&lt;-0.01,"Down","Flat"))))</f>
        <v>0</v>
      </c>
      <c r="AN165" s="25"/>
    </row>
    <row r="166" spans="1:40">
      <c r="A166" s="7"/>
      <c r="B166" s="27"/>
      <c r="C166" s="27"/>
      <c r="D166" s="28"/>
      <c r="E166" s="27"/>
      <c r="F166" s="26"/>
      <c r="G166" s="8">
        <f>IF(OR(D166="",F166="",F166=0),"",D166/F166)</f>
        <v>0</v>
      </c>
      <c r="H166" s="26"/>
      <c r="I166" s="26"/>
      <c r="J166" s="26"/>
      <c r="K166" s="26"/>
      <c r="L166" s="26"/>
      <c r="M166" s="26"/>
      <c r="N166" s="27"/>
      <c r="O166" s="27"/>
      <c r="P166" s="27"/>
      <c r="Q166" s="27"/>
      <c r="R166" s="7"/>
      <c r="S166" s="8">
        <f>IF(A166="","",SUMIFS(Pantry!$C$5:$C$304,Pantry!$A$5:$A$304,A166))</f>
        <v>0</v>
      </c>
      <c r="T166" s="8">
        <f>IF(A166="","",COUNTIFS('Grocery List'!$A$5:$A$304,A166,'Grocery List'!$N$5:$N$304,"Yes"))</f>
        <v>0</v>
      </c>
      <c r="U166" s="8">
        <f>IF(A166="","",SUMIFS('Grocery List'!$M$5:$M$304,'Grocery List'!$A$5:$A$304,A166))</f>
        <v>0</v>
      </c>
      <c r="V166" s="8">
        <f>IF(A166="","",COUNTIFS('Recipe Ingredients'!$B$5:$B$1204,A166))</f>
        <v>0</v>
      </c>
      <c r="W166" s="8">
        <f>IF(A166="","",SUMIFS('Recipe Ingredients'!$C$5:$C$1204,'Recipe Ingredients'!$B$5:$B$1204,A166))</f>
        <v>0</v>
      </c>
      <c r="X166" s="8">
        <f>IF(A166="","",IF(U166&lt;=0,IF(S166&gt;0,99,0),ROUND(S166/U166,1)))</f>
        <v>0</v>
      </c>
      <c r="Y166" s="8">
        <f>IF(A166="","",U166*10+IF(O166="Yes",5,0)+IF(X166&lt;1,10,0)+IF(S166&lt;=0,3,0))</f>
        <v>0</v>
      </c>
      <c r="Z166" s="8">
        <f>IF(A166="","",COUNTIFS($Y$5:$Y$304,"&gt;"&amp;Y166)+1)</f>
        <v>0</v>
      </c>
      <c r="AA166" s="8">
        <f>IF(A166="","",IF(OR(U166&gt;0,AND(O166="Yes",X166&lt;2)),"Yes","No"))</f>
        <v>0</v>
      </c>
      <c r="AB166" s="8">
        <f>IF(OR(A166="",D166=""),"",S166*D166)</f>
        <v>0</v>
      </c>
      <c r="AC166" s="8">
        <f>IF(AB166="","",COUNTIFS($AB$5:$AB$304,"&gt;"&amp;AB166)+1)</f>
        <v>0</v>
      </c>
      <c r="AD166" s="8">
        <f>IF(A166="","",SUMIFS('Food Waste'!$E$5:$E$154,'Food Waste'!$C$5:$C$154,A166))</f>
        <v>0</v>
      </c>
      <c r="AE166" s="8">
        <f>IF(OR(A166="",AD166=0),"",COUNTIFS($AD$5:$AD$304,"&gt;"&amp;AD166)+1)</f>
        <v>0</v>
      </c>
      <c r="AF166" s="8">
        <f>IF(A166="","",IF(SUMPRODUCT(MAX(('Grocery Spending'!$E$5:$E$404=A166)*'Grocery Spending'!$A$5:$A$404))=0,"",SUMPRODUCT(MAX(('Grocery Spending'!$E$5:$E$404=A166)*'Grocery Spending'!$A$5:$A$404))))</f>
        <v>0</v>
      </c>
      <c r="AG166" s="8">
        <f>IF(OR(A166="",AF166=""),"",IFERROR(AVERAGEIFS('Grocery Spending'!$I$5:$I$404,'Grocery Spending'!$E$5:$E$404,A166,'Grocery Spending'!$A$5:$A$404,AF166),""))</f>
        <v>0</v>
      </c>
      <c r="AH166" s="8">
        <f>IF(A166="","",IFERROR(AVERAGEIFS('Grocery Spending'!$I$5:$I$404,'Grocery Spending'!$E$5:$E$404,A166),""))</f>
        <v>0</v>
      </c>
      <c r="AI166" s="8">
        <f>IF(A166="","",IF(SUMPRODUCT(MIN(('Grocery Spending'!$E$5:$E$404=A166)*'Grocery Spending'!$I$5:$I$404+('Grocery Spending'!$E$5:$E$404&lt;&gt;A166)*1000000))&gt;=1000000,"",SUMPRODUCT(MIN(('Grocery Spending'!$E$5:$E$404=A166)*'Grocery Spending'!$I$5:$I$404+('Grocery Spending'!$E$5:$E$404&lt;&gt;A166)*1000000))))</f>
        <v>0</v>
      </c>
      <c r="AJ166" s="8">
        <f>IF(A166="","",SUMPRODUCT(MAX(('Grocery Spending'!$E$5:$E$404=A166)*'Grocery Spending'!$I$5:$I$404)))</f>
        <v>0</v>
      </c>
      <c r="AK166" s="8">
        <f>IF(OR(A166="",AI166="",AJ166=0),"",AJ166-AI166)</f>
        <v>0</v>
      </c>
      <c r="AL166" s="8">
        <f>IF(OR(A166="",AG166="",AH166=""),"",AG166-AH166)</f>
        <v>0</v>
      </c>
      <c r="AM166" s="8">
        <f>IF(A166="","",IF(AL166="","",IF(AL166&gt;0.01,"Up",IF(AL166&lt;-0.01,"Down","Flat"))))</f>
        <v>0</v>
      </c>
      <c r="AN166" s="25"/>
    </row>
    <row r="167" spans="1:40">
      <c r="A167" s="7"/>
      <c r="B167" s="27"/>
      <c r="C167" s="27"/>
      <c r="D167" s="28"/>
      <c r="E167" s="27"/>
      <c r="F167" s="26"/>
      <c r="G167" s="8">
        <f>IF(OR(D167="",F167="",F167=0),"",D167/F167)</f>
        <v>0</v>
      </c>
      <c r="H167" s="26"/>
      <c r="I167" s="26"/>
      <c r="J167" s="26"/>
      <c r="K167" s="26"/>
      <c r="L167" s="26"/>
      <c r="M167" s="26"/>
      <c r="N167" s="27"/>
      <c r="O167" s="27"/>
      <c r="P167" s="27"/>
      <c r="Q167" s="27"/>
      <c r="R167" s="7"/>
      <c r="S167" s="8">
        <f>IF(A167="","",SUMIFS(Pantry!$C$5:$C$304,Pantry!$A$5:$A$304,A167))</f>
        <v>0</v>
      </c>
      <c r="T167" s="8">
        <f>IF(A167="","",COUNTIFS('Grocery List'!$A$5:$A$304,A167,'Grocery List'!$N$5:$N$304,"Yes"))</f>
        <v>0</v>
      </c>
      <c r="U167" s="8">
        <f>IF(A167="","",SUMIFS('Grocery List'!$M$5:$M$304,'Grocery List'!$A$5:$A$304,A167))</f>
        <v>0</v>
      </c>
      <c r="V167" s="8">
        <f>IF(A167="","",COUNTIFS('Recipe Ingredients'!$B$5:$B$1204,A167))</f>
        <v>0</v>
      </c>
      <c r="W167" s="8">
        <f>IF(A167="","",SUMIFS('Recipe Ingredients'!$C$5:$C$1204,'Recipe Ingredients'!$B$5:$B$1204,A167))</f>
        <v>0</v>
      </c>
      <c r="X167" s="8">
        <f>IF(A167="","",IF(U167&lt;=0,IF(S167&gt;0,99,0),ROUND(S167/U167,1)))</f>
        <v>0</v>
      </c>
      <c r="Y167" s="8">
        <f>IF(A167="","",U167*10+IF(O167="Yes",5,0)+IF(X167&lt;1,10,0)+IF(S167&lt;=0,3,0))</f>
        <v>0</v>
      </c>
      <c r="Z167" s="8">
        <f>IF(A167="","",COUNTIFS($Y$5:$Y$304,"&gt;"&amp;Y167)+1)</f>
        <v>0</v>
      </c>
      <c r="AA167" s="8">
        <f>IF(A167="","",IF(OR(U167&gt;0,AND(O167="Yes",X167&lt;2)),"Yes","No"))</f>
        <v>0</v>
      </c>
      <c r="AB167" s="8">
        <f>IF(OR(A167="",D167=""),"",S167*D167)</f>
        <v>0</v>
      </c>
      <c r="AC167" s="8">
        <f>IF(AB167="","",COUNTIFS($AB$5:$AB$304,"&gt;"&amp;AB167)+1)</f>
        <v>0</v>
      </c>
      <c r="AD167" s="8">
        <f>IF(A167="","",SUMIFS('Food Waste'!$E$5:$E$154,'Food Waste'!$C$5:$C$154,A167))</f>
        <v>0</v>
      </c>
      <c r="AE167" s="8">
        <f>IF(OR(A167="",AD167=0),"",COUNTIFS($AD$5:$AD$304,"&gt;"&amp;AD167)+1)</f>
        <v>0</v>
      </c>
      <c r="AF167" s="8">
        <f>IF(A167="","",IF(SUMPRODUCT(MAX(('Grocery Spending'!$E$5:$E$404=A167)*'Grocery Spending'!$A$5:$A$404))=0,"",SUMPRODUCT(MAX(('Grocery Spending'!$E$5:$E$404=A167)*'Grocery Spending'!$A$5:$A$404))))</f>
        <v>0</v>
      </c>
      <c r="AG167" s="8">
        <f>IF(OR(A167="",AF167=""),"",IFERROR(AVERAGEIFS('Grocery Spending'!$I$5:$I$404,'Grocery Spending'!$E$5:$E$404,A167,'Grocery Spending'!$A$5:$A$404,AF167),""))</f>
        <v>0</v>
      </c>
      <c r="AH167" s="8">
        <f>IF(A167="","",IFERROR(AVERAGEIFS('Grocery Spending'!$I$5:$I$404,'Grocery Spending'!$E$5:$E$404,A167),""))</f>
        <v>0</v>
      </c>
      <c r="AI167" s="8">
        <f>IF(A167="","",IF(SUMPRODUCT(MIN(('Grocery Spending'!$E$5:$E$404=A167)*'Grocery Spending'!$I$5:$I$404+('Grocery Spending'!$E$5:$E$404&lt;&gt;A167)*1000000))&gt;=1000000,"",SUMPRODUCT(MIN(('Grocery Spending'!$E$5:$E$404=A167)*'Grocery Spending'!$I$5:$I$404+('Grocery Spending'!$E$5:$E$404&lt;&gt;A167)*1000000))))</f>
        <v>0</v>
      </c>
      <c r="AJ167" s="8">
        <f>IF(A167="","",SUMPRODUCT(MAX(('Grocery Spending'!$E$5:$E$404=A167)*'Grocery Spending'!$I$5:$I$404)))</f>
        <v>0</v>
      </c>
      <c r="AK167" s="8">
        <f>IF(OR(A167="",AI167="",AJ167=0),"",AJ167-AI167)</f>
        <v>0</v>
      </c>
      <c r="AL167" s="8">
        <f>IF(OR(A167="",AG167="",AH167=""),"",AG167-AH167)</f>
        <v>0</v>
      </c>
      <c r="AM167" s="8">
        <f>IF(A167="","",IF(AL167="","",IF(AL167&gt;0.01,"Up",IF(AL167&lt;-0.01,"Down","Flat"))))</f>
        <v>0</v>
      </c>
      <c r="AN167" s="25"/>
    </row>
    <row r="168" spans="1:40">
      <c r="A168" s="7"/>
      <c r="B168" s="27"/>
      <c r="C168" s="27"/>
      <c r="D168" s="28"/>
      <c r="E168" s="27"/>
      <c r="F168" s="26"/>
      <c r="G168" s="8">
        <f>IF(OR(D168="",F168="",F168=0),"",D168/F168)</f>
        <v>0</v>
      </c>
      <c r="H168" s="26"/>
      <c r="I168" s="26"/>
      <c r="J168" s="26"/>
      <c r="K168" s="26"/>
      <c r="L168" s="26"/>
      <c r="M168" s="26"/>
      <c r="N168" s="27"/>
      <c r="O168" s="27"/>
      <c r="P168" s="27"/>
      <c r="Q168" s="27"/>
      <c r="R168" s="7"/>
      <c r="S168" s="8">
        <f>IF(A168="","",SUMIFS(Pantry!$C$5:$C$304,Pantry!$A$5:$A$304,A168))</f>
        <v>0</v>
      </c>
      <c r="T168" s="8">
        <f>IF(A168="","",COUNTIFS('Grocery List'!$A$5:$A$304,A168,'Grocery List'!$N$5:$N$304,"Yes"))</f>
        <v>0</v>
      </c>
      <c r="U168" s="8">
        <f>IF(A168="","",SUMIFS('Grocery List'!$M$5:$M$304,'Grocery List'!$A$5:$A$304,A168))</f>
        <v>0</v>
      </c>
      <c r="V168" s="8">
        <f>IF(A168="","",COUNTIFS('Recipe Ingredients'!$B$5:$B$1204,A168))</f>
        <v>0</v>
      </c>
      <c r="W168" s="8">
        <f>IF(A168="","",SUMIFS('Recipe Ingredients'!$C$5:$C$1204,'Recipe Ingredients'!$B$5:$B$1204,A168))</f>
        <v>0</v>
      </c>
      <c r="X168" s="8">
        <f>IF(A168="","",IF(U168&lt;=0,IF(S168&gt;0,99,0),ROUND(S168/U168,1)))</f>
        <v>0</v>
      </c>
      <c r="Y168" s="8">
        <f>IF(A168="","",U168*10+IF(O168="Yes",5,0)+IF(X168&lt;1,10,0)+IF(S168&lt;=0,3,0))</f>
        <v>0</v>
      </c>
      <c r="Z168" s="8">
        <f>IF(A168="","",COUNTIFS($Y$5:$Y$304,"&gt;"&amp;Y168)+1)</f>
        <v>0</v>
      </c>
      <c r="AA168" s="8">
        <f>IF(A168="","",IF(OR(U168&gt;0,AND(O168="Yes",X168&lt;2)),"Yes","No"))</f>
        <v>0</v>
      </c>
      <c r="AB168" s="8">
        <f>IF(OR(A168="",D168=""),"",S168*D168)</f>
        <v>0</v>
      </c>
      <c r="AC168" s="8">
        <f>IF(AB168="","",COUNTIFS($AB$5:$AB$304,"&gt;"&amp;AB168)+1)</f>
        <v>0</v>
      </c>
      <c r="AD168" s="8">
        <f>IF(A168="","",SUMIFS('Food Waste'!$E$5:$E$154,'Food Waste'!$C$5:$C$154,A168))</f>
        <v>0</v>
      </c>
      <c r="AE168" s="8">
        <f>IF(OR(A168="",AD168=0),"",COUNTIFS($AD$5:$AD$304,"&gt;"&amp;AD168)+1)</f>
        <v>0</v>
      </c>
      <c r="AF168" s="8">
        <f>IF(A168="","",IF(SUMPRODUCT(MAX(('Grocery Spending'!$E$5:$E$404=A168)*'Grocery Spending'!$A$5:$A$404))=0,"",SUMPRODUCT(MAX(('Grocery Spending'!$E$5:$E$404=A168)*'Grocery Spending'!$A$5:$A$404))))</f>
        <v>0</v>
      </c>
      <c r="AG168" s="8">
        <f>IF(OR(A168="",AF168=""),"",IFERROR(AVERAGEIFS('Grocery Spending'!$I$5:$I$404,'Grocery Spending'!$E$5:$E$404,A168,'Grocery Spending'!$A$5:$A$404,AF168),""))</f>
        <v>0</v>
      </c>
      <c r="AH168" s="8">
        <f>IF(A168="","",IFERROR(AVERAGEIFS('Grocery Spending'!$I$5:$I$404,'Grocery Spending'!$E$5:$E$404,A168),""))</f>
        <v>0</v>
      </c>
      <c r="AI168" s="8">
        <f>IF(A168="","",IF(SUMPRODUCT(MIN(('Grocery Spending'!$E$5:$E$404=A168)*'Grocery Spending'!$I$5:$I$404+('Grocery Spending'!$E$5:$E$404&lt;&gt;A168)*1000000))&gt;=1000000,"",SUMPRODUCT(MIN(('Grocery Spending'!$E$5:$E$404=A168)*'Grocery Spending'!$I$5:$I$404+('Grocery Spending'!$E$5:$E$404&lt;&gt;A168)*1000000))))</f>
        <v>0</v>
      </c>
      <c r="AJ168" s="8">
        <f>IF(A168="","",SUMPRODUCT(MAX(('Grocery Spending'!$E$5:$E$404=A168)*'Grocery Spending'!$I$5:$I$404)))</f>
        <v>0</v>
      </c>
      <c r="AK168" s="8">
        <f>IF(OR(A168="",AI168="",AJ168=0),"",AJ168-AI168)</f>
        <v>0</v>
      </c>
      <c r="AL168" s="8">
        <f>IF(OR(A168="",AG168="",AH168=""),"",AG168-AH168)</f>
        <v>0</v>
      </c>
      <c r="AM168" s="8">
        <f>IF(A168="","",IF(AL168="","",IF(AL168&gt;0.01,"Up",IF(AL168&lt;-0.01,"Down","Flat"))))</f>
        <v>0</v>
      </c>
      <c r="AN168" s="25"/>
    </row>
    <row r="169" spans="1:40">
      <c r="A169" s="7"/>
      <c r="B169" s="27"/>
      <c r="C169" s="27"/>
      <c r="D169" s="28"/>
      <c r="E169" s="27"/>
      <c r="F169" s="26"/>
      <c r="G169" s="8">
        <f>IF(OR(D169="",F169="",F169=0),"",D169/F169)</f>
        <v>0</v>
      </c>
      <c r="H169" s="26"/>
      <c r="I169" s="26"/>
      <c r="J169" s="26"/>
      <c r="K169" s="26"/>
      <c r="L169" s="26"/>
      <c r="M169" s="26"/>
      <c r="N169" s="27"/>
      <c r="O169" s="27"/>
      <c r="P169" s="27"/>
      <c r="Q169" s="27"/>
      <c r="R169" s="7"/>
      <c r="S169" s="8">
        <f>IF(A169="","",SUMIFS(Pantry!$C$5:$C$304,Pantry!$A$5:$A$304,A169))</f>
        <v>0</v>
      </c>
      <c r="T169" s="8">
        <f>IF(A169="","",COUNTIFS('Grocery List'!$A$5:$A$304,A169,'Grocery List'!$N$5:$N$304,"Yes"))</f>
        <v>0</v>
      </c>
      <c r="U169" s="8">
        <f>IF(A169="","",SUMIFS('Grocery List'!$M$5:$M$304,'Grocery List'!$A$5:$A$304,A169))</f>
        <v>0</v>
      </c>
      <c r="V169" s="8">
        <f>IF(A169="","",COUNTIFS('Recipe Ingredients'!$B$5:$B$1204,A169))</f>
        <v>0</v>
      </c>
      <c r="W169" s="8">
        <f>IF(A169="","",SUMIFS('Recipe Ingredients'!$C$5:$C$1204,'Recipe Ingredients'!$B$5:$B$1204,A169))</f>
        <v>0</v>
      </c>
      <c r="X169" s="8">
        <f>IF(A169="","",IF(U169&lt;=0,IF(S169&gt;0,99,0),ROUND(S169/U169,1)))</f>
        <v>0</v>
      </c>
      <c r="Y169" s="8">
        <f>IF(A169="","",U169*10+IF(O169="Yes",5,0)+IF(X169&lt;1,10,0)+IF(S169&lt;=0,3,0))</f>
        <v>0</v>
      </c>
      <c r="Z169" s="8">
        <f>IF(A169="","",COUNTIFS($Y$5:$Y$304,"&gt;"&amp;Y169)+1)</f>
        <v>0</v>
      </c>
      <c r="AA169" s="8">
        <f>IF(A169="","",IF(OR(U169&gt;0,AND(O169="Yes",X169&lt;2)),"Yes","No"))</f>
        <v>0</v>
      </c>
      <c r="AB169" s="8">
        <f>IF(OR(A169="",D169=""),"",S169*D169)</f>
        <v>0</v>
      </c>
      <c r="AC169" s="8">
        <f>IF(AB169="","",COUNTIFS($AB$5:$AB$304,"&gt;"&amp;AB169)+1)</f>
        <v>0</v>
      </c>
      <c r="AD169" s="8">
        <f>IF(A169="","",SUMIFS('Food Waste'!$E$5:$E$154,'Food Waste'!$C$5:$C$154,A169))</f>
        <v>0</v>
      </c>
      <c r="AE169" s="8">
        <f>IF(OR(A169="",AD169=0),"",COUNTIFS($AD$5:$AD$304,"&gt;"&amp;AD169)+1)</f>
        <v>0</v>
      </c>
      <c r="AF169" s="8">
        <f>IF(A169="","",IF(SUMPRODUCT(MAX(('Grocery Spending'!$E$5:$E$404=A169)*'Grocery Spending'!$A$5:$A$404))=0,"",SUMPRODUCT(MAX(('Grocery Spending'!$E$5:$E$404=A169)*'Grocery Spending'!$A$5:$A$404))))</f>
        <v>0</v>
      </c>
      <c r="AG169" s="8">
        <f>IF(OR(A169="",AF169=""),"",IFERROR(AVERAGEIFS('Grocery Spending'!$I$5:$I$404,'Grocery Spending'!$E$5:$E$404,A169,'Grocery Spending'!$A$5:$A$404,AF169),""))</f>
        <v>0</v>
      </c>
      <c r="AH169" s="8">
        <f>IF(A169="","",IFERROR(AVERAGEIFS('Grocery Spending'!$I$5:$I$404,'Grocery Spending'!$E$5:$E$404,A169),""))</f>
        <v>0</v>
      </c>
      <c r="AI169" s="8">
        <f>IF(A169="","",IF(SUMPRODUCT(MIN(('Grocery Spending'!$E$5:$E$404=A169)*'Grocery Spending'!$I$5:$I$404+('Grocery Spending'!$E$5:$E$404&lt;&gt;A169)*1000000))&gt;=1000000,"",SUMPRODUCT(MIN(('Grocery Spending'!$E$5:$E$404=A169)*'Grocery Spending'!$I$5:$I$404+('Grocery Spending'!$E$5:$E$404&lt;&gt;A169)*1000000))))</f>
        <v>0</v>
      </c>
      <c r="AJ169" s="8">
        <f>IF(A169="","",SUMPRODUCT(MAX(('Grocery Spending'!$E$5:$E$404=A169)*'Grocery Spending'!$I$5:$I$404)))</f>
        <v>0</v>
      </c>
      <c r="AK169" s="8">
        <f>IF(OR(A169="",AI169="",AJ169=0),"",AJ169-AI169)</f>
        <v>0</v>
      </c>
      <c r="AL169" s="8">
        <f>IF(OR(A169="",AG169="",AH169=""),"",AG169-AH169)</f>
        <v>0</v>
      </c>
      <c r="AM169" s="8">
        <f>IF(A169="","",IF(AL169="","",IF(AL169&gt;0.01,"Up",IF(AL169&lt;-0.01,"Down","Flat"))))</f>
        <v>0</v>
      </c>
      <c r="AN169" s="25"/>
    </row>
    <row r="170" spans="1:40">
      <c r="A170" s="7"/>
      <c r="B170" s="27"/>
      <c r="C170" s="27"/>
      <c r="D170" s="28"/>
      <c r="E170" s="27"/>
      <c r="F170" s="26"/>
      <c r="G170" s="8">
        <f>IF(OR(D170="",F170="",F170=0),"",D170/F170)</f>
        <v>0</v>
      </c>
      <c r="H170" s="26"/>
      <c r="I170" s="26"/>
      <c r="J170" s="26"/>
      <c r="K170" s="26"/>
      <c r="L170" s="26"/>
      <c r="M170" s="26"/>
      <c r="N170" s="27"/>
      <c r="O170" s="27"/>
      <c r="P170" s="27"/>
      <c r="Q170" s="27"/>
      <c r="R170" s="7"/>
      <c r="S170" s="8">
        <f>IF(A170="","",SUMIFS(Pantry!$C$5:$C$304,Pantry!$A$5:$A$304,A170))</f>
        <v>0</v>
      </c>
      <c r="T170" s="8">
        <f>IF(A170="","",COUNTIFS('Grocery List'!$A$5:$A$304,A170,'Grocery List'!$N$5:$N$304,"Yes"))</f>
        <v>0</v>
      </c>
      <c r="U170" s="8">
        <f>IF(A170="","",SUMIFS('Grocery List'!$M$5:$M$304,'Grocery List'!$A$5:$A$304,A170))</f>
        <v>0</v>
      </c>
      <c r="V170" s="8">
        <f>IF(A170="","",COUNTIFS('Recipe Ingredients'!$B$5:$B$1204,A170))</f>
        <v>0</v>
      </c>
      <c r="W170" s="8">
        <f>IF(A170="","",SUMIFS('Recipe Ingredients'!$C$5:$C$1204,'Recipe Ingredients'!$B$5:$B$1204,A170))</f>
        <v>0</v>
      </c>
      <c r="X170" s="8">
        <f>IF(A170="","",IF(U170&lt;=0,IF(S170&gt;0,99,0),ROUND(S170/U170,1)))</f>
        <v>0</v>
      </c>
      <c r="Y170" s="8">
        <f>IF(A170="","",U170*10+IF(O170="Yes",5,0)+IF(X170&lt;1,10,0)+IF(S170&lt;=0,3,0))</f>
        <v>0</v>
      </c>
      <c r="Z170" s="8">
        <f>IF(A170="","",COUNTIFS($Y$5:$Y$304,"&gt;"&amp;Y170)+1)</f>
        <v>0</v>
      </c>
      <c r="AA170" s="8">
        <f>IF(A170="","",IF(OR(U170&gt;0,AND(O170="Yes",X170&lt;2)),"Yes","No"))</f>
        <v>0</v>
      </c>
      <c r="AB170" s="8">
        <f>IF(OR(A170="",D170=""),"",S170*D170)</f>
        <v>0</v>
      </c>
      <c r="AC170" s="8">
        <f>IF(AB170="","",COUNTIFS($AB$5:$AB$304,"&gt;"&amp;AB170)+1)</f>
        <v>0</v>
      </c>
      <c r="AD170" s="8">
        <f>IF(A170="","",SUMIFS('Food Waste'!$E$5:$E$154,'Food Waste'!$C$5:$C$154,A170))</f>
        <v>0</v>
      </c>
      <c r="AE170" s="8">
        <f>IF(OR(A170="",AD170=0),"",COUNTIFS($AD$5:$AD$304,"&gt;"&amp;AD170)+1)</f>
        <v>0</v>
      </c>
      <c r="AF170" s="8">
        <f>IF(A170="","",IF(SUMPRODUCT(MAX(('Grocery Spending'!$E$5:$E$404=A170)*'Grocery Spending'!$A$5:$A$404))=0,"",SUMPRODUCT(MAX(('Grocery Spending'!$E$5:$E$404=A170)*'Grocery Spending'!$A$5:$A$404))))</f>
        <v>0</v>
      </c>
      <c r="AG170" s="8">
        <f>IF(OR(A170="",AF170=""),"",IFERROR(AVERAGEIFS('Grocery Spending'!$I$5:$I$404,'Grocery Spending'!$E$5:$E$404,A170,'Grocery Spending'!$A$5:$A$404,AF170),""))</f>
        <v>0</v>
      </c>
      <c r="AH170" s="8">
        <f>IF(A170="","",IFERROR(AVERAGEIFS('Grocery Spending'!$I$5:$I$404,'Grocery Spending'!$E$5:$E$404,A170),""))</f>
        <v>0</v>
      </c>
      <c r="AI170" s="8">
        <f>IF(A170="","",IF(SUMPRODUCT(MIN(('Grocery Spending'!$E$5:$E$404=A170)*'Grocery Spending'!$I$5:$I$404+('Grocery Spending'!$E$5:$E$404&lt;&gt;A170)*1000000))&gt;=1000000,"",SUMPRODUCT(MIN(('Grocery Spending'!$E$5:$E$404=A170)*'Grocery Spending'!$I$5:$I$404+('Grocery Spending'!$E$5:$E$404&lt;&gt;A170)*1000000))))</f>
        <v>0</v>
      </c>
      <c r="AJ170" s="8">
        <f>IF(A170="","",SUMPRODUCT(MAX(('Grocery Spending'!$E$5:$E$404=A170)*'Grocery Spending'!$I$5:$I$404)))</f>
        <v>0</v>
      </c>
      <c r="AK170" s="8">
        <f>IF(OR(A170="",AI170="",AJ170=0),"",AJ170-AI170)</f>
        <v>0</v>
      </c>
      <c r="AL170" s="8">
        <f>IF(OR(A170="",AG170="",AH170=""),"",AG170-AH170)</f>
        <v>0</v>
      </c>
      <c r="AM170" s="8">
        <f>IF(A170="","",IF(AL170="","",IF(AL170&gt;0.01,"Up",IF(AL170&lt;-0.01,"Down","Flat"))))</f>
        <v>0</v>
      </c>
      <c r="AN170" s="25"/>
    </row>
    <row r="171" spans="1:40">
      <c r="A171" s="7"/>
      <c r="B171" s="27"/>
      <c r="C171" s="27"/>
      <c r="D171" s="28"/>
      <c r="E171" s="27"/>
      <c r="F171" s="26"/>
      <c r="G171" s="8">
        <f>IF(OR(D171="",F171="",F171=0),"",D171/F171)</f>
        <v>0</v>
      </c>
      <c r="H171" s="26"/>
      <c r="I171" s="26"/>
      <c r="J171" s="26"/>
      <c r="K171" s="26"/>
      <c r="L171" s="26"/>
      <c r="M171" s="26"/>
      <c r="N171" s="27"/>
      <c r="O171" s="27"/>
      <c r="P171" s="27"/>
      <c r="Q171" s="27"/>
      <c r="R171" s="7"/>
      <c r="S171" s="8">
        <f>IF(A171="","",SUMIFS(Pantry!$C$5:$C$304,Pantry!$A$5:$A$304,A171))</f>
        <v>0</v>
      </c>
      <c r="T171" s="8">
        <f>IF(A171="","",COUNTIFS('Grocery List'!$A$5:$A$304,A171,'Grocery List'!$N$5:$N$304,"Yes"))</f>
        <v>0</v>
      </c>
      <c r="U171" s="8">
        <f>IF(A171="","",SUMIFS('Grocery List'!$M$5:$M$304,'Grocery List'!$A$5:$A$304,A171))</f>
        <v>0</v>
      </c>
      <c r="V171" s="8">
        <f>IF(A171="","",COUNTIFS('Recipe Ingredients'!$B$5:$B$1204,A171))</f>
        <v>0</v>
      </c>
      <c r="W171" s="8">
        <f>IF(A171="","",SUMIFS('Recipe Ingredients'!$C$5:$C$1204,'Recipe Ingredients'!$B$5:$B$1204,A171))</f>
        <v>0</v>
      </c>
      <c r="X171" s="8">
        <f>IF(A171="","",IF(U171&lt;=0,IF(S171&gt;0,99,0),ROUND(S171/U171,1)))</f>
        <v>0</v>
      </c>
      <c r="Y171" s="8">
        <f>IF(A171="","",U171*10+IF(O171="Yes",5,0)+IF(X171&lt;1,10,0)+IF(S171&lt;=0,3,0))</f>
        <v>0</v>
      </c>
      <c r="Z171" s="8">
        <f>IF(A171="","",COUNTIFS($Y$5:$Y$304,"&gt;"&amp;Y171)+1)</f>
        <v>0</v>
      </c>
      <c r="AA171" s="8">
        <f>IF(A171="","",IF(OR(U171&gt;0,AND(O171="Yes",X171&lt;2)),"Yes","No"))</f>
        <v>0</v>
      </c>
      <c r="AB171" s="8">
        <f>IF(OR(A171="",D171=""),"",S171*D171)</f>
        <v>0</v>
      </c>
      <c r="AC171" s="8">
        <f>IF(AB171="","",COUNTIFS($AB$5:$AB$304,"&gt;"&amp;AB171)+1)</f>
        <v>0</v>
      </c>
      <c r="AD171" s="8">
        <f>IF(A171="","",SUMIFS('Food Waste'!$E$5:$E$154,'Food Waste'!$C$5:$C$154,A171))</f>
        <v>0</v>
      </c>
      <c r="AE171" s="8">
        <f>IF(OR(A171="",AD171=0),"",COUNTIFS($AD$5:$AD$304,"&gt;"&amp;AD171)+1)</f>
        <v>0</v>
      </c>
      <c r="AF171" s="8">
        <f>IF(A171="","",IF(SUMPRODUCT(MAX(('Grocery Spending'!$E$5:$E$404=A171)*'Grocery Spending'!$A$5:$A$404))=0,"",SUMPRODUCT(MAX(('Grocery Spending'!$E$5:$E$404=A171)*'Grocery Spending'!$A$5:$A$404))))</f>
        <v>0</v>
      </c>
      <c r="AG171" s="8">
        <f>IF(OR(A171="",AF171=""),"",IFERROR(AVERAGEIFS('Grocery Spending'!$I$5:$I$404,'Grocery Spending'!$E$5:$E$404,A171,'Grocery Spending'!$A$5:$A$404,AF171),""))</f>
        <v>0</v>
      </c>
      <c r="AH171" s="8">
        <f>IF(A171="","",IFERROR(AVERAGEIFS('Grocery Spending'!$I$5:$I$404,'Grocery Spending'!$E$5:$E$404,A171),""))</f>
        <v>0</v>
      </c>
      <c r="AI171" s="8">
        <f>IF(A171="","",IF(SUMPRODUCT(MIN(('Grocery Spending'!$E$5:$E$404=A171)*'Grocery Spending'!$I$5:$I$404+('Grocery Spending'!$E$5:$E$404&lt;&gt;A171)*1000000))&gt;=1000000,"",SUMPRODUCT(MIN(('Grocery Spending'!$E$5:$E$404=A171)*'Grocery Spending'!$I$5:$I$404+('Grocery Spending'!$E$5:$E$404&lt;&gt;A171)*1000000))))</f>
        <v>0</v>
      </c>
      <c r="AJ171" s="8">
        <f>IF(A171="","",SUMPRODUCT(MAX(('Grocery Spending'!$E$5:$E$404=A171)*'Grocery Spending'!$I$5:$I$404)))</f>
        <v>0</v>
      </c>
      <c r="AK171" s="8">
        <f>IF(OR(A171="",AI171="",AJ171=0),"",AJ171-AI171)</f>
        <v>0</v>
      </c>
      <c r="AL171" s="8">
        <f>IF(OR(A171="",AG171="",AH171=""),"",AG171-AH171)</f>
        <v>0</v>
      </c>
      <c r="AM171" s="8">
        <f>IF(A171="","",IF(AL171="","",IF(AL171&gt;0.01,"Up",IF(AL171&lt;-0.01,"Down","Flat"))))</f>
        <v>0</v>
      </c>
      <c r="AN171" s="25"/>
    </row>
    <row r="172" spans="1:40">
      <c r="A172" s="7"/>
      <c r="B172" s="27"/>
      <c r="C172" s="27"/>
      <c r="D172" s="28"/>
      <c r="E172" s="27"/>
      <c r="F172" s="26"/>
      <c r="G172" s="8">
        <f>IF(OR(D172="",F172="",F172=0),"",D172/F172)</f>
        <v>0</v>
      </c>
      <c r="H172" s="26"/>
      <c r="I172" s="26"/>
      <c r="J172" s="26"/>
      <c r="K172" s="26"/>
      <c r="L172" s="26"/>
      <c r="M172" s="26"/>
      <c r="N172" s="27"/>
      <c r="O172" s="27"/>
      <c r="P172" s="27"/>
      <c r="Q172" s="27"/>
      <c r="R172" s="7"/>
      <c r="S172" s="8">
        <f>IF(A172="","",SUMIFS(Pantry!$C$5:$C$304,Pantry!$A$5:$A$304,A172))</f>
        <v>0</v>
      </c>
      <c r="T172" s="8">
        <f>IF(A172="","",COUNTIFS('Grocery List'!$A$5:$A$304,A172,'Grocery List'!$N$5:$N$304,"Yes"))</f>
        <v>0</v>
      </c>
      <c r="U172" s="8">
        <f>IF(A172="","",SUMIFS('Grocery List'!$M$5:$M$304,'Grocery List'!$A$5:$A$304,A172))</f>
        <v>0</v>
      </c>
      <c r="V172" s="8">
        <f>IF(A172="","",COUNTIFS('Recipe Ingredients'!$B$5:$B$1204,A172))</f>
        <v>0</v>
      </c>
      <c r="W172" s="8">
        <f>IF(A172="","",SUMIFS('Recipe Ingredients'!$C$5:$C$1204,'Recipe Ingredients'!$B$5:$B$1204,A172))</f>
        <v>0</v>
      </c>
      <c r="X172" s="8">
        <f>IF(A172="","",IF(U172&lt;=0,IF(S172&gt;0,99,0),ROUND(S172/U172,1)))</f>
        <v>0</v>
      </c>
      <c r="Y172" s="8">
        <f>IF(A172="","",U172*10+IF(O172="Yes",5,0)+IF(X172&lt;1,10,0)+IF(S172&lt;=0,3,0))</f>
        <v>0</v>
      </c>
      <c r="Z172" s="8">
        <f>IF(A172="","",COUNTIFS($Y$5:$Y$304,"&gt;"&amp;Y172)+1)</f>
        <v>0</v>
      </c>
      <c r="AA172" s="8">
        <f>IF(A172="","",IF(OR(U172&gt;0,AND(O172="Yes",X172&lt;2)),"Yes","No"))</f>
        <v>0</v>
      </c>
      <c r="AB172" s="8">
        <f>IF(OR(A172="",D172=""),"",S172*D172)</f>
        <v>0</v>
      </c>
      <c r="AC172" s="8">
        <f>IF(AB172="","",COUNTIFS($AB$5:$AB$304,"&gt;"&amp;AB172)+1)</f>
        <v>0</v>
      </c>
      <c r="AD172" s="8">
        <f>IF(A172="","",SUMIFS('Food Waste'!$E$5:$E$154,'Food Waste'!$C$5:$C$154,A172))</f>
        <v>0</v>
      </c>
      <c r="AE172" s="8">
        <f>IF(OR(A172="",AD172=0),"",COUNTIFS($AD$5:$AD$304,"&gt;"&amp;AD172)+1)</f>
        <v>0</v>
      </c>
      <c r="AF172" s="8">
        <f>IF(A172="","",IF(SUMPRODUCT(MAX(('Grocery Spending'!$E$5:$E$404=A172)*'Grocery Spending'!$A$5:$A$404))=0,"",SUMPRODUCT(MAX(('Grocery Spending'!$E$5:$E$404=A172)*'Grocery Spending'!$A$5:$A$404))))</f>
        <v>0</v>
      </c>
      <c r="AG172" s="8">
        <f>IF(OR(A172="",AF172=""),"",IFERROR(AVERAGEIFS('Grocery Spending'!$I$5:$I$404,'Grocery Spending'!$E$5:$E$404,A172,'Grocery Spending'!$A$5:$A$404,AF172),""))</f>
        <v>0</v>
      </c>
      <c r="AH172" s="8">
        <f>IF(A172="","",IFERROR(AVERAGEIFS('Grocery Spending'!$I$5:$I$404,'Grocery Spending'!$E$5:$E$404,A172),""))</f>
        <v>0</v>
      </c>
      <c r="AI172" s="8">
        <f>IF(A172="","",IF(SUMPRODUCT(MIN(('Grocery Spending'!$E$5:$E$404=A172)*'Grocery Spending'!$I$5:$I$404+('Grocery Spending'!$E$5:$E$404&lt;&gt;A172)*1000000))&gt;=1000000,"",SUMPRODUCT(MIN(('Grocery Spending'!$E$5:$E$404=A172)*'Grocery Spending'!$I$5:$I$404+('Grocery Spending'!$E$5:$E$404&lt;&gt;A172)*1000000))))</f>
        <v>0</v>
      </c>
      <c r="AJ172" s="8">
        <f>IF(A172="","",SUMPRODUCT(MAX(('Grocery Spending'!$E$5:$E$404=A172)*'Grocery Spending'!$I$5:$I$404)))</f>
        <v>0</v>
      </c>
      <c r="AK172" s="8">
        <f>IF(OR(A172="",AI172="",AJ172=0),"",AJ172-AI172)</f>
        <v>0</v>
      </c>
      <c r="AL172" s="8">
        <f>IF(OR(A172="",AG172="",AH172=""),"",AG172-AH172)</f>
        <v>0</v>
      </c>
      <c r="AM172" s="8">
        <f>IF(A172="","",IF(AL172="","",IF(AL172&gt;0.01,"Up",IF(AL172&lt;-0.01,"Down","Flat"))))</f>
        <v>0</v>
      </c>
      <c r="AN172" s="25"/>
    </row>
    <row r="173" spans="1:40">
      <c r="A173" s="7"/>
      <c r="B173" s="27"/>
      <c r="C173" s="27"/>
      <c r="D173" s="28"/>
      <c r="E173" s="27"/>
      <c r="F173" s="26"/>
      <c r="G173" s="8">
        <f>IF(OR(D173="",F173="",F173=0),"",D173/F173)</f>
        <v>0</v>
      </c>
      <c r="H173" s="26"/>
      <c r="I173" s="26"/>
      <c r="J173" s="26"/>
      <c r="K173" s="26"/>
      <c r="L173" s="26"/>
      <c r="M173" s="26"/>
      <c r="N173" s="27"/>
      <c r="O173" s="27"/>
      <c r="P173" s="27"/>
      <c r="Q173" s="27"/>
      <c r="R173" s="7"/>
      <c r="S173" s="8">
        <f>IF(A173="","",SUMIFS(Pantry!$C$5:$C$304,Pantry!$A$5:$A$304,A173))</f>
        <v>0</v>
      </c>
      <c r="T173" s="8">
        <f>IF(A173="","",COUNTIFS('Grocery List'!$A$5:$A$304,A173,'Grocery List'!$N$5:$N$304,"Yes"))</f>
        <v>0</v>
      </c>
      <c r="U173" s="8">
        <f>IF(A173="","",SUMIFS('Grocery List'!$M$5:$M$304,'Grocery List'!$A$5:$A$304,A173))</f>
        <v>0</v>
      </c>
      <c r="V173" s="8">
        <f>IF(A173="","",COUNTIFS('Recipe Ingredients'!$B$5:$B$1204,A173))</f>
        <v>0</v>
      </c>
      <c r="W173" s="8">
        <f>IF(A173="","",SUMIFS('Recipe Ingredients'!$C$5:$C$1204,'Recipe Ingredients'!$B$5:$B$1204,A173))</f>
        <v>0</v>
      </c>
      <c r="X173" s="8">
        <f>IF(A173="","",IF(U173&lt;=0,IF(S173&gt;0,99,0),ROUND(S173/U173,1)))</f>
        <v>0</v>
      </c>
      <c r="Y173" s="8">
        <f>IF(A173="","",U173*10+IF(O173="Yes",5,0)+IF(X173&lt;1,10,0)+IF(S173&lt;=0,3,0))</f>
        <v>0</v>
      </c>
      <c r="Z173" s="8">
        <f>IF(A173="","",COUNTIFS($Y$5:$Y$304,"&gt;"&amp;Y173)+1)</f>
        <v>0</v>
      </c>
      <c r="AA173" s="8">
        <f>IF(A173="","",IF(OR(U173&gt;0,AND(O173="Yes",X173&lt;2)),"Yes","No"))</f>
        <v>0</v>
      </c>
      <c r="AB173" s="8">
        <f>IF(OR(A173="",D173=""),"",S173*D173)</f>
        <v>0</v>
      </c>
      <c r="AC173" s="8">
        <f>IF(AB173="","",COUNTIFS($AB$5:$AB$304,"&gt;"&amp;AB173)+1)</f>
        <v>0</v>
      </c>
      <c r="AD173" s="8">
        <f>IF(A173="","",SUMIFS('Food Waste'!$E$5:$E$154,'Food Waste'!$C$5:$C$154,A173))</f>
        <v>0</v>
      </c>
      <c r="AE173" s="8">
        <f>IF(OR(A173="",AD173=0),"",COUNTIFS($AD$5:$AD$304,"&gt;"&amp;AD173)+1)</f>
        <v>0</v>
      </c>
      <c r="AF173" s="8">
        <f>IF(A173="","",IF(SUMPRODUCT(MAX(('Grocery Spending'!$E$5:$E$404=A173)*'Grocery Spending'!$A$5:$A$404))=0,"",SUMPRODUCT(MAX(('Grocery Spending'!$E$5:$E$404=A173)*'Grocery Spending'!$A$5:$A$404))))</f>
        <v>0</v>
      </c>
      <c r="AG173" s="8">
        <f>IF(OR(A173="",AF173=""),"",IFERROR(AVERAGEIFS('Grocery Spending'!$I$5:$I$404,'Grocery Spending'!$E$5:$E$404,A173,'Grocery Spending'!$A$5:$A$404,AF173),""))</f>
        <v>0</v>
      </c>
      <c r="AH173" s="8">
        <f>IF(A173="","",IFERROR(AVERAGEIFS('Grocery Spending'!$I$5:$I$404,'Grocery Spending'!$E$5:$E$404,A173),""))</f>
        <v>0</v>
      </c>
      <c r="AI173" s="8">
        <f>IF(A173="","",IF(SUMPRODUCT(MIN(('Grocery Spending'!$E$5:$E$404=A173)*'Grocery Spending'!$I$5:$I$404+('Grocery Spending'!$E$5:$E$404&lt;&gt;A173)*1000000))&gt;=1000000,"",SUMPRODUCT(MIN(('Grocery Spending'!$E$5:$E$404=A173)*'Grocery Spending'!$I$5:$I$404+('Grocery Spending'!$E$5:$E$404&lt;&gt;A173)*1000000))))</f>
        <v>0</v>
      </c>
      <c r="AJ173" s="8">
        <f>IF(A173="","",SUMPRODUCT(MAX(('Grocery Spending'!$E$5:$E$404=A173)*'Grocery Spending'!$I$5:$I$404)))</f>
        <v>0</v>
      </c>
      <c r="AK173" s="8">
        <f>IF(OR(A173="",AI173="",AJ173=0),"",AJ173-AI173)</f>
        <v>0</v>
      </c>
      <c r="AL173" s="8">
        <f>IF(OR(A173="",AG173="",AH173=""),"",AG173-AH173)</f>
        <v>0</v>
      </c>
      <c r="AM173" s="8">
        <f>IF(A173="","",IF(AL173="","",IF(AL173&gt;0.01,"Up",IF(AL173&lt;-0.01,"Down","Flat"))))</f>
        <v>0</v>
      </c>
      <c r="AN173" s="25"/>
    </row>
    <row r="174" spans="1:40">
      <c r="A174" s="7"/>
      <c r="B174" s="27"/>
      <c r="C174" s="27"/>
      <c r="D174" s="28"/>
      <c r="E174" s="27"/>
      <c r="F174" s="26"/>
      <c r="G174" s="8">
        <f>IF(OR(D174="",F174="",F174=0),"",D174/F174)</f>
        <v>0</v>
      </c>
      <c r="H174" s="26"/>
      <c r="I174" s="26"/>
      <c r="J174" s="26"/>
      <c r="K174" s="26"/>
      <c r="L174" s="26"/>
      <c r="M174" s="26"/>
      <c r="N174" s="27"/>
      <c r="O174" s="27"/>
      <c r="P174" s="27"/>
      <c r="Q174" s="27"/>
      <c r="R174" s="7"/>
      <c r="S174" s="8">
        <f>IF(A174="","",SUMIFS(Pantry!$C$5:$C$304,Pantry!$A$5:$A$304,A174))</f>
        <v>0</v>
      </c>
      <c r="T174" s="8">
        <f>IF(A174="","",COUNTIFS('Grocery List'!$A$5:$A$304,A174,'Grocery List'!$N$5:$N$304,"Yes"))</f>
        <v>0</v>
      </c>
      <c r="U174" s="8">
        <f>IF(A174="","",SUMIFS('Grocery List'!$M$5:$M$304,'Grocery List'!$A$5:$A$304,A174))</f>
        <v>0</v>
      </c>
      <c r="V174" s="8">
        <f>IF(A174="","",COUNTIFS('Recipe Ingredients'!$B$5:$B$1204,A174))</f>
        <v>0</v>
      </c>
      <c r="W174" s="8">
        <f>IF(A174="","",SUMIFS('Recipe Ingredients'!$C$5:$C$1204,'Recipe Ingredients'!$B$5:$B$1204,A174))</f>
        <v>0</v>
      </c>
      <c r="X174" s="8">
        <f>IF(A174="","",IF(U174&lt;=0,IF(S174&gt;0,99,0),ROUND(S174/U174,1)))</f>
        <v>0</v>
      </c>
      <c r="Y174" s="8">
        <f>IF(A174="","",U174*10+IF(O174="Yes",5,0)+IF(X174&lt;1,10,0)+IF(S174&lt;=0,3,0))</f>
        <v>0</v>
      </c>
      <c r="Z174" s="8">
        <f>IF(A174="","",COUNTIFS($Y$5:$Y$304,"&gt;"&amp;Y174)+1)</f>
        <v>0</v>
      </c>
      <c r="AA174" s="8">
        <f>IF(A174="","",IF(OR(U174&gt;0,AND(O174="Yes",X174&lt;2)),"Yes","No"))</f>
        <v>0</v>
      </c>
      <c r="AB174" s="8">
        <f>IF(OR(A174="",D174=""),"",S174*D174)</f>
        <v>0</v>
      </c>
      <c r="AC174" s="8">
        <f>IF(AB174="","",COUNTIFS($AB$5:$AB$304,"&gt;"&amp;AB174)+1)</f>
        <v>0</v>
      </c>
      <c r="AD174" s="8">
        <f>IF(A174="","",SUMIFS('Food Waste'!$E$5:$E$154,'Food Waste'!$C$5:$C$154,A174))</f>
        <v>0</v>
      </c>
      <c r="AE174" s="8">
        <f>IF(OR(A174="",AD174=0),"",COUNTIFS($AD$5:$AD$304,"&gt;"&amp;AD174)+1)</f>
        <v>0</v>
      </c>
      <c r="AF174" s="8">
        <f>IF(A174="","",IF(SUMPRODUCT(MAX(('Grocery Spending'!$E$5:$E$404=A174)*'Grocery Spending'!$A$5:$A$404))=0,"",SUMPRODUCT(MAX(('Grocery Spending'!$E$5:$E$404=A174)*'Grocery Spending'!$A$5:$A$404))))</f>
        <v>0</v>
      </c>
      <c r="AG174" s="8">
        <f>IF(OR(A174="",AF174=""),"",IFERROR(AVERAGEIFS('Grocery Spending'!$I$5:$I$404,'Grocery Spending'!$E$5:$E$404,A174,'Grocery Spending'!$A$5:$A$404,AF174),""))</f>
        <v>0</v>
      </c>
      <c r="AH174" s="8">
        <f>IF(A174="","",IFERROR(AVERAGEIFS('Grocery Spending'!$I$5:$I$404,'Grocery Spending'!$E$5:$E$404,A174),""))</f>
        <v>0</v>
      </c>
      <c r="AI174" s="8">
        <f>IF(A174="","",IF(SUMPRODUCT(MIN(('Grocery Spending'!$E$5:$E$404=A174)*'Grocery Spending'!$I$5:$I$404+('Grocery Spending'!$E$5:$E$404&lt;&gt;A174)*1000000))&gt;=1000000,"",SUMPRODUCT(MIN(('Grocery Spending'!$E$5:$E$404=A174)*'Grocery Spending'!$I$5:$I$404+('Grocery Spending'!$E$5:$E$404&lt;&gt;A174)*1000000))))</f>
        <v>0</v>
      </c>
      <c r="AJ174" s="8">
        <f>IF(A174="","",SUMPRODUCT(MAX(('Grocery Spending'!$E$5:$E$404=A174)*'Grocery Spending'!$I$5:$I$404)))</f>
        <v>0</v>
      </c>
      <c r="AK174" s="8">
        <f>IF(OR(A174="",AI174="",AJ174=0),"",AJ174-AI174)</f>
        <v>0</v>
      </c>
      <c r="AL174" s="8">
        <f>IF(OR(A174="",AG174="",AH174=""),"",AG174-AH174)</f>
        <v>0</v>
      </c>
      <c r="AM174" s="8">
        <f>IF(A174="","",IF(AL174="","",IF(AL174&gt;0.01,"Up",IF(AL174&lt;-0.01,"Down","Flat"))))</f>
        <v>0</v>
      </c>
      <c r="AN174" s="25"/>
    </row>
    <row r="175" spans="1:40">
      <c r="A175" s="7"/>
      <c r="B175" s="27"/>
      <c r="C175" s="27"/>
      <c r="D175" s="28"/>
      <c r="E175" s="27"/>
      <c r="F175" s="26"/>
      <c r="G175" s="8">
        <f>IF(OR(D175="",F175="",F175=0),"",D175/F175)</f>
        <v>0</v>
      </c>
      <c r="H175" s="26"/>
      <c r="I175" s="26"/>
      <c r="J175" s="26"/>
      <c r="K175" s="26"/>
      <c r="L175" s="26"/>
      <c r="M175" s="26"/>
      <c r="N175" s="27"/>
      <c r="O175" s="27"/>
      <c r="P175" s="27"/>
      <c r="Q175" s="27"/>
      <c r="R175" s="7"/>
      <c r="S175" s="8">
        <f>IF(A175="","",SUMIFS(Pantry!$C$5:$C$304,Pantry!$A$5:$A$304,A175))</f>
        <v>0</v>
      </c>
      <c r="T175" s="8">
        <f>IF(A175="","",COUNTIFS('Grocery List'!$A$5:$A$304,A175,'Grocery List'!$N$5:$N$304,"Yes"))</f>
        <v>0</v>
      </c>
      <c r="U175" s="8">
        <f>IF(A175="","",SUMIFS('Grocery List'!$M$5:$M$304,'Grocery List'!$A$5:$A$304,A175))</f>
        <v>0</v>
      </c>
      <c r="V175" s="8">
        <f>IF(A175="","",COUNTIFS('Recipe Ingredients'!$B$5:$B$1204,A175))</f>
        <v>0</v>
      </c>
      <c r="W175" s="8">
        <f>IF(A175="","",SUMIFS('Recipe Ingredients'!$C$5:$C$1204,'Recipe Ingredients'!$B$5:$B$1204,A175))</f>
        <v>0</v>
      </c>
      <c r="X175" s="8">
        <f>IF(A175="","",IF(U175&lt;=0,IF(S175&gt;0,99,0),ROUND(S175/U175,1)))</f>
        <v>0</v>
      </c>
      <c r="Y175" s="8">
        <f>IF(A175="","",U175*10+IF(O175="Yes",5,0)+IF(X175&lt;1,10,0)+IF(S175&lt;=0,3,0))</f>
        <v>0</v>
      </c>
      <c r="Z175" s="8">
        <f>IF(A175="","",COUNTIFS($Y$5:$Y$304,"&gt;"&amp;Y175)+1)</f>
        <v>0</v>
      </c>
      <c r="AA175" s="8">
        <f>IF(A175="","",IF(OR(U175&gt;0,AND(O175="Yes",X175&lt;2)),"Yes","No"))</f>
        <v>0</v>
      </c>
      <c r="AB175" s="8">
        <f>IF(OR(A175="",D175=""),"",S175*D175)</f>
        <v>0</v>
      </c>
      <c r="AC175" s="8">
        <f>IF(AB175="","",COUNTIFS($AB$5:$AB$304,"&gt;"&amp;AB175)+1)</f>
        <v>0</v>
      </c>
      <c r="AD175" s="8">
        <f>IF(A175="","",SUMIFS('Food Waste'!$E$5:$E$154,'Food Waste'!$C$5:$C$154,A175))</f>
        <v>0</v>
      </c>
      <c r="AE175" s="8">
        <f>IF(OR(A175="",AD175=0),"",COUNTIFS($AD$5:$AD$304,"&gt;"&amp;AD175)+1)</f>
        <v>0</v>
      </c>
      <c r="AF175" s="8">
        <f>IF(A175="","",IF(SUMPRODUCT(MAX(('Grocery Spending'!$E$5:$E$404=A175)*'Grocery Spending'!$A$5:$A$404))=0,"",SUMPRODUCT(MAX(('Grocery Spending'!$E$5:$E$404=A175)*'Grocery Spending'!$A$5:$A$404))))</f>
        <v>0</v>
      </c>
      <c r="AG175" s="8">
        <f>IF(OR(A175="",AF175=""),"",IFERROR(AVERAGEIFS('Grocery Spending'!$I$5:$I$404,'Grocery Spending'!$E$5:$E$404,A175,'Grocery Spending'!$A$5:$A$404,AF175),""))</f>
        <v>0</v>
      </c>
      <c r="AH175" s="8">
        <f>IF(A175="","",IFERROR(AVERAGEIFS('Grocery Spending'!$I$5:$I$404,'Grocery Spending'!$E$5:$E$404,A175),""))</f>
        <v>0</v>
      </c>
      <c r="AI175" s="8">
        <f>IF(A175="","",IF(SUMPRODUCT(MIN(('Grocery Spending'!$E$5:$E$404=A175)*'Grocery Spending'!$I$5:$I$404+('Grocery Spending'!$E$5:$E$404&lt;&gt;A175)*1000000))&gt;=1000000,"",SUMPRODUCT(MIN(('Grocery Spending'!$E$5:$E$404=A175)*'Grocery Spending'!$I$5:$I$404+('Grocery Spending'!$E$5:$E$404&lt;&gt;A175)*1000000))))</f>
        <v>0</v>
      </c>
      <c r="AJ175" s="8">
        <f>IF(A175="","",SUMPRODUCT(MAX(('Grocery Spending'!$E$5:$E$404=A175)*'Grocery Spending'!$I$5:$I$404)))</f>
        <v>0</v>
      </c>
      <c r="AK175" s="8">
        <f>IF(OR(A175="",AI175="",AJ175=0),"",AJ175-AI175)</f>
        <v>0</v>
      </c>
      <c r="AL175" s="8">
        <f>IF(OR(A175="",AG175="",AH175=""),"",AG175-AH175)</f>
        <v>0</v>
      </c>
      <c r="AM175" s="8">
        <f>IF(A175="","",IF(AL175="","",IF(AL175&gt;0.01,"Up",IF(AL175&lt;-0.01,"Down","Flat"))))</f>
        <v>0</v>
      </c>
      <c r="AN175" s="25"/>
    </row>
    <row r="176" spans="1:40">
      <c r="A176" s="7"/>
      <c r="B176" s="27"/>
      <c r="C176" s="27"/>
      <c r="D176" s="28"/>
      <c r="E176" s="27"/>
      <c r="F176" s="26"/>
      <c r="G176" s="8">
        <f>IF(OR(D176="",F176="",F176=0),"",D176/F176)</f>
        <v>0</v>
      </c>
      <c r="H176" s="26"/>
      <c r="I176" s="26"/>
      <c r="J176" s="26"/>
      <c r="K176" s="26"/>
      <c r="L176" s="26"/>
      <c r="M176" s="26"/>
      <c r="N176" s="27"/>
      <c r="O176" s="27"/>
      <c r="P176" s="27"/>
      <c r="Q176" s="27"/>
      <c r="R176" s="7"/>
      <c r="S176" s="8">
        <f>IF(A176="","",SUMIFS(Pantry!$C$5:$C$304,Pantry!$A$5:$A$304,A176))</f>
        <v>0</v>
      </c>
      <c r="T176" s="8">
        <f>IF(A176="","",COUNTIFS('Grocery List'!$A$5:$A$304,A176,'Grocery List'!$N$5:$N$304,"Yes"))</f>
        <v>0</v>
      </c>
      <c r="U176" s="8">
        <f>IF(A176="","",SUMIFS('Grocery List'!$M$5:$M$304,'Grocery List'!$A$5:$A$304,A176))</f>
        <v>0</v>
      </c>
      <c r="V176" s="8">
        <f>IF(A176="","",COUNTIFS('Recipe Ingredients'!$B$5:$B$1204,A176))</f>
        <v>0</v>
      </c>
      <c r="W176" s="8">
        <f>IF(A176="","",SUMIFS('Recipe Ingredients'!$C$5:$C$1204,'Recipe Ingredients'!$B$5:$B$1204,A176))</f>
        <v>0</v>
      </c>
      <c r="X176" s="8">
        <f>IF(A176="","",IF(U176&lt;=0,IF(S176&gt;0,99,0),ROUND(S176/U176,1)))</f>
        <v>0</v>
      </c>
      <c r="Y176" s="8">
        <f>IF(A176="","",U176*10+IF(O176="Yes",5,0)+IF(X176&lt;1,10,0)+IF(S176&lt;=0,3,0))</f>
        <v>0</v>
      </c>
      <c r="Z176" s="8">
        <f>IF(A176="","",COUNTIFS($Y$5:$Y$304,"&gt;"&amp;Y176)+1)</f>
        <v>0</v>
      </c>
      <c r="AA176" s="8">
        <f>IF(A176="","",IF(OR(U176&gt;0,AND(O176="Yes",X176&lt;2)),"Yes","No"))</f>
        <v>0</v>
      </c>
      <c r="AB176" s="8">
        <f>IF(OR(A176="",D176=""),"",S176*D176)</f>
        <v>0</v>
      </c>
      <c r="AC176" s="8">
        <f>IF(AB176="","",COUNTIFS($AB$5:$AB$304,"&gt;"&amp;AB176)+1)</f>
        <v>0</v>
      </c>
      <c r="AD176" s="8">
        <f>IF(A176="","",SUMIFS('Food Waste'!$E$5:$E$154,'Food Waste'!$C$5:$C$154,A176))</f>
        <v>0</v>
      </c>
      <c r="AE176" s="8">
        <f>IF(OR(A176="",AD176=0),"",COUNTIFS($AD$5:$AD$304,"&gt;"&amp;AD176)+1)</f>
        <v>0</v>
      </c>
      <c r="AF176" s="8">
        <f>IF(A176="","",IF(SUMPRODUCT(MAX(('Grocery Spending'!$E$5:$E$404=A176)*'Grocery Spending'!$A$5:$A$404))=0,"",SUMPRODUCT(MAX(('Grocery Spending'!$E$5:$E$404=A176)*'Grocery Spending'!$A$5:$A$404))))</f>
        <v>0</v>
      </c>
      <c r="AG176" s="8">
        <f>IF(OR(A176="",AF176=""),"",IFERROR(AVERAGEIFS('Grocery Spending'!$I$5:$I$404,'Grocery Spending'!$E$5:$E$404,A176,'Grocery Spending'!$A$5:$A$404,AF176),""))</f>
        <v>0</v>
      </c>
      <c r="AH176" s="8">
        <f>IF(A176="","",IFERROR(AVERAGEIFS('Grocery Spending'!$I$5:$I$404,'Grocery Spending'!$E$5:$E$404,A176),""))</f>
        <v>0</v>
      </c>
      <c r="AI176" s="8">
        <f>IF(A176="","",IF(SUMPRODUCT(MIN(('Grocery Spending'!$E$5:$E$404=A176)*'Grocery Spending'!$I$5:$I$404+('Grocery Spending'!$E$5:$E$404&lt;&gt;A176)*1000000))&gt;=1000000,"",SUMPRODUCT(MIN(('Grocery Spending'!$E$5:$E$404=A176)*'Grocery Spending'!$I$5:$I$404+('Grocery Spending'!$E$5:$E$404&lt;&gt;A176)*1000000))))</f>
        <v>0</v>
      </c>
      <c r="AJ176" s="8">
        <f>IF(A176="","",SUMPRODUCT(MAX(('Grocery Spending'!$E$5:$E$404=A176)*'Grocery Spending'!$I$5:$I$404)))</f>
        <v>0</v>
      </c>
      <c r="AK176" s="8">
        <f>IF(OR(A176="",AI176="",AJ176=0),"",AJ176-AI176)</f>
        <v>0</v>
      </c>
      <c r="AL176" s="8">
        <f>IF(OR(A176="",AG176="",AH176=""),"",AG176-AH176)</f>
        <v>0</v>
      </c>
      <c r="AM176" s="8">
        <f>IF(A176="","",IF(AL176="","",IF(AL176&gt;0.01,"Up",IF(AL176&lt;-0.01,"Down","Flat"))))</f>
        <v>0</v>
      </c>
      <c r="AN176" s="25"/>
    </row>
    <row r="177" spans="1:40">
      <c r="A177" s="7"/>
      <c r="B177" s="27"/>
      <c r="C177" s="27"/>
      <c r="D177" s="28"/>
      <c r="E177" s="27"/>
      <c r="F177" s="26"/>
      <c r="G177" s="8">
        <f>IF(OR(D177="",F177="",F177=0),"",D177/F177)</f>
        <v>0</v>
      </c>
      <c r="H177" s="26"/>
      <c r="I177" s="26"/>
      <c r="J177" s="26"/>
      <c r="K177" s="26"/>
      <c r="L177" s="26"/>
      <c r="M177" s="26"/>
      <c r="N177" s="27"/>
      <c r="O177" s="27"/>
      <c r="P177" s="27"/>
      <c r="Q177" s="27"/>
      <c r="R177" s="7"/>
      <c r="S177" s="8">
        <f>IF(A177="","",SUMIFS(Pantry!$C$5:$C$304,Pantry!$A$5:$A$304,A177))</f>
        <v>0</v>
      </c>
      <c r="T177" s="8">
        <f>IF(A177="","",COUNTIFS('Grocery List'!$A$5:$A$304,A177,'Grocery List'!$N$5:$N$304,"Yes"))</f>
        <v>0</v>
      </c>
      <c r="U177" s="8">
        <f>IF(A177="","",SUMIFS('Grocery List'!$M$5:$M$304,'Grocery List'!$A$5:$A$304,A177))</f>
        <v>0</v>
      </c>
      <c r="V177" s="8">
        <f>IF(A177="","",COUNTIFS('Recipe Ingredients'!$B$5:$B$1204,A177))</f>
        <v>0</v>
      </c>
      <c r="W177" s="8">
        <f>IF(A177="","",SUMIFS('Recipe Ingredients'!$C$5:$C$1204,'Recipe Ingredients'!$B$5:$B$1204,A177))</f>
        <v>0</v>
      </c>
      <c r="X177" s="8">
        <f>IF(A177="","",IF(U177&lt;=0,IF(S177&gt;0,99,0),ROUND(S177/U177,1)))</f>
        <v>0</v>
      </c>
      <c r="Y177" s="8">
        <f>IF(A177="","",U177*10+IF(O177="Yes",5,0)+IF(X177&lt;1,10,0)+IF(S177&lt;=0,3,0))</f>
        <v>0</v>
      </c>
      <c r="Z177" s="8">
        <f>IF(A177="","",COUNTIFS($Y$5:$Y$304,"&gt;"&amp;Y177)+1)</f>
        <v>0</v>
      </c>
      <c r="AA177" s="8">
        <f>IF(A177="","",IF(OR(U177&gt;0,AND(O177="Yes",X177&lt;2)),"Yes","No"))</f>
        <v>0</v>
      </c>
      <c r="AB177" s="8">
        <f>IF(OR(A177="",D177=""),"",S177*D177)</f>
        <v>0</v>
      </c>
      <c r="AC177" s="8">
        <f>IF(AB177="","",COUNTIFS($AB$5:$AB$304,"&gt;"&amp;AB177)+1)</f>
        <v>0</v>
      </c>
      <c r="AD177" s="8">
        <f>IF(A177="","",SUMIFS('Food Waste'!$E$5:$E$154,'Food Waste'!$C$5:$C$154,A177))</f>
        <v>0</v>
      </c>
      <c r="AE177" s="8">
        <f>IF(OR(A177="",AD177=0),"",COUNTIFS($AD$5:$AD$304,"&gt;"&amp;AD177)+1)</f>
        <v>0</v>
      </c>
      <c r="AF177" s="8">
        <f>IF(A177="","",IF(SUMPRODUCT(MAX(('Grocery Spending'!$E$5:$E$404=A177)*'Grocery Spending'!$A$5:$A$404))=0,"",SUMPRODUCT(MAX(('Grocery Spending'!$E$5:$E$404=A177)*'Grocery Spending'!$A$5:$A$404))))</f>
        <v>0</v>
      </c>
      <c r="AG177" s="8">
        <f>IF(OR(A177="",AF177=""),"",IFERROR(AVERAGEIFS('Grocery Spending'!$I$5:$I$404,'Grocery Spending'!$E$5:$E$404,A177,'Grocery Spending'!$A$5:$A$404,AF177),""))</f>
        <v>0</v>
      </c>
      <c r="AH177" s="8">
        <f>IF(A177="","",IFERROR(AVERAGEIFS('Grocery Spending'!$I$5:$I$404,'Grocery Spending'!$E$5:$E$404,A177),""))</f>
        <v>0</v>
      </c>
      <c r="AI177" s="8">
        <f>IF(A177="","",IF(SUMPRODUCT(MIN(('Grocery Spending'!$E$5:$E$404=A177)*'Grocery Spending'!$I$5:$I$404+('Grocery Spending'!$E$5:$E$404&lt;&gt;A177)*1000000))&gt;=1000000,"",SUMPRODUCT(MIN(('Grocery Spending'!$E$5:$E$404=A177)*'Grocery Spending'!$I$5:$I$404+('Grocery Spending'!$E$5:$E$404&lt;&gt;A177)*1000000))))</f>
        <v>0</v>
      </c>
      <c r="AJ177" s="8">
        <f>IF(A177="","",SUMPRODUCT(MAX(('Grocery Spending'!$E$5:$E$404=A177)*'Grocery Spending'!$I$5:$I$404)))</f>
        <v>0</v>
      </c>
      <c r="AK177" s="8">
        <f>IF(OR(A177="",AI177="",AJ177=0),"",AJ177-AI177)</f>
        <v>0</v>
      </c>
      <c r="AL177" s="8">
        <f>IF(OR(A177="",AG177="",AH177=""),"",AG177-AH177)</f>
        <v>0</v>
      </c>
      <c r="AM177" s="8">
        <f>IF(A177="","",IF(AL177="","",IF(AL177&gt;0.01,"Up",IF(AL177&lt;-0.01,"Down","Flat"))))</f>
        <v>0</v>
      </c>
      <c r="AN177" s="25"/>
    </row>
    <row r="178" spans="1:40">
      <c r="A178" s="7"/>
      <c r="B178" s="27"/>
      <c r="C178" s="27"/>
      <c r="D178" s="28"/>
      <c r="E178" s="27"/>
      <c r="F178" s="26"/>
      <c r="G178" s="8">
        <f>IF(OR(D178="",F178="",F178=0),"",D178/F178)</f>
        <v>0</v>
      </c>
      <c r="H178" s="26"/>
      <c r="I178" s="26"/>
      <c r="J178" s="26"/>
      <c r="K178" s="26"/>
      <c r="L178" s="26"/>
      <c r="M178" s="26"/>
      <c r="N178" s="27"/>
      <c r="O178" s="27"/>
      <c r="P178" s="27"/>
      <c r="Q178" s="27"/>
      <c r="R178" s="7"/>
      <c r="S178" s="8">
        <f>IF(A178="","",SUMIFS(Pantry!$C$5:$C$304,Pantry!$A$5:$A$304,A178))</f>
        <v>0</v>
      </c>
      <c r="T178" s="8">
        <f>IF(A178="","",COUNTIFS('Grocery List'!$A$5:$A$304,A178,'Grocery List'!$N$5:$N$304,"Yes"))</f>
        <v>0</v>
      </c>
      <c r="U178" s="8">
        <f>IF(A178="","",SUMIFS('Grocery List'!$M$5:$M$304,'Grocery List'!$A$5:$A$304,A178))</f>
        <v>0</v>
      </c>
      <c r="V178" s="8">
        <f>IF(A178="","",COUNTIFS('Recipe Ingredients'!$B$5:$B$1204,A178))</f>
        <v>0</v>
      </c>
      <c r="W178" s="8">
        <f>IF(A178="","",SUMIFS('Recipe Ingredients'!$C$5:$C$1204,'Recipe Ingredients'!$B$5:$B$1204,A178))</f>
        <v>0</v>
      </c>
      <c r="X178" s="8">
        <f>IF(A178="","",IF(U178&lt;=0,IF(S178&gt;0,99,0),ROUND(S178/U178,1)))</f>
        <v>0</v>
      </c>
      <c r="Y178" s="8">
        <f>IF(A178="","",U178*10+IF(O178="Yes",5,0)+IF(X178&lt;1,10,0)+IF(S178&lt;=0,3,0))</f>
        <v>0</v>
      </c>
      <c r="Z178" s="8">
        <f>IF(A178="","",COUNTIFS($Y$5:$Y$304,"&gt;"&amp;Y178)+1)</f>
        <v>0</v>
      </c>
      <c r="AA178" s="8">
        <f>IF(A178="","",IF(OR(U178&gt;0,AND(O178="Yes",X178&lt;2)),"Yes","No"))</f>
        <v>0</v>
      </c>
      <c r="AB178" s="8">
        <f>IF(OR(A178="",D178=""),"",S178*D178)</f>
        <v>0</v>
      </c>
      <c r="AC178" s="8">
        <f>IF(AB178="","",COUNTIFS($AB$5:$AB$304,"&gt;"&amp;AB178)+1)</f>
        <v>0</v>
      </c>
      <c r="AD178" s="8">
        <f>IF(A178="","",SUMIFS('Food Waste'!$E$5:$E$154,'Food Waste'!$C$5:$C$154,A178))</f>
        <v>0</v>
      </c>
      <c r="AE178" s="8">
        <f>IF(OR(A178="",AD178=0),"",COUNTIFS($AD$5:$AD$304,"&gt;"&amp;AD178)+1)</f>
        <v>0</v>
      </c>
      <c r="AF178" s="8">
        <f>IF(A178="","",IF(SUMPRODUCT(MAX(('Grocery Spending'!$E$5:$E$404=A178)*'Grocery Spending'!$A$5:$A$404))=0,"",SUMPRODUCT(MAX(('Grocery Spending'!$E$5:$E$404=A178)*'Grocery Spending'!$A$5:$A$404))))</f>
        <v>0</v>
      </c>
      <c r="AG178" s="8">
        <f>IF(OR(A178="",AF178=""),"",IFERROR(AVERAGEIFS('Grocery Spending'!$I$5:$I$404,'Grocery Spending'!$E$5:$E$404,A178,'Grocery Spending'!$A$5:$A$404,AF178),""))</f>
        <v>0</v>
      </c>
      <c r="AH178" s="8">
        <f>IF(A178="","",IFERROR(AVERAGEIFS('Grocery Spending'!$I$5:$I$404,'Grocery Spending'!$E$5:$E$404,A178),""))</f>
        <v>0</v>
      </c>
      <c r="AI178" s="8">
        <f>IF(A178="","",IF(SUMPRODUCT(MIN(('Grocery Spending'!$E$5:$E$404=A178)*'Grocery Spending'!$I$5:$I$404+('Grocery Spending'!$E$5:$E$404&lt;&gt;A178)*1000000))&gt;=1000000,"",SUMPRODUCT(MIN(('Grocery Spending'!$E$5:$E$404=A178)*'Grocery Spending'!$I$5:$I$404+('Grocery Spending'!$E$5:$E$404&lt;&gt;A178)*1000000))))</f>
        <v>0</v>
      </c>
      <c r="AJ178" s="8">
        <f>IF(A178="","",SUMPRODUCT(MAX(('Grocery Spending'!$E$5:$E$404=A178)*'Grocery Spending'!$I$5:$I$404)))</f>
        <v>0</v>
      </c>
      <c r="AK178" s="8">
        <f>IF(OR(A178="",AI178="",AJ178=0),"",AJ178-AI178)</f>
        <v>0</v>
      </c>
      <c r="AL178" s="8">
        <f>IF(OR(A178="",AG178="",AH178=""),"",AG178-AH178)</f>
        <v>0</v>
      </c>
      <c r="AM178" s="8">
        <f>IF(A178="","",IF(AL178="","",IF(AL178&gt;0.01,"Up",IF(AL178&lt;-0.01,"Down","Flat"))))</f>
        <v>0</v>
      </c>
      <c r="AN178" s="25"/>
    </row>
    <row r="179" spans="1:40">
      <c r="A179" s="7"/>
      <c r="B179" s="27"/>
      <c r="C179" s="27"/>
      <c r="D179" s="28"/>
      <c r="E179" s="27"/>
      <c r="F179" s="26"/>
      <c r="G179" s="8">
        <f>IF(OR(D179="",F179="",F179=0),"",D179/F179)</f>
        <v>0</v>
      </c>
      <c r="H179" s="26"/>
      <c r="I179" s="26"/>
      <c r="J179" s="26"/>
      <c r="K179" s="26"/>
      <c r="L179" s="26"/>
      <c r="M179" s="26"/>
      <c r="N179" s="27"/>
      <c r="O179" s="27"/>
      <c r="P179" s="27"/>
      <c r="Q179" s="27"/>
      <c r="R179" s="7"/>
      <c r="S179" s="8">
        <f>IF(A179="","",SUMIFS(Pantry!$C$5:$C$304,Pantry!$A$5:$A$304,A179))</f>
        <v>0</v>
      </c>
      <c r="T179" s="8">
        <f>IF(A179="","",COUNTIFS('Grocery List'!$A$5:$A$304,A179,'Grocery List'!$N$5:$N$304,"Yes"))</f>
        <v>0</v>
      </c>
      <c r="U179" s="8">
        <f>IF(A179="","",SUMIFS('Grocery List'!$M$5:$M$304,'Grocery List'!$A$5:$A$304,A179))</f>
        <v>0</v>
      </c>
      <c r="V179" s="8">
        <f>IF(A179="","",COUNTIFS('Recipe Ingredients'!$B$5:$B$1204,A179))</f>
        <v>0</v>
      </c>
      <c r="W179" s="8">
        <f>IF(A179="","",SUMIFS('Recipe Ingredients'!$C$5:$C$1204,'Recipe Ingredients'!$B$5:$B$1204,A179))</f>
        <v>0</v>
      </c>
      <c r="X179" s="8">
        <f>IF(A179="","",IF(U179&lt;=0,IF(S179&gt;0,99,0),ROUND(S179/U179,1)))</f>
        <v>0</v>
      </c>
      <c r="Y179" s="8">
        <f>IF(A179="","",U179*10+IF(O179="Yes",5,0)+IF(X179&lt;1,10,0)+IF(S179&lt;=0,3,0))</f>
        <v>0</v>
      </c>
      <c r="Z179" s="8">
        <f>IF(A179="","",COUNTIFS($Y$5:$Y$304,"&gt;"&amp;Y179)+1)</f>
        <v>0</v>
      </c>
      <c r="AA179" s="8">
        <f>IF(A179="","",IF(OR(U179&gt;0,AND(O179="Yes",X179&lt;2)),"Yes","No"))</f>
        <v>0</v>
      </c>
      <c r="AB179" s="8">
        <f>IF(OR(A179="",D179=""),"",S179*D179)</f>
        <v>0</v>
      </c>
      <c r="AC179" s="8">
        <f>IF(AB179="","",COUNTIFS($AB$5:$AB$304,"&gt;"&amp;AB179)+1)</f>
        <v>0</v>
      </c>
      <c r="AD179" s="8">
        <f>IF(A179="","",SUMIFS('Food Waste'!$E$5:$E$154,'Food Waste'!$C$5:$C$154,A179))</f>
        <v>0</v>
      </c>
      <c r="AE179" s="8">
        <f>IF(OR(A179="",AD179=0),"",COUNTIFS($AD$5:$AD$304,"&gt;"&amp;AD179)+1)</f>
        <v>0</v>
      </c>
      <c r="AF179" s="8">
        <f>IF(A179="","",IF(SUMPRODUCT(MAX(('Grocery Spending'!$E$5:$E$404=A179)*'Grocery Spending'!$A$5:$A$404))=0,"",SUMPRODUCT(MAX(('Grocery Spending'!$E$5:$E$404=A179)*'Grocery Spending'!$A$5:$A$404))))</f>
        <v>0</v>
      </c>
      <c r="AG179" s="8">
        <f>IF(OR(A179="",AF179=""),"",IFERROR(AVERAGEIFS('Grocery Spending'!$I$5:$I$404,'Grocery Spending'!$E$5:$E$404,A179,'Grocery Spending'!$A$5:$A$404,AF179),""))</f>
        <v>0</v>
      </c>
      <c r="AH179" s="8">
        <f>IF(A179="","",IFERROR(AVERAGEIFS('Grocery Spending'!$I$5:$I$404,'Grocery Spending'!$E$5:$E$404,A179),""))</f>
        <v>0</v>
      </c>
      <c r="AI179" s="8">
        <f>IF(A179="","",IF(SUMPRODUCT(MIN(('Grocery Spending'!$E$5:$E$404=A179)*'Grocery Spending'!$I$5:$I$404+('Grocery Spending'!$E$5:$E$404&lt;&gt;A179)*1000000))&gt;=1000000,"",SUMPRODUCT(MIN(('Grocery Spending'!$E$5:$E$404=A179)*'Grocery Spending'!$I$5:$I$404+('Grocery Spending'!$E$5:$E$404&lt;&gt;A179)*1000000))))</f>
        <v>0</v>
      </c>
      <c r="AJ179" s="8">
        <f>IF(A179="","",SUMPRODUCT(MAX(('Grocery Spending'!$E$5:$E$404=A179)*'Grocery Spending'!$I$5:$I$404)))</f>
        <v>0</v>
      </c>
      <c r="AK179" s="8">
        <f>IF(OR(A179="",AI179="",AJ179=0),"",AJ179-AI179)</f>
        <v>0</v>
      </c>
      <c r="AL179" s="8">
        <f>IF(OR(A179="",AG179="",AH179=""),"",AG179-AH179)</f>
        <v>0</v>
      </c>
      <c r="AM179" s="8">
        <f>IF(A179="","",IF(AL179="","",IF(AL179&gt;0.01,"Up",IF(AL179&lt;-0.01,"Down","Flat"))))</f>
        <v>0</v>
      </c>
      <c r="AN179" s="25"/>
    </row>
    <row r="180" spans="1:40">
      <c r="A180" s="7"/>
      <c r="B180" s="27"/>
      <c r="C180" s="27"/>
      <c r="D180" s="28"/>
      <c r="E180" s="27"/>
      <c r="F180" s="26"/>
      <c r="G180" s="8">
        <f>IF(OR(D180="",F180="",F180=0),"",D180/F180)</f>
        <v>0</v>
      </c>
      <c r="H180" s="26"/>
      <c r="I180" s="26"/>
      <c r="J180" s="26"/>
      <c r="K180" s="26"/>
      <c r="L180" s="26"/>
      <c r="M180" s="26"/>
      <c r="N180" s="27"/>
      <c r="O180" s="27"/>
      <c r="P180" s="27"/>
      <c r="Q180" s="27"/>
      <c r="R180" s="7"/>
      <c r="S180" s="8">
        <f>IF(A180="","",SUMIFS(Pantry!$C$5:$C$304,Pantry!$A$5:$A$304,A180))</f>
        <v>0</v>
      </c>
      <c r="T180" s="8">
        <f>IF(A180="","",COUNTIFS('Grocery List'!$A$5:$A$304,A180,'Grocery List'!$N$5:$N$304,"Yes"))</f>
        <v>0</v>
      </c>
      <c r="U180" s="8">
        <f>IF(A180="","",SUMIFS('Grocery List'!$M$5:$M$304,'Grocery List'!$A$5:$A$304,A180))</f>
        <v>0</v>
      </c>
      <c r="V180" s="8">
        <f>IF(A180="","",COUNTIFS('Recipe Ingredients'!$B$5:$B$1204,A180))</f>
        <v>0</v>
      </c>
      <c r="W180" s="8">
        <f>IF(A180="","",SUMIFS('Recipe Ingredients'!$C$5:$C$1204,'Recipe Ingredients'!$B$5:$B$1204,A180))</f>
        <v>0</v>
      </c>
      <c r="X180" s="8">
        <f>IF(A180="","",IF(U180&lt;=0,IF(S180&gt;0,99,0),ROUND(S180/U180,1)))</f>
        <v>0</v>
      </c>
      <c r="Y180" s="8">
        <f>IF(A180="","",U180*10+IF(O180="Yes",5,0)+IF(X180&lt;1,10,0)+IF(S180&lt;=0,3,0))</f>
        <v>0</v>
      </c>
      <c r="Z180" s="8">
        <f>IF(A180="","",COUNTIFS($Y$5:$Y$304,"&gt;"&amp;Y180)+1)</f>
        <v>0</v>
      </c>
      <c r="AA180" s="8">
        <f>IF(A180="","",IF(OR(U180&gt;0,AND(O180="Yes",X180&lt;2)),"Yes","No"))</f>
        <v>0</v>
      </c>
      <c r="AB180" s="8">
        <f>IF(OR(A180="",D180=""),"",S180*D180)</f>
        <v>0</v>
      </c>
      <c r="AC180" s="8">
        <f>IF(AB180="","",COUNTIFS($AB$5:$AB$304,"&gt;"&amp;AB180)+1)</f>
        <v>0</v>
      </c>
      <c r="AD180" s="8">
        <f>IF(A180="","",SUMIFS('Food Waste'!$E$5:$E$154,'Food Waste'!$C$5:$C$154,A180))</f>
        <v>0</v>
      </c>
      <c r="AE180" s="8">
        <f>IF(OR(A180="",AD180=0),"",COUNTIFS($AD$5:$AD$304,"&gt;"&amp;AD180)+1)</f>
        <v>0</v>
      </c>
      <c r="AF180" s="8">
        <f>IF(A180="","",IF(SUMPRODUCT(MAX(('Grocery Spending'!$E$5:$E$404=A180)*'Grocery Spending'!$A$5:$A$404))=0,"",SUMPRODUCT(MAX(('Grocery Spending'!$E$5:$E$404=A180)*'Grocery Spending'!$A$5:$A$404))))</f>
        <v>0</v>
      </c>
      <c r="AG180" s="8">
        <f>IF(OR(A180="",AF180=""),"",IFERROR(AVERAGEIFS('Grocery Spending'!$I$5:$I$404,'Grocery Spending'!$E$5:$E$404,A180,'Grocery Spending'!$A$5:$A$404,AF180),""))</f>
        <v>0</v>
      </c>
      <c r="AH180" s="8">
        <f>IF(A180="","",IFERROR(AVERAGEIFS('Grocery Spending'!$I$5:$I$404,'Grocery Spending'!$E$5:$E$404,A180),""))</f>
        <v>0</v>
      </c>
      <c r="AI180" s="8">
        <f>IF(A180="","",IF(SUMPRODUCT(MIN(('Grocery Spending'!$E$5:$E$404=A180)*'Grocery Spending'!$I$5:$I$404+('Grocery Spending'!$E$5:$E$404&lt;&gt;A180)*1000000))&gt;=1000000,"",SUMPRODUCT(MIN(('Grocery Spending'!$E$5:$E$404=A180)*'Grocery Spending'!$I$5:$I$404+('Grocery Spending'!$E$5:$E$404&lt;&gt;A180)*1000000))))</f>
        <v>0</v>
      </c>
      <c r="AJ180" s="8">
        <f>IF(A180="","",SUMPRODUCT(MAX(('Grocery Spending'!$E$5:$E$404=A180)*'Grocery Spending'!$I$5:$I$404)))</f>
        <v>0</v>
      </c>
      <c r="AK180" s="8">
        <f>IF(OR(A180="",AI180="",AJ180=0),"",AJ180-AI180)</f>
        <v>0</v>
      </c>
      <c r="AL180" s="8">
        <f>IF(OR(A180="",AG180="",AH180=""),"",AG180-AH180)</f>
        <v>0</v>
      </c>
      <c r="AM180" s="8">
        <f>IF(A180="","",IF(AL180="","",IF(AL180&gt;0.01,"Up",IF(AL180&lt;-0.01,"Down","Flat"))))</f>
        <v>0</v>
      </c>
      <c r="AN180" s="25"/>
    </row>
    <row r="181" spans="1:40">
      <c r="A181" s="7"/>
      <c r="B181" s="27"/>
      <c r="C181" s="27"/>
      <c r="D181" s="28"/>
      <c r="E181" s="27"/>
      <c r="F181" s="26"/>
      <c r="G181" s="8">
        <f>IF(OR(D181="",F181="",F181=0),"",D181/F181)</f>
        <v>0</v>
      </c>
      <c r="H181" s="26"/>
      <c r="I181" s="26"/>
      <c r="J181" s="26"/>
      <c r="K181" s="26"/>
      <c r="L181" s="26"/>
      <c r="M181" s="26"/>
      <c r="N181" s="27"/>
      <c r="O181" s="27"/>
      <c r="P181" s="27"/>
      <c r="Q181" s="27"/>
      <c r="R181" s="7"/>
      <c r="S181" s="8">
        <f>IF(A181="","",SUMIFS(Pantry!$C$5:$C$304,Pantry!$A$5:$A$304,A181))</f>
        <v>0</v>
      </c>
      <c r="T181" s="8">
        <f>IF(A181="","",COUNTIFS('Grocery List'!$A$5:$A$304,A181,'Grocery List'!$N$5:$N$304,"Yes"))</f>
        <v>0</v>
      </c>
      <c r="U181" s="8">
        <f>IF(A181="","",SUMIFS('Grocery List'!$M$5:$M$304,'Grocery List'!$A$5:$A$304,A181))</f>
        <v>0</v>
      </c>
      <c r="V181" s="8">
        <f>IF(A181="","",COUNTIFS('Recipe Ingredients'!$B$5:$B$1204,A181))</f>
        <v>0</v>
      </c>
      <c r="W181" s="8">
        <f>IF(A181="","",SUMIFS('Recipe Ingredients'!$C$5:$C$1204,'Recipe Ingredients'!$B$5:$B$1204,A181))</f>
        <v>0</v>
      </c>
      <c r="X181" s="8">
        <f>IF(A181="","",IF(U181&lt;=0,IF(S181&gt;0,99,0),ROUND(S181/U181,1)))</f>
        <v>0</v>
      </c>
      <c r="Y181" s="8">
        <f>IF(A181="","",U181*10+IF(O181="Yes",5,0)+IF(X181&lt;1,10,0)+IF(S181&lt;=0,3,0))</f>
        <v>0</v>
      </c>
      <c r="Z181" s="8">
        <f>IF(A181="","",COUNTIFS($Y$5:$Y$304,"&gt;"&amp;Y181)+1)</f>
        <v>0</v>
      </c>
      <c r="AA181" s="8">
        <f>IF(A181="","",IF(OR(U181&gt;0,AND(O181="Yes",X181&lt;2)),"Yes","No"))</f>
        <v>0</v>
      </c>
      <c r="AB181" s="8">
        <f>IF(OR(A181="",D181=""),"",S181*D181)</f>
        <v>0</v>
      </c>
      <c r="AC181" s="8">
        <f>IF(AB181="","",COUNTIFS($AB$5:$AB$304,"&gt;"&amp;AB181)+1)</f>
        <v>0</v>
      </c>
      <c r="AD181" s="8">
        <f>IF(A181="","",SUMIFS('Food Waste'!$E$5:$E$154,'Food Waste'!$C$5:$C$154,A181))</f>
        <v>0</v>
      </c>
      <c r="AE181" s="8">
        <f>IF(OR(A181="",AD181=0),"",COUNTIFS($AD$5:$AD$304,"&gt;"&amp;AD181)+1)</f>
        <v>0</v>
      </c>
      <c r="AF181" s="8">
        <f>IF(A181="","",IF(SUMPRODUCT(MAX(('Grocery Spending'!$E$5:$E$404=A181)*'Grocery Spending'!$A$5:$A$404))=0,"",SUMPRODUCT(MAX(('Grocery Spending'!$E$5:$E$404=A181)*'Grocery Spending'!$A$5:$A$404))))</f>
        <v>0</v>
      </c>
      <c r="AG181" s="8">
        <f>IF(OR(A181="",AF181=""),"",IFERROR(AVERAGEIFS('Grocery Spending'!$I$5:$I$404,'Grocery Spending'!$E$5:$E$404,A181,'Grocery Spending'!$A$5:$A$404,AF181),""))</f>
        <v>0</v>
      </c>
      <c r="AH181" s="8">
        <f>IF(A181="","",IFERROR(AVERAGEIFS('Grocery Spending'!$I$5:$I$404,'Grocery Spending'!$E$5:$E$404,A181),""))</f>
        <v>0</v>
      </c>
      <c r="AI181" s="8">
        <f>IF(A181="","",IF(SUMPRODUCT(MIN(('Grocery Spending'!$E$5:$E$404=A181)*'Grocery Spending'!$I$5:$I$404+('Grocery Spending'!$E$5:$E$404&lt;&gt;A181)*1000000))&gt;=1000000,"",SUMPRODUCT(MIN(('Grocery Spending'!$E$5:$E$404=A181)*'Grocery Spending'!$I$5:$I$404+('Grocery Spending'!$E$5:$E$404&lt;&gt;A181)*1000000))))</f>
        <v>0</v>
      </c>
      <c r="AJ181" s="8">
        <f>IF(A181="","",SUMPRODUCT(MAX(('Grocery Spending'!$E$5:$E$404=A181)*'Grocery Spending'!$I$5:$I$404)))</f>
        <v>0</v>
      </c>
      <c r="AK181" s="8">
        <f>IF(OR(A181="",AI181="",AJ181=0),"",AJ181-AI181)</f>
        <v>0</v>
      </c>
      <c r="AL181" s="8">
        <f>IF(OR(A181="",AG181="",AH181=""),"",AG181-AH181)</f>
        <v>0</v>
      </c>
      <c r="AM181" s="8">
        <f>IF(A181="","",IF(AL181="","",IF(AL181&gt;0.01,"Up",IF(AL181&lt;-0.01,"Down","Flat"))))</f>
        <v>0</v>
      </c>
      <c r="AN181" s="25"/>
    </row>
    <row r="182" spans="1:40">
      <c r="A182" s="7"/>
      <c r="B182" s="27"/>
      <c r="C182" s="27"/>
      <c r="D182" s="28"/>
      <c r="E182" s="27"/>
      <c r="F182" s="26"/>
      <c r="G182" s="8">
        <f>IF(OR(D182="",F182="",F182=0),"",D182/F182)</f>
        <v>0</v>
      </c>
      <c r="H182" s="26"/>
      <c r="I182" s="26"/>
      <c r="J182" s="26"/>
      <c r="K182" s="26"/>
      <c r="L182" s="26"/>
      <c r="M182" s="26"/>
      <c r="N182" s="27"/>
      <c r="O182" s="27"/>
      <c r="P182" s="27"/>
      <c r="Q182" s="27"/>
      <c r="R182" s="7"/>
      <c r="S182" s="8">
        <f>IF(A182="","",SUMIFS(Pantry!$C$5:$C$304,Pantry!$A$5:$A$304,A182))</f>
        <v>0</v>
      </c>
      <c r="T182" s="8">
        <f>IF(A182="","",COUNTIFS('Grocery List'!$A$5:$A$304,A182,'Grocery List'!$N$5:$N$304,"Yes"))</f>
        <v>0</v>
      </c>
      <c r="U182" s="8">
        <f>IF(A182="","",SUMIFS('Grocery List'!$M$5:$M$304,'Grocery List'!$A$5:$A$304,A182))</f>
        <v>0</v>
      </c>
      <c r="V182" s="8">
        <f>IF(A182="","",COUNTIFS('Recipe Ingredients'!$B$5:$B$1204,A182))</f>
        <v>0</v>
      </c>
      <c r="W182" s="8">
        <f>IF(A182="","",SUMIFS('Recipe Ingredients'!$C$5:$C$1204,'Recipe Ingredients'!$B$5:$B$1204,A182))</f>
        <v>0</v>
      </c>
      <c r="X182" s="8">
        <f>IF(A182="","",IF(U182&lt;=0,IF(S182&gt;0,99,0),ROUND(S182/U182,1)))</f>
        <v>0</v>
      </c>
      <c r="Y182" s="8">
        <f>IF(A182="","",U182*10+IF(O182="Yes",5,0)+IF(X182&lt;1,10,0)+IF(S182&lt;=0,3,0))</f>
        <v>0</v>
      </c>
      <c r="Z182" s="8">
        <f>IF(A182="","",COUNTIFS($Y$5:$Y$304,"&gt;"&amp;Y182)+1)</f>
        <v>0</v>
      </c>
      <c r="AA182" s="8">
        <f>IF(A182="","",IF(OR(U182&gt;0,AND(O182="Yes",X182&lt;2)),"Yes","No"))</f>
        <v>0</v>
      </c>
      <c r="AB182" s="8">
        <f>IF(OR(A182="",D182=""),"",S182*D182)</f>
        <v>0</v>
      </c>
      <c r="AC182" s="8">
        <f>IF(AB182="","",COUNTIFS($AB$5:$AB$304,"&gt;"&amp;AB182)+1)</f>
        <v>0</v>
      </c>
      <c r="AD182" s="8">
        <f>IF(A182="","",SUMIFS('Food Waste'!$E$5:$E$154,'Food Waste'!$C$5:$C$154,A182))</f>
        <v>0</v>
      </c>
      <c r="AE182" s="8">
        <f>IF(OR(A182="",AD182=0),"",COUNTIFS($AD$5:$AD$304,"&gt;"&amp;AD182)+1)</f>
        <v>0</v>
      </c>
      <c r="AF182" s="8">
        <f>IF(A182="","",IF(SUMPRODUCT(MAX(('Grocery Spending'!$E$5:$E$404=A182)*'Grocery Spending'!$A$5:$A$404))=0,"",SUMPRODUCT(MAX(('Grocery Spending'!$E$5:$E$404=A182)*'Grocery Spending'!$A$5:$A$404))))</f>
        <v>0</v>
      </c>
      <c r="AG182" s="8">
        <f>IF(OR(A182="",AF182=""),"",IFERROR(AVERAGEIFS('Grocery Spending'!$I$5:$I$404,'Grocery Spending'!$E$5:$E$404,A182,'Grocery Spending'!$A$5:$A$404,AF182),""))</f>
        <v>0</v>
      </c>
      <c r="AH182" s="8">
        <f>IF(A182="","",IFERROR(AVERAGEIFS('Grocery Spending'!$I$5:$I$404,'Grocery Spending'!$E$5:$E$404,A182),""))</f>
        <v>0</v>
      </c>
      <c r="AI182" s="8">
        <f>IF(A182="","",IF(SUMPRODUCT(MIN(('Grocery Spending'!$E$5:$E$404=A182)*'Grocery Spending'!$I$5:$I$404+('Grocery Spending'!$E$5:$E$404&lt;&gt;A182)*1000000))&gt;=1000000,"",SUMPRODUCT(MIN(('Grocery Spending'!$E$5:$E$404=A182)*'Grocery Spending'!$I$5:$I$404+('Grocery Spending'!$E$5:$E$404&lt;&gt;A182)*1000000))))</f>
        <v>0</v>
      </c>
      <c r="AJ182" s="8">
        <f>IF(A182="","",SUMPRODUCT(MAX(('Grocery Spending'!$E$5:$E$404=A182)*'Grocery Spending'!$I$5:$I$404)))</f>
        <v>0</v>
      </c>
      <c r="AK182" s="8">
        <f>IF(OR(A182="",AI182="",AJ182=0),"",AJ182-AI182)</f>
        <v>0</v>
      </c>
      <c r="AL182" s="8">
        <f>IF(OR(A182="",AG182="",AH182=""),"",AG182-AH182)</f>
        <v>0</v>
      </c>
      <c r="AM182" s="8">
        <f>IF(A182="","",IF(AL182="","",IF(AL182&gt;0.01,"Up",IF(AL182&lt;-0.01,"Down","Flat"))))</f>
        <v>0</v>
      </c>
      <c r="AN182" s="25"/>
    </row>
    <row r="183" spans="1:40">
      <c r="A183" s="7"/>
      <c r="B183" s="27"/>
      <c r="C183" s="27"/>
      <c r="D183" s="28"/>
      <c r="E183" s="27"/>
      <c r="F183" s="26"/>
      <c r="G183" s="8">
        <f>IF(OR(D183="",F183="",F183=0),"",D183/F183)</f>
        <v>0</v>
      </c>
      <c r="H183" s="26"/>
      <c r="I183" s="26"/>
      <c r="J183" s="26"/>
      <c r="K183" s="26"/>
      <c r="L183" s="26"/>
      <c r="M183" s="26"/>
      <c r="N183" s="27"/>
      <c r="O183" s="27"/>
      <c r="P183" s="27"/>
      <c r="Q183" s="27"/>
      <c r="R183" s="7"/>
      <c r="S183" s="8">
        <f>IF(A183="","",SUMIFS(Pantry!$C$5:$C$304,Pantry!$A$5:$A$304,A183))</f>
        <v>0</v>
      </c>
      <c r="T183" s="8">
        <f>IF(A183="","",COUNTIFS('Grocery List'!$A$5:$A$304,A183,'Grocery List'!$N$5:$N$304,"Yes"))</f>
        <v>0</v>
      </c>
      <c r="U183" s="8">
        <f>IF(A183="","",SUMIFS('Grocery List'!$M$5:$M$304,'Grocery List'!$A$5:$A$304,A183))</f>
        <v>0</v>
      </c>
      <c r="V183" s="8">
        <f>IF(A183="","",COUNTIFS('Recipe Ingredients'!$B$5:$B$1204,A183))</f>
        <v>0</v>
      </c>
      <c r="W183" s="8">
        <f>IF(A183="","",SUMIFS('Recipe Ingredients'!$C$5:$C$1204,'Recipe Ingredients'!$B$5:$B$1204,A183))</f>
        <v>0</v>
      </c>
      <c r="X183" s="8">
        <f>IF(A183="","",IF(U183&lt;=0,IF(S183&gt;0,99,0),ROUND(S183/U183,1)))</f>
        <v>0</v>
      </c>
      <c r="Y183" s="8">
        <f>IF(A183="","",U183*10+IF(O183="Yes",5,0)+IF(X183&lt;1,10,0)+IF(S183&lt;=0,3,0))</f>
        <v>0</v>
      </c>
      <c r="Z183" s="8">
        <f>IF(A183="","",COUNTIFS($Y$5:$Y$304,"&gt;"&amp;Y183)+1)</f>
        <v>0</v>
      </c>
      <c r="AA183" s="8">
        <f>IF(A183="","",IF(OR(U183&gt;0,AND(O183="Yes",X183&lt;2)),"Yes","No"))</f>
        <v>0</v>
      </c>
      <c r="AB183" s="8">
        <f>IF(OR(A183="",D183=""),"",S183*D183)</f>
        <v>0</v>
      </c>
      <c r="AC183" s="8">
        <f>IF(AB183="","",COUNTIFS($AB$5:$AB$304,"&gt;"&amp;AB183)+1)</f>
        <v>0</v>
      </c>
      <c r="AD183" s="8">
        <f>IF(A183="","",SUMIFS('Food Waste'!$E$5:$E$154,'Food Waste'!$C$5:$C$154,A183))</f>
        <v>0</v>
      </c>
      <c r="AE183" s="8">
        <f>IF(OR(A183="",AD183=0),"",COUNTIFS($AD$5:$AD$304,"&gt;"&amp;AD183)+1)</f>
        <v>0</v>
      </c>
      <c r="AF183" s="8">
        <f>IF(A183="","",IF(SUMPRODUCT(MAX(('Grocery Spending'!$E$5:$E$404=A183)*'Grocery Spending'!$A$5:$A$404))=0,"",SUMPRODUCT(MAX(('Grocery Spending'!$E$5:$E$404=A183)*'Grocery Spending'!$A$5:$A$404))))</f>
        <v>0</v>
      </c>
      <c r="AG183" s="8">
        <f>IF(OR(A183="",AF183=""),"",IFERROR(AVERAGEIFS('Grocery Spending'!$I$5:$I$404,'Grocery Spending'!$E$5:$E$404,A183,'Grocery Spending'!$A$5:$A$404,AF183),""))</f>
        <v>0</v>
      </c>
      <c r="AH183" s="8">
        <f>IF(A183="","",IFERROR(AVERAGEIFS('Grocery Spending'!$I$5:$I$404,'Grocery Spending'!$E$5:$E$404,A183),""))</f>
        <v>0</v>
      </c>
      <c r="AI183" s="8">
        <f>IF(A183="","",IF(SUMPRODUCT(MIN(('Grocery Spending'!$E$5:$E$404=A183)*'Grocery Spending'!$I$5:$I$404+('Grocery Spending'!$E$5:$E$404&lt;&gt;A183)*1000000))&gt;=1000000,"",SUMPRODUCT(MIN(('Grocery Spending'!$E$5:$E$404=A183)*'Grocery Spending'!$I$5:$I$404+('Grocery Spending'!$E$5:$E$404&lt;&gt;A183)*1000000))))</f>
        <v>0</v>
      </c>
      <c r="AJ183" s="8">
        <f>IF(A183="","",SUMPRODUCT(MAX(('Grocery Spending'!$E$5:$E$404=A183)*'Grocery Spending'!$I$5:$I$404)))</f>
        <v>0</v>
      </c>
      <c r="AK183" s="8">
        <f>IF(OR(A183="",AI183="",AJ183=0),"",AJ183-AI183)</f>
        <v>0</v>
      </c>
      <c r="AL183" s="8">
        <f>IF(OR(A183="",AG183="",AH183=""),"",AG183-AH183)</f>
        <v>0</v>
      </c>
      <c r="AM183" s="8">
        <f>IF(A183="","",IF(AL183="","",IF(AL183&gt;0.01,"Up",IF(AL183&lt;-0.01,"Down","Flat"))))</f>
        <v>0</v>
      </c>
      <c r="AN183" s="25"/>
    </row>
    <row r="184" spans="1:40">
      <c r="A184" s="7"/>
      <c r="B184" s="27"/>
      <c r="C184" s="27"/>
      <c r="D184" s="28"/>
      <c r="E184" s="27"/>
      <c r="F184" s="26"/>
      <c r="G184" s="8">
        <f>IF(OR(D184="",F184="",F184=0),"",D184/F184)</f>
        <v>0</v>
      </c>
      <c r="H184" s="26"/>
      <c r="I184" s="26"/>
      <c r="J184" s="26"/>
      <c r="K184" s="26"/>
      <c r="L184" s="26"/>
      <c r="M184" s="26"/>
      <c r="N184" s="27"/>
      <c r="O184" s="27"/>
      <c r="P184" s="27"/>
      <c r="Q184" s="27"/>
      <c r="R184" s="7"/>
      <c r="S184" s="8">
        <f>IF(A184="","",SUMIFS(Pantry!$C$5:$C$304,Pantry!$A$5:$A$304,A184))</f>
        <v>0</v>
      </c>
      <c r="T184" s="8">
        <f>IF(A184="","",COUNTIFS('Grocery List'!$A$5:$A$304,A184,'Grocery List'!$N$5:$N$304,"Yes"))</f>
        <v>0</v>
      </c>
      <c r="U184" s="8">
        <f>IF(A184="","",SUMIFS('Grocery List'!$M$5:$M$304,'Grocery List'!$A$5:$A$304,A184))</f>
        <v>0</v>
      </c>
      <c r="V184" s="8">
        <f>IF(A184="","",COUNTIFS('Recipe Ingredients'!$B$5:$B$1204,A184))</f>
        <v>0</v>
      </c>
      <c r="W184" s="8">
        <f>IF(A184="","",SUMIFS('Recipe Ingredients'!$C$5:$C$1204,'Recipe Ingredients'!$B$5:$B$1204,A184))</f>
        <v>0</v>
      </c>
      <c r="X184" s="8">
        <f>IF(A184="","",IF(U184&lt;=0,IF(S184&gt;0,99,0),ROUND(S184/U184,1)))</f>
        <v>0</v>
      </c>
      <c r="Y184" s="8">
        <f>IF(A184="","",U184*10+IF(O184="Yes",5,0)+IF(X184&lt;1,10,0)+IF(S184&lt;=0,3,0))</f>
        <v>0</v>
      </c>
      <c r="Z184" s="8">
        <f>IF(A184="","",COUNTIFS($Y$5:$Y$304,"&gt;"&amp;Y184)+1)</f>
        <v>0</v>
      </c>
      <c r="AA184" s="8">
        <f>IF(A184="","",IF(OR(U184&gt;0,AND(O184="Yes",X184&lt;2)),"Yes","No"))</f>
        <v>0</v>
      </c>
      <c r="AB184" s="8">
        <f>IF(OR(A184="",D184=""),"",S184*D184)</f>
        <v>0</v>
      </c>
      <c r="AC184" s="8">
        <f>IF(AB184="","",COUNTIFS($AB$5:$AB$304,"&gt;"&amp;AB184)+1)</f>
        <v>0</v>
      </c>
      <c r="AD184" s="8">
        <f>IF(A184="","",SUMIFS('Food Waste'!$E$5:$E$154,'Food Waste'!$C$5:$C$154,A184))</f>
        <v>0</v>
      </c>
      <c r="AE184" s="8">
        <f>IF(OR(A184="",AD184=0),"",COUNTIFS($AD$5:$AD$304,"&gt;"&amp;AD184)+1)</f>
        <v>0</v>
      </c>
      <c r="AF184" s="8">
        <f>IF(A184="","",IF(SUMPRODUCT(MAX(('Grocery Spending'!$E$5:$E$404=A184)*'Grocery Spending'!$A$5:$A$404))=0,"",SUMPRODUCT(MAX(('Grocery Spending'!$E$5:$E$404=A184)*'Grocery Spending'!$A$5:$A$404))))</f>
        <v>0</v>
      </c>
      <c r="AG184" s="8">
        <f>IF(OR(A184="",AF184=""),"",IFERROR(AVERAGEIFS('Grocery Spending'!$I$5:$I$404,'Grocery Spending'!$E$5:$E$404,A184,'Grocery Spending'!$A$5:$A$404,AF184),""))</f>
        <v>0</v>
      </c>
      <c r="AH184" s="8">
        <f>IF(A184="","",IFERROR(AVERAGEIFS('Grocery Spending'!$I$5:$I$404,'Grocery Spending'!$E$5:$E$404,A184),""))</f>
        <v>0</v>
      </c>
      <c r="AI184" s="8">
        <f>IF(A184="","",IF(SUMPRODUCT(MIN(('Grocery Spending'!$E$5:$E$404=A184)*'Grocery Spending'!$I$5:$I$404+('Grocery Spending'!$E$5:$E$404&lt;&gt;A184)*1000000))&gt;=1000000,"",SUMPRODUCT(MIN(('Grocery Spending'!$E$5:$E$404=A184)*'Grocery Spending'!$I$5:$I$404+('Grocery Spending'!$E$5:$E$404&lt;&gt;A184)*1000000))))</f>
        <v>0</v>
      </c>
      <c r="AJ184" s="8">
        <f>IF(A184="","",SUMPRODUCT(MAX(('Grocery Spending'!$E$5:$E$404=A184)*'Grocery Spending'!$I$5:$I$404)))</f>
        <v>0</v>
      </c>
      <c r="AK184" s="8">
        <f>IF(OR(A184="",AI184="",AJ184=0),"",AJ184-AI184)</f>
        <v>0</v>
      </c>
      <c r="AL184" s="8">
        <f>IF(OR(A184="",AG184="",AH184=""),"",AG184-AH184)</f>
        <v>0</v>
      </c>
      <c r="AM184" s="8">
        <f>IF(A184="","",IF(AL184="","",IF(AL184&gt;0.01,"Up",IF(AL184&lt;-0.01,"Down","Flat"))))</f>
        <v>0</v>
      </c>
      <c r="AN184" s="25"/>
    </row>
    <row r="185" spans="1:40">
      <c r="A185" s="7"/>
      <c r="B185" s="27"/>
      <c r="C185" s="27"/>
      <c r="D185" s="28"/>
      <c r="E185" s="27"/>
      <c r="F185" s="26"/>
      <c r="G185" s="8">
        <f>IF(OR(D185="",F185="",F185=0),"",D185/F185)</f>
        <v>0</v>
      </c>
      <c r="H185" s="26"/>
      <c r="I185" s="26"/>
      <c r="J185" s="26"/>
      <c r="K185" s="26"/>
      <c r="L185" s="26"/>
      <c r="M185" s="26"/>
      <c r="N185" s="27"/>
      <c r="O185" s="27"/>
      <c r="P185" s="27"/>
      <c r="Q185" s="27"/>
      <c r="R185" s="7"/>
      <c r="S185" s="8">
        <f>IF(A185="","",SUMIFS(Pantry!$C$5:$C$304,Pantry!$A$5:$A$304,A185))</f>
        <v>0</v>
      </c>
      <c r="T185" s="8">
        <f>IF(A185="","",COUNTIFS('Grocery List'!$A$5:$A$304,A185,'Grocery List'!$N$5:$N$304,"Yes"))</f>
        <v>0</v>
      </c>
      <c r="U185" s="8">
        <f>IF(A185="","",SUMIFS('Grocery List'!$M$5:$M$304,'Grocery List'!$A$5:$A$304,A185))</f>
        <v>0</v>
      </c>
      <c r="V185" s="8">
        <f>IF(A185="","",COUNTIFS('Recipe Ingredients'!$B$5:$B$1204,A185))</f>
        <v>0</v>
      </c>
      <c r="W185" s="8">
        <f>IF(A185="","",SUMIFS('Recipe Ingredients'!$C$5:$C$1204,'Recipe Ingredients'!$B$5:$B$1204,A185))</f>
        <v>0</v>
      </c>
      <c r="X185" s="8">
        <f>IF(A185="","",IF(U185&lt;=0,IF(S185&gt;0,99,0),ROUND(S185/U185,1)))</f>
        <v>0</v>
      </c>
      <c r="Y185" s="8">
        <f>IF(A185="","",U185*10+IF(O185="Yes",5,0)+IF(X185&lt;1,10,0)+IF(S185&lt;=0,3,0))</f>
        <v>0</v>
      </c>
      <c r="Z185" s="8">
        <f>IF(A185="","",COUNTIFS($Y$5:$Y$304,"&gt;"&amp;Y185)+1)</f>
        <v>0</v>
      </c>
      <c r="AA185" s="8">
        <f>IF(A185="","",IF(OR(U185&gt;0,AND(O185="Yes",X185&lt;2)),"Yes","No"))</f>
        <v>0</v>
      </c>
      <c r="AB185" s="8">
        <f>IF(OR(A185="",D185=""),"",S185*D185)</f>
        <v>0</v>
      </c>
      <c r="AC185" s="8">
        <f>IF(AB185="","",COUNTIFS($AB$5:$AB$304,"&gt;"&amp;AB185)+1)</f>
        <v>0</v>
      </c>
      <c r="AD185" s="8">
        <f>IF(A185="","",SUMIFS('Food Waste'!$E$5:$E$154,'Food Waste'!$C$5:$C$154,A185))</f>
        <v>0</v>
      </c>
      <c r="AE185" s="8">
        <f>IF(OR(A185="",AD185=0),"",COUNTIFS($AD$5:$AD$304,"&gt;"&amp;AD185)+1)</f>
        <v>0</v>
      </c>
      <c r="AF185" s="8">
        <f>IF(A185="","",IF(SUMPRODUCT(MAX(('Grocery Spending'!$E$5:$E$404=A185)*'Grocery Spending'!$A$5:$A$404))=0,"",SUMPRODUCT(MAX(('Grocery Spending'!$E$5:$E$404=A185)*'Grocery Spending'!$A$5:$A$404))))</f>
        <v>0</v>
      </c>
      <c r="AG185" s="8">
        <f>IF(OR(A185="",AF185=""),"",IFERROR(AVERAGEIFS('Grocery Spending'!$I$5:$I$404,'Grocery Spending'!$E$5:$E$404,A185,'Grocery Spending'!$A$5:$A$404,AF185),""))</f>
        <v>0</v>
      </c>
      <c r="AH185" s="8">
        <f>IF(A185="","",IFERROR(AVERAGEIFS('Grocery Spending'!$I$5:$I$404,'Grocery Spending'!$E$5:$E$404,A185),""))</f>
        <v>0</v>
      </c>
      <c r="AI185" s="8">
        <f>IF(A185="","",IF(SUMPRODUCT(MIN(('Grocery Spending'!$E$5:$E$404=A185)*'Grocery Spending'!$I$5:$I$404+('Grocery Spending'!$E$5:$E$404&lt;&gt;A185)*1000000))&gt;=1000000,"",SUMPRODUCT(MIN(('Grocery Spending'!$E$5:$E$404=A185)*'Grocery Spending'!$I$5:$I$404+('Grocery Spending'!$E$5:$E$404&lt;&gt;A185)*1000000))))</f>
        <v>0</v>
      </c>
      <c r="AJ185" s="8">
        <f>IF(A185="","",SUMPRODUCT(MAX(('Grocery Spending'!$E$5:$E$404=A185)*'Grocery Spending'!$I$5:$I$404)))</f>
        <v>0</v>
      </c>
      <c r="AK185" s="8">
        <f>IF(OR(A185="",AI185="",AJ185=0),"",AJ185-AI185)</f>
        <v>0</v>
      </c>
      <c r="AL185" s="8">
        <f>IF(OR(A185="",AG185="",AH185=""),"",AG185-AH185)</f>
        <v>0</v>
      </c>
      <c r="AM185" s="8">
        <f>IF(A185="","",IF(AL185="","",IF(AL185&gt;0.01,"Up",IF(AL185&lt;-0.01,"Down","Flat"))))</f>
        <v>0</v>
      </c>
      <c r="AN185" s="25"/>
    </row>
    <row r="186" spans="1:40">
      <c r="A186" s="7"/>
      <c r="B186" s="27"/>
      <c r="C186" s="27"/>
      <c r="D186" s="28"/>
      <c r="E186" s="27"/>
      <c r="F186" s="26"/>
      <c r="G186" s="8">
        <f>IF(OR(D186="",F186="",F186=0),"",D186/F186)</f>
        <v>0</v>
      </c>
      <c r="H186" s="26"/>
      <c r="I186" s="26"/>
      <c r="J186" s="26"/>
      <c r="K186" s="26"/>
      <c r="L186" s="26"/>
      <c r="M186" s="26"/>
      <c r="N186" s="27"/>
      <c r="O186" s="27"/>
      <c r="P186" s="27"/>
      <c r="Q186" s="27"/>
      <c r="R186" s="7"/>
      <c r="S186" s="8">
        <f>IF(A186="","",SUMIFS(Pantry!$C$5:$C$304,Pantry!$A$5:$A$304,A186))</f>
        <v>0</v>
      </c>
      <c r="T186" s="8">
        <f>IF(A186="","",COUNTIFS('Grocery List'!$A$5:$A$304,A186,'Grocery List'!$N$5:$N$304,"Yes"))</f>
        <v>0</v>
      </c>
      <c r="U186" s="8">
        <f>IF(A186="","",SUMIFS('Grocery List'!$M$5:$M$304,'Grocery List'!$A$5:$A$304,A186))</f>
        <v>0</v>
      </c>
      <c r="V186" s="8">
        <f>IF(A186="","",COUNTIFS('Recipe Ingredients'!$B$5:$B$1204,A186))</f>
        <v>0</v>
      </c>
      <c r="W186" s="8">
        <f>IF(A186="","",SUMIFS('Recipe Ingredients'!$C$5:$C$1204,'Recipe Ingredients'!$B$5:$B$1204,A186))</f>
        <v>0</v>
      </c>
      <c r="X186" s="8">
        <f>IF(A186="","",IF(U186&lt;=0,IF(S186&gt;0,99,0),ROUND(S186/U186,1)))</f>
        <v>0</v>
      </c>
      <c r="Y186" s="8">
        <f>IF(A186="","",U186*10+IF(O186="Yes",5,0)+IF(X186&lt;1,10,0)+IF(S186&lt;=0,3,0))</f>
        <v>0</v>
      </c>
      <c r="Z186" s="8">
        <f>IF(A186="","",COUNTIFS($Y$5:$Y$304,"&gt;"&amp;Y186)+1)</f>
        <v>0</v>
      </c>
      <c r="AA186" s="8">
        <f>IF(A186="","",IF(OR(U186&gt;0,AND(O186="Yes",X186&lt;2)),"Yes","No"))</f>
        <v>0</v>
      </c>
      <c r="AB186" s="8">
        <f>IF(OR(A186="",D186=""),"",S186*D186)</f>
        <v>0</v>
      </c>
      <c r="AC186" s="8">
        <f>IF(AB186="","",COUNTIFS($AB$5:$AB$304,"&gt;"&amp;AB186)+1)</f>
        <v>0</v>
      </c>
      <c r="AD186" s="8">
        <f>IF(A186="","",SUMIFS('Food Waste'!$E$5:$E$154,'Food Waste'!$C$5:$C$154,A186))</f>
        <v>0</v>
      </c>
      <c r="AE186" s="8">
        <f>IF(OR(A186="",AD186=0),"",COUNTIFS($AD$5:$AD$304,"&gt;"&amp;AD186)+1)</f>
        <v>0</v>
      </c>
      <c r="AF186" s="8">
        <f>IF(A186="","",IF(SUMPRODUCT(MAX(('Grocery Spending'!$E$5:$E$404=A186)*'Grocery Spending'!$A$5:$A$404))=0,"",SUMPRODUCT(MAX(('Grocery Spending'!$E$5:$E$404=A186)*'Grocery Spending'!$A$5:$A$404))))</f>
        <v>0</v>
      </c>
      <c r="AG186" s="8">
        <f>IF(OR(A186="",AF186=""),"",IFERROR(AVERAGEIFS('Grocery Spending'!$I$5:$I$404,'Grocery Spending'!$E$5:$E$404,A186,'Grocery Spending'!$A$5:$A$404,AF186),""))</f>
        <v>0</v>
      </c>
      <c r="AH186" s="8">
        <f>IF(A186="","",IFERROR(AVERAGEIFS('Grocery Spending'!$I$5:$I$404,'Grocery Spending'!$E$5:$E$404,A186),""))</f>
        <v>0</v>
      </c>
      <c r="AI186" s="8">
        <f>IF(A186="","",IF(SUMPRODUCT(MIN(('Grocery Spending'!$E$5:$E$404=A186)*'Grocery Spending'!$I$5:$I$404+('Grocery Spending'!$E$5:$E$404&lt;&gt;A186)*1000000))&gt;=1000000,"",SUMPRODUCT(MIN(('Grocery Spending'!$E$5:$E$404=A186)*'Grocery Spending'!$I$5:$I$404+('Grocery Spending'!$E$5:$E$404&lt;&gt;A186)*1000000))))</f>
        <v>0</v>
      </c>
      <c r="AJ186" s="8">
        <f>IF(A186="","",SUMPRODUCT(MAX(('Grocery Spending'!$E$5:$E$404=A186)*'Grocery Spending'!$I$5:$I$404)))</f>
        <v>0</v>
      </c>
      <c r="AK186" s="8">
        <f>IF(OR(A186="",AI186="",AJ186=0),"",AJ186-AI186)</f>
        <v>0</v>
      </c>
      <c r="AL186" s="8">
        <f>IF(OR(A186="",AG186="",AH186=""),"",AG186-AH186)</f>
        <v>0</v>
      </c>
      <c r="AM186" s="8">
        <f>IF(A186="","",IF(AL186="","",IF(AL186&gt;0.01,"Up",IF(AL186&lt;-0.01,"Down","Flat"))))</f>
        <v>0</v>
      </c>
      <c r="AN186" s="25"/>
    </row>
    <row r="187" spans="1:40">
      <c r="A187" s="7"/>
      <c r="B187" s="27"/>
      <c r="C187" s="27"/>
      <c r="D187" s="28"/>
      <c r="E187" s="27"/>
      <c r="F187" s="26"/>
      <c r="G187" s="8">
        <f>IF(OR(D187="",F187="",F187=0),"",D187/F187)</f>
        <v>0</v>
      </c>
      <c r="H187" s="26"/>
      <c r="I187" s="26"/>
      <c r="J187" s="26"/>
      <c r="K187" s="26"/>
      <c r="L187" s="26"/>
      <c r="M187" s="26"/>
      <c r="N187" s="27"/>
      <c r="O187" s="27"/>
      <c r="P187" s="27"/>
      <c r="Q187" s="27"/>
      <c r="R187" s="7"/>
      <c r="S187" s="8">
        <f>IF(A187="","",SUMIFS(Pantry!$C$5:$C$304,Pantry!$A$5:$A$304,A187))</f>
        <v>0</v>
      </c>
      <c r="T187" s="8">
        <f>IF(A187="","",COUNTIFS('Grocery List'!$A$5:$A$304,A187,'Grocery List'!$N$5:$N$304,"Yes"))</f>
        <v>0</v>
      </c>
      <c r="U187" s="8">
        <f>IF(A187="","",SUMIFS('Grocery List'!$M$5:$M$304,'Grocery List'!$A$5:$A$304,A187))</f>
        <v>0</v>
      </c>
      <c r="V187" s="8">
        <f>IF(A187="","",COUNTIFS('Recipe Ingredients'!$B$5:$B$1204,A187))</f>
        <v>0</v>
      </c>
      <c r="W187" s="8">
        <f>IF(A187="","",SUMIFS('Recipe Ingredients'!$C$5:$C$1204,'Recipe Ingredients'!$B$5:$B$1204,A187))</f>
        <v>0</v>
      </c>
      <c r="X187" s="8">
        <f>IF(A187="","",IF(U187&lt;=0,IF(S187&gt;0,99,0),ROUND(S187/U187,1)))</f>
        <v>0</v>
      </c>
      <c r="Y187" s="8">
        <f>IF(A187="","",U187*10+IF(O187="Yes",5,0)+IF(X187&lt;1,10,0)+IF(S187&lt;=0,3,0))</f>
        <v>0</v>
      </c>
      <c r="Z187" s="8">
        <f>IF(A187="","",COUNTIFS($Y$5:$Y$304,"&gt;"&amp;Y187)+1)</f>
        <v>0</v>
      </c>
      <c r="AA187" s="8">
        <f>IF(A187="","",IF(OR(U187&gt;0,AND(O187="Yes",X187&lt;2)),"Yes","No"))</f>
        <v>0</v>
      </c>
      <c r="AB187" s="8">
        <f>IF(OR(A187="",D187=""),"",S187*D187)</f>
        <v>0</v>
      </c>
      <c r="AC187" s="8">
        <f>IF(AB187="","",COUNTIFS($AB$5:$AB$304,"&gt;"&amp;AB187)+1)</f>
        <v>0</v>
      </c>
      <c r="AD187" s="8">
        <f>IF(A187="","",SUMIFS('Food Waste'!$E$5:$E$154,'Food Waste'!$C$5:$C$154,A187))</f>
        <v>0</v>
      </c>
      <c r="AE187" s="8">
        <f>IF(OR(A187="",AD187=0),"",COUNTIFS($AD$5:$AD$304,"&gt;"&amp;AD187)+1)</f>
        <v>0</v>
      </c>
      <c r="AF187" s="8">
        <f>IF(A187="","",IF(SUMPRODUCT(MAX(('Grocery Spending'!$E$5:$E$404=A187)*'Grocery Spending'!$A$5:$A$404))=0,"",SUMPRODUCT(MAX(('Grocery Spending'!$E$5:$E$404=A187)*'Grocery Spending'!$A$5:$A$404))))</f>
        <v>0</v>
      </c>
      <c r="AG187" s="8">
        <f>IF(OR(A187="",AF187=""),"",IFERROR(AVERAGEIFS('Grocery Spending'!$I$5:$I$404,'Grocery Spending'!$E$5:$E$404,A187,'Grocery Spending'!$A$5:$A$404,AF187),""))</f>
        <v>0</v>
      </c>
      <c r="AH187" s="8">
        <f>IF(A187="","",IFERROR(AVERAGEIFS('Grocery Spending'!$I$5:$I$404,'Grocery Spending'!$E$5:$E$404,A187),""))</f>
        <v>0</v>
      </c>
      <c r="AI187" s="8">
        <f>IF(A187="","",IF(SUMPRODUCT(MIN(('Grocery Spending'!$E$5:$E$404=A187)*'Grocery Spending'!$I$5:$I$404+('Grocery Spending'!$E$5:$E$404&lt;&gt;A187)*1000000))&gt;=1000000,"",SUMPRODUCT(MIN(('Grocery Spending'!$E$5:$E$404=A187)*'Grocery Spending'!$I$5:$I$404+('Grocery Spending'!$E$5:$E$404&lt;&gt;A187)*1000000))))</f>
        <v>0</v>
      </c>
      <c r="AJ187" s="8">
        <f>IF(A187="","",SUMPRODUCT(MAX(('Grocery Spending'!$E$5:$E$404=A187)*'Grocery Spending'!$I$5:$I$404)))</f>
        <v>0</v>
      </c>
      <c r="AK187" s="8">
        <f>IF(OR(A187="",AI187="",AJ187=0),"",AJ187-AI187)</f>
        <v>0</v>
      </c>
      <c r="AL187" s="8">
        <f>IF(OR(A187="",AG187="",AH187=""),"",AG187-AH187)</f>
        <v>0</v>
      </c>
      <c r="AM187" s="8">
        <f>IF(A187="","",IF(AL187="","",IF(AL187&gt;0.01,"Up",IF(AL187&lt;-0.01,"Down","Flat"))))</f>
        <v>0</v>
      </c>
      <c r="AN187" s="25"/>
    </row>
    <row r="188" spans="1:40">
      <c r="A188" s="7"/>
      <c r="B188" s="27"/>
      <c r="C188" s="27"/>
      <c r="D188" s="28"/>
      <c r="E188" s="27"/>
      <c r="F188" s="26"/>
      <c r="G188" s="8">
        <f>IF(OR(D188="",F188="",F188=0),"",D188/F188)</f>
        <v>0</v>
      </c>
      <c r="H188" s="26"/>
      <c r="I188" s="26"/>
      <c r="J188" s="26"/>
      <c r="K188" s="26"/>
      <c r="L188" s="26"/>
      <c r="M188" s="26"/>
      <c r="N188" s="27"/>
      <c r="O188" s="27"/>
      <c r="P188" s="27"/>
      <c r="Q188" s="27"/>
      <c r="R188" s="7"/>
      <c r="S188" s="8">
        <f>IF(A188="","",SUMIFS(Pantry!$C$5:$C$304,Pantry!$A$5:$A$304,A188))</f>
        <v>0</v>
      </c>
      <c r="T188" s="8">
        <f>IF(A188="","",COUNTIFS('Grocery List'!$A$5:$A$304,A188,'Grocery List'!$N$5:$N$304,"Yes"))</f>
        <v>0</v>
      </c>
      <c r="U188" s="8">
        <f>IF(A188="","",SUMIFS('Grocery List'!$M$5:$M$304,'Grocery List'!$A$5:$A$304,A188))</f>
        <v>0</v>
      </c>
      <c r="V188" s="8">
        <f>IF(A188="","",COUNTIFS('Recipe Ingredients'!$B$5:$B$1204,A188))</f>
        <v>0</v>
      </c>
      <c r="W188" s="8">
        <f>IF(A188="","",SUMIFS('Recipe Ingredients'!$C$5:$C$1204,'Recipe Ingredients'!$B$5:$B$1204,A188))</f>
        <v>0</v>
      </c>
      <c r="X188" s="8">
        <f>IF(A188="","",IF(U188&lt;=0,IF(S188&gt;0,99,0),ROUND(S188/U188,1)))</f>
        <v>0</v>
      </c>
      <c r="Y188" s="8">
        <f>IF(A188="","",U188*10+IF(O188="Yes",5,0)+IF(X188&lt;1,10,0)+IF(S188&lt;=0,3,0))</f>
        <v>0</v>
      </c>
      <c r="Z188" s="8">
        <f>IF(A188="","",COUNTIFS($Y$5:$Y$304,"&gt;"&amp;Y188)+1)</f>
        <v>0</v>
      </c>
      <c r="AA188" s="8">
        <f>IF(A188="","",IF(OR(U188&gt;0,AND(O188="Yes",X188&lt;2)),"Yes","No"))</f>
        <v>0</v>
      </c>
      <c r="AB188" s="8">
        <f>IF(OR(A188="",D188=""),"",S188*D188)</f>
        <v>0</v>
      </c>
      <c r="AC188" s="8">
        <f>IF(AB188="","",COUNTIFS($AB$5:$AB$304,"&gt;"&amp;AB188)+1)</f>
        <v>0</v>
      </c>
      <c r="AD188" s="8">
        <f>IF(A188="","",SUMIFS('Food Waste'!$E$5:$E$154,'Food Waste'!$C$5:$C$154,A188))</f>
        <v>0</v>
      </c>
      <c r="AE188" s="8">
        <f>IF(OR(A188="",AD188=0),"",COUNTIFS($AD$5:$AD$304,"&gt;"&amp;AD188)+1)</f>
        <v>0</v>
      </c>
      <c r="AF188" s="8">
        <f>IF(A188="","",IF(SUMPRODUCT(MAX(('Grocery Spending'!$E$5:$E$404=A188)*'Grocery Spending'!$A$5:$A$404))=0,"",SUMPRODUCT(MAX(('Grocery Spending'!$E$5:$E$404=A188)*'Grocery Spending'!$A$5:$A$404))))</f>
        <v>0</v>
      </c>
      <c r="AG188" s="8">
        <f>IF(OR(A188="",AF188=""),"",IFERROR(AVERAGEIFS('Grocery Spending'!$I$5:$I$404,'Grocery Spending'!$E$5:$E$404,A188,'Grocery Spending'!$A$5:$A$404,AF188),""))</f>
        <v>0</v>
      </c>
      <c r="AH188" s="8">
        <f>IF(A188="","",IFERROR(AVERAGEIFS('Grocery Spending'!$I$5:$I$404,'Grocery Spending'!$E$5:$E$404,A188),""))</f>
        <v>0</v>
      </c>
      <c r="AI188" s="8">
        <f>IF(A188="","",IF(SUMPRODUCT(MIN(('Grocery Spending'!$E$5:$E$404=A188)*'Grocery Spending'!$I$5:$I$404+('Grocery Spending'!$E$5:$E$404&lt;&gt;A188)*1000000))&gt;=1000000,"",SUMPRODUCT(MIN(('Grocery Spending'!$E$5:$E$404=A188)*'Grocery Spending'!$I$5:$I$404+('Grocery Spending'!$E$5:$E$404&lt;&gt;A188)*1000000))))</f>
        <v>0</v>
      </c>
      <c r="AJ188" s="8">
        <f>IF(A188="","",SUMPRODUCT(MAX(('Grocery Spending'!$E$5:$E$404=A188)*'Grocery Spending'!$I$5:$I$404)))</f>
        <v>0</v>
      </c>
      <c r="AK188" s="8">
        <f>IF(OR(A188="",AI188="",AJ188=0),"",AJ188-AI188)</f>
        <v>0</v>
      </c>
      <c r="AL188" s="8">
        <f>IF(OR(A188="",AG188="",AH188=""),"",AG188-AH188)</f>
        <v>0</v>
      </c>
      <c r="AM188" s="8">
        <f>IF(A188="","",IF(AL188="","",IF(AL188&gt;0.01,"Up",IF(AL188&lt;-0.01,"Down","Flat"))))</f>
        <v>0</v>
      </c>
      <c r="AN188" s="25"/>
    </row>
    <row r="189" spans="1:40">
      <c r="A189" s="7"/>
      <c r="B189" s="27"/>
      <c r="C189" s="27"/>
      <c r="D189" s="28"/>
      <c r="E189" s="27"/>
      <c r="F189" s="26"/>
      <c r="G189" s="8">
        <f>IF(OR(D189="",F189="",F189=0),"",D189/F189)</f>
        <v>0</v>
      </c>
      <c r="H189" s="26"/>
      <c r="I189" s="26"/>
      <c r="J189" s="26"/>
      <c r="K189" s="26"/>
      <c r="L189" s="26"/>
      <c r="M189" s="26"/>
      <c r="N189" s="27"/>
      <c r="O189" s="27"/>
      <c r="P189" s="27"/>
      <c r="Q189" s="27"/>
      <c r="R189" s="7"/>
      <c r="S189" s="8">
        <f>IF(A189="","",SUMIFS(Pantry!$C$5:$C$304,Pantry!$A$5:$A$304,A189))</f>
        <v>0</v>
      </c>
      <c r="T189" s="8">
        <f>IF(A189="","",COUNTIFS('Grocery List'!$A$5:$A$304,A189,'Grocery List'!$N$5:$N$304,"Yes"))</f>
        <v>0</v>
      </c>
      <c r="U189" s="8">
        <f>IF(A189="","",SUMIFS('Grocery List'!$M$5:$M$304,'Grocery List'!$A$5:$A$304,A189))</f>
        <v>0</v>
      </c>
      <c r="V189" s="8">
        <f>IF(A189="","",COUNTIFS('Recipe Ingredients'!$B$5:$B$1204,A189))</f>
        <v>0</v>
      </c>
      <c r="W189" s="8">
        <f>IF(A189="","",SUMIFS('Recipe Ingredients'!$C$5:$C$1204,'Recipe Ingredients'!$B$5:$B$1204,A189))</f>
        <v>0</v>
      </c>
      <c r="X189" s="8">
        <f>IF(A189="","",IF(U189&lt;=0,IF(S189&gt;0,99,0),ROUND(S189/U189,1)))</f>
        <v>0</v>
      </c>
      <c r="Y189" s="8">
        <f>IF(A189="","",U189*10+IF(O189="Yes",5,0)+IF(X189&lt;1,10,0)+IF(S189&lt;=0,3,0))</f>
        <v>0</v>
      </c>
      <c r="Z189" s="8">
        <f>IF(A189="","",COUNTIFS($Y$5:$Y$304,"&gt;"&amp;Y189)+1)</f>
        <v>0</v>
      </c>
      <c r="AA189" s="8">
        <f>IF(A189="","",IF(OR(U189&gt;0,AND(O189="Yes",X189&lt;2)),"Yes","No"))</f>
        <v>0</v>
      </c>
      <c r="AB189" s="8">
        <f>IF(OR(A189="",D189=""),"",S189*D189)</f>
        <v>0</v>
      </c>
      <c r="AC189" s="8">
        <f>IF(AB189="","",COUNTIFS($AB$5:$AB$304,"&gt;"&amp;AB189)+1)</f>
        <v>0</v>
      </c>
      <c r="AD189" s="8">
        <f>IF(A189="","",SUMIFS('Food Waste'!$E$5:$E$154,'Food Waste'!$C$5:$C$154,A189))</f>
        <v>0</v>
      </c>
      <c r="AE189" s="8">
        <f>IF(OR(A189="",AD189=0),"",COUNTIFS($AD$5:$AD$304,"&gt;"&amp;AD189)+1)</f>
        <v>0</v>
      </c>
      <c r="AF189" s="8">
        <f>IF(A189="","",IF(SUMPRODUCT(MAX(('Grocery Spending'!$E$5:$E$404=A189)*'Grocery Spending'!$A$5:$A$404))=0,"",SUMPRODUCT(MAX(('Grocery Spending'!$E$5:$E$404=A189)*'Grocery Spending'!$A$5:$A$404))))</f>
        <v>0</v>
      </c>
      <c r="AG189" s="8">
        <f>IF(OR(A189="",AF189=""),"",IFERROR(AVERAGEIFS('Grocery Spending'!$I$5:$I$404,'Grocery Spending'!$E$5:$E$404,A189,'Grocery Spending'!$A$5:$A$404,AF189),""))</f>
        <v>0</v>
      </c>
      <c r="AH189" s="8">
        <f>IF(A189="","",IFERROR(AVERAGEIFS('Grocery Spending'!$I$5:$I$404,'Grocery Spending'!$E$5:$E$404,A189),""))</f>
        <v>0</v>
      </c>
      <c r="AI189" s="8">
        <f>IF(A189="","",IF(SUMPRODUCT(MIN(('Grocery Spending'!$E$5:$E$404=A189)*'Grocery Spending'!$I$5:$I$404+('Grocery Spending'!$E$5:$E$404&lt;&gt;A189)*1000000))&gt;=1000000,"",SUMPRODUCT(MIN(('Grocery Spending'!$E$5:$E$404=A189)*'Grocery Spending'!$I$5:$I$404+('Grocery Spending'!$E$5:$E$404&lt;&gt;A189)*1000000))))</f>
        <v>0</v>
      </c>
      <c r="AJ189" s="8">
        <f>IF(A189="","",SUMPRODUCT(MAX(('Grocery Spending'!$E$5:$E$404=A189)*'Grocery Spending'!$I$5:$I$404)))</f>
        <v>0</v>
      </c>
      <c r="AK189" s="8">
        <f>IF(OR(A189="",AI189="",AJ189=0),"",AJ189-AI189)</f>
        <v>0</v>
      </c>
      <c r="AL189" s="8">
        <f>IF(OR(A189="",AG189="",AH189=""),"",AG189-AH189)</f>
        <v>0</v>
      </c>
      <c r="AM189" s="8">
        <f>IF(A189="","",IF(AL189="","",IF(AL189&gt;0.01,"Up",IF(AL189&lt;-0.01,"Down","Flat"))))</f>
        <v>0</v>
      </c>
      <c r="AN189" s="25"/>
    </row>
    <row r="190" spans="1:40">
      <c r="A190" s="7"/>
      <c r="B190" s="27"/>
      <c r="C190" s="27"/>
      <c r="D190" s="28"/>
      <c r="E190" s="27"/>
      <c r="F190" s="26"/>
      <c r="G190" s="8">
        <f>IF(OR(D190="",F190="",F190=0),"",D190/F190)</f>
        <v>0</v>
      </c>
      <c r="H190" s="26"/>
      <c r="I190" s="26"/>
      <c r="J190" s="26"/>
      <c r="K190" s="26"/>
      <c r="L190" s="26"/>
      <c r="M190" s="26"/>
      <c r="N190" s="27"/>
      <c r="O190" s="27"/>
      <c r="P190" s="27"/>
      <c r="Q190" s="27"/>
      <c r="R190" s="7"/>
      <c r="S190" s="8">
        <f>IF(A190="","",SUMIFS(Pantry!$C$5:$C$304,Pantry!$A$5:$A$304,A190))</f>
        <v>0</v>
      </c>
      <c r="T190" s="8">
        <f>IF(A190="","",COUNTIFS('Grocery List'!$A$5:$A$304,A190,'Grocery List'!$N$5:$N$304,"Yes"))</f>
        <v>0</v>
      </c>
      <c r="U190" s="8">
        <f>IF(A190="","",SUMIFS('Grocery List'!$M$5:$M$304,'Grocery List'!$A$5:$A$304,A190))</f>
        <v>0</v>
      </c>
      <c r="V190" s="8">
        <f>IF(A190="","",COUNTIFS('Recipe Ingredients'!$B$5:$B$1204,A190))</f>
        <v>0</v>
      </c>
      <c r="W190" s="8">
        <f>IF(A190="","",SUMIFS('Recipe Ingredients'!$C$5:$C$1204,'Recipe Ingredients'!$B$5:$B$1204,A190))</f>
        <v>0</v>
      </c>
      <c r="X190" s="8">
        <f>IF(A190="","",IF(U190&lt;=0,IF(S190&gt;0,99,0),ROUND(S190/U190,1)))</f>
        <v>0</v>
      </c>
      <c r="Y190" s="8">
        <f>IF(A190="","",U190*10+IF(O190="Yes",5,0)+IF(X190&lt;1,10,0)+IF(S190&lt;=0,3,0))</f>
        <v>0</v>
      </c>
      <c r="Z190" s="8">
        <f>IF(A190="","",COUNTIFS($Y$5:$Y$304,"&gt;"&amp;Y190)+1)</f>
        <v>0</v>
      </c>
      <c r="AA190" s="8">
        <f>IF(A190="","",IF(OR(U190&gt;0,AND(O190="Yes",X190&lt;2)),"Yes","No"))</f>
        <v>0</v>
      </c>
      <c r="AB190" s="8">
        <f>IF(OR(A190="",D190=""),"",S190*D190)</f>
        <v>0</v>
      </c>
      <c r="AC190" s="8">
        <f>IF(AB190="","",COUNTIFS($AB$5:$AB$304,"&gt;"&amp;AB190)+1)</f>
        <v>0</v>
      </c>
      <c r="AD190" s="8">
        <f>IF(A190="","",SUMIFS('Food Waste'!$E$5:$E$154,'Food Waste'!$C$5:$C$154,A190))</f>
        <v>0</v>
      </c>
      <c r="AE190" s="8">
        <f>IF(OR(A190="",AD190=0),"",COUNTIFS($AD$5:$AD$304,"&gt;"&amp;AD190)+1)</f>
        <v>0</v>
      </c>
      <c r="AF190" s="8">
        <f>IF(A190="","",IF(SUMPRODUCT(MAX(('Grocery Spending'!$E$5:$E$404=A190)*'Grocery Spending'!$A$5:$A$404))=0,"",SUMPRODUCT(MAX(('Grocery Spending'!$E$5:$E$404=A190)*'Grocery Spending'!$A$5:$A$404))))</f>
        <v>0</v>
      </c>
      <c r="AG190" s="8">
        <f>IF(OR(A190="",AF190=""),"",IFERROR(AVERAGEIFS('Grocery Spending'!$I$5:$I$404,'Grocery Spending'!$E$5:$E$404,A190,'Grocery Spending'!$A$5:$A$404,AF190),""))</f>
        <v>0</v>
      </c>
      <c r="AH190" s="8">
        <f>IF(A190="","",IFERROR(AVERAGEIFS('Grocery Spending'!$I$5:$I$404,'Grocery Spending'!$E$5:$E$404,A190),""))</f>
        <v>0</v>
      </c>
      <c r="AI190" s="8">
        <f>IF(A190="","",IF(SUMPRODUCT(MIN(('Grocery Spending'!$E$5:$E$404=A190)*'Grocery Spending'!$I$5:$I$404+('Grocery Spending'!$E$5:$E$404&lt;&gt;A190)*1000000))&gt;=1000000,"",SUMPRODUCT(MIN(('Grocery Spending'!$E$5:$E$404=A190)*'Grocery Spending'!$I$5:$I$404+('Grocery Spending'!$E$5:$E$404&lt;&gt;A190)*1000000))))</f>
        <v>0</v>
      </c>
      <c r="AJ190" s="8">
        <f>IF(A190="","",SUMPRODUCT(MAX(('Grocery Spending'!$E$5:$E$404=A190)*'Grocery Spending'!$I$5:$I$404)))</f>
        <v>0</v>
      </c>
      <c r="AK190" s="8">
        <f>IF(OR(A190="",AI190="",AJ190=0),"",AJ190-AI190)</f>
        <v>0</v>
      </c>
      <c r="AL190" s="8">
        <f>IF(OR(A190="",AG190="",AH190=""),"",AG190-AH190)</f>
        <v>0</v>
      </c>
      <c r="AM190" s="8">
        <f>IF(A190="","",IF(AL190="","",IF(AL190&gt;0.01,"Up",IF(AL190&lt;-0.01,"Down","Flat"))))</f>
        <v>0</v>
      </c>
      <c r="AN190" s="25"/>
    </row>
    <row r="191" spans="1:40">
      <c r="A191" s="7"/>
      <c r="B191" s="27"/>
      <c r="C191" s="27"/>
      <c r="D191" s="28"/>
      <c r="E191" s="27"/>
      <c r="F191" s="26"/>
      <c r="G191" s="8">
        <f>IF(OR(D191="",F191="",F191=0),"",D191/F191)</f>
        <v>0</v>
      </c>
      <c r="H191" s="26"/>
      <c r="I191" s="26"/>
      <c r="J191" s="26"/>
      <c r="K191" s="26"/>
      <c r="L191" s="26"/>
      <c r="M191" s="26"/>
      <c r="N191" s="27"/>
      <c r="O191" s="27"/>
      <c r="P191" s="27"/>
      <c r="Q191" s="27"/>
      <c r="R191" s="7"/>
      <c r="S191" s="8">
        <f>IF(A191="","",SUMIFS(Pantry!$C$5:$C$304,Pantry!$A$5:$A$304,A191))</f>
        <v>0</v>
      </c>
      <c r="T191" s="8">
        <f>IF(A191="","",COUNTIFS('Grocery List'!$A$5:$A$304,A191,'Grocery List'!$N$5:$N$304,"Yes"))</f>
        <v>0</v>
      </c>
      <c r="U191" s="8">
        <f>IF(A191="","",SUMIFS('Grocery List'!$M$5:$M$304,'Grocery List'!$A$5:$A$304,A191))</f>
        <v>0</v>
      </c>
      <c r="V191" s="8">
        <f>IF(A191="","",COUNTIFS('Recipe Ingredients'!$B$5:$B$1204,A191))</f>
        <v>0</v>
      </c>
      <c r="W191" s="8">
        <f>IF(A191="","",SUMIFS('Recipe Ingredients'!$C$5:$C$1204,'Recipe Ingredients'!$B$5:$B$1204,A191))</f>
        <v>0</v>
      </c>
      <c r="X191" s="8">
        <f>IF(A191="","",IF(U191&lt;=0,IF(S191&gt;0,99,0),ROUND(S191/U191,1)))</f>
        <v>0</v>
      </c>
      <c r="Y191" s="8">
        <f>IF(A191="","",U191*10+IF(O191="Yes",5,0)+IF(X191&lt;1,10,0)+IF(S191&lt;=0,3,0))</f>
        <v>0</v>
      </c>
      <c r="Z191" s="8">
        <f>IF(A191="","",COUNTIFS($Y$5:$Y$304,"&gt;"&amp;Y191)+1)</f>
        <v>0</v>
      </c>
      <c r="AA191" s="8">
        <f>IF(A191="","",IF(OR(U191&gt;0,AND(O191="Yes",X191&lt;2)),"Yes","No"))</f>
        <v>0</v>
      </c>
      <c r="AB191" s="8">
        <f>IF(OR(A191="",D191=""),"",S191*D191)</f>
        <v>0</v>
      </c>
      <c r="AC191" s="8">
        <f>IF(AB191="","",COUNTIFS($AB$5:$AB$304,"&gt;"&amp;AB191)+1)</f>
        <v>0</v>
      </c>
      <c r="AD191" s="8">
        <f>IF(A191="","",SUMIFS('Food Waste'!$E$5:$E$154,'Food Waste'!$C$5:$C$154,A191))</f>
        <v>0</v>
      </c>
      <c r="AE191" s="8">
        <f>IF(OR(A191="",AD191=0),"",COUNTIFS($AD$5:$AD$304,"&gt;"&amp;AD191)+1)</f>
        <v>0</v>
      </c>
      <c r="AF191" s="8">
        <f>IF(A191="","",IF(SUMPRODUCT(MAX(('Grocery Spending'!$E$5:$E$404=A191)*'Grocery Spending'!$A$5:$A$404))=0,"",SUMPRODUCT(MAX(('Grocery Spending'!$E$5:$E$404=A191)*'Grocery Spending'!$A$5:$A$404))))</f>
        <v>0</v>
      </c>
      <c r="AG191" s="8">
        <f>IF(OR(A191="",AF191=""),"",IFERROR(AVERAGEIFS('Grocery Spending'!$I$5:$I$404,'Grocery Spending'!$E$5:$E$404,A191,'Grocery Spending'!$A$5:$A$404,AF191),""))</f>
        <v>0</v>
      </c>
      <c r="AH191" s="8">
        <f>IF(A191="","",IFERROR(AVERAGEIFS('Grocery Spending'!$I$5:$I$404,'Grocery Spending'!$E$5:$E$404,A191),""))</f>
        <v>0</v>
      </c>
      <c r="AI191" s="8">
        <f>IF(A191="","",IF(SUMPRODUCT(MIN(('Grocery Spending'!$E$5:$E$404=A191)*'Grocery Spending'!$I$5:$I$404+('Grocery Spending'!$E$5:$E$404&lt;&gt;A191)*1000000))&gt;=1000000,"",SUMPRODUCT(MIN(('Grocery Spending'!$E$5:$E$404=A191)*'Grocery Spending'!$I$5:$I$404+('Grocery Spending'!$E$5:$E$404&lt;&gt;A191)*1000000))))</f>
        <v>0</v>
      </c>
      <c r="AJ191" s="8">
        <f>IF(A191="","",SUMPRODUCT(MAX(('Grocery Spending'!$E$5:$E$404=A191)*'Grocery Spending'!$I$5:$I$404)))</f>
        <v>0</v>
      </c>
      <c r="AK191" s="8">
        <f>IF(OR(A191="",AI191="",AJ191=0),"",AJ191-AI191)</f>
        <v>0</v>
      </c>
      <c r="AL191" s="8">
        <f>IF(OR(A191="",AG191="",AH191=""),"",AG191-AH191)</f>
        <v>0</v>
      </c>
      <c r="AM191" s="8">
        <f>IF(A191="","",IF(AL191="","",IF(AL191&gt;0.01,"Up",IF(AL191&lt;-0.01,"Down","Flat"))))</f>
        <v>0</v>
      </c>
      <c r="AN191" s="25"/>
    </row>
    <row r="192" spans="1:40">
      <c r="A192" s="7"/>
      <c r="B192" s="27"/>
      <c r="C192" s="27"/>
      <c r="D192" s="28"/>
      <c r="E192" s="27"/>
      <c r="F192" s="26"/>
      <c r="G192" s="8">
        <f>IF(OR(D192="",F192="",F192=0),"",D192/F192)</f>
        <v>0</v>
      </c>
      <c r="H192" s="26"/>
      <c r="I192" s="26"/>
      <c r="J192" s="26"/>
      <c r="K192" s="26"/>
      <c r="L192" s="26"/>
      <c r="M192" s="26"/>
      <c r="N192" s="27"/>
      <c r="O192" s="27"/>
      <c r="P192" s="27"/>
      <c r="Q192" s="27"/>
      <c r="R192" s="7"/>
      <c r="S192" s="8">
        <f>IF(A192="","",SUMIFS(Pantry!$C$5:$C$304,Pantry!$A$5:$A$304,A192))</f>
        <v>0</v>
      </c>
      <c r="T192" s="8">
        <f>IF(A192="","",COUNTIFS('Grocery List'!$A$5:$A$304,A192,'Grocery List'!$N$5:$N$304,"Yes"))</f>
        <v>0</v>
      </c>
      <c r="U192" s="8">
        <f>IF(A192="","",SUMIFS('Grocery List'!$M$5:$M$304,'Grocery List'!$A$5:$A$304,A192))</f>
        <v>0</v>
      </c>
      <c r="V192" s="8">
        <f>IF(A192="","",COUNTIFS('Recipe Ingredients'!$B$5:$B$1204,A192))</f>
        <v>0</v>
      </c>
      <c r="W192" s="8">
        <f>IF(A192="","",SUMIFS('Recipe Ingredients'!$C$5:$C$1204,'Recipe Ingredients'!$B$5:$B$1204,A192))</f>
        <v>0</v>
      </c>
      <c r="X192" s="8">
        <f>IF(A192="","",IF(U192&lt;=0,IF(S192&gt;0,99,0),ROUND(S192/U192,1)))</f>
        <v>0</v>
      </c>
      <c r="Y192" s="8">
        <f>IF(A192="","",U192*10+IF(O192="Yes",5,0)+IF(X192&lt;1,10,0)+IF(S192&lt;=0,3,0))</f>
        <v>0</v>
      </c>
      <c r="Z192" s="8">
        <f>IF(A192="","",COUNTIFS($Y$5:$Y$304,"&gt;"&amp;Y192)+1)</f>
        <v>0</v>
      </c>
      <c r="AA192" s="8">
        <f>IF(A192="","",IF(OR(U192&gt;0,AND(O192="Yes",X192&lt;2)),"Yes","No"))</f>
        <v>0</v>
      </c>
      <c r="AB192" s="8">
        <f>IF(OR(A192="",D192=""),"",S192*D192)</f>
        <v>0</v>
      </c>
      <c r="AC192" s="8">
        <f>IF(AB192="","",COUNTIFS($AB$5:$AB$304,"&gt;"&amp;AB192)+1)</f>
        <v>0</v>
      </c>
      <c r="AD192" s="8">
        <f>IF(A192="","",SUMIFS('Food Waste'!$E$5:$E$154,'Food Waste'!$C$5:$C$154,A192))</f>
        <v>0</v>
      </c>
      <c r="AE192" s="8">
        <f>IF(OR(A192="",AD192=0),"",COUNTIFS($AD$5:$AD$304,"&gt;"&amp;AD192)+1)</f>
        <v>0</v>
      </c>
      <c r="AF192" s="8">
        <f>IF(A192="","",IF(SUMPRODUCT(MAX(('Grocery Spending'!$E$5:$E$404=A192)*'Grocery Spending'!$A$5:$A$404))=0,"",SUMPRODUCT(MAX(('Grocery Spending'!$E$5:$E$404=A192)*'Grocery Spending'!$A$5:$A$404))))</f>
        <v>0</v>
      </c>
      <c r="AG192" s="8">
        <f>IF(OR(A192="",AF192=""),"",IFERROR(AVERAGEIFS('Grocery Spending'!$I$5:$I$404,'Grocery Spending'!$E$5:$E$404,A192,'Grocery Spending'!$A$5:$A$404,AF192),""))</f>
        <v>0</v>
      </c>
      <c r="AH192" s="8">
        <f>IF(A192="","",IFERROR(AVERAGEIFS('Grocery Spending'!$I$5:$I$404,'Grocery Spending'!$E$5:$E$404,A192),""))</f>
        <v>0</v>
      </c>
      <c r="AI192" s="8">
        <f>IF(A192="","",IF(SUMPRODUCT(MIN(('Grocery Spending'!$E$5:$E$404=A192)*'Grocery Spending'!$I$5:$I$404+('Grocery Spending'!$E$5:$E$404&lt;&gt;A192)*1000000))&gt;=1000000,"",SUMPRODUCT(MIN(('Grocery Spending'!$E$5:$E$404=A192)*'Grocery Spending'!$I$5:$I$404+('Grocery Spending'!$E$5:$E$404&lt;&gt;A192)*1000000))))</f>
        <v>0</v>
      </c>
      <c r="AJ192" s="8">
        <f>IF(A192="","",SUMPRODUCT(MAX(('Grocery Spending'!$E$5:$E$404=A192)*'Grocery Spending'!$I$5:$I$404)))</f>
        <v>0</v>
      </c>
      <c r="AK192" s="8">
        <f>IF(OR(A192="",AI192="",AJ192=0),"",AJ192-AI192)</f>
        <v>0</v>
      </c>
      <c r="AL192" s="8">
        <f>IF(OR(A192="",AG192="",AH192=""),"",AG192-AH192)</f>
        <v>0</v>
      </c>
      <c r="AM192" s="8">
        <f>IF(A192="","",IF(AL192="","",IF(AL192&gt;0.01,"Up",IF(AL192&lt;-0.01,"Down","Flat"))))</f>
        <v>0</v>
      </c>
      <c r="AN192" s="25"/>
    </row>
    <row r="193" spans="1:40">
      <c r="A193" s="7"/>
      <c r="B193" s="27"/>
      <c r="C193" s="27"/>
      <c r="D193" s="28"/>
      <c r="E193" s="27"/>
      <c r="F193" s="26"/>
      <c r="G193" s="8">
        <f>IF(OR(D193="",F193="",F193=0),"",D193/F193)</f>
        <v>0</v>
      </c>
      <c r="H193" s="26"/>
      <c r="I193" s="26"/>
      <c r="J193" s="26"/>
      <c r="K193" s="26"/>
      <c r="L193" s="26"/>
      <c r="M193" s="26"/>
      <c r="N193" s="27"/>
      <c r="O193" s="27"/>
      <c r="P193" s="27"/>
      <c r="Q193" s="27"/>
      <c r="R193" s="7"/>
      <c r="S193" s="8">
        <f>IF(A193="","",SUMIFS(Pantry!$C$5:$C$304,Pantry!$A$5:$A$304,A193))</f>
        <v>0</v>
      </c>
      <c r="T193" s="8">
        <f>IF(A193="","",COUNTIFS('Grocery List'!$A$5:$A$304,A193,'Grocery List'!$N$5:$N$304,"Yes"))</f>
        <v>0</v>
      </c>
      <c r="U193" s="8">
        <f>IF(A193="","",SUMIFS('Grocery List'!$M$5:$M$304,'Grocery List'!$A$5:$A$304,A193))</f>
        <v>0</v>
      </c>
      <c r="V193" s="8">
        <f>IF(A193="","",COUNTIFS('Recipe Ingredients'!$B$5:$B$1204,A193))</f>
        <v>0</v>
      </c>
      <c r="W193" s="8">
        <f>IF(A193="","",SUMIFS('Recipe Ingredients'!$C$5:$C$1204,'Recipe Ingredients'!$B$5:$B$1204,A193))</f>
        <v>0</v>
      </c>
      <c r="X193" s="8">
        <f>IF(A193="","",IF(U193&lt;=0,IF(S193&gt;0,99,0),ROUND(S193/U193,1)))</f>
        <v>0</v>
      </c>
      <c r="Y193" s="8">
        <f>IF(A193="","",U193*10+IF(O193="Yes",5,0)+IF(X193&lt;1,10,0)+IF(S193&lt;=0,3,0))</f>
        <v>0</v>
      </c>
      <c r="Z193" s="8">
        <f>IF(A193="","",COUNTIFS($Y$5:$Y$304,"&gt;"&amp;Y193)+1)</f>
        <v>0</v>
      </c>
      <c r="AA193" s="8">
        <f>IF(A193="","",IF(OR(U193&gt;0,AND(O193="Yes",X193&lt;2)),"Yes","No"))</f>
        <v>0</v>
      </c>
      <c r="AB193" s="8">
        <f>IF(OR(A193="",D193=""),"",S193*D193)</f>
        <v>0</v>
      </c>
      <c r="AC193" s="8">
        <f>IF(AB193="","",COUNTIFS($AB$5:$AB$304,"&gt;"&amp;AB193)+1)</f>
        <v>0</v>
      </c>
      <c r="AD193" s="8">
        <f>IF(A193="","",SUMIFS('Food Waste'!$E$5:$E$154,'Food Waste'!$C$5:$C$154,A193))</f>
        <v>0</v>
      </c>
      <c r="AE193" s="8">
        <f>IF(OR(A193="",AD193=0),"",COUNTIFS($AD$5:$AD$304,"&gt;"&amp;AD193)+1)</f>
        <v>0</v>
      </c>
      <c r="AF193" s="8">
        <f>IF(A193="","",IF(SUMPRODUCT(MAX(('Grocery Spending'!$E$5:$E$404=A193)*'Grocery Spending'!$A$5:$A$404))=0,"",SUMPRODUCT(MAX(('Grocery Spending'!$E$5:$E$404=A193)*'Grocery Spending'!$A$5:$A$404))))</f>
        <v>0</v>
      </c>
      <c r="AG193" s="8">
        <f>IF(OR(A193="",AF193=""),"",IFERROR(AVERAGEIFS('Grocery Spending'!$I$5:$I$404,'Grocery Spending'!$E$5:$E$404,A193,'Grocery Spending'!$A$5:$A$404,AF193),""))</f>
        <v>0</v>
      </c>
      <c r="AH193" s="8">
        <f>IF(A193="","",IFERROR(AVERAGEIFS('Grocery Spending'!$I$5:$I$404,'Grocery Spending'!$E$5:$E$404,A193),""))</f>
        <v>0</v>
      </c>
      <c r="AI193" s="8">
        <f>IF(A193="","",IF(SUMPRODUCT(MIN(('Grocery Spending'!$E$5:$E$404=A193)*'Grocery Spending'!$I$5:$I$404+('Grocery Spending'!$E$5:$E$404&lt;&gt;A193)*1000000))&gt;=1000000,"",SUMPRODUCT(MIN(('Grocery Spending'!$E$5:$E$404=A193)*'Grocery Spending'!$I$5:$I$404+('Grocery Spending'!$E$5:$E$404&lt;&gt;A193)*1000000))))</f>
        <v>0</v>
      </c>
      <c r="AJ193" s="8">
        <f>IF(A193="","",SUMPRODUCT(MAX(('Grocery Spending'!$E$5:$E$404=A193)*'Grocery Spending'!$I$5:$I$404)))</f>
        <v>0</v>
      </c>
      <c r="AK193" s="8">
        <f>IF(OR(A193="",AI193="",AJ193=0),"",AJ193-AI193)</f>
        <v>0</v>
      </c>
      <c r="AL193" s="8">
        <f>IF(OR(A193="",AG193="",AH193=""),"",AG193-AH193)</f>
        <v>0</v>
      </c>
      <c r="AM193" s="8">
        <f>IF(A193="","",IF(AL193="","",IF(AL193&gt;0.01,"Up",IF(AL193&lt;-0.01,"Down","Flat"))))</f>
        <v>0</v>
      </c>
      <c r="AN193" s="25"/>
    </row>
    <row r="194" spans="1:40">
      <c r="A194" s="7"/>
      <c r="B194" s="27"/>
      <c r="C194" s="27"/>
      <c r="D194" s="28"/>
      <c r="E194" s="27"/>
      <c r="F194" s="26"/>
      <c r="G194" s="8">
        <f>IF(OR(D194="",F194="",F194=0),"",D194/F194)</f>
        <v>0</v>
      </c>
      <c r="H194" s="26"/>
      <c r="I194" s="26"/>
      <c r="J194" s="26"/>
      <c r="K194" s="26"/>
      <c r="L194" s="26"/>
      <c r="M194" s="26"/>
      <c r="N194" s="27"/>
      <c r="O194" s="27"/>
      <c r="P194" s="27"/>
      <c r="Q194" s="27"/>
      <c r="R194" s="7"/>
      <c r="S194" s="8">
        <f>IF(A194="","",SUMIFS(Pantry!$C$5:$C$304,Pantry!$A$5:$A$304,A194))</f>
        <v>0</v>
      </c>
      <c r="T194" s="8">
        <f>IF(A194="","",COUNTIFS('Grocery List'!$A$5:$A$304,A194,'Grocery List'!$N$5:$N$304,"Yes"))</f>
        <v>0</v>
      </c>
      <c r="U194" s="8">
        <f>IF(A194="","",SUMIFS('Grocery List'!$M$5:$M$304,'Grocery List'!$A$5:$A$304,A194))</f>
        <v>0</v>
      </c>
      <c r="V194" s="8">
        <f>IF(A194="","",COUNTIFS('Recipe Ingredients'!$B$5:$B$1204,A194))</f>
        <v>0</v>
      </c>
      <c r="W194" s="8">
        <f>IF(A194="","",SUMIFS('Recipe Ingredients'!$C$5:$C$1204,'Recipe Ingredients'!$B$5:$B$1204,A194))</f>
        <v>0</v>
      </c>
      <c r="X194" s="8">
        <f>IF(A194="","",IF(U194&lt;=0,IF(S194&gt;0,99,0),ROUND(S194/U194,1)))</f>
        <v>0</v>
      </c>
      <c r="Y194" s="8">
        <f>IF(A194="","",U194*10+IF(O194="Yes",5,0)+IF(X194&lt;1,10,0)+IF(S194&lt;=0,3,0))</f>
        <v>0</v>
      </c>
      <c r="Z194" s="8">
        <f>IF(A194="","",COUNTIFS($Y$5:$Y$304,"&gt;"&amp;Y194)+1)</f>
        <v>0</v>
      </c>
      <c r="AA194" s="8">
        <f>IF(A194="","",IF(OR(U194&gt;0,AND(O194="Yes",X194&lt;2)),"Yes","No"))</f>
        <v>0</v>
      </c>
      <c r="AB194" s="8">
        <f>IF(OR(A194="",D194=""),"",S194*D194)</f>
        <v>0</v>
      </c>
      <c r="AC194" s="8">
        <f>IF(AB194="","",COUNTIFS($AB$5:$AB$304,"&gt;"&amp;AB194)+1)</f>
        <v>0</v>
      </c>
      <c r="AD194" s="8">
        <f>IF(A194="","",SUMIFS('Food Waste'!$E$5:$E$154,'Food Waste'!$C$5:$C$154,A194))</f>
        <v>0</v>
      </c>
      <c r="AE194" s="8">
        <f>IF(OR(A194="",AD194=0),"",COUNTIFS($AD$5:$AD$304,"&gt;"&amp;AD194)+1)</f>
        <v>0</v>
      </c>
      <c r="AF194" s="8">
        <f>IF(A194="","",IF(SUMPRODUCT(MAX(('Grocery Spending'!$E$5:$E$404=A194)*'Grocery Spending'!$A$5:$A$404))=0,"",SUMPRODUCT(MAX(('Grocery Spending'!$E$5:$E$404=A194)*'Grocery Spending'!$A$5:$A$404))))</f>
        <v>0</v>
      </c>
      <c r="AG194" s="8">
        <f>IF(OR(A194="",AF194=""),"",IFERROR(AVERAGEIFS('Grocery Spending'!$I$5:$I$404,'Grocery Spending'!$E$5:$E$404,A194,'Grocery Spending'!$A$5:$A$404,AF194),""))</f>
        <v>0</v>
      </c>
      <c r="AH194" s="8">
        <f>IF(A194="","",IFERROR(AVERAGEIFS('Grocery Spending'!$I$5:$I$404,'Grocery Spending'!$E$5:$E$404,A194),""))</f>
        <v>0</v>
      </c>
      <c r="AI194" s="8">
        <f>IF(A194="","",IF(SUMPRODUCT(MIN(('Grocery Spending'!$E$5:$E$404=A194)*'Grocery Spending'!$I$5:$I$404+('Grocery Spending'!$E$5:$E$404&lt;&gt;A194)*1000000))&gt;=1000000,"",SUMPRODUCT(MIN(('Grocery Spending'!$E$5:$E$404=A194)*'Grocery Spending'!$I$5:$I$404+('Grocery Spending'!$E$5:$E$404&lt;&gt;A194)*1000000))))</f>
        <v>0</v>
      </c>
      <c r="AJ194" s="8">
        <f>IF(A194="","",SUMPRODUCT(MAX(('Grocery Spending'!$E$5:$E$404=A194)*'Grocery Spending'!$I$5:$I$404)))</f>
        <v>0</v>
      </c>
      <c r="AK194" s="8">
        <f>IF(OR(A194="",AI194="",AJ194=0),"",AJ194-AI194)</f>
        <v>0</v>
      </c>
      <c r="AL194" s="8">
        <f>IF(OR(A194="",AG194="",AH194=""),"",AG194-AH194)</f>
        <v>0</v>
      </c>
      <c r="AM194" s="8">
        <f>IF(A194="","",IF(AL194="","",IF(AL194&gt;0.01,"Up",IF(AL194&lt;-0.01,"Down","Flat"))))</f>
        <v>0</v>
      </c>
      <c r="AN194" s="25"/>
    </row>
    <row r="195" spans="1:40">
      <c r="A195" s="7"/>
      <c r="B195" s="27"/>
      <c r="C195" s="27"/>
      <c r="D195" s="28"/>
      <c r="E195" s="27"/>
      <c r="F195" s="26"/>
      <c r="G195" s="8">
        <f>IF(OR(D195="",F195="",F195=0),"",D195/F195)</f>
        <v>0</v>
      </c>
      <c r="H195" s="26"/>
      <c r="I195" s="26"/>
      <c r="J195" s="26"/>
      <c r="K195" s="26"/>
      <c r="L195" s="26"/>
      <c r="M195" s="26"/>
      <c r="N195" s="27"/>
      <c r="O195" s="27"/>
      <c r="P195" s="27"/>
      <c r="Q195" s="27"/>
      <c r="R195" s="7"/>
      <c r="S195" s="8">
        <f>IF(A195="","",SUMIFS(Pantry!$C$5:$C$304,Pantry!$A$5:$A$304,A195))</f>
        <v>0</v>
      </c>
      <c r="T195" s="8">
        <f>IF(A195="","",COUNTIFS('Grocery List'!$A$5:$A$304,A195,'Grocery List'!$N$5:$N$304,"Yes"))</f>
        <v>0</v>
      </c>
      <c r="U195" s="8">
        <f>IF(A195="","",SUMIFS('Grocery List'!$M$5:$M$304,'Grocery List'!$A$5:$A$304,A195))</f>
        <v>0</v>
      </c>
      <c r="V195" s="8">
        <f>IF(A195="","",COUNTIFS('Recipe Ingredients'!$B$5:$B$1204,A195))</f>
        <v>0</v>
      </c>
      <c r="W195" s="8">
        <f>IF(A195="","",SUMIFS('Recipe Ingredients'!$C$5:$C$1204,'Recipe Ingredients'!$B$5:$B$1204,A195))</f>
        <v>0</v>
      </c>
      <c r="X195" s="8">
        <f>IF(A195="","",IF(U195&lt;=0,IF(S195&gt;0,99,0),ROUND(S195/U195,1)))</f>
        <v>0</v>
      </c>
      <c r="Y195" s="8">
        <f>IF(A195="","",U195*10+IF(O195="Yes",5,0)+IF(X195&lt;1,10,0)+IF(S195&lt;=0,3,0))</f>
        <v>0</v>
      </c>
      <c r="Z195" s="8">
        <f>IF(A195="","",COUNTIFS($Y$5:$Y$304,"&gt;"&amp;Y195)+1)</f>
        <v>0</v>
      </c>
      <c r="AA195" s="8">
        <f>IF(A195="","",IF(OR(U195&gt;0,AND(O195="Yes",X195&lt;2)),"Yes","No"))</f>
        <v>0</v>
      </c>
      <c r="AB195" s="8">
        <f>IF(OR(A195="",D195=""),"",S195*D195)</f>
        <v>0</v>
      </c>
      <c r="AC195" s="8">
        <f>IF(AB195="","",COUNTIFS($AB$5:$AB$304,"&gt;"&amp;AB195)+1)</f>
        <v>0</v>
      </c>
      <c r="AD195" s="8">
        <f>IF(A195="","",SUMIFS('Food Waste'!$E$5:$E$154,'Food Waste'!$C$5:$C$154,A195))</f>
        <v>0</v>
      </c>
      <c r="AE195" s="8">
        <f>IF(OR(A195="",AD195=0),"",COUNTIFS($AD$5:$AD$304,"&gt;"&amp;AD195)+1)</f>
        <v>0</v>
      </c>
      <c r="AF195" s="8">
        <f>IF(A195="","",IF(SUMPRODUCT(MAX(('Grocery Spending'!$E$5:$E$404=A195)*'Grocery Spending'!$A$5:$A$404))=0,"",SUMPRODUCT(MAX(('Grocery Spending'!$E$5:$E$404=A195)*'Grocery Spending'!$A$5:$A$404))))</f>
        <v>0</v>
      </c>
      <c r="AG195" s="8">
        <f>IF(OR(A195="",AF195=""),"",IFERROR(AVERAGEIFS('Grocery Spending'!$I$5:$I$404,'Grocery Spending'!$E$5:$E$404,A195,'Grocery Spending'!$A$5:$A$404,AF195),""))</f>
        <v>0</v>
      </c>
      <c r="AH195" s="8">
        <f>IF(A195="","",IFERROR(AVERAGEIFS('Grocery Spending'!$I$5:$I$404,'Grocery Spending'!$E$5:$E$404,A195),""))</f>
        <v>0</v>
      </c>
      <c r="AI195" s="8">
        <f>IF(A195="","",IF(SUMPRODUCT(MIN(('Grocery Spending'!$E$5:$E$404=A195)*'Grocery Spending'!$I$5:$I$404+('Grocery Spending'!$E$5:$E$404&lt;&gt;A195)*1000000))&gt;=1000000,"",SUMPRODUCT(MIN(('Grocery Spending'!$E$5:$E$404=A195)*'Grocery Spending'!$I$5:$I$404+('Grocery Spending'!$E$5:$E$404&lt;&gt;A195)*1000000))))</f>
        <v>0</v>
      </c>
      <c r="AJ195" s="8">
        <f>IF(A195="","",SUMPRODUCT(MAX(('Grocery Spending'!$E$5:$E$404=A195)*'Grocery Spending'!$I$5:$I$404)))</f>
        <v>0</v>
      </c>
      <c r="AK195" s="8">
        <f>IF(OR(A195="",AI195="",AJ195=0),"",AJ195-AI195)</f>
        <v>0</v>
      </c>
      <c r="AL195" s="8">
        <f>IF(OR(A195="",AG195="",AH195=""),"",AG195-AH195)</f>
        <v>0</v>
      </c>
      <c r="AM195" s="8">
        <f>IF(A195="","",IF(AL195="","",IF(AL195&gt;0.01,"Up",IF(AL195&lt;-0.01,"Down","Flat"))))</f>
        <v>0</v>
      </c>
      <c r="AN195" s="25"/>
    </row>
    <row r="196" spans="1:40">
      <c r="A196" s="7"/>
      <c r="B196" s="27"/>
      <c r="C196" s="27"/>
      <c r="D196" s="28"/>
      <c r="E196" s="27"/>
      <c r="F196" s="26"/>
      <c r="G196" s="8">
        <f>IF(OR(D196="",F196="",F196=0),"",D196/F196)</f>
        <v>0</v>
      </c>
      <c r="H196" s="26"/>
      <c r="I196" s="26"/>
      <c r="J196" s="26"/>
      <c r="K196" s="26"/>
      <c r="L196" s="26"/>
      <c r="M196" s="26"/>
      <c r="N196" s="27"/>
      <c r="O196" s="27"/>
      <c r="P196" s="27"/>
      <c r="Q196" s="27"/>
      <c r="R196" s="7"/>
      <c r="S196" s="8">
        <f>IF(A196="","",SUMIFS(Pantry!$C$5:$C$304,Pantry!$A$5:$A$304,A196))</f>
        <v>0</v>
      </c>
      <c r="T196" s="8">
        <f>IF(A196="","",COUNTIFS('Grocery List'!$A$5:$A$304,A196,'Grocery List'!$N$5:$N$304,"Yes"))</f>
        <v>0</v>
      </c>
      <c r="U196" s="8">
        <f>IF(A196="","",SUMIFS('Grocery List'!$M$5:$M$304,'Grocery List'!$A$5:$A$304,A196))</f>
        <v>0</v>
      </c>
      <c r="V196" s="8">
        <f>IF(A196="","",COUNTIFS('Recipe Ingredients'!$B$5:$B$1204,A196))</f>
        <v>0</v>
      </c>
      <c r="W196" s="8">
        <f>IF(A196="","",SUMIFS('Recipe Ingredients'!$C$5:$C$1204,'Recipe Ingredients'!$B$5:$B$1204,A196))</f>
        <v>0</v>
      </c>
      <c r="X196" s="8">
        <f>IF(A196="","",IF(U196&lt;=0,IF(S196&gt;0,99,0),ROUND(S196/U196,1)))</f>
        <v>0</v>
      </c>
      <c r="Y196" s="8">
        <f>IF(A196="","",U196*10+IF(O196="Yes",5,0)+IF(X196&lt;1,10,0)+IF(S196&lt;=0,3,0))</f>
        <v>0</v>
      </c>
      <c r="Z196" s="8">
        <f>IF(A196="","",COUNTIFS($Y$5:$Y$304,"&gt;"&amp;Y196)+1)</f>
        <v>0</v>
      </c>
      <c r="AA196" s="8">
        <f>IF(A196="","",IF(OR(U196&gt;0,AND(O196="Yes",X196&lt;2)),"Yes","No"))</f>
        <v>0</v>
      </c>
      <c r="AB196" s="8">
        <f>IF(OR(A196="",D196=""),"",S196*D196)</f>
        <v>0</v>
      </c>
      <c r="AC196" s="8">
        <f>IF(AB196="","",COUNTIFS($AB$5:$AB$304,"&gt;"&amp;AB196)+1)</f>
        <v>0</v>
      </c>
      <c r="AD196" s="8">
        <f>IF(A196="","",SUMIFS('Food Waste'!$E$5:$E$154,'Food Waste'!$C$5:$C$154,A196))</f>
        <v>0</v>
      </c>
      <c r="AE196" s="8">
        <f>IF(OR(A196="",AD196=0),"",COUNTIFS($AD$5:$AD$304,"&gt;"&amp;AD196)+1)</f>
        <v>0</v>
      </c>
      <c r="AF196" s="8">
        <f>IF(A196="","",IF(SUMPRODUCT(MAX(('Grocery Spending'!$E$5:$E$404=A196)*'Grocery Spending'!$A$5:$A$404))=0,"",SUMPRODUCT(MAX(('Grocery Spending'!$E$5:$E$404=A196)*'Grocery Spending'!$A$5:$A$404))))</f>
        <v>0</v>
      </c>
      <c r="AG196" s="8">
        <f>IF(OR(A196="",AF196=""),"",IFERROR(AVERAGEIFS('Grocery Spending'!$I$5:$I$404,'Grocery Spending'!$E$5:$E$404,A196,'Grocery Spending'!$A$5:$A$404,AF196),""))</f>
        <v>0</v>
      </c>
      <c r="AH196" s="8">
        <f>IF(A196="","",IFERROR(AVERAGEIFS('Grocery Spending'!$I$5:$I$404,'Grocery Spending'!$E$5:$E$404,A196),""))</f>
        <v>0</v>
      </c>
      <c r="AI196" s="8">
        <f>IF(A196="","",IF(SUMPRODUCT(MIN(('Grocery Spending'!$E$5:$E$404=A196)*'Grocery Spending'!$I$5:$I$404+('Grocery Spending'!$E$5:$E$404&lt;&gt;A196)*1000000))&gt;=1000000,"",SUMPRODUCT(MIN(('Grocery Spending'!$E$5:$E$404=A196)*'Grocery Spending'!$I$5:$I$404+('Grocery Spending'!$E$5:$E$404&lt;&gt;A196)*1000000))))</f>
        <v>0</v>
      </c>
      <c r="AJ196" s="8">
        <f>IF(A196="","",SUMPRODUCT(MAX(('Grocery Spending'!$E$5:$E$404=A196)*'Grocery Spending'!$I$5:$I$404)))</f>
        <v>0</v>
      </c>
      <c r="AK196" s="8">
        <f>IF(OR(A196="",AI196="",AJ196=0),"",AJ196-AI196)</f>
        <v>0</v>
      </c>
      <c r="AL196" s="8">
        <f>IF(OR(A196="",AG196="",AH196=""),"",AG196-AH196)</f>
        <v>0</v>
      </c>
      <c r="AM196" s="8">
        <f>IF(A196="","",IF(AL196="","",IF(AL196&gt;0.01,"Up",IF(AL196&lt;-0.01,"Down","Flat"))))</f>
        <v>0</v>
      </c>
      <c r="AN196" s="25"/>
    </row>
    <row r="197" spans="1:40">
      <c r="A197" s="7"/>
      <c r="B197" s="27"/>
      <c r="C197" s="27"/>
      <c r="D197" s="28"/>
      <c r="E197" s="27"/>
      <c r="F197" s="26"/>
      <c r="G197" s="8">
        <f>IF(OR(D197="",F197="",F197=0),"",D197/F197)</f>
        <v>0</v>
      </c>
      <c r="H197" s="26"/>
      <c r="I197" s="26"/>
      <c r="J197" s="26"/>
      <c r="K197" s="26"/>
      <c r="L197" s="26"/>
      <c r="M197" s="26"/>
      <c r="N197" s="27"/>
      <c r="O197" s="27"/>
      <c r="P197" s="27"/>
      <c r="Q197" s="27"/>
      <c r="R197" s="7"/>
      <c r="S197" s="8">
        <f>IF(A197="","",SUMIFS(Pantry!$C$5:$C$304,Pantry!$A$5:$A$304,A197))</f>
        <v>0</v>
      </c>
      <c r="T197" s="8">
        <f>IF(A197="","",COUNTIFS('Grocery List'!$A$5:$A$304,A197,'Grocery List'!$N$5:$N$304,"Yes"))</f>
        <v>0</v>
      </c>
      <c r="U197" s="8">
        <f>IF(A197="","",SUMIFS('Grocery List'!$M$5:$M$304,'Grocery List'!$A$5:$A$304,A197))</f>
        <v>0</v>
      </c>
      <c r="V197" s="8">
        <f>IF(A197="","",COUNTIFS('Recipe Ingredients'!$B$5:$B$1204,A197))</f>
        <v>0</v>
      </c>
      <c r="W197" s="8">
        <f>IF(A197="","",SUMIFS('Recipe Ingredients'!$C$5:$C$1204,'Recipe Ingredients'!$B$5:$B$1204,A197))</f>
        <v>0</v>
      </c>
      <c r="X197" s="8">
        <f>IF(A197="","",IF(U197&lt;=0,IF(S197&gt;0,99,0),ROUND(S197/U197,1)))</f>
        <v>0</v>
      </c>
      <c r="Y197" s="8">
        <f>IF(A197="","",U197*10+IF(O197="Yes",5,0)+IF(X197&lt;1,10,0)+IF(S197&lt;=0,3,0))</f>
        <v>0</v>
      </c>
      <c r="Z197" s="8">
        <f>IF(A197="","",COUNTIFS($Y$5:$Y$304,"&gt;"&amp;Y197)+1)</f>
        <v>0</v>
      </c>
      <c r="AA197" s="8">
        <f>IF(A197="","",IF(OR(U197&gt;0,AND(O197="Yes",X197&lt;2)),"Yes","No"))</f>
        <v>0</v>
      </c>
      <c r="AB197" s="8">
        <f>IF(OR(A197="",D197=""),"",S197*D197)</f>
        <v>0</v>
      </c>
      <c r="AC197" s="8">
        <f>IF(AB197="","",COUNTIFS($AB$5:$AB$304,"&gt;"&amp;AB197)+1)</f>
        <v>0</v>
      </c>
      <c r="AD197" s="8">
        <f>IF(A197="","",SUMIFS('Food Waste'!$E$5:$E$154,'Food Waste'!$C$5:$C$154,A197))</f>
        <v>0</v>
      </c>
      <c r="AE197" s="8">
        <f>IF(OR(A197="",AD197=0),"",COUNTIFS($AD$5:$AD$304,"&gt;"&amp;AD197)+1)</f>
        <v>0</v>
      </c>
      <c r="AF197" s="8">
        <f>IF(A197="","",IF(SUMPRODUCT(MAX(('Grocery Spending'!$E$5:$E$404=A197)*'Grocery Spending'!$A$5:$A$404))=0,"",SUMPRODUCT(MAX(('Grocery Spending'!$E$5:$E$404=A197)*'Grocery Spending'!$A$5:$A$404))))</f>
        <v>0</v>
      </c>
      <c r="AG197" s="8">
        <f>IF(OR(A197="",AF197=""),"",IFERROR(AVERAGEIFS('Grocery Spending'!$I$5:$I$404,'Grocery Spending'!$E$5:$E$404,A197,'Grocery Spending'!$A$5:$A$404,AF197),""))</f>
        <v>0</v>
      </c>
      <c r="AH197" s="8">
        <f>IF(A197="","",IFERROR(AVERAGEIFS('Grocery Spending'!$I$5:$I$404,'Grocery Spending'!$E$5:$E$404,A197),""))</f>
        <v>0</v>
      </c>
      <c r="AI197" s="8">
        <f>IF(A197="","",IF(SUMPRODUCT(MIN(('Grocery Spending'!$E$5:$E$404=A197)*'Grocery Spending'!$I$5:$I$404+('Grocery Spending'!$E$5:$E$404&lt;&gt;A197)*1000000))&gt;=1000000,"",SUMPRODUCT(MIN(('Grocery Spending'!$E$5:$E$404=A197)*'Grocery Spending'!$I$5:$I$404+('Grocery Spending'!$E$5:$E$404&lt;&gt;A197)*1000000))))</f>
        <v>0</v>
      </c>
      <c r="AJ197" s="8">
        <f>IF(A197="","",SUMPRODUCT(MAX(('Grocery Spending'!$E$5:$E$404=A197)*'Grocery Spending'!$I$5:$I$404)))</f>
        <v>0</v>
      </c>
      <c r="AK197" s="8">
        <f>IF(OR(A197="",AI197="",AJ197=0),"",AJ197-AI197)</f>
        <v>0</v>
      </c>
      <c r="AL197" s="8">
        <f>IF(OR(A197="",AG197="",AH197=""),"",AG197-AH197)</f>
        <v>0</v>
      </c>
      <c r="AM197" s="8">
        <f>IF(A197="","",IF(AL197="","",IF(AL197&gt;0.01,"Up",IF(AL197&lt;-0.01,"Down","Flat"))))</f>
        <v>0</v>
      </c>
      <c r="AN197" s="25"/>
    </row>
    <row r="198" spans="1:40">
      <c r="A198" s="7"/>
      <c r="B198" s="27"/>
      <c r="C198" s="27"/>
      <c r="D198" s="28"/>
      <c r="E198" s="27"/>
      <c r="F198" s="26"/>
      <c r="G198" s="8">
        <f>IF(OR(D198="",F198="",F198=0),"",D198/F198)</f>
        <v>0</v>
      </c>
      <c r="H198" s="26"/>
      <c r="I198" s="26"/>
      <c r="J198" s="26"/>
      <c r="K198" s="26"/>
      <c r="L198" s="26"/>
      <c r="M198" s="26"/>
      <c r="N198" s="27"/>
      <c r="O198" s="27"/>
      <c r="P198" s="27"/>
      <c r="Q198" s="27"/>
      <c r="R198" s="7"/>
      <c r="S198" s="8">
        <f>IF(A198="","",SUMIFS(Pantry!$C$5:$C$304,Pantry!$A$5:$A$304,A198))</f>
        <v>0</v>
      </c>
      <c r="T198" s="8">
        <f>IF(A198="","",COUNTIFS('Grocery List'!$A$5:$A$304,A198,'Grocery List'!$N$5:$N$304,"Yes"))</f>
        <v>0</v>
      </c>
      <c r="U198" s="8">
        <f>IF(A198="","",SUMIFS('Grocery List'!$M$5:$M$304,'Grocery List'!$A$5:$A$304,A198))</f>
        <v>0</v>
      </c>
      <c r="V198" s="8">
        <f>IF(A198="","",COUNTIFS('Recipe Ingredients'!$B$5:$B$1204,A198))</f>
        <v>0</v>
      </c>
      <c r="W198" s="8">
        <f>IF(A198="","",SUMIFS('Recipe Ingredients'!$C$5:$C$1204,'Recipe Ingredients'!$B$5:$B$1204,A198))</f>
        <v>0</v>
      </c>
      <c r="X198" s="8">
        <f>IF(A198="","",IF(U198&lt;=0,IF(S198&gt;0,99,0),ROUND(S198/U198,1)))</f>
        <v>0</v>
      </c>
      <c r="Y198" s="8">
        <f>IF(A198="","",U198*10+IF(O198="Yes",5,0)+IF(X198&lt;1,10,0)+IF(S198&lt;=0,3,0))</f>
        <v>0</v>
      </c>
      <c r="Z198" s="8">
        <f>IF(A198="","",COUNTIFS($Y$5:$Y$304,"&gt;"&amp;Y198)+1)</f>
        <v>0</v>
      </c>
      <c r="AA198" s="8">
        <f>IF(A198="","",IF(OR(U198&gt;0,AND(O198="Yes",X198&lt;2)),"Yes","No"))</f>
        <v>0</v>
      </c>
      <c r="AB198" s="8">
        <f>IF(OR(A198="",D198=""),"",S198*D198)</f>
        <v>0</v>
      </c>
      <c r="AC198" s="8">
        <f>IF(AB198="","",COUNTIFS($AB$5:$AB$304,"&gt;"&amp;AB198)+1)</f>
        <v>0</v>
      </c>
      <c r="AD198" s="8">
        <f>IF(A198="","",SUMIFS('Food Waste'!$E$5:$E$154,'Food Waste'!$C$5:$C$154,A198))</f>
        <v>0</v>
      </c>
      <c r="AE198" s="8">
        <f>IF(OR(A198="",AD198=0),"",COUNTIFS($AD$5:$AD$304,"&gt;"&amp;AD198)+1)</f>
        <v>0</v>
      </c>
      <c r="AF198" s="8">
        <f>IF(A198="","",IF(SUMPRODUCT(MAX(('Grocery Spending'!$E$5:$E$404=A198)*'Grocery Spending'!$A$5:$A$404))=0,"",SUMPRODUCT(MAX(('Grocery Spending'!$E$5:$E$404=A198)*'Grocery Spending'!$A$5:$A$404))))</f>
        <v>0</v>
      </c>
      <c r="AG198" s="8">
        <f>IF(OR(A198="",AF198=""),"",IFERROR(AVERAGEIFS('Grocery Spending'!$I$5:$I$404,'Grocery Spending'!$E$5:$E$404,A198,'Grocery Spending'!$A$5:$A$404,AF198),""))</f>
        <v>0</v>
      </c>
      <c r="AH198" s="8">
        <f>IF(A198="","",IFERROR(AVERAGEIFS('Grocery Spending'!$I$5:$I$404,'Grocery Spending'!$E$5:$E$404,A198),""))</f>
        <v>0</v>
      </c>
      <c r="AI198" s="8">
        <f>IF(A198="","",IF(SUMPRODUCT(MIN(('Grocery Spending'!$E$5:$E$404=A198)*'Grocery Spending'!$I$5:$I$404+('Grocery Spending'!$E$5:$E$404&lt;&gt;A198)*1000000))&gt;=1000000,"",SUMPRODUCT(MIN(('Grocery Spending'!$E$5:$E$404=A198)*'Grocery Spending'!$I$5:$I$404+('Grocery Spending'!$E$5:$E$404&lt;&gt;A198)*1000000))))</f>
        <v>0</v>
      </c>
      <c r="AJ198" s="8">
        <f>IF(A198="","",SUMPRODUCT(MAX(('Grocery Spending'!$E$5:$E$404=A198)*'Grocery Spending'!$I$5:$I$404)))</f>
        <v>0</v>
      </c>
      <c r="AK198" s="8">
        <f>IF(OR(A198="",AI198="",AJ198=0),"",AJ198-AI198)</f>
        <v>0</v>
      </c>
      <c r="AL198" s="8">
        <f>IF(OR(A198="",AG198="",AH198=""),"",AG198-AH198)</f>
        <v>0</v>
      </c>
      <c r="AM198" s="8">
        <f>IF(A198="","",IF(AL198="","",IF(AL198&gt;0.01,"Up",IF(AL198&lt;-0.01,"Down","Flat"))))</f>
        <v>0</v>
      </c>
      <c r="AN198" s="25"/>
    </row>
    <row r="199" spans="1:40">
      <c r="A199" s="7"/>
      <c r="B199" s="27"/>
      <c r="C199" s="27"/>
      <c r="D199" s="28"/>
      <c r="E199" s="27"/>
      <c r="F199" s="26"/>
      <c r="G199" s="8">
        <f>IF(OR(D199="",F199="",F199=0),"",D199/F199)</f>
        <v>0</v>
      </c>
      <c r="H199" s="26"/>
      <c r="I199" s="26"/>
      <c r="J199" s="26"/>
      <c r="K199" s="26"/>
      <c r="L199" s="26"/>
      <c r="M199" s="26"/>
      <c r="N199" s="27"/>
      <c r="O199" s="27"/>
      <c r="P199" s="27"/>
      <c r="Q199" s="27"/>
      <c r="R199" s="7"/>
      <c r="S199" s="8">
        <f>IF(A199="","",SUMIFS(Pantry!$C$5:$C$304,Pantry!$A$5:$A$304,A199))</f>
        <v>0</v>
      </c>
      <c r="T199" s="8">
        <f>IF(A199="","",COUNTIFS('Grocery List'!$A$5:$A$304,A199,'Grocery List'!$N$5:$N$304,"Yes"))</f>
        <v>0</v>
      </c>
      <c r="U199" s="8">
        <f>IF(A199="","",SUMIFS('Grocery List'!$M$5:$M$304,'Grocery List'!$A$5:$A$304,A199))</f>
        <v>0</v>
      </c>
      <c r="V199" s="8">
        <f>IF(A199="","",COUNTIFS('Recipe Ingredients'!$B$5:$B$1204,A199))</f>
        <v>0</v>
      </c>
      <c r="W199" s="8">
        <f>IF(A199="","",SUMIFS('Recipe Ingredients'!$C$5:$C$1204,'Recipe Ingredients'!$B$5:$B$1204,A199))</f>
        <v>0</v>
      </c>
      <c r="X199" s="8">
        <f>IF(A199="","",IF(U199&lt;=0,IF(S199&gt;0,99,0),ROUND(S199/U199,1)))</f>
        <v>0</v>
      </c>
      <c r="Y199" s="8">
        <f>IF(A199="","",U199*10+IF(O199="Yes",5,0)+IF(X199&lt;1,10,0)+IF(S199&lt;=0,3,0))</f>
        <v>0</v>
      </c>
      <c r="Z199" s="8">
        <f>IF(A199="","",COUNTIFS($Y$5:$Y$304,"&gt;"&amp;Y199)+1)</f>
        <v>0</v>
      </c>
      <c r="AA199" s="8">
        <f>IF(A199="","",IF(OR(U199&gt;0,AND(O199="Yes",X199&lt;2)),"Yes","No"))</f>
        <v>0</v>
      </c>
      <c r="AB199" s="8">
        <f>IF(OR(A199="",D199=""),"",S199*D199)</f>
        <v>0</v>
      </c>
      <c r="AC199" s="8">
        <f>IF(AB199="","",COUNTIFS($AB$5:$AB$304,"&gt;"&amp;AB199)+1)</f>
        <v>0</v>
      </c>
      <c r="AD199" s="8">
        <f>IF(A199="","",SUMIFS('Food Waste'!$E$5:$E$154,'Food Waste'!$C$5:$C$154,A199))</f>
        <v>0</v>
      </c>
      <c r="AE199" s="8">
        <f>IF(OR(A199="",AD199=0),"",COUNTIFS($AD$5:$AD$304,"&gt;"&amp;AD199)+1)</f>
        <v>0</v>
      </c>
      <c r="AF199" s="8">
        <f>IF(A199="","",IF(SUMPRODUCT(MAX(('Grocery Spending'!$E$5:$E$404=A199)*'Grocery Spending'!$A$5:$A$404))=0,"",SUMPRODUCT(MAX(('Grocery Spending'!$E$5:$E$404=A199)*'Grocery Spending'!$A$5:$A$404))))</f>
        <v>0</v>
      </c>
      <c r="AG199" s="8">
        <f>IF(OR(A199="",AF199=""),"",IFERROR(AVERAGEIFS('Grocery Spending'!$I$5:$I$404,'Grocery Spending'!$E$5:$E$404,A199,'Grocery Spending'!$A$5:$A$404,AF199),""))</f>
        <v>0</v>
      </c>
      <c r="AH199" s="8">
        <f>IF(A199="","",IFERROR(AVERAGEIFS('Grocery Spending'!$I$5:$I$404,'Grocery Spending'!$E$5:$E$404,A199),""))</f>
        <v>0</v>
      </c>
      <c r="AI199" s="8">
        <f>IF(A199="","",IF(SUMPRODUCT(MIN(('Grocery Spending'!$E$5:$E$404=A199)*'Grocery Spending'!$I$5:$I$404+('Grocery Spending'!$E$5:$E$404&lt;&gt;A199)*1000000))&gt;=1000000,"",SUMPRODUCT(MIN(('Grocery Spending'!$E$5:$E$404=A199)*'Grocery Spending'!$I$5:$I$404+('Grocery Spending'!$E$5:$E$404&lt;&gt;A199)*1000000))))</f>
        <v>0</v>
      </c>
      <c r="AJ199" s="8">
        <f>IF(A199="","",SUMPRODUCT(MAX(('Grocery Spending'!$E$5:$E$404=A199)*'Grocery Spending'!$I$5:$I$404)))</f>
        <v>0</v>
      </c>
      <c r="AK199" s="8">
        <f>IF(OR(A199="",AI199="",AJ199=0),"",AJ199-AI199)</f>
        <v>0</v>
      </c>
      <c r="AL199" s="8">
        <f>IF(OR(A199="",AG199="",AH199=""),"",AG199-AH199)</f>
        <v>0</v>
      </c>
      <c r="AM199" s="8">
        <f>IF(A199="","",IF(AL199="","",IF(AL199&gt;0.01,"Up",IF(AL199&lt;-0.01,"Down","Flat"))))</f>
        <v>0</v>
      </c>
      <c r="AN199" s="25"/>
    </row>
    <row r="200" spans="1:40">
      <c r="A200" s="7"/>
      <c r="B200" s="27"/>
      <c r="C200" s="27"/>
      <c r="D200" s="28"/>
      <c r="E200" s="27"/>
      <c r="F200" s="26"/>
      <c r="G200" s="8">
        <f>IF(OR(D200="",F200="",F200=0),"",D200/F200)</f>
        <v>0</v>
      </c>
      <c r="H200" s="26"/>
      <c r="I200" s="26"/>
      <c r="J200" s="26"/>
      <c r="K200" s="26"/>
      <c r="L200" s="26"/>
      <c r="M200" s="26"/>
      <c r="N200" s="27"/>
      <c r="O200" s="27"/>
      <c r="P200" s="27"/>
      <c r="Q200" s="27"/>
      <c r="R200" s="7"/>
      <c r="S200" s="8">
        <f>IF(A200="","",SUMIFS(Pantry!$C$5:$C$304,Pantry!$A$5:$A$304,A200))</f>
        <v>0</v>
      </c>
      <c r="T200" s="8">
        <f>IF(A200="","",COUNTIFS('Grocery List'!$A$5:$A$304,A200,'Grocery List'!$N$5:$N$304,"Yes"))</f>
        <v>0</v>
      </c>
      <c r="U200" s="8">
        <f>IF(A200="","",SUMIFS('Grocery List'!$M$5:$M$304,'Grocery List'!$A$5:$A$304,A200))</f>
        <v>0</v>
      </c>
      <c r="V200" s="8">
        <f>IF(A200="","",COUNTIFS('Recipe Ingredients'!$B$5:$B$1204,A200))</f>
        <v>0</v>
      </c>
      <c r="W200" s="8">
        <f>IF(A200="","",SUMIFS('Recipe Ingredients'!$C$5:$C$1204,'Recipe Ingredients'!$B$5:$B$1204,A200))</f>
        <v>0</v>
      </c>
      <c r="X200" s="8">
        <f>IF(A200="","",IF(U200&lt;=0,IF(S200&gt;0,99,0),ROUND(S200/U200,1)))</f>
        <v>0</v>
      </c>
      <c r="Y200" s="8">
        <f>IF(A200="","",U200*10+IF(O200="Yes",5,0)+IF(X200&lt;1,10,0)+IF(S200&lt;=0,3,0))</f>
        <v>0</v>
      </c>
      <c r="Z200" s="8">
        <f>IF(A200="","",COUNTIFS($Y$5:$Y$304,"&gt;"&amp;Y200)+1)</f>
        <v>0</v>
      </c>
      <c r="AA200" s="8">
        <f>IF(A200="","",IF(OR(U200&gt;0,AND(O200="Yes",X200&lt;2)),"Yes","No"))</f>
        <v>0</v>
      </c>
      <c r="AB200" s="8">
        <f>IF(OR(A200="",D200=""),"",S200*D200)</f>
        <v>0</v>
      </c>
      <c r="AC200" s="8">
        <f>IF(AB200="","",COUNTIFS($AB$5:$AB$304,"&gt;"&amp;AB200)+1)</f>
        <v>0</v>
      </c>
      <c r="AD200" s="8">
        <f>IF(A200="","",SUMIFS('Food Waste'!$E$5:$E$154,'Food Waste'!$C$5:$C$154,A200))</f>
        <v>0</v>
      </c>
      <c r="AE200" s="8">
        <f>IF(OR(A200="",AD200=0),"",COUNTIFS($AD$5:$AD$304,"&gt;"&amp;AD200)+1)</f>
        <v>0</v>
      </c>
      <c r="AF200" s="8">
        <f>IF(A200="","",IF(SUMPRODUCT(MAX(('Grocery Spending'!$E$5:$E$404=A200)*'Grocery Spending'!$A$5:$A$404))=0,"",SUMPRODUCT(MAX(('Grocery Spending'!$E$5:$E$404=A200)*'Grocery Spending'!$A$5:$A$404))))</f>
        <v>0</v>
      </c>
      <c r="AG200" s="8">
        <f>IF(OR(A200="",AF200=""),"",IFERROR(AVERAGEIFS('Grocery Spending'!$I$5:$I$404,'Grocery Spending'!$E$5:$E$404,A200,'Grocery Spending'!$A$5:$A$404,AF200),""))</f>
        <v>0</v>
      </c>
      <c r="AH200" s="8">
        <f>IF(A200="","",IFERROR(AVERAGEIFS('Grocery Spending'!$I$5:$I$404,'Grocery Spending'!$E$5:$E$404,A200),""))</f>
        <v>0</v>
      </c>
      <c r="AI200" s="8">
        <f>IF(A200="","",IF(SUMPRODUCT(MIN(('Grocery Spending'!$E$5:$E$404=A200)*'Grocery Spending'!$I$5:$I$404+('Grocery Spending'!$E$5:$E$404&lt;&gt;A200)*1000000))&gt;=1000000,"",SUMPRODUCT(MIN(('Grocery Spending'!$E$5:$E$404=A200)*'Grocery Spending'!$I$5:$I$404+('Grocery Spending'!$E$5:$E$404&lt;&gt;A200)*1000000))))</f>
        <v>0</v>
      </c>
      <c r="AJ200" s="8">
        <f>IF(A200="","",SUMPRODUCT(MAX(('Grocery Spending'!$E$5:$E$404=A200)*'Grocery Spending'!$I$5:$I$404)))</f>
        <v>0</v>
      </c>
      <c r="AK200" s="8">
        <f>IF(OR(A200="",AI200="",AJ200=0),"",AJ200-AI200)</f>
        <v>0</v>
      </c>
      <c r="AL200" s="8">
        <f>IF(OR(A200="",AG200="",AH200=""),"",AG200-AH200)</f>
        <v>0</v>
      </c>
      <c r="AM200" s="8">
        <f>IF(A200="","",IF(AL200="","",IF(AL200&gt;0.01,"Up",IF(AL200&lt;-0.01,"Down","Flat"))))</f>
        <v>0</v>
      </c>
      <c r="AN200" s="25"/>
    </row>
    <row r="201" spans="1:40">
      <c r="A201" s="7"/>
      <c r="B201" s="27"/>
      <c r="C201" s="27"/>
      <c r="D201" s="28"/>
      <c r="E201" s="27"/>
      <c r="F201" s="26"/>
      <c r="G201" s="8">
        <f>IF(OR(D201="",F201="",F201=0),"",D201/F201)</f>
        <v>0</v>
      </c>
      <c r="H201" s="26"/>
      <c r="I201" s="26"/>
      <c r="J201" s="26"/>
      <c r="K201" s="26"/>
      <c r="L201" s="26"/>
      <c r="M201" s="26"/>
      <c r="N201" s="27"/>
      <c r="O201" s="27"/>
      <c r="P201" s="27"/>
      <c r="Q201" s="27"/>
      <c r="R201" s="7"/>
      <c r="S201" s="8">
        <f>IF(A201="","",SUMIFS(Pantry!$C$5:$C$304,Pantry!$A$5:$A$304,A201))</f>
        <v>0</v>
      </c>
      <c r="T201" s="8">
        <f>IF(A201="","",COUNTIFS('Grocery List'!$A$5:$A$304,A201,'Grocery List'!$N$5:$N$304,"Yes"))</f>
        <v>0</v>
      </c>
      <c r="U201" s="8">
        <f>IF(A201="","",SUMIFS('Grocery List'!$M$5:$M$304,'Grocery List'!$A$5:$A$304,A201))</f>
        <v>0</v>
      </c>
      <c r="V201" s="8">
        <f>IF(A201="","",COUNTIFS('Recipe Ingredients'!$B$5:$B$1204,A201))</f>
        <v>0</v>
      </c>
      <c r="W201" s="8">
        <f>IF(A201="","",SUMIFS('Recipe Ingredients'!$C$5:$C$1204,'Recipe Ingredients'!$B$5:$B$1204,A201))</f>
        <v>0</v>
      </c>
      <c r="X201" s="8">
        <f>IF(A201="","",IF(U201&lt;=0,IF(S201&gt;0,99,0),ROUND(S201/U201,1)))</f>
        <v>0</v>
      </c>
      <c r="Y201" s="8">
        <f>IF(A201="","",U201*10+IF(O201="Yes",5,0)+IF(X201&lt;1,10,0)+IF(S201&lt;=0,3,0))</f>
        <v>0</v>
      </c>
      <c r="Z201" s="8">
        <f>IF(A201="","",COUNTIFS($Y$5:$Y$304,"&gt;"&amp;Y201)+1)</f>
        <v>0</v>
      </c>
      <c r="AA201" s="8">
        <f>IF(A201="","",IF(OR(U201&gt;0,AND(O201="Yes",X201&lt;2)),"Yes","No"))</f>
        <v>0</v>
      </c>
      <c r="AB201" s="8">
        <f>IF(OR(A201="",D201=""),"",S201*D201)</f>
        <v>0</v>
      </c>
      <c r="AC201" s="8">
        <f>IF(AB201="","",COUNTIFS($AB$5:$AB$304,"&gt;"&amp;AB201)+1)</f>
        <v>0</v>
      </c>
      <c r="AD201" s="8">
        <f>IF(A201="","",SUMIFS('Food Waste'!$E$5:$E$154,'Food Waste'!$C$5:$C$154,A201))</f>
        <v>0</v>
      </c>
      <c r="AE201" s="8">
        <f>IF(OR(A201="",AD201=0),"",COUNTIFS($AD$5:$AD$304,"&gt;"&amp;AD201)+1)</f>
        <v>0</v>
      </c>
      <c r="AF201" s="8">
        <f>IF(A201="","",IF(SUMPRODUCT(MAX(('Grocery Spending'!$E$5:$E$404=A201)*'Grocery Spending'!$A$5:$A$404))=0,"",SUMPRODUCT(MAX(('Grocery Spending'!$E$5:$E$404=A201)*'Grocery Spending'!$A$5:$A$404))))</f>
        <v>0</v>
      </c>
      <c r="AG201" s="8">
        <f>IF(OR(A201="",AF201=""),"",IFERROR(AVERAGEIFS('Grocery Spending'!$I$5:$I$404,'Grocery Spending'!$E$5:$E$404,A201,'Grocery Spending'!$A$5:$A$404,AF201),""))</f>
        <v>0</v>
      </c>
      <c r="AH201" s="8">
        <f>IF(A201="","",IFERROR(AVERAGEIFS('Grocery Spending'!$I$5:$I$404,'Grocery Spending'!$E$5:$E$404,A201),""))</f>
        <v>0</v>
      </c>
      <c r="AI201" s="8">
        <f>IF(A201="","",IF(SUMPRODUCT(MIN(('Grocery Spending'!$E$5:$E$404=A201)*'Grocery Spending'!$I$5:$I$404+('Grocery Spending'!$E$5:$E$404&lt;&gt;A201)*1000000))&gt;=1000000,"",SUMPRODUCT(MIN(('Grocery Spending'!$E$5:$E$404=A201)*'Grocery Spending'!$I$5:$I$404+('Grocery Spending'!$E$5:$E$404&lt;&gt;A201)*1000000))))</f>
        <v>0</v>
      </c>
      <c r="AJ201" s="8">
        <f>IF(A201="","",SUMPRODUCT(MAX(('Grocery Spending'!$E$5:$E$404=A201)*'Grocery Spending'!$I$5:$I$404)))</f>
        <v>0</v>
      </c>
      <c r="AK201" s="8">
        <f>IF(OR(A201="",AI201="",AJ201=0),"",AJ201-AI201)</f>
        <v>0</v>
      </c>
      <c r="AL201" s="8">
        <f>IF(OR(A201="",AG201="",AH201=""),"",AG201-AH201)</f>
        <v>0</v>
      </c>
      <c r="AM201" s="8">
        <f>IF(A201="","",IF(AL201="","",IF(AL201&gt;0.01,"Up",IF(AL201&lt;-0.01,"Down","Flat"))))</f>
        <v>0</v>
      </c>
      <c r="AN201" s="25"/>
    </row>
    <row r="202" spans="1:40">
      <c r="A202" s="7"/>
      <c r="B202" s="27"/>
      <c r="C202" s="27"/>
      <c r="D202" s="28"/>
      <c r="E202" s="27"/>
      <c r="F202" s="26"/>
      <c r="G202" s="8">
        <f>IF(OR(D202="",F202="",F202=0),"",D202/F202)</f>
        <v>0</v>
      </c>
      <c r="H202" s="26"/>
      <c r="I202" s="26"/>
      <c r="J202" s="26"/>
      <c r="K202" s="26"/>
      <c r="L202" s="26"/>
      <c r="M202" s="26"/>
      <c r="N202" s="27"/>
      <c r="O202" s="27"/>
      <c r="P202" s="27"/>
      <c r="Q202" s="27"/>
      <c r="R202" s="7"/>
      <c r="S202" s="8">
        <f>IF(A202="","",SUMIFS(Pantry!$C$5:$C$304,Pantry!$A$5:$A$304,A202))</f>
        <v>0</v>
      </c>
      <c r="T202" s="8">
        <f>IF(A202="","",COUNTIFS('Grocery List'!$A$5:$A$304,A202,'Grocery List'!$N$5:$N$304,"Yes"))</f>
        <v>0</v>
      </c>
      <c r="U202" s="8">
        <f>IF(A202="","",SUMIFS('Grocery List'!$M$5:$M$304,'Grocery List'!$A$5:$A$304,A202))</f>
        <v>0</v>
      </c>
      <c r="V202" s="8">
        <f>IF(A202="","",COUNTIFS('Recipe Ingredients'!$B$5:$B$1204,A202))</f>
        <v>0</v>
      </c>
      <c r="W202" s="8">
        <f>IF(A202="","",SUMIFS('Recipe Ingredients'!$C$5:$C$1204,'Recipe Ingredients'!$B$5:$B$1204,A202))</f>
        <v>0</v>
      </c>
      <c r="X202" s="8">
        <f>IF(A202="","",IF(U202&lt;=0,IF(S202&gt;0,99,0),ROUND(S202/U202,1)))</f>
        <v>0</v>
      </c>
      <c r="Y202" s="8">
        <f>IF(A202="","",U202*10+IF(O202="Yes",5,0)+IF(X202&lt;1,10,0)+IF(S202&lt;=0,3,0))</f>
        <v>0</v>
      </c>
      <c r="Z202" s="8">
        <f>IF(A202="","",COUNTIFS($Y$5:$Y$304,"&gt;"&amp;Y202)+1)</f>
        <v>0</v>
      </c>
      <c r="AA202" s="8">
        <f>IF(A202="","",IF(OR(U202&gt;0,AND(O202="Yes",X202&lt;2)),"Yes","No"))</f>
        <v>0</v>
      </c>
      <c r="AB202" s="8">
        <f>IF(OR(A202="",D202=""),"",S202*D202)</f>
        <v>0</v>
      </c>
      <c r="AC202" s="8">
        <f>IF(AB202="","",COUNTIFS($AB$5:$AB$304,"&gt;"&amp;AB202)+1)</f>
        <v>0</v>
      </c>
      <c r="AD202" s="8">
        <f>IF(A202="","",SUMIFS('Food Waste'!$E$5:$E$154,'Food Waste'!$C$5:$C$154,A202))</f>
        <v>0</v>
      </c>
      <c r="AE202" s="8">
        <f>IF(OR(A202="",AD202=0),"",COUNTIFS($AD$5:$AD$304,"&gt;"&amp;AD202)+1)</f>
        <v>0</v>
      </c>
      <c r="AF202" s="8">
        <f>IF(A202="","",IF(SUMPRODUCT(MAX(('Grocery Spending'!$E$5:$E$404=A202)*'Grocery Spending'!$A$5:$A$404))=0,"",SUMPRODUCT(MAX(('Grocery Spending'!$E$5:$E$404=A202)*'Grocery Spending'!$A$5:$A$404))))</f>
        <v>0</v>
      </c>
      <c r="AG202" s="8">
        <f>IF(OR(A202="",AF202=""),"",IFERROR(AVERAGEIFS('Grocery Spending'!$I$5:$I$404,'Grocery Spending'!$E$5:$E$404,A202,'Grocery Spending'!$A$5:$A$404,AF202),""))</f>
        <v>0</v>
      </c>
      <c r="AH202" s="8">
        <f>IF(A202="","",IFERROR(AVERAGEIFS('Grocery Spending'!$I$5:$I$404,'Grocery Spending'!$E$5:$E$404,A202),""))</f>
        <v>0</v>
      </c>
      <c r="AI202" s="8">
        <f>IF(A202="","",IF(SUMPRODUCT(MIN(('Grocery Spending'!$E$5:$E$404=A202)*'Grocery Spending'!$I$5:$I$404+('Grocery Spending'!$E$5:$E$404&lt;&gt;A202)*1000000))&gt;=1000000,"",SUMPRODUCT(MIN(('Grocery Spending'!$E$5:$E$404=A202)*'Grocery Spending'!$I$5:$I$404+('Grocery Spending'!$E$5:$E$404&lt;&gt;A202)*1000000))))</f>
        <v>0</v>
      </c>
      <c r="AJ202" s="8">
        <f>IF(A202="","",SUMPRODUCT(MAX(('Grocery Spending'!$E$5:$E$404=A202)*'Grocery Spending'!$I$5:$I$404)))</f>
        <v>0</v>
      </c>
      <c r="AK202" s="8">
        <f>IF(OR(A202="",AI202="",AJ202=0),"",AJ202-AI202)</f>
        <v>0</v>
      </c>
      <c r="AL202" s="8">
        <f>IF(OR(A202="",AG202="",AH202=""),"",AG202-AH202)</f>
        <v>0</v>
      </c>
      <c r="AM202" s="8">
        <f>IF(A202="","",IF(AL202="","",IF(AL202&gt;0.01,"Up",IF(AL202&lt;-0.01,"Down","Flat"))))</f>
        <v>0</v>
      </c>
      <c r="AN202" s="25"/>
    </row>
    <row r="203" spans="1:40">
      <c r="A203" s="7"/>
      <c r="B203" s="27"/>
      <c r="C203" s="27"/>
      <c r="D203" s="28"/>
      <c r="E203" s="27"/>
      <c r="F203" s="26"/>
      <c r="G203" s="8">
        <f>IF(OR(D203="",F203="",F203=0),"",D203/F203)</f>
        <v>0</v>
      </c>
      <c r="H203" s="26"/>
      <c r="I203" s="26"/>
      <c r="J203" s="26"/>
      <c r="K203" s="26"/>
      <c r="L203" s="26"/>
      <c r="M203" s="26"/>
      <c r="N203" s="27"/>
      <c r="O203" s="27"/>
      <c r="P203" s="27"/>
      <c r="Q203" s="27"/>
      <c r="R203" s="7"/>
      <c r="S203" s="8">
        <f>IF(A203="","",SUMIFS(Pantry!$C$5:$C$304,Pantry!$A$5:$A$304,A203))</f>
        <v>0</v>
      </c>
      <c r="T203" s="8">
        <f>IF(A203="","",COUNTIFS('Grocery List'!$A$5:$A$304,A203,'Grocery List'!$N$5:$N$304,"Yes"))</f>
        <v>0</v>
      </c>
      <c r="U203" s="8">
        <f>IF(A203="","",SUMIFS('Grocery List'!$M$5:$M$304,'Grocery List'!$A$5:$A$304,A203))</f>
        <v>0</v>
      </c>
      <c r="V203" s="8">
        <f>IF(A203="","",COUNTIFS('Recipe Ingredients'!$B$5:$B$1204,A203))</f>
        <v>0</v>
      </c>
      <c r="W203" s="8">
        <f>IF(A203="","",SUMIFS('Recipe Ingredients'!$C$5:$C$1204,'Recipe Ingredients'!$B$5:$B$1204,A203))</f>
        <v>0</v>
      </c>
      <c r="X203" s="8">
        <f>IF(A203="","",IF(U203&lt;=0,IF(S203&gt;0,99,0),ROUND(S203/U203,1)))</f>
        <v>0</v>
      </c>
      <c r="Y203" s="8">
        <f>IF(A203="","",U203*10+IF(O203="Yes",5,0)+IF(X203&lt;1,10,0)+IF(S203&lt;=0,3,0))</f>
        <v>0</v>
      </c>
      <c r="Z203" s="8">
        <f>IF(A203="","",COUNTIFS($Y$5:$Y$304,"&gt;"&amp;Y203)+1)</f>
        <v>0</v>
      </c>
      <c r="AA203" s="8">
        <f>IF(A203="","",IF(OR(U203&gt;0,AND(O203="Yes",X203&lt;2)),"Yes","No"))</f>
        <v>0</v>
      </c>
      <c r="AB203" s="8">
        <f>IF(OR(A203="",D203=""),"",S203*D203)</f>
        <v>0</v>
      </c>
      <c r="AC203" s="8">
        <f>IF(AB203="","",COUNTIFS($AB$5:$AB$304,"&gt;"&amp;AB203)+1)</f>
        <v>0</v>
      </c>
      <c r="AD203" s="8">
        <f>IF(A203="","",SUMIFS('Food Waste'!$E$5:$E$154,'Food Waste'!$C$5:$C$154,A203))</f>
        <v>0</v>
      </c>
      <c r="AE203" s="8">
        <f>IF(OR(A203="",AD203=0),"",COUNTIFS($AD$5:$AD$304,"&gt;"&amp;AD203)+1)</f>
        <v>0</v>
      </c>
      <c r="AF203" s="8">
        <f>IF(A203="","",IF(SUMPRODUCT(MAX(('Grocery Spending'!$E$5:$E$404=A203)*'Grocery Spending'!$A$5:$A$404))=0,"",SUMPRODUCT(MAX(('Grocery Spending'!$E$5:$E$404=A203)*'Grocery Spending'!$A$5:$A$404))))</f>
        <v>0</v>
      </c>
      <c r="AG203" s="8">
        <f>IF(OR(A203="",AF203=""),"",IFERROR(AVERAGEIFS('Grocery Spending'!$I$5:$I$404,'Grocery Spending'!$E$5:$E$404,A203,'Grocery Spending'!$A$5:$A$404,AF203),""))</f>
        <v>0</v>
      </c>
      <c r="AH203" s="8">
        <f>IF(A203="","",IFERROR(AVERAGEIFS('Grocery Spending'!$I$5:$I$404,'Grocery Spending'!$E$5:$E$404,A203),""))</f>
        <v>0</v>
      </c>
      <c r="AI203" s="8">
        <f>IF(A203="","",IF(SUMPRODUCT(MIN(('Grocery Spending'!$E$5:$E$404=A203)*'Grocery Spending'!$I$5:$I$404+('Grocery Spending'!$E$5:$E$404&lt;&gt;A203)*1000000))&gt;=1000000,"",SUMPRODUCT(MIN(('Grocery Spending'!$E$5:$E$404=A203)*'Grocery Spending'!$I$5:$I$404+('Grocery Spending'!$E$5:$E$404&lt;&gt;A203)*1000000))))</f>
        <v>0</v>
      </c>
      <c r="AJ203" s="8">
        <f>IF(A203="","",SUMPRODUCT(MAX(('Grocery Spending'!$E$5:$E$404=A203)*'Grocery Spending'!$I$5:$I$404)))</f>
        <v>0</v>
      </c>
      <c r="AK203" s="8">
        <f>IF(OR(A203="",AI203="",AJ203=0),"",AJ203-AI203)</f>
        <v>0</v>
      </c>
      <c r="AL203" s="8">
        <f>IF(OR(A203="",AG203="",AH203=""),"",AG203-AH203)</f>
        <v>0</v>
      </c>
      <c r="AM203" s="8">
        <f>IF(A203="","",IF(AL203="","",IF(AL203&gt;0.01,"Up",IF(AL203&lt;-0.01,"Down","Flat"))))</f>
        <v>0</v>
      </c>
      <c r="AN203" s="25"/>
    </row>
    <row r="204" spans="1:40">
      <c r="A204" s="7"/>
      <c r="B204" s="27"/>
      <c r="C204" s="27"/>
      <c r="D204" s="28"/>
      <c r="E204" s="27"/>
      <c r="F204" s="26"/>
      <c r="G204" s="8">
        <f>IF(OR(D204="",F204="",F204=0),"",D204/F204)</f>
        <v>0</v>
      </c>
      <c r="H204" s="26"/>
      <c r="I204" s="26"/>
      <c r="J204" s="26"/>
      <c r="K204" s="26"/>
      <c r="L204" s="26"/>
      <c r="M204" s="26"/>
      <c r="N204" s="27"/>
      <c r="O204" s="27"/>
      <c r="P204" s="27"/>
      <c r="Q204" s="27"/>
      <c r="R204" s="7"/>
      <c r="S204" s="8">
        <f>IF(A204="","",SUMIFS(Pantry!$C$5:$C$304,Pantry!$A$5:$A$304,A204))</f>
        <v>0</v>
      </c>
      <c r="T204" s="8">
        <f>IF(A204="","",COUNTIFS('Grocery List'!$A$5:$A$304,A204,'Grocery List'!$N$5:$N$304,"Yes"))</f>
        <v>0</v>
      </c>
      <c r="U204" s="8">
        <f>IF(A204="","",SUMIFS('Grocery List'!$M$5:$M$304,'Grocery List'!$A$5:$A$304,A204))</f>
        <v>0</v>
      </c>
      <c r="V204" s="8">
        <f>IF(A204="","",COUNTIFS('Recipe Ingredients'!$B$5:$B$1204,A204))</f>
        <v>0</v>
      </c>
      <c r="W204" s="8">
        <f>IF(A204="","",SUMIFS('Recipe Ingredients'!$C$5:$C$1204,'Recipe Ingredients'!$B$5:$B$1204,A204))</f>
        <v>0</v>
      </c>
      <c r="X204" s="8">
        <f>IF(A204="","",IF(U204&lt;=0,IF(S204&gt;0,99,0),ROUND(S204/U204,1)))</f>
        <v>0</v>
      </c>
      <c r="Y204" s="8">
        <f>IF(A204="","",U204*10+IF(O204="Yes",5,0)+IF(X204&lt;1,10,0)+IF(S204&lt;=0,3,0))</f>
        <v>0</v>
      </c>
      <c r="Z204" s="8">
        <f>IF(A204="","",COUNTIFS($Y$5:$Y$304,"&gt;"&amp;Y204)+1)</f>
        <v>0</v>
      </c>
      <c r="AA204" s="8">
        <f>IF(A204="","",IF(OR(U204&gt;0,AND(O204="Yes",X204&lt;2)),"Yes","No"))</f>
        <v>0</v>
      </c>
      <c r="AB204" s="8">
        <f>IF(OR(A204="",D204=""),"",S204*D204)</f>
        <v>0</v>
      </c>
      <c r="AC204" s="8">
        <f>IF(AB204="","",COUNTIFS($AB$5:$AB$304,"&gt;"&amp;AB204)+1)</f>
        <v>0</v>
      </c>
      <c r="AD204" s="8">
        <f>IF(A204="","",SUMIFS('Food Waste'!$E$5:$E$154,'Food Waste'!$C$5:$C$154,A204))</f>
        <v>0</v>
      </c>
      <c r="AE204" s="8">
        <f>IF(OR(A204="",AD204=0),"",COUNTIFS($AD$5:$AD$304,"&gt;"&amp;AD204)+1)</f>
        <v>0</v>
      </c>
      <c r="AF204" s="8">
        <f>IF(A204="","",IF(SUMPRODUCT(MAX(('Grocery Spending'!$E$5:$E$404=A204)*'Grocery Spending'!$A$5:$A$404))=0,"",SUMPRODUCT(MAX(('Grocery Spending'!$E$5:$E$404=A204)*'Grocery Spending'!$A$5:$A$404))))</f>
        <v>0</v>
      </c>
      <c r="AG204" s="8">
        <f>IF(OR(A204="",AF204=""),"",IFERROR(AVERAGEIFS('Grocery Spending'!$I$5:$I$404,'Grocery Spending'!$E$5:$E$404,A204,'Grocery Spending'!$A$5:$A$404,AF204),""))</f>
        <v>0</v>
      </c>
      <c r="AH204" s="8">
        <f>IF(A204="","",IFERROR(AVERAGEIFS('Grocery Spending'!$I$5:$I$404,'Grocery Spending'!$E$5:$E$404,A204),""))</f>
        <v>0</v>
      </c>
      <c r="AI204" s="8">
        <f>IF(A204="","",IF(SUMPRODUCT(MIN(('Grocery Spending'!$E$5:$E$404=A204)*'Grocery Spending'!$I$5:$I$404+('Grocery Spending'!$E$5:$E$404&lt;&gt;A204)*1000000))&gt;=1000000,"",SUMPRODUCT(MIN(('Grocery Spending'!$E$5:$E$404=A204)*'Grocery Spending'!$I$5:$I$404+('Grocery Spending'!$E$5:$E$404&lt;&gt;A204)*1000000))))</f>
        <v>0</v>
      </c>
      <c r="AJ204" s="8">
        <f>IF(A204="","",SUMPRODUCT(MAX(('Grocery Spending'!$E$5:$E$404=A204)*'Grocery Spending'!$I$5:$I$404)))</f>
        <v>0</v>
      </c>
      <c r="AK204" s="8">
        <f>IF(OR(A204="",AI204="",AJ204=0),"",AJ204-AI204)</f>
        <v>0</v>
      </c>
      <c r="AL204" s="8">
        <f>IF(OR(A204="",AG204="",AH204=""),"",AG204-AH204)</f>
        <v>0</v>
      </c>
      <c r="AM204" s="8">
        <f>IF(A204="","",IF(AL204="","",IF(AL204&gt;0.01,"Up",IF(AL204&lt;-0.01,"Down","Flat"))))</f>
        <v>0</v>
      </c>
      <c r="AN204" s="25"/>
    </row>
    <row r="205" spans="1:40">
      <c r="A205" s="7"/>
      <c r="B205" s="27"/>
      <c r="C205" s="27"/>
      <c r="D205" s="28"/>
      <c r="E205" s="27"/>
      <c r="F205" s="26"/>
      <c r="G205" s="8">
        <f>IF(OR(D205="",F205="",F205=0),"",D205/F205)</f>
        <v>0</v>
      </c>
      <c r="H205" s="26"/>
      <c r="I205" s="26"/>
      <c r="J205" s="26"/>
      <c r="K205" s="26"/>
      <c r="L205" s="26"/>
      <c r="M205" s="26"/>
      <c r="N205" s="27"/>
      <c r="O205" s="27"/>
      <c r="P205" s="27"/>
      <c r="Q205" s="27"/>
      <c r="R205" s="7"/>
      <c r="S205" s="8">
        <f>IF(A205="","",SUMIFS(Pantry!$C$5:$C$304,Pantry!$A$5:$A$304,A205))</f>
        <v>0</v>
      </c>
      <c r="T205" s="8">
        <f>IF(A205="","",COUNTIFS('Grocery List'!$A$5:$A$304,A205,'Grocery List'!$N$5:$N$304,"Yes"))</f>
        <v>0</v>
      </c>
      <c r="U205" s="8">
        <f>IF(A205="","",SUMIFS('Grocery List'!$M$5:$M$304,'Grocery List'!$A$5:$A$304,A205))</f>
        <v>0</v>
      </c>
      <c r="V205" s="8">
        <f>IF(A205="","",COUNTIFS('Recipe Ingredients'!$B$5:$B$1204,A205))</f>
        <v>0</v>
      </c>
      <c r="W205" s="8">
        <f>IF(A205="","",SUMIFS('Recipe Ingredients'!$C$5:$C$1204,'Recipe Ingredients'!$B$5:$B$1204,A205))</f>
        <v>0</v>
      </c>
      <c r="X205" s="8">
        <f>IF(A205="","",IF(U205&lt;=0,IF(S205&gt;0,99,0),ROUND(S205/U205,1)))</f>
        <v>0</v>
      </c>
      <c r="Y205" s="8">
        <f>IF(A205="","",U205*10+IF(O205="Yes",5,0)+IF(X205&lt;1,10,0)+IF(S205&lt;=0,3,0))</f>
        <v>0</v>
      </c>
      <c r="Z205" s="8">
        <f>IF(A205="","",COUNTIFS($Y$5:$Y$304,"&gt;"&amp;Y205)+1)</f>
        <v>0</v>
      </c>
      <c r="AA205" s="8">
        <f>IF(A205="","",IF(OR(U205&gt;0,AND(O205="Yes",X205&lt;2)),"Yes","No"))</f>
        <v>0</v>
      </c>
      <c r="AB205" s="8">
        <f>IF(OR(A205="",D205=""),"",S205*D205)</f>
        <v>0</v>
      </c>
      <c r="AC205" s="8">
        <f>IF(AB205="","",COUNTIFS($AB$5:$AB$304,"&gt;"&amp;AB205)+1)</f>
        <v>0</v>
      </c>
      <c r="AD205" s="8">
        <f>IF(A205="","",SUMIFS('Food Waste'!$E$5:$E$154,'Food Waste'!$C$5:$C$154,A205))</f>
        <v>0</v>
      </c>
      <c r="AE205" s="8">
        <f>IF(OR(A205="",AD205=0),"",COUNTIFS($AD$5:$AD$304,"&gt;"&amp;AD205)+1)</f>
        <v>0</v>
      </c>
      <c r="AF205" s="8">
        <f>IF(A205="","",IF(SUMPRODUCT(MAX(('Grocery Spending'!$E$5:$E$404=A205)*'Grocery Spending'!$A$5:$A$404))=0,"",SUMPRODUCT(MAX(('Grocery Spending'!$E$5:$E$404=A205)*'Grocery Spending'!$A$5:$A$404))))</f>
        <v>0</v>
      </c>
      <c r="AG205" s="8">
        <f>IF(OR(A205="",AF205=""),"",IFERROR(AVERAGEIFS('Grocery Spending'!$I$5:$I$404,'Grocery Spending'!$E$5:$E$404,A205,'Grocery Spending'!$A$5:$A$404,AF205),""))</f>
        <v>0</v>
      </c>
      <c r="AH205" s="8">
        <f>IF(A205="","",IFERROR(AVERAGEIFS('Grocery Spending'!$I$5:$I$404,'Grocery Spending'!$E$5:$E$404,A205),""))</f>
        <v>0</v>
      </c>
      <c r="AI205" s="8">
        <f>IF(A205="","",IF(SUMPRODUCT(MIN(('Grocery Spending'!$E$5:$E$404=A205)*'Grocery Spending'!$I$5:$I$404+('Grocery Spending'!$E$5:$E$404&lt;&gt;A205)*1000000))&gt;=1000000,"",SUMPRODUCT(MIN(('Grocery Spending'!$E$5:$E$404=A205)*'Grocery Spending'!$I$5:$I$404+('Grocery Spending'!$E$5:$E$404&lt;&gt;A205)*1000000))))</f>
        <v>0</v>
      </c>
      <c r="AJ205" s="8">
        <f>IF(A205="","",SUMPRODUCT(MAX(('Grocery Spending'!$E$5:$E$404=A205)*'Grocery Spending'!$I$5:$I$404)))</f>
        <v>0</v>
      </c>
      <c r="AK205" s="8">
        <f>IF(OR(A205="",AI205="",AJ205=0),"",AJ205-AI205)</f>
        <v>0</v>
      </c>
      <c r="AL205" s="8">
        <f>IF(OR(A205="",AG205="",AH205=""),"",AG205-AH205)</f>
        <v>0</v>
      </c>
      <c r="AM205" s="8">
        <f>IF(A205="","",IF(AL205="","",IF(AL205&gt;0.01,"Up",IF(AL205&lt;-0.01,"Down","Flat"))))</f>
        <v>0</v>
      </c>
      <c r="AN205" s="25"/>
    </row>
    <row r="206" spans="1:40">
      <c r="A206" s="7"/>
      <c r="B206" s="27"/>
      <c r="C206" s="27"/>
      <c r="D206" s="28"/>
      <c r="E206" s="27"/>
      <c r="F206" s="26"/>
      <c r="G206" s="8">
        <f>IF(OR(D206="",F206="",F206=0),"",D206/F206)</f>
        <v>0</v>
      </c>
      <c r="H206" s="26"/>
      <c r="I206" s="26"/>
      <c r="J206" s="26"/>
      <c r="K206" s="26"/>
      <c r="L206" s="26"/>
      <c r="M206" s="26"/>
      <c r="N206" s="27"/>
      <c r="O206" s="27"/>
      <c r="P206" s="27"/>
      <c r="Q206" s="27"/>
      <c r="R206" s="7"/>
      <c r="S206" s="8">
        <f>IF(A206="","",SUMIFS(Pantry!$C$5:$C$304,Pantry!$A$5:$A$304,A206))</f>
        <v>0</v>
      </c>
      <c r="T206" s="8">
        <f>IF(A206="","",COUNTIFS('Grocery List'!$A$5:$A$304,A206,'Grocery List'!$N$5:$N$304,"Yes"))</f>
        <v>0</v>
      </c>
      <c r="U206" s="8">
        <f>IF(A206="","",SUMIFS('Grocery List'!$M$5:$M$304,'Grocery List'!$A$5:$A$304,A206))</f>
        <v>0</v>
      </c>
      <c r="V206" s="8">
        <f>IF(A206="","",COUNTIFS('Recipe Ingredients'!$B$5:$B$1204,A206))</f>
        <v>0</v>
      </c>
      <c r="W206" s="8">
        <f>IF(A206="","",SUMIFS('Recipe Ingredients'!$C$5:$C$1204,'Recipe Ingredients'!$B$5:$B$1204,A206))</f>
        <v>0</v>
      </c>
      <c r="X206" s="8">
        <f>IF(A206="","",IF(U206&lt;=0,IF(S206&gt;0,99,0),ROUND(S206/U206,1)))</f>
        <v>0</v>
      </c>
      <c r="Y206" s="8">
        <f>IF(A206="","",U206*10+IF(O206="Yes",5,0)+IF(X206&lt;1,10,0)+IF(S206&lt;=0,3,0))</f>
        <v>0</v>
      </c>
      <c r="Z206" s="8">
        <f>IF(A206="","",COUNTIFS($Y$5:$Y$304,"&gt;"&amp;Y206)+1)</f>
        <v>0</v>
      </c>
      <c r="AA206" s="8">
        <f>IF(A206="","",IF(OR(U206&gt;0,AND(O206="Yes",X206&lt;2)),"Yes","No"))</f>
        <v>0</v>
      </c>
      <c r="AB206" s="8">
        <f>IF(OR(A206="",D206=""),"",S206*D206)</f>
        <v>0</v>
      </c>
      <c r="AC206" s="8">
        <f>IF(AB206="","",COUNTIFS($AB$5:$AB$304,"&gt;"&amp;AB206)+1)</f>
        <v>0</v>
      </c>
      <c r="AD206" s="8">
        <f>IF(A206="","",SUMIFS('Food Waste'!$E$5:$E$154,'Food Waste'!$C$5:$C$154,A206))</f>
        <v>0</v>
      </c>
      <c r="AE206" s="8">
        <f>IF(OR(A206="",AD206=0),"",COUNTIFS($AD$5:$AD$304,"&gt;"&amp;AD206)+1)</f>
        <v>0</v>
      </c>
      <c r="AF206" s="8">
        <f>IF(A206="","",IF(SUMPRODUCT(MAX(('Grocery Spending'!$E$5:$E$404=A206)*'Grocery Spending'!$A$5:$A$404))=0,"",SUMPRODUCT(MAX(('Grocery Spending'!$E$5:$E$404=A206)*'Grocery Spending'!$A$5:$A$404))))</f>
        <v>0</v>
      </c>
      <c r="AG206" s="8">
        <f>IF(OR(A206="",AF206=""),"",IFERROR(AVERAGEIFS('Grocery Spending'!$I$5:$I$404,'Grocery Spending'!$E$5:$E$404,A206,'Grocery Spending'!$A$5:$A$404,AF206),""))</f>
        <v>0</v>
      </c>
      <c r="AH206" s="8">
        <f>IF(A206="","",IFERROR(AVERAGEIFS('Grocery Spending'!$I$5:$I$404,'Grocery Spending'!$E$5:$E$404,A206),""))</f>
        <v>0</v>
      </c>
      <c r="AI206" s="8">
        <f>IF(A206="","",IF(SUMPRODUCT(MIN(('Grocery Spending'!$E$5:$E$404=A206)*'Grocery Spending'!$I$5:$I$404+('Grocery Spending'!$E$5:$E$404&lt;&gt;A206)*1000000))&gt;=1000000,"",SUMPRODUCT(MIN(('Grocery Spending'!$E$5:$E$404=A206)*'Grocery Spending'!$I$5:$I$404+('Grocery Spending'!$E$5:$E$404&lt;&gt;A206)*1000000))))</f>
        <v>0</v>
      </c>
      <c r="AJ206" s="8">
        <f>IF(A206="","",SUMPRODUCT(MAX(('Grocery Spending'!$E$5:$E$404=A206)*'Grocery Spending'!$I$5:$I$404)))</f>
        <v>0</v>
      </c>
      <c r="AK206" s="8">
        <f>IF(OR(A206="",AI206="",AJ206=0),"",AJ206-AI206)</f>
        <v>0</v>
      </c>
      <c r="AL206" s="8">
        <f>IF(OR(A206="",AG206="",AH206=""),"",AG206-AH206)</f>
        <v>0</v>
      </c>
      <c r="AM206" s="8">
        <f>IF(A206="","",IF(AL206="","",IF(AL206&gt;0.01,"Up",IF(AL206&lt;-0.01,"Down","Flat"))))</f>
        <v>0</v>
      </c>
      <c r="AN206" s="25"/>
    </row>
    <row r="207" spans="1:40">
      <c r="A207" s="7"/>
      <c r="B207" s="27"/>
      <c r="C207" s="27"/>
      <c r="D207" s="28"/>
      <c r="E207" s="27"/>
      <c r="F207" s="26"/>
      <c r="G207" s="8">
        <f>IF(OR(D207="",F207="",F207=0),"",D207/F207)</f>
        <v>0</v>
      </c>
      <c r="H207" s="26"/>
      <c r="I207" s="26"/>
      <c r="J207" s="26"/>
      <c r="K207" s="26"/>
      <c r="L207" s="26"/>
      <c r="M207" s="26"/>
      <c r="N207" s="27"/>
      <c r="O207" s="27"/>
      <c r="P207" s="27"/>
      <c r="Q207" s="27"/>
      <c r="R207" s="7"/>
      <c r="S207" s="8">
        <f>IF(A207="","",SUMIFS(Pantry!$C$5:$C$304,Pantry!$A$5:$A$304,A207))</f>
        <v>0</v>
      </c>
      <c r="T207" s="8">
        <f>IF(A207="","",COUNTIFS('Grocery List'!$A$5:$A$304,A207,'Grocery List'!$N$5:$N$304,"Yes"))</f>
        <v>0</v>
      </c>
      <c r="U207" s="8">
        <f>IF(A207="","",SUMIFS('Grocery List'!$M$5:$M$304,'Grocery List'!$A$5:$A$304,A207))</f>
        <v>0</v>
      </c>
      <c r="V207" s="8">
        <f>IF(A207="","",COUNTIFS('Recipe Ingredients'!$B$5:$B$1204,A207))</f>
        <v>0</v>
      </c>
      <c r="W207" s="8">
        <f>IF(A207="","",SUMIFS('Recipe Ingredients'!$C$5:$C$1204,'Recipe Ingredients'!$B$5:$B$1204,A207))</f>
        <v>0</v>
      </c>
      <c r="X207" s="8">
        <f>IF(A207="","",IF(U207&lt;=0,IF(S207&gt;0,99,0),ROUND(S207/U207,1)))</f>
        <v>0</v>
      </c>
      <c r="Y207" s="8">
        <f>IF(A207="","",U207*10+IF(O207="Yes",5,0)+IF(X207&lt;1,10,0)+IF(S207&lt;=0,3,0))</f>
        <v>0</v>
      </c>
      <c r="Z207" s="8">
        <f>IF(A207="","",COUNTIFS($Y$5:$Y$304,"&gt;"&amp;Y207)+1)</f>
        <v>0</v>
      </c>
      <c r="AA207" s="8">
        <f>IF(A207="","",IF(OR(U207&gt;0,AND(O207="Yes",X207&lt;2)),"Yes","No"))</f>
        <v>0</v>
      </c>
      <c r="AB207" s="8">
        <f>IF(OR(A207="",D207=""),"",S207*D207)</f>
        <v>0</v>
      </c>
      <c r="AC207" s="8">
        <f>IF(AB207="","",COUNTIFS($AB$5:$AB$304,"&gt;"&amp;AB207)+1)</f>
        <v>0</v>
      </c>
      <c r="AD207" s="8">
        <f>IF(A207="","",SUMIFS('Food Waste'!$E$5:$E$154,'Food Waste'!$C$5:$C$154,A207))</f>
        <v>0</v>
      </c>
      <c r="AE207" s="8">
        <f>IF(OR(A207="",AD207=0),"",COUNTIFS($AD$5:$AD$304,"&gt;"&amp;AD207)+1)</f>
        <v>0</v>
      </c>
      <c r="AF207" s="8">
        <f>IF(A207="","",IF(SUMPRODUCT(MAX(('Grocery Spending'!$E$5:$E$404=A207)*'Grocery Spending'!$A$5:$A$404))=0,"",SUMPRODUCT(MAX(('Grocery Spending'!$E$5:$E$404=A207)*'Grocery Spending'!$A$5:$A$404))))</f>
        <v>0</v>
      </c>
      <c r="AG207" s="8">
        <f>IF(OR(A207="",AF207=""),"",IFERROR(AVERAGEIFS('Grocery Spending'!$I$5:$I$404,'Grocery Spending'!$E$5:$E$404,A207,'Grocery Spending'!$A$5:$A$404,AF207),""))</f>
        <v>0</v>
      </c>
      <c r="AH207" s="8">
        <f>IF(A207="","",IFERROR(AVERAGEIFS('Grocery Spending'!$I$5:$I$404,'Grocery Spending'!$E$5:$E$404,A207),""))</f>
        <v>0</v>
      </c>
      <c r="AI207" s="8">
        <f>IF(A207="","",IF(SUMPRODUCT(MIN(('Grocery Spending'!$E$5:$E$404=A207)*'Grocery Spending'!$I$5:$I$404+('Grocery Spending'!$E$5:$E$404&lt;&gt;A207)*1000000))&gt;=1000000,"",SUMPRODUCT(MIN(('Grocery Spending'!$E$5:$E$404=A207)*'Grocery Spending'!$I$5:$I$404+('Grocery Spending'!$E$5:$E$404&lt;&gt;A207)*1000000))))</f>
        <v>0</v>
      </c>
      <c r="AJ207" s="8">
        <f>IF(A207="","",SUMPRODUCT(MAX(('Grocery Spending'!$E$5:$E$404=A207)*'Grocery Spending'!$I$5:$I$404)))</f>
        <v>0</v>
      </c>
      <c r="AK207" s="8">
        <f>IF(OR(A207="",AI207="",AJ207=0),"",AJ207-AI207)</f>
        <v>0</v>
      </c>
      <c r="AL207" s="8">
        <f>IF(OR(A207="",AG207="",AH207=""),"",AG207-AH207)</f>
        <v>0</v>
      </c>
      <c r="AM207" s="8">
        <f>IF(A207="","",IF(AL207="","",IF(AL207&gt;0.01,"Up",IF(AL207&lt;-0.01,"Down","Flat"))))</f>
        <v>0</v>
      </c>
      <c r="AN207" s="25"/>
    </row>
    <row r="208" spans="1:40">
      <c r="A208" s="7"/>
      <c r="B208" s="27"/>
      <c r="C208" s="27"/>
      <c r="D208" s="28"/>
      <c r="E208" s="27"/>
      <c r="F208" s="26"/>
      <c r="G208" s="8">
        <f>IF(OR(D208="",F208="",F208=0),"",D208/F208)</f>
        <v>0</v>
      </c>
      <c r="H208" s="26"/>
      <c r="I208" s="26"/>
      <c r="J208" s="26"/>
      <c r="K208" s="26"/>
      <c r="L208" s="26"/>
      <c r="M208" s="26"/>
      <c r="N208" s="27"/>
      <c r="O208" s="27"/>
      <c r="P208" s="27"/>
      <c r="Q208" s="27"/>
      <c r="R208" s="7"/>
      <c r="S208" s="8">
        <f>IF(A208="","",SUMIFS(Pantry!$C$5:$C$304,Pantry!$A$5:$A$304,A208))</f>
        <v>0</v>
      </c>
      <c r="T208" s="8">
        <f>IF(A208="","",COUNTIFS('Grocery List'!$A$5:$A$304,A208,'Grocery List'!$N$5:$N$304,"Yes"))</f>
        <v>0</v>
      </c>
      <c r="U208" s="8">
        <f>IF(A208="","",SUMIFS('Grocery List'!$M$5:$M$304,'Grocery List'!$A$5:$A$304,A208))</f>
        <v>0</v>
      </c>
      <c r="V208" s="8">
        <f>IF(A208="","",COUNTIFS('Recipe Ingredients'!$B$5:$B$1204,A208))</f>
        <v>0</v>
      </c>
      <c r="W208" s="8">
        <f>IF(A208="","",SUMIFS('Recipe Ingredients'!$C$5:$C$1204,'Recipe Ingredients'!$B$5:$B$1204,A208))</f>
        <v>0</v>
      </c>
      <c r="X208" s="8">
        <f>IF(A208="","",IF(U208&lt;=0,IF(S208&gt;0,99,0),ROUND(S208/U208,1)))</f>
        <v>0</v>
      </c>
      <c r="Y208" s="8">
        <f>IF(A208="","",U208*10+IF(O208="Yes",5,0)+IF(X208&lt;1,10,0)+IF(S208&lt;=0,3,0))</f>
        <v>0</v>
      </c>
      <c r="Z208" s="8">
        <f>IF(A208="","",COUNTIFS($Y$5:$Y$304,"&gt;"&amp;Y208)+1)</f>
        <v>0</v>
      </c>
      <c r="AA208" s="8">
        <f>IF(A208="","",IF(OR(U208&gt;0,AND(O208="Yes",X208&lt;2)),"Yes","No"))</f>
        <v>0</v>
      </c>
      <c r="AB208" s="8">
        <f>IF(OR(A208="",D208=""),"",S208*D208)</f>
        <v>0</v>
      </c>
      <c r="AC208" s="8">
        <f>IF(AB208="","",COUNTIFS($AB$5:$AB$304,"&gt;"&amp;AB208)+1)</f>
        <v>0</v>
      </c>
      <c r="AD208" s="8">
        <f>IF(A208="","",SUMIFS('Food Waste'!$E$5:$E$154,'Food Waste'!$C$5:$C$154,A208))</f>
        <v>0</v>
      </c>
      <c r="AE208" s="8">
        <f>IF(OR(A208="",AD208=0),"",COUNTIFS($AD$5:$AD$304,"&gt;"&amp;AD208)+1)</f>
        <v>0</v>
      </c>
      <c r="AF208" s="8">
        <f>IF(A208="","",IF(SUMPRODUCT(MAX(('Grocery Spending'!$E$5:$E$404=A208)*'Grocery Spending'!$A$5:$A$404))=0,"",SUMPRODUCT(MAX(('Grocery Spending'!$E$5:$E$404=A208)*'Grocery Spending'!$A$5:$A$404))))</f>
        <v>0</v>
      </c>
      <c r="AG208" s="8">
        <f>IF(OR(A208="",AF208=""),"",IFERROR(AVERAGEIFS('Grocery Spending'!$I$5:$I$404,'Grocery Spending'!$E$5:$E$404,A208,'Grocery Spending'!$A$5:$A$404,AF208),""))</f>
        <v>0</v>
      </c>
      <c r="AH208" s="8">
        <f>IF(A208="","",IFERROR(AVERAGEIFS('Grocery Spending'!$I$5:$I$404,'Grocery Spending'!$E$5:$E$404,A208),""))</f>
        <v>0</v>
      </c>
      <c r="AI208" s="8">
        <f>IF(A208="","",IF(SUMPRODUCT(MIN(('Grocery Spending'!$E$5:$E$404=A208)*'Grocery Spending'!$I$5:$I$404+('Grocery Spending'!$E$5:$E$404&lt;&gt;A208)*1000000))&gt;=1000000,"",SUMPRODUCT(MIN(('Grocery Spending'!$E$5:$E$404=A208)*'Grocery Spending'!$I$5:$I$404+('Grocery Spending'!$E$5:$E$404&lt;&gt;A208)*1000000))))</f>
        <v>0</v>
      </c>
      <c r="AJ208" s="8">
        <f>IF(A208="","",SUMPRODUCT(MAX(('Grocery Spending'!$E$5:$E$404=A208)*'Grocery Spending'!$I$5:$I$404)))</f>
        <v>0</v>
      </c>
      <c r="AK208" s="8">
        <f>IF(OR(A208="",AI208="",AJ208=0),"",AJ208-AI208)</f>
        <v>0</v>
      </c>
      <c r="AL208" s="8">
        <f>IF(OR(A208="",AG208="",AH208=""),"",AG208-AH208)</f>
        <v>0</v>
      </c>
      <c r="AM208" s="8">
        <f>IF(A208="","",IF(AL208="","",IF(AL208&gt;0.01,"Up",IF(AL208&lt;-0.01,"Down","Flat"))))</f>
        <v>0</v>
      </c>
      <c r="AN208" s="25"/>
    </row>
    <row r="209" spans="1:40">
      <c r="A209" s="7"/>
      <c r="B209" s="27"/>
      <c r="C209" s="27"/>
      <c r="D209" s="28"/>
      <c r="E209" s="27"/>
      <c r="F209" s="26"/>
      <c r="G209" s="8">
        <f>IF(OR(D209="",F209="",F209=0),"",D209/F209)</f>
        <v>0</v>
      </c>
      <c r="H209" s="26"/>
      <c r="I209" s="26"/>
      <c r="J209" s="26"/>
      <c r="K209" s="26"/>
      <c r="L209" s="26"/>
      <c r="M209" s="26"/>
      <c r="N209" s="27"/>
      <c r="O209" s="27"/>
      <c r="P209" s="27"/>
      <c r="Q209" s="27"/>
      <c r="R209" s="7"/>
      <c r="S209" s="8">
        <f>IF(A209="","",SUMIFS(Pantry!$C$5:$C$304,Pantry!$A$5:$A$304,A209))</f>
        <v>0</v>
      </c>
      <c r="T209" s="8">
        <f>IF(A209="","",COUNTIFS('Grocery List'!$A$5:$A$304,A209,'Grocery List'!$N$5:$N$304,"Yes"))</f>
        <v>0</v>
      </c>
      <c r="U209" s="8">
        <f>IF(A209="","",SUMIFS('Grocery List'!$M$5:$M$304,'Grocery List'!$A$5:$A$304,A209))</f>
        <v>0</v>
      </c>
      <c r="V209" s="8">
        <f>IF(A209="","",COUNTIFS('Recipe Ingredients'!$B$5:$B$1204,A209))</f>
        <v>0</v>
      </c>
      <c r="W209" s="8">
        <f>IF(A209="","",SUMIFS('Recipe Ingredients'!$C$5:$C$1204,'Recipe Ingredients'!$B$5:$B$1204,A209))</f>
        <v>0</v>
      </c>
      <c r="X209" s="8">
        <f>IF(A209="","",IF(U209&lt;=0,IF(S209&gt;0,99,0),ROUND(S209/U209,1)))</f>
        <v>0</v>
      </c>
      <c r="Y209" s="8">
        <f>IF(A209="","",U209*10+IF(O209="Yes",5,0)+IF(X209&lt;1,10,0)+IF(S209&lt;=0,3,0))</f>
        <v>0</v>
      </c>
      <c r="Z209" s="8">
        <f>IF(A209="","",COUNTIFS($Y$5:$Y$304,"&gt;"&amp;Y209)+1)</f>
        <v>0</v>
      </c>
      <c r="AA209" s="8">
        <f>IF(A209="","",IF(OR(U209&gt;0,AND(O209="Yes",X209&lt;2)),"Yes","No"))</f>
        <v>0</v>
      </c>
      <c r="AB209" s="8">
        <f>IF(OR(A209="",D209=""),"",S209*D209)</f>
        <v>0</v>
      </c>
      <c r="AC209" s="8">
        <f>IF(AB209="","",COUNTIFS($AB$5:$AB$304,"&gt;"&amp;AB209)+1)</f>
        <v>0</v>
      </c>
      <c r="AD209" s="8">
        <f>IF(A209="","",SUMIFS('Food Waste'!$E$5:$E$154,'Food Waste'!$C$5:$C$154,A209))</f>
        <v>0</v>
      </c>
      <c r="AE209" s="8">
        <f>IF(OR(A209="",AD209=0),"",COUNTIFS($AD$5:$AD$304,"&gt;"&amp;AD209)+1)</f>
        <v>0</v>
      </c>
      <c r="AF209" s="8">
        <f>IF(A209="","",IF(SUMPRODUCT(MAX(('Grocery Spending'!$E$5:$E$404=A209)*'Grocery Spending'!$A$5:$A$404))=0,"",SUMPRODUCT(MAX(('Grocery Spending'!$E$5:$E$404=A209)*'Grocery Spending'!$A$5:$A$404))))</f>
        <v>0</v>
      </c>
      <c r="AG209" s="8">
        <f>IF(OR(A209="",AF209=""),"",IFERROR(AVERAGEIFS('Grocery Spending'!$I$5:$I$404,'Grocery Spending'!$E$5:$E$404,A209,'Grocery Spending'!$A$5:$A$404,AF209),""))</f>
        <v>0</v>
      </c>
      <c r="AH209" s="8">
        <f>IF(A209="","",IFERROR(AVERAGEIFS('Grocery Spending'!$I$5:$I$404,'Grocery Spending'!$E$5:$E$404,A209),""))</f>
        <v>0</v>
      </c>
      <c r="AI209" s="8">
        <f>IF(A209="","",IF(SUMPRODUCT(MIN(('Grocery Spending'!$E$5:$E$404=A209)*'Grocery Spending'!$I$5:$I$404+('Grocery Spending'!$E$5:$E$404&lt;&gt;A209)*1000000))&gt;=1000000,"",SUMPRODUCT(MIN(('Grocery Spending'!$E$5:$E$404=A209)*'Grocery Spending'!$I$5:$I$404+('Grocery Spending'!$E$5:$E$404&lt;&gt;A209)*1000000))))</f>
        <v>0</v>
      </c>
      <c r="AJ209" s="8">
        <f>IF(A209="","",SUMPRODUCT(MAX(('Grocery Spending'!$E$5:$E$404=A209)*'Grocery Spending'!$I$5:$I$404)))</f>
        <v>0</v>
      </c>
      <c r="AK209" s="8">
        <f>IF(OR(A209="",AI209="",AJ209=0),"",AJ209-AI209)</f>
        <v>0</v>
      </c>
      <c r="AL209" s="8">
        <f>IF(OR(A209="",AG209="",AH209=""),"",AG209-AH209)</f>
        <v>0</v>
      </c>
      <c r="AM209" s="8">
        <f>IF(A209="","",IF(AL209="","",IF(AL209&gt;0.01,"Up",IF(AL209&lt;-0.01,"Down","Flat"))))</f>
        <v>0</v>
      </c>
      <c r="AN209" s="25"/>
    </row>
    <row r="210" spans="1:40">
      <c r="A210" s="7"/>
      <c r="B210" s="27"/>
      <c r="C210" s="27"/>
      <c r="D210" s="28"/>
      <c r="E210" s="27"/>
      <c r="F210" s="26"/>
      <c r="G210" s="8">
        <f>IF(OR(D210="",F210="",F210=0),"",D210/F210)</f>
        <v>0</v>
      </c>
      <c r="H210" s="26"/>
      <c r="I210" s="26"/>
      <c r="J210" s="26"/>
      <c r="K210" s="26"/>
      <c r="L210" s="26"/>
      <c r="M210" s="26"/>
      <c r="N210" s="27"/>
      <c r="O210" s="27"/>
      <c r="P210" s="27"/>
      <c r="Q210" s="27"/>
      <c r="R210" s="7"/>
      <c r="S210" s="8">
        <f>IF(A210="","",SUMIFS(Pantry!$C$5:$C$304,Pantry!$A$5:$A$304,A210))</f>
        <v>0</v>
      </c>
      <c r="T210" s="8">
        <f>IF(A210="","",COUNTIFS('Grocery List'!$A$5:$A$304,A210,'Grocery List'!$N$5:$N$304,"Yes"))</f>
        <v>0</v>
      </c>
      <c r="U210" s="8">
        <f>IF(A210="","",SUMIFS('Grocery List'!$M$5:$M$304,'Grocery List'!$A$5:$A$304,A210))</f>
        <v>0</v>
      </c>
      <c r="V210" s="8">
        <f>IF(A210="","",COUNTIFS('Recipe Ingredients'!$B$5:$B$1204,A210))</f>
        <v>0</v>
      </c>
      <c r="W210" s="8">
        <f>IF(A210="","",SUMIFS('Recipe Ingredients'!$C$5:$C$1204,'Recipe Ingredients'!$B$5:$B$1204,A210))</f>
        <v>0</v>
      </c>
      <c r="X210" s="8">
        <f>IF(A210="","",IF(U210&lt;=0,IF(S210&gt;0,99,0),ROUND(S210/U210,1)))</f>
        <v>0</v>
      </c>
      <c r="Y210" s="8">
        <f>IF(A210="","",U210*10+IF(O210="Yes",5,0)+IF(X210&lt;1,10,0)+IF(S210&lt;=0,3,0))</f>
        <v>0</v>
      </c>
      <c r="Z210" s="8">
        <f>IF(A210="","",COUNTIFS($Y$5:$Y$304,"&gt;"&amp;Y210)+1)</f>
        <v>0</v>
      </c>
      <c r="AA210" s="8">
        <f>IF(A210="","",IF(OR(U210&gt;0,AND(O210="Yes",X210&lt;2)),"Yes","No"))</f>
        <v>0</v>
      </c>
      <c r="AB210" s="8">
        <f>IF(OR(A210="",D210=""),"",S210*D210)</f>
        <v>0</v>
      </c>
      <c r="AC210" s="8">
        <f>IF(AB210="","",COUNTIFS($AB$5:$AB$304,"&gt;"&amp;AB210)+1)</f>
        <v>0</v>
      </c>
      <c r="AD210" s="8">
        <f>IF(A210="","",SUMIFS('Food Waste'!$E$5:$E$154,'Food Waste'!$C$5:$C$154,A210))</f>
        <v>0</v>
      </c>
      <c r="AE210" s="8">
        <f>IF(OR(A210="",AD210=0),"",COUNTIFS($AD$5:$AD$304,"&gt;"&amp;AD210)+1)</f>
        <v>0</v>
      </c>
      <c r="AF210" s="8">
        <f>IF(A210="","",IF(SUMPRODUCT(MAX(('Grocery Spending'!$E$5:$E$404=A210)*'Grocery Spending'!$A$5:$A$404))=0,"",SUMPRODUCT(MAX(('Grocery Spending'!$E$5:$E$404=A210)*'Grocery Spending'!$A$5:$A$404))))</f>
        <v>0</v>
      </c>
      <c r="AG210" s="8">
        <f>IF(OR(A210="",AF210=""),"",IFERROR(AVERAGEIFS('Grocery Spending'!$I$5:$I$404,'Grocery Spending'!$E$5:$E$404,A210,'Grocery Spending'!$A$5:$A$404,AF210),""))</f>
        <v>0</v>
      </c>
      <c r="AH210" s="8">
        <f>IF(A210="","",IFERROR(AVERAGEIFS('Grocery Spending'!$I$5:$I$404,'Grocery Spending'!$E$5:$E$404,A210),""))</f>
        <v>0</v>
      </c>
      <c r="AI210" s="8">
        <f>IF(A210="","",IF(SUMPRODUCT(MIN(('Grocery Spending'!$E$5:$E$404=A210)*'Grocery Spending'!$I$5:$I$404+('Grocery Spending'!$E$5:$E$404&lt;&gt;A210)*1000000))&gt;=1000000,"",SUMPRODUCT(MIN(('Grocery Spending'!$E$5:$E$404=A210)*'Grocery Spending'!$I$5:$I$404+('Grocery Spending'!$E$5:$E$404&lt;&gt;A210)*1000000))))</f>
        <v>0</v>
      </c>
      <c r="AJ210" s="8">
        <f>IF(A210="","",SUMPRODUCT(MAX(('Grocery Spending'!$E$5:$E$404=A210)*'Grocery Spending'!$I$5:$I$404)))</f>
        <v>0</v>
      </c>
      <c r="AK210" s="8">
        <f>IF(OR(A210="",AI210="",AJ210=0),"",AJ210-AI210)</f>
        <v>0</v>
      </c>
      <c r="AL210" s="8">
        <f>IF(OR(A210="",AG210="",AH210=""),"",AG210-AH210)</f>
        <v>0</v>
      </c>
      <c r="AM210" s="8">
        <f>IF(A210="","",IF(AL210="","",IF(AL210&gt;0.01,"Up",IF(AL210&lt;-0.01,"Down","Flat"))))</f>
        <v>0</v>
      </c>
      <c r="AN210" s="25"/>
    </row>
    <row r="211" spans="1:40">
      <c r="A211" s="7"/>
      <c r="B211" s="27"/>
      <c r="C211" s="27"/>
      <c r="D211" s="28"/>
      <c r="E211" s="27"/>
      <c r="F211" s="26"/>
      <c r="G211" s="8">
        <f>IF(OR(D211="",F211="",F211=0),"",D211/F211)</f>
        <v>0</v>
      </c>
      <c r="H211" s="26"/>
      <c r="I211" s="26"/>
      <c r="J211" s="26"/>
      <c r="K211" s="26"/>
      <c r="L211" s="26"/>
      <c r="M211" s="26"/>
      <c r="N211" s="27"/>
      <c r="O211" s="27"/>
      <c r="P211" s="27"/>
      <c r="Q211" s="27"/>
      <c r="R211" s="7"/>
      <c r="S211" s="8">
        <f>IF(A211="","",SUMIFS(Pantry!$C$5:$C$304,Pantry!$A$5:$A$304,A211))</f>
        <v>0</v>
      </c>
      <c r="T211" s="8">
        <f>IF(A211="","",COUNTIFS('Grocery List'!$A$5:$A$304,A211,'Grocery List'!$N$5:$N$304,"Yes"))</f>
        <v>0</v>
      </c>
      <c r="U211" s="8">
        <f>IF(A211="","",SUMIFS('Grocery List'!$M$5:$M$304,'Grocery List'!$A$5:$A$304,A211))</f>
        <v>0</v>
      </c>
      <c r="V211" s="8">
        <f>IF(A211="","",COUNTIFS('Recipe Ingredients'!$B$5:$B$1204,A211))</f>
        <v>0</v>
      </c>
      <c r="W211" s="8">
        <f>IF(A211="","",SUMIFS('Recipe Ingredients'!$C$5:$C$1204,'Recipe Ingredients'!$B$5:$B$1204,A211))</f>
        <v>0</v>
      </c>
      <c r="X211" s="8">
        <f>IF(A211="","",IF(U211&lt;=0,IF(S211&gt;0,99,0),ROUND(S211/U211,1)))</f>
        <v>0</v>
      </c>
      <c r="Y211" s="8">
        <f>IF(A211="","",U211*10+IF(O211="Yes",5,0)+IF(X211&lt;1,10,0)+IF(S211&lt;=0,3,0))</f>
        <v>0</v>
      </c>
      <c r="Z211" s="8">
        <f>IF(A211="","",COUNTIFS($Y$5:$Y$304,"&gt;"&amp;Y211)+1)</f>
        <v>0</v>
      </c>
      <c r="AA211" s="8">
        <f>IF(A211="","",IF(OR(U211&gt;0,AND(O211="Yes",X211&lt;2)),"Yes","No"))</f>
        <v>0</v>
      </c>
      <c r="AB211" s="8">
        <f>IF(OR(A211="",D211=""),"",S211*D211)</f>
        <v>0</v>
      </c>
      <c r="AC211" s="8">
        <f>IF(AB211="","",COUNTIFS($AB$5:$AB$304,"&gt;"&amp;AB211)+1)</f>
        <v>0</v>
      </c>
      <c r="AD211" s="8">
        <f>IF(A211="","",SUMIFS('Food Waste'!$E$5:$E$154,'Food Waste'!$C$5:$C$154,A211))</f>
        <v>0</v>
      </c>
      <c r="AE211" s="8">
        <f>IF(OR(A211="",AD211=0),"",COUNTIFS($AD$5:$AD$304,"&gt;"&amp;AD211)+1)</f>
        <v>0</v>
      </c>
      <c r="AF211" s="8">
        <f>IF(A211="","",IF(SUMPRODUCT(MAX(('Grocery Spending'!$E$5:$E$404=A211)*'Grocery Spending'!$A$5:$A$404))=0,"",SUMPRODUCT(MAX(('Grocery Spending'!$E$5:$E$404=A211)*'Grocery Spending'!$A$5:$A$404))))</f>
        <v>0</v>
      </c>
      <c r="AG211" s="8">
        <f>IF(OR(A211="",AF211=""),"",IFERROR(AVERAGEIFS('Grocery Spending'!$I$5:$I$404,'Grocery Spending'!$E$5:$E$404,A211,'Grocery Spending'!$A$5:$A$404,AF211),""))</f>
        <v>0</v>
      </c>
      <c r="AH211" s="8">
        <f>IF(A211="","",IFERROR(AVERAGEIFS('Grocery Spending'!$I$5:$I$404,'Grocery Spending'!$E$5:$E$404,A211),""))</f>
        <v>0</v>
      </c>
      <c r="AI211" s="8">
        <f>IF(A211="","",IF(SUMPRODUCT(MIN(('Grocery Spending'!$E$5:$E$404=A211)*'Grocery Spending'!$I$5:$I$404+('Grocery Spending'!$E$5:$E$404&lt;&gt;A211)*1000000))&gt;=1000000,"",SUMPRODUCT(MIN(('Grocery Spending'!$E$5:$E$404=A211)*'Grocery Spending'!$I$5:$I$404+('Grocery Spending'!$E$5:$E$404&lt;&gt;A211)*1000000))))</f>
        <v>0</v>
      </c>
      <c r="AJ211" s="8">
        <f>IF(A211="","",SUMPRODUCT(MAX(('Grocery Spending'!$E$5:$E$404=A211)*'Grocery Spending'!$I$5:$I$404)))</f>
        <v>0</v>
      </c>
      <c r="AK211" s="8">
        <f>IF(OR(A211="",AI211="",AJ211=0),"",AJ211-AI211)</f>
        <v>0</v>
      </c>
      <c r="AL211" s="8">
        <f>IF(OR(A211="",AG211="",AH211=""),"",AG211-AH211)</f>
        <v>0</v>
      </c>
      <c r="AM211" s="8">
        <f>IF(A211="","",IF(AL211="","",IF(AL211&gt;0.01,"Up",IF(AL211&lt;-0.01,"Down","Flat"))))</f>
        <v>0</v>
      </c>
      <c r="AN211" s="25"/>
    </row>
    <row r="212" spans="1:40">
      <c r="A212" s="7"/>
      <c r="B212" s="27"/>
      <c r="C212" s="27"/>
      <c r="D212" s="28"/>
      <c r="E212" s="27"/>
      <c r="F212" s="26"/>
      <c r="G212" s="8">
        <f>IF(OR(D212="",F212="",F212=0),"",D212/F212)</f>
        <v>0</v>
      </c>
      <c r="H212" s="26"/>
      <c r="I212" s="26"/>
      <c r="J212" s="26"/>
      <c r="K212" s="26"/>
      <c r="L212" s="26"/>
      <c r="M212" s="26"/>
      <c r="N212" s="27"/>
      <c r="O212" s="27"/>
      <c r="P212" s="27"/>
      <c r="Q212" s="27"/>
      <c r="R212" s="7"/>
      <c r="S212" s="8">
        <f>IF(A212="","",SUMIFS(Pantry!$C$5:$C$304,Pantry!$A$5:$A$304,A212))</f>
        <v>0</v>
      </c>
      <c r="T212" s="8">
        <f>IF(A212="","",COUNTIFS('Grocery List'!$A$5:$A$304,A212,'Grocery List'!$N$5:$N$304,"Yes"))</f>
        <v>0</v>
      </c>
      <c r="U212" s="8">
        <f>IF(A212="","",SUMIFS('Grocery List'!$M$5:$M$304,'Grocery List'!$A$5:$A$304,A212))</f>
        <v>0</v>
      </c>
      <c r="V212" s="8">
        <f>IF(A212="","",COUNTIFS('Recipe Ingredients'!$B$5:$B$1204,A212))</f>
        <v>0</v>
      </c>
      <c r="W212" s="8">
        <f>IF(A212="","",SUMIFS('Recipe Ingredients'!$C$5:$C$1204,'Recipe Ingredients'!$B$5:$B$1204,A212))</f>
        <v>0</v>
      </c>
      <c r="X212" s="8">
        <f>IF(A212="","",IF(U212&lt;=0,IF(S212&gt;0,99,0),ROUND(S212/U212,1)))</f>
        <v>0</v>
      </c>
      <c r="Y212" s="8">
        <f>IF(A212="","",U212*10+IF(O212="Yes",5,0)+IF(X212&lt;1,10,0)+IF(S212&lt;=0,3,0))</f>
        <v>0</v>
      </c>
      <c r="Z212" s="8">
        <f>IF(A212="","",COUNTIFS($Y$5:$Y$304,"&gt;"&amp;Y212)+1)</f>
        <v>0</v>
      </c>
      <c r="AA212" s="8">
        <f>IF(A212="","",IF(OR(U212&gt;0,AND(O212="Yes",X212&lt;2)),"Yes","No"))</f>
        <v>0</v>
      </c>
      <c r="AB212" s="8">
        <f>IF(OR(A212="",D212=""),"",S212*D212)</f>
        <v>0</v>
      </c>
      <c r="AC212" s="8">
        <f>IF(AB212="","",COUNTIFS($AB$5:$AB$304,"&gt;"&amp;AB212)+1)</f>
        <v>0</v>
      </c>
      <c r="AD212" s="8">
        <f>IF(A212="","",SUMIFS('Food Waste'!$E$5:$E$154,'Food Waste'!$C$5:$C$154,A212))</f>
        <v>0</v>
      </c>
      <c r="AE212" s="8">
        <f>IF(OR(A212="",AD212=0),"",COUNTIFS($AD$5:$AD$304,"&gt;"&amp;AD212)+1)</f>
        <v>0</v>
      </c>
      <c r="AF212" s="8">
        <f>IF(A212="","",IF(SUMPRODUCT(MAX(('Grocery Spending'!$E$5:$E$404=A212)*'Grocery Spending'!$A$5:$A$404))=0,"",SUMPRODUCT(MAX(('Grocery Spending'!$E$5:$E$404=A212)*'Grocery Spending'!$A$5:$A$404))))</f>
        <v>0</v>
      </c>
      <c r="AG212" s="8">
        <f>IF(OR(A212="",AF212=""),"",IFERROR(AVERAGEIFS('Grocery Spending'!$I$5:$I$404,'Grocery Spending'!$E$5:$E$404,A212,'Grocery Spending'!$A$5:$A$404,AF212),""))</f>
        <v>0</v>
      </c>
      <c r="AH212" s="8">
        <f>IF(A212="","",IFERROR(AVERAGEIFS('Grocery Spending'!$I$5:$I$404,'Grocery Spending'!$E$5:$E$404,A212),""))</f>
        <v>0</v>
      </c>
      <c r="AI212" s="8">
        <f>IF(A212="","",IF(SUMPRODUCT(MIN(('Grocery Spending'!$E$5:$E$404=A212)*'Grocery Spending'!$I$5:$I$404+('Grocery Spending'!$E$5:$E$404&lt;&gt;A212)*1000000))&gt;=1000000,"",SUMPRODUCT(MIN(('Grocery Spending'!$E$5:$E$404=A212)*'Grocery Spending'!$I$5:$I$404+('Grocery Spending'!$E$5:$E$404&lt;&gt;A212)*1000000))))</f>
        <v>0</v>
      </c>
      <c r="AJ212" s="8">
        <f>IF(A212="","",SUMPRODUCT(MAX(('Grocery Spending'!$E$5:$E$404=A212)*'Grocery Spending'!$I$5:$I$404)))</f>
        <v>0</v>
      </c>
      <c r="AK212" s="8">
        <f>IF(OR(A212="",AI212="",AJ212=0),"",AJ212-AI212)</f>
        <v>0</v>
      </c>
      <c r="AL212" s="8">
        <f>IF(OR(A212="",AG212="",AH212=""),"",AG212-AH212)</f>
        <v>0</v>
      </c>
      <c r="AM212" s="8">
        <f>IF(A212="","",IF(AL212="","",IF(AL212&gt;0.01,"Up",IF(AL212&lt;-0.01,"Down","Flat"))))</f>
        <v>0</v>
      </c>
      <c r="AN212" s="25"/>
    </row>
    <row r="213" spans="1:40">
      <c r="A213" s="7"/>
      <c r="B213" s="27"/>
      <c r="C213" s="27"/>
      <c r="D213" s="28"/>
      <c r="E213" s="27"/>
      <c r="F213" s="26"/>
      <c r="G213" s="8">
        <f>IF(OR(D213="",F213="",F213=0),"",D213/F213)</f>
        <v>0</v>
      </c>
      <c r="H213" s="26"/>
      <c r="I213" s="26"/>
      <c r="J213" s="26"/>
      <c r="K213" s="26"/>
      <c r="L213" s="26"/>
      <c r="M213" s="26"/>
      <c r="N213" s="27"/>
      <c r="O213" s="27"/>
      <c r="P213" s="27"/>
      <c r="Q213" s="27"/>
      <c r="R213" s="7"/>
      <c r="S213" s="8">
        <f>IF(A213="","",SUMIFS(Pantry!$C$5:$C$304,Pantry!$A$5:$A$304,A213))</f>
        <v>0</v>
      </c>
      <c r="T213" s="8">
        <f>IF(A213="","",COUNTIFS('Grocery List'!$A$5:$A$304,A213,'Grocery List'!$N$5:$N$304,"Yes"))</f>
        <v>0</v>
      </c>
      <c r="U213" s="8">
        <f>IF(A213="","",SUMIFS('Grocery List'!$M$5:$M$304,'Grocery List'!$A$5:$A$304,A213))</f>
        <v>0</v>
      </c>
      <c r="V213" s="8">
        <f>IF(A213="","",COUNTIFS('Recipe Ingredients'!$B$5:$B$1204,A213))</f>
        <v>0</v>
      </c>
      <c r="W213" s="8">
        <f>IF(A213="","",SUMIFS('Recipe Ingredients'!$C$5:$C$1204,'Recipe Ingredients'!$B$5:$B$1204,A213))</f>
        <v>0</v>
      </c>
      <c r="X213" s="8">
        <f>IF(A213="","",IF(U213&lt;=0,IF(S213&gt;0,99,0),ROUND(S213/U213,1)))</f>
        <v>0</v>
      </c>
      <c r="Y213" s="8">
        <f>IF(A213="","",U213*10+IF(O213="Yes",5,0)+IF(X213&lt;1,10,0)+IF(S213&lt;=0,3,0))</f>
        <v>0</v>
      </c>
      <c r="Z213" s="8">
        <f>IF(A213="","",COUNTIFS($Y$5:$Y$304,"&gt;"&amp;Y213)+1)</f>
        <v>0</v>
      </c>
      <c r="AA213" s="8">
        <f>IF(A213="","",IF(OR(U213&gt;0,AND(O213="Yes",X213&lt;2)),"Yes","No"))</f>
        <v>0</v>
      </c>
      <c r="AB213" s="8">
        <f>IF(OR(A213="",D213=""),"",S213*D213)</f>
        <v>0</v>
      </c>
      <c r="AC213" s="8">
        <f>IF(AB213="","",COUNTIFS($AB$5:$AB$304,"&gt;"&amp;AB213)+1)</f>
        <v>0</v>
      </c>
      <c r="AD213" s="8">
        <f>IF(A213="","",SUMIFS('Food Waste'!$E$5:$E$154,'Food Waste'!$C$5:$C$154,A213))</f>
        <v>0</v>
      </c>
      <c r="AE213" s="8">
        <f>IF(OR(A213="",AD213=0),"",COUNTIFS($AD$5:$AD$304,"&gt;"&amp;AD213)+1)</f>
        <v>0</v>
      </c>
      <c r="AF213" s="8">
        <f>IF(A213="","",IF(SUMPRODUCT(MAX(('Grocery Spending'!$E$5:$E$404=A213)*'Grocery Spending'!$A$5:$A$404))=0,"",SUMPRODUCT(MAX(('Grocery Spending'!$E$5:$E$404=A213)*'Grocery Spending'!$A$5:$A$404))))</f>
        <v>0</v>
      </c>
      <c r="AG213" s="8">
        <f>IF(OR(A213="",AF213=""),"",IFERROR(AVERAGEIFS('Grocery Spending'!$I$5:$I$404,'Grocery Spending'!$E$5:$E$404,A213,'Grocery Spending'!$A$5:$A$404,AF213),""))</f>
        <v>0</v>
      </c>
      <c r="AH213" s="8">
        <f>IF(A213="","",IFERROR(AVERAGEIFS('Grocery Spending'!$I$5:$I$404,'Grocery Spending'!$E$5:$E$404,A213),""))</f>
        <v>0</v>
      </c>
      <c r="AI213" s="8">
        <f>IF(A213="","",IF(SUMPRODUCT(MIN(('Grocery Spending'!$E$5:$E$404=A213)*'Grocery Spending'!$I$5:$I$404+('Grocery Spending'!$E$5:$E$404&lt;&gt;A213)*1000000))&gt;=1000000,"",SUMPRODUCT(MIN(('Grocery Spending'!$E$5:$E$404=A213)*'Grocery Spending'!$I$5:$I$404+('Grocery Spending'!$E$5:$E$404&lt;&gt;A213)*1000000))))</f>
        <v>0</v>
      </c>
      <c r="AJ213" s="8">
        <f>IF(A213="","",SUMPRODUCT(MAX(('Grocery Spending'!$E$5:$E$404=A213)*'Grocery Spending'!$I$5:$I$404)))</f>
        <v>0</v>
      </c>
      <c r="AK213" s="8">
        <f>IF(OR(A213="",AI213="",AJ213=0),"",AJ213-AI213)</f>
        <v>0</v>
      </c>
      <c r="AL213" s="8">
        <f>IF(OR(A213="",AG213="",AH213=""),"",AG213-AH213)</f>
        <v>0</v>
      </c>
      <c r="AM213" s="8">
        <f>IF(A213="","",IF(AL213="","",IF(AL213&gt;0.01,"Up",IF(AL213&lt;-0.01,"Down","Flat"))))</f>
        <v>0</v>
      </c>
      <c r="AN213" s="25"/>
    </row>
    <row r="214" spans="1:40">
      <c r="A214" s="7"/>
      <c r="B214" s="27"/>
      <c r="C214" s="27"/>
      <c r="D214" s="28"/>
      <c r="E214" s="27"/>
      <c r="F214" s="26"/>
      <c r="G214" s="8">
        <f>IF(OR(D214="",F214="",F214=0),"",D214/F214)</f>
        <v>0</v>
      </c>
      <c r="H214" s="26"/>
      <c r="I214" s="26"/>
      <c r="J214" s="26"/>
      <c r="K214" s="26"/>
      <c r="L214" s="26"/>
      <c r="M214" s="26"/>
      <c r="N214" s="27"/>
      <c r="O214" s="27"/>
      <c r="P214" s="27"/>
      <c r="Q214" s="27"/>
      <c r="R214" s="7"/>
      <c r="S214" s="8">
        <f>IF(A214="","",SUMIFS(Pantry!$C$5:$C$304,Pantry!$A$5:$A$304,A214))</f>
        <v>0</v>
      </c>
      <c r="T214" s="8">
        <f>IF(A214="","",COUNTIFS('Grocery List'!$A$5:$A$304,A214,'Grocery List'!$N$5:$N$304,"Yes"))</f>
        <v>0</v>
      </c>
      <c r="U214" s="8">
        <f>IF(A214="","",SUMIFS('Grocery List'!$M$5:$M$304,'Grocery List'!$A$5:$A$304,A214))</f>
        <v>0</v>
      </c>
      <c r="V214" s="8">
        <f>IF(A214="","",COUNTIFS('Recipe Ingredients'!$B$5:$B$1204,A214))</f>
        <v>0</v>
      </c>
      <c r="W214" s="8">
        <f>IF(A214="","",SUMIFS('Recipe Ingredients'!$C$5:$C$1204,'Recipe Ingredients'!$B$5:$B$1204,A214))</f>
        <v>0</v>
      </c>
      <c r="X214" s="8">
        <f>IF(A214="","",IF(U214&lt;=0,IF(S214&gt;0,99,0),ROUND(S214/U214,1)))</f>
        <v>0</v>
      </c>
      <c r="Y214" s="8">
        <f>IF(A214="","",U214*10+IF(O214="Yes",5,0)+IF(X214&lt;1,10,0)+IF(S214&lt;=0,3,0))</f>
        <v>0</v>
      </c>
      <c r="Z214" s="8">
        <f>IF(A214="","",COUNTIFS($Y$5:$Y$304,"&gt;"&amp;Y214)+1)</f>
        <v>0</v>
      </c>
      <c r="AA214" s="8">
        <f>IF(A214="","",IF(OR(U214&gt;0,AND(O214="Yes",X214&lt;2)),"Yes","No"))</f>
        <v>0</v>
      </c>
      <c r="AB214" s="8">
        <f>IF(OR(A214="",D214=""),"",S214*D214)</f>
        <v>0</v>
      </c>
      <c r="AC214" s="8">
        <f>IF(AB214="","",COUNTIFS($AB$5:$AB$304,"&gt;"&amp;AB214)+1)</f>
        <v>0</v>
      </c>
      <c r="AD214" s="8">
        <f>IF(A214="","",SUMIFS('Food Waste'!$E$5:$E$154,'Food Waste'!$C$5:$C$154,A214))</f>
        <v>0</v>
      </c>
      <c r="AE214" s="8">
        <f>IF(OR(A214="",AD214=0),"",COUNTIFS($AD$5:$AD$304,"&gt;"&amp;AD214)+1)</f>
        <v>0</v>
      </c>
      <c r="AF214" s="8">
        <f>IF(A214="","",IF(SUMPRODUCT(MAX(('Grocery Spending'!$E$5:$E$404=A214)*'Grocery Spending'!$A$5:$A$404))=0,"",SUMPRODUCT(MAX(('Grocery Spending'!$E$5:$E$404=A214)*'Grocery Spending'!$A$5:$A$404))))</f>
        <v>0</v>
      </c>
      <c r="AG214" s="8">
        <f>IF(OR(A214="",AF214=""),"",IFERROR(AVERAGEIFS('Grocery Spending'!$I$5:$I$404,'Grocery Spending'!$E$5:$E$404,A214,'Grocery Spending'!$A$5:$A$404,AF214),""))</f>
        <v>0</v>
      </c>
      <c r="AH214" s="8">
        <f>IF(A214="","",IFERROR(AVERAGEIFS('Grocery Spending'!$I$5:$I$404,'Grocery Spending'!$E$5:$E$404,A214),""))</f>
        <v>0</v>
      </c>
      <c r="AI214" s="8">
        <f>IF(A214="","",IF(SUMPRODUCT(MIN(('Grocery Spending'!$E$5:$E$404=A214)*'Grocery Spending'!$I$5:$I$404+('Grocery Spending'!$E$5:$E$404&lt;&gt;A214)*1000000))&gt;=1000000,"",SUMPRODUCT(MIN(('Grocery Spending'!$E$5:$E$404=A214)*'Grocery Spending'!$I$5:$I$404+('Grocery Spending'!$E$5:$E$404&lt;&gt;A214)*1000000))))</f>
        <v>0</v>
      </c>
      <c r="AJ214" s="8">
        <f>IF(A214="","",SUMPRODUCT(MAX(('Grocery Spending'!$E$5:$E$404=A214)*'Grocery Spending'!$I$5:$I$404)))</f>
        <v>0</v>
      </c>
      <c r="AK214" s="8">
        <f>IF(OR(A214="",AI214="",AJ214=0),"",AJ214-AI214)</f>
        <v>0</v>
      </c>
      <c r="AL214" s="8">
        <f>IF(OR(A214="",AG214="",AH214=""),"",AG214-AH214)</f>
        <v>0</v>
      </c>
      <c r="AM214" s="8">
        <f>IF(A214="","",IF(AL214="","",IF(AL214&gt;0.01,"Up",IF(AL214&lt;-0.01,"Down","Flat"))))</f>
        <v>0</v>
      </c>
      <c r="AN214" s="25"/>
    </row>
    <row r="215" spans="1:40">
      <c r="A215" s="7"/>
      <c r="B215" s="27"/>
      <c r="C215" s="27"/>
      <c r="D215" s="28"/>
      <c r="E215" s="27"/>
      <c r="F215" s="26"/>
      <c r="G215" s="8">
        <f>IF(OR(D215="",F215="",F215=0),"",D215/F215)</f>
        <v>0</v>
      </c>
      <c r="H215" s="26"/>
      <c r="I215" s="26"/>
      <c r="J215" s="26"/>
      <c r="K215" s="26"/>
      <c r="L215" s="26"/>
      <c r="M215" s="26"/>
      <c r="N215" s="27"/>
      <c r="O215" s="27"/>
      <c r="P215" s="27"/>
      <c r="Q215" s="27"/>
      <c r="R215" s="7"/>
      <c r="S215" s="8">
        <f>IF(A215="","",SUMIFS(Pantry!$C$5:$C$304,Pantry!$A$5:$A$304,A215))</f>
        <v>0</v>
      </c>
      <c r="T215" s="8">
        <f>IF(A215="","",COUNTIFS('Grocery List'!$A$5:$A$304,A215,'Grocery List'!$N$5:$N$304,"Yes"))</f>
        <v>0</v>
      </c>
      <c r="U215" s="8">
        <f>IF(A215="","",SUMIFS('Grocery List'!$M$5:$M$304,'Grocery List'!$A$5:$A$304,A215))</f>
        <v>0</v>
      </c>
      <c r="V215" s="8">
        <f>IF(A215="","",COUNTIFS('Recipe Ingredients'!$B$5:$B$1204,A215))</f>
        <v>0</v>
      </c>
      <c r="W215" s="8">
        <f>IF(A215="","",SUMIFS('Recipe Ingredients'!$C$5:$C$1204,'Recipe Ingredients'!$B$5:$B$1204,A215))</f>
        <v>0</v>
      </c>
      <c r="X215" s="8">
        <f>IF(A215="","",IF(U215&lt;=0,IF(S215&gt;0,99,0),ROUND(S215/U215,1)))</f>
        <v>0</v>
      </c>
      <c r="Y215" s="8">
        <f>IF(A215="","",U215*10+IF(O215="Yes",5,0)+IF(X215&lt;1,10,0)+IF(S215&lt;=0,3,0))</f>
        <v>0</v>
      </c>
      <c r="Z215" s="8">
        <f>IF(A215="","",COUNTIFS($Y$5:$Y$304,"&gt;"&amp;Y215)+1)</f>
        <v>0</v>
      </c>
      <c r="AA215" s="8">
        <f>IF(A215="","",IF(OR(U215&gt;0,AND(O215="Yes",X215&lt;2)),"Yes","No"))</f>
        <v>0</v>
      </c>
      <c r="AB215" s="8">
        <f>IF(OR(A215="",D215=""),"",S215*D215)</f>
        <v>0</v>
      </c>
      <c r="AC215" s="8">
        <f>IF(AB215="","",COUNTIFS($AB$5:$AB$304,"&gt;"&amp;AB215)+1)</f>
        <v>0</v>
      </c>
      <c r="AD215" s="8">
        <f>IF(A215="","",SUMIFS('Food Waste'!$E$5:$E$154,'Food Waste'!$C$5:$C$154,A215))</f>
        <v>0</v>
      </c>
      <c r="AE215" s="8">
        <f>IF(OR(A215="",AD215=0),"",COUNTIFS($AD$5:$AD$304,"&gt;"&amp;AD215)+1)</f>
        <v>0</v>
      </c>
      <c r="AF215" s="8">
        <f>IF(A215="","",IF(SUMPRODUCT(MAX(('Grocery Spending'!$E$5:$E$404=A215)*'Grocery Spending'!$A$5:$A$404))=0,"",SUMPRODUCT(MAX(('Grocery Spending'!$E$5:$E$404=A215)*'Grocery Spending'!$A$5:$A$404))))</f>
        <v>0</v>
      </c>
      <c r="AG215" s="8">
        <f>IF(OR(A215="",AF215=""),"",IFERROR(AVERAGEIFS('Grocery Spending'!$I$5:$I$404,'Grocery Spending'!$E$5:$E$404,A215,'Grocery Spending'!$A$5:$A$404,AF215),""))</f>
        <v>0</v>
      </c>
      <c r="AH215" s="8">
        <f>IF(A215="","",IFERROR(AVERAGEIFS('Grocery Spending'!$I$5:$I$404,'Grocery Spending'!$E$5:$E$404,A215),""))</f>
        <v>0</v>
      </c>
      <c r="AI215" s="8">
        <f>IF(A215="","",IF(SUMPRODUCT(MIN(('Grocery Spending'!$E$5:$E$404=A215)*'Grocery Spending'!$I$5:$I$404+('Grocery Spending'!$E$5:$E$404&lt;&gt;A215)*1000000))&gt;=1000000,"",SUMPRODUCT(MIN(('Grocery Spending'!$E$5:$E$404=A215)*'Grocery Spending'!$I$5:$I$404+('Grocery Spending'!$E$5:$E$404&lt;&gt;A215)*1000000))))</f>
        <v>0</v>
      </c>
      <c r="AJ215" s="8">
        <f>IF(A215="","",SUMPRODUCT(MAX(('Grocery Spending'!$E$5:$E$404=A215)*'Grocery Spending'!$I$5:$I$404)))</f>
        <v>0</v>
      </c>
      <c r="AK215" s="8">
        <f>IF(OR(A215="",AI215="",AJ215=0),"",AJ215-AI215)</f>
        <v>0</v>
      </c>
      <c r="AL215" s="8">
        <f>IF(OR(A215="",AG215="",AH215=""),"",AG215-AH215)</f>
        <v>0</v>
      </c>
      <c r="AM215" s="8">
        <f>IF(A215="","",IF(AL215="","",IF(AL215&gt;0.01,"Up",IF(AL215&lt;-0.01,"Down","Flat"))))</f>
        <v>0</v>
      </c>
      <c r="AN215" s="25"/>
    </row>
    <row r="216" spans="1:40">
      <c r="A216" s="7"/>
      <c r="B216" s="27"/>
      <c r="C216" s="27"/>
      <c r="D216" s="28"/>
      <c r="E216" s="27"/>
      <c r="F216" s="26"/>
      <c r="G216" s="8">
        <f>IF(OR(D216="",F216="",F216=0),"",D216/F216)</f>
        <v>0</v>
      </c>
      <c r="H216" s="26"/>
      <c r="I216" s="26"/>
      <c r="J216" s="26"/>
      <c r="K216" s="26"/>
      <c r="L216" s="26"/>
      <c r="M216" s="26"/>
      <c r="N216" s="27"/>
      <c r="O216" s="27"/>
      <c r="P216" s="27"/>
      <c r="Q216" s="27"/>
      <c r="R216" s="7"/>
      <c r="S216" s="8">
        <f>IF(A216="","",SUMIFS(Pantry!$C$5:$C$304,Pantry!$A$5:$A$304,A216))</f>
        <v>0</v>
      </c>
      <c r="T216" s="8">
        <f>IF(A216="","",COUNTIFS('Grocery List'!$A$5:$A$304,A216,'Grocery List'!$N$5:$N$304,"Yes"))</f>
        <v>0</v>
      </c>
      <c r="U216" s="8">
        <f>IF(A216="","",SUMIFS('Grocery List'!$M$5:$M$304,'Grocery List'!$A$5:$A$304,A216))</f>
        <v>0</v>
      </c>
      <c r="V216" s="8">
        <f>IF(A216="","",COUNTIFS('Recipe Ingredients'!$B$5:$B$1204,A216))</f>
        <v>0</v>
      </c>
      <c r="W216" s="8">
        <f>IF(A216="","",SUMIFS('Recipe Ingredients'!$C$5:$C$1204,'Recipe Ingredients'!$B$5:$B$1204,A216))</f>
        <v>0</v>
      </c>
      <c r="X216" s="8">
        <f>IF(A216="","",IF(U216&lt;=0,IF(S216&gt;0,99,0),ROUND(S216/U216,1)))</f>
        <v>0</v>
      </c>
      <c r="Y216" s="8">
        <f>IF(A216="","",U216*10+IF(O216="Yes",5,0)+IF(X216&lt;1,10,0)+IF(S216&lt;=0,3,0))</f>
        <v>0</v>
      </c>
      <c r="Z216" s="8">
        <f>IF(A216="","",COUNTIFS($Y$5:$Y$304,"&gt;"&amp;Y216)+1)</f>
        <v>0</v>
      </c>
      <c r="AA216" s="8">
        <f>IF(A216="","",IF(OR(U216&gt;0,AND(O216="Yes",X216&lt;2)),"Yes","No"))</f>
        <v>0</v>
      </c>
      <c r="AB216" s="8">
        <f>IF(OR(A216="",D216=""),"",S216*D216)</f>
        <v>0</v>
      </c>
      <c r="AC216" s="8">
        <f>IF(AB216="","",COUNTIFS($AB$5:$AB$304,"&gt;"&amp;AB216)+1)</f>
        <v>0</v>
      </c>
      <c r="AD216" s="8">
        <f>IF(A216="","",SUMIFS('Food Waste'!$E$5:$E$154,'Food Waste'!$C$5:$C$154,A216))</f>
        <v>0</v>
      </c>
      <c r="AE216" s="8">
        <f>IF(OR(A216="",AD216=0),"",COUNTIFS($AD$5:$AD$304,"&gt;"&amp;AD216)+1)</f>
        <v>0</v>
      </c>
      <c r="AF216" s="8">
        <f>IF(A216="","",IF(SUMPRODUCT(MAX(('Grocery Spending'!$E$5:$E$404=A216)*'Grocery Spending'!$A$5:$A$404))=0,"",SUMPRODUCT(MAX(('Grocery Spending'!$E$5:$E$404=A216)*'Grocery Spending'!$A$5:$A$404))))</f>
        <v>0</v>
      </c>
      <c r="AG216" s="8">
        <f>IF(OR(A216="",AF216=""),"",IFERROR(AVERAGEIFS('Grocery Spending'!$I$5:$I$404,'Grocery Spending'!$E$5:$E$404,A216,'Grocery Spending'!$A$5:$A$404,AF216),""))</f>
        <v>0</v>
      </c>
      <c r="AH216" s="8">
        <f>IF(A216="","",IFERROR(AVERAGEIFS('Grocery Spending'!$I$5:$I$404,'Grocery Spending'!$E$5:$E$404,A216),""))</f>
        <v>0</v>
      </c>
      <c r="AI216" s="8">
        <f>IF(A216="","",IF(SUMPRODUCT(MIN(('Grocery Spending'!$E$5:$E$404=A216)*'Grocery Spending'!$I$5:$I$404+('Grocery Spending'!$E$5:$E$404&lt;&gt;A216)*1000000))&gt;=1000000,"",SUMPRODUCT(MIN(('Grocery Spending'!$E$5:$E$404=A216)*'Grocery Spending'!$I$5:$I$404+('Grocery Spending'!$E$5:$E$404&lt;&gt;A216)*1000000))))</f>
        <v>0</v>
      </c>
      <c r="AJ216" s="8">
        <f>IF(A216="","",SUMPRODUCT(MAX(('Grocery Spending'!$E$5:$E$404=A216)*'Grocery Spending'!$I$5:$I$404)))</f>
        <v>0</v>
      </c>
      <c r="AK216" s="8">
        <f>IF(OR(A216="",AI216="",AJ216=0),"",AJ216-AI216)</f>
        <v>0</v>
      </c>
      <c r="AL216" s="8">
        <f>IF(OR(A216="",AG216="",AH216=""),"",AG216-AH216)</f>
        <v>0</v>
      </c>
      <c r="AM216" s="8">
        <f>IF(A216="","",IF(AL216="","",IF(AL216&gt;0.01,"Up",IF(AL216&lt;-0.01,"Down","Flat"))))</f>
        <v>0</v>
      </c>
      <c r="AN216" s="25"/>
    </row>
    <row r="217" spans="1:40">
      <c r="A217" s="7"/>
      <c r="B217" s="27"/>
      <c r="C217" s="27"/>
      <c r="D217" s="28"/>
      <c r="E217" s="27"/>
      <c r="F217" s="26"/>
      <c r="G217" s="8">
        <f>IF(OR(D217="",F217="",F217=0),"",D217/F217)</f>
        <v>0</v>
      </c>
      <c r="H217" s="26"/>
      <c r="I217" s="26"/>
      <c r="J217" s="26"/>
      <c r="K217" s="26"/>
      <c r="L217" s="26"/>
      <c r="M217" s="26"/>
      <c r="N217" s="27"/>
      <c r="O217" s="27"/>
      <c r="P217" s="27"/>
      <c r="Q217" s="27"/>
      <c r="R217" s="7"/>
      <c r="S217" s="8">
        <f>IF(A217="","",SUMIFS(Pantry!$C$5:$C$304,Pantry!$A$5:$A$304,A217))</f>
        <v>0</v>
      </c>
      <c r="T217" s="8">
        <f>IF(A217="","",COUNTIFS('Grocery List'!$A$5:$A$304,A217,'Grocery List'!$N$5:$N$304,"Yes"))</f>
        <v>0</v>
      </c>
      <c r="U217" s="8">
        <f>IF(A217="","",SUMIFS('Grocery List'!$M$5:$M$304,'Grocery List'!$A$5:$A$304,A217))</f>
        <v>0</v>
      </c>
      <c r="V217" s="8">
        <f>IF(A217="","",COUNTIFS('Recipe Ingredients'!$B$5:$B$1204,A217))</f>
        <v>0</v>
      </c>
      <c r="W217" s="8">
        <f>IF(A217="","",SUMIFS('Recipe Ingredients'!$C$5:$C$1204,'Recipe Ingredients'!$B$5:$B$1204,A217))</f>
        <v>0</v>
      </c>
      <c r="X217" s="8">
        <f>IF(A217="","",IF(U217&lt;=0,IF(S217&gt;0,99,0),ROUND(S217/U217,1)))</f>
        <v>0</v>
      </c>
      <c r="Y217" s="8">
        <f>IF(A217="","",U217*10+IF(O217="Yes",5,0)+IF(X217&lt;1,10,0)+IF(S217&lt;=0,3,0))</f>
        <v>0</v>
      </c>
      <c r="Z217" s="8">
        <f>IF(A217="","",COUNTIFS($Y$5:$Y$304,"&gt;"&amp;Y217)+1)</f>
        <v>0</v>
      </c>
      <c r="AA217" s="8">
        <f>IF(A217="","",IF(OR(U217&gt;0,AND(O217="Yes",X217&lt;2)),"Yes","No"))</f>
        <v>0</v>
      </c>
      <c r="AB217" s="8">
        <f>IF(OR(A217="",D217=""),"",S217*D217)</f>
        <v>0</v>
      </c>
      <c r="AC217" s="8">
        <f>IF(AB217="","",COUNTIFS($AB$5:$AB$304,"&gt;"&amp;AB217)+1)</f>
        <v>0</v>
      </c>
      <c r="AD217" s="8">
        <f>IF(A217="","",SUMIFS('Food Waste'!$E$5:$E$154,'Food Waste'!$C$5:$C$154,A217))</f>
        <v>0</v>
      </c>
      <c r="AE217" s="8">
        <f>IF(OR(A217="",AD217=0),"",COUNTIFS($AD$5:$AD$304,"&gt;"&amp;AD217)+1)</f>
        <v>0</v>
      </c>
      <c r="AF217" s="8">
        <f>IF(A217="","",IF(SUMPRODUCT(MAX(('Grocery Spending'!$E$5:$E$404=A217)*'Grocery Spending'!$A$5:$A$404))=0,"",SUMPRODUCT(MAX(('Grocery Spending'!$E$5:$E$404=A217)*'Grocery Spending'!$A$5:$A$404))))</f>
        <v>0</v>
      </c>
      <c r="AG217" s="8">
        <f>IF(OR(A217="",AF217=""),"",IFERROR(AVERAGEIFS('Grocery Spending'!$I$5:$I$404,'Grocery Spending'!$E$5:$E$404,A217,'Grocery Spending'!$A$5:$A$404,AF217),""))</f>
        <v>0</v>
      </c>
      <c r="AH217" s="8">
        <f>IF(A217="","",IFERROR(AVERAGEIFS('Grocery Spending'!$I$5:$I$404,'Grocery Spending'!$E$5:$E$404,A217),""))</f>
        <v>0</v>
      </c>
      <c r="AI217" s="8">
        <f>IF(A217="","",IF(SUMPRODUCT(MIN(('Grocery Spending'!$E$5:$E$404=A217)*'Grocery Spending'!$I$5:$I$404+('Grocery Spending'!$E$5:$E$404&lt;&gt;A217)*1000000))&gt;=1000000,"",SUMPRODUCT(MIN(('Grocery Spending'!$E$5:$E$404=A217)*'Grocery Spending'!$I$5:$I$404+('Grocery Spending'!$E$5:$E$404&lt;&gt;A217)*1000000))))</f>
        <v>0</v>
      </c>
      <c r="AJ217" s="8">
        <f>IF(A217="","",SUMPRODUCT(MAX(('Grocery Spending'!$E$5:$E$404=A217)*'Grocery Spending'!$I$5:$I$404)))</f>
        <v>0</v>
      </c>
      <c r="AK217" s="8">
        <f>IF(OR(A217="",AI217="",AJ217=0),"",AJ217-AI217)</f>
        <v>0</v>
      </c>
      <c r="AL217" s="8">
        <f>IF(OR(A217="",AG217="",AH217=""),"",AG217-AH217)</f>
        <v>0</v>
      </c>
      <c r="AM217" s="8">
        <f>IF(A217="","",IF(AL217="","",IF(AL217&gt;0.01,"Up",IF(AL217&lt;-0.01,"Down","Flat"))))</f>
        <v>0</v>
      </c>
      <c r="AN217" s="25"/>
    </row>
    <row r="218" spans="1:40">
      <c r="A218" s="7"/>
      <c r="B218" s="27"/>
      <c r="C218" s="27"/>
      <c r="D218" s="28"/>
      <c r="E218" s="27"/>
      <c r="F218" s="26"/>
      <c r="G218" s="8">
        <f>IF(OR(D218="",F218="",F218=0),"",D218/F218)</f>
        <v>0</v>
      </c>
      <c r="H218" s="26"/>
      <c r="I218" s="26"/>
      <c r="J218" s="26"/>
      <c r="K218" s="26"/>
      <c r="L218" s="26"/>
      <c r="M218" s="26"/>
      <c r="N218" s="27"/>
      <c r="O218" s="27"/>
      <c r="P218" s="27"/>
      <c r="Q218" s="27"/>
      <c r="R218" s="7"/>
      <c r="S218" s="8">
        <f>IF(A218="","",SUMIFS(Pantry!$C$5:$C$304,Pantry!$A$5:$A$304,A218))</f>
        <v>0</v>
      </c>
      <c r="T218" s="8">
        <f>IF(A218="","",COUNTIFS('Grocery List'!$A$5:$A$304,A218,'Grocery List'!$N$5:$N$304,"Yes"))</f>
        <v>0</v>
      </c>
      <c r="U218" s="8">
        <f>IF(A218="","",SUMIFS('Grocery List'!$M$5:$M$304,'Grocery List'!$A$5:$A$304,A218))</f>
        <v>0</v>
      </c>
      <c r="V218" s="8">
        <f>IF(A218="","",COUNTIFS('Recipe Ingredients'!$B$5:$B$1204,A218))</f>
        <v>0</v>
      </c>
      <c r="W218" s="8">
        <f>IF(A218="","",SUMIFS('Recipe Ingredients'!$C$5:$C$1204,'Recipe Ingredients'!$B$5:$B$1204,A218))</f>
        <v>0</v>
      </c>
      <c r="X218" s="8">
        <f>IF(A218="","",IF(U218&lt;=0,IF(S218&gt;0,99,0),ROUND(S218/U218,1)))</f>
        <v>0</v>
      </c>
      <c r="Y218" s="8">
        <f>IF(A218="","",U218*10+IF(O218="Yes",5,0)+IF(X218&lt;1,10,0)+IF(S218&lt;=0,3,0))</f>
        <v>0</v>
      </c>
      <c r="Z218" s="8">
        <f>IF(A218="","",COUNTIFS($Y$5:$Y$304,"&gt;"&amp;Y218)+1)</f>
        <v>0</v>
      </c>
      <c r="AA218" s="8">
        <f>IF(A218="","",IF(OR(U218&gt;0,AND(O218="Yes",X218&lt;2)),"Yes","No"))</f>
        <v>0</v>
      </c>
      <c r="AB218" s="8">
        <f>IF(OR(A218="",D218=""),"",S218*D218)</f>
        <v>0</v>
      </c>
      <c r="AC218" s="8">
        <f>IF(AB218="","",COUNTIFS($AB$5:$AB$304,"&gt;"&amp;AB218)+1)</f>
        <v>0</v>
      </c>
      <c r="AD218" s="8">
        <f>IF(A218="","",SUMIFS('Food Waste'!$E$5:$E$154,'Food Waste'!$C$5:$C$154,A218))</f>
        <v>0</v>
      </c>
      <c r="AE218" s="8">
        <f>IF(OR(A218="",AD218=0),"",COUNTIFS($AD$5:$AD$304,"&gt;"&amp;AD218)+1)</f>
        <v>0</v>
      </c>
      <c r="AF218" s="8">
        <f>IF(A218="","",IF(SUMPRODUCT(MAX(('Grocery Spending'!$E$5:$E$404=A218)*'Grocery Spending'!$A$5:$A$404))=0,"",SUMPRODUCT(MAX(('Grocery Spending'!$E$5:$E$404=A218)*'Grocery Spending'!$A$5:$A$404))))</f>
        <v>0</v>
      </c>
      <c r="AG218" s="8">
        <f>IF(OR(A218="",AF218=""),"",IFERROR(AVERAGEIFS('Grocery Spending'!$I$5:$I$404,'Grocery Spending'!$E$5:$E$404,A218,'Grocery Spending'!$A$5:$A$404,AF218),""))</f>
        <v>0</v>
      </c>
      <c r="AH218" s="8">
        <f>IF(A218="","",IFERROR(AVERAGEIFS('Grocery Spending'!$I$5:$I$404,'Grocery Spending'!$E$5:$E$404,A218),""))</f>
        <v>0</v>
      </c>
      <c r="AI218" s="8">
        <f>IF(A218="","",IF(SUMPRODUCT(MIN(('Grocery Spending'!$E$5:$E$404=A218)*'Grocery Spending'!$I$5:$I$404+('Grocery Spending'!$E$5:$E$404&lt;&gt;A218)*1000000))&gt;=1000000,"",SUMPRODUCT(MIN(('Grocery Spending'!$E$5:$E$404=A218)*'Grocery Spending'!$I$5:$I$404+('Grocery Spending'!$E$5:$E$404&lt;&gt;A218)*1000000))))</f>
        <v>0</v>
      </c>
      <c r="AJ218" s="8">
        <f>IF(A218="","",SUMPRODUCT(MAX(('Grocery Spending'!$E$5:$E$404=A218)*'Grocery Spending'!$I$5:$I$404)))</f>
        <v>0</v>
      </c>
      <c r="AK218" s="8">
        <f>IF(OR(A218="",AI218="",AJ218=0),"",AJ218-AI218)</f>
        <v>0</v>
      </c>
      <c r="AL218" s="8">
        <f>IF(OR(A218="",AG218="",AH218=""),"",AG218-AH218)</f>
        <v>0</v>
      </c>
      <c r="AM218" s="8">
        <f>IF(A218="","",IF(AL218="","",IF(AL218&gt;0.01,"Up",IF(AL218&lt;-0.01,"Down","Flat"))))</f>
        <v>0</v>
      </c>
      <c r="AN218" s="25"/>
    </row>
    <row r="219" spans="1:40">
      <c r="A219" s="7"/>
      <c r="B219" s="27"/>
      <c r="C219" s="27"/>
      <c r="D219" s="28"/>
      <c r="E219" s="27"/>
      <c r="F219" s="26"/>
      <c r="G219" s="8">
        <f>IF(OR(D219="",F219="",F219=0),"",D219/F219)</f>
        <v>0</v>
      </c>
      <c r="H219" s="26"/>
      <c r="I219" s="26"/>
      <c r="J219" s="26"/>
      <c r="K219" s="26"/>
      <c r="L219" s="26"/>
      <c r="M219" s="26"/>
      <c r="N219" s="27"/>
      <c r="O219" s="27"/>
      <c r="P219" s="27"/>
      <c r="Q219" s="27"/>
      <c r="R219" s="7"/>
      <c r="S219" s="8">
        <f>IF(A219="","",SUMIFS(Pantry!$C$5:$C$304,Pantry!$A$5:$A$304,A219))</f>
        <v>0</v>
      </c>
      <c r="T219" s="8">
        <f>IF(A219="","",COUNTIFS('Grocery List'!$A$5:$A$304,A219,'Grocery List'!$N$5:$N$304,"Yes"))</f>
        <v>0</v>
      </c>
      <c r="U219" s="8">
        <f>IF(A219="","",SUMIFS('Grocery List'!$M$5:$M$304,'Grocery List'!$A$5:$A$304,A219))</f>
        <v>0</v>
      </c>
      <c r="V219" s="8">
        <f>IF(A219="","",COUNTIFS('Recipe Ingredients'!$B$5:$B$1204,A219))</f>
        <v>0</v>
      </c>
      <c r="W219" s="8">
        <f>IF(A219="","",SUMIFS('Recipe Ingredients'!$C$5:$C$1204,'Recipe Ingredients'!$B$5:$B$1204,A219))</f>
        <v>0</v>
      </c>
      <c r="X219" s="8">
        <f>IF(A219="","",IF(U219&lt;=0,IF(S219&gt;0,99,0),ROUND(S219/U219,1)))</f>
        <v>0</v>
      </c>
      <c r="Y219" s="8">
        <f>IF(A219="","",U219*10+IF(O219="Yes",5,0)+IF(X219&lt;1,10,0)+IF(S219&lt;=0,3,0))</f>
        <v>0</v>
      </c>
      <c r="Z219" s="8">
        <f>IF(A219="","",COUNTIFS($Y$5:$Y$304,"&gt;"&amp;Y219)+1)</f>
        <v>0</v>
      </c>
      <c r="AA219" s="8">
        <f>IF(A219="","",IF(OR(U219&gt;0,AND(O219="Yes",X219&lt;2)),"Yes","No"))</f>
        <v>0</v>
      </c>
      <c r="AB219" s="8">
        <f>IF(OR(A219="",D219=""),"",S219*D219)</f>
        <v>0</v>
      </c>
      <c r="AC219" s="8">
        <f>IF(AB219="","",COUNTIFS($AB$5:$AB$304,"&gt;"&amp;AB219)+1)</f>
        <v>0</v>
      </c>
      <c r="AD219" s="8">
        <f>IF(A219="","",SUMIFS('Food Waste'!$E$5:$E$154,'Food Waste'!$C$5:$C$154,A219))</f>
        <v>0</v>
      </c>
      <c r="AE219" s="8">
        <f>IF(OR(A219="",AD219=0),"",COUNTIFS($AD$5:$AD$304,"&gt;"&amp;AD219)+1)</f>
        <v>0</v>
      </c>
      <c r="AF219" s="8">
        <f>IF(A219="","",IF(SUMPRODUCT(MAX(('Grocery Spending'!$E$5:$E$404=A219)*'Grocery Spending'!$A$5:$A$404))=0,"",SUMPRODUCT(MAX(('Grocery Spending'!$E$5:$E$404=A219)*'Grocery Spending'!$A$5:$A$404))))</f>
        <v>0</v>
      </c>
      <c r="AG219" s="8">
        <f>IF(OR(A219="",AF219=""),"",IFERROR(AVERAGEIFS('Grocery Spending'!$I$5:$I$404,'Grocery Spending'!$E$5:$E$404,A219,'Grocery Spending'!$A$5:$A$404,AF219),""))</f>
        <v>0</v>
      </c>
      <c r="AH219" s="8">
        <f>IF(A219="","",IFERROR(AVERAGEIFS('Grocery Spending'!$I$5:$I$404,'Grocery Spending'!$E$5:$E$404,A219),""))</f>
        <v>0</v>
      </c>
      <c r="AI219" s="8">
        <f>IF(A219="","",IF(SUMPRODUCT(MIN(('Grocery Spending'!$E$5:$E$404=A219)*'Grocery Spending'!$I$5:$I$404+('Grocery Spending'!$E$5:$E$404&lt;&gt;A219)*1000000))&gt;=1000000,"",SUMPRODUCT(MIN(('Grocery Spending'!$E$5:$E$404=A219)*'Grocery Spending'!$I$5:$I$404+('Grocery Spending'!$E$5:$E$404&lt;&gt;A219)*1000000))))</f>
        <v>0</v>
      </c>
      <c r="AJ219" s="8">
        <f>IF(A219="","",SUMPRODUCT(MAX(('Grocery Spending'!$E$5:$E$404=A219)*'Grocery Spending'!$I$5:$I$404)))</f>
        <v>0</v>
      </c>
      <c r="AK219" s="8">
        <f>IF(OR(A219="",AI219="",AJ219=0),"",AJ219-AI219)</f>
        <v>0</v>
      </c>
      <c r="AL219" s="8">
        <f>IF(OR(A219="",AG219="",AH219=""),"",AG219-AH219)</f>
        <v>0</v>
      </c>
      <c r="AM219" s="8">
        <f>IF(A219="","",IF(AL219="","",IF(AL219&gt;0.01,"Up",IF(AL219&lt;-0.01,"Down","Flat"))))</f>
        <v>0</v>
      </c>
      <c r="AN219" s="25"/>
    </row>
    <row r="220" spans="1:40">
      <c r="A220" s="7"/>
      <c r="B220" s="27"/>
      <c r="C220" s="27"/>
      <c r="D220" s="28"/>
      <c r="E220" s="27"/>
      <c r="F220" s="26"/>
      <c r="G220" s="8">
        <f>IF(OR(D220="",F220="",F220=0),"",D220/F220)</f>
        <v>0</v>
      </c>
      <c r="H220" s="26"/>
      <c r="I220" s="26"/>
      <c r="J220" s="26"/>
      <c r="K220" s="26"/>
      <c r="L220" s="26"/>
      <c r="M220" s="26"/>
      <c r="N220" s="27"/>
      <c r="O220" s="27"/>
      <c r="P220" s="27"/>
      <c r="Q220" s="27"/>
      <c r="R220" s="7"/>
      <c r="S220" s="8">
        <f>IF(A220="","",SUMIFS(Pantry!$C$5:$C$304,Pantry!$A$5:$A$304,A220))</f>
        <v>0</v>
      </c>
      <c r="T220" s="8">
        <f>IF(A220="","",COUNTIFS('Grocery List'!$A$5:$A$304,A220,'Grocery List'!$N$5:$N$304,"Yes"))</f>
        <v>0</v>
      </c>
      <c r="U220" s="8">
        <f>IF(A220="","",SUMIFS('Grocery List'!$M$5:$M$304,'Grocery List'!$A$5:$A$304,A220))</f>
        <v>0</v>
      </c>
      <c r="V220" s="8">
        <f>IF(A220="","",COUNTIFS('Recipe Ingredients'!$B$5:$B$1204,A220))</f>
        <v>0</v>
      </c>
      <c r="W220" s="8">
        <f>IF(A220="","",SUMIFS('Recipe Ingredients'!$C$5:$C$1204,'Recipe Ingredients'!$B$5:$B$1204,A220))</f>
        <v>0</v>
      </c>
      <c r="X220" s="8">
        <f>IF(A220="","",IF(U220&lt;=0,IF(S220&gt;0,99,0),ROUND(S220/U220,1)))</f>
        <v>0</v>
      </c>
      <c r="Y220" s="8">
        <f>IF(A220="","",U220*10+IF(O220="Yes",5,0)+IF(X220&lt;1,10,0)+IF(S220&lt;=0,3,0))</f>
        <v>0</v>
      </c>
      <c r="Z220" s="8">
        <f>IF(A220="","",COUNTIFS($Y$5:$Y$304,"&gt;"&amp;Y220)+1)</f>
        <v>0</v>
      </c>
      <c r="AA220" s="8">
        <f>IF(A220="","",IF(OR(U220&gt;0,AND(O220="Yes",X220&lt;2)),"Yes","No"))</f>
        <v>0</v>
      </c>
      <c r="AB220" s="8">
        <f>IF(OR(A220="",D220=""),"",S220*D220)</f>
        <v>0</v>
      </c>
      <c r="AC220" s="8">
        <f>IF(AB220="","",COUNTIFS($AB$5:$AB$304,"&gt;"&amp;AB220)+1)</f>
        <v>0</v>
      </c>
      <c r="AD220" s="8">
        <f>IF(A220="","",SUMIFS('Food Waste'!$E$5:$E$154,'Food Waste'!$C$5:$C$154,A220))</f>
        <v>0</v>
      </c>
      <c r="AE220" s="8">
        <f>IF(OR(A220="",AD220=0),"",COUNTIFS($AD$5:$AD$304,"&gt;"&amp;AD220)+1)</f>
        <v>0</v>
      </c>
      <c r="AF220" s="8">
        <f>IF(A220="","",IF(SUMPRODUCT(MAX(('Grocery Spending'!$E$5:$E$404=A220)*'Grocery Spending'!$A$5:$A$404))=0,"",SUMPRODUCT(MAX(('Grocery Spending'!$E$5:$E$404=A220)*'Grocery Spending'!$A$5:$A$404))))</f>
        <v>0</v>
      </c>
      <c r="AG220" s="8">
        <f>IF(OR(A220="",AF220=""),"",IFERROR(AVERAGEIFS('Grocery Spending'!$I$5:$I$404,'Grocery Spending'!$E$5:$E$404,A220,'Grocery Spending'!$A$5:$A$404,AF220),""))</f>
        <v>0</v>
      </c>
      <c r="AH220" s="8">
        <f>IF(A220="","",IFERROR(AVERAGEIFS('Grocery Spending'!$I$5:$I$404,'Grocery Spending'!$E$5:$E$404,A220),""))</f>
        <v>0</v>
      </c>
      <c r="AI220" s="8">
        <f>IF(A220="","",IF(SUMPRODUCT(MIN(('Grocery Spending'!$E$5:$E$404=A220)*'Grocery Spending'!$I$5:$I$404+('Grocery Spending'!$E$5:$E$404&lt;&gt;A220)*1000000))&gt;=1000000,"",SUMPRODUCT(MIN(('Grocery Spending'!$E$5:$E$404=A220)*'Grocery Spending'!$I$5:$I$404+('Grocery Spending'!$E$5:$E$404&lt;&gt;A220)*1000000))))</f>
        <v>0</v>
      </c>
      <c r="AJ220" s="8">
        <f>IF(A220="","",SUMPRODUCT(MAX(('Grocery Spending'!$E$5:$E$404=A220)*'Grocery Spending'!$I$5:$I$404)))</f>
        <v>0</v>
      </c>
      <c r="AK220" s="8">
        <f>IF(OR(A220="",AI220="",AJ220=0),"",AJ220-AI220)</f>
        <v>0</v>
      </c>
      <c r="AL220" s="8">
        <f>IF(OR(A220="",AG220="",AH220=""),"",AG220-AH220)</f>
        <v>0</v>
      </c>
      <c r="AM220" s="8">
        <f>IF(A220="","",IF(AL220="","",IF(AL220&gt;0.01,"Up",IF(AL220&lt;-0.01,"Down","Flat"))))</f>
        <v>0</v>
      </c>
      <c r="AN220" s="25"/>
    </row>
    <row r="221" spans="1:40">
      <c r="A221" s="7"/>
      <c r="B221" s="27"/>
      <c r="C221" s="27"/>
      <c r="D221" s="28"/>
      <c r="E221" s="27"/>
      <c r="F221" s="26"/>
      <c r="G221" s="8">
        <f>IF(OR(D221="",F221="",F221=0),"",D221/F221)</f>
        <v>0</v>
      </c>
      <c r="H221" s="26"/>
      <c r="I221" s="26"/>
      <c r="J221" s="26"/>
      <c r="K221" s="26"/>
      <c r="L221" s="26"/>
      <c r="M221" s="26"/>
      <c r="N221" s="27"/>
      <c r="O221" s="27"/>
      <c r="P221" s="27"/>
      <c r="Q221" s="27"/>
      <c r="R221" s="7"/>
      <c r="S221" s="8">
        <f>IF(A221="","",SUMIFS(Pantry!$C$5:$C$304,Pantry!$A$5:$A$304,A221))</f>
        <v>0</v>
      </c>
      <c r="T221" s="8">
        <f>IF(A221="","",COUNTIFS('Grocery List'!$A$5:$A$304,A221,'Grocery List'!$N$5:$N$304,"Yes"))</f>
        <v>0</v>
      </c>
      <c r="U221" s="8">
        <f>IF(A221="","",SUMIFS('Grocery List'!$M$5:$M$304,'Grocery List'!$A$5:$A$304,A221))</f>
        <v>0</v>
      </c>
      <c r="V221" s="8">
        <f>IF(A221="","",COUNTIFS('Recipe Ingredients'!$B$5:$B$1204,A221))</f>
        <v>0</v>
      </c>
      <c r="W221" s="8">
        <f>IF(A221="","",SUMIFS('Recipe Ingredients'!$C$5:$C$1204,'Recipe Ingredients'!$B$5:$B$1204,A221))</f>
        <v>0</v>
      </c>
      <c r="X221" s="8">
        <f>IF(A221="","",IF(U221&lt;=0,IF(S221&gt;0,99,0),ROUND(S221/U221,1)))</f>
        <v>0</v>
      </c>
      <c r="Y221" s="8">
        <f>IF(A221="","",U221*10+IF(O221="Yes",5,0)+IF(X221&lt;1,10,0)+IF(S221&lt;=0,3,0))</f>
        <v>0</v>
      </c>
      <c r="Z221" s="8">
        <f>IF(A221="","",COUNTIFS($Y$5:$Y$304,"&gt;"&amp;Y221)+1)</f>
        <v>0</v>
      </c>
      <c r="AA221" s="8">
        <f>IF(A221="","",IF(OR(U221&gt;0,AND(O221="Yes",X221&lt;2)),"Yes","No"))</f>
        <v>0</v>
      </c>
      <c r="AB221" s="8">
        <f>IF(OR(A221="",D221=""),"",S221*D221)</f>
        <v>0</v>
      </c>
      <c r="AC221" s="8">
        <f>IF(AB221="","",COUNTIFS($AB$5:$AB$304,"&gt;"&amp;AB221)+1)</f>
        <v>0</v>
      </c>
      <c r="AD221" s="8">
        <f>IF(A221="","",SUMIFS('Food Waste'!$E$5:$E$154,'Food Waste'!$C$5:$C$154,A221))</f>
        <v>0</v>
      </c>
      <c r="AE221" s="8">
        <f>IF(OR(A221="",AD221=0),"",COUNTIFS($AD$5:$AD$304,"&gt;"&amp;AD221)+1)</f>
        <v>0</v>
      </c>
      <c r="AF221" s="8">
        <f>IF(A221="","",IF(SUMPRODUCT(MAX(('Grocery Spending'!$E$5:$E$404=A221)*'Grocery Spending'!$A$5:$A$404))=0,"",SUMPRODUCT(MAX(('Grocery Spending'!$E$5:$E$404=A221)*'Grocery Spending'!$A$5:$A$404))))</f>
        <v>0</v>
      </c>
      <c r="AG221" s="8">
        <f>IF(OR(A221="",AF221=""),"",IFERROR(AVERAGEIFS('Grocery Spending'!$I$5:$I$404,'Grocery Spending'!$E$5:$E$404,A221,'Grocery Spending'!$A$5:$A$404,AF221),""))</f>
        <v>0</v>
      </c>
      <c r="AH221" s="8">
        <f>IF(A221="","",IFERROR(AVERAGEIFS('Grocery Spending'!$I$5:$I$404,'Grocery Spending'!$E$5:$E$404,A221),""))</f>
        <v>0</v>
      </c>
      <c r="AI221" s="8">
        <f>IF(A221="","",IF(SUMPRODUCT(MIN(('Grocery Spending'!$E$5:$E$404=A221)*'Grocery Spending'!$I$5:$I$404+('Grocery Spending'!$E$5:$E$404&lt;&gt;A221)*1000000))&gt;=1000000,"",SUMPRODUCT(MIN(('Grocery Spending'!$E$5:$E$404=A221)*'Grocery Spending'!$I$5:$I$404+('Grocery Spending'!$E$5:$E$404&lt;&gt;A221)*1000000))))</f>
        <v>0</v>
      </c>
      <c r="AJ221" s="8">
        <f>IF(A221="","",SUMPRODUCT(MAX(('Grocery Spending'!$E$5:$E$404=A221)*'Grocery Spending'!$I$5:$I$404)))</f>
        <v>0</v>
      </c>
      <c r="AK221" s="8">
        <f>IF(OR(A221="",AI221="",AJ221=0),"",AJ221-AI221)</f>
        <v>0</v>
      </c>
      <c r="AL221" s="8">
        <f>IF(OR(A221="",AG221="",AH221=""),"",AG221-AH221)</f>
        <v>0</v>
      </c>
      <c r="AM221" s="8">
        <f>IF(A221="","",IF(AL221="","",IF(AL221&gt;0.01,"Up",IF(AL221&lt;-0.01,"Down","Flat"))))</f>
        <v>0</v>
      </c>
      <c r="AN221" s="25"/>
    </row>
    <row r="222" spans="1:40">
      <c r="A222" s="7"/>
      <c r="B222" s="27"/>
      <c r="C222" s="27"/>
      <c r="D222" s="28"/>
      <c r="E222" s="27"/>
      <c r="F222" s="26"/>
      <c r="G222" s="8">
        <f>IF(OR(D222="",F222="",F222=0),"",D222/F222)</f>
        <v>0</v>
      </c>
      <c r="H222" s="26"/>
      <c r="I222" s="26"/>
      <c r="J222" s="26"/>
      <c r="K222" s="26"/>
      <c r="L222" s="26"/>
      <c r="M222" s="26"/>
      <c r="N222" s="27"/>
      <c r="O222" s="27"/>
      <c r="P222" s="27"/>
      <c r="Q222" s="27"/>
      <c r="R222" s="7"/>
      <c r="S222" s="8">
        <f>IF(A222="","",SUMIFS(Pantry!$C$5:$C$304,Pantry!$A$5:$A$304,A222))</f>
        <v>0</v>
      </c>
      <c r="T222" s="8">
        <f>IF(A222="","",COUNTIFS('Grocery List'!$A$5:$A$304,A222,'Grocery List'!$N$5:$N$304,"Yes"))</f>
        <v>0</v>
      </c>
      <c r="U222" s="8">
        <f>IF(A222="","",SUMIFS('Grocery List'!$M$5:$M$304,'Grocery List'!$A$5:$A$304,A222))</f>
        <v>0</v>
      </c>
      <c r="V222" s="8">
        <f>IF(A222="","",COUNTIFS('Recipe Ingredients'!$B$5:$B$1204,A222))</f>
        <v>0</v>
      </c>
      <c r="W222" s="8">
        <f>IF(A222="","",SUMIFS('Recipe Ingredients'!$C$5:$C$1204,'Recipe Ingredients'!$B$5:$B$1204,A222))</f>
        <v>0</v>
      </c>
      <c r="X222" s="8">
        <f>IF(A222="","",IF(U222&lt;=0,IF(S222&gt;0,99,0),ROUND(S222/U222,1)))</f>
        <v>0</v>
      </c>
      <c r="Y222" s="8">
        <f>IF(A222="","",U222*10+IF(O222="Yes",5,0)+IF(X222&lt;1,10,0)+IF(S222&lt;=0,3,0))</f>
        <v>0</v>
      </c>
      <c r="Z222" s="8">
        <f>IF(A222="","",COUNTIFS($Y$5:$Y$304,"&gt;"&amp;Y222)+1)</f>
        <v>0</v>
      </c>
      <c r="AA222" s="8">
        <f>IF(A222="","",IF(OR(U222&gt;0,AND(O222="Yes",X222&lt;2)),"Yes","No"))</f>
        <v>0</v>
      </c>
      <c r="AB222" s="8">
        <f>IF(OR(A222="",D222=""),"",S222*D222)</f>
        <v>0</v>
      </c>
      <c r="AC222" s="8">
        <f>IF(AB222="","",COUNTIFS($AB$5:$AB$304,"&gt;"&amp;AB222)+1)</f>
        <v>0</v>
      </c>
      <c r="AD222" s="8">
        <f>IF(A222="","",SUMIFS('Food Waste'!$E$5:$E$154,'Food Waste'!$C$5:$C$154,A222))</f>
        <v>0</v>
      </c>
      <c r="AE222" s="8">
        <f>IF(OR(A222="",AD222=0),"",COUNTIFS($AD$5:$AD$304,"&gt;"&amp;AD222)+1)</f>
        <v>0</v>
      </c>
      <c r="AF222" s="8">
        <f>IF(A222="","",IF(SUMPRODUCT(MAX(('Grocery Spending'!$E$5:$E$404=A222)*'Grocery Spending'!$A$5:$A$404))=0,"",SUMPRODUCT(MAX(('Grocery Spending'!$E$5:$E$404=A222)*'Grocery Spending'!$A$5:$A$404))))</f>
        <v>0</v>
      </c>
      <c r="AG222" s="8">
        <f>IF(OR(A222="",AF222=""),"",IFERROR(AVERAGEIFS('Grocery Spending'!$I$5:$I$404,'Grocery Spending'!$E$5:$E$404,A222,'Grocery Spending'!$A$5:$A$404,AF222),""))</f>
        <v>0</v>
      </c>
      <c r="AH222" s="8">
        <f>IF(A222="","",IFERROR(AVERAGEIFS('Grocery Spending'!$I$5:$I$404,'Grocery Spending'!$E$5:$E$404,A222),""))</f>
        <v>0</v>
      </c>
      <c r="AI222" s="8">
        <f>IF(A222="","",IF(SUMPRODUCT(MIN(('Grocery Spending'!$E$5:$E$404=A222)*'Grocery Spending'!$I$5:$I$404+('Grocery Spending'!$E$5:$E$404&lt;&gt;A222)*1000000))&gt;=1000000,"",SUMPRODUCT(MIN(('Grocery Spending'!$E$5:$E$404=A222)*'Grocery Spending'!$I$5:$I$404+('Grocery Spending'!$E$5:$E$404&lt;&gt;A222)*1000000))))</f>
        <v>0</v>
      </c>
      <c r="AJ222" s="8">
        <f>IF(A222="","",SUMPRODUCT(MAX(('Grocery Spending'!$E$5:$E$404=A222)*'Grocery Spending'!$I$5:$I$404)))</f>
        <v>0</v>
      </c>
      <c r="AK222" s="8">
        <f>IF(OR(A222="",AI222="",AJ222=0),"",AJ222-AI222)</f>
        <v>0</v>
      </c>
      <c r="AL222" s="8">
        <f>IF(OR(A222="",AG222="",AH222=""),"",AG222-AH222)</f>
        <v>0</v>
      </c>
      <c r="AM222" s="8">
        <f>IF(A222="","",IF(AL222="","",IF(AL222&gt;0.01,"Up",IF(AL222&lt;-0.01,"Down","Flat"))))</f>
        <v>0</v>
      </c>
      <c r="AN222" s="25"/>
    </row>
    <row r="223" spans="1:40">
      <c r="A223" s="7"/>
      <c r="B223" s="27"/>
      <c r="C223" s="27"/>
      <c r="D223" s="28"/>
      <c r="E223" s="27"/>
      <c r="F223" s="26"/>
      <c r="G223" s="8">
        <f>IF(OR(D223="",F223="",F223=0),"",D223/F223)</f>
        <v>0</v>
      </c>
      <c r="H223" s="26"/>
      <c r="I223" s="26"/>
      <c r="J223" s="26"/>
      <c r="K223" s="26"/>
      <c r="L223" s="26"/>
      <c r="M223" s="26"/>
      <c r="N223" s="27"/>
      <c r="O223" s="27"/>
      <c r="P223" s="27"/>
      <c r="Q223" s="27"/>
      <c r="R223" s="7"/>
      <c r="S223" s="8">
        <f>IF(A223="","",SUMIFS(Pantry!$C$5:$C$304,Pantry!$A$5:$A$304,A223))</f>
        <v>0</v>
      </c>
      <c r="T223" s="8">
        <f>IF(A223="","",COUNTIFS('Grocery List'!$A$5:$A$304,A223,'Grocery List'!$N$5:$N$304,"Yes"))</f>
        <v>0</v>
      </c>
      <c r="U223" s="8">
        <f>IF(A223="","",SUMIFS('Grocery List'!$M$5:$M$304,'Grocery List'!$A$5:$A$304,A223))</f>
        <v>0</v>
      </c>
      <c r="V223" s="8">
        <f>IF(A223="","",COUNTIFS('Recipe Ingredients'!$B$5:$B$1204,A223))</f>
        <v>0</v>
      </c>
      <c r="W223" s="8">
        <f>IF(A223="","",SUMIFS('Recipe Ingredients'!$C$5:$C$1204,'Recipe Ingredients'!$B$5:$B$1204,A223))</f>
        <v>0</v>
      </c>
      <c r="X223" s="8">
        <f>IF(A223="","",IF(U223&lt;=0,IF(S223&gt;0,99,0),ROUND(S223/U223,1)))</f>
        <v>0</v>
      </c>
      <c r="Y223" s="8">
        <f>IF(A223="","",U223*10+IF(O223="Yes",5,0)+IF(X223&lt;1,10,0)+IF(S223&lt;=0,3,0))</f>
        <v>0</v>
      </c>
      <c r="Z223" s="8">
        <f>IF(A223="","",COUNTIFS($Y$5:$Y$304,"&gt;"&amp;Y223)+1)</f>
        <v>0</v>
      </c>
      <c r="AA223" s="8">
        <f>IF(A223="","",IF(OR(U223&gt;0,AND(O223="Yes",X223&lt;2)),"Yes","No"))</f>
        <v>0</v>
      </c>
      <c r="AB223" s="8">
        <f>IF(OR(A223="",D223=""),"",S223*D223)</f>
        <v>0</v>
      </c>
      <c r="AC223" s="8">
        <f>IF(AB223="","",COUNTIFS($AB$5:$AB$304,"&gt;"&amp;AB223)+1)</f>
        <v>0</v>
      </c>
      <c r="AD223" s="8">
        <f>IF(A223="","",SUMIFS('Food Waste'!$E$5:$E$154,'Food Waste'!$C$5:$C$154,A223))</f>
        <v>0</v>
      </c>
      <c r="AE223" s="8">
        <f>IF(OR(A223="",AD223=0),"",COUNTIFS($AD$5:$AD$304,"&gt;"&amp;AD223)+1)</f>
        <v>0</v>
      </c>
      <c r="AF223" s="8">
        <f>IF(A223="","",IF(SUMPRODUCT(MAX(('Grocery Spending'!$E$5:$E$404=A223)*'Grocery Spending'!$A$5:$A$404))=0,"",SUMPRODUCT(MAX(('Grocery Spending'!$E$5:$E$404=A223)*'Grocery Spending'!$A$5:$A$404))))</f>
        <v>0</v>
      </c>
      <c r="AG223" s="8">
        <f>IF(OR(A223="",AF223=""),"",IFERROR(AVERAGEIFS('Grocery Spending'!$I$5:$I$404,'Grocery Spending'!$E$5:$E$404,A223,'Grocery Spending'!$A$5:$A$404,AF223),""))</f>
        <v>0</v>
      </c>
      <c r="AH223" s="8">
        <f>IF(A223="","",IFERROR(AVERAGEIFS('Grocery Spending'!$I$5:$I$404,'Grocery Spending'!$E$5:$E$404,A223),""))</f>
        <v>0</v>
      </c>
      <c r="AI223" s="8">
        <f>IF(A223="","",IF(SUMPRODUCT(MIN(('Grocery Spending'!$E$5:$E$404=A223)*'Grocery Spending'!$I$5:$I$404+('Grocery Spending'!$E$5:$E$404&lt;&gt;A223)*1000000))&gt;=1000000,"",SUMPRODUCT(MIN(('Grocery Spending'!$E$5:$E$404=A223)*'Grocery Spending'!$I$5:$I$404+('Grocery Spending'!$E$5:$E$404&lt;&gt;A223)*1000000))))</f>
        <v>0</v>
      </c>
      <c r="AJ223" s="8">
        <f>IF(A223="","",SUMPRODUCT(MAX(('Grocery Spending'!$E$5:$E$404=A223)*'Grocery Spending'!$I$5:$I$404)))</f>
        <v>0</v>
      </c>
      <c r="AK223" s="8">
        <f>IF(OR(A223="",AI223="",AJ223=0),"",AJ223-AI223)</f>
        <v>0</v>
      </c>
      <c r="AL223" s="8">
        <f>IF(OR(A223="",AG223="",AH223=""),"",AG223-AH223)</f>
        <v>0</v>
      </c>
      <c r="AM223" s="8">
        <f>IF(A223="","",IF(AL223="","",IF(AL223&gt;0.01,"Up",IF(AL223&lt;-0.01,"Down","Flat"))))</f>
        <v>0</v>
      </c>
      <c r="AN223" s="25"/>
    </row>
    <row r="224" spans="1:40">
      <c r="A224" s="7"/>
      <c r="B224" s="27"/>
      <c r="C224" s="27"/>
      <c r="D224" s="28"/>
      <c r="E224" s="27"/>
      <c r="F224" s="26"/>
      <c r="G224" s="8">
        <f>IF(OR(D224="",F224="",F224=0),"",D224/F224)</f>
        <v>0</v>
      </c>
      <c r="H224" s="26"/>
      <c r="I224" s="26"/>
      <c r="J224" s="26"/>
      <c r="K224" s="26"/>
      <c r="L224" s="26"/>
      <c r="M224" s="26"/>
      <c r="N224" s="27"/>
      <c r="O224" s="27"/>
      <c r="P224" s="27"/>
      <c r="Q224" s="27"/>
      <c r="R224" s="7"/>
      <c r="S224" s="8">
        <f>IF(A224="","",SUMIFS(Pantry!$C$5:$C$304,Pantry!$A$5:$A$304,A224))</f>
        <v>0</v>
      </c>
      <c r="T224" s="8">
        <f>IF(A224="","",COUNTIFS('Grocery List'!$A$5:$A$304,A224,'Grocery List'!$N$5:$N$304,"Yes"))</f>
        <v>0</v>
      </c>
      <c r="U224" s="8">
        <f>IF(A224="","",SUMIFS('Grocery List'!$M$5:$M$304,'Grocery List'!$A$5:$A$304,A224))</f>
        <v>0</v>
      </c>
      <c r="V224" s="8">
        <f>IF(A224="","",COUNTIFS('Recipe Ingredients'!$B$5:$B$1204,A224))</f>
        <v>0</v>
      </c>
      <c r="W224" s="8">
        <f>IF(A224="","",SUMIFS('Recipe Ingredients'!$C$5:$C$1204,'Recipe Ingredients'!$B$5:$B$1204,A224))</f>
        <v>0</v>
      </c>
      <c r="X224" s="8">
        <f>IF(A224="","",IF(U224&lt;=0,IF(S224&gt;0,99,0),ROUND(S224/U224,1)))</f>
        <v>0</v>
      </c>
      <c r="Y224" s="8">
        <f>IF(A224="","",U224*10+IF(O224="Yes",5,0)+IF(X224&lt;1,10,0)+IF(S224&lt;=0,3,0))</f>
        <v>0</v>
      </c>
      <c r="Z224" s="8">
        <f>IF(A224="","",COUNTIFS($Y$5:$Y$304,"&gt;"&amp;Y224)+1)</f>
        <v>0</v>
      </c>
      <c r="AA224" s="8">
        <f>IF(A224="","",IF(OR(U224&gt;0,AND(O224="Yes",X224&lt;2)),"Yes","No"))</f>
        <v>0</v>
      </c>
      <c r="AB224" s="8">
        <f>IF(OR(A224="",D224=""),"",S224*D224)</f>
        <v>0</v>
      </c>
      <c r="AC224" s="8">
        <f>IF(AB224="","",COUNTIFS($AB$5:$AB$304,"&gt;"&amp;AB224)+1)</f>
        <v>0</v>
      </c>
      <c r="AD224" s="8">
        <f>IF(A224="","",SUMIFS('Food Waste'!$E$5:$E$154,'Food Waste'!$C$5:$C$154,A224))</f>
        <v>0</v>
      </c>
      <c r="AE224" s="8">
        <f>IF(OR(A224="",AD224=0),"",COUNTIFS($AD$5:$AD$304,"&gt;"&amp;AD224)+1)</f>
        <v>0</v>
      </c>
      <c r="AF224" s="8">
        <f>IF(A224="","",IF(SUMPRODUCT(MAX(('Grocery Spending'!$E$5:$E$404=A224)*'Grocery Spending'!$A$5:$A$404))=0,"",SUMPRODUCT(MAX(('Grocery Spending'!$E$5:$E$404=A224)*'Grocery Spending'!$A$5:$A$404))))</f>
        <v>0</v>
      </c>
      <c r="AG224" s="8">
        <f>IF(OR(A224="",AF224=""),"",IFERROR(AVERAGEIFS('Grocery Spending'!$I$5:$I$404,'Grocery Spending'!$E$5:$E$404,A224,'Grocery Spending'!$A$5:$A$404,AF224),""))</f>
        <v>0</v>
      </c>
      <c r="AH224" s="8">
        <f>IF(A224="","",IFERROR(AVERAGEIFS('Grocery Spending'!$I$5:$I$404,'Grocery Spending'!$E$5:$E$404,A224),""))</f>
        <v>0</v>
      </c>
      <c r="AI224" s="8">
        <f>IF(A224="","",IF(SUMPRODUCT(MIN(('Grocery Spending'!$E$5:$E$404=A224)*'Grocery Spending'!$I$5:$I$404+('Grocery Spending'!$E$5:$E$404&lt;&gt;A224)*1000000))&gt;=1000000,"",SUMPRODUCT(MIN(('Grocery Spending'!$E$5:$E$404=A224)*'Grocery Spending'!$I$5:$I$404+('Grocery Spending'!$E$5:$E$404&lt;&gt;A224)*1000000))))</f>
        <v>0</v>
      </c>
      <c r="AJ224" s="8">
        <f>IF(A224="","",SUMPRODUCT(MAX(('Grocery Spending'!$E$5:$E$404=A224)*'Grocery Spending'!$I$5:$I$404)))</f>
        <v>0</v>
      </c>
      <c r="AK224" s="8">
        <f>IF(OR(A224="",AI224="",AJ224=0),"",AJ224-AI224)</f>
        <v>0</v>
      </c>
      <c r="AL224" s="8">
        <f>IF(OR(A224="",AG224="",AH224=""),"",AG224-AH224)</f>
        <v>0</v>
      </c>
      <c r="AM224" s="8">
        <f>IF(A224="","",IF(AL224="","",IF(AL224&gt;0.01,"Up",IF(AL224&lt;-0.01,"Down","Flat"))))</f>
        <v>0</v>
      </c>
      <c r="AN224" s="25"/>
    </row>
    <row r="225" spans="1:40">
      <c r="A225" s="7"/>
      <c r="B225" s="27"/>
      <c r="C225" s="27"/>
      <c r="D225" s="28"/>
      <c r="E225" s="27"/>
      <c r="F225" s="26"/>
      <c r="G225" s="8">
        <f>IF(OR(D225="",F225="",F225=0),"",D225/F225)</f>
        <v>0</v>
      </c>
      <c r="H225" s="26"/>
      <c r="I225" s="26"/>
      <c r="J225" s="26"/>
      <c r="K225" s="26"/>
      <c r="L225" s="26"/>
      <c r="M225" s="26"/>
      <c r="N225" s="27"/>
      <c r="O225" s="27"/>
      <c r="P225" s="27"/>
      <c r="Q225" s="27"/>
      <c r="R225" s="7"/>
      <c r="S225" s="8">
        <f>IF(A225="","",SUMIFS(Pantry!$C$5:$C$304,Pantry!$A$5:$A$304,A225))</f>
        <v>0</v>
      </c>
      <c r="T225" s="8">
        <f>IF(A225="","",COUNTIFS('Grocery List'!$A$5:$A$304,A225,'Grocery List'!$N$5:$N$304,"Yes"))</f>
        <v>0</v>
      </c>
      <c r="U225" s="8">
        <f>IF(A225="","",SUMIFS('Grocery List'!$M$5:$M$304,'Grocery List'!$A$5:$A$304,A225))</f>
        <v>0</v>
      </c>
      <c r="V225" s="8">
        <f>IF(A225="","",COUNTIFS('Recipe Ingredients'!$B$5:$B$1204,A225))</f>
        <v>0</v>
      </c>
      <c r="W225" s="8">
        <f>IF(A225="","",SUMIFS('Recipe Ingredients'!$C$5:$C$1204,'Recipe Ingredients'!$B$5:$B$1204,A225))</f>
        <v>0</v>
      </c>
      <c r="X225" s="8">
        <f>IF(A225="","",IF(U225&lt;=0,IF(S225&gt;0,99,0),ROUND(S225/U225,1)))</f>
        <v>0</v>
      </c>
      <c r="Y225" s="8">
        <f>IF(A225="","",U225*10+IF(O225="Yes",5,0)+IF(X225&lt;1,10,0)+IF(S225&lt;=0,3,0))</f>
        <v>0</v>
      </c>
      <c r="Z225" s="8">
        <f>IF(A225="","",COUNTIFS($Y$5:$Y$304,"&gt;"&amp;Y225)+1)</f>
        <v>0</v>
      </c>
      <c r="AA225" s="8">
        <f>IF(A225="","",IF(OR(U225&gt;0,AND(O225="Yes",X225&lt;2)),"Yes","No"))</f>
        <v>0</v>
      </c>
      <c r="AB225" s="8">
        <f>IF(OR(A225="",D225=""),"",S225*D225)</f>
        <v>0</v>
      </c>
      <c r="AC225" s="8">
        <f>IF(AB225="","",COUNTIFS($AB$5:$AB$304,"&gt;"&amp;AB225)+1)</f>
        <v>0</v>
      </c>
      <c r="AD225" s="8">
        <f>IF(A225="","",SUMIFS('Food Waste'!$E$5:$E$154,'Food Waste'!$C$5:$C$154,A225))</f>
        <v>0</v>
      </c>
      <c r="AE225" s="8">
        <f>IF(OR(A225="",AD225=0),"",COUNTIFS($AD$5:$AD$304,"&gt;"&amp;AD225)+1)</f>
        <v>0</v>
      </c>
      <c r="AF225" s="8">
        <f>IF(A225="","",IF(SUMPRODUCT(MAX(('Grocery Spending'!$E$5:$E$404=A225)*'Grocery Spending'!$A$5:$A$404))=0,"",SUMPRODUCT(MAX(('Grocery Spending'!$E$5:$E$404=A225)*'Grocery Spending'!$A$5:$A$404))))</f>
        <v>0</v>
      </c>
      <c r="AG225" s="8">
        <f>IF(OR(A225="",AF225=""),"",IFERROR(AVERAGEIFS('Grocery Spending'!$I$5:$I$404,'Grocery Spending'!$E$5:$E$404,A225,'Grocery Spending'!$A$5:$A$404,AF225),""))</f>
        <v>0</v>
      </c>
      <c r="AH225" s="8">
        <f>IF(A225="","",IFERROR(AVERAGEIFS('Grocery Spending'!$I$5:$I$404,'Grocery Spending'!$E$5:$E$404,A225),""))</f>
        <v>0</v>
      </c>
      <c r="AI225" s="8">
        <f>IF(A225="","",IF(SUMPRODUCT(MIN(('Grocery Spending'!$E$5:$E$404=A225)*'Grocery Spending'!$I$5:$I$404+('Grocery Spending'!$E$5:$E$404&lt;&gt;A225)*1000000))&gt;=1000000,"",SUMPRODUCT(MIN(('Grocery Spending'!$E$5:$E$404=A225)*'Grocery Spending'!$I$5:$I$404+('Grocery Spending'!$E$5:$E$404&lt;&gt;A225)*1000000))))</f>
        <v>0</v>
      </c>
      <c r="AJ225" s="8">
        <f>IF(A225="","",SUMPRODUCT(MAX(('Grocery Spending'!$E$5:$E$404=A225)*'Grocery Spending'!$I$5:$I$404)))</f>
        <v>0</v>
      </c>
      <c r="AK225" s="8">
        <f>IF(OR(A225="",AI225="",AJ225=0),"",AJ225-AI225)</f>
        <v>0</v>
      </c>
      <c r="AL225" s="8">
        <f>IF(OR(A225="",AG225="",AH225=""),"",AG225-AH225)</f>
        <v>0</v>
      </c>
      <c r="AM225" s="8">
        <f>IF(A225="","",IF(AL225="","",IF(AL225&gt;0.01,"Up",IF(AL225&lt;-0.01,"Down","Flat"))))</f>
        <v>0</v>
      </c>
      <c r="AN225" s="25"/>
    </row>
    <row r="226" spans="1:40">
      <c r="A226" s="7"/>
      <c r="B226" s="27"/>
      <c r="C226" s="27"/>
      <c r="D226" s="28"/>
      <c r="E226" s="27"/>
      <c r="F226" s="26"/>
      <c r="G226" s="8">
        <f>IF(OR(D226="",F226="",F226=0),"",D226/F226)</f>
        <v>0</v>
      </c>
      <c r="H226" s="26"/>
      <c r="I226" s="26"/>
      <c r="J226" s="26"/>
      <c r="K226" s="26"/>
      <c r="L226" s="26"/>
      <c r="M226" s="26"/>
      <c r="N226" s="27"/>
      <c r="O226" s="27"/>
      <c r="P226" s="27"/>
      <c r="Q226" s="27"/>
      <c r="R226" s="7"/>
      <c r="S226" s="8">
        <f>IF(A226="","",SUMIFS(Pantry!$C$5:$C$304,Pantry!$A$5:$A$304,A226))</f>
        <v>0</v>
      </c>
      <c r="T226" s="8">
        <f>IF(A226="","",COUNTIFS('Grocery List'!$A$5:$A$304,A226,'Grocery List'!$N$5:$N$304,"Yes"))</f>
        <v>0</v>
      </c>
      <c r="U226" s="8">
        <f>IF(A226="","",SUMIFS('Grocery List'!$M$5:$M$304,'Grocery List'!$A$5:$A$304,A226))</f>
        <v>0</v>
      </c>
      <c r="V226" s="8">
        <f>IF(A226="","",COUNTIFS('Recipe Ingredients'!$B$5:$B$1204,A226))</f>
        <v>0</v>
      </c>
      <c r="W226" s="8">
        <f>IF(A226="","",SUMIFS('Recipe Ingredients'!$C$5:$C$1204,'Recipe Ingredients'!$B$5:$B$1204,A226))</f>
        <v>0</v>
      </c>
      <c r="X226" s="8">
        <f>IF(A226="","",IF(U226&lt;=0,IF(S226&gt;0,99,0),ROUND(S226/U226,1)))</f>
        <v>0</v>
      </c>
      <c r="Y226" s="8">
        <f>IF(A226="","",U226*10+IF(O226="Yes",5,0)+IF(X226&lt;1,10,0)+IF(S226&lt;=0,3,0))</f>
        <v>0</v>
      </c>
      <c r="Z226" s="8">
        <f>IF(A226="","",COUNTIFS($Y$5:$Y$304,"&gt;"&amp;Y226)+1)</f>
        <v>0</v>
      </c>
      <c r="AA226" s="8">
        <f>IF(A226="","",IF(OR(U226&gt;0,AND(O226="Yes",X226&lt;2)),"Yes","No"))</f>
        <v>0</v>
      </c>
      <c r="AB226" s="8">
        <f>IF(OR(A226="",D226=""),"",S226*D226)</f>
        <v>0</v>
      </c>
      <c r="AC226" s="8">
        <f>IF(AB226="","",COUNTIFS($AB$5:$AB$304,"&gt;"&amp;AB226)+1)</f>
        <v>0</v>
      </c>
      <c r="AD226" s="8">
        <f>IF(A226="","",SUMIFS('Food Waste'!$E$5:$E$154,'Food Waste'!$C$5:$C$154,A226))</f>
        <v>0</v>
      </c>
      <c r="AE226" s="8">
        <f>IF(OR(A226="",AD226=0),"",COUNTIFS($AD$5:$AD$304,"&gt;"&amp;AD226)+1)</f>
        <v>0</v>
      </c>
      <c r="AF226" s="8">
        <f>IF(A226="","",IF(SUMPRODUCT(MAX(('Grocery Spending'!$E$5:$E$404=A226)*'Grocery Spending'!$A$5:$A$404))=0,"",SUMPRODUCT(MAX(('Grocery Spending'!$E$5:$E$404=A226)*'Grocery Spending'!$A$5:$A$404))))</f>
        <v>0</v>
      </c>
      <c r="AG226" s="8">
        <f>IF(OR(A226="",AF226=""),"",IFERROR(AVERAGEIFS('Grocery Spending'!$I$5:$I$404,'Grocery Spending'!$E$5:$E$404,A226,'Grocery Spending'!$A$5:$A$404,AF226),""))</f>
        <v>0</v>
      </c>
      <c r="AH226" s="8">
        <f>IF(A226="","",IFERROR(AVERAGEIFS('Grocery Spending'!$I$5:$I$404,'Grocery Spending'!$E$5:$E$404,A226),""))</f>
        <v>0</v>
      </c>
      <c r="AI226" s="8">
        <f>IF(A226="","",IF(SUMPRODUCT(MIN(('Grocery Spending'!$E$5:$E$404=A226)*'Grocery Spending'!$I$5:$I$404+('Grocery Spending'!$E$5:$E$404&lt;&gt;A226)*1000000))&gt;=1000000,"",SUMPRODUCT(MIN(('Grocery Spending'!$E$5:$E$404=A226)*'Grocery Spending'!$I$5:$I$404+('Grocery Spending'!$E$5:$E$404&lt;&gt;A226)*1000000))))</f>
        <v>0</v>
      </c>
      <c r="AJ226" s="8">
        <f>IF(A226="","",SUMPRODUCT(MAX(('Grocery Spending'!$E$5:$E$404=A226)*'Grocery Spending'!$I$5:$I$404)))</f>
        <v>0</v>
      </c>
      <c r="AK226" s="8">
        <f>IF(OR(A226="",AI226="",AJ226=0),"",AJ226-AI226)</f>
        <v>0</v>
      </c>
      <c r="AL226" s="8">
        <f>IF(OR(A226="",AG226="",AH226=""),"",AG226-AH226)</f>
        <v>0</v>
      </c>
      <c r="AM226" s="8">
        <f>IF(A226="","",IF(AL226="","",IF(AL226&gt;0.01,"Up",IF(AL226&lt;-0.01,"Down","Flat"))))</f>
        <v>0</v>
      </c>
      <c r="AN226" s="25"/>
    </row>
    <row r="227" spans="1:40">
      <c r="A227" s="7"/>
      <c r="B227" s="27"/>
      <c r="C227" s="27"/>
      <c r="D227" s="28"/>
      <c r="E227" s="27"/>
      <c r="F227" s="26"/>
      <c r="G227" s="8">
        <f>IF(OR(D227="",F227="",F227=0),"",D227/F227)</f>
        <v>0</v>
      </c>
      <c r="H227" s="26"/>
      <c r="I227" s="26"/>
      <c r="J227" s="26"/>
      <c r="K227" s="26"/>
      <c r="L227" s="26"/>
      <c r="M227" s="26"/>
      <c r="N227" s="27"/>
      <c r="O227" s="27"/>
      <c r="P227" s="27"/>
      <c r="Q227" s="27"/>
      <c r="R227" s="7"/>
      <c r="S227" s="8">
        <f>IF(A227="","",SUMIFS(Pantry!$C$5:$C$304,Pantry!$A$5:$A$304,A227))</f>
        <v>0</v>
      </c>
      <c r="T227" s="8">
        <f>IF(A227="","",COUNTIFS('Grocery List'!$A$5:$A$304,A227,'Grocery List'!$N$5:$N$304,"Yes"))</f>
        <v>0</v>
      </c>
      <c r="U227" s="8">
        <f>IF(A227="","",SUMIFS('Grocery List'!$M$5:$M$304,'Grocery List'!$A$5:$A$304,A227))</f>
        <v>0</v>
      </c>
      <c r="V227" s="8">
        <f>IF(A227="","",COUNTIFS('Recipe Ingredients'!$B$5:$B$1204,A227))</f>
        <v>0</v>
      </c>
      <c r="W227" s="8">
        <f>IF(A227="","",SUMIFS('Recipe Ingredients'!$C$5:$C$1204,'Recipe Ingredients'!$B$5:$B$1204,A227))</f>
        <v>0</v>
      </c>
      <c r="X227" s="8">
        <f>IF(A227="","",IF(U227&lt;=0,IF(S227&gt;0,99,0),ROUND(S227/U227,1)))</f>
        <v>0</v>
      </c>
      <c r="Y227" s="8">
        <f>IF(A227="","",U227*10+IF(O227="Yes",5,0)+IF(X227&lt;1,10,0)+IF(S227&lt;=0,3,0))</f>
        <v>0</v>
      </c>
      <c r="Z227" s="8">
        <f>IF(A227="","",COUNTIFS($Y$5:$Y$304,"&gt;"&amp;Y227)+1)</f>
        <v>0</v>
      </c>
      <c r="AA227" s="8">
        <f>IF(A227="","",IF(OR(U227&gt;0,AND(O227="Yes",X227&lt;2)),"Yes","No"))</f>
        <v>0</v>
      </c>
      <c r="AB227" s="8">
        <f>IF(OR(A227="",D227=""),"",S227*D227)</f>
        <v>0</v>
      </c>
      <c r="AC227" s="8">
        <f>IF(AB227="","",COUNTIFS($AB$5:$AB$304,"&gt;"&amp;AB227)+1)</f>
        <v>0</v>
      </c>
      <c r="AD227" s="8">
        <f>IF(A227="","",SUMIFS('Food Waste'!$E$5:$E$154,'Food Waste'!$C$5:$C$154,A227))</f>
        <v>0</v>
      </c>
      <c r="AE227" s="8">
        <f>IF(OR(A227="",AD227=0),"",COUNTIFS($AD$5:$AD$304,"&gt;"&amp;AD227)+1)</f>
        <v>0</v>
      </c>
      <c r="AF227" s="8">
        <f>IF(A227="","",IF(SUMPRODUCT(MAX(('Grocery Spending'!$E$5:$E$404=A227)*'Grocery Spending'!$A$5:$A$404))=0,"",SUMPRODUCT(MAX(('Grocery Spending'!$E$5:$E$404=A227)*'Grocery Spending'!$A$5:$A$404))))</f>
        <v>0</v>
      </c>
      <c r="AG227" s="8">
        <f>IF(OR(A227="",AF227=""),"",IFERROR(AVERAGEIFS('Grocery Spending'!$I$5:$I$404,'Grocery Spending'!$E$5:$E$404,A227,'Grocery Spending'!$A$5:$A$404,AF227),""))</f>
        <v>0</v>
      </c>
      <c r="AH227" s="8">
        <f>IF(A227="","",IFERROR(AVERAGEIFS('Grocery Spending'!$I$5:$I$404,'Grocery Spending'!$E$5:$E$404,A227),""))</f>
        <v>0</v>
      </c>
      <c r="AI227" s="8">
        <f>IF(A227="","",IF(SUMPRODUCT(MIN(('Grocery Spending'!$E$5:$E$404=A227)*'Grocery Spending'!$I$5:$I$404+('Grocery Spending'!$E$5:$E$404&lt;&gt;A227)*1000000))&gt;=1000000,"",SUMPRODUCT(MIN(('Grocery Spending'!$E$5:$E$404=A227)*'Grocery Spending'!$I$5:$I$404+('Grocery Spending'!$E$5:$E$404&lt;&gt;A227)*1000000))))</f>
        <v>0</v>
      </c>
      <c r="AJ227" s="8">
        <f>IF(A227="","",SUMPRODUCT(MAX(('Grocery Spending'!$E$5:$E$404=A227)*'Grocery Spending'!$I$5:$I$404)))</f>
        <v>0</v>
      </c>
      <c r="AK227" s="8">
        <f>IF(OR(A227="",AI227="",AJ227=0),"",AJ227-AI227)</f>
        <v>0</v>
      </c>
      <c r="AL227" s="8">
        <f>IF(OR(A227="",AG227="",AH227=""),"",AG227-AH227)</f>
        <v>0</v>
      </c>
      <c r="AM227" s="8">
        <f>IF(A227="","",IF(AL227="","",IF(AL227&gt;0.01,"Up",IF(AL227&lt;-0.01,"Down","Flat"))))</f>
        <v>0</v>
      </c>
      <c r="AN227" s="25"/>
    </row>
    <row r="228" spans="1:40">
      <c r="A228" s="7"/>
      <c r="B228" s="27"/>
      <c r="C228" s="27"/>
      <c r="D228" s="28"/>
      <c r="E228" s="27"/>
      <c r="F228" s="26"/>
      <c r="G228" s="8">
        <f>IF(OR(D228="",F228="",F228=0),"",D228/F228)</f>
        <v>0</v>
      </c>
      <c r="H228" s="26"/>
      <c r="I228" s="26"/>
      <c r="J228" s="26"/>
      <c r="K228" s="26"/>
      <c r="L228" s="26"/>
      <c r="M228" s="26"/>
      <c r="N228" s="27"/>
      <c r="O228" s="27"/>
      <c r="P228" s="27"/>
      <c r="Q228" s="27"/>
      <c r="R228" s="7"/>
      <c r="S228" s="8">
        <f>IF(A228="","",SUMIFS(Pantry!$C$5:$C$304,Pantry!$A$5:$A$304,A228))</f>
        <v>0</v>
      </c>
      <c r="T228" s="8">
        <f>IF(A228="","",COUNTIFS('Grocery List'!$A$5:$A$304,A228,'Grocery List'!$N$5:$N$304,"Yes"))</f>
        <v>0</v>
      </c>
      <c r="U228" s="8">
        <f>IF(A228="","",SUMIFS('Grocery List'!$M$5:$M$304,'Grocery List'!$A$5:$A$304,A228))</f>
        <v>0</v>
      </c>
      <c r="V228" s="8">
        <f>IF(A228="","",COUNTIFS('Recipe Ingredients'!$B$5:$B$1204,A228))</f>
        <v>0</v>
      </c>
      <c r="W228" s="8">
        <f>IF(A228="","",SUMIFS('Recipe Ingredients'!$C$5:$C$1204,'Recipe Ingredients'!$B$5:$B$1204,A228))</f>
        <v>0</v>
      </c>
      <c r="X228" s="8">
        <f>IF(A228="","",IF(U228&lt;=0,IF(S228&gt;0,99,0),ROUND(S228/U228,1)))</f>
        <v>0</v>
      </c>
      <c r="Y228" s="8">
        <f>IF(A228="","",U228*10+IF(O228="Yes",5,0)+IF(X228&lt;1,10,0)+IF(S228&lt;=0,3,0))</f>
        <v>0</v>
      </c>
      <c r="Z228" s="8">
        <f>IF(A228="","",COUNTIFS($Y$5:$Y$304,"&gt;"&amp;Y228)+1)</f>
        <v>0</v>
      </c>
      <c r="AA228" s="8">
        <f>IF(A228="","",IF(OR(U228&gt;0,AND(O228="Yes",X228&lt;2)),"Yes","No"))</f>
        <v>0</v>
      </c>
      <c r="AB228" s="8">
        <f>IF(OR(A228="",D228=""),"",S228*D228)</f>
        <v>0</v>
      </c>
      <c r="AC228" s="8">
        <f>IF(AB228="","",COUNTIFS($AB$5:$AB$304,"&gt;"&amp;AB228)+1)</f>
        <v>0</v>
      </c>
      <c r="AD228" s="8">
        <f>IF(A228="","",SUMIFS('Food Waste'!$E$5:$E$154,'Food Waste'!$C$5:$C$154,A228))</f>
        <v>0</v>
      </c>
      <c r="AE228" s="8">
        <f>IF(OR(A228="",AD228=0),"",COUNTIFS($AD$5:$AD$304,"&gt;"&amp;AD228)+1)</f>
        <v>0</v>
      </c>
      <c r="AF228" s="8">
        <f>IF(A228="","",IF(SUMPRODUCT(MAX(('Grocery Spending'!$E$5:$E$404=A228)*'Grocery Spending'!$A$5:$A$404))=0,"",SUMPRODUCT(MAX(('Grocery Spending'!$E$5:$E$404=A228)*'Grocery Spending'!$A$5:$A$404))))</f>
        <v>0</v>
      </c>
      <c r="AG228" s="8">
        <f>IF(OR(A228="",AF228=""),"",IFERROR(AVERAGEIFS('Grocery Spending'!$I$5:$I$404,'Grocery Spending'!$E$5:$E$404,A228,'Grocery Spending'!$A$5:$A$404,AF228),""))</f>
        <v>0</v>
      </c>
      <c r="AH228" s="8">
        <f>IF(A228="","",IFERROR(AVERAGEIFS('Grocery Spending'!$I$5:$I$404,'Grocery Spending'!$E$5:$E$404,A228),""))</f>
        <v>0</v>
      </c>
      <c r="AI228" s="8">
        <f>IF(A228="","",IF(SUMPRODUCT(MIN(('Grocery Spending'!$E$5:$E$404=A228)*'Grocery Spending'!$I$5:$I$404+('Grocery Spending'!$E$5:$E$404&lt;&gt;A228)*1000000))&gt;=1000000,"",SUMPRODUCT(MIN(('Grocery Spending'!$E$5:$E$404=A228)*'Grocery Spending'!$I$5:$I$404+('Grocery Spending'!$E$5:$E$404&lt;&gt;A228)*1000000))))</f>
        <v>0</v>
      </c>
      <c r="AJ228" s="8">
        <f>IF(A228="","",SUMPRODUCT(MAX(('Grocery Spending'!$E$5:$E$404=A228)*'Grocery Spending'!$I$5:$I$404)))</f>
        <v>0</v>
      </c>
      <c r="AK228" s="8">
        <f>IF(OR(A228="",AI228="",AJ228=0),"",AJ228-AI228)</f>
        <v>0</v>
      </c>
      <c r="AL228" s="8">
        <f>IF(OR(A228="",AG228="",AH228=""),"",AG228-AH228)</f>
        <v>0</v>
      </c>
      <c r="AM228" s="8">
        <f>IF(A228="","",IF(AL228="","",IF(AL228&gt;0.01,"Up",IF(AL228&lt;-0.01,"Down","Flat"))))</f>
        <v>0</v>
      </c>
      <c r="AN228" s="25"/>
    </row>
    <row r="229" spans="1:40">
      <c r="A229" s="7"/>
      <c r="B229" s="27"/>
      <c r="C229" s="27"/>
      <c r="D229" s="28"/>
      <c r="E229" s="27"/>
      <c r="F229" s="26"/>
      <c r="G229" s="8">
        <f>IF(OR(D229="",F229="",F229=0),"",D229/F229)</f>
        <v>0</v>
      </c>
      <c r="H229" s="26"/>
      <c r="I229" s="26"/>
      <c r="J229" s="26"/>
      <c r="K229" s="26"/>
      <c r="L229" s="26"/>
      <c r="M229" s="26"/>
      <c r="N229" s="27"/>
      <c r="O229" s="27"/>
      <c r="P229" s="27"/>
      <c r="Q229" s="27"/>
      <c r="R229" s="7"/>
      <c r="S229" s="8">
        <f>IF(A229="","",SUMIFS(Pantry!$C$5:$C$304,Pantry!$A$5:$A$304,A229))</f>
        <v>0</v>
      </c>
      <c r="T229" s="8">
        <f>IF(A229="","",COUNTIFS('Grocery List'!$A$5:$A$304,A229,'Grocery List'!$N$5:$N$304,"Yes"))</f>
        <v>0</v>
      </c>
      <c r="U229" s="8">
        <f>IF(A229="","",SUMIFS('Grocery List'!$M$5:$M$304,'Grocery List'!$A$5:$A$304,A229))</f>
        <v>0</v>
      </c>
      <c r="V229" s="8">
        <f>IF(A229="","",COUNTIFS('Recipe Ingredients'!$B$5:$B$1204,A229))</f>
        <v>0</v>
      </c>
      <c r="W229" s="8">
        <f>IF(A229="","",SUMIFS('Recipe Ingredients'!$C$5:$C$1204,'Recipe Ingredients'!$B$5:$B$1204,A229))</f>
        <v>0</v>
      </c>
      <c r="X229" s="8">
        <f>IF(A229="","",IF(U229&lt;=0,IF(S229&gt;0,99,0),ROUND(S229/U229,1)))</f>
        <v>0</v>
      </c>
      <c r="Y229" s="8">
        <f>IF(A229="","",U229*10+IF(O229="Yes",5,0)+IF(X229&lt;1,10,0)+IF(S229&lt;=0,3,0))</f>
        <v>0</v>
      </c>
      <c r="Z229" s="8">
        <f>IF(A229="","",COUNTIFS($Y$5:$Y$304,"&gt;"&amp;Y229)+1)</f>
        <v>0</v>
      </c>
      <c r="AA229" s="8">
        <f>IF(A229="","",IF(OR(U229&gt;0,AND(O229="Yes",X229&lt;2)),"Yes","No"))</f>
        <v>0</v>
      </c>
      <c r="AB229" s="8">
        <f>IF(OR(A229="",D229=""),"",S229*D229)</f>
        <v>0</v>
      </c>
      <c r="AC229" s="8">
        <f>IF(AB229="","",COUNTIFS($AB$5:$AB$304,"&gt;"&amp;AB229)+1)</f>
        <v>0</v>
      </c>
      <c r="AD229" s="8">
        <f>IF(A229="","",SUMIFS('Food Waste'!$E$5:$E$154,'Food Waste'!$C$5:$C$154,A229))</f>
        <v>0</v>
      </c>
      <c r="AE229" s="8">
        <f>IF(OR(A229="",AD229=0),"",COUNTIFS($AD$5:$AD$304,"&gt;"&amp;AD229)+1)</f>
        <v>0</v>
      </c>
      <c r="AF229" s="8">
        <f>IF(A229="","",IF(SUMPRODUCT(MAX(('Grocery Spending'!$E$5:$E$404=A229)*'Grocery Spending'!$A$5:$A$404))=0,"",SUMPRODUCT(MAX(('Grocery Spending'!$E$5:$E$404=A229)*'Grocery Spending'!$A$5:$A$404))))</f>
        <v>0</v>
      </c>
      <c r="AG229" s="8">
        <f>IF(OR(A229="",AF229=""),"",IFERROR(AVERAGEIFS('Grocery Spending'!$I$5:$I$404,'Grocery Spending'!$E$5:$E$404,A229,'Grocery Spending'!$A$5:$A$404,AF229),""))</f>
        <v>0</v>
      </c>
      <c r="AH229" s="8">
        <f>IF(A229="","",IFERROR(AVERAGEIFS('Grocery Spending'!$I$5:$I$404,'Grocery Spending'!$E$5:$E$404,A229),""))</f>
        <v>0</v>
      </c>
      <c r="AI229" s="8">
        <f>IF(A229="","",IF(SUMPRODUCT(MIN(('Grocery Spending'!$E$5:$E$404=A229)*'Grocery Spending'!$I$5:$I$404+('Grocery Spending'!$E$5:$E$404&lt;&gt;A229)*1000000))&gt;=1000000,"",SUMPRODUCT(MIN(('Grocery Spending'!$E$5:$E$404=A229)*'Grocery Spending'!$I$5:$I$404+('Grocery Spending'!$E$5:$E$404&lt;&gt;A229)*1000000))))</f>
        <v>0</v>
      </c>
      <c r="AJ229" s="8">
        <f>IF(A229="","",SUMPRODUCT(MAX(('Grocery Spending'!$E$5:$E$404=A229)*'Grocery Spending'!$I$5:$I$404)))</f>
        <v>0</v>
      </c>
      <c r="AK229" s="8">
        <f>IF(OR(A229="",AI229="",AJ229=0),"",AJ229-AI229)</f>
        <v>0</v>
      </c>
      <c r="AL229" s="8">
        <f>IF(OR(A229="",AG229="",AH229=""),"",AG229-AH229)</f>
        <v>0</v>
      </c>
      <c r="AM229" s="8">
        <f>IF(A229="","",IF(AL229="","",IF(AL229&gt;0.01,"Up",IF(AL229&lt;-0.01,"Down","Flat"))))</f>
        <v>0</v>
      </c>
      <c r="AN229" s="25"/>
    </row>
    <row r="230" spans="1:40">
      <c r="A230" s="7"/>
      <c r="B230" s="27"/>
      <c r="C230" s="27"/>
      <c r="D230" s="28"/>
      <c r="E230" s="27"/>
      <c r="F230" s="26"/>
      <c r="G230" s="8">
        <f>IF(OR(D230="",F230="",F230=0),"",D230/F230)</f>
        <v>0</v>
      </c>
      <c r="H230" s="26"/>
      <c r="I230" s="26"/>
      <c r="J230" s="26"/>
      <c r="K230" s="26"/>
      <c r="L230" s="26"/>
      <c r="M230" s="26"/>
      <c r="N230" s="27"/>
      <c r="O230" s="27"/>
      <c r="P230" s="27"/>
      <c r="Q230" s="27"/>
      <c r="R230" s="7"/>
      <c r="S230" s="8">
        <f>IF(A230="","",SUMIFS(Pantry!$C$5:$C$304,Pantry!$A$5:$A$304,A230))</f>
        <v>0</v>
      </c>
      <c r="T230" s="8">
        <f>IF(A230="","",COUNTIFS('Grocery List'!$A$5:$A$304,A230,'Grocery List'!$N$5:$N$304,"Yes"))</f>
        <v>0</v>
      </c>
      <c r="U230" s="8">
        <f>IF(A230="","",SUMIFS('Grocery List'!$M$5:$M$304,'Grocery List'!$A$5:$A$304,A230))</f>
        <v>0</v>
      </c>
      <c r="V230" s="8">
        <f>IF(A230="","",COUNTIFS('Recipe Ingredients'!$B$5:$B$1204,A230))</f>
        <v>0</v>
      </c>
      <c r="W230" s="8">
        <f>IF(A230="","",SUMIFS('Recipe Ingredients'!$C$5:$C$1204,'Recipe Ingredients'!$B$5:$B$1204,A230))</f>
        <v>0</v>
      </c>
      <c r="X230" s="8">
        <f>IF(A230="","",IF(U230&lt;=0,IF(S230&gt;0,99,0),ROUND(S230/U230,1)))</f>
        <v>0</v>
      </c>
      <c r="Y230" s="8">
        <f>IF(A230="","",U230*10+IF(O230="Yes",5,0)+IF(X230&lt;1,10,0)+IF(S230&lt;=0,3,0))</f>
        <v>0</v>
      </c>
      <c r="Z230" s="8">
        <f>IF(A230="","",COUNTIFS($Y$5:$Y$304,"&gt;"&amp;Y230)+1)</f>
        <v>0</v>
      </c>
      <c r="AA230" s="8">
        <f>IF(A230="","",IF(OR(U230&gt;0,AND(O230="Yes",X230&lt;2)),"Yes","No"))</f>
        <v>0</v>
      </c>
      <c r="AB230" s="8">
        <f>IF(OR(A230="",D230=""),"",S230*D230)</f>
        <v>0</v>
      </c>
      <c r="AC230" s="8">
        <f>IF(AB230="","",COUNTIFS($AB$5:$AB$304,"&gt;"&amp;AB230)+1)</f>
        <v>0</v>
      </c>
      <c r="AD230" s="8">
        <f>IF(A230="","",SUMIFS('Food Waste'!$E$5:$E$154,'Food Waste'!$C$5:$C$154,A230))</f>
        <v>0</v>
      </c>
      <c r="AE230" s="8">
        <f>IF(OR(A230="",AD230=0),"",COUNTIFS($AD$5:$AD$304,"&gt;"&amp;AD230)+1)</f>
        <v>0</v>
      </c>
      <c r="AF230" s="8">
        <f>IF(A230="","",IF(SUMPRODUCT(MAX(('Grocery Spending'!$E$5:$E$404=A230)*'Grocery Spending'!$A$5:$A$404))=0,"",SUMPRODUCT(MAX(('Grocery Spending'!$E$5:$E$404=A230)*'Grocery Spending'!$A$5:$A$404))))</f>
        <v>0</v>
      </c>
      <c r="AG230" s="8">
        <f>IF(OR(A230="",AF230=""),"",IFERROR(AVERAGEIFS('Grocery Spending'!$I$5:$I$404,'Grocery Spending'!$E$5:$E$404,A230,'Grocery Spending'!$A$5:$A$404,AF230),""))</f>
        <v>0</v>
      </c>
      <c r="AH230" s="8">
        <f>IF(A230="","",IFERROR(AVERAGEIFS('Grocery Spending'!$I$5:$I$404,'Grocery Spending'!$E$5:$E$404,A230),""))</f>
        <v>0</v>
      </c>
      <c r="AI230" s="8">
        <f>IF(A230="","",IF(SUMPRODUCT(MIN(('Grocery Spending'!$E$5:$E$404=A230)*'Grocery Spending'!$I$5:$I$404+('Grocery Spending'!$E$5:$E$404&lt;&gt;A230)*1000000))&gt;=1000000,"",SUMPRODUCT(MIN(('Grocery Spending'!$E$5:$E$404=A230)*'Grocery Spending'!$I$5:$I$404+('Grocery Spending'!$E$5:$E$404&lt;&gt;A230)*1000000))))</f>
        <v>0</v>
      </c>
      <c r="AJ230" s="8">
        <f>IF(A230="","",SUMPRODUCT(MAX(('Grocery Spending'!$E$5:$E$404=A230)*'Grocery Spending'!$I$5:$I$404)))</f>
        <v>0</v>
      </c>
      <c r="AK230" s="8">
        <f>IF(OR(A230="",AI230="",AJ230=0),"",AJ230-AI230)</f>
        <v>0</v>
      </c>
      <c r="AL230" s="8">
        <f>IF(OR(A230="",AG230="",AH230=""),"",AG230-AH230)</f>
        <v>0</v>
      </c>
      <c r="AM230" s="8">
        <f>IF(A230="","",IF(AL230="","",IF(AL230&gt;0.01,"Up",IF(AL230&lt;-0.01,"Down","Flat"))))</f>
        <v>0</v>
      </c>
      <c r="AN230" s="25"/>
    </row>
    <row r="231" spans="1:40">
      <c r="A231" s="7"/>
      <c r="B231" s="27"/>
      <c r="C231" s="27"/>
      <c r="D231" s="28"/>
      <c r="E231" s="27"/>
      <c r="F231" s="26"/>
      <c r="G231" s="8">
        <f>IF(OR(D231="",F231="",F231=0),"",D231/F231)</f>
        <v>0</v>
      </c>
      <c r="H231" s="26"/>
      <c r="I231" s="26"/>
      <c r="J231" s="26"/>
      <c r="K231" s="26"/>
      <c r="L231" s="26"/>
      <c r="M231" s="26"/>
      <c r="N231" s="27"/>
      <c r="O231" s="27"/>
      <c r="P231" s="27"/>
      <c r="Q231" s="27"/>
      <c r="R231" s="7"/>
      <c r="S231" s="8">
        <f>IF(A231="","",SUMIFS(Pantry!$C$5:$C$304,Pantry!$A$5:$A$304,A231))</f>
        <v>0</v>
      </c>
      <c r="T231" s="8">
        <f>IF(A231="","",COUNTIFS('Grocery List'!$A$5:$A$304,A231,'Grocery List'!$N$5:$N$304,"Yes"))</f>
        <v>0</v>
      </c>
      <c r="U231" s="8">
        <f>IF(A231="","",SUMIFS('Grocery List'!$M$5:$M$304,'Grocery List'!$A$5:$A$304,A231))</f>
        <v>0</v>
      </c>
      <c r="V231" s="8">
        <f>IF(A231="","",COUNTIFS('Recipe Ingredients'!$B$5:$B$1204,A231))</f>
        <v>0</v>
      </c>
      <c r="W231" s="8">
        <f>IF(A231="","",SUMIFS('Recipe Ingredients'!$C$5:$C$1204,'Recipe Ingredients'!$B$5:$B$1204,A231))</f>
        <v>0</v>
      </c>
      <c r="X231" s="8">
        <f>IF(A231="","",IF(U231&lt;=0,IF(S231&gt;0,99,0),ROUND(S231/U231,1)))</f>
        <v>0</v>
      </c>
      <c r="Y231" s="8">
        <f>IF(A231="","",U231*10+IF(O231="Yes",5,0)+IF(X231&lt;1,10,0)+IF(S231&lt;=0,3,0))</f>
        <v>0</v>
      </c>
      <c r="Z231" s="8">
        <f>IF(A231="","",COUNTIFS($Y$5:$Y$304,"&gt;"&amp;Y231)+1)</f>
        <v>0</v>
      </c>
      <c r="AA231" s="8">
        <f>IF(A231="","",IF(OR(U231&gt;0,AND(O231="Yes",X231&lt;2)),"Yes","No"))</f>
        <v>0</v>
      </c>
      <c r="AB231" s="8">
        <f>IF(OR(A231="",D231=""),"",S231*D231)</f>
        <v>0</v>
      </c>
      <c r="AC231" s="8">
        <f>IF(AB231="","",COUNTIFS($AB$5:$AB$304,"&gt;"&amp;AB231)+1)</f>
        <v>0</v>
      </c>
      <c r="AD231" s="8">
        <f>IF(A231="","",SUMIFS('Food Waste'!$E$5:$E$154,'Food Waste'!$C$5:$C$154,A231))</f>
        <v>0</v>
      </c>
      <c r="AE231" s="8">
        <f>IF(OR(A231="",AD231=0),"",COUNTIFS($AD$5:$AD$304,"&gt;"&amp;AD231)+1)</f>
        <v>0</v>
      </c>
      <c r="AF231" s="8">
        <f>IF(A231="","",IF(SUMPRODUCT(MAX(('Grocery Spending'!$E$5:$E$404=A231)*'Grocery Spending'!$A$5:$A$404))=0,"",SUMPRODUCT(MAX(('Grocery Spending'!$E$5:$E$404=A231)*'Grocery Spending'!$A$5:$A$404))))</f>
        <v>0</v>
      </c>
      <c r="AG231" s="8">
        <f>IF(OR(A231="",AF231=""),"",IFERROR(AVERAGEIFS('Grocery Spending'!$I$5:$I$404,'Grocery Spending'!$E$5:$E$404,A231,'Grocery Spending'!$A$5:$A$404,AF231),""))</f>
        <v>0</v>
      </c>
      <c r="AH231" s="8">
        <f>IF(A231="","",IFERROR(AVERAGEIFS('Grocery Spending'!$I$5:$I$404,'Grocery Spending'!$E$5:$E$404,A231),""))</f>
        <v>0</v>
      </c>
      <c r="AI231" s="8">
        <f>IF(A231="","",IF(SUMPRODUCT(MIN(('Grocery Spending'!$E$5:$E$404=A231)*'Grocery Spending'!$I$5:$I$404+('Grocery Spending'!$E$5:$E$404&lt;&gt;A231)*1000000))&gt;=1000000,"",SUMPRODUCT(MIN(('Grocery Spending'!$E$5:$E$404=A231)*'Grocery Spending'!$I$5:$I$404+('Grocery Spending'!$E$5:$E$404&lt;&gt;A231)*1000000))))</f>
        <v>0</v>
      </c>
      <c r="AJ231" s="8">
        <f>IF(A231="","",SUMPRODUCT(MAX(('Grocery Spending'!$E$5:$E$404=A231)*'Grocery Spending'!$I$5:$I$404)))</f>
        <v>0</v>
      </c>
      <c r="AK231" s="8">
        <f>IF(OR(A231="",AI231="",AJ231=0),"",AJ231-AI231)</f>
        <v>0</v>
      </c>
      <c r="AL231" s="8">
        <f>IF(OR(A231="",AG231="",AH231=""),"",AG231-AH231)</f>
        <v>0</v>
      </c>
      <c r="AM231" s="8">
        <f>IF(A231="","",IF(AL231="","",IF(AL231&gt;0.01,"Up",IF(AL231&lt;-0.01,"Down","Flat"))))</f>
        <v>0</v>
      </c>
      <c r="AN231" s="25"/>
    </row>
    <row r="232" spans="1:40">
      <c r="A232" s="7"/>
      <c r="B232" s="27"/>
      <c r="C232" s="27"/>
      <c r="D232" s="28"/>
      <c r="E232" s="27"/>
      <c r="F232" s="26"/>
      <c r="G232" s="8">
        <f>IF(OR(D232="",F232="",F232=0),"",D232/F232)</f>
        <v>0</v>
      </c>
      <c r="H232" s="26"/>
      <c r="I232" s="26"/>
      <c r="J232" s="26"/>
      <c r="K232" s="26"/>
      <c r="L232" s="26"/>
      <c r="M232" s="26"/>
      <c r="N232" s="27"/>
      <c r="O232" s="27"/>
      <c r="P232" s="27"/>
      <c r="Q232" s="27"/>
      <c r="R232" s="7"/>
      <c r="S232" s="8">
        <f>IF(A232="","",SUMIFS(Pantry!$C$5:$C$304,Pantry!$A$5:$A$304,A232))</f>
        <v>0</v>
      </c>
      <c r="T232" s="8">
        <f>IF(A232="","",COUNTIFS('Grocery List'!$A$5:$A$304,A232,'Grocery List'!$N$5:$N$304,"Yes"))</f>
        <v>0</v>
      </c>
      <c r="U232" s="8">
        <f>IF(A232="","",SUMIFS('Grocery List'!$M$5:$M$304,'Grocery List'!$A$5:$A$304,A232))</f>
        <v>0</v>
      </c>
      <c r="V232" s="8">
        <f>IF(A232="","",COUNTIFS('Recipe Ingredients'!$B$5:$B$1204,A232))</f>
        <v>0</v>
      </c>
      <c r="W232" s="8">
        <f>IF(A232="","",SUMIFS('Recipe Ingredients'!$C$5:$C$1204,'Recipe Ingredients'!$B$5:$B$1204,A232))</f>
        <v>0</v>
      </c>
      <c r="X232" s="8">
        <f>IF(A232="","",IF(U232&lt;=0,IF(S232&gt;0,99,0),ROUND(S232/U232,1)))</f>
        <v>0</v>
      </c>
      <c r="Y232" s="8">
        <f>IF(A232="","",U232*10+IF(O232="Yes",5,0)+IF(X232&lt;1,10,0)+IF(S232&lt;=0,3,0))</f>
        <v>0</v>
      </c>
      <c r="Z232" s="8">
        <f>IF(A232="","",COUNTIFS($Y$5:$Y$304,"&gt;"&amp;Y232)+1)</f>
        <v>0</v>
      </c>
      <c r="AA232" s="8">
        <f>IF(A232="","",IF(OR(U232&gt;0,AND(O232="Yes",X232&lt;2)),"Yes","No"))</f>
        <v>0</v>
      </c>
      <c r="AB232" s="8">
        <f>IF(OR(A232="",D232=""),"",S232*D232)</f>
        <v>0</v>
      </c>
      <c r="AC232" s="8">
        <f>IF(AB232="","",COUNTIFS($AB$5:$AB$304,"&gt;"&amp;AB232)+1)</f>
        <v>0</v>
      </c>
      <c r="AD232" s="8">
        <f>IF(A232="","",SUMIFS('Food Waste'!$E$5:$E$154,'Food Waste'!$C$5:$C$154,A232))</f>
        <v>0</v>
      </c>
      <c r="AE232" s="8">
        <f>IF(OR(A232="",AD232=0),"",COUNTIFS($AD$5:$AD$304,"&gt;"&amp;AD232)+1)</f>
        <v>0</v>
      </c>
      <c r="AF232" s="8">
        <f>IF(A232="","",IF(SUMPRODUCT(MAX(('Grocery Spending'!$E$5:$E$404=A232)*'Grocery Spending'!$A$5:$A$404))=0,"",SUMPRODUCT(MAX(('Grocery Spending'!$E$5:$E$404=A232)*'Grocery Spending'!$A$5:$A$404))))</f>
        <v>0</v>
      </c>
      <c r="AG232" s="8">
        <f>IF(OR(A232="",AF232=""),"",IFERROR(AVERAGEIFS('Grocery Spending'!$I$5:$I$404,'Grocery Spending'!$E$5:$E$404,A232,'Grocery Spending'!$A$5:$A$404,AF232),""))</f>
        <v>0</v>
      </c>
      <c r="AH232" s="8">
        <f>IF(A232="","",IFERROR(AVERAGEIFS('Grocery Spending'!$I$5:$I$404,'Grocery Spending'!$E$5:$E$404,A232),""))</f>
        <v>0</v>
      </c>
      <c r="AI232" s="8">
        <f>IF(A232="","",IF(SUMPRODUCT(MIN(('Grocery Spending'!$E$5:$E$404=A232)*'Grocery Spending'!$I$5:$I$404+('Grocery Spending'!$E$5:$E$404&lt;&gt;A232)*1000000))&gt;=1000000,"",SUMPRODUCT(MIN(('Grocery Spending'!$E$5:$E$404=A232)*'Grocery Spending'!$I$5:$I$404+('Grocery Spending'!$E$5:$E$404&lt;&gt;A232)*1000000))))</f>
        <v>0</v>
      </c>
      <c r="AJ232" s="8">
        <f>IF(A232="","",SUMPRODUCT(MAX(('Grocery Spending'!$E$5:$E$404=A232)*'Grocery Spending'!$I$5:$I$404)))</f>
        <v>0</v>
      </c>
      <c r="AK232" s="8">
        <f>IF(OR(A232="",AI232="",AJ232=0),"",AJ232-AI232)</f>
        <v>0</v>
      </c>
      <c r="AL232" s="8">
        <f>IF(OR(A232="",AG232="",AH232=""),"",AG232-AH232)</f>
        <v>0</v>
      </c>
      <c r="AM232" s="8">
        <f>IF(A232="","",IF(AL232="","",IF(AL232&gt;0.01,"Up",IF(AL232&lt;-0.01,"Down","Flat"))))</f>
        <v>0</v>
      </c>
      <c r="AN232" s="25"/>
    </row>
    <row r="233" spans="1:40">
      <c r="A233" s="7"/>
      <c r="B233" s="27"/>
      <c r="C233" s="27"/>
      <c r="D233" s="28"/>
      <c r="E233" s="27"/>
      <c r="F233" s="26"/>
      <c r="G233" s="8">
        <f>IF(OR(D233="",F233="",F233=0),"",D233/F233)</f>
        <v>0</v>
      </c>
      <c r="H233" s="26"/>
      <c r="I233" s="26"/>
      <c r="J233" s="26"/>
      <c r="K233" s="26"/>
      <c r="L233" s="26"/>
      <c r="M233" s="26"/>
      <c r="N233" s="27"/>
      <c r="O233" s="27"/>
      <c r="P233" s="27"/>
      <c r="Q233" s="27"/>
      <c r="R233" s="7"/>
      <c r="S233" s="8">
        <f>IF(A233="","",SUMIFS(Pantry!$C$5:$C$304,Pantry!$A$5:$A$304,A233))</f>
        <v>0</v>
      </c>
      <c r="T233" s="8">
        <f>IF(A233="","",COUNTIFS('Grocery List'!$A$5:$A$304,A233,'Grocery List'!$N$5:$N$304,"Yes"))</f>
        <v>0</v>
      </c>
      <c r="U233" s="8">
        <f>IF(A233="","",SUMIFS('Grocery List'!$M$5:$M$304,'Grocery List'!$A$5:$A$304,A233))</f>
        <v>0</v>
      </c>
      <c r="V233" s="8">
        <f>IF(A233="","",COUNTIFS('Recipe Ingredients'!$B$5:$B$1204,A233))</f>
        <v>0</v>
      </c>
      <c r="W233" s="8">
        <f>IF(A233="","",SUMIFS('Recipe Ingredients'!$C$5:$C$1204,'Recipe Ingredients'!$B$5:$B$1204,A233))</f>
        <v>0</v>
      </c>
      <c r="X233" s="8">
        <f>IF(A233="","",IF(U233&lt;=0,IF(S233&gt;0,99,0),ROUND(S233/U233,1)))</f>
        <v>0</v>
      </c>
      <c r="Y233" s="8">
        <f>IF(A233="","",U233*10+IF(O233="Yes",5,0)+IF(X233&lt;1,10,0)+IF(S233&lt;=0,3,0))</f>
        <v>0</v>
      </c>
      <c r="Z233" s="8">
        <f>IF(A233="","",COUNTIFS($Y$5:$Y$304,"&gt;"&amp;Y233)+1)</f>
        <v>0</v>
      </c>
      <c r="AA233" s="8">
        <f>IF(A233="","",IF(OR(U233&gt;0,AND(O233="Yes",X233&lt;2)),"Yes","No"))</f>
        <v>0</v>
      </c>
      <c r="AB233" s="8">
        <f>IF(OR(A233="",D233=""),"",S233*D233)</f>
        <v>0</v>
      </c>
      <c r="AC233" s="8">
        <f>IF(AB233="","",COUNTIFS($AB$5:$AB$304,"&gt;"&amp;AB233)+1)</f>
        <v>0</v>
      </c>
      <c r="AD233" s="8">
        <f>IF(A233="","",SUMIFS('Food Waste'!$E$5:$E$154,'Food Waste'!$C$5:$C$154,A233))</f>
        <v>0</v>
      </c>
      <c r="AE233" s="8">
        <f>IF(OR(A233="",AD233=0),"",COUNTIFS($AD$5:$AD$304,"&gt;"&amp;AD233)+1)</f>
        <v>0</v>
      </c>
      <c r="AF233" s="8">
        <f>IF(A233="","",IF(SUMPRODUCT(MAX(('Grocery Spending'!$E$5:$E$404=A233)*'Grocery Spending'!$A$5:$A$404))=0,"",SUMPRODUCT(MAX(('Grocery Spending'!$E$5:$E$404=A233)*'Grocery Spending'!$A$5:$A$404))))</f>
        <v>0</v>
      </c>
      <c r="AG233" s="8">
        <f>IF(OR(A233="",AF233=""),"",IFERROR(AVERAGEIFS('Grocery Spending'!$I$5:$I$404,'Grocery Spending'!$E$5:$E$404,A233,'Grocery Spending'!$A$5:$A$404,AF233),""))</f>
        <v>0</v>
      </c>
      <c r="AH233" s="8">
        <f>IF(A233="","",IFERROR(AVERAGEIFS('Grocery Spending'!$I$5:$I$404,'Grocery Spending'!$E$5:$E$404,A233),""))</f>
        <v>0</v>
      </c>
      <c r="AI233" s="8">
        <f>IF(A233="","",IF(SUMPRODUCT(MIN(('Grocery Spending'!$E$5:$E$404=A233)*'Grocery Spending'!$I$5:$I$404+('Grocery Spending'!$E$5:$E$404&lt;&gt;A233)*1000000))&gt;=1000000,"",SUMPRODUCT(MIN(('Grocery Spending'!$E$5:$E$404=A233)*'Grocery Spending'!$I$5:$I$404+('Grocery Spending'!$E$5:$E$404&lt;&gt;A233)*1000000))))</f>
        <v>0</v>
      </c>
      <c r="AJ233" s="8">
        <f>IF(A233="","",SUMPRODUCT(MAX(('Grocery Spending'!$E$5:$E$404=A233)*'Grocery Spending'!$I$5:$I$404)))</f>
        <v>0</v>
      </c>
      <c r="AK233" s="8">
        <f>IF(OR(A233="",AI233="",AJ233=0),"",AJ233-AI233)</f>
        <v>0</v>
      </c>
      <c r="AL233" s="8">
        <f>IF(OR(A233="",AG233="",AH233=""),"",AG233-AH233)</f>
        <v>0</v>
      </c>
      <c r="AM233" s="8">
        <f>IF(A233="","",IF(AL233="","",IF(AL233&gt;0.01,"Up",IF(AL233&lt;-0.01,"Down","Flat"))))</f>
        <v>0</v>
      </c>
      <c r="AN233" s="25"/>
    </row>
    <row r="234" spans="1:40">
      <c r="A234" s="7"/>
      <c r="B234" s="27"/>
      <c r="C234" s="27"/>
      <c r="D234" s="28"/>
      <c r="E234" s="27"/>
      <c r="F234" s="26"/>
      <c r="G234" s="8">
        <f>IF(OR(D234="",F234="",F234=0),"",D234/F234)</f>
        <v>0</v>
      </c>
      <c r="H234" s="26"/>
      <c r="I234" s="26"/>
      <c r="J234" s="26"/>
      <c r="K234" s="26"/>
      <c r="L234" s="26"/>
      <c r="M234" s="26"/>
      <c r="N234" s="27"/>
      <c r="O234" s="27"/>
      <c r="P234" s="27"/>
      <c r="Q234" s="27"/>
      <c r="R234" s="7"/>
      <c r="S234" s="8">
        <f>IF(A234="","",SUMIFS(Pantry!$C$5:$C$304,Pantry!$A$5:$A$304,A234))</f>
        <v>0</v>
      </c>
      <c r="T234" s="8">
        <f>IF(A234="","",COUNTIFS('Grocery List'!$A$5:$A$304,A234,'Grocery List'!$N$5:$N$304,"Yes"))</f>
        <v>0</v>
      </c>
      <c r="U234" s="8">
        <f>IF(A234="","",SUMIFS('Grocery List'!$M$5:$M$304,'Grocery List'!$A$5:$A$304,A234))</f>
        <v>0</v>
      </c>
      <c r="V234" s="8">
        <f>IF(A234="","",COUNTIFS('Recipe Ingredients'!$B$5:$B$1204,A234))</f>
        <v>0</v>
      </c>
      <c r="W234" s="8">
        <f>IF(A234="","",SUMIFS('Recipe Ingredients'!$C$5:$C$1204,'Recipe Ingredients'!$B$5:$B$1204,A234))</f>
        <v>0</v>
      </c>
      <c r="X234" s="8">
        <f>IF(A234="","",IF(U234&lt;=0,IF(S234&gt;0,99,0),ROUND(S234/U234,1)))</f>
        <v>0</v>
      </c>
      <c r="Y234" s="8">
        <f>IF(A234="","",U234*10+IF(O234="Yes",5,0)+IF(X234&lt;1,10,0)+IF(S234&lt;=0,3,0))</f>
        <v>0</v>
      </c>
      <c r="Z234" s="8">
        <f>IF(A234="","",COUNTIFS($Y$5:$Y$304,"&gt;"&amp;Y234)+1)</f>
        <v>0</v>
      </c>
      <c r="AA234" s="8">
        <f>IF(A234="","",IF(OR(U234&gt;0,AND(O234="Yes",X234&lt;2)),"Yes","No"))</f>
        <v>0</v>
      </c>
      <c r="AB234" s="8">
        <f>IF(OR(A234="",D234=""),"",S234*D234)</f>
        <v>0</v>
      </c>
      <c r="AC234" s="8">
        <f>IF(AB234="","",COUNTIFS($AB$5:$AB$304,"&gt;"&amp;AB234)+1)</f>
        <v>0</v>
      </c>
      <c r="AD234" s="8">
        <f>IF(A234="","",SUMIFS('Food Waste'!$E$5:$E$154,'Food Waste'!$C$5:$C$154,A234))</f>
        <v>0</v>
      </c>
      <c r="AE234" s="8">
        <f>IF(OR(A234="",AD234=0),"",COUNTIFS($AD$5:$AD$304,"&gt;"&amp;AD234)+1)</f>
        <v>0</v>
      </c>
      <c r="AF234" s="8">
        <f>IF(A234="","",IF(SUMPRODUCT(MAX(('Grocery Spending'!$E$5:$E$404=A234)*'Grocery Spending'!$A$5:$A$404))=0,"",SUMPRODUCT(MAX(('Grocery Spending'!$E$5:$E$404=A234)*'Grocery Spending'!$A$5:$A$404))))</f>
        <v>0</v>
      </c>
      <c r="AG234" s="8">
        <f>IF(OR(A234="",AF234=""),"",IFERROR(AVERAGEIFS('Grocery Spending'!$I$5:$I$404,'Grocery Spending'!$E$5:$E$404,A234,'Grocery Spending'!$A$5:$A$404,AF234),""))</f>
        <v>0</v>
      </c>
      <c r="AH234" s="8">
        <f>IF(A234="","",IFERROR(AVERAGEIFS('Grocery Spending'!$I$5:$I$404,'Grocery Spending'!$E$5:$E$404,A234),""))</f>
        <v>0</v>
      </c>
      <c r="AI234" s="8">
        <f>IF(A234="","",IF(SUMPRODUCT(MIN(('Grocery Spending'!$E$5:$E$404=A234)*'Grocery Spending'!$I$5:$I$404+('Grocery Spending'!$E$5:$E$404&lt;&gt;A234)*1000000))&gt;=1000000,"",SUMPRODUCT(MIN(('Grocery Spending'!$E$5:$E$404=A234)*'Grocery Spending'!$I$5:$I$404+('Grocery Spending'!$E$5:$E$404&lt;&gt;A234)*1000000))))</f>
        <v>0</v>
      </c>
      <c r="AJ234" s="8">
        <f>IF(A234="","",SUMPRODUCT(MAX(('Grocery Spending'!$E$5:$E$404=A234)*'Grocery Spending'!$I$5:$I$404)))</f>
        <v>0</v>
      </c>
      <c r="AK234" s="8">
        <f>IF(OR(A234="",AI234="",AJ234=0),"",AJ234-AI234)</f>
        <v>0</v>
      </c>
      <c r="AL234" s="8">
        <f>IF(OR(A234="",AG234="",AH234=""),"",AG234-AH234)</f>
        <v>0</v>
      </c>
      <c r="AM234" s="8">
        <f>IF(A234="","",IF(AL234="","",IF(AL234&gt;0.01,"Up",IF(AL234&lt;-0.01,"Down","Flat"))))</f>
        <v>0</v>
      </c>
      <c r="AN234" s="25"/>
    </row>
    <row r="235" spans="1:40">
      <c r="A235" s="7"/>
      <c r="B235" s="27"/>
      <c r="C235" s="27"/>
      <c r="D235" s="28"/>
      <c r="E235" s="27"/>
      <c r="F235" s="26"/>
      <c r="G235" s="8">
        <f>IF(OR(D235="",F235="",F235=0),"",D235/F235)</f>
        <v>0</v>
      </c>
      <c r="H235" s="26"/>
      <c r="I235" s="26"/>
      <c r="J235" s="26"/>
      <c r="K235" s="26"/>
      <c r="L235" s="26"/>
      <c r="M235" s="26"/>
      <c r="N235" s="27"/>
      <c r="O235" s="27"/>
      <c r="P235" s="27"/>
      <c r="Q235" s="27"/>
      <c r="R235" s="7"/>
      <c r="S235" s="8">
        <f>IF(A235="","",SUMIFS(Pantry!$C$5:$C$304,Pantry!$A$5:$A$304,A235))</f>
        <v>0</v>
      </c>
      <c r="T235" s="8">
        <f>IF(A235="","",COUNTIFS('Grocery List'!$A$5:$A$304,A235,'Grocery List'!$N$5:$N$304,"Yes"))</f>
        <v>0</v>
      </c>
      <c r="U235" s="8">
        <f>IF(A235="","",SUMIFS('Grocery List'!$M$5:$M$304,'Grocery List'!$A$5:$A$304,A235))</f>
        <v>0</v>
      </c>
      <c r="V235" s="8">
        <f>IF(A235="","",COUNTIFS('Recipe Ingredients'!$B$5:$B$1204,A235))</f>
        <v>0</v>
      </c>
      <c r="W235" s="8">
        <f>IF(A235="","",SUMIFS('Recipe Ingredients'!$C$5:$C$1204,'Recipe Ingredients'!$B$5:$B$1204,A235))</f>
        <v>0</v>
      </c>
      <c r="X235" s="8">
        <f>IF(A235="","",IF(U235&lt;=0,IF(S235&gt;0,99,0),ROUND(S235/U235,1)))</f>
        <v>0</v>
      </c>
      <c r="Y235" s="8">
        <f>IF(A235="","",U235*10+IF(O235="Yes",5,0)+IF(X235&lt;1,10,0)+IF(S235&lt;=0,3,0))</f>
        <v>0</v>
      </c>
      <c r="Z235" s="8">
        <f>IF(A235="","",COUNTIFS($Y$5:$Y$304,"&gt;"&amp;Y235)+1)</f>
        <v>0</v>
      </c>
      <c r="AA235" s="8">
        <f>IF(A235="","",IF(OR(U235&gt;0,AND(O235="Yes",X235&lt;2)),"Yes","No"))</f>
        <v>0</v>
      </c>
      <c r="AB235" s="8">
        <f>IF(OR(A235="",D235=""),"",S235*D235)</f>
        <v>0</v>
      </c>
      <c r="AC235" s="8">
        <f>IF(AB235="","",COUNTIFS($AB$5:$AB$304,"&gt;"&amp;AB235)+1)</f>
        <v>0</v>
      </c>
      <c r="AD235" s="8">
        <f>IF(A235="","",SUMIFS('Food Waste'!$E$5:$E$154,'Food Waste'!$C$5:$C$154,A235))</f>
        <v>0</v>
      </c>
      <c r="AE235" s="8">
        <f>IF(OR(A235="",AD235=0),"",COUNTIFS($AD$5:$AD$304,"&gt;"&amp;AD235)+1)</f>
        <v>0</v>
      </c>
      <c r="AF235" s="8">
        <f>IF(A235="","",IF(SUMPRODUCT(MAX(('Grocery Spending'!$E$5:$E$404=A235)*'Grocery Spending'!$A$5:$A$404))=0,"",SUMPRODUCT(MAX(('Grocery Spending'!$E$5:$E$404=A235)*'Grocery Spending'!$A$5:$A$404))))</f>
        <v>0</v>
      </c>
      <c r="AG235" s="8">
        <f>IF(OR(A235="",AF235=""),"",IFERROR(AVERAGEIFS('Grocery Spending'!$I$5:$I$404,'Grocery Spending'!$E$5:$E$404,A235,'Grocery Spending'!$A$5:$A$404,AF235),""))</f>
        <v>0</v>
      </c>
      <c r="AH235" s="8">
        <f>IF(A235="","",IFERROR(AVERAGEIFS('Grocery Spending'!$I$5:$I$404,'Grocery Spending'!$E$5:$E$404,A235),""))</f>
        <v>0</v>
      </c>
      <c r="AI235" s="8">
        <f>IF(A235="","",IF(SUMPRODUCT(MIN(('Grocery Spending'!$E$5:$E$404=A235)*'Grocery Spending'!$I$5:$I$404+('Grocery Spending'!$E$5:$E$404&lt;&gt;A235)*1000000))&gt;=1000000,"",SUMPRODUCT(MIN(('Grocery Spending'!$E$5:$E$404=A235)*'Grocery Spending'!$I$5:$I$404+('Grocery Spending'!$E$5:$E$404&lt;&gt;A235)*1000000))))</f>
        <v>0</v>
      </c>
      <c r="AJ235" s="8">
        <f>IF(A235="","",SUMPRODUCT(MAX(('Grocery Spending'!$E$5:$E$404=A235)*'Grocery Spending'!$I$5:$I$404)))</f>
        <v>0</v>
      </c>
      <c r="AK235" s="8">
        <f>IF(OR(A235="",AI235="",AJ235=0),"",AJ235-AI235)</f>
        <v>0</v>
      </c>
      <c r="AL235" s="8">
        <f>IF(OR(A235="",AG235="",AH235=""),"",AG235-AH235)</f>
        <v>0</v>
      </c>
      <c r="AM235" s="8">
        <f>IF(A235="","",IF(AL235="","",IF(AL235&gt;0.01,"Up",IF(AL235&lt;-0.01,"Down","Flat"))))</f>
        <v>0</v>
      </c>
      <c r="AN235" s="25"/>
    </row>
    <row r="236" spans="1:40">
      <c r="A236" s="7"/>
      <c r="B236" s="27"/>
      <c r="C236" s="27"/>
      <c r="D236" s="28"/>
      <c r="E236" s="27"/>
      <c r="F236" s="26"/>
      <c r="G236" s="8">
        <f>IF(OR(D236="",F236="",F236=0),"",D236/F236)</f>
        <v>0</v>
      </c>
      <c r="H236" s="26"/>
      <c r="I236" s="26"/>
      <c r="J236" s="26"/>
      <c r="K236" s="26"/>
      <c r="L236" s="26"/>
      <c r="M236" s="26"/>
      <c r="N236" s="27"/>
      <c r="O236" s="27"/>
      <c r="P236" s="27"/>
      <c r="Q236" s="27"/>
      <c r="R236" s="7"/>
      <c r="S236" s="8">
        <f>IF(A236="","",SUMIFS(Pantry!$C$5:$C$304,Pantry!$A$5:$A$304,A236))</f>
        <v>0</v>
      </c>
      <c r="T236" s="8">
        <f>IF(A236="","",COUNTIFS('Grocery List'!$A$5:$A$304,A236,'Grocery List'!$N$5:$N$304,"Yes"))</f>
        <v>0</v>
      </c>
      <c r="U236" s="8">
        <f>IF(A236="","",SUMIFS('Grocery List'!$M$5:$M$304,'Grocery List'!$A$5:$A$304,A236))</f>
        <v>0</v>
      </c>
      <c r="V236" s="8">
        <f>IF(A236="","",COUNTIFS('Recipe Ingredients'!$B$5:$B$1204,A236))</f>
        <v>0</v>
      </c>
      <c r="W236" s="8">
        <f>IF(A236="","",SUMIFS('Recipe Ingredients'!$C$5:$C$1204,'Recipe Ingredients'!$B$5:$B$1204,A236))</f>
        <v>0</v>
      </c>
      <c r="X236" s="8">
        <f>IF(A236="","",IF(U236&lt;=0,IF(S236&gt;0,99,0),ROUND(S236/U236,1)))</f>
        <v>0</v>
      </c>
      <c r="Y236" s="8">
        <f>IF(A236="","",U236*10+IF(O236="Yes",5,0)+IF(X236&lt;1,10,0)+IF(S236&lt;=0,3,0))</f>
        <v>0</v>
      </c>
      <c r="Z236" s="8">
        <f>IF(A236="","",COUNTIFS($Y$5:$Y$304,"&gt;"&amp;Y236)+1)</f>
        <v>0</v>
      </c>
      <c r="AA236" s="8">
        <f>IF(A236="","",IF(OR(U236&gt;0,AND(O236="Yes",X236&lt;2)),"Yes","No"))</f>
        <v>0</v>
      </c>
      <c r="AB236" s="8">
        <f>IF(OR(A236="",D236=""),"",S236*D236)</f>
        <v>0</v>
      </c>
      <c r="AC236" s="8">
        <f>IF(AB236="","",COUNTIFS($AB$5:$AB$304,"&gt;"&amp;AB236)+1)</f>
        <v>0</v>
      </c>
      <c r="AD236" s="8">
        <f>IF(A236="","",SUMIFS('Food Waste'!$E$5:$E$154,'Food Waste'!$C$5:$C$154,A236))</f>
        <v>0</v>
      </c>
      <c r="AE236" s="8">
        <f>IF(OR(A236="",AD236=0),"",COUNTIFS($AD$5:$AD$304,"&gt;"&amp;AD236)+1)</f>
        <v>0</v>
      </c>
      <c r="AF236" s="8">
        <f>IF(A236="","",IF(SUMPRODUCT(MAX(('Grocery Spending'!$E$5:$E$404=A236)*'Grocery Spending'!$A$5:$A$404))=0,"",SUMPRODUCT(MAX(('Grocery Spending'!$E$5:$E$404=A236)*'Grocery Spending'!$A$5:$A$404))))</f>
        <v>0</v>
      </c>
      <c r="AG236" s="8">
        <f>IF(OR(A236="",AF236=""),"",IFERROR(AVERAGEIFS('Grocery Spending'!$I$5:$I$404,'Grocery Spending'!$E$5:$E$404,A236,'Grocery Spending'!$A$5:$A$404,AF236),""))</f>
        <v>0</v>
      </c>
      <c r="AH236" s="8">
        <f>IF(A236="","",IFERROR(AVERAGEIFS('Grocery Spending'!$I$5:$I$404,'Grocery Spending'!$E$5:$E$404,A236),""))</f>
        <v>0</v>
      </c>
      <c r="AI236" s="8">
        <f>IF(A236="","",IF(SUMPRODUCT(MIN(('Grocery Spending'!$E$5:$E$404=A236)*'Grocery Spending'!$I$5:$I$404+('Grocery Spending'!$E$5:$E$404&lt;&gt;A236)*1000000))&gt;=1000000,"",SUMPRODUCT(MIN(('Grocery Spending'!$E$5:$E$404=A236)*'Grocery Spending'!$I$5:$I$404+('Grocery Spending'!$E$5:$E$404&lt;&gt;A236)*1000000))))</f>
        <v>0</v>
      </c>
      <c r="AJ236" s="8">
        <f>IF(A236="","",SUMPRODUCT(MAX(('Grocery Spending'!$E$5:$E$404=A236)*'Grocery Spending'!$I$5:$I$404)))</f>
        <v>0</v>
      </c>
      <c r="AK236" s="8">
        <f>IF(OR(A236="",AI236="",AJ236=0),"",AJ236-AI236)</f>
        <v>0</v>
      </c>
      <c r="AL236" s="8">
        <f>IF(OR(A236="",AG236="",AH236=""),"",AG236-AH236)</f>
        <v>0</v>
      </c>
      <c r="AM236" s="8">
        <f>IF(A236="","",IF(AL236="","",IF(AL236&gt;0.01,"Up",IF(AL236&lt;-0.01,"Down","Flat"))))</f>
        <v>0</v>
      </c>
      <c r="AN236" s="25"/>
    </row>
    <row r="237" spans="1:40">
      <c r="A237" s="7"/>
      <c r="B237" s="27"/>
      <c r="C237" s="27"/>
      <c r="D237" s="28"/>
      <c r="E237" s="27"/>
      <c r="F237" s="26"/>
      <c r="G237" s="8">
        <f>IF(OR(D237="",F237="",F237=0),"",D237/F237)</f>
        <v>0</v>
      </c>
      <c r="H237" s="26"/>
      <c r="I237" s="26"/>
      <c r="J237" s="26"/>
      <c r="K237" s="26"/>
      <c r="L237" s="26"/>
      <c r="M237" s="26"/>
      <c r="N237" s="27"/>
      <c r="O237" s="27"/>
      <c r="P237" s="27"/>
      <c r="Q237" s="27"/>
      <c r="R237" s="7"/>
      <c r="S237" s="8">
        <f>IF(A237="","",SUMIFS(Pantry!$C$5:$C$304,Pantry!$A$5:$A$304,A237))</f>
        <v>0</v>
      </c>
      <c r="T237" s="8">
        <f>IF(A237="","",COUNTIFS('Grocery List'!$A$5:$A$304,A237,'Grocery List'!$N$5:$N$304,"Yes"))</f>
        <v>0</v>
      </c>
      <c r="U237" s="8">
        <f>IF(A237="","",SUMIFS('Grocery List'!$M$5:$M$304,'Grocery List'!$A$5:$A$304,A237))</f>
        <v>0</v>
      </c>
      <c r="V237" s="8">
        <f>IF(A237="","",COUNTIFS('Recipe Ingredients'!$B$5:$B$1204,A237))</f>
        <v>0</v>
      </c>
      <c r="W237" s="8">
        <f>IF(A237="","",SUMIFS('Recipe Ingredients'!$C$5:$C$1204,'Recipe Ingredients'!$B$5:$B$1204,A237))</f>
        <v>0</v>
      </c>
      <c r="X237" s="8">
        <f>IF(A237="","",IF(U237&lt;=0,IF(S237&gt;0,99,0),ROUND(S237/U237,1)))</f>
        <v>0</v>
      </c>
      <c r="Y237" s="8">
        <f>IF(A237="","",U237*10+IF(O237="Yes",5,0)+IF(X237&lt;1,10,0)+IF(S237&lt;=0,3,0))</f>
        <v>0</v>
      </c>
      <c r="Z237" s="8">
        <f>IF(A237="","",COUNTIFS($Y$5:$Y$304,"&gt;"&amp;Y237)+1)</f>
        <v>0</v>
      </c>
      <c r="AA237" s="8">
        <f>IF(A237="","",IF(OR(U237&gt;0,AND(O237="Yes",X237&lt;2)),"Yes","No"))</f>
        <v>0</v>
      </c>
      <c r="AB237" s="8">
        <f>IF(OR(A237="",D237=""),"",S237*D237)</f>
        <v>0</v>
      </c>
      <c r="AC237" s="8">
        <f>IF(AB237="","",COUNTIFS($AB$5:$AB$304,"&gt;"&amp;AB237)+1)</f>
        <v>0</v>
      </c>
      <c r="AD237" s="8">
        <f>IF(A237="","",SUMIFS('Food Waste'!$E$5:$E$154,'Food Waste'!$C$5:$C$154,A237))</f>
        <v>0</v>
      </c>
      <c r="AE237" s="8">
        <f>IF(OR(A237="",AD237=0),"",COUNTIFS($AD$5:$AD$304,"&gt;"&amp;AD237)+1)</f>
        <v>0</v>
      </c>
      <c r="AF237" s="8">
        <f>IF(A237="","",IF(SUMPRODUCT(MAX(('Grocery Spending'!$E$5:$E$404=A237)*'Grocery Spending'!$A$5:$A$404))=0,"",SUMPRODUCT(MAX(('Grocery Spending'!$E$5:$E$404=A237)*'Grocery Spending'!$A$5:$A$404))))</f>
        <v>0</v>
      </c>
      <c r="AG237" s="8">
        <f>IF(OR(A237="",AF237=""),"",IFERROR(AVERAGEIFS('Grocery Spending'!$I$5:$I$404,'Grocery Spending'!$E$5:$E$404,A237,'Grocery Spending'!$A$5:$A$404,AF237),""))</f>
        <v>0</v>
      </c>
      <c r="AH237" s="8">
        <f>IF(A237="","",IFERROR(AVERAGEIFS('Grocery Spending'!$I$5:$I$404,'Grocery Spending'!$E$5:$E$404,A237),""))</f>
        <v>0</v>
      </c>
      <c r="AI237" s="8">
        <f>IF(A237="","",IF(SUMPRODUCT(MIN(('Grocery Spending'!$E$5:$E$404=A237)*'Grocery Spending'!$I$5:$I$404+('Grocery Spending'!$E$5:$E$404&lt;&gt;A237)*1000000))&gt;=1000000,"",SUMPRODUCT(MIN(('Grocery Spending'!$E$5:$E$404=A237)*'Grocery Spending'!$I$5:$I$404+('Grocery Spending'!$E$5:$E$404&lt;&gt;A237)*1000000))))</f>
        <v>0</v>
      </c>
      <c r="AJ237" s="8">
        <f>IF(A237="","",SUMPRODUCT(MAX(('Grocery Spending'!$E$5:$E$404=A237)*'Grocery Spending'!$I$5:$I$404)))</f>
        <v>0</v>
      </c>
      <c r="AK237" s="8">
        <f>IF(OR(A237="",AI237="",AJ237=0),"",AJ237-AI237)</f>
        <v>0</v>
      </c>
      <c r="AL237" s="8">
        <f>IF(OR(A237="",AG237="",AH237=""),"",AG237-AH237)</f>
        <v>0</v>
      </c>
      <c r="AM237" s="8">
        <f>IF(A237="","",IF(AL237="","",IF(AL237&gt;0.01,"Up",IF(AL237&lt;-0.01,"Down","Flat"))))</f>
        <v>0</v>
      </c>
      <c r="AN237" s="25"/>
    </row>
    <row r="238" spans="1:40">
      <c r="A238" s="7"/>
      <c r="B238" s="27"/>
      <c r="C238" s="27"/>
      <c r="D238" s="28"/>
      <c r="E238" s="27"/>
      <c r="F238" s="26"/>
      <c r="G238" s="8">
        <f>IF(OR(D238="",F238="",F238=0),"",D238/F238)</f>
        <v>0</v>
      </c>
      <c r="H238" s="26"/>
      <c r="I238" s="26"/>
      <c r="J238" s="26"/>
      <c r="K238" s="26"/>
      <c r="L238" s="26"/>
      <c r="M238" s="26"/>
      <c r="N238" s="27"/>
      <c r="O238" s="27"/>
      <c r="P238" s="27"/>
      <c r="Q238" s="27"/>
      <c r="R238" s="7"/>
      <c r="S238" s="8">
        <f>IF(A238="","",SUMIFS(Pantry!$C$5:$C$304,Pantry!$A$5:$A$304,A238))</f>
        <v>0</v>
      </c>
      <c r="T238" s="8">
        <f>IF(A238="","",COUNTIFS('Grocery List'!$A$5:$A$304,A238,'Grocery List'!$N$5:$N$304,"Yes"))</f>
        <v>0</v>
      </c>
      <c r="U238" s="8">
        <f>IF(A238="","",SUMIFS('Grocery List'!$M$5:$M$304,'Grocery List'!$A$5:$A$304,A238))</f>
        <v>0</v>
      </c>
      <c r="V238" s="8">
        <f>IF(A238="","",COUNTIFS('Recipe Ingredients'!$B$5:$B$1204,A238))</f>
        <v>0</v>
      </c>
      <c r="W238" s="8">
        <f>IF(A238="","",SUMIFS('Recipe Ingredients'!$C$5:$C$1204,'Recipe Ingredients'!$B$5:$B$1204,A238))</f>
        <v>0</v>
      </c>
      <c r="X238" s="8">
        <f>IF(A238="","",IF(U238&lt;=0,IF(S238&gt;0,99,0),ROUND(S238/U238,1)))</f>
        <v>0</v>
      </c>
      <c r="Y238" s="8">
        <f>IF(A238="","",U238*10+IF(O238="Yes",5,0)+IF(X238&lt;1,10,0)+IF(S238&lt;=0,3,0))</f>
        <v>0</v>
      </c>
      <c r="Z238" s="8">
        <f>IF(A238="","",COUNTIFS($Y$5:$Y$304,"&gt;"&amp;Y238)+1)</f>
        <v>0</v>
      </c>
      <c r="AA238" s="8">
        <f>IF(A238="","",IF(OR(U238&gt;0,AND(O238="Yes",X238&lt;2)),"Yes","No"))</f>
        <v>0</v>
      </c>
      <c r="AB238" s="8">
        <f>IF(OR(A238="",D238=""),"",S238*D238)</f>
        <v>0</v>
      </c>
      <c r="AC238" s="8">
        <f>IF(AB238="","",COUNTIFS($AB$5:$AB$304,"&gt;"&amp;AB238)+1)</f>
        <v>0</v>
      </c>
      <c r="AD238" s="8">
        <f>IF(A238="","",SUMIFS('Food Waste'!$E$5:$E$154,'Food Waste'!$C$5:$C$154,A238))</f>
        <v>0</v>
      </c>
      <c r="AE238" s="8">
        <f>IF(OR(A238="",AD238=0),"",COUNTIFS($AD$5:$AD$304,"&gt;"&amp;AD238)+1)</f>
        <v>0</v>
      </c>
      <c r="AF238" s="8">
        <f>IF(A238="","",IF(SUMPRODUCT(MAX(('Grocery Spending'!$E$5:$E$404=A238)*'Grocery Spending'!$A$5:$A$404))=0,"",SUMPRODUCT(MAX(('Grocery Spending'!$E$5:$E$404=A238)*'Grocery Spending'!$A$5:$A$404))))</f>
        <v>0</v>
      </c>
      <c r="AG238" s="8">
        <f>IF(OR(A238="",AF238=""),"",IFERROR(AVERAGEIFS('Grocery Spending'!$I$5:$I$404,'Grocery Spending'!$E$5:$E$404,A238,'Grocery Spending'!$A$5:$A$404,AF238),""))</f>
        <v>0</v>
      </c>
      <c r="AH238" s="8">
        <f>IF(A238="","",IFERROR(AVERAGEIFS('Grocery Spending'!$I$5:$I$404,'Grocery Spending'!$E$5:$E$404,A238),""))</f>
        <v>0</v>
      </c>
      <c r="AI238" s="8">
        <f>IF(A238="","",IF(SUMPRODUCT(MIN(('Grocery Spending'!$E$5:$E$404=A238)*'Grocery Spending'!$I$5:$I$404+('Grocery Spending'!$E$5:$E$404&lt;&gt;A238)*1000000))&gt;=1000000,"",SUMPRODUCT(MIN(('Grocery Spending'!$E$5:$E$404=A238)*'Grocery Spending'!$I$5:$I$404+('Grocery Spending'!$E$5:$E$404&lt;&gt;A238)*1000000))))</f>
        <v>0</v>
      </c>
      <c r="AJ238" s="8">
        <f>IF(A238="","",SUMPRODUCT(MAX(('Grocery Spending'!$E$5:$E$404=A238)*'Grocery Spending'!$I$5:$I$404)))</f>
        <v>0</v>
      </c>
      <c r="AK238" s="8">
        <f>IF(OR(A238="",AI238="",AJ238=0),"",AJ238-AI238)</f>
        <v>0</v>
      </c>
      <c r="AL238" s="8">
        <f>IF(OR(A238="",AG238="",AH238=""),"",AG238-AH238)</f>
        <v>0</v>
      </c>
      <c r="AM238" s="8">
        <f>IF(A238="","",IF(AL238="","",IF(AL238&gt;0.01,"Up",IF(AL238&lt;-0.01,"Down","Flat"))))</f>
        <v>0</v>
      </c>
      <c r="AN238" s="25"/>
    </row>
    <row r="239" spans="1:40">
      <c r="A239" s="7"/>
      <c r="B239" s="27"/>
      <c r="C239" s="27"/>
      <c r="D239" s="28"/>
      <c r="E239" s="27"/>
      <c r="F239" s="26"/>
      <c r="G239" s="8">
        <f>IF(OR(D239="",F239="",F239=0),"",D239/F239)</f>
        <v>0</v>
      </c>
      <c r="H239" s="26"/>
      <c r="I239" s="26"/>
      <c r="J239" s="26"/>
      <c r="K239" s="26"/>
      <c r="L239" s="26"/>
      <c r="M239" s="26"/>
      <c r="N239" s="27"/>
      <c r="O239" s="27"/>
      <c r="P239" s="27"/>
      <c r="Q239" s="27"/>
      <c r="R239" s="7"/>
      <c r="S239" s="8">
        <f>IF(A239="","",SUMIFS(Pantry!$C$5:$C$304,Pantry!$A$5:$A$304,A239))</f>
        <v>0</v>
      </c>
      <c r="T239" s="8">
        <f>IF(A239="","",COUNTIFS('Grocery List'!$A$5:$A$304,A239,'Grocery List'!$N$5:$N$304,"Yes"))</f>
        <v>0</v>
      </c>
      <c r="U239" s="8">
        <f>IF(A239="","",SUMIFS('Grocery List'!$M$5:$M$304,'Grocery List'!$A$5:$A$304,A239))</f>
        <v>0</v>
      </c>
      <c r="V239" s="8">
        <f>IF(A239="","",COUNTIFS('Recipe Ingredients'!$B$5:$B$1204,A239))</f>
        <v>0</v>
      </c>
      <c r="W239" s="8">
        <f>IF(A239="","",SUMIFS('Recipe Ingredients'!$C$5:$C$1204,'Recipe Ingredients'!$B$5:$B$1204,A239))</f>
        <v>0</v>
      </c>
      <c r="X239" s="8">
        <f>IF(A239="","",IF(U239&lt;=0,IF(S239&gt;0,99,0),ROUND(S239/U239,1)))</f>
        <v>0</v>
      </c>
      <c r="Y239" s="8">
        <f>IF(A239="","",U239*10+IF(O239="Yes",5,0)+IF(X239&lt;1,10,0)+IF(S239&lt;=0,3,0))</f>
        <v>0</v>
      </c>
      <c r="Z239" s="8">
        <f>IF(A239="","",COUNTIFS($Y$5:$Y$304,"&gt;"&amp;Y239)+1)</f>
        <v>0</v>
      </c>
      <c r="AA239" s="8">
        <f>IF(A239="","",IF(OR(U239&gt;0,AND(O239="Yes",X239&lt;2)),"Yes","No"))</f>
        <v>0</v>
      </c>
      <c r="AB239" s="8">
        <f>IF(OR(A239="",D239=""),"",S239*D239)</f>
        <v>0</v>
      </c>
      <c r="AC239" s="8">
        <f>IF(AB239="","",COUNTIFS($AB$5:$AB$304,"&gt;"&amp;AB239)+1)</f>
        <v>0</v>
      </c>
      <c r="AD239" s="8">
        <f>IF(A239="","",SUMIFS('Food Waste'!$E$5:$E$154,'Food Waste'!$C$5:$C$154,A239))</f>
        <v>0</v>
      </c>
      <c r="AE239" s="8">
        <f>IF(OR(A239="",AD239=0),"",COUNTIFS($AD$5:$AD$304,"&gt;"&amp;AD239)+1)</f>
        <v>0</v>
      </c>
      <c r="AF239" s="8">
        <f>IF(A239="","",IF(SUMPRODUCT(MAX(('Grocery Spending'!$E$5:$E$404=A239)*'Grocery Spending'!$A$5:$A$404))=0,"",SUMPRODUCT(MAX(('Grocery Spending'!$E$5:$E$404=A239)*'Grocery Spending'!$A$5:$A$404))))</f>
        <v>0</v>
      </c>
      <c r="AG239" s="8">
        <f>IF(OR(A239="",AF239=""),"",IFERROR(AVERAGEIFS('Grocery Spending'!$I$5:$I$404,'Grocery Spending'!$E$5:$E$404,A239,'Grocery Spending'!$A$5:$A$404,AF239),""))</f>
        <v>0</v>
      </c>
      <c r="AH239" s="8">
        <f>IF(A239="","",IFERROR(AVERAGEIFS('Grocery Spending'!$I$5:$I$404,'Grocery Spending'!$E$5:$E$404,A239),""))</f>
        <v>0</v>
      </c>
      <c r="AI239" s="8">
        <f>IF(A239="","",IF(SUMPRODUCT(MIN(('Grocery Spending'!$E$5:$E$404=A239)*'Grocery Spending'!$I$5:$I$404+('Grocery Spending'!$E$5:$E$404&lt;&gt;A239)*1000000))&gt;=1000000,"",SUMPRODUCT(MIN(('Grocery Spending'!$E$5:$E$404=A239)*'Grocery Spending'!$I$5:$I$404+('Grocery Spending'!$E$5:$E$404&lt;&gt;A239)*1000000))))</f>
        <v>0</v>
      </c>
      <c r="AJ239" s="8">
        <f>IF(A239="","",SUMPRODUCT(MAX(('Grocery Spending'!$E$5:$E$404=A239)*'Grocery Spending'!$I$5:$I$404)))</f>
        <v>0</v>
      </c>
      <c r="AK239" s="8">
        <f>IF(OR(A239="",AI239="",AJ239=0),"",AJ239-AI239)</f>
        <v>0</v>
      </c>
      <c r="AL239" s="8">
        <f>IF(OR(A239="",AG239="",AH239=""),"",AG239-AH239)</f>
        <v>0</v>
      </c>
      <c r="AM239" s="8">
        <f>IF(A239="","",IF(AL239="","",IF(AL239&gt;0.01,"Up",IF(AL239&lt;-0.01,"Down","Flat"))))</f>
        <v>0</v>
      </c>
      <c r="AN239" s="25"/>
    </row>
    <row r="240" spans="1:40">
      <c r="A240" s="7"/>
      <c r="B240" s="27"/>
      <c r="C240" s="27"/>
      <c r="D240" s="28"/>
      <c r="E240" s="27"/>
      <c r="F240" s="26"/>
      <c r="G240" s="8">
        <f>IF(OR(D240="",F240="",F240=0),"",D240/F240)</f>
        <v>0</v>
      </c>
      <c r="H240" s="26"/>
      <c r="I240" s="26"/>
      <c r="J240" s="26"/>
      <c r="K240" s="26"/>
      <c r="L240" s="26"/>
      <c r="M240" s="26"/>
      <c r="N240" s="27"/>
      <c r="O240" s="27"/>
      <c r="P240" s="27"/>
      <c r="Q240" s="27"/>
      <c r="R240" s="7"/>
      <c r="S240" s="8">
        <f>IF(A240="","",SUMIFS(Pantry!$C$5:$C$304,Pantry!$A$5:$A$304,A240))</f>
        <v>0</v>
      </c>
      <c r="T240" s="8">
        <f>IF(A240="","",COUNTIFS('Grocery List'!$A$5:$A$304,A240,'Grocery List'!$N$5:$N$304,"Yes"))</f>
        <v>0</v>
      </c>
      <c r="U240" s="8">
        <f>IF(A240="","",SUMIFS('Grocery List'!$M$5:$M$304,'Grocery List'!$A$5:$A$304,A240))</f>
        <v>0</v>
      </c>
      <c r="V240" s="8">
        <f>IF(A240="","",COUNTIFS('Recipe Ingredients'!$B$5:$B$1204,A240))</f>
        <v>0</v>
      </c>
      <c r="W240" s="8">
        <f>IF(A240="","",SUMIFS('Recipe Ingredients'!$C$5:$C$1204,'Recipe Ingredients'!$B$5:$B$1204,A240))</f>
        <v>0</v>
      </c>
      <c r="X240" s="8">
        <f>IF(A240="","",IF(U240&lt;=0,IF(S240&gt;0,99,0),ROUND(S240/U240,1)))</f>
        <v>0</v>
      </c>
      <c r="Y240" s="8">
        <f>IF(A240="","",U240*10+IF(O240="Yes",5,0)+IF(X240&lt;1,10,0)+IF(S240&lt;=0,3,0))</f>
        <v>0</v>
      </c>
      <c r="Z240" s="8">
        <f>IF(A240="","",COUNTIFS($Y$5:$Y$304,"&gt;"&amp;Y240)+1)</f>
        <v>0</v>
      </c>
      <c r="AA240" s="8">
        <f>IF(A240="","",IF(OR(U240&gt;0,AND(O240="Yes",X240&lt;2)),"Yes","No"))</f>
        <v>0</v>
      </c>
      <c r="AB240" s="8">
        <f>IF(OR(A240="",D240=""),"",S240*D240)</f>
        <v>0</v>
      </c>
      <c r="AC240" s="8">
        <f>IF(AB240="","",COUNTIFS($AB$5:$AB$304,"&gt;"&amp;AB240)+1)</f>
        <v>0</v>
      </c>
      <c r="AD240" s="8">
        <f>IF(A240="","",SUMIFS('Food Waste'!$E$5:$E$154,'Food Waste'!$C$5:$C$154,A240))</f>
        <v>0</v>
      </c>
      <c r="AE240" s="8">
        <f>IF(OR(A240="",AD240=0),"",COUNTIFS($AD$5:$AD$304,"&gt;"&amp;AD240)+1)</f>
        <v>0</v>
      </c>
      <c r="AF240" s="8">
        <f>IF(A240="","",IF(SUMPRODUCT(MAX(('Grocery Spending'!$E$5:$E$404=A240)*'Grocery Spending'!$A$5:$A$404))=0,"",SUMPRODUCT(MAX(('Grocery Spending'!$E$5:$E$404=A240)*'Grocery Spending'!$A$5:$A$404))))</f>
        <v>0</v>
      </c>
      <c r="AG240" s="8">
        <f>IF(OR(A240="",AF240=""),"",IFERROR(AVERAGEIFS('Grocery Spending'!$I$5:$I$404,'Grocery Spending'!$E$5:$E$404,A240,'Grocery Spending'!$A$5:$A$404,AF240),""))</f>
        <v>0</v>
      </c>
      <c r="AH240" s="8">
        <f>IF(A240="","",IFERROR(AVERAGEIFS('Grocery Spending'!$I$5:$I$404,'Grocery Spending'!$E$5:$E$404,A240),""))</f>
        <v>0</v>
      </c>
      <c r="AI240" s="8">
        <f>IF(A240="","",IF(SUMPRODUCT(MIN(('Grocery Spending'!$E$5:$E$404=A240)*'Grocery Spending'!$I$5:$I$404+('Grocery Spending'!$E$5:$E$404&lt;&gt;A240)*1000000))&gt;=1000000,"",SUMPRODUCT(MIN(('Grocery Spending'!$E$5:$E$404=A240)*'Grocery Spending'!$I$5:$I$404+('Grocery Spending'!$E$5:$E$404&lt;&gt;A240)*1000000))))</f>
        <v>0</v>
      </c>
      <c r="AJ240" s="8">
        <f>IF(A240="","",SUMPRODUCT(MAX(('Grocery Spending'!$E$5:$E$404=A240)*'Grocery Spending'!$I$5:$I$404)))</f>
        <v>0</v>
      </c>
      <c r="AK240" s="8">
        <f>IF(OR(A240="",AI240="",AJ240=0),"",AJ240-AI240)</f>
        <v>0</v>
      </c>
      <c r="AL240" s="8">
        <f>IF(OR(A240="",AG240="",AH240=""),"",AG240-AH240)</f>
        <v>0</v>
      </c>
      <c r="AM240" s="8">
        <f>IF(A240="","",IF(AL240="","",IF(AL240&gt;0.01,"Up",IF(AL240&lt;-0.01,"Down","Flat"))))</f>
        <v>0</v>
      </c>
      <c r="AN240" s="25"/>
    </row>
    <row r="241" spans="1:40">
      <c r="A241" s="7"/>
      <c r="B241" s="27"/>
      <c r="C241" s="27"/>
      <c r="D241" s="28"/>
      <c r="E241" s="27"/>
      <c r="F241" s="26"/>
      <c r="G241" s="8">
        <f>IF(OR(D241="",F241="",F241=0),"",D241/F241)</f>
        <v>0</v>
      </c>
      <c r="H241" s="26"/>
      <c r="I241" s="26"/>
      <c r="J241" s="26"/>
      <c r="K241" s="26"/>
      <c r="L241" s="26"/>
      <c r="M241" s="26"/>
      <c r="N241" s="27"/>
      <c r="O241" s="27"/>
      <c r="P241" s="27"/>
      <c r="Q241" s="27"/>
      <c r="R241" s="7"/>
      <c r="S241" s="8">
        <f>IF(A241="","",SUMIFS(Pantry!$C$5:$C$304,Pantry!$A$5:$A$304,A241))</f>
        <v>0</v>
      </c>
      <c r="T241" s="8">
        <f>IF(A241="","",COUNTIFS('Grocery List'!$A$5:$A$304,A241,'Grocery List'!$N$5:$N$304,"Yes"))</f>
        <v>0</v>
      </c>
      <c r="U241" s="8">
        <f>IF(A241="","",SUMIFS('Grocery List'!$M$5:$M$304,'Grocery List'!$A$5:$A$304,A241))</f>
        <v>0</v>
      </c>
      <c r="V241" s="8">
        <f>IF(A241="","",COUNTIFS('Recipe Ingredients'!$B$5:$B$1204,A241))</f>
        <v>0</v>
      </c>
      <c r="W241" s="8">
        <f>IF(A241="","",SUMIFS('Recipe Ingredients'!$C$5:$C$1204,'Recipe Ingredients'!$B$5:$B$1204,A241))</f>
        <v>0</v>
      </c>
      <c r="X241" s="8">
        <f>IF(A241="","",IF(U241&lt;=0,IF(S241&gt;0,99,0),ROUND(S241/U241,1)))</f>
        <v>0</v>
      </c>
      <c r="Y241" s="8">
        <f>IF(A241="","",U241*10+IF(O241="Yes",5,0)+IF(X241&lt;1,10,0)+IF(S241&lt;=0,3,0))</f>
        <v>0</v>
      </c>
      <c r="Z241" s="8">
        <f>IF(A241="","",COUNTIFS($Y$5:$Y$304,"&gt;"&amp;Y241)+1)</f>
        <v>0</v>
      </c>
      <c r="AA241" s="8">
        <f>IF(A241="","",IF(OR(U241&gt;0,AND(O241="Yes",X241&lt;2)),"Yes","No"))</f>
        <v>0</v>
      </c>
      <c r="AB241" s="8">
        <f>IF(OR(A241="",D241=""),"",S241*D241)</f>
        <v>0</v>
      </c>
      <c r="AC241" s="8">
        <f>IF(AB241="","",COUNTIFS($AB$5:$AB$304,"&gt;"&amp;AB241)+1)</f>
        <v>0</v>
      </c>
      <c r="AD241" s="8">
        <f>IF(A241="","",SUMIFS('Food Waste'!$E$5:$E$154,'Food Waste'!$C$5:$C$154,A241))</f>
        <v>0</v>
      </c>
      <c r="AE241" s="8">
        <f>IF(OR(A241="",AD241=0),"",COUNTIFS($AD$5:$AD$304,"&gt;"&amp;AD241)+1)</f>
        <v>0</v>
      </c>
      <c r="AF241" s="8">
        <f>IF(A241="","",IF(SUMPRODUCT(MAX(('Grocery Spending'!$E$5:$E$404=A241)*'Grocery Spending'!$A$5:$A$404))=0,"",SUMPRODUCT(MAX(('Grocery Spending'!$E$5:$E$404=A241)*'Grocery Spending'!$A$5:$A$404))))</f>
        <v>0</v>
      </c>
      <c r="AG241" s="8">
        <f>IF(OR(A241="",AF241=""),"",IFERROR(AVERAGEIFS('Grocery Spending'!$I$5:$I$404,'Grocery Spending'!$E$5:$E$404,A241,'Grocery Spending'!$A$5:$A$404,AF241),""))</f>
        <v>0</v>
      </c>
      <c r="AH241" s="8">
        <f>IF(A241="","",IFERROR(AVERAGEIFS('Grocery Spending'!$I$5:$I$404,'Grocery Spending'!$E$5:$E$404,A241),""))</f>
        <v>0</v>
      </c>
      <c r="AI241" s="8">
        <f>IF(A241="","",IF(SUMPRODUCT(MIN(('Grocery Spending'!$E$5:$E$404=A241)*'Grocery Spending'!$I$5:$I$404+('Grocery Spending'!$E$5:$E$404&lt;&gt;A241)*1000000))&gt;=1000000,"",SUMPRODUCT(MIN(('Grocery Spending'!$E$5:$E$404=A241)*'Grocery Spending'!$I$5:$I$404+('Grocery Spending'!$E$5:$E$404&lt;&gt;A241)*1000000))))</f>
        <v>0</v>
      </c>
      <c r="AJ241" s="8">
        <f>IF(A241="","",SUMPRODUCT(MAX(('Grocery Spending'!$E$5:$E$404=A241)*'Grocery Spending'!$I$5:$I$404)))</f>
        <v>0</v>
      </c>
      <c r="AK241" s="8">
        <f>IF(OR(A241="",AI241="",AJ241=0),"",AJ241-AI241)</f>
        <v>0</v>
      </c>
      <c r="AL241" s="8">
        <f>IF(OR(A241="",AG241="",AH241=""),"",AG241-AH241)</f>
        <v>0</v>
      </c>
      <c r="AM241" s="8">
        <f>IF(A241="","",IF(AL241="","",IF(AL241&gt;0.01,"Up",IF(AL241&lt;-0.01,"Down","Flat"))))</f>
        <v>0</v>
      </c>
      <c r="AN241" s="25"/>
    </row>
    <row r="242" spans="1:40">
      <c r="A242" s="7"/>
      <c r="B242" s="27"/>
      <c r="C242" s="27"/>
      <c r="D242" s="28"/>
      <c r="E242" s="27"/>
      <c r="F242" s="26"/>
      <c r="G242" s="8">
        <f>IF(OR(D242="",F242="",F242=0),"",D242/F242)</f>
        <v>0</v>
      </c>
      <c r="H242" s="26"/>
      <c r="I242" s="26"/>
      <c r="J242" s="26"/>
      <c r="K242" s="26"/>
      <c r="L242" s="26"/>
      <c r="M242" s="26"/>
      <c r="N242" s="27"/>
      <c r="O242" s="27"/>
      <c r="P242" s="27"/>
      <c r="Q242" s="27"/>
      <c r="R242" s="7"/>
      <c r="S242" s="8">
        <f>IF(A242="","",SUMIFS(Pantry!$C$5:$C$304,Pantry!$A$5:$A$304,A242))</f>
        <v>0</v>
      </c>
      <c r="T242" s="8">
        <f>IF(A242="","",COUNTIFS('Grocery List'!$A$5:$A$304,A242,'Grocery List'!$N$5:$N$304,"Yes"))</f>
        <v>0</v>
      </c>
      <c r="U242" s="8">
        <f>IF(A242="","",SUMIFS('Grocery List'!$M$5:$M$304,'Grocery List'!$A$5:$A$304,A242))</f>
        <v>0</v>
      </c>
      <c r="V242" s="8">
        <f>IF(A242="","",COUNTIFS('Recipe Ingredients'!$B$5:$B$1204,A242))</f>
        <v>0</v>
      </c>
      <c r="W242" s="8">
        <f>IF(A242="","",SUMIFS('Recipe Ingredients'!$C$5:$C$1204,'Recipe Ingredients'!$B$5:$B$1204,A242))</f>
        <v>0</v>
      </c>
      <c r="X242" s="8">
        <f>IF(A242="","",IF(U242&lt;=0,IF(S242&gt;0,99,0),ROUND(S242/U242,1)))</f>
        <v>0</v>
      </c>
      <c r="Y242" s="8">
        <f>IF(A242="","",U242*10+IF(O242="Yes",5,0)+IF(X242&lt;1,10,0)+IF(S242&lt;=0,3,0))</f>
        <v>0</v>
      </c>
      <c r="Z242" s="8">
        <f>IF(A242="","",COUNTIFS($Y$5:$Y$304,"&gt;"&amp;Y242)+1)</f>
        <v>0</v>
      </c>
      <c r="AA242" s="8">
        <f>IF(A242="","",IF(OR(U242&gt;0,AND(O242="Yes",X242&lt;2)),"Yes","No"))</f>
        <v>0</v>
      </c>
      <c r="AB242" s="8">
        <f>IF(OR(A242="",D242=""),"",S242*D242)</f>
        <v>0</v>
      </c>
      <c r="AC242" s="8">
        <f>IF(AB242="","",COUNTIFS($AB$5:$AB$304,"&gt;"&amp;AB242)+1)</f>
        <v>0</v>
      </c>
      <c r="AD242" s="8">
        <f>IF(A242="","",SUMIFS('Food Waste'!$E$5:$E$154,'Food Waste'!$C$5:$C$154,A242))</f>
        <v>0</v>
      </c>
      <c r="AE242" s="8">
        <f>IF(OR(A242="",AD242=0),"",COUNTIFS($AD$5:$AD$304,"&gt;"&amp;AD242)+1)</f>
        <v>0</v>
      </c>
      <c r="AF242" s="8">
        <f>IF(A242="","",IF(SUMPRODUCT(MAX(('Grocery Spending'!$E$5:$E$404=A242)*'Grocery Spending'!$A$5:$A$404))=0,"",SUMPRODUCT(MAX(('Grocery Spending'!$E$5:$E$404=A242)*'Grocery Spending'!$A$5:$A$404))))</f>
        <v>0</v>
      </c>
      <c r="AG242" s="8">
        <f>IF(OR(A242="",AF242=""),"",IFERROR(AVERAGEIFS('Grocery Spending'!$I$5:$I$404,'Grocery Spending'!$E$5:$E$404,A242,'Grocery Spending'!$A$5:$A$404,AF242),""))</f>
        <v>0</v>
      </c>
      <c r="AH242" s="8">
        <f>IF(A242="","",IFERROR(AVERAGEIFS('Grocery Spending'!$I$5:$I$404,'Grocery Spending'!$E$5:$E$404,A242),""))</f>
        <v>0</v>
      </c>
      <c r="AI242" s="8">
        <f>IF(A242="","",IF(SUMPRODUCT(MIN(('Grocery Spending'!$E$5:$E$404=A242)*'Grocery Spending'!$I$5:$I$404+('Grocery Spending'!$E$5:$E$404&lt;&gt;A242)*1000000))&gt;=1000000,"",SUMPRODUCT(MIN(('Grocery Spending'!$E$5:$E$404=A242)*'Grocery Spending'!$I$5:$I$404+('Grocery Spending'!$E$5:$E$404&lt;&gt;A242)*1000000))))</f>
        <v>0</v>
      </c>
      <c r="AJ242" s="8">
        <f>IF(A242="","",SUMPRODUCT(MAX(('Grocery Spending'!$E$5:$E$404=A242)*'Grocery Spending'!$I$5:$I$404)))</f>
        <v>0</v>
      </c>
      <c r="AK242" s="8">
        <f>IF(OR(A242="",AI242="",AJ242=0),"",AJ242-AI242)</f>
        <v>0</v>
      </c>
      <c r="AL242" s="8">
        <f>IF(OR(A242="",AG242="",AH242=""),"",AG242-AH242)</f>
        <v>0</v>
      </c>
      <c r="AM242" s="8">
        <f>IF(A242="","",IF(AL242="","",IF(AL242&gt;0.01,"Up",IF(AL242&lt;-0.01,"Down","Flat"))))</f>
        <v>0</v>
      </c>
      <c r="AN242" s="25"/>
    </row>
    <row r="243" spans="1:40">
      <c r="A243" s="7"/>
      <c r="B243" s="27"/>
      <c r="C243" s="27"/>
      <c r="D243" s="28"/>
      <c r="E243" s="27"/>
      <c r="F243" s="26"/>
      <c r="G243" s="8">
        <f>IF(OR(D243="",F243="",F243=0),"",D243/F243)</f>
        <v>0</v>
      </c>
      <c r="H243" s="26"/>
      <c r="I243" s="26"/>
      <c r="J243" s="26"/>
      <c r="K243" s="26"/>
      <c r="L243" s="26"/>
      <c r="M243" s="26"/>
      <c r="N243" s="27"/>
      <c r="O243" s="27"/>
      <c r="P243" s="27"/>
      <c r="Q243" s="27"/>
      <c r="R243" s="7"/>
      <c r="S243" s="8">
        <f>IF(A243="","",SUMIFS(Pantry!$C$5:$C$304,Pantry!$A$5:$A$304,A243))</f>
        <v>0</v>
      </c>
      <c r="T243" s="8">
        <f>IF(A243="","",COUNTIFS('Grocery List'!$A$5:$A$304,A243,'Grocery List'!$N$5:$N$304,"Yes"))</f>
        <v>0</v>
      </c>
      <c r="U243" s="8">
        <f>IF(A243="","",SUMIFS('Grocery List'!$M$5:$M$304,'Grocery List'!$A$5:$A$304,A243))</f>
        <v>0</v>
      </c>
      <c r="V243" s="8">
        <f>IF(A243="","",COUNTIFS('Recipe Ingredients'!$B$5:$B$1204,A243))</f>
        <v>0</v>
      </c>
      <c r="W243" s="8">
        <f>IF(A243="","",SUMIFS('Recipe Ingredients'!$C$5:$C$1204,'Recipe Ingredients'!$B$5:$B$1204,A243))</f>
        <v>0</v>
      </c>
      <c r="X243" s="8">
        <f>IF(A243="","",IF(U243&lt;=0,IF(S243&gt;0,99,0),ROUND(S243/U243,1)))</f>
        <v>0</v>
      </c>
      <c r="Y243" s="8">
        <f>IF(A243="","",U243*10+IF(O243="Yes",5,0)+IF(X243&lt;1,10,0)+IF(S243&lt;=0,3,0))</f>
        <v>0</v>
      </c>
      <c r="Z243" s="8">
        <f>IF(A243="","",COUNTIFS($Y$5:$Y$304,"&gt;"&amp;Y243)+1)</f>
        <v>0</v>
      </c>
      <c r="AA243" s="8">
        <f>IF(A243="","",IF(OR(U243&gt;0,AND(O243="Yes",X243&lt;2)),"Yes","No"))</f>
        <v>0</v>
      </c>
      <c r="AB243" s="8">
        <f>IF(OR(A243="",D243=""),"",S243*D243)</f>
        <v>0</v>
      </c>
      <c r="AC243" s="8">
        <f>IF(AB243="","",COUNTIFS($AB$5:$AB$304,"&gt;"&amp;AB243)+1)</f>
        <v>0</v>
      </c>
      <c r="AD243" s="8">
        <f>IF(A243="","",SUMIFS('Food Waste'!$E$5:$E$154,'Food Waste'!$C$5:$C$154,A243))</f>
        <v>0</v>
      </c>
      <c r="AE243" s="8">
        <f>IF(OR(A243="",AD243=0),"",COUNTIFS($AD$5:$AD$304,"&gt;"&amp;AD243)+1)</f>
        <v>0</v>
      </c>
      <c r="AF243" s="8">
        <f>IF(A243="","",IF(SUMPRODUCT(MAX(('Grocery Spending'!$E$5:$E$404=A243)*'Grocery Spending'!$A$5:$A$404))=0,"",SUMPRODUCT(MAX(('Grocery Spending'!$E$5:$E$404=A243)*'Grocery Spending'!$A$5:$A$404))))</f>
        <v>0</v>
      </c>
      <c r="AG243" s="8">
        <f>IF(OR(A243="",AF243=""),"",IFERROR(AVERAGEIFS('Grocery Spending'!$I$5:$I$404,'Grocery Spending'!$E$5:$E$404,A243,'Grocery Spending'!$A$5:$A$404,AF243),""))</f>
        <v>0</v>
      </c>
      <c r="AH243" s="8">
        <f>IF(A243="","",IFERROR(AVERAGEIFS('Grocery Spending'!$I$5:$I$404,'Grocery Spending'!$E$5:$E$404,A243),""))</f>
        <v>0</v>
      </c>
      <c r="AI243" s="8">
        <f>IF(A243="","",IF(SUMPRODUCT(MIN(('Grocery Spending'!$E$5:$E$404=A243)*'Grocery Spending'!$I$5:$I$404+('Grocery Spending'!$E$5:$E$404&lt;&gt;A243)*1000000))&gt;=1000000,"",SUMPRODUCT(MIN(('Grocery Spending'!$E$5:$E$404=A243)*'Grocery Spending'!$I$5:$I$404+('Grocery Spending'!$E$5:$E$404&lt;&gt;A243)*1000000))))</f>
        <v>0</v>
      </c>
      <c r="AJ243" s="8">
        <f>IF(A243="","",SUMPRODUCT(MAX(('Grocery Spending'!$E$5:$E$404=A243)*'Grocery Spending'!$I$5:$I$404)))</f>
        <v>0</v>
      </c>
      <c r="AK243" s="8">
        <f>IF(OR(A243="",AI243="",AJ243=0),"",AJ243-AI243)</f>
        <v>0</v>
      </c>
      <c r="AL243" s="8">
        <f>IF(OR(A243="",AG243="",AH243=""),"",AG243-AH243)</f>
        <v>0</v>
      </c>
      <c r="AM243" s="8">
        <f>IF(A243="","",IF(AL243="","",IF(AL243&gt;0.01,"Up",IF(AL243&lt;-0.01,"Down","Flat"))))</f>
        <v>0</v>
      </c>
      <c r="AN243" s="25"/>
    </row>
    <row r="244" spans="1:40">
      <c r="A244" s="7"/>
      <c r="B244" s="27"/>
      <c r="C244" s="27"/>
      <c r="D244" s="28"/>
      <c r="E244" s="27"/>
      <c r="F244" s="26"/>
      <c r="G244" s="8">
        <f>IF(OR(D244="",F244="",F244=0),"",D244/F244)</f>
        <v>0</v>
      </c>
      <c r="H244" s="26"/>
      <c r="I244" s="26"/>
      <c r="J244" s="26"/>
      <c r="K244" s="26"/>
      <c r="L244" s="26"/>
      <c r="M244" s="26"/>
      <c r="N244" s="27"/>
      <c r="O244" s="27"/>
      <c r="P244" s="27"/>
      <c r="Q244" s="27"/>
      <c r="R244" s="7"/>
      <c r="S244" s="8">
        <f>IF(A244="","",SUMIFS(Pantry!$C$5:$C$304,Pantry!$A$5:$A$304,A244))</f>
        <v>0</v>
      </c>
      <c r="T244" s="8">
        <f>IF(A244="","",COUNTIFS('Grocery List'!$A$5:$A$304,A244,'Grocery List'!$N$5:$N$304,"Yes"))</f>
        <v>0</v>
      </c>
      <c r="U244" s="8">
        <f>IF(A244="","",SUMIFS('Grocery List'!$M$5:$M$304,'Grocery List'!$A$5:$A$304,A244))</f>
        <v>0</v>
      </c>
      <c r="V244" s="8">
        <f>IF(A244="","",COUNTIFS('Recipe Ingredients'!$B$5:$B$1204,A244))</f>
        <v>0</v>
      </c>
      <c r="W244" s="8">
        <f>IF(A244="","",SUMIFS('Recipe Ingredients'!$C$5:$C$1204,'Recipe Ingredients'!$B$5:$B$1204,A244))</f>
        <v>0</v>
      </c>
      <c r="X244" s="8">
        <f>IF(A244="","",IF(U244&lt;=0,IF(S244&gt;0,99,0),ROUND(S244/U244,1)))</f>
        <v>0</v>
      </c>
      <c r="Y244" s="8">
        <f>IF(A244="","",U244*10+IF(O244="Yes",5,0)+IF(X244&lt;1,10,0)+IF(S244&lt;=0,3,0))</f>
        <v>0</v>
      </c>
      <c r="Z244" s="8">
        <f>IF(A244="","",COUNTIFS($Y$5:$Y$304,"&gt;"&amp;Y244)+1)</f>
        <v>0</v>
      </c>
      <c r="AA244" s="8">
        <f>IF(A244="","",IF(OR(U244&gt;0,AND(O244="Yes",X244&lt;2)),"Yes","No"))</f>
        <v>0</v>
      </c>
      <c r="AB244" s="8">
        <f>IF(OR(A244="",D244=""),"",S244*D244)</f>
        <v>0</v>
      </c>
      <c r="AC244" s="8">
        <f>IF(AB244="","",COUNTIFS($AB$5:$AB$304,"&gt;"&amp;AB244)+1)</f>
        <v>0</v>
      </c>
      <c r="AD244" s="8">
        <f>IF(A244="","",SUMIFS('Food Waste'!$E$5:$E$154,'Food Waste'!$C$5:$C$154,A244))</f>
        <v>0</v>
      </c>
      <c r="AE244" s="8">
        <f>IF(OR(A244="",AD244=0),"",COUNTIFS($AD$5:$AD$304,"&gt;"&amp;AD244)+1)</f>
        <v>0</v>
      </c>
      <c r="AF244" s="8">
        <f>IF(A244="","",IF(SUMPRODUCT(MAX(('Grocery Spending'!$E$5:$E$404=A244)*'Grocery Spending'!$A$5:$A$404))=0,"",SUMPRODUCT(MAX(('Grocery Spending'!$E$5:$E$404=A244)*'Grocery Spending'!$A$5:$A$404))))</f>
        <v>0</v>
      </c>
      <c r="AG244" s="8">
        <f>IF(OR(A244="",AF244=""),"",IFERROR(AVERAGEIFS('Grocery Spending'!$I$5:$I$404,'Grocery Spending'!$E$5:$E$404,A244,'Grocery Spending'!$A$5:$A$404,AF244),""))</f>
        <v>0</v>
      </c>
      <c r="AH244" s="8">
        <f>IF(A244="","",IFERROR(AVERAGEIFS('Grocery Spending'!$I$5:$I$404,'Grocery Spending'!$E$5:$E$404,A244),""))</f>
        <v>0</v>
      </c>
      <c r="AI244" s="8">
        <f>IF(A244="","",IF(SUMPRODUCT(MIN(('Grocery Spending'!$E$5:$E$404=A244)*'Grocery Spending'!$I$5:$I$404+('Grocery Spending'!$E$5:$E$404&lt;&gt;A244)*1000000))&gt;=1000000,"",SUMPRODUCT(MIN(('Grocery Spending'!$E$5:$E$404=A244)*'Grocery Spending'!$I$5:$I$404+('Grocery Spending'!$E$5:$E$404&lt;&gt;A244)*1000000))))</f>
        <v>0</v>
      </c>
      <c r="AJ244" s="8">
        <f>IF(A244="","",SUMPRODUCT(MAX(('Grocery Spending'!$E$5:$E$404=A244)*'Grocery Spending'!$I$5:$I$404)))</f>
        <v>0</v>
      </c>
      <c r="AK244" s="8">
        <f>IF(OR(A244="",AI244="",AJ244=0),"",AJ244-AI244)</f>
        <v>0</v>
      </c>
      <c r="AL244" s="8">
        <f>IF(OR(A244="",AG244="",AH244=""),"",AG244-AH244)</f>
        <v>0</v>
      </c>
      <c r="AM244" s="8">
        <f>IF(A244="","",IF(AL244="","",IF(AL244&gt;0.01,"Up",IF(AL244&lt;-0.01,"Down","Flat"))))</f>
        <v>0</v>
      </c>
      <c r="AN244" s="25"/>
    </row>
    <row r="245" spans="1:40">
      <c r="A245" s="7"/>
      <c r="B245" s="27"/>
      <c r="C245" s="27"/>
      <c r="D245" s="28"/>
      <c r="E245" s="27"/>
      <c r="F245" s="26"/>
      <c r="G245" s="8">
        <f>IF(OR(D245="",F245="",F245=0),"",D245/F245)</f>
        <v>0</v>
      </c>
      <c r="H245" s="26"/>
      <c r="I245" s="26"/>
      <c r="J245" s="26"/>
      <c r="K245" s="26"/>
      <c r="L245" s="26"/>
      <c r="M245" s="26"/>
      <c r="N245" s="27"/>
      <c r="O245" s="27"/>
      <c r="P245" s="27"/>
      <c r="Q245" s="27"/>
      <c r="R245" s="7"/>
      <c r="S245" s="8">
        <f>IF(A245="","",SUMIFS(Pantry!$C$5:$C$304,Pantry!$A$5:$A$304,A245))</f>
        <v>0</v>
      </c>
      <c r="T245" s="8">
        <f>IF(A245="","",COUNTIFS('Grocery List'!$A$5:$A$304,A245,'Grocery List'!$N$5:$N$304,"Yes"))</f>
        <v>0</v>
      </c>
      <c r="U245" s="8">
        <f>IF(A245="","",SUMIFS('Grocery List'!$M$5:$M$304,'Grocery List'!$A$5:$A$304,A245))</f>
        <v>0</v>
      </c>
      <c r="V245" s="8">
        <f>IF(A245="","",COUNTIFS('Recipe Ingredients'!$B$5:$B$1204,A245))</f>
        <v>0</v>
      </c>
      <c r="W245" s="8">
        <f>IF(A245="","",SUMIFS('Recipe Ingredients'!$C$5:$C$1204,'Recipe Ingredients'!$B$5:$B$1204,A245))</f>
        <v>0</v>
      </c>
      <c r="X245" s="8">
        <f>IF(A245="","",IF(U245&lt;=0,IF(S245&gt;0,99,0),ROUND(S245/U245,1)))</f>
        <v>0</v>
      </c>
      <c r="Y245" s="8">
        <f>IF(A245="","",U245*10+IF(O245="Yes",5,0)+IF(X245&lt;1,10,0)+IF(S245&lt;=0,3,0))</f>
        <v>0</v>
      </c>
      <c r="Z245" s="8">
        <f>IF(A245="","",COUNTIFS($Y$5:$Y$304,"&gt;"&amp;Y245)+1)</f>
        <v>0</v>
      </c>
      <c r="AA245" s="8">
        <f>IF(A245="","",IF(OR(U245&gt;0,AND(O245="Yes",X245&lt;2)),"Yes","No"))</f>
        <v>0</v>
      </c>
      <c r="AB245" s="8">
        <f>IF(OR(A245="",D245=""),"",S245*D245)</f>
        <v>0</v>
      </c>
      <c r="AC245" s="8">
        <f>IF(AB245="","",COUNTIFS($AB$5:$AB$304,"&gt;"&amp;AB245)+1)</f>
        <v>0</v>
      </c>
      <c r="AD245" s="8">
        <f>IF(A245="","",SUMIFS('Food Waste'!$E$5:$E$154,'Food Waste'!$C$5:$C$154,A245))</f>
        <v>0</v>
      </c>
      <c r="AE245" s="8">
        <f>IF(OR(A245="",AD245=0),"",COUNTIFS($AD$5:$AD$304,"&gt;"&amp;AD245)+1)</f>
        <v>0</v>
      </c>
      <c r="AF245" s="8">
        <f>IF(A245="","",IF(SUMPRODUCT(MAX(('Grocery Spending'!$E$5:$E$404=A245)*'Grocery Spending'!$A$5:$A$404))=0,"",SUMPRODUCT(MAX(('Grocery Spending'!$E$5:$E$404=A245)*'Grocery Spending'!$A$5:$A$404))))</f>
        <v>0</v>
      </c>
      <c r="AG245" s="8">
        <f>IF(OR(A245="",AF245=""),"",IFERROR(AVERAGEIFS('Grocery Spending'!$I$5:$I$404,'Grocery Spending'!$E$5:$E$404,A245,'Grocery Spending'!$A$5:$A$404,AF245),""))</f>
        <v>0</v>
      </c>
      <c r="AH245" s="8">
        <f>IF(A245="","",IFERROR(AVERAGEIFS('Grocery Spending'!$I$5:$I$404,'Grocery Spending'!$E$5:$E$404,A245),""))</f>
        <v>0</v>
      </c>
      <c r="AI245" s="8">
        <f>IF(A245="","",IF(SUMPRODUCT(MIN(('Grocery Spending'!$E$5:$E$404=A245)*'Grocery Spending'!$I$5:$I$404+('Grocery Spending'!$E$5:$E$404&lt;&gt;A245)*1000000))&gt;=1000000,"",SUMPRODUCT(MIN(('Grocery Spending'!$E$5:$E$404=A245)*'Grocery Spending'!$I$5:$I$404+('Grocery Spending'!$E$5:$E$404&lt;&gt;A245)*1000000))))</f>
        <v>0</v>
      </c>
      <c r="AJ245" s="8">
        <f>IF(A245="","",SUMPRODUCT(MAX(('Grocery Spending'!$E$5:$E$404=A245)*'Grocery Spending'!$I$5:$I$404)))</f>
        <v>0</v>
      </c>
      <c r="AK245" s="8">
        <f>IF(OR(A245="",AI245="",AJ245=0),"",AJ245-AI245)</f>
        <v>0</v>
      </c>
      <c r="AL245" s="8">
        <f>IF(OR(A245="",AG245="",AH245=""),"",AG245-AH245)</f>
        <v>0</v>
      </c>
      <c r="AM245" s="8">
        <f>IF(A245="","",IF(AL245="","",IF(AL245&gt;0.01,"Up",IF(AL245&lt;-0.01,"Down","Flat"))))</f>
        <v>0</v>
      </c>
      <c r="AN245" s="25"/>
    </row>
    <row r="246" spans="1:40">
      <c r="A246" s="7"/>
      <c r="B246" s="27"/>
      <c r="C246" s="27"/>
      <c r="D246" s="28"/>
      <c r="E246" s="27"/>
      <c r="F246" s="26"/>
      <c r="G246" s="8">
        <f>IF(OR(D246="",F246="",F246=0),"",D246/F246)</f>
        <v>0</v>
      </c>
      <c r="H246" s="26"/>
      <c r="I246" s="26"/>
      <c r="J246" s="26"/>
      <c r="K246" s="26"/>
      <c r="L246" s="26"/>
      <c r="M246" s="26"/>
      <c r="N246" s="27"/>
      <c r="O246" s="27"/>
      <c r="P246" s="27"/>
      <c r="Q246" s="27"/>
      <c r="R246" s="7"/>
      <c r="S246" s="8">
        <f>IF(A246="","",SUMIFS(Pantry!$C$5:$C$304,Pantry!$A$5:$A$304,A246))</f>
        <v>0</v>
      </c>
      <c r="T246" s="8">
        <f>IF(A246="","",COUNTIFS('Grocery List'!$A$5:$A$304,A246,'Grocery List'!$N$5:$N$304,"Yes"))</f>
        <v>0</v>
      </c>
      <c r="U246" s="8">
        <f>IF(A246="","",SUMIFS('Grocery List'!$M$5:$M$304,'Grocery List'!$A$5:$A$304,A246))</f>
        <v>0</v>
      </c>
      <c r="V246" s="8">
        <f>IF(A246="","",COUNTIFS('Recipe Ingredients'!$B$5:$B$1204,A246))</f>
        <v>0</v>
      </c>
      <c r="W246" s="8">
        <f>IF(A246="","",SUMIFS('Recipe Ingredients'!$C$5:$C$1204,'Recipe Ingredients'!$B$5:$B$1204,A246))</f>
        <v>0</v>
      </c>
      <c r="X246" s="8">
        <f>IF(A246="","",IF(U246&lt;=0,IF(S246&gt;0,99,0),ROUND(S246/U246,1)))</f>
        <v>0</v>
      </c>
      <c r="Y246" s="8">
        <f>IF(A246="","",U246*10+IF(O246="Yes",5,0)+IF(X246&lt;1,10,0)+IF(S246&lt;=0,3,0))</f>
        <v>0</v>
      </c>
      <c r="Z246" s="8">
        <f>IF(A246="","",COUNTIFS($Y$5:$Y$304,"&gt;"&amp;Y246)+1)</f>
        <v>0</v>
      </c>
      <c r="AA246" s="8">
        <f>IF(A246="","",IF(OR(U246&gt;0,AND(O246="Yes",X246&lt;2)),"Yes","No"))</f>
        <v>0</v>
      </c>
      <c r="AB246" s="8">
        <f>IF(OR(A246="",D246=""),"",S246*D246)</f>
        <v>0</v>
      </c>
      <c r="AC246" s="8">
        <f>IF(AB246="","",COUNTIFS($AB$5:$AB$304,"&gt;"&amp;AB246)+1)</f>
        <v>0</v>
      </c>
      <c r="AD246" s="8">
        <f>IF(A246="","",SUMIFS('Food Waste'!$E$5:$E$154,'Food Waste'!$C$5:$C$154,A246))</f>
        <v>0</v>
      </c>
      <c r="AE246" s="8">
        <f>IF(OR(A246="",AD246=0),"",COUNTIFS($AD$5:$AD$304,"&gt;"&amp;AD246)+1)</f>
        <v>0</v>
      </c>
      <c r="AF246" s="8">
        <f>IF(A246="","",IF(SUMPRODUCT(MAX(('Grocery Spending'!$E$5:$E$404=A246)*'Grocery Spending'!$A$5:$A$404))=0,"",SUMPRODUCT(MAX(('Grocery Spending'!$E$5:$E$404=A246)*'Grocery Spending'!$A$5:$A$404))))</f>
        <v>0</v>
      </c>
      <c r="AG246" s="8">
        <f>IF(OR(A246="",AF246=""),"",IFERROR(AVERAGEIFS('Grocery Spending'!$I$5:$I$404,'Grocery Spending'!$E$5:$E$404,A246,'Grocery Spending'!$A$5:$A$404,AF246),""))</f>
        <v>0</v>
      </c>
      <c r="AH246" s="8">
        <f>IF(A246="","",IFERROR(AVERAGEIFS('Grocery Spending'!$I$5:$I$404,'Grocery Spending'!$E$5:$E$404,A246),""))</f>
        <v>0</v>
      </c>
      <c r="AI246" s="8">
        <f>IF(A246="","",IF(SUMPRODUCT(MIN(('Grocery Spending'!$E$5:$E$404=A246)*'Grocery Spending'!$I$5:$I$404+('Grocery Spending'!$E$5:$E$404&lt;&gt;A246)*1000000))&gt;=1000000,"",SUMPRODUCT(MIN(('Grocery Spending'!$E$5:$E$404=A246)*'Grocery Spending'!$I$5:$I$404+('Grocery Spending'!$E$5:$E$404&lt;&gt;A246)*1000000))))</f>
        <v>0</v>
      </c>
      <c r="AJ246" s="8">
        <f>IF(A246="","",SUMPRODUCT(MAX(('Grocery Spending'!$E$5:$E$404=A246)*'Grocery Spending'!$I$5:$I$404)))</f>
        <v>0</v>
      </c>
      <c r="AK246" s="8">
        <f>IF(OR(A246="",AI246="",AJ246=0),"",AJ246-AI246)</f>
        <v>0</v>
      </c>
      <c r="AL246" s="8">
        <f>IF(OR(A246="",AG246="",AH246=""),"",AG246-AH246)</f>
        <v>0</v>
      </c>
      <c r="AM246" s="8">
        <f>IF(A246="","",IF(AL246="","",IF(AL246&gt;0.01,"Up",IF(AL246&lt;-0.01,"Down","Flat"))))</f>
        <v>0</v>
      </c>
      <c r="AN246" s="25"/>
    </row>
    <row r="247" spans="1:40">
      <c r="A247" s="7"/>
      <c r="B247" s="27"/>
      <c r="C247" s="27"/>
      <c r="D247" s="28"/>
      <c r="E247" s="27"/>
      <c r="F247" s="26"/>
      <c r="G247" s="8">
        <f>IF(OR(D247="",F247="",F247=0),"",D247/F247)</f>
        <v>0</v>
      </c>
      <c r="H247" s="26"/>
      <c r="I247" s="26"/>
      <c r="J247" s="26"/>
      <c r="K247" s="26"/>
      <c r="L247" s="26"/>
      <c r="M247" s="26"/>
      <c r="N247" s="27"/>
      <c r="O247" s="27"/>
      <c r="P247" s="27"/>
      <c r="Q247" s="27"/>
      <c r="R247" s="7"/>
      <c r="S247" s="8">
        <f>IF(A247="","",SUMIFS(Pantry!$C$5:$C$304,Pantry!$A$5:$A$304,A247))</f>
        <v>0</v>
      </c>
      <c r="T247" s="8">
        <f>IF(A247="","",COUNTIFS('Grocery List'!$A$5:$A$304,A247,'Grocery List'!$N$5:$N$304,"Yes"))</f>
        <v>0</v>
      </c>
      <c r="U247" s="8">
        <f>IF(A247="","",SUMIFS('Grocery List'!$M$5:$M$304,'Grocery List'!$A$5:$A$304,A247))</f>
        <v>0</v>
      </c>
      <c r="V247" s="8">
        <f>IF(A247="","",COUNTIFS('Recipe Ingredients'!$B$5:$B$1204,A247))</f>
        <v>0</v>
      </c>
      <c r="W247" s="8">
        <f>IF(A247="","",SUMIFS('Recipe Ingredients'!$C$5:$C$1204,'Recipe Ingredients'!$B$5:$B$1204,A247))</f>
        <v>0</v>
      </c>
      <c r="X247" s="8">
        <f>IF(A247="","",IF(U247&lt;=0,IF(S247&gt;0,99,0),ROUND(S247/U247,1)))</f>
        <v>0</v>
      </c>
      <c r="Y247" s="8">
        <f>IF(A247="","",U247*10+IF(O247="Yes",5,0)+IF(X247&lt;1,10,0)+IF(S247&lt;=0,3,0))</f>
        <v>0</v>
      </c>
      <c r="Z247" s="8">
        <f>IF(A247="","",COUNTIFS($Y$5:$Y$304,"&gt;"&amp;Y247)+1)</f>
        <v>0</v>
      </c>
      <c r="AA247" s="8">
        <f>IF(A247="","",IF(OR(U247&gt;0,AND(O247="Yes",X247&lt;2)),"Yes","No"))</f>
        <v>0</v>
      </c>
      <c r="AB247" s="8">
        <f>IF(OR(A247="",D247=""),"",S247*D247)</f>
        <v>0</v>
      </c>
      <c r="AC247" s="8">
        <f>IF(AB247="","",COUNTIFS($AB$5:$AB$304,"&gt;"&amp;AB247)+1)</f>
        <v>0</v>
      </c>
      <c r="AD247" s="8">
        <f>IF(A247="","",SUMIFS('Food Waste'!$E$5:$E$154,'Food Waste'!$C$5:$C$154,A247))</f>
        <v>0</v>
      </c>
      <c r="AE247" s="8">
        <f>IF(OR(A247="",AD247=0),"",COUNTIFS($AD$5:$AD$304,"&gt;"&amp;AD247)+1)</f>
        <v>0</v>
      </c>
      <c r="AF247" s="8">
        <f>IF(A247="","",IF(SUMPRODUCT(MAX(('Grocery Spending'!$E$5:$E$404=A247)*'Grocery Spending'!$A$5:$A$404))=0,"",SUMPRODUCT(MAX(('Grocery Spending'!$E$5:$E$404=A247)*'Grocery Spending'!$A$5:$A$404))))</f>
        <v>0</v>
      </c>
      <c r="AG247" s="8">
        <f>IF(OR(A247="",AF247=""),"",IFERROR(AVERAGEIFS('Grocery Spending'!$I$5:$I$404,'Grocery Spending'!$E$5:$E$404,A247,'Grocery Spending'!$A$5:$A$404,AF247),""))</f>
        <v>0</v>
      </c>
      <c r="AH247" s="8">
        <f>IF(A247="","",IFERROR(AVERAGEIFS('Grocery Spending'!$I$5:$I$404,'Grocery Spending'!$E$5:$E$404,A247),""))</f>
        <v>0</v>
      </c>
      <c r="AI247" s="8">
        <f>IF(A247="","",IF(SUMPRODUCT(MIN(('Grocery Spending'!$E$5:$E$404=A247)*'Grocery Spending'!$I$5:$I$404+('Grocery Spending'!$E$5:$E$404&lt;&gt;A247)*1000000))&gt;=1000000,"",SUMPRODUCT(MIN(('Grocery Spending'!$E$5:$E$404=A247)*'Grocery Spending'!$I$5:$I$404+('Grocery Spending'!$E$5:$E$404&lt;&gt;A247)*1000000))))</f>
        <v>0</v>
      </c>
      <c r="AJ247" s="8">
        <f>IF(A247="","",SUMPRODUCT(MAX(('Grocery Spending'!$E$5:$E$404=A247)*'Grocery Spending'!$I$5:$I$404)))</f>
        <v>0</v>
      </c>
      <c r="AK247" s="8">
        <f>IF(OR(A247="",AI247="",AJ247=0),"",AJ247-AI247)</f>
        <v>0</v>
      </c>
      <c r="AL247" s="8">
        <f>IF(OR(A247="",AG247="",AH247=""),"",AG247-AH247)</f>
        <v>0</v>
      </c>
      <c r="AM247" s="8">
        <f>IF(A247="","",IF(AL247="","",IF(AL247&gt;0.01,"Up",IF(AL247&lt;-0.01,"Down","Flat"))))</f>
        <v>0</v>
      </c>
      <c r="AN247" s="25"/>
    </row>
    <row r="248" spans="1:40">
      <c r="A248" s="7"/>
      <c r="B248" s="27"/>
      <c r="C248" s="27"/>
      <c r="D248" s="28"/>
      <c r="E248" s="27"/>
      <c r="F248" s="26"/>
      <c r="G248" s="8">
        <f>IF(OR(D248="",F248="",F248=0),"",D248/F248)</f>
        <v>0</v>
      </c>
      <c r="H248" s="26"/>
      <c r="I248" s="26"/>
      <c r="J248" s="26"/>
      <c r="K248" s="26"/>
      <c r="L248" s="26"/>
      <c r="M248" s="26"/>
      <c r="N248" s="27"/>
      <c r="O248" s="27"/>
      <c r="P248" s="27"/>
      <c r="Q248" s="27"/>
      <c r="R248" s="7"/>
      <c r="S248" s="8">
        <f>IF(A248="","",SUMIFS(Pantry!$C$5:$C$304,Pantry!$A$5:$A$304,A248))</f>
        <v>0</v>
      </c>
      <c r="T248" s="8">
        <f>IF(A248="","",COUNTIFS('Grocery List'!$A$5:$A$304,A248,'Grocery List'!$N$5:$N$304,"Yes"))</f>
        <v>0</v>
      </c>
      <c r="U248" s="8">
        <f>IF(A248="","",SUMIFS('Grocery List'!$M$5:$M$304,'Grocery List'!$A$5:$A$304,A248))</f>
        <v>0</v>
      </c>
      <c r="V248" s="8">
        <f>IF(A248="","",COUNTIFS('Recipe Ingredients'!$B$5:$B$1204,A248))</f>
        <v>0</v>
      </c>
      <c r="W248" s="8">
        <f>IF(A248="","",SUMIFS('Recipe Ingredients'!$C$5:$C$1204,'Recipe Ingredients'!$B$5:$B$1204,A248))</f>
        <v>0</v>
      </c>
      <c r="X248" s="8">
        <f>IF(A248="","",IF(U248&lt;=0,IF(S248&gt;0,99,0),ROUND(S248/U248,1)))</f>
        <v>0</v>
      </c>
      <c r="Y248" s="8">
        <f>IF(A248="","",U248*10+IF(O248="Yes",5,0)+IF(X248&lt;1,10,0)+IF(S248&lt;=0,3,0))</f>
        <v>0</v>
      </c>
      <c r="Z248" s="8">
        <f>IF(A248="","",COUNTIFS($Y$5:$Y$304,"&gt;"&amp;Y248)+1)</f>
        <v>0</v>
      </c>
      <c r="AA248" s="8">
        <f>IF(A248="","",IF(OR(U248&gt;0,AND(O248="Yes",X248&lt;2)),"Yes","No"))</f>
        <v>0</v>
      </c>
      <c r="AB248" s="8">
        <f>IF(OR(A248="",D248=""),"",S248*D248)</f>
        <v>0</v>
      </c>
      <c r="AC248" s="8">
        <f>IF(AB248="","",COUNTIFS($AB$5:$AB$304,"&gt;"&amp;AB248)+1)</f>
        <v>0</v>
      </c>
      <c r="AD248" s="8">
        <f>IF(A248="","",SUMIFS('Food Waste'!$E$5:$E$154,'Food Waste'!$C$5:$C$154,A248))</f>
        <v>0</v>
      </c>
      <c r="AE248" s="8">
        <f>IF(OR(A248="",AD248=0),"",COUNTIFS($AD$5:$AD$304,"&gt;"&amp;AD248)+1)</f>
        <v>0</v>
      </c>
      <c r="AF248" s="8">
        <f>IF(A248="","",IF(SUMPRODUCT(MAX(('Grocery Spending'!$E$5:$E$404=A248)*'Grocery Spending'!$A$5:$A$404))=0,"",SUMPRODUCT(MAX(('Grocery Spending'!$E$5:$E$404=A248)*'Grocery Spending'!$A$5:$A$404))))</f>
        <v>0</v>
      </c>
      <c r="AG248" s="8">
        <f>IF(OR(A248="",AF248=""),"",IFERROR(AVERAGEIFS('Grocery Spending'!$I$5:$I$404,'Grocery Spending'!$E$5:$E$404,A248,'Grocery Spending'!$A$5:$A$404,AF248),""))</f>
        <v>0</v>
      </c>
      <c r="AH248" s="8">
        <f>IF(A248="","",IFERROR(AVERAGEIFS('Grocery Spending'!$I$5:$I$404,'Grocery Spending'!$E$5:$E$404,A248),""))</f>
        <v>0</v>
      </c>
      <c r="AI248" s="8">
        <f>IF(A248="","",IF(SUMPRODUCT(MIN(('Grocery Spending'!$E$5:$E$404=A248)*'Grocery Spending'!$I$5:$I$404+('Grocery Spending'!$E$5:$E$404&lt;&gt;A248)*1000000))&gt;=1000000,"",SUMPRODUCT(MIN(('Grocery Spending'!$E$5:$E$404=A248)*'Grocery Spending'!$I$5:$I$404+('Grocery Spending'!$E$5:$E$404&lt;&gt;A248)*1000000))))</f>
        <v>0</v>
      </c>
      <c r="AJ248" s="8">
        <f>IF(A248="","",SUMPRODUCT(MAX(('Grocery Spending'!$E$5:$E$404=A248)*'Grocery Spending'!$I$5:$I$404)))</f>
        <v>0</v>
      </c>
      <c r="AK248" s="8">
        <f>IF(OR(A248="",AI248="",AJ248=0),"",AJ248-AI248)</f>
        <v>0</v>
      </c>
      <c r="AL248" s="8">
        <f>IF(OR(A248="",AG248="",AH248=""),"",AG248-AH248)</f>
        <v>0</v>
      </c>
      <c r="AM248" s="8">
        <f>IF(A248="","",IF(AL248="","",IF(AL248&gt;0.01,"Up",IF(AL248&lt;-0.01,"Down","Flat"))))</f>
        <v>0</v>
      </c>
      <c r="AN248" s="25"/>
    </row>
    <row r="249" spans="1:40">
      <c r="A249" s="7"/>
      <c r="B249" s="27"/>
      <c r="C249" s="27"/>
      <c r="D249" s="28"/>
      <c r="E249" s="27"/>
      <c r="F249" s="26"/>
      <c r="G249" s="8">
        <f>IF(OR(D249="",F249="",F249=0),"",D249/F249)</f>
        <v>0</v>
      </c>
      <c r="H249" s="26"/>
      <c r="I249" s="26"/>
      <c r="J249" s="26"/>
      <c r="K249" s="26"/>
      <c r="L249" s="26"/>
      <c r="M249" s="26"/>
      <c r="N249" s="27"/>
      <c r="O249" s="27"/>
      <c r="P249" s="27"/>
      <c r="Q249" s="27"/>
      <c r="R249" s="7"/>
      <c r="S249" s="8">
        <f>IF(A249="","",SUMIFS(Pantry!$C$5:$C$304,Pantry!$A$5:$A$304,A249))</f>
        <v>0</v>
      </c>
      <c r="T249" s="8">
        <f>IF(A249="","",COUNTIFS('Grocery List'!$A$5:$A$304,A249,'Grocery List'!$N$5:$N$304,"Yes"))</f>
        <v>0</v>
      </c>
      <c r="U249" s="8">
        <f>IF(A249="","",SUMIFS('Grocery List'!$M$5:$M$304,'Grocery List'!$A$5:$A$304,A249))</f>
        <v>0</v>
      </c>
      <c r="V249" s="8">
        <f>IF(A249="","",COUNTIFS('Recipe Ingredients'!$B$5:$B$1204,A249))</f>
        <v>0</v>
      </c>
      <c r="W249" s="8">
        <f>IF(A249="","",SUMIFS('Recipe Ingredients'!$C$5:$C$1204,'Recipe Ingredients'!$B$5:$B$1204,A249))</f>
        <v>0</v>
      </c>
      <c r="X249" s="8">
        <f>IF(A249="","",IF(U249&lt;=0,IF(S249&gt;0,99,0),ROUND(S249/U249,1)))</f>
        <v>0</v>
      </c>
      <c r="Y249" s="8">
        <f>IF(A249="","",U249*10+IF(O249="Yes",5,0)+IF(X249&lt;1,10,0)+IF(S249&lt;=0,3,0))</f>
        <v>0</v>
      </c>
      <c r="Z249" s="8">
        <f>IF(A249="","",COUNTIFS($Y$5:$Y$304,"&gt;"&amp;Y249)+1)</f>
        <v>0</v>
      </c>
      <c r="AA249" s="8">
        <f>IF(A249="","",IF(OR(U249&gt;0,AND(O249="Yes",X249&lt;2)),"Yes","No"))</f>
        <v>0</v>
      </c>
      <c r="AB249" s="8">
        <f>IF(OR(A249="",D249=""),"",S249*D249)</f>
        <v>0</v>
      </c>
      <c r="AC249" s="8">
        <f>IF(AB249="","",COUNTIFS($AB$5:$AB$304,"&gt;"&amp;AB249)+1)</f>
        <v>0</v>
      </c>
      <c r="AD249" s="8">
        <f>IF(A249="","",SUMIFS('Food Waste'!$E$5:$E$154,'Food Waste'!$C$5:$C$154,A249))</f>
        <v>0</v>
      </c>
      <c r="AE249" s="8">
        <f>IF(OR(A249="",AD249=0),"",COUNTIFS($AD$5:$AD$304,"&gt;"&amp;AD249)+1)</f>
        <v>0</v>
      </c>
      <c r="AF249" s="8">
        <f>IF(A249="","",IF(SUMPRODUCT(MAX(('Grocery Spending'!$E$5:$E$404=A249)*'Grocery Spending'!$A$5:$A$404))=0,"",SUMPRODUCT(MAX(('Grocery Spending'!$E$5:$E$404=A249)*'Grocery Spending'!$A$5:$A$404))))</f>
        <v>0</v>
      </c>
      <c r="AG249" s="8">
        <f>IF(OR(A249="",AF249=""),"",IFERROR(AVERAGEIFS('Grocery Spending'!$I$5:$I$404,'Grocery Spending'!$E$5:$E$404,A249,'Grocery Spending'!$A$5:$A$404,AF249),""))</f>
        <v>0</v>
      </c>
      <c r="AH249" s="8">
        <f>IF(A249="","",IFERROR(AVERAGEIFS('Grocery Spending'!$I$5:$I$404,'Grocery Spending'!$E$5:$E$404,A249),""))</f>
        <v>0</v>
      </c>
      <c r="AI249" s="8">
        <f>IF(A249="","",IF(SUMPRODUCT(MIN(('Grocery Spending'!$E$5:$E$404=A249)*'Grocery Spending'!$I$5:$I$404+('Grocery Spending'!$E$5:$E$404&lt;&gt;A249)*1000000))&gt;=1000000,"",SUMPRODUCT(MIN(('Grocery Spending'!$E$5:$E$404=A249)*'Grocery Spending'!$I$5:$I$404+('Grocery Spending'!$E$5:$E$404&lt;&gt;A249)*1000000))))</f>
        <v>0</v>
      </c>
      <c r="AJ249" s="8">
        <f>IF(A249="","",SUMPRODUCT(MAX(('Grocery Spending'!$E$5:$E$404=A249)*'Grocery Spending'!$I$5:$I$404)))</f>
        <v>0</v>
      </c>
      <c r="AK249" s="8">
        <f>IF(OR(A249="",AI249="",AJ249=0),"",AJ249-AI249)</f>
        <v>0</v>
      </c>
      <c r="AL249" s="8">
        <f>IF(OR(A249="",AG249="",AH249=""),"",AG249-AH249)</f>
        <v>0</v>
      </c>
      <c r="AM249" s="8">
        <f>IF(A249="","",IF(AL249="","",IF(AL249&gt;0.01,"Up",IF(AL249&lt;-0.01,"Down","Flat"))))</f>
        <v>0</v>
      </c>
      <c r="AN249" s="25"/>
    </row>
    <row r="250" spans="1:40">
      <c r="A250" s="7"/>
      <c r="B250" s="27"/>
      <c r="C250" s="27"/>
      <c r="D250" s="28"/>
      <c r="E250" s="27"/>
      <c r="F250" s="26"/>
      <c r="G250" s="8">
        <f>IF(OR(D250="",F250="",F250=0),"",D250/F250)</f>
        <v>0</v>
      </c>
      <c r="H250" s="26"/>
      <c r="I250" s="26"/>
      <c r="J250" s="26"/>
      <c r="K250" s="26"/>
      <c r="L250" s="26"/>
      <c r="M250" s="26"/>
      <c r="N250" s="27"/>
      <c r="O250" s="27"/>
      <c r="P250" s="27"/>
      <c r="Q250" s="27"/>
      <c r="R250" s="7"/>
      <c r="S250" s="8">
        <f>IF(A250="","",SUMIFS(Pantry!$C$5:$C$304,Pantry!$A$5:$A$304,A250))</f>
        <v>0</v>
      </c>
      <c r="T250" s="8">
        <f>IF(A250="","",COUNTIFS('Grocery List'!$A$5:$A$304,A250,'Grocery List'!$N$5:$N$304,"Yes"))</f>
        <v>0</v>
      </c>
      <c r="U250" s="8">
        <f>IF(A250="","",SUMIFS('Grocery List'!$M$5:$M$304,'Grocery List'!$A$5:$A$304,A250))</f>
        <v>0</v>
      </c>
      <c r="V250" s="8">
        <f>IF(A250="","",COUNTIFS('Recipe Ingredients'!$B$5:$B$1204,A250))</f>
        <v>0</v>
      </c>
      <c r="W250" s="8">
        <f>IF(A250="","",SUMIFS('Recipe Ingredients'!$C$5:$C$1204,'Recipe Ingredients'!$B$5:$B$1204,A250))</f>
        <v>0</v>
      </c>
      <c r="X250" s="8">
        <f>IF(A250="","",IF(U250&lt;=0,IF(S250&gt;0,99,0),ROUND(S250/U250,1)))</f>
        <v>0</v>
      </c>
      <c r="Y250" s="8">
        <f>IF(A250="","",U250*10+IF(O250="Yes",5,0)+IF(X250&lt;1,10,0)+IF(S250&lt;=0,3,0))</f>
        <v>0</v>
      </c>
      <c r="Z250" s="8">
        <f>IF(A250="","",COUNTIFS($Y$5:$Y$304,"&gt;"&amp;Y250)+1)</f>
        <v>0</v>
      </c>
      <c r="AA250" s="8">
        <f>IF(A250="","",IF(OR(U250&gt;0,AND(O250="Yes",X250&lt;2)),"Yes","No"))</f>
        <v>0</v>
      </c>
      <c r="AB250" s="8">
        <f>IF(OR(A250="",D250=""),"",S250*D250)</f>
        <v>0</v>
      </c>
      <c r="AC250" s="8">
        <f>IF(AB250="","",COUNTIFS($AB$5:$AB$304,"&gt;"&amp;AB250)+1)</f>
        <v>0</v>
      </c>
      <c r="AD250" s="8">
        <f>IF(A250="","",SUMIFS('Food Waste'!$E$5:$E$154,'Food Waste'!$C$5:$C$154,A250))</f>
        <v>0</v>
      </c>
      <c r="AE250" s="8">
        <f>IF(OR(A250="",AD250=0),"",COUNTIFS($AD$5:$AD$304,"&gt;"&amp;AD250)+1)</f>
        <v>0</v>
      </c>
      <c r="AF250" s="8">
        <f>IF(A250="","",IF(SUMPRODUCT(MAX(('Grocery Spending'!$E$5:$E$404=A250)*'Grocery Spending'!$A$5:$A$404))=0,"",SUMPRODUCT(MAX(('Grocery Spending'!$E$5:$E$404=A250)*'Grocery Spending'!$A$5:$A$404))))</f>
        <v>0</v>
      </c>
      <c r="AG250" s="8">
        <f>IF(OR(A250="",AF250=""),"",IFERROR(AVERAGEIFS('Grocery Spending'!$I$5:$I$404,'Grocery Spending'!$E$5:$E$404,A250,'Grocery Spending'!$A$5:$A$404,AF250),""))</f>
        <v>0</v>
      </c>
      <c r="AH250" s="8">
        <f>IF(A250="","",IFERROR(AVERAGEIFS('Grocery Spending'!$I$5:$I$404,'Grocery Spending'!$E$5:$E$404,A250),""))</f>
        <v>0</v>
      </c>
      <c r="AI250" s="8">
        <f>IF(A250="","",IF(SUMPRODUCT(MIN(('Grocery Spending'!$E$5:$E$404=A250)*'Grocery Spending'!$I$5:$I$404+('Grocery Spending'!$E$5:$E$404&lt;&gt;A250)*1000000))&gt;=1000000,"",SUMPRODUCT(MIN(('Grocery Spending'!$E$5:$E$404=A250)*'Grocery Spending'!$I$5:$I$404+('Grocery Spending'!$E$5:$E$404&lt;&gt;A250)*1000000))))</f>
        <v>0</v>
      </c>
      <c r="AJ250" s="8">
        <f>IF(A250="","",SUMPRODUCT(MAX(('Grocery Spending'!$E$5:$E$404=A250)*'Grocery Spending'!$I$5:$I$404)))</f>
        <v>0</v>
      </c>
      <c r="AK250" s="8">
        <f>IF(OR(A250="",AI250="",AJ250=0),"",AJ250-AI250)</f>
        <v>0</v>
      </c>
      <c r="AL250" s="8">
        <f>IF(OR(A250="",AG250="",AH250=""),"",AG250-AH250)</f>
        <v>0</v>
      </c>
      <c r="AM250" s="8">
        <f>IF(A250="","",IF(AL250="","",IF(AL250&gt;0.01,"Up",IF(AL250&lt;-0.01,"Down","Flat"))))</f>
        <v>0</v>
      </c>
      <c r="AN250" s="25"/>
    </row>
    <row r="251" spans="1:40">
      <c r="A251" s="7"/>
      <c r="B251" s="27"/>
      <c r="C251" s="27"/>
      <c r="D251" s="28"/>
      <c r="E251" s="27"/>
      <c r="F251" s="26"/>
      <c r="G251" s="8">
        <f>IF(OR(D251="",F251="",F251=0),"",D251/F251)</f>
        <v>0</v>
      </c>
      <c r="H251" s="26"/>
      <c r="I251" s="26"/>
      <c r="J251" s="26"/>
      <c r="K251" s="26"/>
      <c r="L251" s="26"/>
      <c r="M251" s="26"/>
      <c r="N251" s="27"/>
      <c r="O251" s="27"/>
      <c r="P251" s="27"/>
      <c r="Q251" s="27"/>
      <c r="R251" s="7"/>
      <c r="S251" s="8">
        <f>IF(A251="","",SUMIFS(Pantry!$C$5:$C$304,Pantry!$A$5:$A$304,A251))</f>
        <v>0</v>
      </c>
      <c r="T251" s="8">
        <f>IF(A251="","",COUNTIFS('Grocery List'!$A$5:$A$304,A251,'Grocery List'!$N$5:$N$304,"Yes"))</f>
        <v>0</v>
      </c>
      <c r="U251" s="8">
        <f>IF(A251="","",SUMIFS('Grocery List'!$M$5:$M$304,'Grocery List'!$A$5:$A$304,A251))</f>
        <v>0</v>
      </c>
      <c r="V251" s="8">
        <f>IF(A251="","",COUNTIFS('Recipe Ingredients'!$B$5:$B$1204,A251))</f>
        <v>0</v>
      </c>
      <c r="W251" s="8">
        <f>IF(A251="","",SUMIFS('Recipe Ingredients'!$C$5:$C$1204,'Recipe Ingredients'!$B$5:$B$1204,A251))</f>
        <v>0</v>
      </c>
      <c r="X251" s="8">
        <f>IF(A251="","",IF(U251&lt;=0,IF(S251&gt;0,99,0),ROUND(S251/U251,1)))</f>
        <v>0</v>
      </c>
      <c r="Y251" s="8">
        <f>IF(A251="","",U251*10+IF(O251="Yes",5,0)+IF(X251&lt;1,10,0)+IF(S251&lt;=0,3,0))</f>
        <v>0</v>
      </c>
      <c r="Z251" s="8">
        <f>IF(A251="","",COUNTIFS($Y$5:$Y$304,"&gt;"&amp;Y251)+1)</f>
        <v>0</v>
      </c>
      <c r="AA251" s="8">
        <f>IF(A251="","",IF(OR(U251&gt;0,AND(O251="Yes",X251&lt;2)),"Yes","No"))</f>
        <v>0</v>
      </c>
      <c r="AB251" s="8">
        <f>IF(OR(A251="",D251=""),"",S251*D251)</f>
        <v>0</v>
      </c>
      <c r="AC251" s="8">
        <f>IF(AB251="","",COUNTIFS($AB$5:$AB$304,"&gt;"&amp;AB251)+1)</f>
        <v>0</v>
      </c>
      <c r="AD251" s="8">
        <f>IF(A251="","",SUMIFS('Food Waste'!$E$5:$E$154,'Food Waste'!$C$5:$C$154,A251))</f>
        <v>0</v>
      </c>
      <c r="AE251" s="8">
        <f>IF(OR(A251="",AD251=0),"",COUNTIFS($AD$5:$AD$304,"&gt;"&amp;AD251)+1)</f>
        <v>0</v>
      </c>
      <c r="AF251" s="8">
        <f>IF(A251="","",IF(SUMPRODUCT(MAX(('Grocery Spending'!$E$5:$E$404=A251)*'Grocery Spending'!$A$5:$A$404))=0,"",SUMPRODUCT(MAX(('Grocery Spending'!$E$5:$E$404=A251)*'Grocery Spending'!$A$5:$A$404))))</f>
        <v>0</v>
      </c>
      <c r="AG251" s="8">
        <f>IF(OR(A251="",AF251=""),"",IFERROR(AVERAGEIFS('Grocery Spending'!$I$5:$I$404,'Grocery Spending'!$E$5:$E$404,A251,'Grocery Spending'!$A$5:$A$404,AF251),""))</f>
        <v>0</v>
      </c>
      <c r="AH251" s="8">
        <f>IF(A251="","",IFERROR(AVERAGEIFS('Grocery Spending'!$I$5:$I$404,'Grocery Spending'!$E$5:$E$404,A251),""))</f>
        <v>0</v>
      </c>
      <c r="AI251" s="8">
        <f>IF(A251="","",IF(SUMPRODUCT(MIN(('Grocery Spending'!$E$5:$E$404=A251)*'Grocery Spending'!$I$5:$I$404+('Grocery Spending'!$E$5:$E$404&lt;&gt;A251)*1000000))&gt;=1000000,"",SUMPRODUCT(MIN(('Grocery Spending'!$E$5:$E$404=A251)*'Grocery Spending'!$I$5:$I$404+('Grocery Spending'!$E$5:$E$404&lt;&gt;A251)*1000000))))</f>
        <v>0</v>
      </c>
      <c r="AJ251" s="8">
        <f>IF(A251="","",SUMPRODUCT(MAX(('Grocery Spending'!$E$5:$E$404=A251)*'Grocery Spending'!$I$5:$I$404)))</f>
        <v>0</v>
      </c>
      <c r="AK251" s="8">
        <f>IF(OR(A251="",AI251="",AJ251=0),"",AJ251-AI251)</f>
        <v>0</v>
      </c>
      <c r="AL251" s="8">
        <f>IF(OR(A251="",AG251="",AH251=""),"",AG251-AH251)</f>
        <v>0</v>
      </c>
      <c r="AM251" s="8">
        <f>IF(A251="","",IF(AL251="","",IF(AL251&gt;0.01,"Up",IF(AL251&lt;-0.01,"Down","Flat"))))</f>
        <v>0</v>
      </c>
      <c r="AN251" s="25"/>
    </row>
    <row r="252" spans="1:40">
      <c r="A252" s="7"/>
      <c r="B252" s="27"/>
      <c r="C252" s="27"/>
      <c r="D252" s="28"/>
      <c r="E252" s="27"/>
      <c r="F252" s="26"/>
      <c r="G252" s="8">
        <f>IF(OR(D252="",F252="",F252=0),"",D252/F252)</f>
        <v>0</v>
      </c>
      <c r="H252" s="26"/>
      <c r="I252" s="26"/>
      <c r="J252" s="26"/>
      <c r="K252" s="26"/>
      <c r="L252" s="26"/>
      <c r="M252" s="26"/>
      <c r="N252" s="27"/>
      <c r="O252" s="27"/>
      <c r="P252" s="27"/>
      <c r="Q252" s="27"/>
      <c r="R252" s="7"/>
      <c r="S252" s="8">
        <f>IF(A252="","",SUMIFS(Pantry!$C$5:$C$304,Pantry!$A$5:$A$304,A252))</f>
        <v>0</v>
      </c>
      <c r="T252" s="8">
        <f>IF(A252="","",COUNTIFS('Grocery List'!$A$5:$A$304,A252,'Grocery List'!$N$5:$N$304,"Yes"))</f>
        <v>0</v>
      </c>
      <c r="U252" s="8">
        <f>IF(A252="","",SUMIFS('Grocery List'!$M$5:$M$304,'Grocery List'!$A$5:$A$304,A252))</f>
        <v>0</v>
      </c>
      <c r="V252" s="8">
        <f>IF(A252="","",COUNTIFS('Recipe Ingredients'!$B$5:$B$1204,A252))</f>
        <v>0</v>
      </c>
      <c r="W252" s="8">
        <f>IF(A252="","",SUMIFS('Recipe Ingredients'!$C$5:$C$1204,'Recipe Ingredients'!$B$5:$B$1204,A252))</f>
        <v>0</v>
      </c>
      <c r="X252" s="8">
        <f>IF(A252="","",IF(U252&lt;=0,IF(S252&gt;0,99,0),ROUND(S252/U252,1)))</f>
        <v>0</v>
      </c>
      <c r="Y252" s="8">
        <f>IF(A252="","",U252*10+IF(O252="Yes",5,0)+IF(X252&lt;1,10,0)+IF(S252&lt;=0,3,0))</f>
        <v>0</v>
      </c>
      <c r="Z252" s="8">
        <f>IF(A252="","",COUNTIFS($Y$5:$Y$304,"&gt;"&amp;Y252)+1)</f>
        <v>0</v>
      </c>
      <c r="AA252" s="8">
        <f>IF(A252="","",IF(OR(U252&gt;0,AND(O252="Yes",X252&lt;2)),"Yes","No"))</f>
        <v>0</v>
      </c>
      <c r="AB252" s="8">
        <f>IF(OR(A252="",D252=""),"",S252*D252)</f>
        <v>0</v>
      </c>
      <c r="AC252" s="8">
        <f>IF(AB252="","",COUNTIFS($AB$5:$AB$304,"&gt;"&amp;AB252)+1)</f>
        <v>0</v>
      </c>
      <c r="AD252" s="8">
        <f>IF(A252="","",SUMIFS('Food Waste'!$E$5:$E$154,'Food Waste'!$C$5:$C$154,A252))</f>
        <v>0</v>
      </c>
      <c r="AE252" s="8">
        <f>IF(OR(A252="",AD252=0),"",COUNTIFS($AD$5:$AD$304,"&gt;"&amp;AD252)+1)</f>
        <v>0</v>
      </c>
      <c r="AF252" s="8">
        <f>IF(A252="","",IF(SUMPRODUCT(MAX(('Grocery Spending'!$E$5:$E$404=A252)*'Grocery Spending'!$A$5:$A$404))=0,"",SUMPRODUCT(MAX(('Grocery Spending'!$E$5:$E$404=A252)*'Grocery Spending'!$A$5:$A$404))))</f>
        <v>0</v>
      </c>
      <c r="AG252" s="8">
        <f>IF(OR(A252="",AF252=""),"",IFERROR(AVERAGEIFS('Grocery Spending'!$I$5:$I$404,'Grocery Spending'!$E$5:$E$404,A252,'Grocery Spending'!$A$5:$A$404,AF252),""))</f>
        <v>0</v>
      </c>
      <c r="AH252" s="8">
        <f>IF(A252="","",IFERROR(AVERAGEIFS('Grocery Spending'!$I$5:$I$404,'Grocery Spending'!$E$5:$E$404,A252),""))</f>
        <v>0</v>
      </c>
      <c r="AI252" s="8">
        <f>IF(A252="","",IF(SUMPRODUCT(MIN(('Grocery Spending'!$E$5:$E$404=A252)*'Grocery Spending'!$I$5:$I$404+('Grocery Spending'!$E$5:$E$404&lt;&gt;A252)*1000000))&gt;=1000000,"",SUMPRODUCT(MIN(('Grocery Spending'!$E$5:$E$404=A252)*'Grocery Spending'!$I$5:$I$404+('Grocery Spending'!$E$5:$E$404&lt;&gt;A252)*1000000))))</f>
        <v>0</v>
      </c>
      <c r="AJ252" s="8">
        <f>IF(A252="","",SUMPRODUCT(MAX(('Grocery Spending'!$E$5:$E$404=A252)*'Grocery Spending'!$I$5:$I$404)))</f>
        <v>0</v>
      </c>
      <c r="AK252" s="8">
        <f>IF(OR(A252="",AI252="",AJ252=0),"",AJ252-AI252)</f>
        <v>0</v>
      </c>
      <c r="AL252" s="8">
        <f>IF(OR(A252="",AG252="",AH252=""),"",AG252-AH252)</f>
        <v>0</v>
      </c>
      <c r="AM252" s="8">
        <f>IF(A252="","",IF(AL252="","",IF(AL252&gt;0.01,"Up",IF(AL252&lt;-0.01,"Down","Flat"))))</f>
        <v>0</v>
      </c>
      <c r="AN252" s="25"/>
    </row>
    <row r="253" spans="1:40">
      <c r="A253" s="7"/>
      <c r="B253" s="27"/>
      <c r="C253" s="27"/>
      <c r="D253" s="28"/>
      <c r="E253" s="27"/>
      <c r="F253" s="26"/>
      <c r="G253" s="8">
        <f>IF(OR(D253="",F253="",F253=0),"",D253/F253)</f>
        <v>0</v>
      </c>
      <c r="H253" s="26"/>
      <c r="I253" s="26"/>
      <c r="J253" s="26"/>
      <c r="K253" s="26"/>
      <c r="L253" s="26"/>
      <c r="M253" s="26"/>
      <c r="N253" s="27"/>
      <c r="O253" s="27"/>
      <c r="P253" s="27"/>
      <c r="Q253" s="27"/>
      <c r="R253" s="7"/>
      <c r="S253" s="8">
        <f>IF(A253="","",SUMIFS(Pantry!$C$5:$C$304,Pantry!$A$5:$A$304,A253))</f>
        <v>0</v>
      </c>
      <c r="T253" s="8">
        <f>IF(A253="","",COUNTIFS('Grocery List'!$A$5:$A$304,A253,'Grocery List'!$N$5:$N$304,"Yes"))</f>
        <v>0</v>
      </c>
      <c r="U253" s="8">
        <f>IF(A253="","",SUMIFS('Grocery List'!$M$5:$M$304,'Grocery List'!$A$5:$A$304,A253))</f>
        <v>0</v>
      </c>
      <c r="V253" s="8">
        <f>IF(A253="","",COUNTIFS('Recipe Ingredients'!$B$5:$B$1204,A253))</f>
        <v>0</v>
      </c>
      <c r="W253" s="8">
        <f>IF(A253="","",SUMIFS('Recipe Ingredients'!$C$5:$C$1204,'Recipe Ingredients'!$B$5:$B$1204,A253))</f>
        <v>0</v>
      </c>
      <c r="X253" s="8">
        <f>IF(A253="","",IF(U253&lt;=0,IF(S253&gt;0,99,0),ROUND(S253/U253,1)))</f>
        <v>0</v>
      </c>
      <c r="Y253" s="8">
        <f>IF(A253="","",U253*10+IF(O253="Yes",5,0)+IF(X253&lt;1,10,0)+IF(S253&lt;=0,3,0))</f>
        <v>0</v>
      </c>
      <c r="Z253" s="8">
        <f>IF(A253="","",COUNTIFS($Y$5:$Y$304,"&gt;"&amp;Y253)+1)</f>
        <v>0</v>
      </c>
      <c r="AA253" s="8">
        <f>IF(A253="","",IF(OR(U253&gt;0,AND(O253="Yes",X253&lt;2)),"Yes","No"))</f>
        <v>0</v>
      </c>
      <c r="AB253" s="8">
        <f>IF(OR(A253="",D253=""),"",S253*D253)</f>
        <v>0</v>
      </c>
      <c r="AC253" s="8">
        <f>IF(AB253="","",COUNTIFS($AB$5:$AB$304,"&gt;"&amp;AB253)+1)</f>
        <v>0</v>
      </c>
      <c r="AD253" s="8">
        <f>IF(A253="","",SUMIFS('Food Waste'!$E$5:$E$154,'Food Waste'!$C$5:$C$154,A253))</f>
        <v>0</v>
      </c>
      <c r="AE253" s="8">
        <f>IF(OR(A253="",AD253=0),"",COUNTIFS($AD$5:$AD$304,"&gt;"&amp;AD253)+1)</f>
        <v>0</v>
      </c>
      <c r="AF253" s="8">
        <f>IF(A253="","",IF(SUMPRODUCT(MAX(('Grocery Spending'!$E$5:$E$404=A253)*'Grocery Spending'!$A$5:$A$404))=0,"",SUMPRODUCT(MAX(('Grocery Spending'!$E$5:$E$404=A253)*'Grocery Spending'!$A$5:$A$404))))</f>
        <v>0</v>
      </c>
      <c r="AG253" s="8">
        <f>IF(OR(A253="",AF253=""),"",IFERROR(AVERAGEIFS('Grocery Spending'!$I$5:$I$404,'Grocery Spending'!$E$5:$E$404,A253,'Grocery Spending'!$A$5:$A$404,AF253),""))</f>
        <v>0</v>
      </c>
      <c r="AH253" s="8">
        <f>IF(A253="","",IFERROR(AVERAGEIFS('Grocery Spending'!$I$5:$I$404,'Grocery Spending'!$E$5:$E$404,A253),""))</f>
        <v>0</v>
      </c>
      <c r="AI253" s="8">
        <f>IF(A253="","",IF(SUMPRODUCT(MIN(('Grocery Spending'!$E$5:$E$404=A253)*'Grocery Spending'!$I$5:$I$404+('Grocery Spending'!$E$5:$E$404&lt;&gt;A253)*1000000))&gt;=1000000,"",SUMPRODUCT(MIN(('Grocery Spending'!$E$5:$E$404=A253)*'Grocery Spending'!$I$5:$I$404+('Grocery Spending'!$E$5:$E$404&lt;&gt;A253)*1000000))))</f>
        <v>0</v>
      </c>
      <c r="AJ253" s="8">
        <f>IF(A253="","",SUMPRODUCT(MAX(('Grocery Spending'!$E$5:$E$404=A253)*'Grocery Spending'!$I$5:$I$404)))</f>
        <v>0</v>
      </c>
      <c r="AK253" s="8">
        <f>IF(OR(A253="",AI253="",AJ253=0),"",AJ253-AI253)</f>
        <v>0</v>
      </c>
      <c r="AL253" s="8">
        <f>IF(OR(A253="",AG253="",AH253=""),"",AG253-AH253)</f>
        <v>0</v>
      </c>
      <c r="AM253" s="8">
        <f>IF(A253="","",IF(AL253="","",IF(AL253&gt;0.01,"Up",IF(AL253&lt;-0.01,"Down","Flat"))))</f>
        <v>0</v>
      </c>
      <c r="AN253" s="25"/>
    </row>
    <row r="254" spans="1:40">
      <c r="A254" s="7"/>
      <c r="B254" s="27"/>
      <c r="C254" s="27"/>
      <c r="D254" s="28"/>
      <c r="E254" s="27"/>
      <c r="F254" s="26"/>
      <c r="G254" s="8">
        <f>IF(OR(D254="",F254="",F254=0),"",D254/F254)</f>
        <v>0</v>
      </c>
      <c r="H254" s="26"/>
      <c r="I254" s="26"/>
      <c r="J254" s="26"/>
      <c r="K254" s="26"/>
      <c r="L254" s="26"/>
      <c r="M254" s="26"/>
      <c r="N254" s="27"/>
      <c r="O254" s="27"/>
      <c r="P254" s="27"/>
      <c r="Q254" s="27"/>
      <c r="R254" s="7"/>
      <c r="S254" s="8">
        <f>IF(A254="","",SUMIFS(Pantry!$C$5:$C$304,Pantry!$A$5:$A$304,A254))</f>
        <v>0</v>
      </c>
      <c r="T254" s="8">
        <f>IF(A254="","",COUNTIFS('Grocery List'!$A$5:$A$304,A254,'Grocery List'!$N$5:$N$304,"Yes"))</f>
        <v>0</v>
      </c>
      <c r="U254" s="8">
        <f>IF(A254="","",SUMIFS('Grocery List'!$M$5:$M$304,'Grocery List'!$A$5:$A$304,A254))</f>
        <v>0</v>
      </c>
      <c r="V254" s="8">
        <f>IF(A254="","",COUNTIFS('Recipe Ingredients'!$B$5:$B$1204,A254))</f>
        <v>0</v>
      </c>
      <c r="W254" s="8">
        <f>IF(A254="","",SUMIFS('Recipe Ingredients'!$C$5:$C$1204,'Recipe Ingredients'!$B$5:$B$1204,A254))</f>
        <v>0</v>
      </c>
      <c r="X254" s="8">
        <f>IF(A254="","",IF(U254&lt;=0,IF(S254&gt;0,99,0),ROUND(S254/U254,1)))</f>
        <v>0</v>
      </c>
      <c r="Y254" s="8">
        <f>IF(A254="","",U254*10+IF(O254="Yes",5,0)+IF(X254&lt;1,10,0)+IF(S254&lt;=0,3,0))</f>
        <v>0</v>
      </c>
      <c r="Z254" s="8">
        <f>IF(A254="","",COUNTIFS($Y$5:$Y$304,"&gt;"&amp;Y254)+1)</f>
        <v>0</v>
      </c>
      <c r="AA254" s="8">
        <f>IF(A254="","",IF(OR(U254&gt;0,AND(O254="Yes",X254&lt;2)),"Yes","No"))</f>
        <v>0</v>
      </c>
      <c r="AB254" s="8">
        <f>IF(OR(A254="",D254=""),"",S254*D254)</f>
        <v>0</v>
      </c>
      <c r="AC254" s="8">
        <f>IF(AB254="","",COUNTIFS($AB$5:$AB$304,"&gt;"&amp;AB254)+1)</f>
        <v>0</v>
      </c>
      <c r="AD254" s="8">
        <f>IF(A254="","",SUMIFS('Food Waste'!$E$5:$E$154,'Food Waste'!$C$5:$C$154,A254))</f>
        <v>0</v>
      </c>
      <c r="AE254" s="8">
        <f>IF(OR(A254="",AD254=0),"",COUNTIFS($AD$5:$AD$304,"&gt;"&amp;AD254)+1)</f>
        <v>0</v>
      </c>
      <c r="AF254" s="8">
        <f>IF(A254="","",IF(SUMPRODUCT(MAX(('Grocery Spending'!$E$5:$E$404=A254)*'Grocery Spending'!$A$5:$A$404))=0,"",SUMPRODUCT(MAX(('Grocery Spending'!$E$5:$E$404=A254)*'Grocery Spending'!$A$5:$A$404))))</f>
        <v>0</v>
      </c>
      <c r="AG254" s="8">
        <f>IF(OR(A254="",AF254=""),"",IFERROR(AVERAGEIFS('Grocery Spending'!$I$5:$I$404,'Grocery Spending'!$E$5:$E$404,A254,'Grocery Spending'!$A$5:$A$404,AF254),""))</f>
        <v>0</v>
      </c>
      <c r="AH254" s="8">
        <f>IF(A254="","",IFERROR(AVERAGEIFS('Grocery Spending'!$I$5:$I$404,'Grocery Spending'!$E$5:$E$404,A254),""))</f>
        <v>0</v>
      </c>
      <c r="AI254" s="8">
        <f>IF(A254="","",IF(SUMPRODUCT(MIN(('Grocery Spending'!$E$5:$E$404=A254)*'Grocery Spending'!$I$5:$I$404+('Grocery Spending'!$E$5:$E$404&lt;&gt;A254)*1000000))&gt;=1000000,"",SUMPRODUCT(MIN(('Grocery Spending'!$E$5:$E$404=A254)*'Grocery Spending'!$I$5:$I$404+('Grocery Spending'!$E$5:$E$404&lt;&gt;A254)*1000000))))</f>
        <v>0</v>
      </c>
      <c r="AJ254" s="8">
        <f>IF(A254="","",SUMPRODUCT(MAX(('Grocery Spending'!$E$5:$E$404=A254)*'Grocery Spending'!$I$5:$I$404)))</f>
        <v>0</v>
      </c>
      <c r="AK254" s="8">
        <f>IF(OR(A254="",AI254="",AJ254=0),"",AJ254-AI254)</f>
        <v>0</v>
      </c>
      <c r="AL254" s="8">
        <f>IF(OR(A254="",AG254="",AH254=""),"",AG254-AH254)</f>
        <v>0</v>
      </c>
      <c r="AM254" s="8">
        <f>IF(A254="","",IF(AL254="","",IF(AL254&gt;0.01,"Up",IF(AL254&lt;-0.01,"Down","Flat"))))</f>
        <v>0</v>
      </c>
      <c r="AN254" s="25"/>
    </row>
    <row r="255" spans="1:40">
      <c r="A255" s="7"/>
      <c r="B255" s="27"/>
      <c r="C255" s="27"/>
      <c r="D255" s="28"/>
      <c r="E255" s="27"/>
      <c r="F255" s="26"/>
      <c r="G255" s="8">
        <f>IF(OR(D255="",F255="",F255=0),"",D255/F255)</f>
        <v>0</v>
      </c>
      <c r="H255" s="26"/>
      <c r="I255" s="26"/>
      <c r="J255" s="26"/>
      <c r="K255" s="26"/>
      <c r="L255" s="26"/>
      <c r="M255" s="26"/>
      <c r="N255" s="27"/>
      <c r="O255" s="27"/>
      <c r="P255" s="27"/>
      <c r="Q255" s="27"/>
      <c r="R255" s="7"/>
      <c r="S255" s="8">
        <f>IF(A255="","",SUMIFS(Pantry!$C$5:$C$304,Pantry!$A$5:$A$304,A255))</f>
        <v>0</v>
      </c>
      <c r="T255" s="8">
        <f>IF(A255="","",COUNTIFS('Grocery List'!$A$5:$A$304,A255,'Grocery List'!$N$5:$N$304,"Yes"))</f>
        <v>0</v>
      </c>
      <c r="U255" s="8">
        <f>IF(A255="","",SUMIFS('Grocery List'!$M$5:$M$304,'Grocery List'!$A$5:$A$304,A255))</f>
        <v>0</v>
      </c>
      <c r="V255" s="8">
        <f>IF(A255="","",COUNTIFS('Recipe Ingredients'!$B$5:$B$1204,A255))</f>
        <v>0</v>
      </c>
      <c r="W255" s="8">
        <f>IF(A255="","",SUMIFS('Recipe Ingredients'!$C$5:$C$1204,'Recipe Ingredients'!$B$5:$B$1204,A255))</f>
        <v>0</v>
      </c>
      <c r="X255" s="8">
        <f>IF(A255="","",IF(U255&lt;=0,IF(S255&gt;0,99,0),ROUND(S255/U255,1)))</f>
        <v>0</v>
      </c>
      <c r="Y255" s="8">
        <f>IF(A255="","",U255*10+IF(O255="Yes",5,0)+IF(X255&lt;1,10,0)+IF(S255&lt;=0,3,0))</f>
        <v>0</v>
      </c>
      <c r="Z255" s="8">
        <f>IF(A255="","",COUNTIFS($Y$5:$Y$304,"&gt;"&amp;Y255)+1)</f>
        <v>0</v>
      </c>
      <c r="AA255" s="8">
        <f>IF(A255="","",IF(OR(U255&gt;0,AND(O255="Yes",X255&lt;2)),"Yes","No"))</f>
        <v>0</v>
      </c>
      <c r="AB255" s="8">
        <f>IF(OR(A255="",D255=""),"",S255*D255)</f>
        <v>0</v>
      </c>
      <c r="AC255" s="8">
        <f>IF(AB255="","",COUNTIFS($AB$5:$AB$304,"&gt;"&amp;AB255)+1)</f>
        <v>0</v>
      </c>
      <c r="AD255" s="8">
        <f>IF(A255="","",SUMIFS('Food Waste'!$E$5:$E$154,'Food Waste'!$C$5:$C$154,A255))</f>
        <v>0</v>
      </c>
      <c r="AE255" s="8">
        <f>IF(OR(A255="",AD255=0),"",COUNTIFS($AD$5:$AD$304,"&gt;"&amp;AD255)+1)</f>
        <v>0</v>
      </c>
      <c r="AF255" s="8">
        <f>IF(A255="","",IF(SUMPRODUCT(MAX(('Grocery Spending'!$E$5:$E$404=A255)*'Grocery Spending'!$A$5:$A$404))=0,"",SUMPRODUCT(MAX(('Grocery Spending'!$E$5:$E$404=A255)*'Grocery Spending'!$A$5:$A$404))))</f>
        <v>0</v>
      </c>
      <c r="AG255" s="8">
        <f>IF(OR(A255="",AF255=""),"",IFERROR(AVERAGEIFS('Grocery Spending'!$I$5:$I$404,'Grocery Spending'!$E$5:$E$404,A255,'Grocery Spending'!$A$5:$A$404,AF255),""))</f>
        <v>0</v>
      </c>
      <c r="AH255" s="8">
        <f>IF(A255="","",IFERROR(AVERAGEIFS('Grocery Spending'!$I$5:$I$404,'Grocery Spending'!$E$5:$E$404,A255),""))</f>
        <v>0</v>
      </c>
      <c r="AI255" s="8">
        <f>IF(A255="","",IF(SUMPRODUCT(MIN(('Grocery Spending'!$E$5:$E$404=A255)*'Grocery Spending'!$I$5:$I$404+('Grocery Spending'!$E$5:$E$404&lt;&gt;A255)*1000000))&gt;=1000000,"",SUMPRODUCT(MIN(('Grocery Spending'!$E$5:$E$404=A255)*'Grocery Spending'!$I$5:$I$404+('Grocery Spending'!$E$5:$E$404&lt;&gt;A255)*1000000))))</f>
        <v>0</v>
      </c>
      <c r="AJ255" s="8">
        <f>IF(A255="","",SUMPRODUCT(MAX(('Grocery Spending'!$E$5:$E$404=A255)*'Grocery Spending'!$I$5:$I$404)))</f>
        <v>0</v>
      </c>
      <c r="AK255" s="8">
        <f>IF(OR(A255="",AI255="",AJ255=0),"",AJ255-AI255)</f>
        <v>0</v>
      </c>
      <c r="AL255" s="8">
        <f>IF(OR(A255="",AG255="",AH255=""),"",AG255-AH255)</f>
        <v>0</v>
      </c>
      <c r="AM255" s="8">
        <f>IF(A255="","",IF(AL255="","",IF(AL255&gt;0.01,"Up",IF(AL255&lt;-0.01,"Down","Flat"))))</f>
        <v>0</v>
      </c>
      <c r="AN255" s="25"/>
    </row>
    <row r="256" spans="1:40">
      <c r="A256" s="7"/>
      <c r="B256" s="27"/>
      <c r="C256" s="27"/>
      <c r="D256" s="28"/>
      <c r="E256" s="27"/>
      <c r="F256" s="26"/>
      <c r="G256" s="8">
        <f>IF(OR(D256="",F256="",F256=0),"",D256/F256)</f>
        <v>0</v>
      </c>
      <c r="H256" s="26"/>
      <c r="I256" s="26"/>
      <c r="J256" s="26"/>
      <c r="K256" s="26"/>
      <c r="L256" s="26"/>
      <c r="M256" s="26"/>
      <c r="N256" s="27"/>
      <c r="O256" s="27"/>
      <c r="P256" s="27"/>
      <c r="Q256" s="27"/>
      <c r="R256" s="7"/>
      <c r="S256" s="8">
        <f>IF(A256="","",SUMIFS(Pantry!$C$5:$C$304,Pantry!$A$5:$A$304,A256))</f>
        <v>0</v>
      </c>
      <c r="T256" s="8">
        <f>IF(A256="","",COUNTIFS('Grocery List'!$A$5:$A$304,A256,'Grocery List'!$N$5:$N$304,"Yes"))</f>
        <v>0</v>
      </c>
      <c r="U256" s="8">
        <f>IF(A256="","",SUMIFS('Grocery List'!$M$5:$M$304,'Grocery List'!$A$5:$A$304,A256))</f>
        <v>0</v>
      </c>
      <c r="V256" s="8">
        <f>IF(A256="","",COUNTIFS('Recipe Ingredients'!$B$5:$B$1204,A256))</f>
        <v>0</v>
      </c>
      <c r="W256" s="8">
        <f>IF(A256="","",SUMIFS('Recipe Ingredients'!$C$5:$C$1204,'Recipe Ingredients'!$B$5:$B$1204,A256))</f>
        <v>0</v>
      </c>
      <c r="X256" s="8">
        <f>IF(A256="","",IF(U256&lt;=0,IF(S256&gt;0,99,0),ROUND(S256/U256,1)))</f>
        <v>0</v>
      </c>
      <c r="Y256" s="8">
        <f>IF(A256="","",U256*10+IF(O256="Yes",5,0)+IF(X256&lt;1,10,0)+IF(S256&lt;=0,3,0))</f>
        <v>0</v>
      </c>
      <c r="Z256" s="8">
        <f>IF(A256="","",COUNTIFS($Y$5:$Y$304,"&gt;"&amp;Y256)+1)</f>
        <v>0</v>
      </c>
      <c r="AA256" s="8">
        <f>IF(A256="","",IF(OR(U256&gt;0,AND(O256="Yes",X256&lt;2)),"Yes","No"))</f>
        <v>0</v>
      </c>
      <c r="AB256" s="8">
        <f>IF(OR(A256="",D256=""),"",S256*D256)</f>
        <v>0</v>
      </c>
      <c r="AC256" s="8">
        <f>IF(AB256="","",COUNTIFS($AB$5:$AB$304,"&gt;"&amp;AB256)+1)</f>
        <v>0</v>
      </c>
      <c r="AD256" s="8">
        <f>IF(A256="","",SUMIFS('Food Waste'!$E$5:$E$154,'Food Waste'!$C$5:$C$154,A256))</f>
        <v>0</v>
      </c>
      <c r="AE256" s="8">
        <f>IF(OR(A256="",AD256=0),"",COUNTIFS($AD$5:$AD$304,"&gt;"&amp;AD256)+1)</f>
        <v>0</v>
      </c>
      <c r="AF256" s="8">
        <f>IF(A256="","",IF(SUMPRODUCT(MAX(('Grocery Spending'!$E$5:$E$404=A256)*'Grocery Spending'!$A$5:$A$404))=0,"",SUMPRODUCT(MAX(('Grocery Spending'!$E$5:$E$404=A256)*'Grocery Spending'!$A$5:$A$404))))</f>
        <v>0</v>
      </c>
      <c r="AG256" s="8">
        <f>IF(OR(A256="",AF256=""),"",IFERROR(AVERAGEIFS('Grocery Spending'!$I$5:$I$404,'Grocery Spending'!$E$5:$E$404,A256,'Grocery Spending'!$A$5:$A$404,AF256),""))</f>
        <v>0</v>
      </c>
      <c r="AH256" s="8">
        <f>IF(A256="","",IFERROR(AVERAGEIFS('Grocery Spending'!$I$5:$I$404,'Grocery Spending'!$E$5:$E$404,A256),""))</f>
        <v>0</v>
      </c>
      <c r="AI256" s="8">
        <f>IF(A256="","",IF(SUMPRODUCT(MIN(('Grocery Spending'!$E$5:$E$404=A256)*'Grocery Spending'!$I$5:$I$404+('Grocery Spending'!$E$5:$E$404&lt;&gt;A256)*1000000))&gt;=1000000,"",SUMPRODUCT(MIN(('Grocery Spending'!$E$5:$E$404=A256)*'Grocery Spending'!$I$5:$I$404+('Grocery Spending'!$E$5:$E$404&lt;&gt;A256)*1000000))))</f>
        <v>0</v>
      </c>
      <c r="AJ256" s="8">
        <f>IF(A256="","",SUMPRODUCT(MAX(('Grocery Spending'!$E$5:$E$404=A256)*'Grocery Spending'!$I$5:$I$404)))</f>
        <v>0</v>
      </c>
      <c r="AK256" s="8">
        <f>IF(OR(A256="",AI256="",AJ256=0),"",AJ256-AI256)</f>
        <v>0</v>
      </c>
      <c r="AL256" s="8">
        <f>IF(OR(A256="",AG256="",AH256=""),"",AG256-AH256)</f>
        <v>0</v>
      </c>
      <c r="AM256" s="8">
        <f>IF(A256="","",IF(AL256="","",IF(AL256&gt;0.01,"Up",IF(AL256&lt;-0.01,"Down","Flat"))))</f>
        <v>0</v>
      </c>
      <c r="AN256" s="25"/>
    </row>
    <row r="257" spans="1:40">
      <c r="A257" s="7"/>
      <c r="B257" s="27"/>
      <c r="C257" s="27"/>
      <c r="D257" s="28"/>
      <c r="E257" s="27"/>
      <c r="F257" s="26"/>
      <c r="G257" s="8">
        <f>IF(OR(D257="",F257="",F257=0),"",D257/F257)</f>
        <v>0</v>
      </c>
      <c r="H257" s="26"/>
      <c r="I257" s="26"/>
      <c r="J257" s="26"/>
      <c r="K257" s="26"/>
      <c r="L257" s="26"/>
      <c r="M257" s="26"/>
      <c r="N257" s="27"/>
      <c r="O257" s="27"/>
      <c r="P257" s="27"/>
      <c r="Q257" s="27"/>
      <c r="R257" s="7"/>
      <c r="S257" s="8">
        <f>IF(A257="","",SUMIFS(Pantry!$C$5:$C$304,Pantry!$A$5:$A$304,A257))</f>
        <v>0</v>
      </c>
      <c r="T257" s="8">
        <f>IF(A257="","",COUNTIFS('Grocery List'!$A$5:$A$304,A257,'Grocery List'!$N$5:$N$304,"Yes"))</f>
        <v>0</v>
      </c>
      <c r="U257" s="8">
        <f>IF(A257="","",SUMIFS('Grocery List'!$M$5:$M$304,'Grocery List'!$A$5:$A$304,A257))</f>
        <v>0</v>
      </c>
      <c r="V257" s="8">
        <f>IF(A257="","",COUNTIFS('Recipe Ingredients'!$B$5:$B$1204,A257))</f>
        <v>0</v>
      </c>
      <c r="W257" s="8">
        <f>IF(A257="","",SUMIFS('Recipe Ingredients'!$C$5:$C$1204,'Recipe Ingredients'!$B$5:$B$1204,A257))</f>
        <v>0</v>
      </c>
      <c r="X257" s="8">
        <f>IF(A257="","",IF(U257&lt;=0,IF(S257&gt;0,99,0),ROUND(S257/U257,1)))</f>
        <v>0</v>
      </c>
      <c r="Y257" s="8">
        <f>IF(A257="","",U257*10+IF(O257="Yes",5,0)+IF(X257&lt;1,10,0)+IF(S257&lt;=0,3,0))</f>
        <v>0</v>
      </c>
      <c r="Z257" s="8">
        <f>IF(A257="","",COUNTIFS($Y$5:$Y$304,"&gt;"&amp;Y257)+1)</f>
        <v>0</v>
      </c>
      <c r="AA257" s="8">
        <f>IF(A257="","",IF(OR(U257&gt;0,AND(O257="Yes",X257&lt;2)),"Yes","No"))</f>
        <v>0</v>
      </c>
      <c r="AB257" s="8">
        <f>IF(OR(A257="",D257=""),"",S257*D257)</f>
        <v>0</v>
      </c>
      <c r="AC257" s="8">
        <f>IF(AB257="","",COUNTIFS($AB$5:$AB$304,"&gt;"&amp;AB257)+1)</f>
        <v>0</v>
      </c>
      <c r="AD257" s="8">
        <f>IF(A257="","",SUMIFS('Food Waste'!$E$5:$E$154,'Food Waste'!$C$5:$C$154,A257))</f>
        <v>0</v>
      </c>
      <c r="AE257" s="8">
        <f>IF(OR(A257="",AD257=0),"",COUNTIFS($AD$5:$AD$304,"&gt;"&amp;AD257)+1)</f>
        <v>0</v>
      </c>
      <c r="AF257" s="8">
        <f>IF(A257="","",IF(SUMPRODUCT(MAX(('Grocery Spending'!$E$5:$E$404=A257)*'Grocery Spending'!$A$5:$A$404))=0,"",SUMPRODUCT(MAX(('Grocery Spending'!$E$5:$E$404=A257)*'Grocery Spending'!$A$5:$A$404))))</f>
        <v>0</v>
      </c>
      <c r="AG257" s="8">
        <f>IF(OR(A257="",AF257=""),"",IFERROR(AVERAGEIFS('Grocery Spending'!$I$5:$I$404,'Grocery Spending'!$E$5:$E$404,A257,'Grocery Spending'!$A$5:$A$404,AF257),""))</f>
        <v>0</v>
      </c>
      <c r="AH257" s="8">
        <f>IF(A257="","",IFERROR(AVERAGEIFS('Grocery Spending'!$I$5:$I$404,'Grocery Spending'!$E$5:$E$404,A257),""))</f>
        <v>0</v>
      </c>
      <c r="AI257" s="8">
        <f>IF(A257="","",IF(SUMPRODUCT(MIN(('Grocery Spending'!$E$5:$E$404=A257)*'Grocery Spending'!$I$5:$I$404+('Grocery Spending'!$E$5:$E$404&lt;&gt;A257)*1000000))&gt;=1000000,"",SUMPRODUCT(MIN(('Grocery Spending'!$E$5:$E$404=A257)*'Grocery Spending'!$I$5:$I$404+('Grocery Spending'!$E$5:$E$404&lt;&gt;A257)*1000000))))</f>
        <v>0</v>
      </c>
      <c r="AJ257" s="8">
        <f>IF(A257="","",SUMPRODUCT(MAX(('Grocery Spending'!$E$5:$E$404=A257)*'Grocery Spending'!$I$5:$I$404)))</f>
        <v>0</v>
      </c>
      <c r="AK257" s="8">
        <f>IF(OR(A257="",AI257="",AJ257=0),"",AJ257-AI257)</f>
        <v>0</v>
      </c>
      <c r="AL257" s="8">
        <f>IF(OR(A257="",AG257="",AH257=""),"",AG257-AH257)</f>
        <v>0</v>
      </c>
      <c r="AM257" s="8">
        <f>IF(A257="","",IF(AL257="","",IF(AL257&gt;0.01,"Up",IF(AL257&lt;-0.01,"Down","Flat"))))</f>
        <v>0</v>
      </c>
      <c r="AN257" s="25"/>
    </row>
    <row r="258" spans="1:40">
      <c r="A258" s="7"/>
      <c r="B258" s="27"/>
      <c r="C258" s="27"/>
      <c r="D258" s="28"/>
      <c r="E258" s="27"/>
      <c r="F258" s="26"/>
      <c r="G258" s="8">
        <f>IF(OR(D258="",F258="",F258=0),"",D258/F258)</f>
        <v>0</v>
      </c>
      <c r="H258" s="26"/>
      <c r="I258" s="26"/>
      <c r="J258" s="26"/>
      <c r="K258" s="26"/>
      <c r="L258" s="26"/>
      <c r="M258" s="26"/>
      <c r="N258" s="27"/>
      <c r="O258" s="27"/>
      <c r="P258" s="27"/>
      <c r="Q258" s="27"/>
      <c r="R258" s="7"/>
      <c r="S258" s="8">
        <f>IF(A258="","",SUMIFS(Pantry!$C$5:$C$304,Pantry!$A$5:$A$304,A258))</f>
        <v>0</v>
      </c>
      <c r="T258" s="8">
        <f>IF(A258="","",COUNTIFS('Grocery List'!$A$5:$A$304,A258,'Grocery List'!$N$5:$N$304,"Yes"))</f>
        <v>0</v>
      </c>
      <c r="U258" s="8">
        <f>IF(A258="","",SUMIFS('Grocery List'!$M$5:$M$304,'Grocery List'!$A$5:$A$304,A258))</f>
        <v>0</v>
      </c>
      <c r="V258" s="8">
        <f>IF(A258="","",COUNTIFS('Recipe Ingredients'!$B$5:$B$1204,A258))</f>
        <v>0</v>
      </c>
      <c r="W258" s="8">
        <f>IF(A258="","",SUMIFS('Recipe Ingredients'!$C$5:$C$1204,'Recipe Ingredients'!$B$5:$B$1204,A258))</f>
        <v>0</v>
      </c>
      <c r="X258" s="8">
        <f>IF(A258="","",IF(U258&lt;=0,IF(S258&gt;0,99,0),ROUND(S258/U258,1)))</f>
        <v>0</v>
      </c>
      <c r="Y258" s="8">
        <f>IF(A258="","",U258*10+IF(O258="Yes",5,0)+IF(X258&lt;1,10,0)+IF(S258&lt;=0,3,0))</f>
        <v>0</v>
      </c>
      <c r="Z258" s="8">
        <f>IF(A258="","",COUNTIFS($Y$5:$Y$304,"&gt;"&amp;Y258)+1)</f>
        <v>0</v>
      </c>
      <c r="AA258" s="8">
        <f>IF(A258="","",IF(OR(U258&gt;0,AND(O258="Yes",X258&lt;2)),"Yes","No"))</f>
        <v>0</v>
      </c>
      <c r="AB258" s="8">
        <f>IF(OR(A258="",D258=""),"",S258*D258)</f>
        <v>0</v>
      </c>
      <c r="AC258" s="8">
        <f>IF(AB258="","",COUNTIFS($AB$5:$AB$304,"&gt;"&amp;AB258)+1)</f>
        <v>0</v>
      </c>
      <c r="AD258" s="8">
        <f>IF(A258="","",SUMIFS('Food Waste'!$E$5:$E$154,'Food Waste'!$C$5:$C$154,A258))</f>
        <v>0</v>
      </c>
      <c r="AE258" s="8">
        <f>IF(OR(A258="",AD258=0),"",COUNTIFS($AD$5:$AD$304,"&gt;"&amp;AD258)+1)</f>
        <v>0</v>
      </c>
      <c r="AF258" s="8">
        <f>IF(A258="","",IF(SUMPRODUCT(MAX(('Grocery Spending'!$E$5:$E$404=A258)*'Grocery Spending'!$A$5:$A$404))=0,"",SUMPRODUCT(MAX(('Grocery Spending'!$E$5:$E$404=A258)*'Grocery Spending'!$A$5:$A$404))))</f>
        <v>0</v>
      </c>
      <c r="AG258" s="8">
        <f>IF(OR(A258="",AF258=""),"",IFERROR(AVERAGEIFS('Grocery Spending'!$I$5:$I$404,'Grocery Spending'!$E$5:$E$404,A258,'Grocery Spending'!$A$5:$A$404,AF258),""))</f>
        <v>0</v>
      </c>
      <c r="AH258" s="8">
        <f>IF(A258="","",IFERROR(AVERAGEIFS('Grocery Spending'!$I$5:$I$404,'Grocery Spending'!$E$5:$E$404,A258),""))</f>
        <v>0</v>
      </c>
      <c r="AI258" s="8">
        <f>IF(A258="","",IF(SUMPRODUCT(MIN(('Grocery Spending'!$E$5:$E$404=A258)*'Grocery Spending'!$I$5:$I$404+('Grocery Spending'!$E$5:$E$404&lt;&gt;A258)*1000000))&gt;=1000000,"",SUMPRODUCT(MIN(('Grocery Spending'!$E$5:$E$404=A258)*'Grocery Spending'!$I$5:$I$404+('Grocery Spending'!$E$5:$E$404&lt;&gt;A258)*1000000))))</f>
        <v>0</v>
      </c>
      <c r="AJ258" s="8">
        <f>IF(A258="","",SUMPRODUCT(MAX(('Grocery Spending'!$E$5:$E$404=A258)*'Grocery Spending'!$I$5:$I$404)))</f>
        <v>0</v>
      </c>
      <c r="AK258" s="8">
        <f>IF(OR(A258="",AI258="",AJ258=0),"",AJ258-AI258)</f>
        <v>0</v>
      </c>
      <c r="AL258" s="8">
        <f>IF(OR(A258="",AG258="",AH258=""),"",AG258-AH258)</f>
        <v>0</v>
      </c>
      <c r="AM258" s="8">
        <f>IF(A258="","",IF(AL258="","",IF(AL258&gt;0.01,"Up",IF(AL258&lt;-0.01,"Down","Flat"))))</f>
        <v>0</v>
      </c>
      <c r="AN258" s="25"/>
    </row>
    <row r="259" spans="1:40">
      <c r="A259" s="7"/>
      <c r="B259" s="27"/>
      <c r="C259" s="27"/>
      <c r="D259" s="28"/>
      <c r="E259" s="27"/>
      <c r="F259" s="26"/>
      <c r="G259" s="8">
        <f>IF(OR(D259="",F259="",F259=0),"",D259/F259)</f>
        <v>0</v>
      </c>
      <c r="H259" s="26"/>
      <c r="I259" s="26"/>
      <c r="J259" s="26"/>
      <c r="K259" s="26"/>
      <c r="L259" s="26"/>
      <c r="M259" s="26"/>
      <c r="N259" s="27"/>
      <c r="O259" s="27"/>
      <c r="P259" s="27"/>
      <c r="Q259" s="27"/>
      <c r="R259" s="7"/>
      <c r="S259" s="8">
        <f>IF(A259="","",SUMIFS(Pantry!$C$5:$C$304,Pantry!$A$5:$A$304,A259))</f>
        <v>0</v>
      </c>
      <c r="T259" s="8">
        <f>IF(A259="","",COUNTIFS('Grocery List'!$A$5:$A$304,A259,'Grocery List'!$N$5:$N$304,"Yes"))</f>
        <v>0</v>
      </c>
      <c r="U259" s="8">
        <f>IF(A259="","",SUMIFS('Grocery List'!$M$5:$M$304,'Grocery List'!$A$5:$A$304,A259))</f>
        <v>0</v>
      </c>
      <c r="V259" s="8">
        <f>IF(A259="","",COUNTIFS('Recipe Ingredients'!$B$5:$B$1204,A259))</f>
        <v>0</v>
      </c>
      <c r="W259" s="8">
        <f>IF(A259="","",SUMIFS('Recipe Ingredients'!$C$5:$C$1204,'Recipe Ingredients'!$B$5:$B$1204,A259))</f>
        <v>0</v>
      </c>
      <c r="X259" s="8">
        <f>IF(A259="","",IF(U259&lt;=0,IF(S259&gt;0,99,0),ROUND(S259/U259,1)))</f>
        <v>0</v>
      </c>
      <c r="Y259" s="8">
        <f>IF(A259="","",U259*10+IF(O259="Yes",5,0)+IF(X259&lt;1,10,0)+IF(S259&lt;=0,3,0))</f>
        <v>0</v>
      </c>
      <c r="Z259" s="8">
        <f>IF(A259="","",COUNTIFS($Y$5:$Y$304,"&gt;"&amp;Y259)+1)</f>
        <v>0</v>
      </c>
      <c r="AA259" s="8">
        <f>IF(A259="","",IF(OR(U259&gt;0,AND(O259="Yes",X259&lt;2)),"Yes","No"))</f>
        <v>0</v>
      </c>
      <c r="AB259" s="8">
        <f>IF(OR(A259="",D259=""),"",S259*D259)</f>
        <v>0</v>
      </c>
      <c r="AC259" s="8">
        <f>IF(AB259="","",COUNTIFS($AB$5:$AB$304,"&gt;"&amp;AB259)+1)</f>
        <v>0</v>
      </c>
      <c r="AD259" s="8">
        <f>IF(A259="","",SUMIFS('Food Waste'!$E$5:$E$154,'Food Waste'!$C$5:$C$154,A259))</f>
        <v>0</v>
      </c>
      <c r="AE259" s="8">
        <f>IF(OR(A259="",AD259=0),"",COUNTIFS($AD$5:$AD$304,"&gt;"&amp;AD259)+1)</f>
        <v>0</v>
      </c>
      <c r="AF259" s="8">
        <f>IF(A259="","",IF(SUMPRODUCT(MAX(('Grocery Spending'!$E$5:$E$404=A259)*'Grocery Spending'!$A$5:$A$404))=0,"",SUMPRODUCT(MAX(('Grocery Spending'!$E$5:$E$404=A259)*'Grocery Spending'!$A$5:$A$404))))</f>
        <v>0</v>
      </c>
      <c r="AG259" s="8">
        <f>IF(OR(A259="",AF259=""),"",IFERROR(AVERAGEIFS('Grocery Spending'!$I$5:$I$404,'Grocery Spending'!$E$5:$E$404,A259,'Grocery Spending'!$A$5:$A$404,AF259),""))</f>
        <v>0</v>
      </c>
      <c r="AH259" s="8">
        <f>IF(A259="","",IFERROR(AVERAGEIFS('Grocery Spending'!$I$5:$I$404,'Grocery Spending'!$E$5:$E$404,A259),""))</f>
        <v>0</v>
      </c>
      <c r="AI259" s="8">
        <f>IF(A259="","",IF(SUMPRODUCT(MIN(('Grocery Spending'!$E$5:$E$404=A259)*'Grocery Spending'!$I$5:$I$404+('Grocery Spending'!$E$5:$E$404&lt;&gt;A259)*1000000))&gt;=1000000,"",SUMPRODUCT(MIN(('Grocery Spending'!$E$5:$E$404=A259)*'Grocery Spending'!$I$5:$I$404+('Grocery Spending'!$E$5:$E$404&lt;&gt;A259)*1000000))))</f>
        <v>0</v>
      </c>
      <c r="AJ259" s="8">
        <f>IF(A259="","",SUMPRODUCT(MAX(('Grocery Spending'!$E$5:$E$404=A259)*'Grocery Spending'!$I$5:$I$404)))</f>
        <v>0</v>
      </c>
      <c r="AK259" s="8">
        <f>IF(OR(A259="",AI259="",AJ259=0),"",AJ259-AI259)</f>
        <v>0</v>
      </c>
      <c r="AL259" s="8">
        <f>IF(OR(A259="",AG259="",AH259=""),"",AG259-AH259)</f>
        <v>0</v>
      </c>
      <c r="AM259" s="8">
        <f>IF(A259="","",IF(AL259="","",IF(AL259&gt;0.01,"Up",IF(AL259&lt;-0.01,"Down","Flat"))))</f>
        <v>0</v>
      </c>
      <c r="AN259" s="25"/>
    </row>
    <row r="260" spans="1:40">
      <c r="A260" s="7"/>
      <c r="B260" s="27"/>
      <c r="C260" s="27"/>
      <c r="D260" s="28"/>
      <c r="E260" s="27"/>
      <c r="F260" s="26"/>
      <c r="G260" s="8">
        <f>IF(OR(D260="",F260="",F260=0),"",D260/F260)</f>
        <v>0</v>
      </c>
      <c r="H260" s="26"/>
      <c r="I260" s="26"/>
      <c r="J260" s="26"/>
      <c r="K260" s="26"/>
      <c r="L260" s="26"/>
      <c r="M260" s="26"/>
      <c r="N260" s="27"/>
      <c r="O260" s="27"/>
      <c r="P260" s="27"/>
      <c r="Q260" s="27"/>
      <c r="R260" s="7"/>
      <c r="S260" s="8">
        <f>IF(A260="","",SUMIFS(Pantry!$C$5:$C$304,Pantry!$A$5:$A$304,A260))</f>
        <v>0</v>
      </c>
      <c r="T260" s="8">
        <f>IF(A260="","",COUNTIFS('Grocery List'!$A$5:$A$304,A260,'Grocery List'!$N$5:$N$304,"Yes"))</f>
        <v>0</v>
      </c>
      <c r="U260" s="8">
        <f>IF(A260="","",SUMIFS('Grocery List'!$M$5:$M$304,'Grocery List'!$A$5:$A$304,A260))</f>
        <v>0</v>
      </c>
      <c r="V260" s="8">
        <f>IF(A260="","",COUNTIFS('Recipe Ingredients'!$B$5:$B$1204,A260))</f>
        <v>0</v>
      </c>
      <c r="W260" s="8">
        <f>IF(A260="","",SUMIFS('Recipe Ingredients'!$C$5:$C$1204,'Recipe Ingredients'!$B$5:$B$1204,A260))</f>
        <v>0</v>
      </c>
      <c r="X260" s="8">
        <f>IF(A260="","",IF(U260&lt;=0,IF(S260&gt;0,99,0),ROUND(S260/U260,1)))</f>
        <v>0</v>
      </c>
      <c r="Y260" s="8">
        <f>IF(A260="","",U260*10+IF(O260="Yes",5,0)+IF(X260&lt;1,10,0)+IF(S260&lt;=0,3,0))</f>
        <v>0</v>
      </c>
      <c r="Z260" s="8">
        <f>IF(A260="","",COUNTIFS($Y$5:$Y$304,"&gt;"&amp;Y260)+1)</f>
        <v>0</v>
      </c>
      <c r="AA260" s="8">
        <f>IF(A260="","",IF(OR(U260&gt;0,AND(O260="Yes",X260&lt;2)),"Yes","No"))</f>
        <v>0</v>
      </c>
      <c r="AB260" s="8">
        <f>IF(OR(A260="",D260=""),"",S260*D260)</f>
        <v>0</v>
      </c>
      <c r="AC260" s="8">
        <f>IF(AB260="","",COUNTIFS($AB$5:$AB$304,"&gt;"&amp;AB260)+1)</f>
        <v>0</v>
      </c>
      <c r="AD260" s="8">
        <f>IF(A260="","",SUMIFS('Food Waste'!$E$5:$E$154,'Food Waste'!$C$5:$C$154,A260))</f>
        <v>0</v>
      </c>
      <c r="AE260" s="8">
        <f>IF(OR(A260="",AD260=0),"",COUNTIFS($AD$5:$AD$304,"&gt;"&amp;AD260)+1)</f>
        <v>0</v>
      </c>
      <c r="AF260" s="8">
        <f>IF(A260="","",IF(SUMPRODUCT(MAX(('Grocery Spending'!$E$5:$E$404=A260)*'Grocery Spending'!$A$5:$A$404))=0,"",SUMPRODUCT(MAX(('Grocery Spending'!$E$5:$E$404=A260)*'Grocery Spending'!$A$5:$A$404))))</f>
        <v>0</v>
      </c>
      <c r="AG260" s="8">
        <f>IF(OR(A260="",AF260=""),"",IFERROR(AVERAGEIFS('Grocery Spending'!$I$5:$I$404,'Grocery Spending'!$E$5:$E$404,A260,'Grocery Spending'!$A$5:$A$404,AF260),""))</f>
        <v>0</v>
      </c>
      <c r="AH260" s="8">
        <f>IF(A260="","",IFERROR(AVERAGEIFS('Grocery Spending'!$I$5:$I$404,'Grocery Spending'!$E$5:$E$404,A260),""))</f>
        <v>0</v>
      </c>
      <c r="AI260" s="8">
        <f>IF(A260="","",IF(SUMPRODUCT(MIN(('Grocery Spending'!$E$5:$E$404=A260)*'Grocery Spending'!$I$5:$I$404+('Grocery Spending'!$E$5:$E$404&lt;&gt;A260)*1000000))&gt;=1000000,"",SUMPRODUCT(MIN(('Grocery Spending'!$E$5:$E$404=A260)*'Grocery Spending'!$I$5:$I$404+('Grocery Spending'!$E$5:$E$404&lt;&gt;A260)*1000000))))</f>
        <v>0</v>
      </c>
      <c r="AJ260" s="8">
        <f>IF(A260="","",SUMPRODUCT(MAX(('Grocery Spending'!$E$5:$E$404=A260)*'Grocery Spending'!$I$5:$I$404)))</f>
        <v>0</v>
      </c>
      <c r="AK260" s="8">
        <f>IF(OR(A260="",AI260="",AJ260=0),"",AJ260-AI260)</f>
        <v>0</v>
      </c>
      <c r="AL260" s="8">
        <f>IF(OR(A260="",AG260="",AH260=""),"",AG260-AH260)</f>
        <v>0</v>
      </c>
      <c r="AM260" s="8">
        <f>IF(A260="","",IF(AL260="","",IF(AL260&gt;0.01,"Up",IF(AL260&lt;-0.01,"Down","Flat"))))</f>
        <v>0</v>
      </c>
      <c r="AN260" s="25"/>
    </row>
    <row r="261" spans="1:40">
      <c r="A261" s="7"/>
      <c r="B261" s="27"/>
      <c r="C261" s="27"/>
      <c r="D261" s="28"/>
      <c r="E261" s="27"/>
      <c r="F261" s="26"/>
      <c r="G261" s="8">
        <f>IF(OR(D261="",F261="",F261=0),"",D261/F261)</f>
        <v>0</v>
      </c>
      <c r="H261" s="26"/>
      <c r="I261" s="26"/>
      <c r="J261" s="26"/>
      <c r="K261" s="26"/>
      <c r="L261" s="26"/>
      <c r="M261" s="26"/>
      <c r="N261" s="27"/>
      <c r="O261" s="27"/>
      <c r="P261" s="27"/>
      <c r="Q261" s="27"/>
      <c r="R261" s="7"/>
      <c r="S261" s="8">
        <f>IF(A261="","",SUMIFS(Pantry!$C$5:$C$304,Pantry!$A$5:$A$304,A261))</f>
        <v>0</v>
      </c>
      <c r="T261" s="8">
        <f>IF(A261="","",COUNTIFS('Grocery List'!$A$5:$A$304,A261,'Grocery List'!$N$5:$N$304,"Yes"))</f>
        <v>0</v>
      </c>
      <c r="U261" s="8">
        <f>IF(A261="","",SUMIFS('Grocery List'!$M$5:$M$304,'Grocery List'!$A$5:$A$304,A261))</f>
        <v>0</v>
      </c>
      <c r="V261" s="8">
        <f>IF(A261="","",COUNTIFS('Recipe Ingredients'!$B$5:$B$1204,A261))</f>
        <v>0</v>
      </c>
      <c r="W261" s="8">
        <f>IF(A261="","",SUMIFS('Recipe Ingredients'!$C$5:$C$1204,'Recipe Ingredients'!$B$5:$B$1204,A261))</f>
        <v>0</v>
      </c>
      <c r="X261" s="8">
        <f>IF(A261="","",IF(U261&lt;=0,IF(S261&gt;0,99,0),ROUND(S261/U261,1)))</f>
        <v>0</v>
      </c>
      <c r="Y261" s="8">
        <f>IF(A261="","",U261*10+IF(O261="Yes",5,0)+IF(X261&lt;1,10,0)+IF(S261&lt;=0,3,0))</f>
        <v>0</v>
      </c>
      <c r="Z261" s="8">
        <f>IF(A261="","",COUNTIFS($Y$5:$Y$304,"&gt;"&amp;Y261)+1)</f>
        <v>0</v>
      </c>
      <c r="AA261" s="8">
        <f>IF(A261="","",IF(OR(U261&gt;0,AND(O261="Yes",X261&lt;2)),"Yes","No"))</f>
        <v>0</v>
      </c>
      <c r="AB261" s="8">
        <f>IF(OR(A261="",D261=""),"",S261*D261)</f>
        <v>0</v>
      </c>
      <c r="AC261" s="8">
        <f>IF(AB261="","",COUNTIFS($AB$5:$AB$304,"&gt;"&amp;AB261)+1)</f>
        <v>0</v>
      </c>
      <c r="AD261" s="8">
        <f>IF(A261="","",SUMIFS('Food Waste'!$E$5:$E$154,'Food Waste'!$C$5:$C$154,A261))</f>
        <v>0</v>
      </c>
      <c r="AE261" s="8">
        <f>IF(OR(A261="",AD261=0),"",COUNTIFS($AD$5:$AD$304,"&gt;"&amp;AD261)+1)</f>
        <v>0</v>
      </c>
      <c r="AF261" s="8">
        <f>IF(A261="","",IF(SUMPRODUCT(MAX(('Grocery Spending'!$E$5:$E$404=A261)*'Grocery Spending'!$A$5:$A$404))=0,"",SUMPRODUCT(MAX(('Grocery Spending'!$E$5:$E$404=A261)*'Grocery Spending'!$A$5:$A$404))))</f>
        <v>0</v>
      </c>
      <c r="AG261" s="8">
        <f>IF(OR(A261="",AF261=""),"",IFERROR(AVERAGEIFS('Grocery Spending'!$I$5:$I$404,'Grocery Spending'!$E$5:$E$404,A261,'Grocery Spending'!$A$5:$A$404,AF261),""))</f>
        <v>0</v>
      </c>
      <c r="AH261" s="8">
        <f>IF(A261="","",IFERROR(AVERAGEIFS('Grocery Spending'!$I$5:$I$404,'Grocery Spending'!$E$5:$E$404,A261),""))</f>
        <v>0</v>
      </c>
      <c r="AI261" s="8">
        <f>IF(A261="","",IF(SUMPRODUCT(MIN(('Grocery Spending'!$E$5:$E$404=A261)*'Grocery Spending'!$I$5:$I$404+('Grocery Spending'!$E$5:$E$404&lt;&gt;A261)*1000000))&gt;=1000000,"",SUMPRODUCT(MIN(('Grocery Spending'!$E$5:$E$404=A261)*'Grocery Spending'!$I$5:$I$404+('Grocery Spending'!$E$5:$E$404&lt;&gt;A261)*1000000))))</f>
        <v>0</v>
      </c>
      <c r="AJ261" s="8">
        <f>IF(A261="","",SUMPRODUCT(MAX(('Grocery Spending'!$E$5:$E$404=A261)*'Grocery Spending'!$I$5:$I$404)))</f>
        <v>0</v>
      </c>
      <c r="AK261" s="8">
        <f>IF(OR(A261="",AI261="",AJ261=0),"",AJ261-AI261)</f>
        <v>0</v>
      </c>
      <c r="AL261" s="8">
        <f>IF(OR(A261="",AG261="",AH261=""),"",AG261-AH261)</f>
        <v>0</v>
      </c>
      <c r="AM261" s="8">
        <f>IF(A261="","",IF(AL261="","",IF(AL261&gt;0.01,"Up",IF(AL261&lt;-0.01,"Down","Flat"))))</f>
        <v>0</v>
      </c>
      <c r="AN261" s="25"/>
    </row>
    <row r="262" spans="1:40">
      <c r="A262" s="7"/>
      <c r="B262" s="27"/>
      <c r="C262" s="27"/>
      <c r="D262" s="28"/>
      <c r="E262" s="27"/>
      <c r="F262" s="26"/>
      <c r="G262" s="8">
        <f>IF(OR(D262="",F262="",F262=0),"",D262/F262)</f>
        <v>0</v>
      </c>
      <c r="H262" s="26"/>
      <c r="I262" s="26"/>
      <c r="J262" s="26"/>
      <c r="K262" s="26"/>
      <c r="L262" s="26"/>
      <c r="M262" s="26"/>
      <c r="N262" s="27"/>
      <c r="O262" s="27"/>
      <c r="P262" s="27"/>
      <c r="Q262" s="27"/>
      <c r="R262" s="7"/>
      <c r="S262" s="8">
        <f>IF(A262="","",SUMIFS(Pantry!$C$5:$C$304,Pantry!$A$5:$A$304,A262))</f>
        <v>0</v>
      </c>
      <c r="T262" s="8">
        <f>IF(A262="","",COUNTIFS('Grocery List'!$A$5:$A$304,A262,'Grocery List'!$N$5:$N$304,"Yes"))</f>
        <v>0</v>
      </c>
      <c r="U262" s="8">
        <f>IF(A262="","",SUMIFS('Grocery List'!$M$5:$M$304,'Grocery List'!$A$5:$A$304,A262))</f>
        <v>0</v>
      </c>
      <c r="V262" s="8">
        <f>IF(A262="","",COUNTIFS('Recipe Ingredients'!$B$5:$B$1204,A262))</f>
        <v>0</v>
      </c>
      <c r="W262" s="8">
        <f>IF(A262="","",SUMIFS('Recipe Ingredients'!$C$5:$C$1204,'Recipe Ingredients'!$B$5:$B$1204,A262))</f>
        <v>0</v>
      </c>
      <c r="X262" s="8">
        <f>IF(A262="","",IF(U262&lt;=0,IF(S262&gt;0,99,0),ROUND(S262/U262,1)))</f>
        <v>0</v>
      </c>
      <c r="Y262" s="8">
        <f>IF(A262="","",U262*10+IF(O262="Yes",5,0)+IF(X262&lt;1,10,0)+IF(S262&lt;=0,3,0))</f>
        <v>0</v>
      </c>
      <c r="Z262" s="8">
        <f>IF(A262="","",COUNTIFS($Y$5:$Y$304,"&gt;"&amp;Y262)+1)</f>
        <v>0</v>
      </c>
      <c r="AA262" s="8">
        <f>IF(A262="","",IF(OR(U262&gt;0,AND(O262="Yes",X262&lt;2)),"Yes","No"))</f>
        <v>0</v>
      </c>
      <c r="AB262" s="8">
        <f>IF(OR(A262="",D262=""),"",S262*D262)</f>
        <v>0</v>
      </c>
      <c r="AC262" s="8">
        <f>IF(AB262="","",COUNTIFS($AB$5:$AB$304,"&gt;"&amp;AB262)+1)</f>
        <v>0</v>
      </c>
      <c r="AD262" s="8">
        <f>IF(A262="","",SUMIFS('Food Waste'!$E$5:$E$154,'Food Waste'!$C$5:$C$154,A262))</f>
        <v>0</v>
      </c>
      <c r="AE262" s="8">
        <f>IF(OR(A262="",AD262=0),"",COUNTIFS($AD$5:$AD$304,"&gt;"&amp;AD262)+1)</f>
        <v>0</v>
      </c>
      <c r="AF262" s="8">
        <f>IF(A262="","",IF(SUMPRODUCT(MAX(('Grocery Spending'!$E$5:$E$404=A262)*'Grocery Spending'!$A$5:$A$404))=0,"",SUMPRODUCT(MAX(('Grocery Spending'!$E$5:$E$404=A262)*'Grocery Spending'!$A$5:$A$404))))</f>
        <v>0</v>
      </c>
      <c r="AG262" s="8">
        <f>IF(OR(A262="",AF262=""),"",IFERROR(AVERAGEIFS('Grocery Spending'!$I$5:$I$404,'Grocery Spending'!$E$5:$E$404,A262,'Grocery Spending'!$A$5:$A$404,AF262),""))</f>
        <v>0</v>
      </c>
      <c r="AH262" s="8">
        <f>IF(A262="","",IFERROR(AVERAGEIFS('Grocery Spending'!$I$5:$I$404,'Grocery Spending'!$E$5:$E$404,A262),""))</f>
        <v>0</v>
      </c>
      <c r="AI262" s="8">
        <f>IF(A262="","",IF(SUMPRODUCT(MIN(('Grocery Spending'!$E$5:$E$404=A262)*'Grocery Spending'!$I$5:$I$404+('Grocery Spending'!$E$5:$E$404&lt;&gt;A262)*1000000))&gt;=1000000,"",SUMPRODUCT(MIN(('Grocery Spending'!$E$5:$E$404=A262)*'Grocery Spending'!$I$5:$I$404+('Grocery Spending'!$E$5:$E$404&lt;&gt;A262)*1000000))))</f>
        <v>0</v>
      </c>
      <c r="AJ262" s="8">
        <f>IF(A262="","",SUMPRODUCT(MAX(('Grocery Spending'!$E$5:$E$404=A262)*'Grocery Spending'!$I$5:$I$404)))</f>
        <v>0</v>
      </c>
      <c r="AK262" s="8">
        <f>IF(OR(A262="",AI262="",AJ262=0),"",AJ262-AI262)</f>
        <v>0</v>
      </c>
      <c r="AL262" s="8">
        <f>IF(OR(A262="",AG262="",AH262=""),"",AG262-AH262)</f>
        <v>0</v>
      </c>
      <c r="AM262" s="8">
        <f>IF(A262="","",IF(AL262="","",IF(AL262&gt;0.01,"Up",IF(AL262&lt;-0.01,"Down","Flat"))))</f>
        <v>0</v>
      </c>
      <c r="AN262" s="25"/>
    </row>
    <row r="263" spans="1:40">
      <c r="A263" s="7"/>
      <c r="B263" s="27"/>
      <c r="C263" s="27"/>
      <c r="D263" s="28"/>
      <c r="E263" s="27"/>
      <c r="F263" s="26"/>
      <c r="G263" s="8">
        <f>IF(OR(D263="",F263="",F263=0),"",D263/F263)</f>
        <v>0</v>
      </c>
      <c r="H263" s="26"/>
      <c r="I263" s="26"/>
      <c r="J263" s="26"/>
      <c r="K263" s="26"/>
      <c r="L263" s="26"/>
      <c r="M263" s="26"/>
      <c r="N263" s="27"/>
      <c r="O263" s="27"/>
      <c r="P263" s="27"/>
      <c r="Q263" s="27"/>
      <c r="R263" s="7"/>
      <c r="S263" s="8">
        <f>IF(A263="","",SUMIFS(Pantry!$C$5:$C$304,Pantry!$A$5:$A$304,A263))</f>
        <v>0</v>
      </c>
      <c r="T263" s="8">
        <f>IF(A263="","",COUNTIFS('Grocery List'!$A$5:$A$304,A263,'Grocery List'!$N$5:$N$304,"Yes"))</f>
        <v>0</v>
      </c>
      <c r="U263" s="8">
        <f>IF(A263="","",SUMIFS('Grocery List'!$M$5:$M$304,'Grocery List'!$A$5:$A$304,A263))</f>
        <v>0</v>
      </c>
      <c r="V263" s="8">
        <f>IF(A263="","",COUNTIFS('Recipe Ingredients'!$B$5:$B$1204,A263))</f>
        <v>0</v>
      </c>
      <c r="W263" s="8">
        <f>IF(A263="","",SUMIFS('Recipe Ingredients'!$C$5:$C$1204,'Recipe Ingredients'!$B$5:$B$1204,A263))</f>
        <v>0</v>
      </c>
      <c r="X263" s="8">
        <f>IF(A263="","",IF(U263&lt;=0,IF(S263&gt;0,99,0),ROUND(S263/U263,1)))</f>
        <v>0</v>
      </c>
      <c r="Y263" s="8">
        <f>IF(A263="","",U263*10+IF(O263="Yes",5,0)+IF(X263&lt;1,10,0)+IF(S263&lt;=0,3,0))</f>
        <v>0</v>
      </c>
      <c r="Z263" s="8">
        <f>IF(A263="","",COUNTIFS($Y$5:$Y$304,"&gt;"&amp;Y263)+1)</f>
        <v>0</v>
      </c>
      <c r="AA263" s="8">
        <f>IF(A263="","",IF(OR(U263&gt;0,AND(O263="Yes",X263&lt;2)),"Yes","No"))</f>
        <v>0</v>
      </c>
      <c r="AB263" s="8">
        <f>IF(OR(A263="",D263=""),"",S263*D263)</f>
        <v>0</v>
      </c>
      <c r="AC263" s="8">
        <f>IF(AB263="","",COUNTIFS($AB$5:$AB$304,"&gt;"&amp;AB263)+1)</f>
        <v>0</v>
      </c>
      <c r="AD263" s="8">
        <f>IF(A263="","",SUMIFS('Food Waste'!$E$5:$E$154,'Food Waste'!$C$5:$C$154,A263))</f>
        <v>0</v>
      </c>
      <c r="AE263" s="8">
        <f>IF(OR(A263="",AD263=0),"",COUNTIFS($AD$5:$AD$304,"&gt;"&amp;AD263)+1)</f>
        <v>0</v>
      </c>
      <c r="AF263" s="8">
        <f>IF(A263="","",IF(SUMPRODUCT(MAX(('Grocery Spending'!$E$5:$E$404=A263)*'Grocery Spending'!$A$5:$A$404))=0,"",SUMPRODUCT(MAX(('Grocery Spending'!$E$5:$E$404=A263)*'Grocery Spending'!$A$5:$A$404))))</f>
        <v>0</v>
      </c>
      <c r="AG263" s="8">
        <f>IF(OR(A263="",AF263=""),"",IFERROR(AVERAGEIFS('Grocery Spending'!$I$5:$I$404,'Grocery Spending'!$E$5:$E$404,A263,'Grocery Spending'!$A$5:$A$404,AF263),""))</f>
        <v>0</v>
      </c>
      <c r="AH263" s="8">
        <f>IF(A263="","",IFERROR(AVERAGEIFS('Grocery Spending'!$I$5:$I$404,'Grocery Spending'!$E$5:$E$404,A263),""))</f>
        <v>0</v>
      </c>
      <c r="AI263" s="8">
        <f>IF(A263="","",IF(SUMPRODUCT(MIN(('Grocery Spending'!$E$5:$E$404=A263)*'Grocery Spending'!$I$5:$I$404+('Grocery Spending'!$E$5:$E$404&lt;&gt;A263)*1000000))&gt;=1000000,"",SUMPRODUCT(MIN(('Grocery Spending'!$E$5:$E$404=A263)*'Grocery Spending'!$I$5:$I$404+('Grocery Spending'!$E$5:$E$404&lt;&gt;A263)*1000000))))</f>
        <v>0</v>
      </c>
      <c r="AJ263" s="8">
        <f>IF(A263="","",SUMPRODUCT(MAX(('Grocery Spending'!$E$5:$E$404=A263)*'Grocery Spending'!$I$5:$I$404)))</f>
        <v>0</v>
      </c>
      <c r="AK263" s="8">
        <f>IF(OR(A263="",AI263="",AJ263=0),"",AJ263-AI263)</f>
        <v>0</v>
      </c>
      <c r="AL263" s="8">
        <f>IF(OR(A263="",AG263="",AH263=""),"",AG263-AH263)</f>
        <v>0</v>
      </c>
      <c r="AM263" s="8">
        <f>IF(A263="","",IF(AL263="","",IF(AL263&gt;0.01,"Up",IF(AL263&lt;-0.01,"Down","Flat"))))</f>
        <v>0</v>
      </c>
      <c r="AN263" s="25"/>
    </row>
    <row r="264" spans="1:40">
      <c r="A264" s="7"/>
      <c r="B264" s="27"/>
      <c r="C264" s="27"/>
      <c r="D264" s="28"/>
      <c r="E264" s="27"/>
      <c r="F264" s="26"/>
      <c r="G264" s="8">
        <f>IF(OR(D264="",F264="",F264=0),"",D264/F264)</f>
        <v>0</v>
      </c>
      <c r="H264" s="26"/>
      <c r="I264" s="26"/>
      <c r="J264" s="26"/>
      <c r="K264" s="26"/>
      <c r="L264" s="26"/>
      <c r="M264" s="26"/>
      <c r="N264" s="27"/>
      <c r="O264" s="27"/>
      <c r="P264" s="27"/>
      <c r="Q264" s="27"/>
      <c r="R264" s="7"/>
      <c r="S264" s="8">
        <f>IF(A264="","",SUMIFS(Pantry!$C$5:$C$304,Pantry!$A$5:$A$304,A264))</f>
        <v>0</v>
      </c>
      <c r="T264" s="8">
        <f>IF(A264="","",COUNTIFS('Grocery List'!$A$5:$A$304,A264,'Grocery List'!$N$5:$N$304,"Yes"))</f>
        <v>0</v>
      </c>
      <c r="U264" s="8">
        <f>IF(A264="","",SUMIFS('Grocery List'!$M$5:$M$304,'Grocery List'!$A$5:$A$304,A264))</f>
        <v>0</v>
      </c>
      <c r="V264" s="8">
        <f>IF(A264="","",COUNTIFS('Recipe Ingredients'!$B$5:$B$1204,A264))</f>
        <v>0</v>
      </c>
      <c r="W264" s="8">
        <f>IF(A264="","",SUMIFS('Recipe Ingredients'!$C$5:$C$1204,'Recipe Ingredients'!$B$5:$B$1204,A264))</f>
        <v>0</v>
      </c>
      <c r="X264" s="8">
        <f>IF(A264="","",IF(U264&lt;=0,IF(S264&gt;0,99,0),ROUND(S264/U264,1)))</f>
        <v>0</v>
      </c>
      <c r="Y264" s="8">
        <f>IF(A264="","",U264*10+IF(O264="Yes",5,0)+IF(X264&lt;1,10,0)+IF(S264&lt;=0,3,0))</f>
        <v>0</v>
      </c>
      <c r="Z264" s="8">
        <f>IF(A264="","",COUNTIFS($Y$5:$Y$304,"&gt;"&amp;Y264)+1)</f>
        <v>0</v>
      </c>
      <c r="AA264" s="8">
        <f>IF(A264="","",IF(OR(U264&gt;0,AND(O264="Yes",X264&lt;2)),"Yes","No"))</f>
        <v>0</v>
      </c>
      <c r="AB264" s="8">
        <f>IF(OR(A264="",D264=""),"",S264*D264)</f>
        <v>0</v>
      </c>
      <c r="AC264" s="8">
        <f>IF(AB264="","",COUNTIFS($AB$5:$AB$304,"&gt;"&amp;AB264)+1)</f>
        <v>0</v>
      </c>
      <c r="AD264" s="8">
        <f>IF(A264="","",SUMIFS('Food Waste'!$E$5:$E$154,'Food Waste'!$C$5:$C$154,A264))</f>
        <v>0</v>
      </c>
      <c r="AE264" s="8">
        <f>IF(OR(A264="",AD264=0),"",COUNTIFS($AD$5:$AD$304,"&gt;"&amp;AD264)+1)</f>
        <v>0</v>
      </c>
      <c r="AF264" s="8">
        <f>IF(A264="","",IF(SUMPRODUCT(MAX(('Grocery Spending'!$E$5:$E$404=A264)*'Grocery Spending'!$A$5:$A$404))=0,"",SUMPRODUCT(MAX(('Grocery Spending'!$E$5:$E$404=A264)*'Grocery Spending'!$A$5:$A$404))))</f>
        <v>0</v>
      </c>
      <c r="AG264" s="8">
        <f>IF(OR(A264="",AF264=""),"",IFERROR(AVERAGEIFS('Grocery Spending'!$I$5:$I$404,'Grocery Spending'!$E$5:$E$404,A264,'Grocery Spending'!$A$5:$A$404,AF264),""))</f>
        <v>0</v>
      </c>
      <c r="AH264" s="8">
        <f>IF(A264="","",IFERROR(AVERAGEIFS('Grocery Spending'!$I$5:$I$404,'Grocery Spending'!$E$5:$E$404,A264),""))</f>
        <v>0</v>
      </c>
      <c r="AI264" s="8">
        <f>IF(A264="","",IF(SUMPRODUCT(MIN(('Grocery Spending'!$E$5:$E$404=A264)*'Grocery Spending'!$I$5:$I$404+('Grocery Spending'!$E$5:$E$404&lt;&gt;A264)*1000000))&gt;=1000000,"",SUMPRODUCT(MIN(('Grocery Spending'!$E$5:$E$404=A264)*'Grocery Spending'!$I$5:$I$404+('Grocery Spending'!$E$5:$E$404&lt;&gt;A264)*1000000))))</f>
        <v>0</v>
      </c>
      <c r="AJ264" s="8">
        <f>IF(A264="","",SUMPRODUCT(MAX(('Grocery Spending'!$E$5:$E$404=A264)*'Grocery Spending'!$I$5:$I$404)))</f>
        <v>0</v>
      </c>
      <c r="AK264" s="8">
        <f>IF(OR(A264="",AI264="",AJ264=0),"",AJ264-AI264)</f>
        <v>0</v>
      </c>
      <c r="AL264" s="8">
        <f>IF(OR(A264="",AG264="",AH264=""),"",AG264-AH264)</f>
        <v>0</v>
      </c>
      <c r="AM264" s="8">
        <f>IF(A264="","",IF(AL264="","",IF(AL264&gt;0.01,"Up",IF(AL264&lt;-0.01,"Down","Flat"))))</f>
        <v>0</v>
      </c>
      <c r="AN264" s="25"/>
    </row>
    <row r="265" spans="1:40">
      <c r="A265" s="7"/>
      <c r="B265" s="27"/>
      <c r="C265" s="27"/>
      <c r="D265" s="28"/>
      <c r="E265" s="27"/>
      <c r="F265" s="26"/>
      <c r="G265" s="8">
        <f>IF(OR(D265="",F265="",F265=0),"",D265/F265)</f>
        <v>0</v>
      </c>
      <c r="H265" s="26"/>
      <c r="I265" s="26"/>
      <c r="J265" s="26"/>
      <c r="K265" s="26"/>
      <c r="L265" s="26"/>
      <c r="M265" s="26"/>
      <c r="N265" s="27"/>
      <c r="O265" s="27"/>
      <c r="P265" s="27"/>
      <c r="Q265" s="27"/>
      <c r="R265" s="7"/>
      <c r="S265" s="8">
        <f>IF(A265="","",SUMIFS(Pantry!$C$5:$C$304,Pantry!$A$5:$A$304,A265))</f>
        <v>0</v>
      </c>
      <c r="T265" s="8">
        <f>IF(A265="","",COUNTIFS('Grocery List'!$A$5:$A$304,A265,'Grocery List'!$N$5:$N$304,"Yes"))</f>
        <v>0</v>
      </c>
      <c r="U265" s="8">
        <f>IF(A265="","",SUMIFS('Grocery List'!$M$5:$M$304,'Grocery List'!$A$5:$A$304,A265))</f>
        <v>0</v>
      </c>
      <c r="V265" s="8">
        <f>IF(A265="","",COUNTIFS('Recipe Ingredients'!$B$5:$B$1204,A265))</f>
        <v>0</v>
      </c>
      <c r="W265" s="8">
        <f>IF(A265="","",SUMIFS('Recipe Ingredients'!$C$5:$C$1204,'Recipe Ingredients'!$B$5:$B$1204,A265))</f>
        <v>0</v>
      </c>
      <c r="X265" s="8">
        <f>IF(A265="","",IF(U265&lt;=0,IF(S265&gt;0,99,0),ROUND(S265/U265,1)))</f>
        <v>0</v>
      </c>
      <c r="Y265" s="8">
        <f>IF(A265="","",U265*10+IF(O265="Yes",5,0)+IF(X265&lt;1,10,0)+IF(S265&lt;=0,3,0))</f>
        <v>0</v>
      </c>
      <c r="Z265" s="8">
        <f>IF(A265="","",COUNTIFS($Y$5:$Y$304,"&gt;"&amp;Y265)+1)</f>
        <v>0</v>
      </c>
      <c r="AA265" s="8">
        <f>IF(A265="","",IF(OR(U265&gt;0,AND(O265="Yes",X265&lt;2)),"Yes","No"))</f>
        <v>0</v>
      </c>
      <c r="AB265" s="8">
        <f>IF(OR(A265="",D265=""),"",S265*D265)</f>
        <v>0</v>
      </c>
      <c r="AC265" s="8">
        <f>IF(AB265="","",COUNTIFS($AB$5:$AB$304,"&gt;"&amp;AB265)+1)</f>
        <v>0</v>
      </c>
      <c r="AD265" s="8">
        <f>IF(A265="","",SUMIFS('Food Waste'!$E$5:$E$154,'Food Waste'!$C$5:$C$154,A265))</f>
        <v>0</v>
      </c>
      <c r="AE265" s="8">
        <f>IF(OR(A265="",AD265=0),"",COUNTIFS($AD$5:$AD$304,"&gt;"&amp;AD265)+1)</f>
        <v>0</v>
      </c>
      <c r="AF265" s="8">
        <f>IF(A265="","",IF(SUMPRODUCT(MAX(('Grocery Spending'!$E$5:$E$404=A265)*'Grocery Spending'!$A$5:$A$404))=0,"",SUMPRODUCT(MAX(('Grocery Spending'!$E$5:$E$404=A265)*'Grocery Spending'!$A$5:$A$404))))</f>
        <v>0</v>
      </c>
      <c r="AG265" s="8">
        <f>IF(OR(A265="",AF265=""),"",IFERROR(AVERAGEIFS('Grocery Spending'!$I$5:$I$404,'Grocery Spending'!$E$5:$E$404,A265,'Grocery Spending'!$A$5:$A$404,AF265),""))</f>
        <v>0</v>
      </c>
      <c r="AH265" s="8">
        <f>IF(A265="","",IFERROR(AVERAGEIFS('Grocery Spending'!$I$5:$I$404,'Grocery Spending'!$E$5:$E$404,A265),""))</f>
        <v>0</v>
      </c>
      <c r="AI265" s="8">
        <f>IF(A265="","",IF(SUMPRODUCT(MIN(('Grocery Spending'!$E$5:$E$404=A265)*'Grocery Spending'!$I$5:$I$404+('Grocery Spending'!$E$5:$E$404&lt;&gt;A265)*1000000))&gt;=1000000,"",SUMPRODUCT(MIN(('Grocery Spending'!$E$5:$E$404=A265)*'Grocery Spending'!$I$5:$I$404+('Grocery Spending'!$E$5:$E$404&lt;&gt;A265)*1000000))))</f>
        <v>0</v>
      </c>
      <c r="AJ265" s="8">
        <f>IF(A265="","",SUMPRODUCT(MAX(('Grocery Spending'!$E$5:$E$404=A265)*'Grocery Spending'!$I$5:$I$404)))</f>
        <v>0</v>
      </c>
      <c r="AK265" s="8">
        <f>IF(OR(A265="",AI265="",AJ265=0),"",AJ265-AI265)</f>
        <v>0</v>
      </c>
      <c r="AL265" s="8">
        <f>IF(OR(A265="",AG265="",AH265=""),"",AG265-AH265)</f>
        <v>0</v>
      </c>
      <c r="AM265" s="8">
        <f>IF(A265="","",IF(AL265="","",IF(AL265&gt;0.01,"Up",IF(AL265&lt;-0.01,"Down","Flat"))))</f>
        <v>0</v>
      </c>
      <c r="AN265" s="25"/>
    </row>
    <row r="266" spans="1:40">
      <c r="A266" s="7"/>
      <c r="B266" s="27"/>
      <c r="C266" s="27"/>
      <c r="D266" s="28"/>
      <c r="E266" s="27"/>
      <c r="F266" s="26"/>
      <c r="G266" s="8">
        <f>IF(OR(D266="",F266="",F266=0),"",D266/F266)</f>
        <v>0</v>
      </c>
      <c r="H266" s="26"/>
      <c r="I266" s="26"/>
      <c r="J266" s="26"/>
      <c r="K266" s="26"/>
      <c r="L266" s="26"/>
      <c r="M266" s="26"/>
      <c r="N266" s="27"/>
      <c r="O266" s="27"/>
      <c r="P266" s="27"/>
      <c r="Q266" s="27"/>
      <c r="R266" s="7"/>
      <c r="S266" s="8">
        <f>IF(A266="","",SUMIFS(Pantry!$C$5:$C$304,Pantry!$A$5:$A$304,A266))</f>
        <v>0</v>
      </c>
      <c r="T266" s="8">
        <f>IF(A266="","",COUNTIFS('Grocery List'!$A$5:$A$304,A266,'Grocery List'!$N$5:$N$304,"Yes"))</f>
        <v>0</v>
      </c>
      <c r="U266" s="8">
        <f>IF(A266="","",SUMIFS('Grocery List'!$M$5:$M$304,'Grocery List'!$A$5:$A$304,A266))</f>
        <v>0</v>
      </c>
      <c r="V266" s="8">
        <f>IF(A266="","",COUNTIFS('Recipe Ingredients'!$B$5:$B$1204,A266))</f>
        <v>0</v>
      </c>
      <c r="W266" s="8">
        <f>IF(A266="","",SUMIFS('Recipe Ingredients'!$C$5:$C$1204,'Recipe Ingredients'!$B$5:$B$1204,A266))</f>
        <v>0</v>
      </c>
      <c r="X266" s="8">
        <f>IF(A266="","",IF(U266&lt;=0,IF(S266&gt;0,99,0),ROUND(S266/U266,1)))</f>
        <v>0</v>
      </c>
      <c r="Y266" s="8">
        <f>IF(A266="","",U266*10+IF(O266="Yes",5,0)+IF(X266&lt;1,10,0)+IF(S266&lt;=0,3,0))</f>
        <v>0</v>
      </c>
      <c r="Z266" s="8">
        <f>IF(A266="","",COUNTIFS($Y$5:$Y$304,"&gt;"&amp;Y266)+1)</f>
        <v>0</v>
      </c>
      <c r="AA266" s="8">
        <f>IF(A266="","",IF(OR(U266&gt;0,AND(O266="Yes",X266&lt;2)),"Yes","No"))</f>
        <v>0</v>
      </c>
      <c r="AB266" s="8">
        <f>IF(OR(A266="",D266=""),"",S266*D266)</f>
        <v>0</v>
      </c>
      <c r="AC266" s="8">
        <f>IF(AB266="","",COUNTIFS($AB$5:$AB$304,"&gt;"&amp;AB266)+1)</f>
        <v>0</v>
      </c>
      <c r="AD266" s="8">
        <f>IF(A266="","",SUMIFS('Food Waste'!$E$5:$E$154,'Food Waste'!$C$5:$C$154,A266))</f>
        <v>0</v>
      </c>
      <c r="AE266" s="8">
        <f>IF(OR(A266="",AD266=0),"",COUNTIFS($AD$5:$AD$304,"&gt;"&amp;AD266)+1)</f>
        <v>0</v>
      </c>
      <c r="AF266" s="8">
        <f>IF(A266="","",IF(SUMPRODUCT(MAX(('Grocery Spending'!$E$5:$E$404=A266)*'Grocery Spending'!$A$5:$A$404))=0,"",SUMPRODUCT(MAX(('Grocery Spending'!$E$5:$E$404=A266)*'Grocery Spending'!$A$5:$A$404))))</f>
        <v>0</v>
      </c>
      <c r="AG266" s="8">
        <f>IF(OR(A266="",AF266=""),"",IFERROR(AVERAGEIFS('Grocery Spending'!$I$5:$I$404,'Grocery Spending'!$E$5:$E$404,A266,'Grocery Spending'!$A$5:$A$404,AF266),""))</f>
        <v>0</v>
      </c>
      <c r="AH266" s="8">
        <f>IF(A266="","",IFERROR(AVERAGEIFS('Grocery Spending'!$I$5:$I$404,'Grocery Spending'!$E$5:$E$404,A266),""))</f>
        <v>0</v>
      </c>
      <c r="AI266" s="8">
        <f>IF(A266="","",IF(SUMPRODUCT(MIN(('Grocery Spending'!$E$5:$E$404=A266)*'Grocery Spending'!$I$5:$I$404+('Grocery Spending'!$E$5:$E$404&lt;&gt;A266)*1000000))&gt;=1000000,"",SUMPRODUCT(MIN(('Grocery Spending'!$E$5:$E$404=A266)*'Grocery Spending'!$I$5:$I$404+('Grocery Spending'!$E$5:$E$404&lt;&gt;A266)*1000000))))</f>
        <v>0</v>
      </c>
      <c r="AJ266" s="8">
        <f>IF(A266="","",SUMPRODUCT(MAX(('Grocery Spending'!$E$5:$E$404=A266)*'Grocery Spending'!$I$5:$I$404)))</f>
        <v>0</v>
      </c>
      <c r="AK266" s="8">
        <f>IF(OR(A266="",AI266="",AJ266=0),"",AJ266-AI266)</f>
        <v>0</v>
      </c>
      <c r="AL266" s="8">
        <f>IF(OR(A266="",AG266="",AH266=""),"",AG266-AH266)</f>
        <v>0</v>
      </c>
      <c r="AM266" s="8">
        <f>IF(A266="","",IF(AL266="","",IF(AL266&gt;0.01,"Up",IF(AL266&lt;-0.01,"Down","Flat"))))</f>
        <v>0</v>
      </c>
      <c r="AN266" s="25"/>
    </row>
    <row r="267" spans="1:40">
      <c r="A267" s="7"/>
      <c r="B267" s="27"/>
      <c r="C267" s="27"/>
      <c r="D267" s="28"/>
      <c r="E267" s="27"/>
      <c r="F267" s="26"/>
      <c r="G267" s="8">
        <f>IF(OR(D267="",F267="",F267=0),"",D267/F267)</f>
        <v>0</v>
      </c>
      <c r="H267" s="26"/>
      <c r="I267" s="26"/>
      <c r="J267" s="26"/>
      <c r="K267" s="26"/>
      <c r="L267" s="26"/>
      <c r="M267" s="26"/>
      <c r="N267" s="27"/>
      <c r="O267" s="27"/>
      <c r="P267" s="27"/>
      <c r="Q267" s="27"/>
      <c r="R267" s="7"/>
      <c r="S267" s="8">
        <f>IF(A267="","",SUMIFS(Pantry!$C$5:$C$304,Pantry!$A$5:$A$304,A267))</f>
        <v>0</v>
      </c>
      <c r="T267" s="8">
        <f>IF(A267="","",COUNTIFS('Grocery List'!$A$5:$A$304,A267,'Grocery List'!$N$5:$N$304,"Yes"))</f>
        <v>0</v>
      </c>
      <c r="U267" s="8">
        <f>IF(A267="","",SUMIFS('Grocery List'!$M$5:$M$304,'Grocery List'!$A$5:$A$304,A267))</f>
        <v>0</v>
      </c>
      <c r="V267" s="8">
        <f>IF(A267="","",COUNTIFS('Recipe Ingredients'!$B$5:$B$1204,A267))</f>
        <v>0</v>
      </c>
      <c r="W267" s="8">
        <f>IF(A267="","",SUMIFS('Recipe Ingredients'!$C$5:$C$1204,'Recipe Ingredients'!$B$5:$B$1204,A267))</f>
        <v>0</v>
      </c>
      <c r="X267" s="8">
        <f>IF(A267="","",IF(U267&lt;=0,IF(S267&gt;0,99,0),ROUND(S267/U267,1)))</f>
        <v>0</v>
      </c>
      <c r="Y267" s="8">
        <f>IF(A267="","",U267*10+IF(O267="Yes",5,0)+IF(X267&lt;1,10,0)+IF(S267&lt;=0,3,0))</f>
        <v>0</v>
      </c>
      <c r="Z267" s="8">
        <f>IF(A267="","",COUNTIFS($Y$5:$Y$304,"&gt;"&amp;Y267)+1)</f>
        <v>0</v>
      </c>
      <c r="AA267" s="8">
        <f>IF(A267="","",IF(OR(U267&gt;0,AND(O267="Yes",X267&lt;2)),"Yes","No"))</f>
        <v>0</v>
      </c>
      <c r="AB267" s="8">
        <f>IF(OR(A267="",D267=""),"",S267*D267)</f>
        <v>0</v>
      </c>
      <c r="AC267" s="8">
        <f>IF(AB267="","",COUNTIFS($AB$5:$AB$304,"&gt;"&amp;AB267)+1)</f>
        <v>0</v>
      </c>
      <c r="AD267" s="8">
        <f>IF(A267="","",SUMIFS('Food Waste'!$E$5:$E$154,'Food Waste'!$C$5:$C$154,A267))</f>
        <v>0</v>
      </c>
      <c r="AE267" s="8">
        <f>IF(OR(A267="",AD267=0),"",COUNTIFS($AD$5:$AD$304,"&gt;"&amp;AD267)+1)</f>
        <v>0</v>
      </c>
      <c r="AF267" s="8">
        <f>IF(A267="","",IF(SUMPRODUCT(MAX(('Grocery Spending'!$E$5:$E$404=A267)*'Grocery Spending'!$A$5:$A$404))=0,"",SUMPRODUCT(MAX(('Grocery Spending'!$E$5:$E$404=A267)*'Grocery Spending'!$A$5:$A$404))))</f>
        <v>0</v>
      </c>
      <c r="AG267" s="8">
        <f>IF(OR(A267="",AF267=""),"",IFERROR(AVERAGEIFS('Grocery Spending'!$I$5:$I$404,'Grocery Spending'!$E$5:$E$404,A267,'Grocery Spending'!$A$5:$A$404,AF267),""))</f>
        <v>0</v>
      </c>
      <c r="AH267" s="8">
        <f>IF(A267="","",IFERROR(AVERAGEIFS('Grocery Spending'!$I$5:$I$404,'Grocery Spending'!$E$5:$E$404,A267),""))</f>
        <v>0</v>
      </c>
      <c r="AI267" s="8">
        <f>IF(A267="","",IF(SUMPRODUCT(MIN(('Grocery Spending'!$E$5:$E$404=A267)*'Grocery Spending'!$I$5:$I$404+('Grocery Spending'!$E$5:$E$404&lt;&gt;A267)*1000000))&gt;=1000000,"",SUMPRODUCT(MIN(('Grocery Spending'!$E$5:$E$404=A267)*'Grocery Spending'!$I$5:$I$404+('Grocery Spending'!$E$5:$E$404&lt;&gt;A267)*1000000))))</f>
        <v>0</v>
      </c>
      <c r="AJ267" s="8">
        <f>IF(A267="","",SUMPRODUCT(MAX(('Grocery Spending'!$E$5:$E$404=A267)*'Grocery Spending'!$I$5:$I$404)))</f>
        <v>0</v>
      </c>
      <c r="AK267" s="8">
        <f>IF(OR(A267="",AI267="",AJ267=0),"",AJ267-AI267)</f>
        <v>0</v>
      </c>
      <c r="AL267" s="8">
        <f>IF(OR(A267="",AG267="",AH267=""),"",AG267-AH267)</f>
        <v>0</v>
      </c>
      <c r="AM267" s="8">
        <f>IF(A267="","",IF(AL267="","",IF(AL267&gt;0.01,"Up",IF(AL267&lt;-0.01,"Down","Flat"))))</f>
        <v>0</v>
      </c>
      <c r="AN267" s="25"/>
    </row>
    <row r="268" spans="1:40">
      <c r="A268" s="7"/>
      <c r="B268" s="27"/>
      <c r="C268" s="27"/>
      <c r="D268" s="28"/>
      <c r="E268" s="27"/>
      <c r="F268" s="26"/>
      <c r="G268" s="8">
        <f>IF(OR(D268="",F268="",F268=0),"",D268/F268)</f>
        <v>0</v>
      </c>
      <c r="H268" s="26"/>
      <c r="I268" s="26"/>
      <c r="J268" s="26"/>
      <c r="K268" s="26"/>
      <c r="L268" s="26"/>
      <c r="M268" s="26"/>
      <c r="N268" s="27"/>
      <c r="O268" s="27"/>
      <c r="P268" s="27"/>
      <c r="Q268" s="27"/>
      <c r="R268" s="7"/>
      <c r="S268" s="8">
        <f>IF(A268="","",SUMIFS(Pantry!$C$5:$C$304,Pantry!$A$5:$A$304,A268))</f>
        <v>0</v>
      </c>
      <c r="T268" s="8">
        <f>IF(A268="","",COUNTIFS('Grocery List'!$A$5:$A$304,A268,'Grocery List'!$N$5:$N$304,"Yes"))</f>
        <v>0</v>
      </c>
      <c r="U268" s="8">
        <f>IF(A268="","",SUMIFS('Grocery List'!$M$5:$M$304,'Grocery List'!$A$5:$A$304,A268))</f>
        <v>0</v>
      </c>
      <c r="V268" s="8">
        <f>IF(A268="","",COUNTIFS('Recipe Ingredients'!$B$5:$B$1204,A268))</f>
        <v>0</v>
      </c>
      <c r="W268" s="8">
        <f>IF(A268="","",SUMIFS('Recipe Ingredients'!$C$5:$C$1204,'Recipe Ingredients'!$B$5:$B$1204,A268))</f>
        <v>0</v>
      </c>
      <c r="X268" s="8">
        <f>IF(A268="","",IF(U268&lt;=0,IF(S268&gt;0,99,0),ROUND(S268/U268,1)))</f>
        <v>0</v>
      </c>
      <c r="Y268" s="8">
        <f>IF(A268="","",U268*10+IF(O268="Yes",5,0)+IF(X268&lt;1,10,0)+IF(S268&lt;=0,3,0))</f>
        <v>0</v>
      </c>
      <c r="Z268" s="8">
        <f>IF(A268="","",COUNTIFS($Y$5:$Y$304,"&gt;"&amp;Y268)+1)</f>
        <v>0</v>
      </c>
      <c r="AA268" s="8">
        <f>IF(A268="","",IF(OR(U268&gt;0,AND(O268="Yes",X268&lt;2)),"Yes","No"))</f>
        <v>0</v>
      </c>
      <c r="AB268" s="8">
        <f>IF(OR(A268="",D268=""),"",S268*D268)</f>
        <v>0</v>
      </c>
      <c r="AC268" s="8">
        <f>IF(AB268="","",COUNTIFS($AB$5:$AB$304,"&gt;"&amp;AB268)+1)</f>
        <v>0</v>
      </c>
      <c r="AD268" s="8">
        <f>IF(A268="","",SUMIFS('Food Waste'!$E$5:$E$154,'Food Waste'!$C$5:$C$154,A268))</f>
        <v>0</v>
      </c>
      <c r="AE268" s="8">
        <f>IF(OR(A268="",AD268=0),"",COUNTIFS($AD$5:$AD$304,"&gt;"&amp;AD268)+1)</f>
        <v>0</v>
      </c>
      <c r="AF268" s="8">
        <f>IF(A268="","",IF(SUMPRODUCT(MAX(('Grocery Spending'!$E$5:$E$404=A268)*'Grocery Spending'!$A$5:$A$404))=0,"",SUMPRODUCT(MAX(('Grocery Spending'!$E$5:$E$404=A268)*'Grocery Spending'!$A$5:$A$404))))</f>
        <v>0</v>
      </c>
      <c r="AG268" s="8">
        <f>IF(OR(A268="",AF268=""),"",IFERROR(AVERAGEIFS('Grocery Spending'!$I$5:$I$404,'Grocery Spending'!$E$5:$E$404,A268,'Grocery Spending'!$A$5:$A$404,AF268),""))</f>
        <v>0</v>
      </c>
      <c r="AH268" s="8">
        <f>IF(A268="","",IFERROR(AVERAGEIFS('Grocery Spending'!$I$5:$I$404,'Grocery Spending'!$E$5:$E$404,A268),""))</f>
        <v>0</v>
      </c>
      <c r="AI268" s="8">
        <f>IF(A268="","",IF(SUMPRODUCT(MIN(('Grocery Spending'!$E$5:$E$404=A268)*'Grocery Spending'!$I$5:$I$404+('Grocery Spending'!$E$5:$E$404&lt;&gt;A268)*1000000))&gt;=1000000,"",SUMPRODUCT(MIN(('Grocery Spending'!$E$5:$E$404=A268)*'Grocery Spending'!$I$5:$I$404+('Grocery Spending'!$E$5:$E$404&lt;&gt;A268)*1000000))))</f>
        <v>0</v>
      </c>
      <c r="AJ268" s="8">
        <f>IF(A268="","",SUMPRODUCT(MAX(('Grocery Spending'!$E$5:$E$404=A268)*'Grocery Spending'!$I$5:$I$404)))</f>
        <v>0</v>
      </c>
      <c r="AK268" s="8">
        <f>IF(OR(A268="",AI268="",AJ268=0),"",AJ268-AI268)</f>
        <v>0</v>
      </c>
      <c r="AL268" s="8">
        <f>IF(OR(A268="",AG268="",AH268=""),"",AG268-AH268)</f>
        <v>0</v>
      </c>
      <c r="AM268" s="8">
        <f>IF(A268="","",IF(AL268="","",IF(AL268&gt;0.01,"Up",IF(AL268&lt;-0.01,"Down","Flat"))))</f>
        <v>0</v>
      </c>
      <c r="AN268" s="25"/>
    </row>
    <row r="269" spans="1:40">
      <c r="A269" s="7"/>
      <c r="B269" s="27"/>
      <c r="C269" s="27"/>
      <c r="D269" s="28"/>
      <c r="E269" s="27"/>
      <c r="F269" s="26"/>
      <c r="G269" s="8">
        <f>IF(OR(D269="",F269="",F269=0),"",D269/F269)</f>
        <v>0</v>
      </c>
      <c r="H269" s="26"/>
      <c r="I269" s="26"/>
      <c r="J269" s="26"/>
      <c r="K269" s="26"/>
      <c r="L269" s="26"/>
      <c r="M269" s="26"/>
      <c r="N269" s="27"/>
      <c r="O269" s="27"/>
      <c r="P269" s="27"/>
      <c r="Q269" s="27"/>
      <c r="R269" s="7"/>
      <c r="S269" s="8">
        <f>IF(A269="","",SUMIFS(Pantry!$C$5:$C$304,Pantry!$A$5:$A$304,A269))</f>
        <v>0</v>
      </c>
      <c r="T269" s="8">
        <f>IF(A269="","",COUNTIFS('Grocery List'!$A$5:$A$304,A269,'Grocery List'!$N$5:$N$304,"Yes"))</f>
        <v>0</v>
      </c>
      <c r="U269" s="8">
        <f>IF(A269="","",SUMIFS('Grocery List'!$M$5:$M$304,'Grocery List'!$A$5:$A$304,A269))</f>
        <v>0</v>
      </c>
      <c r="V269" s="8">
        <f>IF(A269="","",COUNTIFS('Recipe Ingredients'!$B$5:$B$1204,A269))</f>
        <v>0</v>
      </c>
      <c r="W269" s="8">
        <f>IF(A269="","",SUMIFS('Recipe Ingredients'!$C$5:$C$1204,'Recipe Ingredients'!$B$5:$B$1204,A269))</f>
        <v>0</v>
      </c>
      <c r="X269" s="8">
        <f>IF(A269="","",IF(U269&lt;=0,IF(S269&gt;0,99,0),ROUND(S269/U269,1)))</f>
        <v>0</v>
      </c>
      <c r="Y269" s="8">
        <f>IF(A269="","",U269*10+IF(O269="Yes",5,0)+IF(X269&lt;1,10,0)+IF(S269&lt;=0,3,0))</f>
        <v>0</v>
      </c>
      <c r="Z269" s="8">
        <f>IF(A269="","",COUNTIFS($Y$5:$Y$304,"&gt;"&amp;Y269)+1)</f>
        <v>0</v>
      </c>
      <c r="AA269" s="8">
        <f>IF(A269="","",IF(OR(U269&gt;0,AND(O269="Yes",X269&lt;2)),"Yes","No"))</f>
        <v>0</v>
      </c>
      <c r="AB269" s="8">
        <f>IF(OR(A269="",D269=""),"",S269*D269)</f>
        <v>0</v>
      </c>
      <c r="AC269" s="8">
        <f>IF(AB269="","",COUNTIFS($AB$5:$AB$304,"&gt;"&amp;AB269)+1)</f>
        <v>0</v>
      </c>
      <c r="AD269" s="8">
        <f>IF(A269="","",SUMIFS('Food Waste'!$E$5:$E$154,'Food Waste'!$C$5:$C$154,A269))</f>
        <v>0</v>
      </c>
      <c r="AE269" s="8">
        <f>IF(OR(A269="",AD269=0),"",COUNTIFS($AD$5:$AD$304,"&gt;"&amp;AD269)+1)</f>
        <v>0</v>
      </c>
      <c r="AF269" s="8">
        <f>IF(A269="","",IF(SUMPRODUCT(MAX(('Grocery Spending'!$E$5:$E$404=A269)*'Grocery Spending'!$A$5:$A$404))=0,"",SUMPRODUCT(MAX(('Grocery Spending'!$E$5:$E$404=A269)*'Grocery Spending'!$A$5:$A$404))))</f>
        <v>0</v>
      </c>
      <c r="AG269" s="8">
        <f>IF(OR(A269="",AF269=""),"",IFERROR(AVERAGEIFS('Grocery Spending'!$I$5:$I$404,'Grocery Spending'!$E$5:$E$404,A269,'Grocery Spending'!$A$5:$A$404,AF269),""))</f>
        <v>0</v>
      </c>
      <c r="AH269" s="8">
        <f>IF(A269="","",IFERROR(AVERAGEIFS('Grocery Spending'!$I$5:$I$404,'Grocery Spending'!$E$5:$E$404,A269),""))</f>
        <v>0</v>
      </c>
      <c r="AI269" s="8">
        <f>IF(A269="","",IF(SUMPRODUCT(MIN(('Grocery Spending'!$E$5:$E$404=A269)*'Grocery Spending'!$I$5:$I$404+('Grocery Spending'!$E$5:$E$404&lt;&gt;A269)*1000000))&gt;=1000000,"",SUMPRODUCT(MIN(('Grocery Spending'!$E$5:$E$404=A269)*'Grocery Spending'!$I$5:$I$404+('Grocery Spending'!$E$5:$E$404&lt;&gt;A269)*1000000))))</f>
        <v>0</v>
      </c>
      <c r="AJ269" s="8">
        <f>IF(A269="","",SUMPRODUCT(MAX(('Grocery Spending'!$E$5:$E$404=A269)*'Grocery Spending'!$I$5:$I$404)))</f>
        <v>0</v>
      </c>
      <c r="AK269" s="8">
        <f>IF(OR(A269="",AI269="",AJ269=0),"",AJ269-AI269)</f>
        <v>0</v>
      </c>
      <c r="AL269" s="8">
        <f>IF(OR(A269="",AG269="",AH269=""),"",AG269-AH269)</f>
        <v>0</v>
      </c>
      <c r="AM269" s="8">
        <f>IF(A269="","",IF(AL269="","",IF(AL269&gt;0.01,"Up",IF(AL269&lt;-0.01,"Down","Flat"))))</f>
        <v>0</v>
      </c>
      <c r="AN269" s="25"/>
    </row>
    <row r="270" spans="1:40">
      <c r="A270" s="7"/>
      <c r="B270" s="27"/>
      <c r="C270" s="27"/>
      <c r="D270" s="28"/>
      <c r="E270" s="27"/>
      <c r="F270" s="26"/>
      <c r="G270" s="8">
        <f>IF(OR(D270="",F270="",F270=0),"",D270/F270)</f>
        <v>0</v>
      </c>
      <c r="H270" s="26"/>
      <c r="I270" s="26"/>
      <c r="J270" s="26"/>
      <c r="K270" s="26"/>
      <c r="L270" s="26"/>
      <c r="M270" s="26"/>
      <c r="N270" s="27"/>
      <c r="O270" s="27"/>
      <c r="P270" s="27"/>
      <c r="Q270" s="27"/>
      <c r="R270" s="7"/>
      <c r="S270" s="8">
        <f>IF(A270="","",SUMIFS(Pantry!$C$5:$C$304,Pantry!$A$5:$A$304,A270))</f>
        <v>0</v>
      </c>
      <c r="T270" s="8">
        <f>IF(A270="","",COUNTIFS('Grocery List'!$A$5:$A$304,A270,'Grocery List'!$N$5:$N$304,"Yes"))</f>
        <v>0</v>
      </c>
      <c r="U270" s="8">
        <f>IF(A270="","",SUMIFS('Grocery List'!$M$5:$M$304,'Grocery List'!$A$5:$A$304,A270))</f>
        <v>0</v>
      </c>
      <c r="V270" s="8">
        <f>IF(A270="","",COUNTIFS('Recipe Ingredients'!$B$5:$B$1204,A270))</f>
        <v>0</v>
      </c>
      <c r="W270" s="8">
        <f>IF(A270="","",SUMIFS('Recipe Ingredients'!$C$5:$C$1204,'Recipe Ingredients'!$B$5:$B$1204,A270))</f>
        <v>0</v>
      </c>
      <c r="X270" s="8">
        <f>IF(A270="","",IF(U270&lt;=0,IF(S270&gt;0,99,0),ROUND(S270/U270,1)))</f>
        <v>0</v>
      </c>
      <c r="Y270" s="8">
        <f>IF(A270="","",U270*10+IF(O270="Yes",5,0)+IF(X270&lt;1,10,0)+IF(S270&lt;=0,3,0))</f>
        <v>0</v>
      </c>
      <c r="Z270" s="8">
        <f>IF(A270="","",COUNTIFS($Y$5:$Y$304,"&gt;"&amp;Y270)+1)</f>
        <v>0</v>
      </c>
      <c r="AA270" s="8">
        <f>IF(A270="","",IF(OR(U270&gt;0,AND(O270="Yes",X270&lt;2)),"Yes","No"))</f>
        <v>0</v>
      </c>
      <c r="AB270" s="8">
        <f>IF(OR(A270="",D270=""),"",S270*D270)</f>
        <v>0</v>
      </c>
      <c r="AC270" s="8">
        <f>IF(AB270="","",COUNTIFS($AB$5:$AB$304,"&gt;"&amp;AB270)+1)</f>
        <v>0</v>
      </c>
      <c r="AD270" s="8">
        <f>IF(A270="","",SUMIFS('Food Waste'!$E$5:$E$154,'Food Waste'!$C$5:$C$154,A270))</f>
        <v>0</v>
      </c>
      <c r="AE270" s="8">
        <f>IF(OR(A270="",AD270=0),"",COUNTIFS($AD$5:$AD$304,"&gt;"&amp;AD270)+1)</f>
        <v>0</v>
      </c>
      <c r="AF270" s="8">
        <f>IF(A270="","",IF(SUMPRODUCT(MAX(('Grocery Spending'!$E$5:$E$404=A270)*'Grocery Spending'!$A$5:$A$404))=0,"",SUMPRODUCT(MAX(('Grocery Spending'!$E$5:$E$404=A270)*'Grocery Spending'!$A$5:$A$404))))</f>
        <v>0</v>
      </c>
      <c r="AG270" s="8">
        <f>IF(OR(A270="",AF270=""),"",IFERROR(AVERAGEIFS('Grocery Spending'!$I$5:$I$404,'Grocery Spending'!$E$5:$E$404,A270,'Grocery Spending'!$A$5:$A$404,AF270),""))</f>
        <v>0</v>
      </c>
      <c r="AH270" s="8">
        <f>IF(A270="","",IFERROR(AVERAGEIFS('Grocery Spending'!$I$5:$I$404,'Grocery Spending'!$E$5:$E$404,A270),""))</f>
        <v>0</v>
      </c>
      <c r="AI270" s="8">
        <f>IF(A270="","",IF(SUMPRODUCT(MIN(('Grocery Spending'!$E$5:$E$404=A270)*'Grocery Spending'!$I$5:$I$404+('Grocery Spending'!$E$5:$E$404&lt;&gt;A270)*1000000))&gt;=1000000,"",SUMPRODUCT(MIN(('Grocery Spending'!$E$5:$E$404=A270)*'Grocery Spending'!$I$5:$I$404+('Grocery Spending'!$E$5:$E$404&lt;&gt;A270)*1000000))))</f>
        <v>0</v>
      </c>
      <c r="AJ270" s="8">
        <f>IF(A270="","",SUMPRODUCT(MAX(('Grocery Spending'!$E$5:$E$404=A270)*'Grocery Spending'!$I$5:$I$404)))</f>
        <v>0</v>
      </c>
      <c r="AK270" s="8">
        <f>IF(OR(A270="",AI270="",AJ270=0),"",AJ270-AI270)</f>
        <v>0</v>
      </c>
      <c r="AL270" s="8">
        <f>IF(OR(A270="",AG270="",AH270=""),"",AG270-AH270)</f>
        <v>0</v>
      </c>
      <c r="AM270" s="8">
        <f>IF(A270="","",IF(AL270="","",IF(AL270&gt;0.01,"Up",IF(AL270&lt;-0.01,"Down","Flat"))))</f>
        <v>0</v>
      </c>
      <c r="AN270" s="25"/>
    </row>
    <row r="271" spans="1:40">
      <c r="A271" s="7"/>
      <c r="B271" s="27"/>
      <c r="C271" s="27"/>
      <c r="D271" s="28"/>
      <c r="E271" s="27"/>
      <c r="F271" s="26"/>
      <c r="G271" s="8">
        <f>IF(OR(D271="",F271="",F271=0),"",D271/F271)</f>
        <v>0</v>
      </c>
      <c r="H271" s="26"/>
      <c r="I271" s="26"/>
      <c r="J271" s="26"/>
      <c r="K271" s="26"/>
      <c r="L271" s="26"/>
      <c r="M271" s="26"/>
      <c r="N271" s="27"/>
      <c r="O271" s="27"/>
      <c r="P271" s="27"/>
      <c r="Q271" s="27"/>
      <c r="R271" s="7"/>
      <c r="S271" s="8">
        <f>IF(A271="","",SUMIFS(Pantry!$C$5:$C$304,Pantry!$A$5:$A$304,A271))</f>
        <v>0</v>
      </c>
      <c r="T271" s="8">
        <f>IF(A271="","",COUNTIFS('Grocery List'!$A$5:$A$304,A271,'Grocery List'!$N$5:$N$304,"Yes"))</f>
        <v>0</v>
      </c>
      <c r="U271" s="8">
        <f>IF(A271="","",SUMIFS('Grocery List'!$M$5:$M$304,'Grocery List'!$A$5:$A$304,A271))</f>
        <v>0</v>
      </c>
      <c r="V271" s="8">
        <f>IF(A271="","",COUNTIFS('Recipe Ingredients'!$B$5:$B$1204,A271))</f>
        <v>0</v>
      </c>
      <c r="W271" s="8">
        <f>IF(A271="","",SUMIFS('Recipe Ingredients'!$C$5:$C$1204,'Recipe Ingredients'!$B$5:$B$1204,A271))</f>
        <v>0</v>
      </c>
      <c r="X271" s="8">
        <f>IF(A271="","",IF(U271&lt;=0,IF(S271&gt;0,99,0),ROUND(S271/U271,1)))</f>
        <v>0</v>
      </c>
      <c r="Y271" s="8">
        <f>IF(A271="","",U271*10+IF(O271="Yes",5,0)+IF(X271&lt;1,10,0)+IF(S271&lt;=0,3,0))</f>
        <v>0</v>
      </c>
      <c r="Z271" s="8">
        <f>IF(A271="","",COUNTIFS($Y$5:$Y$304,"&gt;"&amp;Y271)+1)</f>
        <v>0</v>
      </c>
      <c r="AA271" s="8">
        <f>IF(A271="","",IF(OR(U271&gt;0,AND(O271="Yes",X271&lt;2)),"Yes","No"))</f>
        <v>0</v>
      </c>
      <c r="AB271" s="8">
        <f>IF(OR(A271="",D271=""),"",S271*D271)</f>
        <v>0</v>
      </c>
      <c r="AC271" s="8">
        <f>IF(AB271="","",COUNTIFS($AB$5:$AB$304,"&gt;"&amp;AB271)+1)</f>
        <v>0</v>
      </c>
      <c r="AD271" s="8">
        <f>IF(A271="","",SUMIFS('Food Waste'!$E$5:$E$154,'Food Waste'!$C$5:$C$154,A271))</f>
        <v>0</v>
      </c>
      <c r="AE271" s="8">
        <f>IF(OR(A271="",AD271=0),"",COUNTIFS($AD$5:$AD$304,"&gt;"&amp;AD271)+1)</f>
        <v>0</v>
      </c>
      <c r="AF271" s="8">
        <f>IF(A271="","",IF(SUMPRODUCT(MAX(('Grocery Spending'!$E$5:$E$404=A271)*'Grocery Spending'!$A$5:$A$404))=0,"",SUMPRODUCT(MAX(('Grocery Spending'!$E$5:$E$404=A271)*'Grocery Spending'!$A$5:$A$404))))</f>
        <v>0</v>
      </c>
      <c r="AG271" s="8">
        <f>IF(OR(A271="",AF271=""),"",IFERROR(AVERAGEIFS('Grocery Spending'!$I$5:$I$404,'Grocery Spending'!$E$5:$E$404,A271,'Grocery Spending'!$A$5:$A$404,AF271),""))</f>
        <v>0</v>
      </c>
      <c r="AH271" s="8">
        <f>IF(A271="","",IFERROR(AVERAGEIFS('Grocery Spending'!$I$5:$I$404,'Grocery Spending'!$E$5:$E$404,A271),""))</f>
        <v>0</v>
      </c>
      <c r="AI271" s="8">
        <f>IF(A271="","",IF(SUMPRODUCT(MIN(('Grocery Spending'!$E$5:$E$404=A271)*'Grocery Spending'!$I$5:$I$404+('Grocery Spending'!$E$5:$E$404&lt;&gt;A271)*1000000))&gt;=1000000,"",SUMPRODUCT(MIN(('Grocery Spending'!$E$5:$E$404=A271)*'Grocery Spending'!$I$5:$I$404+('Grocery Spending'!$E$5:$E$404&lt;&gt;A271)*1000000))))</f>
        <v>0</v>
      </c>
      <c r="AJ271" s="8">
        <f>IF(A271="","",SUMPRODUCT(MAX(('Grocery Spending'!$E$5:$E$404=A271)*'Grocery Spending'!$I$5:$I$404)))</f>
        <v>0</v>
      </c>
      <c r="AK271" s="8">
        <f>IF(OR(A271="",AI271="",AJ271=0),"",AJ271-AI271)</f>
        <v>0</v>
      </c>
      <c r="AL271" s="8">
        <f>IF(OR(A271="",AG271="",AH271=""),"",AG271-AH271)</f>
        <v>0</v>
      </c>
      <c r="AM271" s="8">
        <f>IF(A271="","",IF(AL271="","",IF(AL271&gt;0.01,"Up",IF(AL271&lt;-0.01,"Down","Flat"))))</f>
        <v>0</v>
      </c>
      <c r="AN271" s="25"/>
    </row>
    <row r="272" spans="1:40">
      <c r="A272" s="7"/>
      <c r="B272" s="27"/>
      <c r="C272" s="27"/>
      <c r="D272" s="28"/>
      <c r="E272" s="27"/>
      <c r="F272" s="26"/>
      <c r="G272" s="8">
        <f>IF(OR(D272="",F272="",F272=0),"",D272/F272)</f>
        <v>0</v>
      </c>
      <c r="H272" s="26"/>
      <c r="I272" s="26"/>
      <c r="J272" s="26"/>
      <c r="K272" s="26"/>
      <c r="L272" s="26"/>
      <c r="M272" s="26"/>
      <c r="N272" s="27"/>
      <c r="O272" s="27"/>
      <c r="P272" s="27"/>
      <c r="Q272" s="27"/>
      <c r="R272" s="7"/>
      <c r="S272" s="8">
        <f>IF(A272="","",SUMIFS(Pantry!$C$5:$C$304,Pantry!$A$5:$A$304,A272))</f>
        <v>0</v>
      </c>
      <c r="T272" s="8">
        <f>IF(A272="","",COUNTIFS('Grocery List'!$A$5:$A$304,A272,'Grocery List'!$N$5:$N$304,"Yes"))</f>
        <v>0</v>
      </c>
      <c r="U272" s="8">
        <f>IF(A272="","",SUMIFS('Grocery List'!$M$5:$M$304,'Grocery List'!$A$5:$A$304,A272))</f>
        <v>0</v>
      </c>
      <c r="V272" s="8">
        <f>IF(A272="","",COUNTIFS('Recipe Ingredients'!$B$5:$B$1204,A272))</f>
        <v>0</v>
      </c>
      <c r="W272" s="8">
        <f>IF(A272="","",SUMIFS('Recipe Ingredients'!$C$5:$C$1204,'Recipe Ingredients'!$B$5:$B$1204,A272))</f>
        <v>0</v>
      </c>
      <c r="X272" s="8">
        <f>IF(A272="","",IF(U272&lt;=0,IF(S272&gt;0,99,0),ROUND(S272/U272,1)))</f>
        <v>0</v>
      </c>
      <c r="Y272" s="8">
        <f>IF(A272="","",U272*10+IF(O272="Yes",5,0)+IF(X272&lt;1,10,0)+IF(S272&lt;=0,3,0))</f>
        <v>0</v>
      </c>
      <c r="Z272" s="8">
        <f>IF(A272="","",COUNTIFS($Y$5:$Y$304,"&gt;"&amp;Y272)+1)</f>
        <v>0</v>
      </c>
      <c r="AA272" s="8">
        <f>IF(A272="","",IF(OR(U272&gt;0,AND(O272="Yes",X272&lt;2)),"Yes","No"))</f>
        <v>0</v>
      </c>
      <c r="AB272" s="8">
        <f>IF(OR(A272="",D272=""),"",S272*D272)</f>
        <v>0</v>
      </c>
      <c r="AC272" s="8">
        <f>IF(AB272="","",COUNTIFS($AB$5:$AB$304,"&gt;"&amp;AB272)+1)</f>
        <v>0</v>
      </c>
      <c r="AD272" s="8">
        <f>IF(A272="","",SUMIFS('Food Waste'!$E$5:$E$154,'Food Waste'!$C$5:$C$154,A272))</f>
        <v>0</v>
      </c>
      <c r="AE272" s="8">
        <f>IF(OR(A272="",AD272=0),"",COUNTIFS($AD$5:$AD$304,"&gt;"&amp;AD272)+1)</f>
        <v>0</v>
      </c>
      <c r="AF272" s="8">
        <f>IF(A272="","",IF(SUMPRODUCT(MAX(('Grocery Spending'!$E$5:$E$404=A272)*'Grocery Spending'!$A$5:$A$404))=0,"",SUMPRODUCT(MAX(('Grocery Spending'!$E$5:$E$404=A272)*'Grocery Spending'!$A$5:$A$404))))</f>
        <v>0</v>
      </c>
      <c r="AG272" s="8">
        <f>IF(OR(A272="",AF272=""),"",IFERROR(AVERAGEIFS('Grocery Spending'!$I$5:$I$404,'Grocery Spending'!$E$5:$E$404,A272,'Grocery Spending'!$A$5:$A$404,AF272),""))</f>
        <v>0</v>
      </c>
      <c r="AH272" s="8">
        <f>IF(A272="","",IFERROR(AVERAGEIFS('Grocery Spending'!$I$5:$I$404,'Grocery Spending'!$E$5:$E$404,A272),""))</f>
        <v>0</v>
      </c>
      <c r="AI272" s="8">
        <f>IF(A272="","",IF(SUMPRODUCT(MIN(('Grocery Spending'!$E$5:$E$404=A272)*'Grocery Spending'!$I$5:$I$404+('Grocery Spending'!$E$5:$E$404&lt;&gt;A272)*1000000))&gt;=1000000,"",SUMPRODUCT(MIN(('Grocery Spending'!$E$5:$E$404=A272)*'Grocery Spending'!$I$5:$I$404+('Grocery Spending'!$E$5:$E$404&lt;&gt;A272)*1000000))))</f>
        <v>0</v>
      </c>
      <c r="AJ272" s="8">
        <f>IF(A272="","",SUMPRODUCT(MAX(('Grocery Spending'!$E$5:$E$404=A272)*'Grocery Spending'!$I$5:$I$404)))</f>
        <v>0</v>
      </c>
      <c r="AK272" s="8">
        <f>IF(OR(A272="",AI272="",AJ272=0),"",AJ272-AI272)</f>
        <v>0</v>
      </c>
      <c r="AL272" s="8">
        <f>IF(OR(A272="",AG272="",AH272=""),"",AG272-AH272)</f>
        <v>0</v>
      </c>
      <c r="AM272" s="8">
        <f>IF(A272="","",IF(AL272="","",IF(AL272&gt;0.01,"Up",IF(AL272&lt;-0.01,"Down","Flat"))))</f>
        <v>0</v>
      </c>
      <c r="AN272" s="25"/>
    </row>
    <row r="273" spans="1:40">
      <c r="A273" s="7"/>
      <c r="B273" s="27"/>
      <c r="C273" s="27"/>
      <c r="D273" s="28"/>
      <c r="E273" s="27"/>
      <c r="F273" s="26"/>
      <c r="G273" s="8">
        <f>IF(OR(D273="",F273="",F273=0),"",D273/F273)</f>
        <v>0</v>
      </c>
      <c r="H273" s="26"/>
      <c r="I273" s="26"/>
      <c r="J273" s="26"/>
      <c r="K273" s="26"/>
      <c r="L273" s="26"/>
      <c r="M273" s="26"/>
      <c r="N273" s="27"/>
      <c r="O273" s="27"/>
      <c r="P273" s="27"/>
      <c r="Q273" s="27"/>
      <c r="R273" s="7"/>
      <c r="S273" s="8">
        <f>IF(A273="","",SUMIFS(Pantry!$C$5:$C$304,Pantry!$A$5:$A$304,A273))</f>
        <v>0</v>
      </c>
      <c r="T273" s="8">
        <f>IF(A273="","",COUNTIFS('Grocery List'!$A$5:$A$304,A273,'Grocery List'!$N$5:$N$304,"Yes"))</f>
        <v>0</v>
      </c>
      <c r="U273" s="8">
        <f>IF(A273="","",SUMIFS('Grocery List'!$M$5:$M$304,'Grocery List'!$A$5:$A$304,A273))</f>
        <v>0</v>
      </c>
      <c r="V273" s="8">
        <f>IF(A273="","",COUNTIFS('Recipe Ingredients'!$B$5:$B$1204,A273))</f>
        <v>0</v>
      </c>
      <c r="W273" s="8">
        <f>IF(A273="","",SUMIFS('Recipe Ingredients'!$C$5:$C$1204,'Recipe Ingredients'!$B$5:$B$1204,A273))</f>
        <v>0</v>
      </c>
      <c r="X273" s="8">
        <f>IF(A273="","",IF(U273&lt;=0,IF(S273&gt;0,99,0),ROUND(S273/U273,1)))</f>
        <v>0</v>
      </c>
      <c r="Y273" s="8">
        <f>IF(A273="","",U273*10+IF(O273="Yes",5,0)+IF(X273&lt;1,10,0)+IF(S273&lt;=0,3,0))</f>
        <v>0</v>
      </c>
      <c r="Z273" s="8">
        <f>IF(A273="","",COUNTIFS($Y$5:$Y$304,"&gt;"&amp;Y273)+1)</f>
        <v>0</v>
      </c>
      <c r="AA273" s="8">
        <f>IF(A273="","",IF(OR(U273&gt;0,AND(O273="Yes",X273&lt;2)),"Yes","No"))</f>
        <v>0</v>
      </c>
      <c r="AB273" s="8">
        <f>IF(OR(A273="",D273=""),"",S273*D273)</f>
        <v>0</v>
      </c>
      <c r="AC273" s="8">
        <f>IF(AB273="","",COUNTIFS($AB$5:$AB$304,"&gt;"&amp;AB273)+1)</f>
        <v>0</v>
      </c>
      <c r="AD273" s="8">
        <f>IF(A273="","",SUMIFS('Food Waste'!$E$5:$E$154,'Food Waste'!$C$5:$C$154,A273))</f>
        <v>0</v>
      </c>
      <c r="AE273" s="8">
        <f>IF(OR(A273="",AD273=0),"",COUNTIFS($AD$5:$AD$304,"&gt;"&amp;AD273)+1)</f>
        <v>0</v>
      </c>
      <c r="AF273" s="8">
        <f>IF(A273="","",IF(SUMPRODUCT(MAX(('Grocery Spending'!$E$5:$E$404=A273)*'Grocery Spending'!$A$5:$A$404))=0,"",SUMPRODUCT(MAX(('Grocery Spending'!$E$5:$E$404=A273)*'Grocery Spending'!$A$5:$A$404))))</f>
        <v>0</v>
      </c>
      <c r="AG273" s="8">
        <f>IF(OR(A273="",AF273=""),"",IFERROR(AVERAGEIFS('Grocery Spending'!$I$5:$I$404,'Grocery Spending'!$E$5:$E$404,A273,'Grocery Spending'!$A$5:$A$404,AF273),""))</f>
        <v>0</v>
      </c>
      <c r="AH273" s="8">
        <f>IF(A273="","",IFERROR(AVERAGEIFS('Grocery Spending'!$I$5:$I$404,'Grocery Spending'!$E$5:$E$404,A273),""))</f>
        <v>0</v>
      </c>
      <c r="AI273" s="8">
        <f>IF(A273="","",IF(SUMPRODUCT(MIN(('Grocery Spending'!$E$5:$E$404=A273)*'Grocery Spending'!$I$5:$I$404+('Grocery Spending'!$E$5:$E$404&lt;&gt;A273)*1000000))&gt;=1000000,"",SUMPRODUCT(MIN(('Grocery Spending'!$E$5:$E$404=A273)*'Grocery Spending'!$I$5:$I$404+('Grocery Spending'!$E$5:$E$404&lt;&gt;A273)*1000000))))</f>
        <v>0</v>
      </c>
      <c r="AJ273" s="8">
        <f>IF(A273="","",SUMPRODUCT(MAX(('Grocery Spending'!$E$5:$E$404=A273)*'Grocery Spending'!$I$5:$I$404)))</f>
        <v>0</v>
      </c>
      <c r="AK273" s="8">
        <f>IF(OR(A273="",AI273="",AJ273=0),"",AJ273-AI273)</f>
        <v>0</v>
      </c>
      <c r="AL273" s="8">
        <f>IF(OR(A273="",AG273="",AH273=""),"",AG273-AH273)</f>
        <v>0</v>
      </c>
      <c r="AM273" s="8">
        <f>IF(A273="","",IF(AL273="","",IF(AL273&gt;0.01,"Up",IF(AL273&lt;-0.01,"Down","Flat"))))</f>
        <v>0</v>
      </c>
      <c r="AN273" s="25"/>
    </row>
    <row r="274" spans="1:40">
      <c r="A274" s="7"/>
      <c r="B274" s="27"/>
      <c r="C274" s="27"/>
      <c r="D274" s="28"/>
      <c r="E274" s="27"/>
      <c r="F274" s="26"/>
      <c r="G274" s="8">
        <f>IF(OR(D274="",F274="",F274=0),"",D274/F274)</f>
        <v>0</v>
      </c>
      <c r="H274" s="26"/>
      <c r="I274" s="26"/>
      <c r="J274" s="26"/>
      <c r="K274" s="26"/>
      <c r="L274" s="26"/>
      <c r="M274" s="26"/>
      <c r="N274" s="27"/>
      <c r="O274" s="27"/>
      <c r="P274" s="27"/>
      <c r="Q274" s="27"/>
      <c r="R274" s="7"/>
      <c r="S274" s="8">
        <f>IF(A274="","",SUMIFS(Pantry!$C$5:$C$304,Pantry!$A$5:$A$304,A274))</f>
        <v>0</v>
      </c>
      <c r="T274" s="8">
        <f>IF(A274="","",COUNTIFS('Grocery List'!$A$5:$A$304,A274,'Grocery List'!$N$5:$N$304,"Yes"))</f>
        <v>0</v>
      </c>
      <c r="U274" s="8">
        <f>IF(A274="","",SUMIFS('Grocery List'!$M$5:$M$304,'Grocery List'!$A$5:$A$304,A274))</f>
        <v>0</v>
      </c>
      <c r="V274" s="8">
        <f>IF(A274="","",COUNTIFS('Recipe Ingredients'!$B$5:$B$1204,A274))</f>
        <v>0</v>
      </c>
      <c r="W274" s="8">
        <f>IF(A274="","",SUMIFS('Recipe Ingredients'!$C$5:$C$1204,'Recipe Ingredients'!$B$5:$B$1204,A274))</f>
        <v>0</v>
      </c>
      <c r="X274" s="8">
        <f>IF(A274="","",IF(U274&lt;=0,IF(S274&gt;0,99,0),ROUND(S274/U274,1)))</f>
        <v>0</v>
      </c>
      <c r="Y274" s="8">
        <f>IF(A274="","",U274*10+IF(O274="Yes",5,0)+IF(X274&lt;1,10,0)+IF(S274&lt;=0,3,0))</f>
        <v>0</v>
      </c>
      <c r="Z274" s="8">
        <f>IF(A274="","",COUNTIFS($Y$5:$Y$304,"&gt;"&amp;Y274)+1)</f>
        <v>0</v>
      </c>
      <c r="AA274" s="8">
        <f>IF(A274="","",IF(OR(U274&gt;0,AND(O274="Yes",X274&lt;2)),"Yes","No"))</f>
        <v>0</v>
      </c>
      <c r="AB274" s="8">
        <f>IF(OR(A274="",D274=""),"",S274*D274)</f>
        <v>0</v>
      </c>
      <c r="AC274" s="8">
        <f>IF(AB274="","",COUNTIFS($AB$5:$AB$304,"&gt;"&amp;AB274)+1)</f>
        <v>0</v>
      </c>
      <c r="AD274" s="8">
        <f>IF(A274="","",SUMIFS('Food Waste'!$E$5:$E$154,'Food Waste'!$C$5:$C$154,A274))</f>
        <v>0</v>
      </c>
      <c r="AE274" s="8">
        <f>IF(OR(A274="",AD274=0),"",COUNTIFS($AD$5:$AD$304,"&gt;"&amp;AD274)+1)</f>
        <v>0</v>
      </c>
      <c r="AF274" s="8">
        <f>IF(A274="","",IF(SUMPRODUCT(MAX(('Grocery Spending'!$E$5:$E$404=A274)*'Grocery Spending'!$A$5:$A$404))=0,"",SUMPRODUCT(MAX(('Grocery Spending'!$E$5:$E$404=A274)*'Grocery Spending'!$A$5:$A$404))))</f>
        <v>0</v>
      </c>
      <c r="AG274" s="8">
        <f>IF(OR(A274="",AF274=""),"",IFERROR(AVERAGEIFS('Grocery Spending'!$I$5:$I$404,'Grocery Spending'!$E$5:$E$404,A274,'Grocery Spending'!$A$5:$A$404,AF274),""))</f>
        <v>0</v>
      </c>
      <c r="AH274" s="8">
        <f>IF(A274="","",IFERROR(AVERAGEIFS('Grocery Spending'!$I$5:$I$404,'Grocery Spending'!$E$5:$E$404,A274),""))</f>
        <v>0</v>
      </c>
      <c r="AI274" s="8">
        <f>IF(A274="","",IF(SUMPRODUCT(MIN(('Grocery Spending'!$E$5:$E$404=A274)*'Grocery Spending'!$I$5:$I$404+('Grocery Spending'!$E$5:$E$404&lt;&gt;A274)*1000000))&gt;=1000000,"",SUMPRODUCT(MIN(('Grocery Spending'!$E$5:$E$404=A274)*'Grocery Spending'!$I$5:$I$404+('Grocery Spending'!$E$5:$E$404&lt;&gt;A274)*1000000))))</f>
        <v>0</v>
      </c>
      <c r="AJ274" s="8">
        <f>IF(A274="","",SUMPRODUCT(MAX(('Grocery Spending'!$E$5:$E$404=A274)*'Grocery Spending'!$I$5:$I$404)))</f>
        <v>0</v>
      </c>
      <c r="AK274" s="8">
        <f>IF(OR(A274="",AI274="",AJ274=0),"",AJ274-AI274)</f>
        <v>0</v>
      </c>
      <c r="AL274" s="8">
        <f>IF(OR(A274="",AG274="",AH274=""),"",AG274-AH274)</f>
        <v>0</v>
      </c>
      <c r="AM274" s="8">
        <f>IF(A274="","",IF(AL274="","",IF(AL274&gt;0.01,"Up",IF(AL274&lt;-0.01,"Down","Flat"))))</f>
        <v>0</v>
      </c>
      <c r="AN274" s="25"/>
    </row>
    <row r="275" spans="1:40">
      <c r="A275" s="7"/>
      <c r="B275" s="27"/>
      <c r="C275" s="27"/>
      <c r="D275" s="28"/>
      <c r="E275" s="27"/>
      <c r="F275" s="26"/>
      <c r="G275" s="8">
        <f>IF(OR(D275="",F275="",F275=0),"",D275/F275)</f>
        <v>0</v>
      </c>
      <c r="H275" s="26"/>
      <c r="I275" s="26"/>
      <c r="J275" s="26"/>
      <c r="K275" s="26"/>
      <c r="L275" s="26"/>
      <c r="M275" s="26"/>
      <c r="N275" s="27"/>
      <c r="O275" s="27"/>
      <c r="P275" s="27"/>
      <c r="Q275" s="27"/>
      <c r="R275" s="7"/>
      <c r="S275" s="8">
        <f>IF(A275="","",SUMIFS(Pantry!$C$5:$C$304,Pantry!$A$5:$A$304,A275))</f>
        <v>0</v>
      </c>
      <c r="T275" s="8">
        <f>IF(A275="","",COUNTIFS('Grocery List'!$A$5:$A$304,A275,'Grocery List'!$N$5:$N$304,"Yes"))</f>
        <v>0</v>
      </c>
      <c r="U275" s="8">
        <f>IF(A275="","",SUMIFS('Grocery List'!$M$5:$M$304,'Grocery List'!$A$5:$A$304,A275))</f>
        <v>0</v>
      </c>
      <c r="V275" s="8">
        <f>IF(A275="","",COUNTIFS('Recipe Ingredients'!$B$5:$B$1204,A275))</f>
        <v>0</v>
      </c>
      <c r="W275" s="8">
        <f>IF(A275="","",SUMIFS('Recipe Ingredients'!$C$5:$C$1204,'Recipe Ingredients'!$B$5:$B$1204,A275))</f>
        <v>0</v>
      </c>
      <c r="X275" s="8">
        <f>IF(A275="","",IF(U275&lt;=0,IF(S275&gt;0,99,0),ROUND(S275/U275,1)))</f>
        <v>0</v>
      </c>
      <c r="Y275" s="8">
        <f>IF(A275="","",U275*10+IF(O275="Yes",5,0)+IF(X275&lt;1,10,0)+IF(S275&lt;=0,3,0))</f>
        <v>0</v>
      </c>
      <c r="Z275" s="8">
        <f>IF(A275="","",COUNTIFS($Y$5:$Y$304,"&gt;"&amp;Y275)+1)</f>
        <v>0</v>
      </c>
      <c r="AA275" s="8">
        <f>IF(A275="","",IF(OR(U275&gt;0,AND(O275="Yes",X275&lt;2)),"Yes","No"))</f>
        <v>0</v>
      </c>
      <c r="AB275" s="8">
        <f>IF(OR(A275="",D275=""),"",S275*D275)</f>
        <v>0</v>
      </c>
      <c r="AC275" s="8">
        <f>IF(AB275="","",COUNTIFS($AB$5:$AB$304,"&gt;"&amp;AB275)+1)</f>
        <v>0</v>
      </c>
      <c r="AD275" s="8">
        <f>IF(A275="","",SUMIFS('Food Waste'!$E$5:$E$154,'Food Waste'!$C$5:$C$154,A275))</f>
        <v>0</v>
      </c>
      <c r="AE275" s="8">
        <f>IF(OR(A275="",AD275=0),"",COUNTIFS($AD$5:$AD$304,"&gt;"&amp;AD275)+1)</f>
        <v>0</v>
      </c>
      <c r="AF275" s="8">
        <f>IF(A275="","",IF(SUMPRODUCT(MAX(('Grocery Spending'!$E$5:$E$404=A275)*'Grocery Spending'!$A$5:$A$404))=0,"",SUMPRODUCT(MAX(('Grocery Spending'!$E$5:$E$404=A275)*'Grocery Spending'!$A$5:$A$404))))</f>
        <v>0</v>
      </c>
      <c r="AG275" s="8">
        <f>IF(OR(A275="",AF275=""),"",IFERROR(AVERAGEIFS('Grocery Spending'!$I$5:$I$404,'Grocery Spending'!$E$5:$E$404,A275,'Grocery Spending'!$A$5:$A$404,AF275),""))</f>
        <v>0</v>
      </c>
      <c r="AH275" s="8">
        <f>IF(A275="","",IFERROR(AVERAGEIFS('Grocery Spending'!$I$5:$I$404,'Grocery Spending'!$E$5:$E$404,A275),""))</f>
        <v>0</v>
      </c>
      <c r="AI275" s="8">
        <f>IF(A275="","",IF(SUMPRODUCT(MIN(('Grocery Spending'!$E$5:$E$404=A275)*'Grocery Spending'!$I$5:$I$404+('Grocery Spending'!$E$5:$E$404&lt;&gt;A275)*1000000))&gt;=1000000,"",SUMPRODUCT(MIN(('Grocery Spending'!$E$5:$E$404=A275)*'Grocery Spending'!$I$5:$I$404+('Grocery Spending'!$E$5:$E$404&lt;&gt;A275)*1000000))))</f>
        <v>0</v>
      </c>
      <c r="AJ275" s="8">
        <f>IF(A275="","",SUMPRODUCT(MAX(('Grocery Spending'!$E$5:$E$404=A275)*'Grocery Spending'!$I$5:$I$404)))</f>
        <v>0</v>
      </c>
      <c r="AK275" s="8">
        <f>IF(OR(A275="",AI275="",AJ275=0),"",AJ275-AI275)</f>
        <v>0</v>
      </c>
      <c r="AL275" s="8">
        <f>IF(OR(A275="",AG275="",AH275=""),"",AG275-AH275)</f>
        <v>0</v>
      </c>
      <c r="AM275" s="8">
        <f>IF(A275="","",IF(AL275="","",IF(AL275&gt;0.01,"Up",IF(AL275&lt;-0.01,"Down","Flat"))))</f>
        <v>0</v>
      </c>
      <c r="AN275" s="25"/>
    </row>
    <row r="276" spans="1:40">
      <c r="A276" s="7"/>
      <c r="B276" s="27"/>
      <c r="C276" s="27"/>
      <c r="D276" s="28"/>
      <c r="E276" s="27"/>
      <c r="F276" s="26"/>
      <c r="G276" s="8">
        <f>IF(OR(D276="",F276="",F276=0),"",D276/F276)</f>
        <v>0</v>
      </c>
      <c r="H276" s="26"/>
      <c r="I276" s="26"/>
      <c r="J276" s="26"/>
      <c r="K276" s="26"/>
      <c r="L276" s="26"/>
      <c r="M276" s="26"/>
      <c r="N276" s="27"/>
      <c r="O276" s="27"/>
      <c r="P276" s="27"/>
      <c r="Q276" s="27"/>
      <c r="R276" s="7"/>
      <c r="S276" s="8">
        <f>IF(A276="","",SUMIFS(Pantry!$C$5:$C$304,Pantry!$A$5:$A$304,A276))</f>
        <v>0</v>
      </c>
      <c r="T276" s="8">
        <f>IF(A276="","",COUNTIFS('Grocery List'!$A$5:$A$304,A276,'Grocery List'!$N$5:$N$304,"Yes"))</f>
        <v>0</v>
      </c>
      <c r="U276" s="8">
        <f>IF(A276="","",SUMIFS('Grocery List'!$M$5:$M$304,'Grocery List'!$A$5:$A$304,A276))</f>
        <v>0</v>
      </c>
      <c r="V276" s="8">
        <f>IF(A276="","",COUNTIFS('Recipe Ingredients'!$B$5:$B$1204,A276))</f>
        <v>0</v>
      </c>
      <c r="W276" s="8">
        <f>IF(A276="","",SUMIFS('Recipe Ingredients'!$C$5:$C$1204,'Recipe Ingredients'!$B$5:$B$1204,A276))</f>
        <v>0</v>
      </c>
      <c r="X276" s="8">
        <f>IF(A276="","",IF(U276&lt;=0,IF(S276&gt;0,99,0),ROUND(S276/U276,1)))</f>
        <v>0</v>
      </c>
      <c r="Y276" s="8">
        <f>IF(A276="","",U276*10+IF(O276="Yes",5,0)+IF(X276&lt;1,10,0)+IF(S276&lt;=0,3,0))</f>
        <v>0</v>
      </c>
      <c r="Z276" s="8">
        <f>IF(A276="","",COUNTIFS($Y$5:$Y$304,"&gt;"&amp;Y276)+1)</f>
        <v>0</v>
      </c>
      <c r="AA276" s="8">
        <f>IF(A276="","",IF(OR(U276&gt;0,AND(O276="Yes",X276&lt;2)),"Yes","No"))</f>
        <v>0</v>
      </c>
      <c r="AB276" s="8">
        <f>IF(OR(A276="",D276=""),"",S276*D276)</f>
        <v>0</v>
      </c>
      <c r="AC276" s="8">
        <f>IF(AB276="","",COUNTIFS($AB$5:$AB$304,"&gt;"&amp;AB276)+1)</f>
        <v>0</v>
      </c>
      <c r="AD276" s="8">
        <f>IF(A276="","",SUMIFS('Food Waste'!$E$5:$E$154,'Food Waste'!$C$5:$C$154,A276))</f>
        <v>0</v>
      </c>
      <c r="AE276" s="8">
        <f>IF(OR(A276="",AD276=0),"",COUNTIFS($AD$5:$AD$304,"&gt;"&amp;AD276)+1)</f>
        <v>0</v>
      </c>
      <c r="AF276" s="8">
        <f>IF(A276="","",IF(SUMPRODUCT(MAX(('Grocery Spending'!$E$5:$E$404=A276)*'Grocery Spending'!$A$5:$A$404))=0,"",SUMPRODUCT(MAX(('Grocery Spending'!$E$5:$E$404=A276)*'Grocery Spending'!$A$5:$A$404))))</f>
        <v>0</v>
      </c>
      <c r="AG276" s="8">
        <f>IF(OR(A276="",AF276=""),"",IFERROR(AVERAGEIFS('Grocery Spending'!$I$5:$I$404,'Grocery Spending'!$E$5:$E$404,A276,'Grocery Spending'!$A$5:$A$404,AF276),""))</f>
        <v>0</v>
      </c>
      <c r="AH276" s="8">
        <f>IF(A276="","",IFERROR(AVERAGEIFS('Grocery Spending'!$I$5:$I$404,'Grocery Spending'!$E$5:$E$404,A276),""))</f>
        <v>0</v>
      </c>
      <c r="AI276" s="8">
        <f>IF(A276="","",IF(SUMPRODUCT(MIN(('Grocery Spending'!$E$5:$E$404=A276)*'Grocery Spending'!$I$5:$I$404+('Grocery Spending'!$E$5:$E$404&lt;&gt;A276)*1000000))&gt;=1000000,"",SUMPRODUCT(MIN(('Grocery Spending'!$E$5:$E$404=A276)*'Grocery Spending'!$I$5:$I$404+('Grocery Spending'!$E$5:$E$404&lt;&gt;A276)*1000000))))</f>
        <v>0</v>
      </c>
      <c r="AJ276" s="8">
        <f>IF(A276="","",SUMPRODUCT(MAX(('Grocery Spending'!$E$5:$E$404=A276)*'Grocery Spending'!$I$5:$I$404)))</f>
        <v>0</v>
      </c>
      <c r="AK276" s="8">
        <f>IF(OR(A276="",AI276="",AJ276=0),"",AJ276-AI276)</f>
        <v>0</v>
      </c>
      <c r="AL276" s="8">
        <f>IF(OR(A276="",AG276="",AH276=""),"",AG276-AH276)</f>
        <v>0</v>
      </c>
      <c r="AM276" s="8">
        <f>IF(A276="","",IF(AL276="","",IF(AL276&gt;0.01,"Up",IF(AL276&lt;-0.01,"Down","Flat"))))</f>
        <v>0</v>
      </c>
      <c r="AN276" s="25"/>
    </row>
    <row r="277" spans="1:40">
      <c r="A277" s="7"/>
      <c r="B277" s="27"/>
      <c r="C277" s="27"/>
      <c r="D277" s="28"/>
      <c r="E277" s="27"/>
      <c r="F277" s="26"/>
      <c r="G277" s="8">
        <f>IF(OR(D277="",F277="",F277=0),"",D277/F277)</f>
        <v>0</v>
      </c>
      <c r="H277" s="26"/>
      <c r="I277" s="26"/>
      <c r="J277" s="26"/>
      <c r="K277" s="26"/>
      <c r="L277" s="26"/>
      <c r="M277" s="26"/>
      <c r="N277" s="27"/>
      <c r="O277" s="27"/>
      <c r="P277" s="27"/>
      <c r="Q277" s="27"/>
      <c r="R277" s="7"/>
      <c r="S277" s="8">
        <f>IF(A277="","",SUMIFS(Pantry!$C$5:$C$304,Pantry!$A$5:$A$304,A277))</f>
        <v>0</v>
      </c>
      <c r="T277" s="8">
        <f>IF(A277="","",COUNTIFS('Grocery List'!$A$5:$A$304,A277,'Grocery List'!$N$5:$N$304,"Yes"))</f>
        <v>0</v>
      </c>
      <c r="U277" s="8">
        <f>IF(A277="","",SUMIFS('Grocery List'!$M$5:$M$304,'Grocery List'!$A$5:$A$304,A277))</f>
        <v>0</v>
      </c>
      <c r="V277" s="8">
        <f>IF(A277="","",COUNTIFS('Recipe Ingredients'!$B$5:$B$1204,A277))</f>
        <v>0</v>
      </c>
      <c r="W277" s="8">
        <f>IF(A277="","",SUMIFS('Recipe Ingredients'!$C$5:$C$1204,'Recipe Ingredients'!$B$5:$B$1204,A277))</f>
        <v>0</v>
      </c>
      <c r="X277" s="8">
        <f>IF(A277="","",IF(U277&lt;=0,IF(S277&gt;0,99,0),ROUND(S277/U277,1)))</f>
        <v>0</v>
      </c>
      <c r="Y277" s="8">
        <f>IF(A277="","",U277*10+IF(O277="Yes",5,0)+IF(X277&lt;1,10,0)+IF(S277&lt;=0,3,0))</f>
        <v>0</v>
      </c>
      <c r="Z277" s="8">
        <f>IF(A277="","",COUNTIFS($Y$5:$Y$304,"&gt;"&amp;Y277)+1)</f>
        <v>0</v>
      </c>
      <c r="AA277" s="8">
        <f>IF(A277="","",IF(OR(U277&gt;0,AND(O277="Yes",X277&lt;2)),"Yes","No"))</f>
        <v>0</v>
      </c>
      <c r="AB277" s="8">
        <f>IF(OR(A277="",D277=""),"",S277*D277)</f>
        <v>0</v>
      </c>
      <c r="AC277" s="8">
        <f>IF(AB277="","",COUNTIFS($AB$5:$AB$304,"&gt;"&amp;AB277)+1)</f>
        <v>0</v>
      </c>
      <c r="AD277" s="8">
        <f>IF(A277="","",SUMIFS('Food Waste'!$E$5:$E$154,'Food Waste'!$C$5:$C$154,A277))</f>
        <v>0</v>
      </c>
      <c r="AE277" s="8">
        <f>IF(OR(A277="",AD277=0),"",COUNTIFS($AD$5:$AD$304,"&gt;"&amp;AD277)+1)</f>
        <v>0</v>
      </c>
      <c r="AF277" s="8">
        <f>IF(A277="","",IF(SUMPRODUCT(MAX(('Grocery Spending'!$E$5:$E$404=A277)*'Grocery Spending'!$A$5:$A$404))=0,"",SUMPRODUCT(MAX(('Grocery Spending'!$E$5:$E$404=A277)*'Grocery Spending'!$A$5:$A$404))))</f>
        <v>0</v>
      </c>
      <c r="AG277" s="8">
        <f>IF(OR(A277="",AF277=""),"",IFERROR(AVERAGEIFS('Grocery Spending'!$I$5:$I$404,'Grocery Spending'!$E$5:$E$404,A277,'Grocery Spending'!$A$5:$A$404,AF277),""))</f>
        <v>0</v>
      </c>
      <c r="AH277" s="8">
        <f>IF(A277="","",IFERROR(AVERAGEIFS('Grocery Spending'!$I$5:$I$404,'Grocery Spending'!$E$5:$E$404,A277),""))</f>
        <v>0</v>
      </c>
      <c r="AI277" s="8">
        <f>IF(A277="","",IF(SUMPRODUCT(MIN(('Grocery Spending'!$E$5:$E$404=A277)*'Grocery Spending'!$I$5:$I$404+('Grocery Spending'!$E$5:$E$404&lt;&gt;A277)*1000000))&gt;=1000000,"",SUMPRODUCT(MIN(('Grocery Spending'!$E$5:$E$404=A277)*'Grocery Spending'!$I$5:$I$404+('Grocery Spending'!$E$5:$E$404&lt;&gt;A277)*1000000))))</f>
        <v>0</v>
      </c>
      <c r="AJ277" s="8">
        <f>IF(A277="","",SUMPRODUCT(MAX(('Grocery Spending'!$E$5:$E$404=A277)*'Grocery Spending'!$I$5:$I$404)))</f>
        <v>0</v>
      </c>
      <c r="AK277" s="8">
        <f>IF(OR(A277="",AI277="",AJ277=0),"",AJ277-AI277)</f>
        <v>0</v>
      </c>
      <c r="AL277" s="8">
        <f>IF(OR(A277="",AG277="",AH277=""),"",AG277-AH277)</f>
        <v>0</v>
      </c>
      <c r="AM277" s="8">
        <f>IF(A277="","",IF(AL277="","",IF(AL277&gt;0.01,"Up",IF(AL277&lt;-0.01,"Down","Flat"))))</f>
        <v>0</v>
      </c>
      <c r="AN277" s="25"/>
    </row>
    <row r="278" spans="1:40">
      <c r="A278" s="7"/>
      <c r="B278" s="27"/>
      <c r="C278" s="27"/>
      <c r="D278" s="28"/>
      <c r="E278" s="27"/>
      <c r="F278" s="26"/>
      <c r="G278" s="8">
        <f>IF(OR(D278="",F278="",F278=0),"",D278/F278)</f>
        <v>0</v>
      </c>
      <c r="H278" s="26"/>
      <c r="I278" s="26"/>
      <c r="J278" s="26"/>
      <c r="K278" s="26"/>
      <c r="L278" s="26"/>
      <c r="M278" s="26"/>
      <c r="N278" s="27"/>
      <c r="O278" s="27"/>
      <c r="P278" s="27"/>
      <c r="Q278" s="27"/>
      <c r="R278" s="7"/>
      <c r="S278" s="8">
        <f>IF(A278="","",SUMIFS(Pantry!$C$5:$C$304,Pantry!$A$5:$A$304,A278))</f>
        <v>0</v>
      </c>
      <c r="T278" s="8">
        <f>IF(A278="","",COUNTIFS('Grocery List'!$A$5:$A$304,A278,'Grocery List'!$N$5:$N$304,"Yes"))</f>
        <v>0</v>
      </c>
      <c r="U278" s="8">
        <f>IF(A278="","",SUMIFS('Grocery List'!$M$5:$M$304,'Grocery List'!$A$5:$A$304,A278))</f>
        <v>0</v>
      </c>
      <c r="V278" s="8">
        <f>IF(A278="","",COUNTIFS('Recipe Ingredients'!$B$5:$B$1204,A278))</f>
        <v>0</v>
      </c>
      <c r="W278" s="8">
        <f>IF(A278="","",SUMIFS('Recipe Ingredients'!$C$5:$C$1204,'Recipe Ingredients'!$B$5:$B$1204,A278))</f>
        <v>0</v>
      </c>
      <c r="X278" s="8">
        <f>IF(A278="","",IF(U278&lt;=0,IF(S278&gt;0,99,0),ROUND(S278/U278,1)))</f>
        <v>0</v>
      </c>
      <c r="Y278" s="8">
        <f>IF(A278="","",U278*10+IF(O278="Yes",5,0)+IF(X278&lt;1,10,0)+IF(S278&lt;=0,3,0))</f>
        <v>0</v>
      </c>
      <c r="Z278" s="8">
        <f>IF(A278="","",COUNTIFS($Y$5:$Y$304,"&gt;"&amp;Y278)+1)</f>
        <v>0</v>
      </c>
      <c r="AA278" s="8">
        <f>IF(A278="","",IF(OR(U278&gt;0,AND(O278="Yes",X278&lt;2)),"Yes","No"))</f>
        <v>0</v>
      </c>
      <c r="AB278" s="8">
        <f>IF(OR(A278="",D278=""),"",S278*D278)</f>
        <v>0</v>
      </c>
      <c r="AC278" s="8">
        <f>IF(AB278="","",COUNTIFS($AB$5:$AB$304,"&gt;"&amp;AB278)+1)</f>
        <v>0</v>
      </c>
      <c r="AD278" s="8">
        <f>IF(A278="","",SUMIFS('Food Waste'!$E$5:$E$154,'Food Waste'!$C$5:$C$154,A278))</f>
        <v>0</v>
      </c>
      <c r="AE278" s="8">
        <f>IF(OR(A278="",AD278=0),"",COUNTIFS($AD$5:$AD$304,"&gt;"&amp;AD278)+1)</f>
        <v>0</v>
      </c>
      <c r="AF278" s="8">
        <f>IF(A278="","",IF(SUMPRODUCT(MAX(('Grocery Spending'!$E$5:$E$404=A278)*'Grocery Spending'!$A$5:$A$404))=0,"",SUMPRODUCT(MAX(('Grocery Spending'!$E$5:$E$404=A278)*'Grocery Spending'!$A$5:$A$404))))</f>
        <v>0</v>
      </c>
      <c r="AG278" s="8">
        <f>IF(OR(A278="",AF278=""),"",IFERROR(AVERAGEIFS('Grocery Spending'!$I$5:$I$404,'Grocery Spending'!$E$5:$E$404,A278,'Grocery Spending'!$A$5:$A$404,AF278),""))</f>
        <v>0</v>
      </c>
      <c r="AH278" s="8">
        <f>IF(A278="","",IFERROR(AVERAGEIFS('Grocery Spending'!$I$5:$I$404,'Grocery Spending'!$E$5:$E$404,A278),""))</f>
        <v>0</v>
      </c>
      <c r="AI278" s="8">
        <f>IF(A278="","",IF(SUMPRODUCT(MIN(('Grocery Spending'!$E$5:$E$404=A278)*'Grocery Spending'!$I$5:$I$404+('Grocery Spending'!$E$5:$E$404&lt;&gt;A278)*1000000))&gt;=1000000,"",SUMPRODUCT(MIN(('Grocery Spending'!$E$5:$E$404=A278)*'Grocery Spending'!$I$5:$I$404+('Grocery Spending'!$E$5:$E$404&lt;&gt;A278)*1000000))))</f>
        <v>0</v>
      </c>
      <c r="AJ278" s="8">
        <f>IF(A278="","",SUMPRODUCT(MAX(('Grocery Spending'!$E$5:$E$404=A278)*'Grocery Spending'!$I$5:$I$404)))</f>
        <v>0</v>
      </c>
      <c r="AK278" s="8">
        <f>IF(OR(A278="",AI278="",AJ278=0),"",AJ278-AI278)</f>
        <v>0</v>
      </c>
      <c r="AL278" s="8">
        <f>IF(OR(A278="",AG278="",AH278=""),"",AG278-AH278)</f>
        <v>0</v>
      </c>
      <c r="AM278" s="8">
        <f>IF(A278="","",IF(AL278="","",IF(AL278&gt;0.01,"Up",IF(AL278&lt;-0.01,"Down","Flat"))))</f>
        <v>0</v>
      </c>
      <c r="AN278" s="25"/>
    </row>
    <row r="279" spans="1:40">
      <c r="A279" s="7"/>
      <c r="B279" s="27"/>
      <c r="C279" s="27"/>
      <c r="D279" s="28"/>
      <c r="E279" s="27"/>
      <c r="F279" s="26"/>
      <c r="G279" s="8">
        <f>IF(OR(D279="",F279="",F279=0),"",D279/F279)</f>
        <v>0</v>
      </c>
      <c r="H279" s="26"/>
      <c r="I279" s="26"/>
      <c r="J279" s="26"/>
      <c r="K279" s="26"/>
      <c r="L279" s="26"/>
      <c r="M279" s="26"/>
      <c r="N279" s="27"/>
      <c r="O279" s="27"/>
      <c r="P279" s="27"/>
      <c r="Q279" s="27"/>
      <c r="R279" s="7"/>
      <c r="S279" s="8">
        <f>IF(A279="","",SUMIFS(Pantry!$C$5:$C$304,Pantry!$A$5:$A$304,A279))</f>
        <v>0</v>
      </c>
      <c r="T279" s="8">
        <f>IF(A279="","",COUNTIFS('Grocery List'!$A$5:$A$304,A279,'Grocery List'!$N$5:$N$304,"Yes"))</f>
        <v>0</v>
      </c>
      <c r="U279" s="8">
        <f>IF(A279="","",SUMIFS('Grocery List'!$M$5:$M$304,'Grocery List'!$A$5:$A$304,A279))</f>
        <v>0</v>
      </c>
      <c r="V279" s="8">
        <f>IF(A279="","",COUNTIFS('Recipe Ingredients'!$B$5:$B$1204,A279))</f>
        <v>0</v>
      </c>
      <c r="W279" s="8">
        <f>IF(A279="","",SUMIFS('Recipe Ingredients'!$C$5:$C$1204,'Recipe Ingredients'!$B$5:$B$1204,A279))</f>
        <v>0</v>
      </c>
      <c r="X279" s="8">
        <f>IF(A279="","",IF(U279&lt;=0,IF(S279&gt;0,99,0),ROUND(S279/U279,1)))</f>
        <v>0</v>
      </c>
      <c r="Y279" s="8">
        <f>IF(A279="","",U279*10+IF(O279="Yes",5,0)+IF(X279&lt;1,10,0)+IF(S279&lt;=0,3,0))</f>
        <v>0</v>
      </c>
      <c r="Z279" s="8">
        <f>IF(A279="","",COUNTIFS($Y$5:$Y$304,"&gt;"&amp;Y279)+1)</f>
        <v>0</v>
      </c>
      <c r="AA279" s="8">
        <f>IF(A279="","",IF(OR(U279&gt;0,AND(O279="Yes",X279&lt;2)),"Yes","No"))</f>
        <v>0</v>
      </c>
      <c r="AB279" s="8">
        <f>IF(OR(A279="",D279=""),"",S279*D279)</f>
        <v>0</v>
      </c>
      <c r="AC279" s="8">
        <f>IF(AB279="","",COUNTIFS($AB$5:$AB$304,"&gt;"&amp;AB279)+1)</f>
        <v>0</v>
      </c>
      <c r="AD279" s="8">
        <f>IF(A279="","",SUMIFS('Food Waste'!$E$5:$E$154,'Food Waste'!$C$5:$C$154,A279))</f>
        <v>0</v>
      </c>
      <c r="AE279" s="8">
        <f>IF(OR(A279="",AD279=0),"",COUNTIFS($AD$5:$AD$304,"&gt;"&amp;AD279)+1)</f>
        <v>0</v>
      </c>
      <c r="AF279" s="8">
        <f>IF(A279="","",IF(SUMPRODUCT(MAX(('Grocery Spending'!$E$5:$E$404=A279)*'Grocery Spending'!$A$5:$A$404))=0,"",SUMPRODUCT(MAX(('Grocery Spending'!$E$5:$E$404=A279)*'Grocery Spending'!$A$5:$A$404))))</f>
        <v>0</v>
      </c>
      <c r="AG279" s="8">
        <f>IF(OR(A279="",AF279=""),"",IFERROR(AVERAGEIFS('Grocery Spending'!$I$5:$I$404,'Grocery Spending'!$E$5:$E$404,A279,'Grocery Spending'!$A$5:$A$404,AF279),""))</f>
        <v>0</v>
      </c>
      <c r="AH279" s="8">
        <f>IF(A279="","",IFERROR(AVERAGEIFS('Grocery Spending'!$I$5:$I$404,'Grocery Spending'!$E$5:$E$404,A279),""))</f>
        <v>0</v>
      </c>
      <c r="AI279" s="8">
        <f>IF(A279="","",IF(SUMPRODUCT(MIN(('Grocery Spending'!$E$5:$E$404=A279)*'Grocery Spending'!$I$5:$I$404+('Grocery Spending'!$E$5:$E$404&lt;&gt;A279)*1000000))&gt;=1000000,"",SUMPRODUCT(MIN(('Grocery Spending'!$E$5:$E$404=A279)*'Grocery Spending'!$I$5:$I$404+('Grocery Spending'!$E$5:$E$404&lt;&gt;A279)*1000000))))</f>
        <v>0</v>
      </c>
      <c r="AJ279" s="8">
        <f>IF(A279="","",SUMPRODUCT(MAX(('Grocery Spending'!$E$5:$E$404=A279)*'Grocery Spending'!$I$5:$I$404)))</f>
        <v>0</v>
      </c>
      <c r="AK279" s="8">
        <f>IF(OR(A279="",AI279="",AJ279=0),"",AJ279-AI279)</f>
        <v>0</v>
      </c>
      <c r="AL279" s="8">
        <f>IF(OR(A279="",AG279="",AH279=""),"",AG279-AH279)</f>
        <v>0</v>
      </c>
      <c r="AM279" s="8">
        <f>IF(A279="","",IF(AL279="","",IF(AL279&gt;0.01,"Up",IF(AL279&lt;-0.01,"Down","Flat"))))</f>
        <v>0</v>
      </c>
      <c r="AN279" s="25"/>
    </row>
    <row r="280" spans="1:40">
      <c r="A280" s="7"/>
      <c r="B280" s="27"/>
      <c r="C280" s="27"/>
      <c r="D280" s="28"/>
      <c r="E280" s="27"/>
      <c r="F280" s="26"/>
      <c r="G280" s="8">
        <f>IF(OR(D280="",F280="",F280=0),"",D280/F280)</f>
        <v>0</v>
      </c>
      <c r="H280" s="26"/>
      <c r="I280" s="26"/>
      <c r="J280" s="26"/>
      <c r="K280" s="26"/>
      <c r="L280" s="26"/>
      <c r="M280" s="26"/>
      <c r="N280" s="27"/>
      <c r="O280" s="27"/>
      <c r="P280" s="27"/>
      <c r="Q280" s="27"/>
      <c r="R280" s="7"/>
      <c r="S280" s="8">
        <f>IF(A280="","",SUMIFS(Pantry!$C$5:$C$304,Pantry!$A$5:$A$304,A280))</f>
        <v>0</v>
      </c>
      <c r="T280" s="8">
        <f>IF(A280="","",COUNTIFS('Grocery List'!$A$5:$A$304,A280,'Grocery List'!$N$5:$N$304,"Yes"))</f>
        <v>0</v>
      </c>
      <c r="U280" s="8">
        <f>IF(A280="","",SUMIFS('Grocery List'!$M$5:$M$304,'Grocery List'!$A$5:$A$304,A280))</f>
        <v>0</v>
      </c>
      <c r="V280" s="8">
        <f>IF(A280="","",COUNTIFS('Recipe Ingredients'!$B$5:$B$1204,A280))</f>
        <v>0</v>
      </c>
      <c r="W280" s="8">
        <f>IF(A280="","",SUMIFS('Recipe Ingredients'!$C$5:$C$1204,'Recipe Ingredients'!$B$5:$B$1204,A280))</f>
        <v>0</v>
      </c>
      <c r="X280" s="8">
        <f>IF(A280="","",IF(U280&lt;=0,IF(S280&gt;0,99,0),ROUND(S280/U280,1)))</f>
        <v>0</v>
      </c>
      <c r="Y280" s="8">
        <f>IF(A280="","",U280*10+IF(O280="Yes",5,0)+IF(X280&lt;1,10,0)+IF(S280&lt;=0,3,0))</f>
        <v>0</v>
      </c>
      <c r="Z280" s="8">
        <f>IF(A280="","",COUNTIFS($Y$5:$Y$304,"&gt;"&amp;Y280)+1)</f>
        <v>0</v>
      </c>
      <c r="AA280" s="8">
        <f>IF(A280="","",IF(OR(U280&gt;0,AND(O280="Yes",X280&lt;2)),"Yes","No"))</f>
        <v>0</v>
      </c>
      <c r="AB280" s="8">
        <f>IF(OR(A280="",D280=""),"",S280*D280)</f>
        <v>0</v>
      </c>
      <c r="AC280" s="8">
        <f>IF(AB280="","",COUNTIFS($AB$5:$AB$304,"&gt;"&amp;AB280)+1)</f>
        <v>0</v>
      </c>
      <c r="AD280" s="8">
        <f>IF(A280="","",SUMIFS('Food Waste'!$E$5:$E$154,'Food Waste'!$C$5:$C$154,A280))</f>
        <v>0</v>
      </c>
      <c r="AE280" s="8">
        <f>IF(OR(A280="",AD280=0),"",COUNTIFS($AD$5:$AD$304,"&gt;"&amp;AD280)+1)</f>
        <v>0</v>
      </c>
      <c r="AF280" s="8">
        <f>IF(A280="","",IF(SUMPRODUCT(MAX(('Grocery Spending'!$E$5:$E$404=A280)*'Grocery Spending'!$A$5:$A$404))=0,"",SUMPRODUCT(MAX(('Grocery Spending'!$E$5:$E$404=A280)*'Grocery Spending'!$A$5:$A$404))))</f>
        <v>0</v>
      </c>
      <c r="AG280" s="8">
        <f>IF(OR(A280="",AF280=""),"",IFERROR(AVERAGEIFS('Grocery Spending'!$I$5:$I$404,'Grocery Spending'!$E$5:$E$404,A280,'Grocery Spending'!$A$5:$A$404,AF280),""))</f>
        <v>0</v>
      </c>
      <c r="AH280" s="8">
        <f>IF(A280="","",IFERROR(AVERAGEIFS('Grocery Spending'!$I$5:$I$404,'Grocery Spending'!$E$5:$E$404,A280),""))</f>
        <v>0</v>
      </c>
      <c r="AI280" s="8">
        <f>IF(A280="","",IF(SUMPRODUCT(MIN(('Grocery Spending'!$E$5:$E$404=A280)*'Grocery Spending'!$I$5:$I$404+('Grocery Spending'!$E$5:$E$404&lt;&gt;A280)*1000000))&gt;=1000000,"",SUMPRODUCT(MIN(('Grocery Spending'!$E$5:$E$404=A280)*'Grocery Spending'!$I$5:$I$404+('Grocery Spending'!$E$5:$E$404&lt;&gt;A280)*1000000))))</f>
        <v>0</v>
      </c>
      <c r="AJ280" s="8">
        <f>IF(A280="","",SUMPRODUCT(MAX(('Grocery Spending'!$E$5:$E$404=A280)*'Grocery Spending'!$I$5:$I$404)))</f>
        <v>0</v>
      </c>
      <c r="AK280" s="8">
        <f>IF(OR(A280="",AI280="",AJ280=0),"",AJ280-AI280)</f>
        <v>0</v>
      </c>
      <c r="AL280" s="8">
        <f>IF(OR(A280="",AG280="",AH280=""),"",AG280-AH280)</f>
        <v>0</v>
      </c>
      <c r="AM280" s="8">
        <f>IF(A280="","",IF(AL280="","",IF(AL280&gt;0.01,"Up",IF(AL280&lt;-0.01,"Down","Flat"))))</f>
        <v>0</v>
      </c>
      <c r="AN280" s="25"/>
    </row>
    <row r="281" spans="1:40">
      <c r="A281" s="7"/>
      <c r="B281" s="27"/>
      <c r="C281" s="27"/>
      <c r="D281" s="28"/>
      <c r="E281" s="27"/>
      <c r="F281" s="26"/>
      <c r="G281" s="8">
        <f>IF(OR(D281="",F281="",F281=0),"",D281/F281)</f>
        <v>0</v>
      </c>
      <c r="H281" s="26"/>
      <c r="I281" s="26"/>
      <c r="J281" s="26"/>
      <c r="K281" s="26"/>
      <c r="L281" s="26"/>
      <c r="M281" s="26"/>
      <c r="N281" s="27"/>
      <c r="O281" s="27"/>
      <c r="P281" s="27"/>
      <c r="Q281" s="27"/>
      <c r="R281" s="7"/>
      <c r="S281" s="8">
        <f>IF(A281="","",SUMIFS(Pantry!$C$5:$C$304,Pantry!$A$5:$A$304,A281))</f>
        <v>0</v>
      </c>
      <c r="T281" s="8">
        <f>IF(A281="","",COUNTIFS('Grocery List'!$A$5:$A$304,A281,'Grocery List'!$N$5:$N$304,"Yes"))</f>
        <v>0</v>
      </c>
      <c r="U281" s="8">
        <f>IF(A281="","",SUMIFS('Grocery List'!$M$5:$M$304,'Grocery List'!$A$5:$A$304,A281))</f>
        <v>0</v>
      </c>
      <c r="V281" s="8">
        <f>IF(A281="","",COUNTIFS('Recipe Ingredients'!$B$5:$B$1204,A281))</f>
        <v>0</v>
      </c>
      <c r="W281" s="8">
        <f>IF(A281="","",SUMIFS('Recipe Ingredients'!$C$5:$C$1204,'Recipe Ingredients'!$B$5:$B$1204,A281))</f>
        <v>0</v>
      </c>
      <c r="X281" s="8">
        <f>IF(A281="","",IF(U281&lt;=0,IF(S281&gt;0,99,0),ROUND(S281/U281,1)))</f>
        <v>0</v>
      </c>
      <c r="Y281" s="8">
        <f>IF(A281="","",U281*10+IF(O281="Yes",5,0)+IF(X281&lt;1,10,0)+IF(S281&lt;=0,3,0))</f>
        <v>0</v>
      </c>
      <c r="Z281" s="8">
        <f>IF(A281="","",COUNTIFS($Y$5:$Y$304,"&gt;"&amp;Y281)+1)</f>
        <v>0</v>
      </c>
      <c r="AA281" s="8">
        <f>IF(A281="","",IF(OR(U281&gt;0,AND(O281="Yes",X281&lt;2)),"Yes","No"))</f>
        <v>0</v>
      </c>
      <c r="AB281" s="8">
        <f>IF(OR(A281="",D281=""),"",S281*D281)</f>
        <v>0</v>
      </c>
      <c r="AC281" s="8">
        <f>IF(AB281="","",COUNTIFS($AB$5:$AB$304,"&gt;"&amp;AB281)+1)</f>
        <v>0</v>
      </c>
      <c r="AD281" s="8">
        <f>IF(A281="","",SUMIFS('Food Waste'!$E$5:$E$154,'Food Waste'!$C$5:$C$154,A281))</f>
        <v>0</v>
      </c>
      <c r="AE281" s="8">
        <f>IF(OR(A281="",AD281=0),"",COUNTIFS($AD$5:$AD$304,"&gt;"&amp;AD281)+1)</f>
        <v>0</v>
      </c>
      <c r="AF281" s="8">
        <f>IF(A281="","",IF(SUMPRODUCT(MAX(('Grocery Spending'!$E$5:$E$404=A281)*'Grocery Spending'!$A$5:$A$404))=0,"",SUMPRODUCT(MAX(('Grocery Spending'!$E$5:$E$404=A281)*'Grocery Spending'!$A$5:$A$404))))</f>
        <v>0</v>
      </c>
      <c r="AG281" s="8">
        <f>IF(OR(A281="",AF281=""),"",IFERROR(AVERAGEIFS('Grocery Spending'!$I$5:$I$404,'Grocery Spending'!$E$5:$E$404,A281,'Grocery Spending'!$A$5:$A$404,AF281),""))</f>
        <v>0</v>
      </c>
      <c r="AH281" s="8">
        <f>IF(A281="","",IFERROR(AVERAGEIFS('Grocery Spending'!$I$5:$I$404,'Grocery Spending'!$E$5:$E$404,A281),""))</f>
        <v>0</v>
      </c>
      <c r="AI281" s="8">
        <f>IF(A281="","",IF(SUMPRODUCT(MIN(('Grocery Spending'!$E$5:$E$404=A281)*'Grocery Spending'!$I$5:$I$404+('Grocery Spending'!$E$5:$E$404&lt;&gt;A281)*1000000))&gt;=1000000,"",SUMPRODUCT(MIN(('Grocery Spending'!$E$5:$E$404=A281)*'Grocery Spending'!$I$5:$I$404+('Grocery Spending'!$E$5:$E$404&lt;&gt;A281)*1000000))))</f>
        <v>0</v>
      </c>
      <c r="AJ281" s="8">
        <f>IF(A281="","",SUMPRODUCT(MAX(('Grocery Spending'!$E$5:$E$404=A281)*'Grocery Spending'!$I$5:$I$404)))</f>
        <v>0</v>
      </c>
      <c r="AK281" s="8">
        <f>IF(OR(A281="",AI281="",AJ281=0),"",AJ281-AI281)</f>
        <v>0</v>
      </c>
      <c r="AL281" s="8">
        <f>IF(OR(A281="",AG281="",AH281=""),"",AG281-AH281)</f>
        <v>0</v>
      </c>
      <c r="AM281" s="8">
        <f>IF(A281="","",IF(AL281="","",IF(AL281&gt;0.01,"Up",IF(AL281&lt;-0.01,"Down","Flat"))))</f>
        <v>0</v>
      </c>
      <c r="AN281" s="25"/>
    </row>
    <row r="282" spans="1:40">
      <c r="A282" s="7"/>
      <c r="B282" s="27"/>
      <c r="C282" s="27"/>
      <c r="D282" s="28"/>
      <c r="E282" s="27"/>
      <c r="F282" s="26"/>
      <c r="G282" s="8">
        <f>IF(OR(D282="",F282="",F282=0),"",D282/F282)</f>
        <v>0</v>
      </c>
      <c r="H282" s="26"/>
      <c r="I282" s="26"/>
      <c r="J282" s="26"/>
      <c r="K282" s="26"/>
      <c r="L282" s="26"/>
      <c r="M282" s="26"/>
      <c r="N282" s="27"/>
      <c r="O282" s="27"/>
      <c r="P282" s="27"/>
      <c r="Q282" s="27"/>
      <c r="R282" s="7"/>
      <c r="S282" s="8">
        <f>IF(A282="","",SUMIFS(Pantry!$C$5:$C$304,Pantry!$A$5:$A$304,A282))</f>
        <v>0</v>
      </c>
      <c r="T282" s="8">
        <f>IF(A282="","",COUNTIFS('Grocery List'!$A$5:$A$304,A282,'Grocery List'!$N$5:$N$304,"Yes"))</f>
        <v>0</v>
      </c>
      <c r="U282" s="8">
        <f>IF(A282="","",SUMIFS('Grocery List'!$M$5:$M$304,'Grocery List'!$A$5:$A$304,A282))</f>
        <v>0</v>
      </c>
      <c r="V282" s="8">
        <f>IF(A282="","",COUNTIFS('Recipe Ingredients'!$B$5:$B$1204,A282))</f>
        <v>0</v>
      </c>
      <c r="W282" s="8">
        <f>IF(A282="","",SUMIFS('Recipe Ingredients'!$C$5:$C$1204,'Recipe Ingredients'!$B$5:$B$1204,A282))</f>
        <v>0</v>
      </c>
      <c r="X282" s="8">
        <f>IF(A282="","",IF(U282&lt;=0,IF(S282&gt;0,99,0),ROUND(S282/U282,1)))</f>
        <v>0</v>
      </c>
      <c r="Y282" s="8">
        <f>IF(A282="","",U282*10+IF(O282="Yes",5,0)+IF(X282&lt;1,10,0)+IF(S282&lt;=0,3,0))</f>
        <v>0</v>
      </c>
      <c r="Z282" s="8">
        <f>IF(A282="","",COUNTIFS($Y$5:$Y$304,"&gt;"&amp;Y282)+1)</f>
        <v>0</v>
      </c>
      <c r="AA282" s="8">
        <f>IF(A282="","",IF(OR(U282&gt;0,AND(O282="Yes",X282&lt;2)),"Yes","No"))</f>
        <v>0</v>
      </c>
      <c r="AB282" s="8">
        <f>IF(OR(A282="",D282=""),"",S282*D282)</f>
        <v>0</v>
      </c>
      <c r="AC282" s="8">
        <f>IF(AB282="","",COUNTIFS($AB$5:$AB$304,"&gt;"&amp;AB282)+1)</f>
        <v>0</v>
      </c>
      <c r="AD282" s="8">
        <f>IF(A282="","",SUMIFS('Food Waste'!$E$5:$E$154,'Food Waste'!$C$5:$C$154,A282))</f>
        <v>0</v>
      </c>
      <c r="AE282" s="8">
        <f>IF(OR(A282="",AD282=0),"",COUNTIFS($AD$5:$AD$304,"&gt;"&amp;AD282)+1)</f>
        <v>0</v>
      </c>
      <c r="AF282" s="8">
        <f>IF(A282="","",IF(SUMPRODUCT(MAX(('Grocery Spending'!$E$5:$E$404=A282)*'Grocery Spending'!$A$5:$A$404))=0,"",SUMPRODUCT(MAX(('Grocery Spending'!$E$5:$E$404=A282)*'Grocery Spending'!$A$5:$A$404))))</f>
        <v>0</v>
      </c>
      <c r="AG282" s="8">
        <f>IF(OR(A282="",AF282=""),"",IFERROR(AVERAGEIFS('Grocery Spending'!$I$5:$I$404,'Grocery Spending'!$E$5:$E$404,A282,'Grocery Spending'!$A$5:$A$404,AF282),""))</f>
        <v>0</v>
      </c>
      <c r="AH282" s="8">
        <f>IF(A282="","",IFERROR(AVERAGEIFS('Grocery Spending'!$I$5:$I$404,'Grocery Spending'!$E$5:$E$404,A282),""))</f>
        <v>0</v>
      </c>
      <c r="AI282" s="8">
        <f>IF(A282="","",IF(SUMPRODUCT(MIN(('Grocery Spending'!$E$5:$E$404=A282)*'Grocery Spending'!$I$5:$I$404+('Grocery Spending'!$E$5:$E$404&lt;&gt;A282)*1000000))&gt;=1000000,"",SUMPRODUCT(MIN(('Grocery Spending'!$E$5:$E$404=A282)*'Grocery Spending'!$I$5:$I$404+('Grocery Spending'!$E$5:$E$404&lt;&gt;A282)*1000000))))</f>
        <v>0</v>
      </c>
      <c r="AJ282" s="8">
        <f>IF(A282="","",SUMPRODUCT(MAX(('Grocery Spending'!$E$5:$E$404=A282)*'Grocery Spending'!$I$5:$I$404)))</f>
        <v>0</v>
      </c>
      <c r="AK282" s="8">
        <f>IF(OR(A282="",AI282="",AJ282=0),"",AJ282-AI282)</f>
        <v>0</v>
      </c>
      <c r="AL282" s="8">
        <f>IF(OR(A282="",AG282="",AH282=""),"",AG282-AH282)</f>
        <v>0</v>
      </c>
      <c r="AM282" s="8">
        <f>IF(A282="","",IF(AL282="","",IF(AL282&gt;0.01,"Up",IF(AL282&lt;-0.01,"Down","Flat"))))</f>
        <v>0</v>
      </c>
      <c r="AN282" s="25"/>
    </row>
    <row r="283" spans="1:40">
      <c r="A283" s="7"/>
      <c r="B283" s="27"/>
      <c r="C283" s="27"/>
      <c r="D283" s="28"/>
      <c r="E283" s="27"/>
      <c r="F283" s="26"/>
      <c r="G283" s="8">
        <f>IF(OR(D283="",F283="",F283=0),"",D283/F283)</f>
        <v>0</v>
      </c>
      <c r="H283" s="26"/>
      <c r="I283" s="26"/>
      <c r="J283" s="26"/>
      <c r="K283" s="26"/>
      <c r="L283" s="26"/>
      <c r="M283" s="26"/>
      <c r="N283" s="27"/>
      <c r="O283" s="27"/>
      <c r="P283" s="27"/>
      <c r="Q283" s="27"/>
      <c r="R283" s="7"/>
      <c r="S283" s="8">
        <f>IF(A283="","",SUMIFS(Pantry!$C$5:$C$304,Pantry!$A$5:$A$304,A283))</f>
        <v>0</v>
      </c>
      <c r="T283" s="8">
        <f>IF(A283="","",COUNTIFS('Grocery List'!$A$5:$A$304,A283,'Grocery List'!$N$5:$N$304,"Yes"))</f>
        <v>0</v>
      </c>
      <c r="U283" s="8">
        <f>IF(A283="","",SUMIFS('Grocery List'!$M$5:$M$304,'Grocery List'!$A$5:$A$304,A283))</f>
        <v>0</v>
      </c>
      <c r="V283" s="8">
        <f>IF(A283="","",COUNTIFS('Recipe Ingredients'!$B$5:$B$1204,A283))</f>
        <v>0</v>
      </c>
      <c r="W283" s="8">
        <f>IF(A283="","",SUMIFS('Recipe Ingredients'!$C$5:$C$1204,'Recipe Ingredients'!$B$5:$B$1204,A283))</f>
        <v>0</v>
      </c>
      <c r="X283" s="8">
        <f>IF(A283="","",IF(U283&lt;=0,IF(S283&gt;0,99,0),ROUND(S283/U283,1)))</f>
        <v>0</v>
      </c>
      <c r="Y283" s="8">
        <f>IF(A283="","",U283*10+IF(O283="Yes",5,0)+IF(X283&lt;1,10,0)+IF(S283&lt;=0,3,0))</f>
        <v>0</v>
      </c>
      <c r="Z283" s="8">
        <f>IF(A283="","",COUNTIFS($Y$5:$Y$304,"&gt;"&amp;Y283)+1)</f>
        <v>0</v>
      </c>
      <c r="AA283" s="8">
        <f>IF(A283="","",IF(OR(U283&gt;0,AND(O283="Yes",X283&lt;2)),"Yes","No"))</f>
        <v>0</v>
      </c>
      <c r="AB283" s="8">
        <f>IF(OR(A283="",D283=""),"",S283*D283)</f>
        <v>0</v>
      </c>
      <c r="AC283" s="8">
        <f>IF(AB283="","",COUNTIFS($AB$5:$AB$304,"&gt;"&amp;AB283)+1)</f>
        <v>0</v>
      </c>
      <c r="AD283" s="8">
        <f>IF(A283="","",SUMIFS('Food Waste'!$E$5:$E$154,'Food Waste'!$C$5:$C$154,A283))</f>
        <v>0</v>
      </c>
      <c r="AE283" s="8">
        <f>IF(OR(A283="",AD283=0),"",COUNTIFS($AD$5:$AD$304,"&gt;"&amp;AD283)+1)</f>
        <v>0</v>
      </c>
      <c r="AF283" s="8">
        <f>IF(A283="","",IF(SUMPRODUCT(MAX(('Grocery Spending'!$E$5:$E$404=A283)*'Grocery Spending'!$A$5:$A$404))=0,"",SUMPRODUCT(MAX(('Grocery Spending'!$E$5:$E$404=A283)*'Grocery Spending'!$A$5:$A$404))))</f>
        <v>0</v>
      </c>
      <c r="AG283" s="8">
        <f>IF(OR(A283="",AF283=""),"",IFERROR(AVERAGEIFS('Grocery Spending'!$I$5:$I$404,'Grocery Spending'!$E$5:$E$404,A283,'Grocery Spending'!$A$5:$A$404,AF283),""))</f>
        <v>0</v>
      </c>
      <c r="AH283" s="8">
        <f>IF(A283="","",IFERROR(AVERAGEIFS('Grocery Spending'!$I$5:$I$404,'Grocery Spending'!$E$5:$E$404,A283),""))</f>
        <v>0</v>
      </c>
      <c r="AI283" s="8">
        <f>IF(A283="","",IF(SUMPRODUCT(MIN(('Grocery Spending'!$E$5:$E$404=A283)*'Grocery Spending'!$I$5:$I$404+('Grocery Spending'!$E$5:$E$404&lt;&gt;A283)*1000000))&gt;=1000000,"",SUMPRODUCT(MIN(('Grocery Spending'!$E$5:$E$404=A283)*'Grocery Spending'!$I$5:$I$404+('Grocery Spending'!$E$5:$E$404&lt;&gt;A283)*1000000))))</f>
        <v>0</v>
      </c>
      <c r="AJ283" s="8">
        <f>IF(A283="","",SUMPRODUCT(MAX(('Grocery Spending'!$E$5:$E$404=A283)*'Grocery Spending'!$I$5:$I$404)))</f>
        <v>0</v>
      </c>
      <c r="AK283" s="8">
        <f>IF(OR(A283="",AI283="",AJ283=0),"",AJ283-AI283)</f>
        <v>0</v>
      </c>
      <c r="AL283" s="8">
        <f>IF(OR(A283="",AG283="",AH283=""),"",AG283-AH283)</f>
        <v>0</v>
      </c>
      <c r="AM283" s="8">
        <f>IF(A283="","",IF(AL283="","",IF(AL283&gt;0.01,"Up",IF(AL283&lt;-0.01,"Down","Flat"))))</f>
        <v>0</v>
      </c>
      <c r="AN283" s="25"/>
    </row>
    <row r="284" spans="1:40">
      <c r="A284" s="7"/>
      <c r="B284" s="27"/>
      <c r="C284" s="27"/>
      <c r="D284" s="28"/>
      <c r="E284" s="27"/>
      <c r="F284" s="26"/>
      <c r="G284" s="8">
        <f>IF(OR(D284="",F284="",F284=0),"",D284/F284)</f>
        <v>0</v>
      </c>
      <c r="H284" s="26"/>
      <c r="I284" s="26"/>
      <c r="J284" s="26"/>
      <c r="K284" s="26"/>
      <c r="L284" s="26"/>
      <c r="M284" s="26"/>
      <c r="N284" s="27"/>
      <c r="O284" s="27"/>
      <c r="P284" s="27"/>
      <c r="Q284" s="27"/>
      <c r="R284" s="7"/>
      <c r="S284" s="8">
        <f>IF(A284="","",SUMIFS(Pantry!$C$5:$C$304,Pantry!$A$5:$A$304,A284))</f>
        <v>0</v>
      </c>
      <c r="T284" s="8">
        <f>IF(A284="","",COUNTIFS('Grocery List'!$A$5:$A$304,A284,'Grocery List'!$N$5:$N$304,"Yes"))</f>
        <v>0</v>
      </c>
      <c r="U284" s="8">
        <f>IF(A284="","",SUMIFS('Grocery List'!$M$5:$M$304,'Grocery List'!$A$5:$A$304,A284))</f>
        <v>0</v>
      </c>
      <c r="V284" s="8">
        <f>IF(A284="","",COUNTIFS('Recipe Ingredients'!$B$5:$B$1204,A284))</f>
        <v>0</v>
      </c>
      <c r="W284" s="8">
        <f>IF(A284="","",SUMIFS('Recipe Ingredients'!$C$5:$C$1204,'Recipe Ingredients'!$B$5:$B$1204,A284))</f>
        <v>0</v>
      </c>
      <c r="X284" s="8">
        <f>IF(A284="","",IF(U284&lt;=0,IF(S284&gt;0,99,0),ROUND(S284/U284,1)))</f>
        <v>0</v>
      </c>
      <c r="Y284" s="8">
        <f>IF(A284="","",U284*10+IF(O284="Yes",5,0)+IF(X284&lt;1,10,0)+IF(S284&lt;=0,3,0))</f>
        <v>0</v>
      </c>
      <c r="Z284" s="8">
        <f>IF(A284="","",COUNTIFS($Y$5:$Y$304,"&gt;"&amp;Y284)+1)</f>
        <v>0</v>
      </c>
      <c r="AA284" s="8">
        <f>IF(A284="","",IF(OR(U284&gt;0,AND(O284="Yes",X284&lt;2)),"Yes","No"))</f>
        <v>0</v>
      </c>
      <c r="AB284" s="8">
        <f>IF(OR(A284="",D284=""),"",S284*D284)</f>
        <v>0</v>
      </c>
      <c r="AC284" s="8">
        <f>IF(AB284="","",COUNTIFS($AB$5:$AB$304,"&gt;"&amp;AB284)+1)</f>
        <v>0</v>
      </c>
      <c r="AD284" s="8">
        <f>IF(A284="","",SUMIFS('Food Waste'!$E$5:$E$154,'Food Waste'!$C$5:$C$154,A284))</f>
        <v>0</v>
      </c>
      <c r="AE284" s="8">
        <f>IF(OR(A284="",AD284=0),"",COUNTIFS($AD$5:$AD$304,"&gt;"&amp;AD284)+1)</f>
        <v>0</v>
      </c>
      <c r="AF284" s="8">
        <f>IF(A284="","",IF(SUMPRODUCT(MAX(('Grocery Spending'!$E$5:$E$404=A284)*'Grocery Spending'!$A$5:$A$404))=0,"",SUMPRODUCT(MAX(('Grocery Spending'!$E$5:$E$404=A284)*'Grocery Spending'!$A$5:$A$404))))</f>
        <v>0</v>
      </c>
      <c r="AG284" s="8">
        <f>IF(OR(A284="",AF284=""),"",IFERROR(AVERAGEIFS('Grocery Spending'!$I$5:$I$404,'Grocery Spending'!$E$5:$E$404,A284,'Grocery Spending'!$A$5:$A$404,AF284),""))</f>
        <v>0</v>
      </c>
      <c r="AH284" s="8">
        <f>IF(A284="","",IFERROR(AVERAGEIFS('Grocery Spending'!$I$5:$I$404,'Grocery Spending'!$E$5:$E$404,A284),""))</f>
        <v>0</v>
      </c>
      <c r="AI284" s="8">
        <f>IF(A284="","",IF(SUMPRODUCT(MIN(('Grocery Spending'!$E$5:$E$404=A284)*'Grocery Spending'!$I$5:$I$404+('Grocery Spending'!$E$5:$E$404&lt;&gt;A284)*1000000))&gt;=1000000,"",SUMPRODUCT(MIN(('Grocery Spending'!$E$5:$E$404=A284)*'Grocery Spending'!$I$5:$I$404+('Grocery Spending'!$E$5:$E$404&lt;&gt;A284)*1000000))))</f>
        <v>0</v>
      </c>
      <c r="AJ284" s="8">
        <f>IF(A284="","",SUMPRODUCT(MAX(('Grocery Spending'!$E$5:$E$404=A284)*'Grocery Spending'!$I$5:$I$404)))</f>
        <v>0</v>
      </c>
      <c r="AK284" s="8">
        <f>IF(OR(A284="",AI284="",AJ284=0),"",AJ284-AI284)</f>
        <v>0</v>
      </c>
      <c r="AL284" s="8">
        <f>IF(OR(A284="",AG284="",AH284=""),"",AG284-AH284)</f>
        <v>0</v>
      </c>
      <c r="AM284" s="8">
        <f>IF(A284="","",IF(AL284="","",IF(AL284&gt;0.01,"Up",IF(AL284&lt;-0.01,"Down","Flat"))))</f>
        <v>0</v>
      </c>
      <c r="AN284" s="25"/>
    </row>
    <row r="285" spans="1:40">
      <c r="A285" s="7"/>
      <c r="B285" s="27"/>
      <c r="C285" s="27"/>
      <c r="D285" s="28"/>
      <c r="E285" s="27"/>
      <c r="F285" s="26"/>
      <c r="G285" s="8">
        <f>IF(OR(D285="",F285="",F285=0),"",D285/F285)</f>
        <v>0</v>
      </c>
      <c r="H285" s="26"/>
      <c r="I285" s="26"/>
      <c r="J285" s="26"/>
      <c r="K285" s="26"/>
      <c r="L285" s="26"/>
      <c r="M285" s="26"/>
      <c r="N285" s="27"/>
      <c r="O285" s="27"/>
      <c r="P285" s="27"/>
      <c r="Q285" s="27"/>
      <c r="R285" s="7"/>
      <c r="S285" s="8">
        <f>IF(A285="","",SUMIFS(Pantry!$C$5:$C$304,Pantry!$A$5:$A$304,A285))</f>
        <v>0</v>
      </c>
      <c r="T285" s="8">
        <f>IF(A285="","",COUNTIFS('Grocery List'!$A$5:$A$304,A285,'Grocery List'!$N$5:$N$304,"Yes"))</f>
        <v>0</v>
      </c>
      <c r="U285" s="8">
        <f>IF(A285="","",SUMIFS('Grocery List'!$M$5:$M$304,'Grocery List'!$A$5:$A$304,A285))</f>
        <v>0</v>
      </c>
      <c r="V285" s="8">
        <f>IF(A285="","",COUNTIFS('Recipe Ingredients'!$B$5:$B$1204,A285))</f>
        <v>0</v>
      </c>
      <c r="W285" s="8">
        <f>IF(A285="","",SUMIFS('Recipe Ingredients'!$C$5:$C$1204,'Recipe Ingredients'!$B$5:$B$1204,A285))</f>
        <v>0</v>
      </c>
      <c r="X285" s="8">
        <f>IF(A285="","",IF(U285&lt;=0,IF(S285&gt;0,99,0),ROUND(S285/U285,1)))</f>
        <v>0</v>
      </c>
      <c r="Y285" s="8">
        <f>IF(A285="","",U285*10+IF(O285="Yes",5,0)+IF(X285&lt;1,10,0)+IF(S285&lt;=0,3,0))</f>
        <v>0</v>
      </c>
      <c r="Z285" s="8">
        <f>IF(A285="","",COUNTIFS($Y$5:$Y$304,"&gt;"&amp;Y285)+1)</f>
        <v>0</v>
      </c>
      <c r="AA285" s="8">
        <f>IF(A285="","",IF(OR(U285&gt;0,AND(O285="Yes",X285&lt;2)),"Yes","No"))</f>
        <v>0</v>
      </c>
      <c r="AB285" s="8">
        <f>IF(OR(A285="",D285=""),"",S285*D285)</f>
        <v>0</v>
      </c>
      <c r="AC285" s="8">
        <f>IF(AB285="","",COUNTIFS($AB$5:$AB$304,"&gt;"&amp;AB285)+1)</f>
        <v>0</v>
      </c>
      <c r="AD285" s="8">
        <f>IF(A285="","",SUMIFS('Food Waste'!$E$5:$E$154,'Food Waste'!$C$5:$C$154,A285))</f>
        <v>0</v>
      </c>
      <c r="AE285" s="8">
        <f>IF(OR(A285="",AD285=0),"",COUNTIFS($AD$5:$AD$304,"&gt;"&amp;AD285)+1)</f>
        <v>0</v>
      </c>
      <c r="AF285" s="8">
        <f>IF(A285="","",IF(SUMPRODUCT(MAX(('Grocery Spending'!$E$5:$E$404=A285)*'Grocery Spending'!$A$5:$A$404))=0,"",SUMPRODUCT(MAX(('Grocery Spending'!$E$5:$E$404=A285)*'Grocery Spending'!$A$5:$A$404))))</f>
        <v>0</v>
      </c>
      <c r="AG285" s="8">
        <f>IF(OR(A285="",AF285=""),"",IFERROR(AVERAGEIFS('Grocery Spending'!$I$5:$I$404,'Grocery Spending'!$E$5:$E$404,A285,'Grocery Spending'!$A$5:$A$404,AF285),""))</f>
        <v>0</v>
      </c>
      <c r="AH285" s="8">
        <f>IF(A285="","",IFERROR(AVERAGEIFS('Grocery Spending'!$I$5:$I$404,'Grocery Spending'!$E$5:$E$404,A285),""))</f>
        <v>0</v>
      </c>
      <c r="AI285" s="8">
        <f>IF(A285="","",IF(SUMPRODUCT(MIN(('Grocery Spending'!$E$5:$E$404=A285)*'Grocery Spending'!$I$5:$I$404+('Grocery Spending'!$E$5:$E$404&lt;&gt;A285)*1000000))&gt;=1000000,"",SUMPRODUCT(MIN(('Grocery Spending'!$E$5:$E$404=A285)*'Grocery Spending'!$I$5:$I$404+('Grocery Spending'!$E$5:$E$404&lt;&gt;A285)*1000000))))</f>
        <v>0</v>
      </c>
      <c r="AJ285" s="8">
        <f>IF(A285="","",SUMPRODUCT(MAX(('Grocery Spending'!$E$5:$E$404=A285)*'Grocery Spending'!$I$5:$I$404)))</f>
        <v>0</v>
      </c>
      <c r="AK285" s="8">
        <f>IF(OR(A285="",AI285="",AJ285=0),"",AJ285-AI285)</f>
        <v>0</v>
      </c>
      <c r="AL285" s="8">
        <f>IF(OR(A285="",AG285="",AH285=""),"",AG285-AH285)</f>
        <v>0</v>
      </c>
      <c r="AM285" s="8">
        <f>IF(A285="","",IF(AL285="","",IF(AL285&gt;0.01,"Up",IF(AL285&lt;-0.01,"Down","Flat"))))</f>
        <v>0</v>
      </c>
      <c r="AN285" s="25"/>
    </row>
    <row r="286" spans="1:40">
      <c r="A286" s="7"/>
      <c r="B286" s="27"/>
      <c r="C286" s="27"/>
      <c r="D286" s="28"/>
      <c r="E286" s="27"/>
      <c r="F286" s="26"/>
      <c r="G286" s="8">
        <f>IF(OR(D286="",F286="",F286=0),"",D286/F286)</f>
        <v>0</v>
      </c>
      <c r="H286" s="26"/>
      <c r="I286" s="26"/>
      <c r="J286" s="26"/>
      <c r="K286" s="26"/>
      <c r="L286" s="26"/>
      <c r="M286" s="26"/>
      <c r="N286" s="27"/>
      <c r="O286" s="27"/>
      <c r="P286" s="27"/>
      <c r="Q286" s="27"/>
      <c r="R286" s="7"/>
      <c r="S286" s="8">
        <f>IF(A286="","",SUMIFS(Pantry!$C$5:$C$304,Pantry!$A$5:$A$304,A286))</f>
        <v>0</v>
      </c>
      <c r="T286" s="8">
        <f>IF(A286="","",COUNTIFS('Grocery List'!$A$5:$A$304,A286,'Grocery List'!$N$5:$N$304,"Yes"))</f>
        <v>0</v>
      </c>
      <c r="U286" s="8">
        <f>IF(A286="","",SUMIFS('Grocery List'!$M$5:$M$304,'Grocery List'!$A$5:$A$304,A286))</f>
        <v>0</v>
      </c>
      <c r="V286" s="8">
        <f>IF(A286="","",COUNTIFS('Recipe Ingredients'!$B$5:$B$1204,A286))</f>
        <v>0</v>
      </c>
      <c r="W286" s="8">
        <f>IF(A286="","",SUMIFS('Recipe Ingredients'!$C$5:$C$1204,'Recipe Ingredients'!$B$5:$B$1204,A286))</f>
        <v>0</v>
      </c>
      <c r="X286" s="8">
        <f>IF(A286="","",IF(U286&lt;=0,IF(S286&gt;0,99,0),ROUND(S286/U286,1)))</f>
        <v>0</v>
      </c>
      <c r="Y286" s="8">
        <f>IF(A286="","",U286*10+IF(O286="Yes",5,0)+IF(X286&lt;1,10,0)+IF(S286&lt;=0,3,0))</f>
        <v>0</v>
      </c>
      <c r="Z286" s="8">
        <f>IF(A286="","",COUNTIFS($Y$5:$Y$304,"&gt;"&amp;Y286)+1)</f>
        <v>0</v>
      </c>
      <c r="AA286" s="8">
        <f>IF(A286="","",IF(OR(U286&gt;0,AND(O286="Yes",X286&lt;2)),"Yes","No"))</f>
        <v>0</v>
      </c>
      <c r="AB286" s="8">
        <f>IF(OR(A286="",D286=""),"",S286*D286)</f>
        <v>0</v>
      </c>
      <c r="AC286" s="8">
        <f>IF(AB286="","",COUNTIFS($AB$5:$AB$304,"&gt;"&amp;AB286)+1)</f>
        <v>0</v>
      </c>
      <c r="AD286" s="8">
        <f>IF(A286="","",SUMIFS('Food Waste'!$E$5:$E$154,'Food Waste'!$C$5:$C$154,A286))</f>
        <v>0</v>
      </c>
      <c r="AE286" s="8">
        <f>IF(OR(A286="",AD286=0),"",COUNTIFS($AD$5:$AD$304,"&gt;"&amp;AD286)+1)</f>
        <v>0</v>
      </c>
      <c r="AF286" s="8">
        <f>IF(A286="","",IF(SUMPRODUCT(MAX(('Grocery Spending'!$E$5:$E$404=A286)*'Grocery Spending'!$A$5:$A$404))=0,"",SUMPRODUCT(MAX(('Grocery Spending'!$E$5:$E$404=A286)*'Grocery Spending'!$A$5:$A$404))))</f>
        <v>0</v>
      </c>
      <c r="AG286" s="8">
        <f>IF(OR(A286="",AF286=""),"",IFERROR(AVERAGEIFS('Grocery Spending'!$I$5:$I$404,'Grocery Spending'!$E$5:$E$404,A286,'Grocery Spending'!$A$5:$A$404,AF286),""))</f>
        <v>0</v>
      </c>
      <c r="AH286" s="8">
        <f>IF(A286="","",IFERROR(AVERAGEIFS('Grocery Spending'!$I$5:$I$404,'Grocery Spending'!$E$5:$E$404,A286),""))</f>
        <v>0</v>
      </c>
      <c r="AI286" s="8">
        <f>IF(A286="","",IF(SUMPRODUCT(MIN(('Grocery Spending'!$E$5:$E$404=A286)*'Grocery Spending'!$I$5:$I$404+('Grocery Spending'!$E$5:$E$404&lt;&gt;A286)*1000000))&gt;=1000000,"",SUMPRODUCT(MIN(('Grocery Spending'!$E$5:$E$404=A286)*'Grocery Spending'!$I$5:$I$404+('Grocery Spending'!$E$5:$E$404&lt;&gt;A286)*1000000))))</f>
        <v>0</v>
      </c>
      <c r="AJ286" s="8">
        <f>IF(A286="","",SUMPRODUCT(MAX(('Grocery Spending'!$E$5:$E$404=A286)*'Grocery Spending'!$I$5:$I$404)))</f>
        <v>0</v>
      </c>
      <c r="AK286" s="8">
        <f>IF(OR(A286="",AI286="",AJ286=0),"",AJ286-AI286)</f>
        <v>0</v>
      </c>
      <c r="AL286" s="8">
        <f>IF(OR(A286="",AG286="",AH286=""),"",AG286-AH286)</f>
        <v>0</v>
      </c>
      <c r="AM286" s="8">
        <f>IF(A286="","",IF(AL286="","",IF(AL286&gt;0.01,"Up",IF(AL286&lt;-0.01,"Down","Flat"))))</f>
        <v>0</v>
      </c>
      <c r="AN286" s="25"/>
    </row>
    <row r="287" spans="1:40">
      <c r="A287" s="7"/>
      <c r="B287" s="27"/>
      <c r="C287" s="27"/>
      <c r="D287" s="28"/>
      <c r="E287" s="27"/>
      <c r="F287" s="26"/>
      <c r="G287" s="8">
        <f>IF(OR(D287="",F287="",F287=0),"",D287/F287)</f>
        <v>0</v>
      </c>
      <c r="H287" s="26"/>
      <c r="I287" s="26"/>
      <c r="J287" s="26"/>
      <c r="K287" s="26"/>
      <c r="L287" s="26"/>
      <c r="M287" s="26"/>
      <c r="N287" s="27"/>
      <c r="O287" s="27"/>
      <c r="P287" s="27"/>
      <c r="Q287" s="27"/>
      <c r="R287" s="7"/>
      <c r="S287" s="8">
        <f>IF(A287="","",SUMIFS(Pantry!$C$5:$C$304,Pantry!$A$5:$A$304,A287))</f>
        <v>0</v>
      </c>
      <c r="T287" s="8">
        <f>IF(A287="","",COUNTIFS('Grocery List'!$A$5:$A$304,A287,'Grocery List'!$N$5:$N$304,"Yes"))</f>
        <v>0</v>
      </c>
      <c r="U287" s="8">
        <f>IF(A287="","",SUMIFS('Grocery List'!$M$5:$M$304,'Grocery List'!$A$5:$A$304,A287))</f>
        <v>0</v>
      </c>
      <c r="V287" s="8">
        <f>IF(A287="","",COUNTIFS('Recipe Ingredients'!$B$5:$B$1204,A287))</f>
        <v>0</v>
      </c>
      <c r="W287" s="8">
        <f>IF(A287="","",SUMIFS('Recipe Ingredients'!$C$5:$C$1204,'Recipe Ingredients'!$B$5:$B$1204,A287))</f>
        <v>0</v>
      </c>
      <c r="X287" s="8">
        <f>IF(A287="","",IF(U287&lt;=0,IF(S287&gt;0,99,0),ROUND(S287/U287,1)))</f>
        <v>0</v>
      </c>
      <c r="Y287" s="8">
        <f>IF(A287="","",U287*10+IF(O287="Yes",5,0)+IF(X287&lt;1,10,0)+IF(S287&lt;=0,3,0))</f>
        <v>0</v>
      </c>
      <c r="Z287" s="8">
        <f>IF(A287="","",COUNTIFS($Y$5:$Y$304,"&gt;"&amp;Y287)+1)</f>
        <v>0</v>
      </c>
      <c r="AA287" s="8">
        <f>IF(A287="","",IF(OR(U287&gt;0,AND(O287="Yes",X287&lt;2)),"Yes","No"))</f>
        <v>0</v>
      </c>
      <c r="AB287" s="8">
        <f>IF(OR(A287="",D287=""),"",S287*D287)</f>
        <v>0</v>
      </c>
      <c r="AC287" s="8">
        <f>IF(AB287="","",COUNTIFS($AB$5:$AB$304,"&gt;"&amp;AB287)+1)</f>
        <v>0</v>
      </c>
      <c r="AD287" s="8">
        <f>IF(A287="","",SUMIFS('Food Waste'!$E$5:$E$154,'Food Waste'!$C$5:$C$154,A287))</f>
        <v>0</v>
      </c>
      <c r="AE287" s="8">
        <f>IF(OR(A287="",AD287=0),"",COUNTIFS($AD$5:$AD$304,"&gt;"&amp;AD287)+1)</f>
        <v>0</v>
      </c>
      <c r="AF287" s="8">
        <f>IF(A287="","",IF(SUMPRODUCT(MAX(('Grocery Spending'!$E$5:$E$404=A287)*'Grocery Spending'!$A$5:$A$404))=0,"",SUMPRODUCT(MAX(('Grocery Spending'!$E$5:$E$404=A287)*'Grocery Spending'!$A$5:$A$404))))</f>
        <v>0</v>
      </c>
      <c r="AG287" s="8">
        <f>IF(OR(A287="",AF287=""),"",IFERROR(AVERAGEIFS('Grocery Spending'!$I$5:$I$404,'Grocery Spending'!$E$5:$E$404,A287,'Grocery Spending'!$A$5:$A$404,AF287),""))</f>
        <v>0</v>
      </c>
      <c r="AH287" s="8">
        <f>IF(A287="","",IFERROR(AVERAGEIFS('Grocery Spending'!$I$5:$I$404,'Grocery Spending'!$E$5:$E$404,A287),""))</f>
        <v>0</v>
      </c>
      <c r="AI287" s="8">
        <f>IF(A287="","",IF(SUMPRODUCT(MIN(('Grocery Spending'!$E$5:$E$404=A287)*'Grocery Spending'!$I$5:$I$404+('Grocery Spending'!$E$5:$E$404&lt;&gt;A287)*1000000))&gt;=1000000,"",SUMPRODUCT(MIN(('Grocery Spending'!$E$5:$E$404=A287)*'Grocery Spending'!$I$5:$I$404+('Grocery Spending'!$E$5:$E$404&lt;&gt;A287)*1000000))))</f>
        <v>0</v>
      </c>
      <c r="AJ287" s="8">
        <f>IF(A287="","",SUMPRODUCT(MAX(('Grocery Spending'!$E$5:$E$404=A287)*'Grocery Spending'!$I$5:$I$404)))</f>
        <v>0</v>
      </c>
      <c r="AK287" s="8">
        <f>IF(OR(A287="",AI287="",AJ287=0),"",AJ287-AI287)</f>
        <v>0</v>
      </c>
      <c r="AL287" s="8">
        <f>IF(OR(A287="",AG287="",AH287=""),"",AG287-AH287)</f>
        <v>0</v>
      </c>
      <c r="AM287" s="8">
        <f>IF(A287="","",IF(AL287="","",IF(AL287&gt;0.01,"Up",IF(AL287&lt;-0.01,"Down","Flat"))))</f>
        <v>0</v>
      </c>
      <c r="AN287" s="25"/>
    </row>
    <row r="288" spans="1:40">
      <c r="A288" s="7"/>
      <c r="B288" s="27"/>
      <c r="C288" s="27"/>
      <c r="D288" s="28"/>
      <c r="E288" s="27"/>
      <c r="F288" s="26"/>
      <c r="G288" s="8">
        <f>IF(OR(D288="",F288="",F288=0),"",D288/F288)</f>
        <v>0</v>
      </c>
      <c r="H288" s="26"/>
      <c r="I288" s="26"/>
      <c r="J288" s="26"/>
      <c r="K288" s="26"/>
      <c r="L288" s="26"/>
      <c r="M288" s="26"/>
      <c r="N288" s="27"/>
      <c r="O288" s="27"/>
      <c r="P288" s="27"/>
      <c r="Q288" s="27"/>
      <c r="R288" s="7"/>
      <c r="S288" s="8">
        <f>IF(A288="","",SUMIFS(Pantry!$C$5:$C$304,Pantry!$A$5:$A$304,A288))</f>
        <v>0</v>
      </c>
      <c r="T288" s="8">
        <f>IF(A288="","",COUNTIFS('Grocery List'!$A$5:$A$304,A288,'Grocery List'!$N$5:$N$304,"Yes"))</f>
        <v>0</v>
      </c>
      <c r="U288" s="8">
        <f>IF(A288="","",SUMIFS('Grocery List'!$M$5:$M$304,'Grocery List'!$A$5:$A$304,A288))</f>
        <v>0</v>
      </c>
      <c r="V288" s="8">
        <f>IF(A288="","",COUNTIFS('Recipe Ingredients'!$B$5:$B$1204,A288))</f>
        <v>0</v>
      </c>
      <c r="W288" s="8">
        <f>IF(A288="","",SUMIFS('Recipe Ingredients'!$C$5:$C$1204,'Recipe Ingredients'!$B$5:$B$1204,A288))</f>
        <v>0</v>
      </c>
      <c r="X288" s="8">
        <f>IF(A288="","",IF(U288&lt;=0,IF(S288&gt;0,99,0),ROUND(S288/U288,1)))</f>
        <v>0</v>
      </c>
      <c r="Y288" s="8">
        <f>IF(A288="","",U288*10+IF(O288="Yes",5,0)+IF(X288&lt;1,10,0)+IF(S288&lt;=0,3,0))</f>
        <v>0</v>
      </c>
      <c r="Z288" s="8">
        <f>IF(A288="","",COUNTIFS($Y$5:$Y$304,"&gt;"&amp;Y288)+1)</f>
        <v>0</v>
      </c>
      <c r="AA288" s="8">
        <f>IF(A288="","",IF(OR(U288&gt;0,AND(O288="Yes",X288&lt;2)),"Yes","No"))</f>
        <v>0</v>
      </c>
      <c r="AB288" s="8">
        <f>IF(OR(A288="",D288=""),"",S288*D288)</f>
        <v>0</v>
      </c>
      <c r="AC288" s="8">
        <f>IF(AB288="","",COUNTIFS($AB$5:$AB$304,"&gt;"&amp;AB288)+1)</f>
        <v>0</v>
      </c>
      <c r="AD288" s="8">
        <f>IF(A288="","",SUMIFS('Food Waste'!$E$5:$E$154,'Food Waste'!$C$5:$C$154,A288))</f>
        <v>0</v>
      </c>
      <c r="AE288" s="8">
        <f>IF(OR(A288="",AD288=0),"",COUNTIFS($AD$5:$AD$304,"&gt;"&amp;AD288)+1)</f>
        <v>0</v>
      </c>
      <c r="AF288" s="8">
        <f>IF(A288="","",IF(SUMPRODUCT(MAX(('Grocery Spending'!$E$5:$E$404=A288)*'Grocery Spending'!$A$5:$A$404))=0,"",SUMPRODUCT(MAX(('Grocery Spending'!$E$5:$E$404=A288)*'Grocery Spending'!$A$5:$A$404))))</f>
        <v>0</v>
      </c>
      <c r="AG288" s="8">
        <f>IF(OR(A288="",AF288=""),"",IFERROR(AVERAGEIFS('Grocery Spending'!$I$5:$I$404,'Grocery Spending'!$E$5:$E$404,A288,'Grocery Spending'!$A$5:$A$404,AF288),""))</f>
        <v>0</v>
      </c>
      <c r="AH288" s="8">
        <f>IF(A288="","",IFERROR(AVERAGEIFS('Grocery Spending'!$I$5:$I$404,'Grocery Spending'!$E$5:$E$404,A288),""))</f>
        <v>0</v>
      </c>
      <c r="AI288" s="8">
        <f>IF(A288="","",IF(SUMPRODUCT(MIN(('Grocery Spending'!$E$5:$E$404=A288)*'Grocery Spending'!$I$5:$I$404+('Grocery Spending'!$E$5:$E$404&lt;&gt;A288)*1000000))&gt;=1000000,"",SUMPRODUCT(MIN(('Grocery Spending'!$E$5:$E$404=A288)*'Grocery Spending'!$I$5:$I$404+('Grocery Spending'!$E$5:$E$404&lt;&gt;A288)*1000000))))</f>
        <v>0</v>
      </c>
      <c r="AJ288" s="8">
        <f>IF(A288="","",SUMPRODUCT(MAX(('Grocery Spending'!$E$5:$E$404=A288)*'Grocery Spending'!$I$5:$I$404)))</f>
        <v>0</v>
      </c>
      <c r="AK288" s="8">
        <f>IF(OR(A288="",AI288="",AJ288=0),"",AJ288-AI288)</f>
        <v>0</v>
      </c>
      <c r="AL288" s="8">
        <f>IF(OR(A288="",AG288="",AH288=""),"",AG288-AH288)</f>
        <v>0</v>
      </c>
      <c r="AM288" s="8">
        <f>IF(A288="","",IF(AL288="","",IF(AL288&gt;0.01,"Up",IF(AL288&lt;-0.01,"Down","Flat"))))</f>
        <v>0</v>
      </c>
      <c r="AN288" s="25"/>
    </row>
    <row r="289" spans="1:40">
      <c r="A289" s="7"/>
      <c r="B289" s="27"/>
      <c r="C289" s="27"/>
      <c r="D289" s="28"/>
      <c r="E289" s="27"/>
      <c r="F289" s="26"/>
      <c r="G289" s="8">
        <f>IF(OR(D289="",F289="",F289=0),"",D289/F289)</f>
        <v>0</v>
      </c>
      <c r="H289" s="26"/>
      <c r="I289" s="26"/>
      <c r="J289" s="26"/>
      <c r="K289" s="26"/>
      <c r="L289" s="26"/>
      <c r="M289" s="26"/>
      <c r="N289" s="27"/>
      <c r="O289" s="27"/>
      <c r="P289" s="27"/>
      <c r="Q289" s="27"/>
      <c r="R289" s="7"/>
      <c r="S289" s="8">
        <f>IF(A289="","",SUMIFS(Pantry!$C$5:$C$304,Pantry!$A$5:$A$304,A289))</f>
        <v>0</v>
      </c>
      <c r="T289" s="8">
        <f>IF(A289="","",COUNTIFS('Grocery List'!$A$5:$A$304,A289,'Grocery List'!$N$5:$N$304,"Yes"))</f>
        <v>0</v>
      </c>
      <c r="U289" s="8">
        <f>IF(A289="","",SUMIFS('Grocery List'!$M$5:$M$304,'Grocery List'!$A$5:$A$304,A289))</f>
        <v>0</v>
      </c>
      <c r="V289" s="8">
        <f>IF(A289="","",COUNTIFS('Recipe Ingredients'!$B$5:$B$1204,A289))</f>
        <v>0</v>
      </c>
      <c r="W289" s="8">
        <f>IF(A289="","",SUMIFS('Recipe Ingredients'!$C$5:$C$1204,'Recipe Ingredients'!$B$5:$B$1204,A289))</f>
        <v>0</v>
      </c>
      <c r="X289" s="8">
        <f>IF(A289="","",IF(U289&lt;=0,IF(S289&gt;0,99,0),ROUND(S289/U289,1)))</f>
        <v>0</v>
      </c>
      <c r="Y289" s="8">
        <f>IF(A289="","",U289*10+IF(O289="Yes",5,0)+IF(X289&lt;1,10,0)+IF(S289&lt;=0,3,0))</f>
        <v>0</v>
      </c>
      <c r="Z289" s="8">
        <f>IF(A289="","",COUNTIFS($Y$5:$Y$304,"&gt;"&amp;Y289)+1)</f>
        <v>0</v>
      </c>
      <c r="AA289" s="8">
        <f>IF(A289="","",IF(OR(U289&gt;0,AND(O289="Yes",X289&lt;2)),"Yes","No"))</f>
        <v>0</v>
      </c>
      <c r="AB289" s="8">
        <f>IF(OR(A289="",D289=""),"",S289*D289)</f>
        <v>0</v>
      </c>
      <c r="AC289" s="8">
        <f>IF(AB289="","",COUNTIFS($AB$5:$AB$304,"&gt;"&amp;AB289)+1)</f>
        <v>0</v>
      </c>
      <c r="AD289" s="8">
        <f>IF(A289="","",SUMIFS('Food Waste'!$E$5:$E$154,'Food Waste'!$C$5:$C$154,A289))</f>
        <v>0</v>
      </c>
      <c r="AE289" s="8">
        <f>IF(OR(A289="",AD289=0),"",COUNTIFS($AD$5:$AD$304,"&gt;"&amp;AD289)+1)</f>
        <v>0</v>
      </c>
      <c r="AF289" s="8">
        <f>IF(A289="","",IF(SUMPRODUCT(MAX(('Grocery Spending'!$E$5:$E$404=A289)*'Grocery Spending'!$A$5:$A$404))=0,"",SUMPRODUCT(MAX(('Grocery Spending'!$E$5:$E$404=A289)*'Grocery Spending'!$A$5:$A$404))))</f>
        <v>0</v>
      </c>
      <c r="AG289" s="8">
        <f>IF(OR(A289="",AF289=""),"",IFERROR(AVERAGEIFS('Grocery Spending'!$I$5:$I$404,'Grocery Spending'!$E$5:$E$404,A289,'Grocery Spending'!$A$5:$A$404,AF289),""))</f>
        <v>0</v>
      </c>
      <c r="AH289" s="8">
        <f>IF(A289="","",IFERROR(AVERAGEIFS('Grocery Spending'!$I$5:$I$404,'Grocery Spending'!$E$5:$E$404,A289),""))</f>
        <v>0</v>
      </c>
      <c r="AI289" s="8">
        <f>IF(A289="","",IF(SUMPRODUCT(MIN(('Grocery Spending'!$E$5:$E$404=A289)*'Grocery Spending'!$I$5:$I$404+('Grocery Spending'!$E$5:$E$404&lt;&gt;A289)*1000000))&gt;=1000000,"",SUMPRODUCT(MIN(('Grocery Spending'!$E$5:$E$404=A289)*'Grocery Spending'!$I$5:$I$404+('Grocery Spending'!$E$5:$E$404&lt;&gt;A289)*1000000))))</f>
        <v>0</v>
      </c>
      <c r="AJ289" s="8">
        <f>IF(A289="","",SUMPRODUCT(MAX(('Grocery Spending'!$E$5:$E$404=A289)*'Grocery Spending'!$I$5:$I$404)))</f>
        <v>0</v>
      </c>
      <c r="AK289" s="8">
        <f>IF(OR(A289="",AI289="",AJ289=0),"",AJ289-AI289)</f>
        <v>0</v>
      </c>
      <c r="AL289" s="8">
        <f>IF(OR(A289="",AG289="",AH289=""),"",AG289-AH289)</f>
        <v>0</v>
      </c>
      <c r="AM289" s="8">
        <f>IF(A289="","",IF(AL289="","",IF(AL289&gt;0.01,"Up",IF(AL289&lt;-0.01,"Down","Flat"))))</f>
        <v>0</v>
      </c>
      <c r="AN289" s="25"/>
    </row>
    <row r="290" spans="1:40">
      <c r="A290" s="7"/>
      <c r="B290" s="27"/>
      <c r="C290" s="27"/>
      <c r="D290" s="28"/>
      <c r="E290" s="27"/>
      <c r="F290" s="26"/>
      <c r="G290" s="8">
        <f>IF(OR(D290="",F290="",F290=0),"",D290/F290)</f>
        <v>0</v>
      </c>
      <c r="H290" s="26"/>
      <c r="I290" s="26"/>
      <c r="J290" s="26"/>
      <c r="K290" s="26"/>
      <c r="L290" s="26"/>
      <c r="M290" s="26"/>
      <c r="N290" s="27"/>
      <c r="O290" s="27"/>
      <c r="P290" s="27"/>
      <c r="Q290" s="27"/>
      <c r="R290" s="7"/>
      <c r="S290" s="8">
        <f>IF(A290="","",SUMIFS(Pantry!$C$5:$C$304,Pantry!$A$5:$A$304,A290))</f>
        <v>0</v>
      </c>
      <c r="T290" s="8">
        <f>IF(A290="","",COUNTIFS('Grocery List'!$A$5:$A$304,A290,'Grocery List'!$N$5:$N$304,"Yes"))</f>
        <v>0</v>
      </c>
      <c r="U290" s="8">
        <f>IF(A290="","",SUMIFS('Grocery List'!$M$5:$M$304,'Grocery List'!$A$5:$A$304,A290))</f>
        <v>0</v>
      </c>
      <c r="V290" s="8">
        <f>IF(A290="","",COUNTIFS('Recipe Ingredients'!$B$5:$B$1204,A290))</f>
        <v>0</v>
      </c>
      <c r="W290" s="8">
        <f>IF(A290="","",SUMIFS('Recipe Ingredients'!$C$5:$C$1204,'Recipe Ingredients'!$B$5:$B$1204,A290))</f>
        <v>0</v>
      </c>
      <c r="X290" s="8">
        <f>IF(A290="","",IF(U290&lt;=0,IF(S290&gt;0,99,0),ROUND(S290/U290,1)))</f>
        <v>0</v>
      </c>
      <c r="Y290" s="8">
        <f>IF(A290="","",U290*10+IF(O290="Yes",5,0)+IF(X290&lt;1,10,0)+IF(S290&lt;=0,3,0))</f>
        <v>0</v>
      </c>
      <c r="Z290" s="8">
        <f>IF(A290="","",COUNTIFS($Y$5:$Y$304,"&gt;"&amp;Y290)+1)</f>
        <v>0</v>
      </c>
      <c r="AA290" s="8">
        <f>IF(A290="","",IF(OR(U290&gt;0,AND(O290="Yes",X290&lt;2)),"Yes","No"))</f>
        <v>0</v>
      </c>
      <c r="AB290" s="8">
        <f>IF(OR(A290="",D290=""),"",S290*D290)</f>
        <v>0</v>
      </c>
      <c r="AC290" s="8">
        <f>IF(AB290="","",COUNTIFS($AB$5:$AB$304,"&gt;"&amp;AB290)+1)</f>
        <v>0</v>
      </c>
      <c r="AD290" s="8">
        <f>IF(A290="","",SUMIFS('Food Waste'!$E$5:$E$154,'Food Waste'!$C$5:$C$154,A290))</f>
        <v>0</v>
      </c>
      <c r="AE290" s="8">
        <f>IF(OR(A290="",AD290=0),"",COUNTIFS($AD$5:$AD$304,"&gt;"&amp;AD290)+1)</f>
        <v>0</v>
      </c>
      <c r="AF290" s="8">
        <f>IF(A290="","",IF(SUMPRODUCT(MAX(('Grocery Spending'!$E$5:$E$404=A290)*'Grocery Spending'!$A$5:$A$404))=0,"",SUMPRODUCT(MAX(('Grocery Spending'!$E$5:$E$404=A290)*'Grocery Spending'!$A$5:$A$404))))</f>
        <v>0</v>
      </c>
      <c r="AG290" s="8">
        <f>IF(OR(A290="",AF290=""),"",IFERROR(AVERAGEIFS('Grocery Spending'!$I$5:$I$404,'Grocery Spending'!$E$5:$E$404,A290,'Grocery Spending'!$A$5:$A$404,AF290),""))</f>
        <v>0</v>
      </c>
      <c r="AH290" s="8">
        <f>IF(A290="","",IFERROR(AVERAGEIFS('Grocery Spending'!$I$5:$I$404,'Grocery Spending'!$E$5:$E$404,A290),""))</f>
        <v>0</v>
      </c>
      <c r="AI290" s="8">
        <f>IF(A290="","",IF(SUMPRODUCT(MIN(('Grocery Spending'!$E$5:$E$404=A290)*'Grocery Spending'!$I$5:$I$404+('Grocery Spending'!$E$5:$E$404&lt;&gt;A290)*1000000))&gt;=1000000,"",SUMPRODUCT(MIN(('Grocery Spending'!$E$5:$E$404=A290)*'Grocery Spending'!$I$5:$I$404+('Grocery Spending'!$E$5:$E$404&lt;&gt;A290)*1000000))))</f>
        <v>0</v>
      </c>
      <c r="AJ290" s="8">
        <f>IF(A290="","",SUMPRODUCT(MAX(('Grocery Spending'!$E$5:$E$404=A290)*'Grocery Spending'!$I$5:$I$404)))</f>
        <v>0</v>
      </c>
      <c r="AK290" s="8">
        <f>IF(OR(A290="",AI290="",AJ290=0),"",AJ290-AI290)</f>
        <v>0</v>
      </c>
      <c r="AL290" s="8">
        <f>IF(OR(A290="",AG290="",AH290=""),"",AG290-AH290)</f>
        <v>0</v>
      </c>
      <c r="AM290" s="8">
        <f>IF(A290="","",IF(AL290="","",IF(AL290&gt;0.01,"Up",IF(AL290&lt;-0.01,"Down","Flat"))))</f>
        <v>0</v>
      </c>
      <c r="AN290" s="25"/>
    </row>
    <row r="291" spans="1:40">
      <c r="A291" s="7"/>
      <c r="B291" s="27"/>
      <c r="C291" s="27"/>
      <c r="D291" s="28"/>
      <c r="E291" s="27"/>
      <c r="F291" s="26"/>
      <c r="G291" s="8">
        <f>IF(OR(D291="",F291="",F291=0),"",D291/F291)</f>
        <v>0</v>
      </c>
      <c r="H291" s="26"/>
      <c r="I291" s="26"/>
      <c r="J291" s="26"/>
      <c r="K291" s="26"/>
      <c r="L291" s="26"/>
      <c r="M291" s="26"/>
      <c r="N291" s="27"/>
      <c r="O291" s="27"/>
      <c r="P291" s="27"/>
      <c r="Q291" s="27"/>
      <c r="R291" s="7"/>
      <c r="S291" s="8">
        <f>IF(A291="","",SUMIFS(Pantry!$C$5:$C$304,Pantry!$A$5:$A$304,A291))</f>
        <v>0</v>
      </c>
      <c r="T291" s="8">
        <f>IF(A291="","",COUNTIFS('Grocery List'!$A$5:$A$304,A291,'Grocery List'!$N$5:$N$304,"Yes"))</f>
        <v>0</v>
      </c>
      <c r="U291" s="8">
        <f>IF(A291="","",SUMIFS('Grocery List'!$M$5:$M$304,'Grocery List'!$A$5:$A$304,A291))</f>
        <v>0</v>
      </c>
      <c r="V291" s="8">
        <f>IF(A291="","",COUNTIFS('Recipe Ingredients'!$B$5:$B$1204,A291))</f>
        <v>0</v>
      </c>
      <c r="W291" s="8">
        <f>IF(A291="","",SUMIFS('Recipe Ingredients'!$C$5:$C$1204,'Recipe Ingredients'!$B$5:$B$1204,A291))</f>
        <v>0</v>
      </c>
      <c r="X291" s="8">
        <f>IF(A291="","",IF(U291&lt;=0,IF(S291&gt;0,99,0),ROUND(S291/U291,1)))</f>
        <v>0</v>
      </c>
      <c r="Y291" s="8">
        <f>IF(A291="","",U291*10+IF(O291="Yes",5,0)+IF(X291&lt;1,10,0)+IF(S291&lt;=0,3,0))</f>
        <v>0</v>
      </c>
      <c r="Z291" s="8">
        <f>IF(A291="","",COUNTIFS($Y$5:$Y$304,"&gt;"&amp;Y291)+1)</f>
        <v>0</v>
      </c>
      <c r="AA291" s="8">
        <f>IF(A291="","",IF(OR(U291&gt;0,AND(O291="Yes",X291&lt;2)),"Yes","No"))</f>
        <v>0</v>
      </c>
      <c r="AB291" s="8">
        <f>IF(OR(A291="",D291=""),"",S291*D291)</f>
        <v>0</v>
      </c>
      <c r="AC291" s="8">
        <f>IF(AB291="","",COUNTIFS($AB$5:$AB$304,"&gt;"&amp;AB291)+1)</f>
        <v>0</v>
      </c>
      <c r="AD291" s="8">
        <f>IF(A291="","",SUMIFS('Food Waste'!$E$5:$E$154,'Food Waste'!$C$5:$C$154,A291))</f>
        <v>0</v>
      </c>
      <c r="AE291" s="8">
        <f>IF(OR(A291="",AD291=0),"",COUNTIFS($AD$5:$AD$304,"&gt;"&amp;AD291)+1)</f>
        <v>0</v>
      </c>
      <c r="AF291" s="8">
        <f>IF(A291="","",IF(SUMPRODUCT(MAX(('Grocery Spending'!$E$5:$E$404=A291)*'Grocery Spending'!$A$5:$A$404))=0,"",SUMPRODUCT(MAX(('Grocery Spending'!$E$5:$E$404=A291)*'Grocery Spending'!$A$5:$A$404))))</f>
        <v>0</v>
      </c>
      <c r="AG291" s="8">
        <f>IF(OR(A291="",AF291=""),"",IFERROR(AVERAGEIFS('Grocery Spending'!$I$5:$I$404,'Grocery Spending'!$E$5:$E$404,A291,'Grocery Spending'!$A$5:$A$404,AF291),""))</f>
        <v>0</v>
      </c>
      <c r="AH291" s="8">
        <f>IF(A291="","",IFERROR(AVERAGEIFS('Grocery Spending'!$I$5:$I$404,'Grocery Spending'!$E$5:$E$404,A291),""))</f>
        <v>0</v>
      </c>
      <c r="AI291" s="8">
        <f>IF(A291="","",IF(SUMPRODUCT(MIN(('Grocery Spending'!$E$5:$E$404=A291)*'Grocery Spending'!$I$5:$I$404+('Grocery Spending'!$E$5:$E$404&lt;&gt;A291)*1000000))&gt;=1000000,"",SUMPRODUCT(MIN(('Grocery Spending'!$E$5:$E$404=A291)*'Grocery Spending'!$I$5:$I$404+('Grocery Spending'!$E$5:$E$404&lt;&gt;A291)*1000000))))</f>
        <v>0</v>
      </c>
      <c r="AJ291" s="8">
        <f>IF(A291="","",SUMPRODUCT(MAX(('Grocery Spending'!$E$5:$E$404=A291)*'Grocery Spending'!$I$5:$I$404)))</f>
        <v>0</v>
      </c>
      <c r="AK291" s="8">
        <f>IF(OR(A291="",AI291="",AJ291=0),"",AJ291-AI291)</f>
        <v>0</v>
      </c>
      <c r="AL291" s="8">
        <f>IF(OR(A291="",AG291="",AH291=""),"",AG291-AH291)</f>
        <v>0</v>
      </c>
      <c r="AM291" s="8">
        <f>IF(A291="","",IF(AL291="","",IF(AL291&gt;0.01,"Up",IF(AL291&lt;-0.01,"Down","Flat"))))</f>
        <v>0</v>
      </c>
      <c r="AN291" s="25"/>
    </row>
    <row r="292" spans="1:40">
      <c r="A292" s="7"/>
      <c r="B292" s="27"/>
      <c r="C292" s="27"/>
      <c r="D292" s="28"/>
      <c r="E292" s="27"/>
      <c r="F292" s="26"/>
      <c r="G292" s="8">
        <f>IF(OR(D292="",F292="",F292=0),"",D292/F292)</f>
        <v>0</v>
      </c>
      <c r="H292" s="26"/>
      <c r="I292" s="26"/>
      <c r="J292" s="26"/>
      <c r="K292" s="26"/>
      <c r="L292" s="26"/>
      <c r="M292" s="26"/>
      <c r="N292" s="27"/>
      <c r="O292" s="27"/>
      <c r="P292" s="27"/>
      <c r="Q292" s="27"/>
      <c r="R292" s="7"/>
      <c r="S292" s="8">
        <f>IF(A292="","",SUMIFS(Pantry!$C$5:$C$304,Pantry!$A$5:$A$304,A292))</f>
        <v>0</v>
      </c>
      <c r="T292" s="8">
        <f>IF(A292="","",COUNTIFS('Grocery List'!$A$5:$A$304,A292,'Grocery List'!$N$5:$N$304,"Yes"))</f>
        <v>0</v>
      </c>
      <c r="U292" s="8">
        <f>IF(A292="","",SUMIFS('Grocery List'!$M$5:$M$304,'Grocery List'!$A$5:$A$304,A292))</f>
        <v>0</v>
      </c>
      <c r="V292" s="8">
        <f>IF(A292="","",COUNTIFS('Recipe Ingredients'!$B$5:$B$1204,A292))</f>
        <v>0</v>
      </c>
      <c r="W292" s="8">
        <f>IF(A292="","",SUMIFS('Recipe Ingredients'!$C$5:$C$1204,'Recipe Ingredients'!$B$5:$B$1204,A292))</f>
        <v>0</v>
      </c>
      <c r="X292" s="8">
        <f>IF(A292="","",IF(U292&lt;=0,IF(S292&gt;0,99,0),ROUND(S292/U292,1)))</f>
        <v>0</v>
      </c>
      <c r="Y292" s="8">
        <f>IF(A292="","",U292*10+IF(O292="Yes",5,0)+IF(X292&lt;1,10,0)+IF(S292&lt;=0,3,0))</f>
        <v>0</v>
      </c>
      <c r="Z292" s="8">
        <f>IF(A292="","",COUNTIFS($Y$5:$Y$304,"&gt;"&amp;Y292)+1)</f>
        <v>0</v>
      </c>
      <c r="AA292" s="8">
        <f>IF(A292="","",IF(OR(U292&gt;0,AND(O292="Yes",X292&lt;2)),"Yes","No"))</f>
        <v>0</v>
      </c>
      <c r="AB292" s="8">
        <f>IF(OR(A292="",D292=""),"",S292*D292)</f>
        <v>0</v>
      </c>
      <c r="AC292" s="8">
        <f>IF(AB292="","",COUNTIFS($AB$5:$AB$304,"&gt;"&amp;AB292)+1)</f>
        <v>0</v>
      </c>
      <c r="AD292" s="8">
        <f>IF(A292="","",SUMIFS('Food Waste'!$E$5:$E$154,'Food Waste'!$C$5:$C$154,A292))</f>
        <v>0</v>
      </c>
      <c r="AE292" s="8">
        <f>IF(OR(A292="",AD292=0),"",COUNTIFS($AD$5:$AD$304,"&gt;"&amp;AD292)+1)</f>
        <v>0</v>
      </c>
      <c r="AF292" s="8">
        <f>IF(A292="","",IF(SUMPRODUCT(MAX(('Grocery Spending'!$E$5:$E$404=A292)*'Grocery Spending'!$A$5:$A$404))=0,"",SUMPRODUCT(MAX(('Grocery Spending'!$E$5:$E$404=A292)*'Grocery Spending'!$A$5:$A$404))))</f>
        <v>0</v>
      </c>
      <c r="AG292" s="8">
        <f>IF(OR(A292="",AF292=""),"",IFERROR(AVERAGEIFS('Grocery Spending'!$I$5:$I$404,'Grocery Spending'!$E$5:$E$404,A292,'Grocery Spending'!$A$5:$A$404,AF292),""))</f>
        <v>0</v>
      </c>
      <c r="AH292" s="8">
        <f>IF(A292="","",IFERROR(AVERAGEIFS('Grocery Spending'!$I$5:$I$404,'Grocery Spending'!$E$5:$E$404,A292),""))</f>
        <v>0</v>
      </c>
      <c r="AI292" s="8">
        <f>IF(A292="","",IF(SUMPRODUCT(MIN(('Grocery Spending'!$E$5:$E$404=A292)*'Grocery Spending'!$I$5:$I$404+('Grocery Spending'!$E$5:$E$404&lt;&gt;A292)*1000000))&gt;=1000000,"",SUMPRODUCT(MIN(('Grocery Spending'!$E$5:$E$404=A292)*'Grocery Spending'!$I$5:$I$404+('Grocery Spending'!$E$5:$E$404&lt;&gt;A292)*1000000))))</f>
        <v>0</v>
      </c>
      <c r="AJ292" s="8">
        <f>IF(A292="","",SUMPRODUCT(MAX(('Grocery Spending'!$E$5:$E$404=A292)*'Grocery Spending'!$I$5:$I$404)))</f>
        <v>0</v>
      </c>
      <c r="AK292" s="8">
        <f>IF(OR(A292="",AI292="",AJ292=0),"",AJ292-AI292)</f>
        <v>0</v>
      </c>
      <c r="AL292" s="8">
        <f>IF(OR(A292="",AG292="",AH292=""),"",AG292-AH292)</f>
        <v>0</v>
      </c>
      <c r="AM292" s="8">
        <f>IF(A292="","",IF(AL292="","",IF(AL292&gt;0.01,"Up",IF(AL292&lt;-0.01,"Down","Flat"))))</f>
        <v>0</v>
      </c>
      <c r="AN292" s="25"/>
    </row>
    <row r="293" spans="1:40">
      <c r="A293" s="7"/>
      <c r="B293" s="27"/>
      <c r="C293" s="27"/>
      <c r="D293" s="28"/>
      <c r="E293" s="27"/>
      <c r="F293" s="26"/>
      <c r="G293" s="8">
        <f>IF(OR(D293="",F293="",F293=0),"",D293/F293)</f>
        <v>0</v>
      </c>
      <c r="H293" s="26"/>
      <c r="I293" s="26"/>
      <c r="J293" s="26"/>
      <c r="K293" s="26"/>
      <c r="L293" s="26"/>
      <c r="M293" s="26"/>
      <c r="N293" s="27"/>
      <c r="O293" s="27"/>
      <c r="P293" s="27"/>
      <c r="Q293" s="27"/>
      <c r="R293" s="7"/>
      <c r="S293" s="8">
        <f>IF(A293="","",SUMIFS(Pantry!$C$5:$C$304,Pantry!$A$5:$A$304,A293))</f>
        <v>0</v>
      </c>
      <c r="T293" s="8">
        <f>IF(A293="","",COUNTIFS('Grocery List'!$A$5:$A$304,A293,'Grocery List'!$N$5:$N$304,"Yes"))</f>
        <v>0</v>
      </c>
      <c r="U293" s="8">
        <f>IF(A293="","",SUMIFS('Grocery List'!$M$5:$M$304,'Grocery List'!$A$5:$A$304,A293))</f>
        <v>0</v>
      </c>
      <c r="V293" s="8">
        <f>IF(A293="","",COUNTIFS('Recipe Ingredients'!$B$5:$B$1204,A293))</f>
        <v>0</v>
      </c>
      <c r="W293" s="8">
        <f>IF(A293="","",SUMIFS('Recipe Ingredients'!$C$5:$C$1204,'Recipe Ingredients'!$B$5:$B$1204,A293))</f>
        <v>0</v>
      </c>
      <c r="X293" s="8">
        <f>IF(A293="","",IF(U293&lt;=0,IF(S293&gt;0,99,0),ROUND(S293/U293,1)))</f>
        <v>0</v>
      </c>
      <c r="Y293" s="8">
        <f>IF(A293="","",U293*10+IF(O293="Yes",5,0)+IF(X293&lt;1,10,0)+IF(S293&lt;=0,3,0))</f>
        <v>0</v>
      </c>
      <c r="Z293" s="8">
        <f>IF(A293="","",COUNTIFS($Y$5:$Y$304,"&gt;"&amp;Y293)+1)</f>
        <v>0</v>
      </c>
      <c r="AA293" s="8">
        <f>IF(A293="","",IF(OR(U293&gt;0,AND(O293="Yes",X293&lt;2)),"Yes","No"))</f>
        <v>0</v>
      </c>
      <c r="AB293" s="8">
        <f>IF(OR(A293="",D293=""),"",S293*D293)</f>
        <v>0</v>
      </c>
      <c r="AC293" s="8">
        <f>IF(AB293="","",COUNTIFS($AB$5:$AB$304,"&gt;"&amp;AB293)+1)</f>
        <v>0</v>
      </c>
      <c r="AD293" s="8">
        <f>IF(A293="","",SUMIFS('Food Waste'!$E$5:$E$154,'Food Waste'!$C$5:$C$154,A293))</f>
        <v>0</v>
      </c>
      <c r="AE293" s="8">
        <f>IF(OR(A293="",AD293=0),"",COUNTIFS($AD$5:$AD$304,"&gt;"&amp;AD293)+1)</f>
        <v>0</v>
      </c>
      <c r="AF293" s="8">
        <f>IF(A293="","",IF(SUMPRODUCT(MAX(('Grocery Spending'!$E$5:$E$404=A293)*'Grocery Spending'!$A$5:$A$404))=0,"",SUMPRODUCT(MAX(('Grocery Spending'!$E$5:$E$404=A293)*'Grocery Spending'!$A$5:$A$404))))</f>
        <v>0</v>
      </c>
      <c r="AG293" s="8">
        <f>IF(OR(A293="",AF293=""),"",IFERROR(AVERAGEIFS('Grocery Spending'!$I$5:$I$404,'Grocery Spending'!$E$5:$E$404,A293,'Grocery Spending'!$A$5:$A$404,AF293),""))</f>
        <v>0</v>
      </c>
      <c r="AH293" s="8">
        <f>IF(A293="","",IFERROR(AVERAGEIFS('Grocery Spending'!$I$5:$I$404,'Grocery Spending'!$E$5:$E$404,A293),""))</f>
        <v>0</v>
      </c>
      <c r="AI293" s="8">
        <f>IF(A293="","",IF(SUMPRODUCT(MIN(('Grocery Spending'!$E$5:$E$404=A293)*'Grocery Spending'!$I$5:$I$404+('Grocery Spending'!$E$5:$E$404&lt;&gt;A293)*1000000))&gt;=1000000,"",SUMPRODUCT(MIN(('Grocery Spending'!$E$5:$E$404=A293)*'Grocery Spending'!$I$5:$I$404+('Grocery Spending'!$E$5:$E$404&lt;&gt;A293)*1000000))))</f>
        <v>0</v>
      </c>
      <c r="AJ293" s="8">
        <f>IF(A293="","",SUMPRODUCT(MAX(('Grocery Spending'!$E$5:$E$404=A293)*'Grocery Spending'!$I$5:$I$404)))</f>
        <v>0</v>
      </c>
      <c r="AK293" s="8">
        <f>IF(OR(A293="",AI293="",AJ293=0),"",AJ293-AI293)</f>
        <v>0</v>
      </c>
      <c r="AL293" s="8">
        <f>IF(OR(A293="",AG293="",AH293=""),"",AG293-AH293)</f>
        <v>0</v>
      </c>
      <c r="AM293" s="8">
        <f>IF(A293="","",IF(AL293="","",IF(AL293&gt;0.01,"Up",IF(AL293&lt;-0.01,"Down","Flat"))))</f>
        <v>0</v>
      </c>
      <c r="AN293" s="25"/>
    </row>
    <row r="294" spans="1:40">
      <c r="A294" s="7"/>
      <c r="B294" s="27"/>
      <c r="C294" s="27"/>
      <c r="D294" s="28"/>
      <c r="E294" s="27"/>
      <c r="F294" s="26"/>
      <c r="G294" s="8">
        <f>IF(OR(D294="",F294="",F294=0),"",D294/F294)</f>
        <v>0</v>
      </c>
      <c r="H294" s="26"/>
      <c r="I294" s="26"/>
      <c r="J294" s="26"/>
      <c r="K294" s="26"/>
      <c r="L294" s="26"/>
      <c r="M294" s="26"/>
      <c r="N294" s="27"/>
      <c r="O294" s="27"/>
      <c r="P294" s="27"/>
      <c r="Q294" s="27"/>
      <c r="R294" s="7"/>
      <c r="S294" s="8">
        <f>IF(A294="","",SUMIFS(Pantry!$C$5:$C$304,Pantry!$A$5:$A$304,A294))</f>
        <v>0</v>
      </c>
      <c r="T294" s="8">
        <f>IF(A294="","",COUNTIFS('Grocery List'!$A$5:$A$304,A294,'Grocery List'!$N$5:$N$304,"Yes"))</f>
        <v>0</v>
      </c>
      <c r="U294" s="8">
        <f>IF(A294="","",SUMIFS('Grocery List'!$M$5:$M$304,'Grocery List'!$A$5:$A$304,A294))</f>
        <v>0</v>
      </c>
      <c r="V294" s="8">
        <f>IF(A294="","",COUNTIFS('Recipe Ingredients'!$B$5:$B$1204,A294))</f>
        <v>0</v>
      </c>
      <c r="W294" s="8">
        <f>IF(A294="","",SUMIFS('Recipe Ingredients'!$C$5:$C$1204,'Recipe Ingredients'!$B$5:$B$1204,A294))</f>
        <v>0</v>
      </c>
      <c r="X294" s="8">
        <f>IF(A294="","",IF(U294&lt;=0,IF(S294&gt;0,99,0),ROUND(S294/U294,1)))</f>
        <v>0</v>
      </c>
      <c r="Y294" s="8">
        <f>IF(A294="","",U294*10+IF(O294="Yes",5,0)+IF(X294&lt;1,10,0)+IF(S294&lt;=0,3,0))</f>
        <v>0</v>
      </c>
      <c r="Z294" s="8">
        <f>IF(A294="","",COUNTIFS($Y$5:$Y$304,"&gt;"&amp;Y294)+1)</f>
        <v>0</v>
      </c>
      <c r="AA294" s="8">
        <f>IF(A294="","",IF(OR(U294&gt;0,AND(O294="Yes",X294&lt;2)),"Yes","No"))</f>
        <v>0</v>
      </c>
      <c r="AB294" s="8">
        <f>IF(OR(A294="",D294=""),"",S294*D294)</f>
        <v>0</v>
      </c>
      <c r="AC294" s="8">
        <f>IF(AB294="","",COUNTIFS($AB$5:$AB$304,"&gt;"&amp;AB294)+1)</f>
        <v>0</v>
      </c>
      <c r="AD294" s="8">
        <f>IF(A294="","",SUMIFS('Food Waste'!$E$5:$E$154,'Food Waste'!$C$5:$C$154,A294))</f>
        <v>0</v>
      </c>
      <c r="AE294" s="8">
        <f>IF(OR(A294="",AD294=0),"",COUNTIFS($AD$5:$AD$304,"&gt;"&amp;AD294)+1)</f>
        <v>0</v>
      </c>
      <c r="AF294" s="8">
        <f>IF(A294="","",IF(SUMPRODUCT(MAX(('Grocery Spending'!$E$5:$E$404=A294)*'Grocery Spending'!$A$5:$A$404))=0,"",SUMPRODUCT(MAX(('Grocery Spending'!$E$5:$E$404=A294)*'Grocery Spending'!$A$5:$A$404))))</f>
        <v>0</v>
      </c>
      <c r="AG294" s="8">
        <f>IF(OR(A294="",AF294=""),"",IFERROR(AVERAGEIFS('Grocery Spending'!$I$5:$I$404,'Grocery Spending'!$E$5:$E$404,A294,'Grocery Spending'!$A$5:$A$404,AF294),""))</f>
        <v>0</v>
      </c>
      <c r="AH294" s="8">
        <f>IF(A294="","",IFERROR(AVERAGEIFS('Grocery Spending'!$I$5:$I$404,'Grocery Spending'!$E$5:$E$404,A294),""))</f>
        <v>0</v>
      </c>
      <c r="AI294" s="8">
        <f>IF(A294="","",IF(SUMPRODUCT(MIN(('Grocery Spending'!$E$5:$E$404=A294)*'Grocery Spending'!$I$5:$I$404+('Grocery Spending'!$E$5:$E$404&lt;&gt;A294)*1000000))&gt;=1000000,"",SUMPRODUCT(MIN(('Grocery Spending'!$E$5:$E$404=A294)*'Grocery Spending'!$I$5:$I$404+('Grocery Spending'!$E$5:$E$404&lt;&gt;A294)*1000000))))</f>
        <v>0</v>
      </c>
      <c r="AJ294" s="8">
        <f>IF(A294="","",SUMPRODUCT(MAX(('Grocery Spending'!$E$5:$E$404=A294)*'Grocery Spending'!$I$5:$I$404)))</f>
        <v>0</v>
      </c>
      <c r="AK294" s="8">
        <f>IF(OR(A294="",AI294="",AJ294=0),"",AJ294-AI294)</f>
        <v>0</v>
      </c>
      <c r="AL294" s="8">
        <f>IF(OR(A294="",AG294="",AH294=""),"",AG294-AH294)</f>
        <v>0</v>
      </c>
      <c r="AM294" s="8">
        <f>IF(A294="","",IF(AL294="","",IF(AL294&gt;0.01,"Up",IF(AL294&lt;-0.01,"Down","Flat"))))</f>
        <v>0</v>
      </c>
      <c r="AN294" s="25"/>
    </row>
    <row r="295" spans="1:40">
      <c r="A295" s="7"/>
      <c r="B295" s="27"/>
      <c r="C295" s="27"/>
      <c r="D295" s="28"/>
      <c r="E295" s="27"/>
      <c r="F295" s="26"/>
      <c r="G295" s="8">
        <f>IF(OR(D295="",F295="",F295=0),"",D295/F295)</f>
        <v>0</v>
      </c>
      <c r="H295" s="26"/>
      <c r="I295" s="26"/>
      <c r="J295" s="26"/>
      <c r="K295" s="26"/>
      <c r="L295" s="26"/>
      <c r="M295" s="26"/>
      <c r="N295" s="27"/>
      <c r="O295" s="27"/>
      <c r="P295" s="27"/>
      <c r="Q295" s="27"/>
      <c r="R295" s="7"/>
      <c r="S295" s="8">
        <f>IF(A295="","",SUMIFS(Pantry!$C$5:$C$304,Pantry!$A$5:$A$304,A295))</f>
        <v>0</v>
      </c>
      <c r="T295" s="8">
        <f>IF(A295="","",COUNTIFS('Grocery List'!$A$5:$A$304,A295,'Grocery List'!$N$5:$N$304,"Yes"))</f>
        <v>0</v>
      </c>
      <c r="U295" s="8">
        <f>IF(A295="","",SUMIFS('Grocery List'!$M$5:$M$304,'Grocery List'!$A$5:$A$304,A295))</f>
        <v>0</v>
      </c>
      <c r="V295" s="8">
        <f>IF(A295="","",COUNTIFS('Recipe Ingredients'!$B$5:$B$1204,A295))</f>
        <v>0</v>
      </c>
      <c r="W295" s="8">
        <f>IF(A295="","",SUMIFS('Recipe Ingredients'!$C$5:$C$1204,'Recipe Ingredients'!$B$5:$B$1204,A295))</f>
        <v>0</v>
      </c>
      <c r="X295" s="8">
        <f>IF(A295="","",IF(U295&lt;=0,IF(S295&gt;0,99,0),ROUND(S295/U295,1)))</f>
        <v>0</v>
      </c>
      <c r="Y295" s="8">
        <f>IF(A295="","",U295*10+IF(O295="Yes",5,0)+IF(X295&lt;1,10,0)+IF(S295&lt;=0,3,0))</f>
        <v>0</v>
      </c>
      <c r="Z295" s="8">
        <f>IF(A295="","",COUNTIFS($Y$5:$Y$304,"&gt;"&amp;Y295)+1)</f>
        <v>0</v>
      </c>
      <c r="AA295" s="8">
        <f>IF(A295="","",IF(OR(U295&gt;0,AND(O295="Yes",X295&lt;2)),"Yes","No"))</f>
        <v>0</v>
      </c>
      <c r="AB295" s="8">
        <f>IF(OR(A295="",D295=""),"",S295*D295)</f>
        <v>0</v>
      </c>
      <c r="AC295" s="8">
        <f>IF(AB295="","",COUNTIFS($AB$5:$AB$304,"&gt;"&amp;AB295)+1)</f>
        <v>0</v>
      </c>
      <c r="AD295" s="8">
        <f>IF(A295="","",SUMIFS('Food Waste'!$E$5:$E$154,'Food Waste'!$C$5:$C$154,A295))</f>
        <v>0</v>
      </c>
      <c r="AE295" s="8">
        <f>IF(OR(A295="",AD295=0),"",COUNTIFS($AD$5:$AD$304,"&gt;"&amp;AD295)+1)</f>
        <v>0</v>
      </c>
      <c r="AF295" s="8">
        <f>IF(A295="","",IF(SUMPRODUCT(MAX(('Grocery Spending'!$E$5:$E$404=A295)*'Grocery Spending'!$A$5:$A$404))=0,"",SUMPRODUCT(MAX(('Grocery Spending'!$E$5:$E$404=A295)*'Grocery Spending'!$A$5:$A$404))))</f>
        <v>0</v>
      </c>
      <c r="AG295" s="8">
        <f>IF(OR(A295="",AF295=""),"",IFERROR(AVERAGEIFS('Grocery Spending'!$I$5:$I$404,'Grocery Spending'!$E$5:$E$404,A295,'Grocery Spending'!$A$5:$A$404,AF295),""))</f>
        <v>0</v>
      </c>
      <c r="AH295" s="8">
        <f>IF(A295="","",IFERROR(AVERAGEIFS('Grocery Spending'!$I$5:$I$404,'Grocery Spending'!$E$5:$E$404,A295),""))</f>
        <v>0</v>
      </c>
      <c r="AI295" s="8">
        <f>IF(A295="","",IF(SUMPRODUCT(MIN(('Grocery Spending'!$E$5:$E$404=A295)*'Grocery Spending'!$I$5:$I$404+('Grocery Spending'!$E$5:$E$404&lt;&gt;A295)*1000000))&gt;=1000000,"",SUMPRODUCT(MIN(('Grocery Spending'!$E$5:$E$404=A295)*'Grocery Spending'!$I$5:$I$404+('Grocery Spending'!$E$5:$E$404&lt;&gt;A295)*1000000))))</f>
        <v>0</v>
      </c>
      <c r="AJ295" s="8">
        <f>IF(A295="","",SUMPRODUCT(MAX(('Grocery Spending'!$E$5:$E$404=A295)*'Grocery Spending'!$I$5:$I$404)))</f>
        <v>0</v>
      </c>
      <c r="AK295" s="8">
        <f>IF(OR(A295="",AI295="",AJ295=0),"",AJ295-AI295)</f>
        <v>0</v>
      </c>
      <c r="AL295" s="8">
        <f>IF(OR(A295="",AG295="",AH295=""),"",AG295-AH295)</f>
        <v>0</v>
      </c>
      <c r="AM295" s="8">
        <f>IF(A295="","",IF(AL295="","",IF(AL295&gt;0.01,"Up",IF(AL295&lt;-0.01,"Down","Flat"))))</f>
        <v>0</v>
      </c>
      <c r="AN295" s="25"/>
    </row>
    <row r="296" spans="1:40">
      <c r="A296" s="7"/>
      <c r="B296" s="27"/>
      <c r="C296" s="27"/>
      <c r="D296" s="28"/>
      <c r="E296" s="27"/>
      <c r="F296" s="26"/>
      <c r="G296" s="8">
        <f>IF(OR(D296="",F296="",F296=0),"",D296/F296)</f>
        <v>0</v>
      </c>
      <c r="H296" s="26"/>
      <c r="I296" s="26"/>
      <c r="J296" s="26"/>
      <c r="K296" s="26"/>
      <c r="L296" s="26"/>
      <c r="M296" s="26"/>
      <c r="N296" s="27"/>
      <c r="O296" s="27"/>
      <c r="P296" s="27"/>
      <c r="Q296" s="27"/>
      <c r="R296" s="7"/>
      <c r="S296" s="8">
        <f>IF(A296="","",SUMIFS(Pantry!$C$5:$C$304,Pantry!$A$5:$A$304,A296))</f>
        <v>0</v>
      </c>
      <c r="T296" s="8">
        <f>IF(A296="","",COUNTIFS('Grocery List'!$A$5:$A$304,A296,'Grocery List'!$N$5:$N$304,"Yes"))</f>
        <v>0</v>
      </c>
      <c r="U296" s="8">
        <f>IF(A296="","",SUMIFS('Grocery List'!$M$5:$M$304,'Grocery List'!$A$5:$A$304,A296))</f>
        <v>0</v>
      </c>
      <c r="V296" s="8">
        <f>IF(A296="","",COUNTIFS('Recipe Ingredients'!$B$5:$B$1204,A296))</f>
        <v>0</v>
      </c>
      <c r="W296" s="8">
        <f>IF(A296="","",SUMIFS('Recipe Ingredients'!$C$5:$C$1204,'Recipe Ingredients'!$B$5:$B$1204,A296))</f>
        <v>0</v>
      </c>
      <c r="X296" s="8">
        <f>IF(A296="","",IF(U296&lt;=0,IF(S296&gt;0,99,0),ROUND(S296/U296,1)))</f>
        <v>0</v>
      </c>
      <c r="Y296" s="8">
        <f>IF(A296="","",U296*10+IF(O296="Yes",5,0)+IF(X296&lt;1,10,0)+IF(S296&lt;=0,3,0))</f>
        <v>0</v>
      </c>
      <c r="Z296" s="8">
        <f>IF(A296="","",COUNTIFS($Y$5:$Y$304,"&gt;"&amp;Y296)+1)</f>
        <v>0</v>
      </c>
      <c r="AA296" s="8">
        <f>IF(A296="","",IF(OR(U296&gt;0,AND(O296="Yes",X296&lt;2)),"Yes","No"))</f>
        <v>0</v>
      </c>
      <c r="AB296" s="8">
        <f>IF(OR(A296="",D296=""),"",S296*D296)</f>
        <v>0</v>
      </c>
      <c r="AC296" s="8">
        <f>IF(AB296="","",COUNTIFS($AB$5:$AB$304,"&gt;"&amp;AB296)+1)</f>
        <v>0</v>
      </c>
      <c r="AD296" s="8">
        <f>IF(A296="","",SUMIFS('Food Waste'!$E$5:$E$154,'Food Waste'!$C$5:$C$154,A296))</f>
        <v>0</v>
      </c>
      <c r="AE296" s="8">
        <f>IF(OR(A296="",AD296=0),"",COUNTIFS($AD$5:$AD$304,"&gt;"&amp;AD296)+1)</f>
        <v>0</v>
      </c>
      <c r="AF296" s="8">
        <f>IF(A296="","",IF(SUMPRODUCT(MAX(('Grocery Spending'!$E$5:$E$404=A296)*'Grocery Spending'!$A$5:$A$404))=0,"",SUMPRODUCT(MAX(('Grocery Spending'!$E$5:$E$404=A296)*'Grocery Spending'!$A$5:$A$404))))</f>
        <v>0</v>
      </c>
      <c r="AG296" s="8">
        <f>IF(OR(A296="",AF296=""),"",IFERROR(AVERAGEIFS('Grocery Spending'!$I$5:$I$404,'Grocery Spending'!$E$5:$E$404,A296,'Grocery Spending'!$A$5:$A$404,AF296),""))</f>
        <v>0</v>
      </c>
      <c r="AH296" s="8">
        <f>IF(A296="","",IFERROR(AVERAGEIFS('Grocery Spending'!$I$5:$I$404,'Grocery Spending'!$E$5:$E$404,A296),""))</f>
        <v>0</v>
      </c>
      <c r="AI296" s="8">
        <f>IF(A296="","",IF(SUMPRODUCT(MIN(('Grocery Spending'!$E$5:$E$404=A296)*'Grocery Spending'!$I$5:$I$404+('Grocery Spending'!$E$5:$E$404&lt;&gt;A296)*1000000))&gt;=1000000,"",SUMPRODUCT(MIN(('Grocery Spending'!$E$5:$E$404=A296)*'Grocery Spending'!$I$5:$I$404+('Grocery Spending'!$E$5:$E$404&lt;&gt;A296)*1000000))))</f>
        <v>0</v>
      </c>
      <c r="AJ296" s="8">
        <f>IF(A296="","",SUMPRODUCT(MAX(('Grocery Spending'!$E$5:$E$404=A296)*'Grocery Spending'!$I$5:$I$404)))</f>
        <v>0</v>
      </c>
      <c r="AK296" s="8">
        <f>IF(OR(A296="",AI296="",AJ296=0),"",AJ296-AI296)</f>
        <v>0</v>
      </c>
      <c r="AL296" s="8">
        <f>IF(OR(A296="",AG296="",AH296=""),"",AG296-AH296)</f>
        <v>0</v>
      </c>
      <c r="AM296" s="8">
        <f>IF(A296="","",IF(AL296="","",IF(AL296&gt;0.01,"Up",IF(AL296&lt;-0.01,"Down","Flat"))))</f>
        <v>0</v>
      </c>
      <c r="AN296" s="25"/>
    </row>
    <row r="297" spans="1:40">
      <c r="A297" s="7"/>
      <c r="B297" s="27"/>
      <c r="C297" s="27"/>
      <c r="D297" s="28"/>
      <c r="E297" s="27"/>
      <c r="F297" s="26"/>
      <c r="G297" s="8">
        <f>IF(OR(D297="",F297="",F297=0),"",D297/F297)</f>
        <v>0</v>
      </c>
      <c r="H297" s="26"/>
      <c r="I297" s="26"/>
      <c r="J297" s="26"/>
      <c r="K297" s="26"/>
      <c r="L297" s="26"/>
      <c r="M297" s="26"/>
      <c r="N297" s="27"/>
      <c r="O297" s="27"/>
      <c r="P297" s="27"/>
      <c r="Q297" s="27"/>
      <c r="R297" s="7"/>
      <c r="S297" s="8">
        <f>IF(A297="","",SUMIFS(Pantry!$C$5:$C$304,Pantry!$A$5:$A$304,A297))</f>
        <v>0</v>
      </c>
      <c r="T297" s="8">
        <f>IF(A297="","",COUNTIFS('Grocery List'!$A$5:$A$304,A297,'Grocery List'!$N$5:$N$304,"Yes"))</f>
        <v>0</v>
      </c>
      <c r="U297" s="8">
        <f>IF(A297="","",SUMIFS('Grocery List'!$M$5:$M$304,'Grocery List'!$A$5:$A$304,A297))</f>
        <v>0</v>
      </c>
      <c r="V297" s="8">
        <f>IF(A297="","",COUNTIFS('Recipe Ingredients'!$B$5:$B$1204,A297))</f>
        <v>0</v>
      </c>
      <c r="W297" s="8">
        <f>IF(A297="","",SUMIFS('Recipe Ingredients'!$C$5:$C$1204,'Recipe Ingredients'!$B$5:$B$1204,A297))</f>
        <v>0</v>
      </c>
      <c r="X297" s="8">
        <f>IF(A297="","",IF(U297&lt;=0,IF(S297&gt;0,99,0),ROUND(S297/U297,1)))</f>
        <v>0</v>
      </c>
      <c r="Y297" s="8">
        <f>IF(A297="","",U297*10+IF(O297="Yes",5,0)+IF(X297&lt;1,10,0)+IF(S297&lt;=0,3,0))</f>
        <v>0</v>
      </c>
      <c r="Z297" s="8">
        <f>IF(A297="","",COUNTIFS($Y$5:$Y$304,"&gt;"&amp;Y297)+1)</f>
        <v>0</v>
      </c>
      <c r="AA297" s="8">
        <f>IF(A297="","",IF(OR(U297&gt;0,AND(O297="Yes",X297&lt;2)),"Yes","No"))</f>
        <v>0</v>
      </c>
      <c r="AB297" s="8">
        <f>IF(OR(A297="",D297=""),"",S297*D297)</f>
        <v>0</v>
      </c>
      <c r="AC297" s="8">
        <f>IF(AB297="","",COUNTIFS($AB$5:$AB$304,"&gt;"&amp;AB297)+1)</f>
        <v>0</v>
      </c>
      <c r="AD297" s="8">
        <f>IF(A297="","",SUMIFS('Food Waste'!$E$5:$E$154,'Food Waste'!$C$5:$C$154,A297))</f>
        <v>0</v>
      </c>
      <c r="AE297" s="8">
        <f>IF(OR(A297="",AD297=0),"",COUNTIFS($AD$5:$AD$304,"&gt;"&amp;AD297)+1)</f>
        <v>0</v>
      </c>
      <c r="AF297" s="8">
        <f>IF(A297="","",IF(SUMPRODUCT(MAX(('Grocery Spending'!$E$5:$E$404=A297)*'Grocery Spending'!$A$5:$A$404))=0,"",SUMPRODUCT(MAX(('Grocery Spending'!$E$5:$E$404=A297)*'Grocery Spending'!$A$5:$A$404))))</f>
        <v>0</v>
      </c>
      <c r="AG297" s="8">
        <f>IF(OR(A297="",AF297=""),"",IFERROR(AVERAGEIFS('Grocery Spending'!$I$5:$I$404,'Grocery Spending'!$E$5:$E$404,A297,'Grocery Spending'!$A$5:$A$404,AF297),""))</f>
        <v>0</v>
      </c>
      <c r="AH297" s="8">
        <f>IF(A297="","",IFERROR(AVERAGEIFS('Grocery Spending'!$I$5:$I$404,'Grocery Spending'!$E$5:$E$404,A297),""))</f>
        <v>0</v>
      </c>
      <c r="AI297" s="8">
        <f>IF(A297="","",IF(SUMPRODUCT(MIN(('Grocery Spending'!$E$5:$E$404=A297)*'Grocery Spending'!$I$5:$I$404+('Grocery Spending'!$E$5:$E$404&lt;&gt;A297)*1000000))&gt;=1000000,"",SUMPRODUCT(MIN(('Grocery Spending'!$E$5:$E$404=A297)*'Grocery Spending'!$I$5:$I$404+('Grocery Spending'!$E$5:$E$404&lt;&gt;A297)*1000000))))</f>
        <v>0</v>
      </c>
      <c r="AJ297" s="8">
        <f>IF(A297="","",SUMPRODUCT(MAX(('Grocery Spending'!$E$5:$E$404=A297)*'Grocery Spending'!$I$5:$I$404)))</f>
        <v>0</v>
      </c>
      <c r="AK297" s="8">
        <f>IF(OR(A297="",AI297="",AJ297=0),"",AJ297-AI297)</f>
        <v>0</v>
      </c>
      <c r="AL297" s="8">
        <f>IF(OR(A297="",AG297="",AH297=""),"",AG297-AH297)</f>
        <v>0</v>
      </c>
      <c r="AM297" s="8">
        <f>IF(A297="","",IF(AL297="","",IF(AL297&gt;0.01,"Up",IF(AL297&lt;-0.01,"Down","Flat"))))</f>
        <v>0</v>
      </c>
      <c r="AN297" s="25"/>
    </row>
    <row r="298" spans="1:40">
      <c r="A298" s="7"/>
      <c r="B298" s="27"/>
      <c r="C298" s="27"/>
      <c r="D298" s="28"/>
      <c r="E298" s="27"/>
      <c r="F298" s="26"/>
      <c r="G298" s="8">
        <f>IF(OR(D298="",F298="",F298=0),"",D298/F298)</f>
        <v>0</v>
      </c>
      <c r="H298" s="26"/>
      <c r="I298" s="26"/>
      <c r="J298" s="26"/>
      <c r="K298" s="26"/>
      <c r="L298" s="26"/>
      <c r="M298" s="26"/>
      <c r="N298" s="27"/>
      <c r="O298" s="27"/>
      <c r="P298" s="27"/>
      <c r="Q298" s="27"/>
      <c r="R298" s="7"/>
      <c r="S298" s="8">
        <f>IF(A298="","",SUMIFS(Pantry!$C$5:$C$304,Pantry!$A$5:$A$304,A298))</f>
        <v>0</v>
      </c>
      <c r="T298" s="8">
        <f>IF(A298="","",COUNTIFS('Grocery List'!$A$5:$A$304,A298,'Grocery List'!$N$5:$N$304,"Yes"))</f>
        <v>0</v>
      </c>
      <c r="U298" s="8">
        <f>IF(A298="","",SUMIFS('Grocery List'!$M$5:$M$304,'Grocery List'!$A$5:$A$304,A298))</f>
        <v>0</v>
      </c>
      <c r="V298" s="8">
        <f>IF(A298="","",COUNTIFS('Recipe Ingredients'!$B$5:$B$1204,A298))</f>
        <v>0</v>
      </c>
      <c r="W298" s="8">
        <f>IF(A298="","",SUMIFS('Recipe Ingredients'!$C$5:$C$1204,'Recipe Ingredients'!$B$5:$B$1204,A298))</f>
        <v>0</v>
      </c>
      <c r="X298" s="8">
        <f>IF(A298="","",IF(U298&lt;=0,IF(S298&gt;0,99,0),ROUND(S298/U298,1)))</f>
        <v>0</v>
      </c>
      <c r="Y298" s="8">
        <f>IF(A298="","",U298*10+IF(O298="Yes",5,0)+IF(X298&lt;1,10,0)+IF(S298&lt;=0,3,0))</f>
        <v>0</v>
      </c>
      <c r="Z298" s="8">
        <f>IF(A298="","",COUNTIFS($Y$5:$Y$304,"&gt;"&amp;Y298)+1)</f>
        <v>0</v>
      </c>
      <c r="AA298" s="8">
        <f>IF(A298="","",IF(OR(U298&gt;0,AND(O298="Yes",X298&lt;2)),"Yes","No"))</f>
        <v>0</v>
      </c>
      <c r="AB298" s="8">
        <f>IF(OR(A298="",D298=""),"",S298*D298)</f>
        <v>0</v>
      </c>
      <c r="AC298" s="8">
        <f>IF(AB298="","",COUNTIFS($AB$5:$AB$304,"&gt;"&amp;AB298)+1)</f>
        <v>0</v>
      </c>
      <c r="AD298" s="8">
        <f>IF(A298="","",SUMIFS('Food Waste'!$E$5:$E$154,'Food Waste'!$C$5:$C$154,A298))</f>
        <v>0</v>
      </c>
      <c r="AE298" s="8">
        <f>IF(OR(A298="",AD298=0),"",COUNTIFS($AD$5:$AD$304,"&gt;"&amp;AD298)+1)</f>
        <v>0</v>
      </c>
      <c r="AF298" s="8">
        <f>IF(A298="","",IF(SUMPRODUCT(MAX(('Grocery Spending'!$E$5:$E$404=A298)*'Grocery Spending'!$A$5:$A$404))=0,"",SUMPRODUCT(MAX(('Grocery Spending'!$E$5:$E$404=A298)*'Grocery Spending'!$A$5:$A$404))))</f>
        <v>0</v>
      </c>
      <c r="AG298" s="8">
        <f>IF(OR(A298="",AF298=""),"",IFERROR(AVERAGEIFS('Grocery Spending'!$I$5:$I$404,'Grocery Spending'!$E$5:$E$404,A298,'Grocery Spending'!$A$5:$A$404,AF298),""))</f>
        <v>0</v>
      </c>
      <c r="AH298" s="8">
        <f>IF(A298="","",IFERROR(AVERAGEIFS('Grocery Spending'!$I$5:$I$404,'Grocery Spending'!$E$5:$E$404,A298),""))</f>
        <v>0</v>
      </c>
      <c r="AI298" s="8">
        <f>IF(A298="","",IF(SUMPRODUCT(MIN(('Grocery Spending'!$E$5:$E$404=A298)*'Grocery Spending'!$I$5:$I$404+('Grocery Spending'!$E$5:$E$404&lt;&gt;A298)*1000000))&gt;=1000000,"",SUMPRODUCT(MIN(('Grocery Spending'!$E$5:$E$404=A298)*'Grocery Spending'!$I$5:$I$404+('Grocery Spending'!$E$5:$E$404&lt;&gt;A298)*1000000))))</f>
        <v>0</v>
      </c>
      <c r="AJ298" s="8">
        <f>IF(A298="","",SUMPRODUCT(MAX(('Grocery Spending'!$E$5:$E$404=A298)*'Grocery Spending'!$I$5:$I$404)))</f>
        <v>0</v>
      </c>
      <c r="AK298" s="8">
        <f>IF(OR(A298="",AI298="",AJ298=0),"",AJ298-AI298)</f>
        <v>0</v>
      </c>
      <c r="AL298" s="8">
        <f>IF(OR(A298="",AG298="",AH298=""),"",AG298-AH298)</f>
        <v>0</v>
      </c>
      <c r="AM298" s="8">
        <f>IF(A298="","",IF(AL298="","",IF(AL298&gt;0.01,"Up",IF(AL298&lt;-0.01,"Down","Flat"))))</f>
        <v>0</v>
      </c>
      <c r="AN298" s="25"/>
    </row>
    <row r="299" spans="1:40">
      <c r="A299" s="7"/>
      <c r="B299" s="27"/>
      <c r="C299" s="27"/>
      <c r="D299" s="28"/>
      <c r="E299" s="27"/>
      <c r="F299" s="26"/>
      <c r="G299" s="8">
        <f>IF(OR(D299="",F299="",F299=0),"",D299/F299)</f>
        <v>0</v>
      </c>
      <c r="H299" s="26"/>
      <c r="I299" s="26"/>
      <c r="J299" s="26"/>
      <c r="K299" s="26"/>
      <c r="L299" s="26"/>
      <c r="M299" s="26"/>
      <c r="N299" s="27"/>
      <c r="O299" s="27"/>
      <c r="P299" s="27"/>
      <c r="Q299" s="27"/>
      <c r="R299" s="7"/>
      <c r="S299" s="8">
        <f>IF(A299="","",SUMIFS(Pantry!$C$5:$C$304,Pantry!$A$5:$A$304,A299))</f>
        <v>0</v>
      </c>
      <c r="T299" s="8">
        <f>IF(A299="","",COUNTIFS('Grocery List'!$A$5:$A$304,A299,'Grocery List'!$N$5:$N$304,"Yes"))</f>
        <v>0</v>
      </c>
      <c r="U299" s="8">
        <f>IF(A299="","",SUMIFS('Grocery List'!$M$5:$M$304,'Grocery List'!$A$5:$A$304,A299))</f>
        <v>0</v>
      </c>
      <c r="V299" s="8">
        <f>IF(A299="","",COUNTIFS('Recipe Ingredients'!$B$5:$B$1204,A299))</f>
        <v>0</v>
      </c>
      <c r="W299" s="8">
        <f>IF(A299="","",SUMIFS('Recipe Ingredients'!$C$5:$C$1204,'Recipe Ingredients'!$B$5:$B$1204,A299))</f>
        <v>0</v>
      </c>
      <c r="X299" s="8">
        <f>IF(A299="","",IF(U299&lt;=0,IF(S299&gt;0,99,0),ROUND(S299/U299,1)))</f>
        <v>0</v>
      </c>
      <c r="Y299" s="8">
        <f>IF(A299="","",U299*10+IF(O299="Yes",5,0)+IF(X299&lt;1,10,0)+IF(S299&lt;=0,3,0))</f>
        <v>0</v>
      </c>
      <c r="Z299" s="8">
        <f>IF(A299="","",COUNTIFS($Y$5:$Y$304,"&gt;"&amp;Y299)+1)</f>
        <v>0</v>
      </c>
      <c r="AA299" s="8">
        <f>IF(A299="","",IF(OR(U299&gt;0,AND(O299="Yes",X299&lt;2)),"Yes","No"))</f>
        <v>0</v>
      </c>
      <c r="AB299" s="8">
        <f>IF(OR(A299="",D299=""),"",S299*D299)</f>
        <v>0</v>
      </c>
      <c r="AC299" s="8">
        <f>IF(AB299="","",COUNTIFS($AB$5:$AB$304,"&gt;"&amp;AB299)+1)</f>
        <v>0</v>
      </c>
      <c r="AD299" s="8">
        <f>IF(A299="","",SUMIFS('Food Waste'!$E$5:$E$154,'Food Waste'!$C$5:$C$154,A299))</f>
        <v>0</v>
      </c>
      <c r="AE299" s="8">
        <f>IF(OR(A299="",AD299=0),"",COUNTIFS($AD$5:$AD$304,"&gt;"&amp;AD299)+1)</f>
        <v>0</v>
      </c>
      <c r="AF299" s="8">
        <f>IF(A299="","",IF(SUMPRODUCT(MAX(('Grocery Spending'!$E$5:$E$404=A299)*'Grocery Spending'!$A$5:$A$404))=0,"",SUMPRODUCT(MAX(('Grocery Spending'!$E$5:$E$404=A299)*'Grocery Spending'!$A$5:$A$404))))</f>
        <v>0</v>
      </c>
      <c r="AG299" s="8">
        <f>IF(OR(A299="",AF299=""),"",IFERROR(AVERAGEIFS('Grocery Spending'!$I$5:$I$404,'Grocery Spending'!$E$5:$E$404,A299,'Grocery Spending'!$A$5:$A$404,AF299),""))</f>
        <v>0</v>
      </c>
      <c r="AH299" s="8">
        <f>IF(A299="","",IFERROR(AVERAGEIFS('Grocery Spending'!$I$5:$I$404,'Grocery Spending'!$E$5:$E$404,A299),""))</f>
        <v>0</v>
      </c>
      <c r="AI299" s="8">
        <f>IF(A299="","",IF(SUMPRODUCT(MIN(('Grocery Spending'!$E$5:$E$404=A299)*'Grocery Spending'!$I$5:$I$404+('Grocery Spending'!$E$5:$E$404&lt;&gt;A299)*1000000))&gt;=1000000,"",SUMPRODUCT(MIN(('Grocery Spending'!$E$5:$E$404=A299)*'Grocery Spending'!$I$5:$I$404+('Grocery Spending'!$E$5:$E$404&lt;&gt;A299)*1000000))))</f>
        <v>0</v>
      </c>
      <c r="AJ299" s="8">
        <f>IF(A299="","",SUMPRODUCT(MAX(('Grocery Spending'!$E$5:$E$404=A299)*'Grocery Spending'!$I$5:$I$404)))</f>
        <v>0</v>
      </c>
      <c r="AK299" s="8">
        <f>IF(OR(A299="",AI299="",AJ299=0),"",AJ299-AI299)</f>
        <v>0</v>
      </c>
      <c r="AL299" s="8">
        <f>IF(OR(A299="",AG299="",AH299=""),"",AG299-AH299)</f>
        <v>0</v>
      </c>
      <c r="AM299" s="8">
        <f>IF(A299="","",IF(AL299="","",IF(AL299&gt;0.01,"Up",IF(AL299&lt;-0.01,"Down","Flat"))))</f>
        <v>0</v>
      </c>
      <c r="AN299" s="25"/>
    </row>
    <row r="300" spans="1:40">
      <c r="A300" s="7"/>
      <c r="B300" s="27"/>
      <c r="C300" s="27"/>
      <c r="D300" s="28"/>
      <c r="E300" s="27"/>
      <c r="F300" s="26"/>
      <c r="G300" s="8">
        <f>IF(OR(D300="",F300="",F300=0),"",D300/F300)</f>
        <v>0</v>
      </c>
      <c r="H300" s="26"/>
      <c r="I300" s="26"/>
      <c r="J300" s="26"/>
      <c r="K300" s="26"/>
      <c r="L300" s="26"/>
      <c r="M300" s="26"/>
      <c r="N300" s="27"/>
      <c r="O300" s="27"/>
      <c r="P300" s="27"/>
      <c r="Q300" s="27"/>
      <c r="R300" s="7"/>
      <c r="S300" s="8">
        <f>IF(A300="","",SUMIFS(Pantry!$C$5:$C$304,Pantry!$A$5:$A$304,A300))</f>
        <v>0</v>
      </c>
      <c r="T300" s="8">
        <f>IF(A300="","",COUNTIFS('Grocery List'!$A$5:$A$304,A300,'Grocery List'!$N$5:$N$304,"Yes"))</f>
        <v>0</v>
      </c>
      <c r="U300" s="8">
        <f>IF(A300="","",SUMIFS('Grocery List'!$M$5:$M$304,'Grocery List'!$A$5:$A$304,A300))</f>
        <v>0</v>
      </c>
      <c r="V300" s="8">
        <f>IF(A300="","",COUNTIFS('Recipe Ingredients'!$B$5:$B$1204,A300))</f>
        <v>0</v>
      </c>
      <c r="W300" s="8">
        <f>IF(A300="","",SUMIFS('Recipe Ingredients'!$C$5:$C$1204,'Recipe Ingredients'!$B$5:$B$1204,A300))</f>
        <v>0</v>
      </c>
      <c r="X300" s="8">
        <f>IF(A300="","",IF(U300&lt;=0,IF(S300&gt;0,99,0),ROUND(S300/U300,1)))</f>
        <v>0</v>
      </c>
      <c r="Y300" s="8">
        <f>IF(A300="","",U300*10+IF(O300="Yes",5,0)+IF(X300&lt;1,10,0)+IF(S300&lt;=0,3,0))</f>
        <v>0</v>
      </c>
      <c r="Z300" s="8">
        <f>IF(A300="","",COUNTIFS($Y$5:$Y$304,"&gt;"&amp;Y300)+1)</f>
        <v>0</v>
      </c>
      <c r="AA300" s="8">
        <f>IF(A300="","",IF(OR(U300&gt;0,AND(O300="Yes",X300&lt;2)),"Yes","No"))</f>
        <v>0</v>
      </c>
      <c r="AB300" s="8">
        <f>IF(OR(A300="",D300=""),"",S300*D300)</f>
        <v>0</v>
      </c>
      <c r="AC300" s="8">
        <f>IF(AB300="","",COUNTIFS($AB$5:$AB$304,"&gt;"&amp;AB300)+1)</f>
        <v>0</v>
      </c>
      <c r="AD300" s="8">
        <f>IF(A300="","",SUMIFS('Food Waste'!$E$5:$E$154,'Food Waste'!$C$5:$C$154,A300))</f>
        <v>0</v>
      </c>
      <c r="AE300" s="8">
        <f>IF(OR(A300="",AD300=0),"",COUNTIFS($AD$5:$AD$304,"&gt;"&amp;AD300)+1)</f>
        <v>0</v>
      </c>
      <c r="AF300" s="8">
        <f>IF(A300="","",IF(SUMPRODUCT(MAX(('Grocery Spending'!$E$5:$E$404=A300)*'Grocery Spending'!$A$5:$A$404))=0,"",SUMPRODUCT(MAX(('Grocery Spending'!$E$5:$E$404=A300)*'Grocery Spending'!$A$5:$A$404))))</f>
        <v>0</v>
      </c>
      <c r="AG300" s="8">
        <f>IF(OR(A300="",AF300=""),"",IFERROR(AVERAGEIFS('Grocery Spending'!$I$5:$I$404,'Grocery Spending'!$E$5:$E$404,A300,'Grocery Spending'!$A$5:$A$404,AF300),""))</f>
        <v>0</v>
      </c>
      <c r="AH300" s="8">
        <f>IF(A300="","",IFERROR(AVERAGEIFS('Grocery Spending'!$I$5:$I$404,'Grocery Spending'!$E$5:$E$404,A300),""))</f>
        <v>0</v>
      </c>
      <c r="AI300" s="8">
        <f>IF(A300="","",IF(SUMPRODUCT(MIN(('Grocery Spending'!$E$5:$E$404=A300)*'Grocery Spending'!$I$5:$I$404+('Grocery Spending'!$E$5:$E$404&lt;&gt;A300)*1000000))&gt;=1000000,"",SUMPRODUCT(MIN(('Grocery Spending'!$E$5:$E$404=A300)*'Grocery Spending'!$I$5:$I$404+('Grocery Spending'!$E$5:$E$404&lt;&gt;A300)*1000000))))</f>
        <v>0</v>
      </c>
      <c r="AJ300" s="8">
        <f>IF(A300="","",SUMPRODUCT(MAX(('Grocery Spending'!$E$5:$E$404=A300)*'Grocery Spending'!$I$5:$I$404)))</f>
        <v>0</v>
      </c>
      <c r="AK300" s="8">
        <f>IF(OR(A300="",AI300="",AJ300=0),"",AJ300-AI300)</f>
        <v>0</v>
      </c>
      <c r="AL300" s="8">
        <f>IF(OR(A300="",AG300="",AH300=""),"",AG300-AH300)</f>
        <v>0</v>
      </c>
      <c r="AM300" s="8">
        <f>IF(A300="","",IF(AL300="","",IF(AL300&gt;0.01,"Up",IF(AL300&lt;-0.01,"Down","Flat"))))</f>
        <v>0</v>
      </c>
      <c r="AN300" s="25"/>
    </row>
    <row r="301" spans="1:40">
      <c r="A301" s="7"/>
      <c r="B301" s="27"/>
      <c r="C301" s="27"/>
      <c r="D301" s="28"/>
      <c r="E301" s="27"/>
      <c r="F301" s="26"/>
      <c r="G301" s="8">
        <f>IF(OR(D301="",F301="",F301=0),"",D301/F301)</f>
        <v>0</v>
      </c>
      <c r="H301" s="26"/>
      <c r="I301" s="26"/>
      <c r="J301" s="26"/>
      <c r="K301" s="26"/>
      <c r="L301" s="26"/>
      <c r="M301" s="26"/>
      <c r="N301" s="27"/>
      <c r="O301" s="27"/>
      <c r="P301" s="27"/>
      <c r="Q301" s="27"/>
      <c r="R301" s="7"/>
      <c r="S301" s="8">
        <f>IF(A301="","",SUMIFS(Pantry!$C$5:$C$304,Pantry!$A$5:$A$304,A301))</f>
        <v>0</v>
      </c>
      <c r="T301" s="8">
        <f>IF(A301="","",COUNTIFS('Grocery List'!$A$5:$A$304,A301,'Grocery List'!$N$5:$N$304,"Yes"))</f>
        <v>0</v>
      </c>
      <c r="U301" s="8">
        <f>IF(A301="","",SUMIFS('Grocery List'!$M$5:$M$304,'Grocery List'!$A$5:$A$304,A301))</f>
        <v>0</v>
      </c>
      <c r="V301" s="8">
        <f>IF(A301="","",COUNTIFS('Recipe Ingredients'!$B$5:$B$1204,A301))</f>
        <v>0</v>
      </c>
      <c r="W301" s="8">
        <f>IF(A301="","",SUMIFS('Recipe Ingredients'!$C$5:$C$1204,'Recipe Ingredients'!$B$5:$B$1204,A301))</f>
        <v>0</v>
      </c>
      <c r="X301" s="8">
        <f>IF(A301="","",IF(U301&lt;=0,IF(S301&gt;0,99,0),ROUND(S301/U301,1)))</f>
        <v>0</v>
      </c>
      <c r="Y301" s="8">
        <f>IF(A301="","",U301*10+IF(O301="Yes",5,0)+IF(X301&lt;1,10,0)+IF(S301&lt;=0,3,0))</f>
        <v>0</v>
      </c>
      <c r="Z301" s="8">
        <f>IF(A301="","",COUNTIFS($Y$5:$Y$304,"&gt;"&amp;Y301)+1)</f>
        <v>0</v>
      </c>
      <c r="AA301" s="8">
        <f>IF(A301="","",IF(OR(U301&gt;0,AND(O301="Yes",X301&lt;2)),"Yes","No"))</f>
        <v>0</v>
      </c>
      <c r="AB301" s="8">
        <f>IF(OR(A301="",D301=""),"",S301*D301)</f>
        <v>0</v>
      </c>
      <c r="AC301" s="8">
        <f>IF(AB301="","",COUNTIFS($AB$5:$AB$304,"&gt;"&amp;AB301)+1)</f>
        <v>0</v>
      </c>
      <c r="AD301" s="8">
        <f>IF(A301="","",SUMIFS('Food Waste'!$E$5:$E$154,'Food Waste'!$C$5:$C$154,A301))</f>
        <v>0</v>
      </c>
      <c r="AE301" s="8">
        <f>IF(OR(A301="",AD301=0),"",COUNTIFS($AD$5:$AD$304,"&gt;"&amp;AD301)+1)</f>
        <v>0</v>
      </c>
      <c r="AF301" s="8">
        <f>IF(A301="","",IF(SUMPRODUCT(MAX(('Grocery Spending'!$E$5:$E$404=A301)*'Grocery Spending'!$A$5:$A$404))=0,"",SUMPRODUCT(MAX(('Grocery Spending'!$E$5:$E$404=A301)*'Grocery Spending'!$A$5:$A$404))))</f>
        <v>0</v>
      </c>
      <c r="AG301" s="8">
        <f>IF(OR(A301="",AF301=""),"",IFERROR(AVERAGEIFS('Grocery Spending'!$I$5:$I$404,'Grocery Spending'!$E$5:$E$404,A301,'Grocery Spending'!$A$5:$A$404,AF301),""))</f>
        <v>0</v>
      </c>
      <c r="AH301" s="8">
        <f>IF(A301="","",IFERROR(AVERAGEIFS('Grocery Spending'!$I$5:$I$404,'Grocery Spending'!$E$5:$E$404,A301),""))</f>
        <v>0</v>
      </c>
      <c r="AI301" s="8">
        <f>IF(A301="","",IF(SUMPRODUCT(MIN(('Grocery Spending'!$E$5:$E$404=A301)*'Grocery Spending'!$I$5:$I$404+('Grocery Spending'!$E$5:$E$404&lt;&gt;A301)*1000000))&gt;=1000000,"",SUMPRODUCT(MIN(('Grocery Spending'!$E$5:$E$404=A301)*'Grocery Spending'!$I$5:$I$404+('Grocery Spending'!$E$5:$E$404&lt;&gt;A301)*1000000))))</f>
        <v>0</v>
      </c>
      <c r="AJ301" s="8">
        <f>IF(A301="","",SUMPRODUCT(MAX(('Grocery Spending'!$E$5:$E$404=A301)*'Grocery Spending'!$I$5:$I$404)))</f>
        <v>0</v>
      </c>
      <c r="AK301" s="8">
        <f>IF(OR(A301="",AI301="",AJ301=0),"",AJ301-AI301)</f>
        <v>0</v>
      </c>
      <c r="AL301" s="8">
        <f>IF(OR(A301="",AG301="",AH301=""),"",AG301-AH301)</f>
        <v>0</v>
      </c>
      <c r="AM301" s="8">
        <f>IF(A301="","",IF(AL301="","",IF(AL301&gt;0.01,"Up",IF(AL301&lt;-0.01,"Down","Flat"))))</f>
        <v>0</v>
      </c>
      <c r="AN301" s="25"/>
    </row>
    <row r="302" spans="1:40">
      <c r="A302" s="7"/>
      <c r="B302" s="27"/>
      <c r="C302" s="27"/>
      <c r="D302" s="28"/>
      <c r="E302" s="27"/>
      <c r="F302" s="26"/>
      <c r="G302" s="8">
        <f>IF(OR(D302="",F302="",F302=0),"",D302/F302)</f>
        <v>0</v>
      </c>
      <c r="H302" s="26"/>
      <c r="I302" s="26"/>
      <c r="J302" s="26"/>
      <c r="K302" s="26"/>
      <c r="L302" s="26"/>
      <c r="M302" s="26"/>
      <c r="N302" s="27"/>
      <c r="O302" s="27"/>
      <c r="P302" s="27"/>
      <c r="Q302" s="27"/>
      <c r="R302" s="7"/>
      <c r="S302" s="8">
        <f>IF(A302="","",SUMIFS(Pantry!$C$5:$C$304,Pantry!$A$5:$A$304,A302))</f>
        <v>0</v>
      </c>
      <c r="T302" s="8">
        <f>IF(A302="","",COUNTIFS('Grocery List'!$A$5:$A$304,A302,'Grocery List'!$N$5:$N$304,"Yes"))</f>
        <v>0</v>
      </c>
      <c r="U302" s="8">
        <f>IF(A302="","",SUMIFS('Grocery List'!$M$5:$M$304,'Grocery List'!$A$5:$A$304,A302))</f>
        <v>0</v>
      </c>
      <c r="V302" s="8">
        <f>IF(A302="","",COUNTIFS('Recipe Ingredients'!$B$5:$B$1204,A302))</f>
        <v>0</v>
      </c>
      <c r="W302" s="8">
        <f>IF(A302="","",SUMIFS('Recipe Ingredients'!$C$5:$C$1204,'Recipe Ingredients'!$B$5:$B$1204,A302))</f>
        <v>0</v>
      </c>
      <c r="X302" s="8">
        <f>IF(A302="","",IF(U302&lt;=0,IF(S302&gt;0,99,0),ROUND(S302/U302,1)))</f>
        <v>0</v>
      </c>
      <c r="Y302" s="8">
        <f>IF(A302="","",U302*10+IF(O302="Yes",5,0)+IF(X302&lt;1,10,0)+IF(S302&lt;=0,3,0))</f>
        <v>0</v>
      </c>
      <c r="Z302" s="8">
        <f>IF(A302="","",COUNTIFS($Y$5:$Y$304,"&gt;"&amp;Y302)+1)</f>
        <v>0</v>
      </c>
      <c r="AA302" s="8">
        <f>IF(A302="","",IF(OR(U302&gt;0,AND(O302="Yes",X302&lt;2)),"Yes","No"))</f>
        <v>0</v>
      </c>
      <c r="AB302" s="8">
        <f>IF(OR(A302="",D302=""),"",S302*D302)</f>
        <v>0</v>
      </c>
      <c r="AC302" s="8">
        <f>IF(AB302="","",COUNTIFS($AB$5:$AB$304,"&gt;"&amp;AB302)+1)</f>
        <v>0</v>
      </c>
      <c r="AD302" s="8">
        <f>IF(A302="","",SUMIFS('Food Waste'!$E$5:$E$154,'Food Waste'!$C$5:$C$154,A302))</f>
        <v>0</v>
      </c>
      <c r="AE302" s="8">
        <f>IF(OR(A302="",AD302=0),"",COUNTIFS($AD$5:$AD$304,"&gt;"&amp;AD302)+1)</f>
        <v>0</v>
      </c>
      <c r="AF302" s="8">
        <f>IF(A302="","",IF(SUMPRODUCT(MAX(('Grocery Spending'!$E$5:$E$404=A302)*'Grocery Spending'!$A$5:$A$404))=0,"",SUMPRODUCT(MAX(('Grocery Spending'!$E$5:$E$404=A302)*'Grocery Spending'!$A$5:$A$404))))</f>
        <v>0</v>
      </c>
      <c r="AG302" s="8">
        <f>IF(OR(A302="",AF302=""),"",IFERROR(AVERAGEIFS('Grocery Spending'!$I$5:$I$404,'Grocery Spending'!$E$5:$E$404,A302,'Grocery Spending'!$A$5:$A$404,AF302),""))</f>
        <v>0</v>
      </c>
      <c r="AH302" s="8">
        <f>IF(A302="","",IFERROR(AVERAGEIFS('Grocery Spending'!$I$5:$I$404,'Grocery Spending'!$E$5:$E$404,A302),""))</f>
        <v>0</v>
      </c>
      <c r="AI302" s="8">
        <f>IF(A302="","",IF(SUMPRODUCT(MIN(('Grocery Spending'!$E$5:$E$404=A302)*'Grocery Spending'!$I$5:$I$404+('Grocery Spending'!$E$5:$E$404&lt;&gt;A302)*1000000))&gt;=1000000,"",SUMPRODUCT(MIN(('Grocery Spending'!$E$5:$E$404=A302)*'Grocery Spending'!$I$5:$I$404+('Grocery Spending'!$E$5:$E$404&lt;&gt;A302)*1000000))))</f>
        <v>0</v>
      </c>
      <c r="AJ302" s="8">
        <f>IF(A302="","",SUMPRODUCT(MAX(('Grocery Spending'!$E$5:$E$404=A302)*'Grocery Spending'!$I$5:$I$404)))</f>
        <v>0</v>
      </c>
      <c r="AK302" s="8">
        <f>IF(OR(A302="",AI302="",AJ302=0),"",AJ302-AI302)</f>
        <v>0</v>
      </c>
      <c r="AL302" s="8">
        <f>IF(OR(A302="",AG302="",AH302=""),"",AG302-AH302)</f>
        <v>0</v>
      </c>
      <c r="AM302" s="8">
        <f>IF(A302="","",IF(AL302="","",IF(AL302&gt;0.01,"Up",IF(AL302&lt;-0.01,"Down","Flat"))))</f>
        <v>0</v>
      </c>
      <c r="AN302" s="25"/>
    </row>
    <row r="303" spans="1:40">
      <c r="A303" s="7"/>
      <c r="B303" s="27"/>
      <c r="C303" s="27"/>
      <c r="D303" s="28"/>
      <c r="E303" s="27"/>
      <c r="F303" s="26"/>
      <c r="G303" s="8">
        <f>IF(OR(D303="",F303="",F303=0),"",D303/F303)</f>
        <v>0</v>
      </c>
      <c r="H303" s="26"/>
      <c r="I303" s="26"/>
      <c r="J303" s="26"/>
      <c r="K303" s="26"/>
      <c r="L303" s="26"/>
      <c r="M303" s="26"/>
      <c r="N303" s="27"/>
      <c r="O303" s="27"/>
      <c r="P303" s="27"/>
      <c r="Q303" s="27"/>
      <c r="R303" s="7"/>
      <c r="S303" s="8">
        <f>IF(A303="","",SUMIFS(Pantry!$C$5:$C$304,Pantry!$A$5:$A$304,A303))</f>
        <v>0</v>
      </c>
      <c r="T303" s="8">
        <f>IF(A303="","",COUNTIFS('Grocery List'!$A$5:$A$304,A303,'Grocery List'!$N$5:$N$304,"Yes"))</f>
        <v>0</v>
      </c>
      <c r="U303" s="8">
        <f>IF(A303="","",SUMIFS('Grocery List'!$M$5:$M$304,'Grocery List'!$A$5:$A$304,A303))</f>
        <v>0</v>
      </c>
      <c r="V303" s="8">
        <f>IF(A303="","",COUNTIFS('Recipe Ingredients'!$B$5:$B$1204,A303))</f>
        <v>0</v>
      </c>
      <c r="W303" s="8">
        <f>IF(A303="","",SUMIFS('Recipe Ingredients'!$C$5:$C$1204,'Recipe Ingredients'!$B$5:$B$1204,A303))</f>
        <v>0</v>
      </c>
      <c r="X303" s="8">
        <f>IF(A303="","",IF(U303&lt;=0,IF(S303&gt;0,99,0),ROUND(S303/U303,1)))</f>
        <v>0</v>
      </c>
      <c r="Y303" s="8">
        <f>IF(A303="","",U303*10+IF(O303="Yes",5,0)+IF(X303&lt;1,10,0)+IF(S303&lt;=0,3,0))</f>
        <v>0</v>
      </c>
      <c r="Z303" s="8">
        <f>IF(A303="","",COUNTIFS($Y$5:$Y$304,"&gt;"&amp;Y303)+1)</f>
        <v>0</v>
      </c>
      <c r="AA303" s="8">
        <f>IF(A303="","",IF(OR(U303&gt;0,AND(O303="Yes",X303&lt;2)),"Yes","No"))</f>
        <v>0</v>
      </c>
      <c r="AB303" s="8">
        <f>IF(OR(A303="",D303=""),"",S303*D303)</f>
        <v>0</v>
      </c>
      <c r="AC303" s="8">
        <f>IF(AB303="","",COUNTIFS($AB$5:$AB$304,"&gt;"&amp;AB303)+1)</f>
        <v>0</v>
      </c>
      <c r="AD303" s="8">
        <f>IF(A303="","",SUMIFS('Food Waste'!$E$5:$E$154,'Food Waste'!$C$5:$C$154,A303))</f>
        <v>0</v>
      </c>
      <c r="AE303" s="8">
        <f>IF(OR(A303="",AD303=0),"",COUNTIFS($AD$5:$AD$304,"&gt;"&amp;AD303)+1)</f>
        <v>0</v>
      </c>
      <c r="AF303" s="8">
        <f>IF(A303="","",IF(SUMPRODUCT(MAX(('Grocery Spending'!$E$5:$E$404=A303)*'Grocery Spending'!$A$5:$A$404))=0,"",SUMPRODUCT(MAX(('Grocery Spending'!$E$5:$E$404=A303)*'Grocery Spending'!$A$5:$A$404))))</f>
        <v>0</v>
      </c>
      <c r="AG303" s="8">
        <f>IF(OR(A303="",AF303=""),"",IFERROR(AVERAGEIFS('Grocery Spending'!$I$5:$I$404,'Grocery Spending'!$E$5:$E$404,A303,'Grocery Spending'!$A$5:$A$404,AF303),""))</f>
        <v>0</v>
      </c>
      <c r="AH303" s="8">
        <f>IF(A303="","",IFERROR(AVERAGEIFS('Grocery Spending'!$I$5:$I$404,'Grocery Spending'!$E$5:$E$404,A303),""))</f>
        <v>0</v>
      </c>
      <c r="AI303" s="8">
        <f>IF(A303="","",IF(SUMPRODUCT(MIN(('Grocery Spending'!$E$5:$E$404=A303)*'Grocery Spending'!$I$5:$I$404+('Grocery Spending'!$E$5:$E$404&lt;&gt;A303)*1000000))&gt;=1000000,"",SUMPRODUCT(MIN(('Grocery Spending'!$E$5:$E$404=A303)*'Grocery Spending'!$I$5:$I$404+('Grocery Spending'!$E$5:$E$404&lt;&gt;A303)*1000000))))</f>
        <v>0</v>
      </c>
      <c r="AJ303" s="8">
        <f>IF(A303="","",SUMPRODUCT(MAX(('Grocery Spending'!$E$5:$E$404=A303)*'Grocery Spending'!$I$5:$I$404)))</f>
        <v>0</v>
      </c>
      <c r="AK303" s="8">
        <f>IF(OR(A303="",AI303="",AJ303=0),"",AJ303-AI303)</f>
        <v>0</v>
      </c>
      <c r="AL303" s="8">
        <f>IF(OR(A303="",AG303="",AH303=""),"",AG303-AH303)</f>
        <v>0</v>
      </c>
      <c r="AM303" s="8">
        <f>IF(A303="","",IF(AL303="","",IF(AL303&gt;0.01,"Up",IF(AL303&lt;-0.01,"Down","Flat"))))</f>
        <v>0</v>
      </c>
      <c r="AN303" s="25"/>
    </row>
    <row r="304" spans="1:40">
      <c r="A304" s="7"/>
      <c r="B304" s="27"/>
      <c r="C304" s="27"/>
      <c r="D304" s="28"/>
      <c r="E304" s="27"/>
      <c r="F304" s="26"/>
      <c r="G304" s="8">
        <f>IF(OR(D304="",F304="",F304=0),"",D304/F304)</f>
        <v>0</v>
      </c>
      <c r="H304" s="26"/>
      <c r="I304" s="26"/>
      <c r="J304" s="26"/>
      <c r="K304" s="26"/>
      <c r="L304" s="26"/>
      <c r="M304" s="26"/>
      <c r="N304" s="27"/>
      <c r="O304" s="27"/>
      <c r="P304" s="27"/>
      <c r="Q304" s="27"/>
      <c r="R304" s="7"/>
      <c r="S304" s="8">
        <f>IF(A304="","",SUMIFS(Pantry!$C$5:$C$304,Pantry!$A$5:$A$304,A304))</f>
        <v>0</v>
      </c>
      <c r="T304" s="8">
        <f>IF(A304="","",COUNTIFS('Grocery List'!$A$5:$A$304,A304,'Grocery List'!$N$5:$N$304,"Yes"))</f>
        <v>0</v>
      </c>
      <c r="U304" s="8">
        <f>IF(A304="","",SUMIFS('Grocery List'!$M$5:$M$304,'Grocery List'!$A$5:$A$304,A304))</f>
        <v>0</v>
      </c>
      <c r="V304" s="8">
        <f>IF(A304="","",COUNTIFS('Recipe Ingredients'!$B$5:$B$1204,A304))</f>
        <v>0</v>
      </c>
      <c r="W304" s="8">
        <f>IF(A304="","",SUMIFS('Recipe Ingredients'!$C$5:$C$1204,'Recipe Ingredients'!$B$5:$B$1204,A304))</f>
        <v>0</v>
      </c>
      <c r="X304" s="8">
        <f>IF(A304="","",IF(U304&lt;=0,IF(S304&gt;0,99,0),ROUND(S304/U304,1)))</f>
        <v>0</v>
      </c>
      <c r="Y304" s="8">
        <f>IF(A304="","",U304*10+IF(O304="Yes",5,0)+IF(X304&lt;1,10,0)+IF(S304&lt;=0,3,0))</f>
        <v>0</v>
      </c>
      <c r="Z304" s="8">
        <f>IF(A304="","",COUNTIFS($Y$5:$Y$304,"&gt;"&amp;Y304)+1)</f>
        <v>0</v>
      </c>
      <c r="AA304" s="8">
        <f>IF(A304="","",IF(OR(U304&gt;0,AND(O304="Yes",X304&lt;2)),"Yes","No"))</f>
        <v>0</v>
      </c>
      <c r="AB304" s="8">
        <f>IF(OR(A304="",D304=""),"",S304*D304)</f>
        <v>0</v>
      </c>
      <c r="AC304" s="8">
        <f>IF(AB304="","",COUNTIFS($AB$5:$AB$304,"&gt;"&amp;AB304)+1)</f>
        <v>0</v>
      </c>
      <c r="AD304" s="8">
        <f>IF(A304="","",SUMIFS('Food Waste'!$E$5:$E$154,'Food Waste'!$C$5:$C$154,A304))</f>
        <v>0</v>
      </c>
      <c r="AE304" s="8">
        <f>IF(OR(A304="",AD304=0),"",COUNTIFS($AD$5:$AD$304,"&gt;"&amp;AD304)+1)</f>
        <v>0</v>
      </c>
      <c r="AF304" s="8">
        <f>IF(A304="","",IF(SUMPRODUCT(MAX(('Grocery Spending'!$E$5:$E$404=A304)*'Grocery Spending'!$A$5:$A$404))=0,"",SUMPRODUCT(MAX(('Grocery Spending'!$E$5:$E$404=A304)*'Grocery Spending'!$A$5:$A$404))))</f>
        <v>0</v>
      </c>
      <c r="AG304" s="8">
        <f>IF(OR(A304="",AF304=""),"",IFERROR(AVERAGEIFS('Grocery Spending'!$I$5:$I$404,'Grocery Spending'!$E$5:$E$404,A304,'Grocery Spending'!$A$5:$A$404,AF304),""))</f>
        <v>0</v>
      </c>
      <c r="AH304" s="8">
        <f>IF(A304="","",IFERROR(AVERAGEIFS('Grocery Spending'!$I$5:$I$404,'Grocery Spending'!$E$5:$E$404,A304),""))</f>
        <v>0</v>
      </c>
      <c r="AI304" s="8">
        <f>IF(A304="","",IF(SUMPRODUCT(MIN(('Grocery Spending'!$E$5:$E$404=A304)*'Grocery Spending'!$I$5:$I$404+('Grocery Spending'!$E$5:$E$404&lt;&gt;A304)*1000000))&gt;=1000000,"",SUMPRODUCT(MIN(('Grocery Spending'!$E$5:$E$404=A304)*'Grocery Spending'!$I$5:$I$404+('Grocery Spending'!$E$5:$E$404&lt;&gt;A304)*1000000))))</f>
        <v>0</v>
      </c>
      <c r="AJ304" s="8">
        <f>IF(A304="","",SUMPRODUCT(MAX(('Grocery Spending'!$E$5:$E$404=A304)*'Grocery Spending'!$I$5:$I$404)))</f>
        <v>0</v>
      </c>
      <c r="AK304" s="8">
        <f>IF(OR(A304="",AI304="",AJ304=0),"",AJ304-AI304)</f>
        <v>0</v>
      </c>
      <c r="AL304" s="8">
        <f>IF(OR(A304="",AG304="",AH304=""),"",AG304-AH304)</f>
        <v>0</v>
      </c>
      <c r="AM304" s="8">
        <f>IF(A304="","",IF(AL304="","",IF(AL304&gt;0.01,"Up",IF(AL304&lt;-0.01,"Down","Flat"))))</f>
        <v>0</v>
      </c>
      <c r="AN304" s="25"/>
    </row>
  </sheetData>
  <sheetProtection password="EC7C" sheet="1" objects="1" scenarios="1" selectLockedCells="1" selectUnlockedCells="1"/>
  <autoFilter ref="A4:AN304"/>
  <conditionalFormatting sqref="A101:AN101">
    <cfRule type="expression" dxfId="0" priority="49">
      <formula>MOD(ROW(),2)=0</formula>
    </cfRule>
  </conditionalFormatting>
  <conditionalFormatting sqref="A103:AN103">
    <cfRule type="expression" dxfId="0" priority="50">
      <formula>MOD(ROW(),2)=0</formula>
    </cfRule>
  </conditionalFormatting>
  <conditionalFormatting sqref="A105:AN105">
    <cfRule type="expression" dxfId="0" priority="51">
      <formula>MOD(ROW(),2)=0</formula>
    </cfRule>
  </conditionalFormatting>
  <conditionalFormatting sqref="A107:AN107">
    <cfRule type="expression" dxfId="0" priority="52">
      <formula>MOD(ROW(),2)=0</formula>
    </cfRule>
  </conditionalFormatting>
  <conditionalFormatting sqref="A109:AN109">
    <cfRule type="expression" dxfId="0" priority="53">
      <formula>MOD(ROW(),2)=0</formula>
    </cfRule>
  </conditionalFormatting>
  <conditionalFormatting sqref="A111:AN111">
    <cfRule type="expression" dxfId="0" priority="54">
      <formula>MOD(ROW(),2)=0</formula>
    </cfRule>
  </conditionalFormatting>
  <conditionalFormatting sqref="A113:AN113">
    <cfRule type="expression" dxfId="0" priority="55">
      <formula>MOD(ROW(),2)=0</formula>
    </cfRule>
  </conditionalFormatting>
  <conditionalFormatting sqref="A115:AN115">
    <cfRule type="expression" dxfId="0" priority="56">
      <formula>MOD(ROW(),2)=0</formula>
    </cfRule>
  </conditionalFormatting>
  <conditionalFormatting sqref="A117:AN117">
    <cfRule type="expression" dxfId="0" priority="57">
      <formula>MOD(ROW(),2)=0</formula>
    </cfRule>
  </conditionalFormatting>
  <conditionalFormatting sqref="A119:AN119">
    <cfRule type="expression" dxfId="0" priority="58">
      <formula>MOD(ROW(),2)=0</formula>
    </cfRule>
  </conditionalFormatting>
  <conditionalFormatting sqref="A11:AN11">
    <cfRule type="expression" dxfId="0" priority="4">
      <formula>MOD(ROW(),2)=0</formula>
    </cfRule>
  </conditionalFormatting>
  <conditionalFormatting sqref="A121:AN121">
    <cfRule type="expression" dxfId="0" priority="59">
      <formula>MOD(ROW(),2)=0</formula>
    </cfRule>
  </conditionalFormatting>
  <conditionalFormatting sqref="A123:AN123">
    <cfRule type="expression" dxfId="0" priority="60">
      <formula>MOD(ROW(),2)=0</formula>
    </cfRule>
  </conditionalFormatting>
  <conditionalFormatting sqref="A125:AN125">
    <cfRule type="expression" dxfId="0" priority="61">
      <formula>MOD(ROW(),2)=0</formula>
    </cfRule>
  </conditionalFormatting>
  <conditionalFormatting sqref="A127:AN127">
    <cfRule type="expression" dxfId="0" priority="62">
      <formula>MOD(ROW(),2)=0</formula>
    </cfRule>
  </conditionalFormatting>
  <conditionalFormatting sqref="A129:AN129">
    <cfRule type="expression" dxfId="0" priority="63">
      <formula>MOD(ROW(),2)=0</formula>
    </cfRule>
  </conditionalFormatting>
  <conditionalFormatting sqref="A131:AN131">
    <cfRule type="expression" dxfId="0" priority="64">
      <formula>MOD(ROW(),2)=0</formula>
    </cfRule>
  </conditionalFormatting>
  <conditionalFormatting sqref="A133:AN133">
    <cfRule type="expression" dxfId="0" priority="65">
      <formula>MOD(ROW(),2)=0</formula>
    </cfRule>
  </conditionalFormatting>
  <conditionalFormatting sqref="A135:AN135">
    <cfRule type="expression" dxfId="0" priority="66">
      <formula>MOD(ROW(),2)=0</formula>
    </cfRule>
  </conditionalFormatting>
  <conditionalFormatting sqref="A137:AN137">
    <cfRule type="expression" dxfId="0" priority="67">
      <formula>MOD(ROW(),2)=0</formula>
    </cfRule>
  </conditionalFormatting>
  <conditionalFormatting sqref="A139:AN139">
    <cfRule type="expression" dxfId="0" priority="68">
      <formula>MOD(ROW(),2)=0</formula>
    </cfRule>
  </conditionalFormatting>
  <conditionalFormatting sqref="A13:AN13">
    <cfRule type="expression" dxfId="0" priority="5">
      <formula>MOD(ROW(),2)=0</formula>
    </cfRule>
  </conditionalFormatting>
  <conditionalFormatting sqref="A141:AN141">
    <cfRule type="expression" dxfId="0" priority="69">
      <formula>MOD(ROW(),2)=0</formula>
    </cfRule>
  </conditionalFormatting>
  <conditionalFormatting sqref="A143:AN143">
    <cfRule type="expression" dxfId="0" priority="70">
      <formula>MOD(ROW(),2)=0</formula>
    </cfRule>
  </conditionalFormatting>
  <conditionalFormatting sqref="A145:AN145">
    <cfRule type="expression" dxfId="0" priority="71">
      <formula>MOD(ROW(),2)=0</formula>
    </cfRule>
  </conditionalFormatting>
  <conditionalFormatting sqref="A147:AN147">
    <cfRule type="expression" dxfId="0" priority="72">
      <formula>MOD(ROW(),2)=0</formula>
    </cfRule>
  </conditionalFormatting>
  <conditionalFormatting sqref="A149:AN149">
    <cfRule type="expression" dxfId="0" priority="73">
      <formula>MOD(ROW(),2)=0</formula>
    </cfRule>
  </conditionalFormatting>
  <conditionalFormatting sqref="A151:AN151">
    <cfRule type="expression" dxfId="0" priority="74">
      <formula>MOD(ROW(),2)=0</formula>
    </cfRule>
  </conditionalFormatting>
  <conditionalFormatting sqref="A153:AN153">
    <cfRule type="expression" dxfId="0" priority="75">
      <formula>MOD(ROW(),2)=0</formula>
    </cfRule>
  </conditionalFormatting>
  <conditionalFormatting sqref="A155:AN155">
    <cfRule type="expression" dxfId="0" priority="76">
      <formula>MOD(ROW(),2)=0</formula>
    </cfRule>
  </conditionalFormatting>
  <conditionalFormatting sqref="A157:AN157">
    <cfRule type="expression" dxfId="0" priority="77">
      <formula>MOD(ROW(),2)=0</formula>
    </cfRule>
  </conditionalFormatting>
  <conditionalFormatting sqref="A159:AN159">
    <cfRule type="expression" dxfId="0" priority="78">
      <formula>MOD(ROW(),2)=0</formula>
    </cfRule>
  </conditionalFormatting>
  <conditionalFormatting sqref="A15:AN15">
    <cfRule type="expression" dxfId="0" priority="6">
      <formula>MOD(ROW(),2)=0</formula>
    </cfRule>
  </conditionalFormatting>
  <conditionalFormatting sqref="A161:AN161">
    <cfRule type="expression" dxfId="0" priority="79">
      <formula>MOD(ROW(),2)=0</formula>
    </cfRule>
  </conditionalFormatting>
  <conditionalFormatting sqref="A163:AN163">
    <cfRule type="expression" dxfId="0" priority="80">
      <formula>MOD(ROW(),2)=0</formula>
    </cfRule>
  </conditionalFormatting>
  <conditionalFormatting sqref="A165:AN165">
    <cfRule type="expression" dxfId="0" priority="81">
      <formula>MOD(ROW(),2)=0</formula>
    </cfRule>
  </conditionalFormatting>
  <conditionalFormatting sqref="A167:AN167">
    <cfRule type="expression" dxfId="0" priority="82">
      <formula>MOD(ROW(),2)=0</formula>
    </cfRule>
  </conditionalFormatting>
  <conditionalFormatting sqref="A169:AN169">
    <cfRule type="expression" dxfId="0" priority="83">
      <formula>MOD(ROW(),2)=0</formula>
    </cfRule>
  </conditionalFormatting>
  <conditionalFormatting sqref="A171:AN171">
    <cfRule type="expression" dxfId="0" priority="84">
      <formula>MOD(ROW(),2)=0</formula>
    </cfRule>
  </conditionalFormatting>
  <conditionalFormatting sqref="A173:AN173">
    <cfRule type="expression" dxfId="0" priority="85">
      <formula>MOD(ROW(),2)=0</formula>
    </cfRule>
  </conditionalFormatting>
  <conditionalFormatting sqref="A175:AN175">
    <cfRule type="expression" dxfId="0" priority="86">
      <formula>MOD(ROW(),2)=0</formula>
    </cfRule>
  </conditionalFormatting>
  <conditionalFormatting sqref="A177:AN177">
    <cfRule type="expression" dxfId="0" priority="87">
      <formula>MOD(ROW(),2)=0</formula>
    </cfRule>
  </conditionalFormatting>
  <conditionalFormatting sqref="A179:AN179">
    <cfRule type="expression" dxfId="0" priority="88">
      <formula>MOD(ROW(),2)=0</formula>
    </cfRule>
  </conditionalFormatting>
  <conditionalFormatting sqref="A17:AN17">
    <cfRule type="expression" dxfId="0" priority="7">
      <formula>MOD(ROW(),2)=0</formula>
    </cfRule>
  </conditionalFormatting>
  <conditionalFormatting sqref="A181:AN181">
    <cfRule type="expression" dxfId="0" priority="89">
      <formula>MOD(ROW(),2)=0</formula>
    </cfRule>
  </conditionalFormatting>
  <conditionalFormatting sqref="A183:AN183">
    <cfRule type="expression" dxfId="0" priority="90">
      <formula>MOD(ROW(),2)=0</formula>
    </cfRule>
  </conditionalFormatting>
  <conditionalFormatting sqref="A185:AN185">
    <cfRule type="expression" dxfId="0" priority="91">
      <formula>MOD(ROW(),2)=0</formula>
    </cfRule>
  </conditionalFormatting>
  <conditionalFormatting sqref="A187:AN187">
    <cfRule type="expression" dxfId="0" priority="92">
      <formula>MOD(ROW(),2)=0</formula>
    </cfRule>
  </conditionalFormatting>
  <conditionalFormatting sqref="A189:AN189">
    <cfRule type="expression" dxfId="0" priority="93">
      <formula>MOD(ROW(),2)=0</formula>
    </cfRule>
  </conditionalFormatting>
  <conditionalFormatting sqref="A191:AN191">
    <cfRule type="expression" dxfId="0" priority="94">
      <formula>MOD(ROW(),2)=0</formula>
    </cfRule>
  </conditionalFormatting>
  <conditionalFormatting sqref="A193:AN193">
    <cfRule type="expression" dxfId="0" priority="95">
      <formula>MOD(ROW(),2)=0</formula>
    </cfRule>
  </conditionalFormatting>
  <conditionalFormatting sqref="A195:AN195">
    <cfRule type="expression" dxfId="0" priority="96">
      <formula>MOD(ROW(),2)=0</formula>
    </cfRule>
  </conditionalFormatting>
  <conditionalFormatting sqref="A197:AN197">
    <cfRule type="expression" dxfId="0" priority="97">
      <formula>MOD(ROW(),2)=0</formula>
    </cfRule>
  </conditionalFormatting>
  <conditionalFormatting sqref="A199:AN199">
    <cfRule type="expression" dxfId="0" priority="98">
      <formula>MOD(ROW(),2)=0</formula>
    </cfRule>
  </conditionalFormatting>
  <conditionalFormatting sqref="A19:AN19">
    <cfRule type="expression" dxfId="0" priority="8">
      <formula>MOD(ROW(),2)=0</formula>
    </cfRule>
  </conditionalFormatting>
  <conditionalFormatting sqref="A201:AN201">
    <cfRule type="expression" dxfId="0" priority="99">
      <formula>MOD(ROW(),2)=0</formula>
    </cfRule>
  </conditionalFormatting>
  <conditionalFormatting sqref="A203:AN203">
    <cfRule type="expression" dxfId="0" priority="100">
      <formula>MOD(ROW(),2)=0</formula>
    </cfRule>
  </conditionalFormatting>
  <conditionalFormatting sqref="A205:AN205">
    <cfRule type="expression" dxfId="0" priority="101">
      <formula>MOD(ROW(),2)=0</formula>
    </cfRule>
  </conditionalFormatting>
  <conditionalFormatting sqref="A207:AN207">
    <cfRule type="expression" dxfId="0" priority="102">
      <formula>MOD(ROW(),2)=0</formula>
    </cfRule>
  </conditionalFormatting>
  <conditionalFormatting sqref="A209:AN209">
    <cfRule type="expression" dxfId="0" priority="103">
      <formula>MOD(ROW(),2)=0</formula>
    </cfRule>
  </conditionalFormatting>
  <conditionalFormatting sqref="A211:AN211">
    <cfRule type="expression" dxfId="0" priority="104">
      <formula>MOD(ROW(),2)=0</formula>
    </cfRule>
  </conditionalFormatting>
  <conditionalFormatting sqref="A213:AN213">
    <cfRule type="expression" dxfId="0" priority="105">
      <formula>MOD(ROW(),2)=0</formula>
    </cfRule>
  </conditionalFormatting>
  <conditionalFormatting sqref="A215:AN215">
    <cfRule type="expression" dxfId="0" priority="106">
      <formula>MOD(ROW(),2)=0</formula>
    </cfRule>
  </conditionalFormatting>
  <conditionalFormatting sqref="A217:AN217">
    <cfRule type="expression" dxfId="0" priority="107">
      <formula>MOD(ROW(),2)=0</formula>
    </cfRule>
  </conditionalFormatting>
  <conditionalFormatting sqref="A219:AN219">
    <cfRule type="expression" dxfId="0" priority="108">
      <formula>MOD(ROW(),2)=0</formula>
    </cfRule>
  </conditionalFormatting>
  <conditionalFormatting sqref="A21:AN21">
    <cfRule type="expression" dxfId="0" priority="9">
      <formula>MOD(ROW(),2)=0</formula>
    </cfRule>
  </conditionalFormatting>
  <conditionalFormatting sqref="A221:AN221">
    <cfRule type="expression" dxfId="0" priority="109">
      <formula>MOD(ROW(),2)=0</formula>
    </cfRule>
  </conditionalFormatting>
  <conditionalFormatting sqref="A223:AN223">
    <cfRule type="expression" dxfId="0" priority="110">
      <formula>MOD(ROW(),2)=0</formula>
    </cfRule>
  </conditionalFormatting>
  <conditionalFormatting sqref="A225:AN225">
    <cfRule type="expression" dxfId="0" priority="111">
      <formula>MOD(ROW(),2)=0</formula>
    </cfRule>
  </conditionalFormatting>
  <conditionalFormatting sqref="A227:AN227">
    <cfRule type="expression" dxfId="0" priority="112">
      <formula>MOD(ROW(),2)=0</formula>
    </cfRule>
  </conditionalFormatting>
  <conditionalFormatting sqref="A229:AN229">
    <cfRule type="expression" dxfId="0" priority="113">
      <formula>MOD(ROW(),2)=0</formula>
    </cfRule>
  </conditionalFormatting>
  <conditionalFormatting sqref="A231:AN231">
    <cfRule type="expression" dxfId="0" priority="114">
      <formula>MOD(ROW(),2)=0</formula>
    </cfRule>
  </conditionalFormatting>
  <conditionalFormatting sqref="A233:AN233">
    <cfRule type="expression" dxfId="0" priority="115">
      <formula>MOD(ROW(),2)=0</formula>
    </cfRule>
  </conditionalFormatting>
  <conditionalFormatting sqref="A235:AN235">
    <cfRule type="expression" dxfId="0" priority="116">
      <formula>MOD(ROW(),2)=0</formula>
    </cfRule>
  </conditionalFormatting>
  <conditionalFormatting sqref="A237:AN237">
    <cfRule type="expression" dxfId="0" priority="117">
      <formula>MOD(ROW(),2)=0</formula>
    </cfRule>
  </conditionalFormatting>
  <conditionalFormatting sqref="A239:AN239">
    <cfRule type="expression" dxfId="0" priority="118">
      <formula>MOD(ROW(),2)=0</formula>
    </cfRule>
  </conditionalFormatting>
  <conditionalFormatting sqref="A23:AN23">
    <cfRule type="expression" dxfId="0" priority="10">
      <formula>MOD(ROW(),2)=0</formula>
    </cfRule>
  </conditionalFormatting>
  <conditionalFormatting sqref="A241:AN241">
    <cfRule type="expression" dxfId="0" priority="119">
      <formula>MOD(ROW(),2)=0</formula>
    </cfRule>
  </conditionalFormatting>
  <conditionalFormatting sqref="A243:AN243">
    <cfRule type="expression" dxfId="0" priority="120">
      <formula>MOD(ROW(),2)=0</formula>
    </cfRule>
  </conditionalFormatting>
  <conditionalFormatting sqref="A245:AN245">
    <cfRule type="expression" dxfId="0" priority="121">
      <formula>MOD(ROW(),2)=0</formula>
    </cfRule>
  </conditionalFormatting>
  <conditionalFormatting sqref="A247:AN247">
    <cfRule type="expression" dxfId="0" priority="122">
      <formula>MOD(ROW(),2)=0</formula>
    </cfRule>
  </conditionalFormatting>
  <conditionalFormatting sqref="A249:AN249">
    <cfRule type="expression" dxfId="0" priority="123">
      <formula>MOD(ROW(),2)=0</formula>
    </cfRule>
  </conditionalFormatting>
  <conditionalFormatting sqref="A251:AN251">
    <cfRule type="expression" dxfId="0" priority="124">
      <formula>MOD(ROW(),2)=0</formula>
    </cfRule>
  </conditionalFormatting>
  <conditionalFormatting sqref="A253:AN253">
    <cfRule type="expression" dxfId="0" priority="125">
      <formula>MOD(ROW(),2)=0</formula>
    </cfRule>
  </conditionalFormatting>
  <conditionalFormatting sqref="A255:AN255">
    <cfRule type="expression" dxfId="0" priority="126">
      <formula>MOD(ROW(),2)=0</formula>
    </cfRule>
  </conditionalFormatting>
  <conditionalFormatting sqref="A257:AN257">
    <cfRule type="expression" dxfId="0" priority="127">
      <formula>MOD(ROW(),2)=0</formula>
    </cfRule>
  </conditionalFormatting>
  <conditionalFormatting sqref="A259:AN259">
    <cfRule type="expression" dxfId="0" priority="128">
      <formula>MOD(ROW(),2)=0</formula>
    </cfRule>
  </conditionalFormatting>
  <conditionalFormatting sqref="A25:AN25">
    <cfRule type="expression" dxfId="0" priority="11">
      <formula>MOD(ROW(),2)=0</formula>
    </cfRule>
  </conditionalFormatting>
  <conditionalFormatting sqref="A261:AN261">
    <cfRule type="expression" dxfId="0" priority="129">
      <formula>MOD(ROW(),2)=0</formula>
    </cfRule>
  </conditionalFormatting>
  <conditionalFormatting sqref="A263:AN263">
    <cfRule type="expression" dxfId="0" priority="130">
      <formula>MOD(ROW(),2)=0</formula>
    </cfRule>
  </conditionalFormatting>
  <conditionalFormatting sqref="A265:AN265">
    <cfRule type="expression" dxfId="0" priority="131">
      <formula>MOD(ROW(),2)=0</formula>
    </cfRule>
  </conditionalFormatting>
  <conditionalFormatting sqref="A267:AN267">
    <cfRule type="expression" dxfId="0" priority="132">
      <formula>MOD(ROW(),2)=0</formula>
    </cfRule>
  </conditionalFormatting>
  <conditionalFormatting sqref="A269:AN269">
    <cfRule type="expression" dxfId="0" priority="133">
      <formula>MOD(ROW(),2)=0</formula>
    </cfRule>
  </conditionalFormatting>
  <conditionalFormatting sqref="A271:AN271">
    <cfRule type="expression" dxfId="0" priority="134">
      <formula>MOD(ROW(),2)=0</formula>
    </cfRule>
  </conditionalFormatting>
  <conditionalFormatting sqref="A273:AN273">
    <cfRule type="expression" dxfId="0" priority="135">
      <formula>MOD(ROW(),2)=0</formula>
    </cfRule>
  </conditionalFormatting>
  <conditionalFormatting sqref="A275:AN275">
    <cfRule type="expression" dxfId="0" priority="136">
      <formula>MOD(ROW(),2)=0</formula>
    </cfRule>
  </conditionalFormatting>
  <conditionalFormatting sqref="A277:AN277">
    <cfRule type="expression" dxfId="0" priority="137">
      <formula>MOD(ROW(),2)=0</formula>
    </cfRule>
  </conditionalFormatting>
  <conditionalFormatting sqref="A279:AN279">
    <cfRule type="expression" dxfId="0" priority="138">
      <formula>MOD(ROW(),2)=0</formula>
    </cfRule>
  </conditionalFormatting>
  <conditionalFormatting sqref="A27:AN27">
    <cfRule type="expression" dxfId="0" priority="12">
      <formula>MOD(ROW(),2)=0</formula>
    </cfRule>
  </conditionalFormatting>
  <conditionalFormatting sqref="A281:AN281">
    <cfRule type="expression" dxfId="0" priority="139">
      <formula>MOD(ROW(),2)=0</formula>
    </cfRule>
  </conditionalFormatting>
  <conditionalFormatting sqref="A283:AN283">
    <cfRule type="expression" dxfId="0" priority="140">
      <formula>MOD(ROW(),2)=0</formula>
    </cfRule>
  </conditionalFormatting>
  <conditionalFormatting sqref="A285:AN285">
    <cfRule type="expression" dxfId="0" priority="141">
      <formula>MOD(ROW(),2)=0</formula>
    </cfRule>
  </conditionalFormatting>
  <conditionalFormatting sqref="A287:AN287">
    <cfRule type="expression" dxfId="0" priority="142">
      <formula>MOD(ROW(),2)=0</formula>
    </cfRule>
  </conditionalFormatting>
  <conditionalFormatting sqref="A289:AN289">
    <cfRule type="expression" dxfId="0" priority="143">
      <formula>MOD(ROW(),2)=0</formula>
    </cfRule>
  </conditionalFormatting>
  <conditionalFormatting sqref="A291:AN291">
    <cfRule type="expression" dxfId="0" priority="144">
      <formula>MOD(ROW(),2)=0</formula>
    </cfRule>
  </conditionalFormatting>
  <conditionalFormatting sqref="A293:AN293">
    <cfRule type="expression" dxfId="0" priority="145">
      <formula>MOD(ROW(),2)=0</formula>
    </cfRule>
  </conditionalFormatting>
  <conditionalFormatting sqref="A295:AN295">
    <cfRule type="expression" dxfId="0" priority="146">
      <formula>MOD(ROW(),2)=0</formula>
    </cfRule>
  </conditionalFormatting>
  <conditionalFormatting sqref="A297:AN297">
    <cfRule type="expression" dxfId="0" priority="147">
      <formula>MOD(ROW(),2)=0</formula>
    </cfRule>
  </conditionalFormatting>
  <conditionalFormatting sqref="A299:AN299">
    <cfRule type="expression" dxfId="0" priority="148">
      <formula>MOD(ROW(),2)=0</formula>
    </cfRule>
  </conditionalFormatting>
  <conditionalFormatting sqref="A29:AN29">
    <cfRule type="expression" dxfId="0" priority="13">
      <formula>MOD(ROW(),2)=0</formula>
    </cfRule>
  </conditionalFormatting>
  <conditionalFormatting sqref="A301:AN301">
    <cfRule type="expression" dxfId="0" priority="149">
      <formula>MOD(ROW(),2)=0</formula>
    </cfRule>
  </conditionalFormatting>
  <conditionalFormatting sqref="A303:AN303">
    <cfRule type="expression" dxfId="0" priority="150">
      <formula>MOD(ROW(),2)=0</formula>
    </cfRule>
  </conditionalFormatting>
  <conditionalFormatting sqref="A31:AN31">
    <cfRule type="expression" dxfId="0" priority="14">
      <formula>MOD(ROW(),2)=0</formula>
    </cfRule>
  </conditionalFormatting>
  <conditionalFormatting sqref="A33:AN33">
    <cfRule type="expression" dxfId="0" priority="15">
      <formula>MOD(ROW(),2)=0</formula>
    </cfRule>
  </conditionalFormatting>
  <conditionalFormatting sqref="A35:AN35">
    <cfRule type="expression" dxfId="0" priority="16">
      <formula>MOD(ROW(),2)=0</formula>
    </cfRule>
  </conditionalFormatting>
  <conditionalFormatting sqref="A37:AN37">
    <cfRule type="expression" dxfId="0" priority="17">
      <formula>MOD(ROW(),2)=0</formula>
    </cfRule>
  </conditionalFormatting>
  <conditionalFormatting sqref="A39:AN39">
    <cfRule type="expression" dxfId="0" priority="18">
      <formula>MOD(ROW(),2)=0</formula>
    </cfRule>
  </conditionalFormatting>
  <conditionalFormatting sqref="A41:AN41">
    <cfRule type="expression" dxfId="0" priority="19">
      <formula>MOD(ROW(),2)=0</formula>
    </cfRule>
  </conditionalFormatting>
  <conditionalFormatting sqref="A43:AN43">
    <cfRule type="expression" dxfId="0" priority="20">
      <formula>MOD(ROW(),2)=0</formula>
    </cfRule>
  </conditionalFormatting>
  <conditionalFormatting sqref="A45:AN45">
    <cfRule type="expression" dxfId="0" priority="21">
      <formula>MOD(ROW(),2)=0</formula>
    </cfRule>
  </conditionalFormatting>
  <conditionalFormatting sqref="A47:AN47">
    <cfRule type="expression" dxfId="0" priority="22">
      <formula>MOD(ROW(),2)=0</formula>
    </cfRule>
  </conditionalFormatting>
  <conditionalFormatting sqref="A49:AN49">
    <cfRule type="expression" dxfId="0" priority="23">
      <formula>MOD(ROW(),2)=0</formula>
    </cfRule>
  </conditionalFormatting>
  <conditionalFormatting sqref="A51:AN51">
    <cfRule type="expression" dxfId="0" priority="24">
      <formula>MOD(ROW(),2)=0</formula>
    </cfRule>
  </conditionalFormatting>
  <conditionalFormatting sqref="A53:AN53">
    <cfRule type="expression" dxfId="0" priority="25">
      <formula>MOD(ROW(),2)=0</formula>
    </cfRule>
  </conditionalFormatting>
  <conditionalFormatting sqref="A55:AN55">
    <cfRule type="expression" dxfId="0" priority="26">
      <formula>MOD(ROW(),2)=0</formula>
    </cfRule>
  </conditionalFormatting>
  <conditionalFormatting sqref="A57:AN57">
    <cfRule type="expression" dxfId="0" priority="27">
      <formula>MOD(ROW(),2)=0</formula>
    </cfRule>
  </conditionalFormatting>
  <conditionalFormatting sqref="A59:AN59">
    <cfRule type="expression" dxfId="0" priority="28">
      <formula>MOD(ROW(),2)=0</formula>
    </cfRule>
  </conditionalFormatting>
  <conditionalFormatting sqref="A5:AN5">
    <cfRule type="expression" dxfId="0" priority="1">
      <formula>MOD(ROW(),2)=0</formula>
    </cfRule>
  </conditionalFormatting>
  <conditionalFormatting sqref="A61:AN61">
    <cfRule type="expression" dxfId="0" priority="29">
      <formula>MOD(ROW(),2)=0</formula>
    </cfRule>
  </conditionalFormatting>
  <conditionalFormatting sqref="A63:AN63">
    <cfRule type="expression" dxfId="0" priority="30">
      <formula>MOD(ROW(),2)=0</formula>
    </cfRule>
  </conditionalFormatting>
  <conditionalFormatting sqref="A65:AN65">
    <cfRule type="expression" dxfId="0" priority="31">
      <formula>MOD(ROW(),2)=0</formula>
    </cfRule>
  </conditionalFormatting>
  <conditionalFormatting sqref="A67:AN67">
    <cfRule type="expression" dxfId="0" priority="32">
      <formula>MOD(ROW(),2)=0</formula>
    </cfRule>
  </conditionalFormatting>
  <conditionalFormatting sqref="A69:AN69">
    <cfRule type="expression" dxfId="0" priority="33">
      <formula>MOD(ROW(),2)=0</formula>
    </cfRule>
  </conditionalFormatting>
  <conditionalFormatting sqref="A71:AN71">
    <cfRule type="expression" dxfId="0" priority="34">
      <formula>MOD(ROW(),2)=0</formula>
    </cfRule>
  </conditionalFormatting>
  <conditionalFormatting sqref="A73:AN73">
    <cfRule type="expression" dxfId="0" priority="35">
      <formula>MOD(ROW(),2)=0</formula>
    </cfRule>
  </conditionalFormatting>
  <conditionalFormatting sqref="A75:AN75">
    <cfRule type="expression" dxfId="0" priority="36">
      <formula>MOD(ROW(),2)=0</formula>
    </cfRule>
  </conditionalFormatting>
  <conditionalFormatting sqref="A77:AN77">
    <cfRule type="expression" dxfId="0" priority="37">
      <formula>MOD(ROW(),2)=0</formula>
    </cfRule>
  </conditionalFormatting>
  <conditionalFormatting sqref="A79:AN79">
    <cfRule type="expression" dxfId="0" priority="38">
      <formula>MOD(ROW(),2)=0</formula>
    </cfRule>
  </conditionalFormatting>
  <conditionalFormatting sqref="A7:AN7">
    <cfRule type="expression" dxfId="0" priority="2">
      <formula>MOD(ROW(),2)=0</formula>
    </cfRule>
  </conditionalFormatting>
  <conditionalFormatting sqref="A81:AN81">
    <cfRule type="expression" dxfId="0" priority="39">
      <formula>MOD(ROW(),2)=0</formula>
    </cfRule>
  </conditionalFormatting>
  <conditionalFormatting sqref="A83:AN83">
    <cfRule type="expression" dxfId="0" priority="40">
      <formula>MOD(ROW(),2)=0</formula>
    </cfRule>
  </conditionalFormatting>
  <conditionalFormatting sqref="A85:AN85">
    <cfRule type="expression" dxfId="0" priority="41">
      <formula>MOD(ROW(),2)=0</formula>
    </cfRule>
  </conditionalFormatting>
  <conditionalFormatting sqref="A87:AN87">
    <cfRule type="expression" dxfId="0" priority="42">
      <formula>MOD(ROW(),2)=0</formula>
    </cfRule>
  </conditionalFormatting>
  <conditionalFormatting sqref="A89:AN89">
    <cfRule type="expression" dxfId="0" priority="43">
      <formula>MOD(ROW(),2)=0</formula>
    </cfRule>
  </conditionalFormatting>
  <conditionalFormatting sqref="A91:AN91">
    <cfRule type="expression" dxfId="0" priority="44">
      <formula>MOD(ROW(),2)=0</formula>
    </cfRule>
  </conditionalFormatting>
  <conditionalFormatting sqref="A93:AN93">
    <cfRule type="expression" dxfId="0" priority="45">
      <formula>MOD(ROW(),2)=0</formula>
    </cfRule>
  </conditionalFormatting>
  <conditionalFormatting sqref="A95:AN95">
    <cfRule type="expression" dxfId="0" priority="46">
      <formula>MOD(ROW(),2)=0</formula>
    </cfRule>
  </conditionalFormatting>
  <conditionalFormatting sqref="A97:AN97">
    <cfRule type="expression" dxfId="0" priority="47">
      <formula>MOD(ROW(),2)=0</formula>
    </cfRule>
  </conditionalFormatting>
  <conditionalFormatting sqref="A99:AN99">
    <cfRule type="expression" dxfId="0" priority="48">
      <formula>MOD(ROW(),2)=0</formula>
    </cfRule>
  </conditionalFormatting>
  <conditionalFormatting sqref="A9:AN9">
    <cfRule type="expression" dxfId="0" priority="3">
      <formula>MOD(ROW(),2)=0</formula>
    </cfRule>
  </conditionalFormatting>
  <dataValidations count="3000">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Spreadsheet&amp;R&amp;"Calibri,Italic"Ingredients</oddHeader>
    <oddFooter>&amp;LPage &amp;P of &amp;N&amp;R&amp;D</oddFooter>
  </headerFooter>
  <legacyDrawing r:id="rId1"/>
</worksheet>
</file>

<file path=xl/worksheets/sheet11.xml><?xml version="1.0" encoding="utf-8"?>
<worksheet xmlns="http://schemas.openxmlformats.org/spreadsheetml/2006/main" xmlns:r="http://schemas.openxmlformats.org/officeDocument/2006/relationships">
  <sheetPr>
    <tabColor rgb="FF2F5E43"/>
    <pageSetUpPr fitToPage="1"/>
  </sheetPr>
  <dimension ref="A4:AG504"/>
  <sheetViews>
    <sheetView showGridLines="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customWidth="1"/>
    <col min="2" max="3" width="12.7109375" customWidth="1"/>
    <col min="4" max="4" width="8.7109375" customWidth="1"/>
    <col min="5" max="5" width="11.7109375" customWidth="1"/>
    <col min="6" max="6" width="15.7109375" customWidth="1"/>
    <col min="7" max="7" width="28.7109375" customWidth="1"/>
    <col min="8" max="8" width="10.7109375" customWidth="1"/>
    <col min="9" max="9" width="12.7109375" customWidth="1"/>
    <col min="10" max="10" width="8.7109375" customWidth="1"/>
    <col min="11" max="11" width="9.7109375" customWidth="1"/>
    <col min="12" max="14" width="10.7109375" customWidth="1"/>
    <col min="15" max="16" width="9.7109375" customWidth="1"/>
    <col min="17" max="18" width="11.7109375" customWidth="1"/>
    <col min="19" max="19" width="13.7109375" customWidth="1"/>
    <col min="20" max="20" width="9.7109375" customWidth="1"/>
    <col min="21" max="21" width="11.7109375" customWidth="1"/>
    <col min="22" max="22" width="20.7109375" customWidth="1"/>
    <col min="23" max="24" width="12.7109375" customWidth="1"/>
    <col min="25" max="25" width="10.7109375" customWidth="1"/>
    <col min="26" max="26" width="11.7109375" customWidth="1"/>
    <col min="27" max="27" width="30.7109375" customWidth="1"/>
    <col min="28" max="28" width="12.7109375" customWidth="1"/>
    <col min="29" max="29" width="13.7109375" customWidth="1"/>
    <col min="30" max="30" width="10.7109375" customWidth="1"/>
    <col min="31" max="31" width="12.7109375" customWidth="1"/>
    <col min="32" max="32" width="10.7109375" customWidth="1"/>
    <col min="33" max="33" width="11.7109375" customWidth="1"/>
  </cols>
  <sheetData>
    <row r="4" spans="1:33" ht="32" customHeight="1">
      <c r="A4" s="9" t="s">
        <v>369</v>
      </c>
      <c r="B4" s="9" t="s">
        <v>128</v>
      </c>
      <c r="C4" s="9" t="s">
        <v>107</v>
      </c>
      <c r="D4" s="9" t="s">
        <v>127</v>
      </c>
      <c r="E4" s="9" t="s">
        <v>109</v>
      </c>
      <c r="F4" s="9" t="s">
        <v>370</v>
      </c>
      <c r="G4" s="9" t="s">
        <v>138</v>
      </c>
      <c r="H4" s="9" t="s">
        <v>111</v>
      </c>
      <c r="I4" s="9" t="s">
        <v>327</v>
      </c>
      <c r="J4" s="9" t="s">
        <v>371</v>
      </c>
      <c r="K4" s="9" t="s">
        <v>372</v>
      </c>
      <c r="L4" s="9" t="s">
        <v>133</v>
      </c>
      <c r="M4" s="9" t="s">
        <v>287</v>
      </c>
      <c r="N4" s="9" t="s">
        <v>288</v>
      </c>
      <c r="O4" s="9" t="s">
        <v>289</v>
      </c>
      <c r="P4" s="9" t="s">
        <v>290</v>
      </c>
      <c r="Q4" s="9" t="s">
        <v>134</v>
      </c>
      <c r="R4" s="9" t="s">
        <v>373</v>
      </c>
      <c r="S4" s="9" t="s">
        <v>135</v>
      </c>
      <c r="T4" s="9" t="s">
        <v>374</v>
      </c>
      <c r="U4" s="9" t="s">
        <v>312</v>
      </c>
      <c r="V4" s="9" t="s">
        <v>375</v>
      </c>
      <c r="W4" s="9" t="s">
        <v>376</v>
      </c>
      <c r="X4" s="9" t="s">
        <v>377</v>
      </c>
      <c r="Y4" s="9" t="s">
        <v>378</v>
      </c>
      <c r="Z4" s="9" t="s">
        <v>44</v>
      </c>
      <c r="AA4" s="9" t="s">
        <v>173</v>
      </c>
      <c r="AB4" s="9" t="s">
        <v>379</v>
      </c>
      <c r="AC4" s="9" t="s">
        <v>380</v>
      </c>
      <c r="AD4" s="9" t="s">
        <v>381</v>
      </c>
      <c r="AE4" s="9" t="s">
        <v>382</v>
      </c>
      <c r="AF4" s="9" t="s">
        <v>70</v>
      </c>
      <c r="AG4" s="9" t="s">
        <v>339</v>
      </c>
    </row>
    <row r="5" spans="1:33">
      <c r="A5" s="7"/>
      <c r="B5" s="30"/>
      <c r="C5" s="8">
        <f>IF(B5="","",B5-WEEKDAY(B5,2)+1)</f>
        <v>0</v>
      </c>
      <c r="D5" s="8">
        <f>IF(B5="","",TEXT(B5,"ddd"))</f>
        <v>0</v>
      </c>
      <c r="E5" s="8">
        <f>IF(B5="","",TEXT(B5,"mmm yyyy"))</f>
        <v>0</v>
      </c>
      <c r="F5" s="27"/>
      <c r="G5" s="7"/>
      <c r="H5" s="26"/>
      <c r="I5" s="8">
        <f>IF(G5="","",IFERROR(INDEX(Recipes!$D$5:$D$204,MATCH(G5,Recipes!$A$5:$A$204,0)),""))</f>
        <v>0</v>
      </c>
      <c r="J5" s="8">
        <f>IF(OR(G5="",H5="",I5="",I5=0),"",H5/I5)</f>
        <v>0</v>
      </c>
      <c r="K5" s="8">
        <f>IF(B5="","",Household_Size)</f>
        <v>0</v>
      </c>
      <c r="L5" s="8">
        <f>IF(OR(G5="",H5=""),"",IFERROR(IFERROR(INDEX(Recipes!$H$5:$H$204,MATCH(G5,Recipes!$A$5:$A$204,0)),"")*H5,""))</f>
        <v>0</v>
      </c>
      <c r="M5" s="8">
        <f>IF(OR(G5="",H5=""),"",IFERROR(IFERROR(INDEX(Recipes!$I$5:$I$204,MATCH(G5,Recipes!$A$5:$A$204,0)),"")*H5,""))</f>
        <v>0</v>
      </c>
      <c r="N5" s="8">
        <f>IF(OR(G5="",H5=""),"",IFERROR(IFERROR(INDEX(Recipes!$J$5:$J$204,MATCH(G5,Recipes!$A$5:$A$204,0)),"")*H5,""))</f>
        <v>0</v>
      </c>
      <c r="O5" s="8">
        <f>IF(OR(G5="",H5=""),"",IFERROR(IFERROR(INDEX(Recipes!$K$5:$K$204,MATCH(G5,Recipes!$A$5:$A$204,0)),"")*H5,""))</f>
        <v>0</v>
      </c>
      <c r="P5" s="8">
        <f>IF(OR(G5="",H5=""),"",IFERROR(IFERROR(INDEX(Recipes!$L$5:$L$204,MATCH(G5,Recipes!$A$5:$A$204,0)),"")*H5,""))</f>
        <v>0</v>
      </c>
      <c r="Q5" s="8">
        <f>IF(OR(G5="",H5=""),"",IFERROR(IFERROR(INDEX(Recipes!$Q$5:$Q$204,MATCH(G5,Recipes!$A$5:$A$204,0)),"")*H5,""))</f>
        <v>0</v>
      </c>
      <c r="R5" s="8">
        <f>IF(F5="","",Weekly_Budget/21)</f>
        <v>0</v>
      </c>
      <c r="S5" s="27"/>
      <c r="T5" s="27"/>
      <c r="U5" s="26"/>
      <c r="V5" s="7"/>
      <c r="W5" s="7"/>
      <c r="X5" s="26"/>
      <c r="Y5" s="8">
        <f>IF(G5="","",IF(COUNTIFS('Meal Prep'!$D$5:$D$124,G5)&gt;0,"Yes","No"))</f>
        <v>0</v>
      </c>
      <c r="Z5" s="8">
        <f>IF(G5="","",COUNTIFS('Recipe Ingredients'!$A$5:$A$1204,G5))</f>
        <v>0</v>
      </c>
      <c r="AA5" s="25"/>
      <c r="AB5" s="8">
        <f>IF(OR(B5="",Q5=""),"",COUNTIFS($B$5:$B$504,B5,$Q$5:$Q$504,"&gt;"&amp;Q5)+1)</f>
        <v>0</v>
      </c>
      <c r="AC5" s="8">
        <f>IF(OR(B5="",L5=""),"",COUNTIFS($B$5:$B$504,B5,$L$5:$L$504,"&gt;"&amp;L5)+1)</f>
        <v>0</v>
      </c>
      <c r="AD5" s="8">
        <f>IF(G5="","",IF(COUNTIFS($G$5:$G$504,G5)&gt;1,"Repeat","Once"))</f>
        <v>0</v>
      </c>
      <c r="AE5" s="8">
        <f>IF(G5="","",IF(IFERROR(INDEX(Recipes!$X$5:$X$204,MATCH(G5,Recipes!$A$5:$A$204,0)),"")="","",IFERROR(B5-IFERROR(INDEX(Recipes!$X$5:$X$204,MATCH(G5,Recipes!$A$5:$A$204,0)),""),"")))</f>
        <v>0</v>
      </c>
      <c r="AF5" s="8">
        <f>IF(G5="","",IF(AE5="","Yes",IF(AE5&gt;=Rotation_Gap_Days,"Yes","No")))</f>
        <v>0</v>
      </c>
      <c r="AG5" s="8">
        <f>IF(G5="","",IF(COUNTIFS('Recipe Ingredients'!$A$5:$A$1204,G5,'Recipe Ingredients'!$AC$5:$AC$1204,"Check")&gt;0,"Check","OK"))</f>
        <v>0</v>
      </c>
    </row>
    <row r="6" spans="1:33">
      <c r="A6" s="7"/>
      <c r="B6" s="30"/>
      <c r="C6" s="8">
        <f>IF(B6="","",B6-WEEKDAY(B6,2)+1)</f>
        <v>0</v>
      </c>
      <c r="D6" s="8">
        <f>IF(B6="","",TEXT(B6,"ddd"))</f>
        <v>0</v>
      </c>
      <c r="E6" s="8">
        <f>IF(B6="","",TEXT(B6,"mmm yyyy"))</f>
        <v>0</v>
      </c>
      <c r="F6" s="27"/>
      <c r="G6" s="7"/>
      <c r="H6" s="26"/>
      <c r="I6" s="8">
        <f>IF(G6="","",IFERROR(INDEX(Recipes!$D$5:$D$204,MATCH(G6,Recipes!$A$5:$A$204,0)),""))</f>
        <v>0</v>
      </c>
      <c r="J6" s="8">
        <f>IF(OR(G6="",H6="",I6="",I6=0),"",H6/I6)</f>
        <v>0</v>
      </c>
      <c r="K6" s="8">
        <f>IF(B6="","",Household_Size)</f>
        <v>0</v>
      </c>
      <c r="L6" s="8">
        <f>IF(OR(G6="",H6=""),"",IFERROR(IFERROR(INDEX(Recipes!$H$5:$H$204,MATCH(G6,Recipes!$A$5:$A$204,0)),"")*H6,""))</f>
        <v>0</v>
      </c>
      <c r="M6" s="8">
        <f>IF(OR(G6="",H6=""),"",IFERROR(IFERROR(INDEX(Recipes!$I$5:$I$204,MATCH(G6,Recipes!$A$5:$A$204,0)),"")*H6,""))</f>
        <v>0</v>
      </c>
      <c r="N6" s="8">
        <f>IF(OR(G6="",H6=""),"",IFERROR(IFERROR(INDEX(Recipes!$J$5:$J$204,MATCH(G6,Recipes!$A$5:$A$204,0)),"")*H6,""))</f>
        <v>0</v>
      </c>
      <c r="O6" s="8">
        <f>IF(OR(G6="",H6=""),"",IFERROR(IFERROR(INDEX(Recipes!$K$5:$K$204,MATCH(G6,Recipes!$A$5:$A$204,0)),"")*H6,""))</f>
        <v>0</v>
      </c>
      <c r="P6" s="8">
        <f>IF(OR(G6="",H6=""),"",IFERROR(IFERROR(INDEX(Recipes!$L$5:$L$204,MATCH(G6,Recipes!$A$5:$A$204,0)),"")*H6,""))</f>
        <v>0</v>
      </c>
      <c r="Q6" s="8">
        <f>IF(OR(G6="",H6=""),"",IFERROR(IFERROR(INDEX(Recipes!$Q$5:$Q$204,MATCH(G6,Recipes!$A$5:$A$204,0)),"")*H6,""))</f>
        <v>0</v>
      </c>
      <c r="R6" s="8">
        <f>IF(F6="","",Weekly_Budget/21)</f>
        <v>0</v>
      </c>
      <c r="S6" s="27"/>
      <c r="T6" s="27"/>
      <c r="U6" s="26"/>
      <c r="V6" s="7"/>
      <c r="W6" s="7"/>
      <c r="X6" s="26"/>
      <c r="Y6" s="8">
        <f>IF(G6="","",IF(COUNTIFS('Meal Prep'!$D$5:$D$124,G6)&gt;0,"Yes","No"))</f>
        <v>0</v>
      </c>
      <c r="Z6" s="8">
        <f>IF(G6="","",COUNTIFS('Recipe Ingredients'!$A$5:$A$1204,G6))</f>
        <v>0</v>
      </c>
      <c r="AA6" s="25"/>
      <c r="AB6" s="8">
        <f>IF(OR(B6="",Q6=""),"",COUNTIFS($B$5:$B$504,B6,$Q$5:$Q$504,"&gt;"&amp;Q6)+1)</f>
        <v>0</v>
      </c>
      <c r="AC6" s="8">
        <f>IF(OR(B6="",L6=""),"",COUNTIFS($B$5:$B$504,B6,$L$5:$L$504,"&gt;"&amp;L6)+1)</f>
        <v>0</v>
      </c>
      <c r="AD6" s="8">
        <f>IF(G6="","",IF(COUNTIFS($G$5:$G$504,G6)&gt;1,"Repeat","Once"))</f>
        <v>0</v>
      </c>
      <c r="AE6" s="8">
        <f>IF(G6="","",IF(IFERROR(INDEX(Recipes!$X$5:$X$204,MATCH(G6,Recipes!$A$5:$A$204,0)),"")="","",IFERROR(B6-IFERROR(INDEX(Recipes!$X$5:$X$204,MATCH(G6,Recipes!$A$5:$A$204,0)),""),"")))</f>
        <v>0</v>
      </c>
      <c r="AF6" s="8">
        <f>IF(G6="","",IF(AE6="","Yes",IF(AE6&gt;=Rotation_Gap_Days,"Yes","No")))</f>
        <v>0</v>
      </c>
      <c r="AG6" s="8">
        <f>IF(G6="","",IF(COUNTIFS('Recipe Ingredients'!$A$5:$A$1204,G6,'Recipe Ingredients'!$AC$5:$AC$1204,"Check")&gt;0,"Check","OK"))</f>
        <v>0</v>
      </c>
    </row>
    <row r="7" spans="1:33">
      <c r="A7" s="7"/>
      <c r="B7" s="30"/>
      <c r="C7" s="8">
        <f>IF(B7="","",B7-WEEKDAY(B7,2)+1)</f>
        <v>0</v>
      </c>
      <c r="D7" s="8">
        <f>IF(B7="","",TEXT(B7,"ddd"))</f>
        <v>0</v>
      </c>
      <c r="E7" s="8">
        <f>IF(B7="","",TEXT(B7,"mmm yyyy"))</f>
        <v>0</v>
      </c>
      <c r="F7" s="27"/>
      <c r="G7" s="7"/>
      <c r="H7" s="26"/>
      <c r="I7" s="8">
        <f>IF(G7="","",IFERROR(INDEX(Recipes!$D$5:$D$204,MATCH(G7,Recipes!$A$5:$A$204,0)),""))</f>
        <v>0</v>
      </c>
      <c r="J7" s="8">
        <f>IF(OR(G7="",H7="",I7="",I7=0),"",H7/I7)</f>
        <v>0</v>
      </c>
      <c r="K7" s="8">
        <f>IF(B7="","",Household_Size)</f>
        <v>0</v>
      </c>
      <c r="L7" s="8">
        <f>IF(OR(G7="",H7=""),"",IFERROR(IFERROR(INDEX(Recipes!$H$5:$H$204,MATCH(G7,Recipes!$A$5:$A$204,0)),"")*H7,""))</f>
        <v>0</v>
      </c>
      <c r="M7" s="8">
        <f>IF(OR(G7="",H7=""),"",IFERROR(IFERROR(INDEX(Recipes!$I$5:$I$204,MATCH(G7,Recipes!$A$5:$A$204,0)),"")*H7,""))</f>
        <v>0</v>
      </c>
      <c r="N7" s="8">
        <f>IF(OR(G7="",H7=""),"",IFERROR(IFERROR(INDEX(Recipes!$J$5:$J$204,MATCH(G7,Recipes!$A$5:$A$204,0)),"")*H7,""))</f>
        <v>0</v>
      </c>
      <c r="O7" s="8">
        <f>IF(OR(G7="",H7=""),"",IFERROR(IFERROR(INDEX(Recipes!$K$5:$K$204,MATCH(G7,Recipes!$A$5:$A$204,0)),"")*H7,""))</f>
        <v>0</v>
      </c>
      <c r="P7" s="8">
        <f>IF(OR(G7="",H7=""),"",IFERROR(IFERROR(INDEX(Recipes!$L$5:$L$204,MATCH(G7,Recipes!$A$5:$A$204,0)),"")*H7,""))</f>
        <v>0</v>
      </c>
      <c r="Q7" s="8">
        <f>IF(OR(G7="",H7=""),"",IFERROR(IFERROR(INDEX(Recipes!$Q$5:$Q$204,MATCH(G7,Recipes!$A$5:$A$204,0)),"")*H7,""))</f>
        <v>0</v>
      </c>
      <c r="R7" s="8">
        <f>IF(F7="","",Weekly_Budget/21)</f>
        <v>0</v>
      </c>
      <c r="S7" s="27"/>
      <c r="T7" s="27"/>
      <c r="U7" s="26"/>
      <c r="V7" s="7"/>
      <c r="W7" s="7"/>
      <c r="X7" s="26"/>
      <c r="Y7" s="8">
        <f>IF(G7="","",IF(COUNTIFS('Meal Prep'!$D$5:$D$124,G7)&gt;0,"Yes","No"))</f>
        <v>0</v>
      </c>
      <c r="Z7" s="8">
        <f>IF(G7="","",COUNTIFS('Recipe Ingredients'!$A$5:$A$1204,G7))</f>
        <v>0</v>
      </c>
      <c r="AA7" s="25"/>
      <c r="AB7" s="8">
        <f>IF(OR(B7="",Q7=""),"",COUNTIFS($B$5:$B$504,B7,$Q$5:$Q$504,"&gt;"&amp;Q7)+1)</f>
        <v>0</v>
      </c>
      <c r="AC7" s="8">
        <f>IF(OR(B7="",L7=""),"",COUNTIFS($B$5:$B$504,B7,$L$5:$L$504,"&gt;"&amp;L7)+1)</f>
        <v>0</v>
      </c>
      <c r="AD7" s="8">
        <f>IF(G7="","",IF(COUNTIFS($G$5:$G$504,G7)&gt;1,"Repeat","Once"))</f>
        <v>0</v>
      </c>
      <c r="AE7" s="8">
        <f>IF(G7="","",IF(IFERROR(INDEX(Recipes!$X$5:$X$204,MATCH(G7,Recipes!$A$5:$A$204,0)),"")="","",IFERROR(B7-IFERROR(INDEX(Recipes!$X$5:$X$204,MATCH(G7,Recipes!$A$5:$A$204,0)),""),"")))</f>
        <v>0</v>
      </c>
      <c r="AF7" s="8">
        <f>IF(G7="","",IF(AE7="","Yes",IF(AE7&gt;=Rotation_Gap_Days,"Yes","No")))</f>
        <v>0</v>
      </c>
      <c r="AG7" s="8">
        <f>IF(G7="","",IF(COUNTIFS('Recipe Ingredients'!$A$5:$A$1204,G7,'Recipe Ingredients'!$AC$5:$AC$1204,"Check")&gt;0,"Check","OK"))</f>
        <v>0</v>
      </c>
    </row>
    <row r="8" spans="1:33">
      <c r="A8" s="7"/>
      <c r="B8" s="30"/>
      <c r="C8" s="8">
        <f>IF(B8="","",B8-WEEKDAY(B8,2)+1)</f>
        <v>0</v>
      </c>
      <c r="D8" s="8">
        <f>IF(B8="","",TEXT(B8,"ddd"))</f>
        <v>0</v>
      </c>
      <c r="E8" s="8">
        <f>IF(B8="","",TEXT(B8,"mmm yyyy"))</f>
        <v>0</v>
      </c>
      <c r="F8" s="27"/>
      <c r="G8" s="7"/>
      <c r="H8" s="26"/>
      <c r="I8" s="8">
        <f>IF(G8="","",IFERROR(INDEX(Recipes!$D$5:$D$204,MATCH(G8,Recipes!$A$5:$A$204,0)),""))</f>
        <v>0</v>
      </c>
      <c r="J8" s="8">
        <f>IF(OR(G8="",H8="",I8="",I8=0),"",H8/I8)</f>
        <v>0</v>
      </c>
      <c r="K8" s="8">
        <f>IF(B8="","",Household_Size)</f>
        <v>0</v>
      </c>
      <c r="L8" s="8">
        <f>IF(OR(G8="",H8=""),"",IFERROR(IFERROR(INDEX(Recipes!$H$5:$H$204,MATCH(G8,Recipes!$A$5:$A$204,0)),"")*H8,""))</f>
        <v>0</v>
      </c>
      <c r="M8" s="8">
        <f>IF(OR(G8="",H8=""),"",IFERROR(IFERROR(INDEX(Recipes!$I$5:$I$204,MATCH(G8,Recipes!$A$5:$A$204,0)),"")*H8,""))</f>
        <v>0</v>
      </c>
      <c r="N8" s="8">
        <f>IF(OR(G8="",H8=""),"",IFERROR(IFERROR(INDEX(Recipes!$J$5:$J$204,MATCH(G8,Recipes!$A$5:$A$204,0)),"")*H8,""))</f>
        <v>0</v>
      </c>
      <c r="O8" s="8">
        <f>IF(OR(G8="",H8=""),"",IFERROR(IFERROR(INDEX(Recipes!$K$5:$K$204,MATCH(G8,Recipes!$A$5:$A$204,0)),"")*H8,""))</f>
        <v>0</v>
      </c>
      <c r="P8" s="8">
        <f>IF(OR(G8="",H8=""),"",IFERROR(IFERROR(INDEX(Recipes!$L$5:$L$204,MATCH(G8,Recipes!$A$5:$A$204,0)),"")*H8,""))</f>
        <v>0</v>
      </c>
      <c r="Q8" s="8">
        <f>IF(OR(G8="",H8=""),"",IFERROR(IFERROR(INDEX(Recipes!$Q$5:$Q$204,MATCH(G8,Recipes!$A$5:$A$204,0)),"")*H8,""))</f>
        <v>0</v>
      </c>
      <c r="R8" s="8">
        <f>IF(F8="","",Weekly_Budget/21)</f>
        <v>0</v>
      </c>
      <c r="S8" s="27"/>
      <c r="T8" s="27"/>
      <c r="U8" s="26"/>
      <c r="V8" s="7"/>
      <c r="W8" s="7"/>
      <c r="X8" s="26"/>
      <c r="Y8" s="8">
        <f>IF(G8="","",IF(COUNTIFS('Meal Prep'!$D$5:$D$124,G8)&gt;0,"Yes","No"))</f>
        <v>0</v>
      </c>
      <c r="Z8" s="8">
        <f>IF(G8="","",COUNTIFS('Recipe Ingredients'!$A$5:$A$1204,G8))</f>
        <v>0</v>
      </c>
      <c r="AA8" s="25"/>
      <c r="AB8" s="8">
        <f>IF(OR(B8="",Q8=""),"",COUNTIFS($B$5:$B$504,B8,$Q$5:$Q$504,"&gt;"&amp;Q8)+1)</f>
        <v>0</v>
      </c>
      <c r="AC8" s="8">
        <f>IF(OR(B8="",L8=""),"",COUNTIFS($B$5:$B$504,B8,$L$5:$L$504,"&gt;"&amp;L8)+1)</f>
        <v>0</v>
      </c>
      <c r="AD8" s="8">
        <f>IF(G8="","",IF(COUNTIFS($G$5:$G$504,G8)&gt;1,"Repeat","Once"))</f>
        <v>0</v>
      </c>
      <c r="AE8" s="8">
        <f>IF(G8="","",IF(IFERROR(INDEX(Recipes!$X$5:$X$204,MATCH(G8,Recipes!$A$5:$A$204,0)),"")="","",IFERROR(B8-IFERROR(INDEX(Recipes!$X$5:$X$204,MATCH(G8,Recipes!$A$5:$A$204,0)),""),"")))</f>
        <v>0</v>
      </c>
      <c r="AF8" s="8">
        <f>IF(G8="","",IF(AE8="","Yes",IF(AE8&gt;=Rotation_Gap_Days,"Yes","No")))</f>
        <v>0</v>
      </c>
      <c r="AG8" s="8">
        <f>IF(G8="","",IF(COUNTIFS('Recipe Ingredients'!$A$5:$A$1204,G8,'Recipe Ingredients'!$AC$5:$AC$1204,"Check")&gt;0,"Check","OK"))</f>
        <v>0</v>
      </c>
    </row>
    <row r="9" spans="1:33">
      <c r="A9" s="7"/>
      <c r="B9" s="30"/>
      <c r="C9" s="8">
        <f>IF(B9="","",B9-WEEKDAY(B9,2)+1)</f>
        <v>0</v>
      </c>
      <c r="D9" s="8">
        <f>IF(B9="","",TEXT(B9,"ddd"))</f>
        <v>0</v>
      </c>
      <c r="E9" s="8">
        <f>IF(B9="","",TEXT(B9,"mmm yyyy"))</f>
        <v>0</v>
      </c>
      <c r="F9" s="27"/>
      <c r="G9" s="7"/>
      <c r="H9" s="26"/>
      <c r="I9" s="8">
        <f>IF(G9="","",IFERROR(INDEX(Recipes!$D$5:$D$204,MATCH(G9,Recipes!$A$5:$A$204,0)),""))</f>
        <v>0</v>
      </c>
      <c r="J9" s="8">
        <f>IF(OR(G9="",H9="",I9="",I9=0),"",H9/I9)</f>
        <v>0</v>
      </c>
      <c r="K9" s="8">
        <f>IF(B9="","",Household_Size)</f>
        <v>0</v>
      </c>
      <c r="L9" s="8">
        <f>IF(OR(G9="",H9=""),"",IFERROR(IFERROR(INDEX(Recipes!$H$5:$H$204,MATCH(G9,Recipes!$A$5:$A$204,0)),"")*H9,""))</f>
        <v>0</v>
      </c>
      <c r="M9" s="8">
        <f>IF(OR(G9="",H9=""),"",IFERROR(IFERROR(INDEX(Recipes!$I$5:$I$204,MATCH(G9,Recipes!$A$5:$A$204,0)),"")*H9,""))</f>
        <v>0</v>
      </c>
      <c r="N9" s="8">
        <f>IF(OR(G9="",H9=""),"",IFERROR(IFERROR(INDEX(Recipes!$J$5:$J$204,MATCH(G9,Recipes!$A$5:$A$204,0)),"")*H9,""))</f>
        <v>0</v>
      </c>
      <c r="O9" s="8">
        <f>IF(OR(G9="",H9=""),"",IFERROR(IFERROR(INDEX(Recipes!$K$5:$K$204,MATCH(G9,Recipes!$A$5:$A$204,0)),"")*H9,""))</f>
        <v>0</v>
      </c>
      <c r="P9" s="8">
        <f>IF(OR(G9="",H9=""),"",IFERROR(IFERROR(INDEX(Recipes!$L$5:$L$204,MATCH(G9,Recipes!$A$5:$A$204,0)),"")*H9,""))</f>
        <v>0</v>
      </c>
      <c r="Q9" s="8">
        <f>IF(OR(G9="",H9=""),"",IFERROR(IFERROR(INDEX(Recipes!$Q$5:$Q$204,MATCH(G9,Recipes!$A$5:$A$204,0)),"")*H9,""))</f>
        <v>0</v>
      </c>
      <c r="R9" s="8">
        <f>IF(F9="","",Weekly_Budget/21)</f>
        <v>0</v>
      </c>
      <c r="S9" s="27"/>
      <c r="T9" s="27"/>
      <c r="U9" s="26"/>
      <c r="V9" s="7"/>
      <c r="W9" s="7"/>
      <c r="X9" s="26"/>
      <c r="Y9" s="8">
        <f>IF(G9="","",IF(COUNTIFS('Meal Prep'!$D$5:$D$124,G9)&gt;0,"Yes","No"))</f>
        <v>0</v>
      </c>
      <c r="Z9" s="8">
        <f>IF(G9="","",COUNTIFS('Recipe Ingredients'!$A$5:$A$1204,G9))</f>
        <v>0</v>
      </c>
      <c r="AA9" s="25"/>
      <c r="AB9" s="8">
        <f>IF(OR(B9="",Q9=""),"",COUNTIFS($B$5:$B$504,B9,$Q$5:$Q$504,"&gt;"&amp;Q9)+1)</f>
        <v>0</v>
      </c>
      <c r="AC9" s="8">
        <f>IF(OR(B9="",L9=""),"",COUNTIFS($B$5:$B$504,B9,$L$5:$L$504,"&gt;"&amp;L9)+1)</f>
        <v>0</v>
      </c>
      <c r="AD9" s="8">
        <f>IF(G9="","",IF(COUNTIFS($G$5:$G$504,G9)&gt;1,"Repeat","Once"))</f>
        <v>0</v>
      </c>
      <c r="AE9" s="8">
        <f>IF(G9="","",IF(IFERROR(INDEX(Recipes!$X$5:$X$204,MATCH(G9,Recipes!$A$5:$A$204,0)),"")="","",IFERROR(B9-IFERROR(INDEX(Recipes!$X$5:$X$204,MATCH(G9,Recipes!$A$5:$A$204,0)),""),"")))</f>
        <v>0</v>
      </c>
      <c r="AF9" s="8">
        <f>IF(G9="","",IF(AE9="","Yes",IF(AE9&gt;=Rotation_Gap_Days,"Yes","No")))</f>
        <v>0</v>
      </c>
      <c r="AG9" s="8">
        <f>IF(G9="","",IF(COUNTIFS('Recipe Ingredients'!$A$5:$A$1204,G9,'Recipe Ingredients'!$AC$5:$AC$1204,"Check")&gt;0,"Check","OK"))</f>
        <v>0</v>
      </c>
    </row>
    <row r="10" spans="1:33">
      <c r="A10" s="7"/>
      <c r="B10" s="30"/>
      <c r="C10" s="8">
        <f>IF(B10="","",B10-WEEKDAY(B10,2)+1)</f>
        <v>0</v>
      </c>
      <c r="D10" s="8">
        <f>IF(B10="","",TEXT(B10,"ddd"))</f>
        <v>0</v>
      </c>
      <c r="E10" s="8">
        <f>IF(B10="","",TEXT(B10,"mmm yyyy"))</f>
        <v>0</v>
      </c>
      <c r="F10" s="27"/>
      <c r="G10" s="7"/>
      <c r="H10" s="26"/>
      <c r="I10" s="8">
        <f>IF(G10="","",IFERROR(INDEX(Recipes!$D$5:$D$204,MATCH(G10,Recipes!$A$5:$A$204,0)),""))</f>
        <v>0</v>
      </c>
      <c r="J10" s="8">
        <f>IF(OR(G10="",H10="",I10="",I10=0),"",H10/I10)</f>
        <v>0</v>
      </c>
      <c r="K10" s="8">
        <f>IF(B10="","",Household_Size)</f>
        <v>0</v>
      </c>
      <c r="L10" s="8">
        <f>IF(OR(G10="",H10=""),"",IFERROR(IFERROR(INDEX(Recipes!$H$5:$H$204,MATCH(G10,Recipes!$A$5:$A$204,0)),"")*H10,""))</f>
        <v>0</v>
      </c>
      <c r="M10" s="8">
        <f>IF(OR(G10="",H10=""),"",IFERROR(IFERROR(INDEX(Recipes!$I$5:$I$204,MATCH(G10,Recipes!$A$5:$A$204,0)),"")*H10,""))</f>
        <v>0</v>
      </c>
      <c r="N10" s="8">
        <f>IF(OR(G10="",H10=""),"",IFERROR(IFERROR(INDEX(Recipes!$J$5:$J$204,MATCH(G10,Recipes!$A$5:$A$204,0)),"")*H10,""))</f>
        <v>0</v>
      </c>
      <c r="O10" s="8">
        <f>IF(OR(G10="",H10=""),"",IFERROR(IFERROR(INDEX(Recipes!$K$5:$K$204,MATCH(G10,Recipes!$A$5:$A$204,0)),"")*H10,""))</f>
        <v>0</v>
      </c>
      <c r="P10" s="8">
        <f>IF(OR(G10="",H10=""),"",IFERROR(IFERROR(INDEX(Recipes!$L$5:$L$204,MATCH(G10,Recipes!$A$5:$A$204,0)),"")*H10,""))</f>
        <v>0</v>
      </c>
      <c r="Q10" s="8">
        <f>IF(OR(G10="",H10=""),"",IFERROR(IFERROR(INDEX(Recipes!$Q$5:$Q$204,MATCH(G10,Recipes!$A$5:$A$204,0)),"")*H10,""))</f>
        <v>0</v>
      </c>
      <c r="R10" s="8">
        <f>IF(F10="","",Weekly_Budget/21)</f>
        <v>0</v>
      </c>
      <c r="S10" s="27"/>
      <c r="T10" s="27"/>
      <c r="U10" s="26"/>
      <c r="V10" s="7"/>
      <c r="W10" s="7"/>
      <c r="X10" s="26"/>
      <c r="Y10" s="8">
        <f>IF(G10="","",IF(COUNTIFS('Meal Prep'!$D$5:$D$124,G10)&gt;0,"Yes","No"))</f>
        <v>0</v>
      </c>
      <c r="Z10" s="8">
        <f>IF(G10="","",COUNTIFS('Recipe Ingredients'!$A$5:$A$1204,G10))</f>
        <v>0</v>
      </c>
      <c r="AA10" s="25"/>
      <c r="AB10" s="8">
        <f>IF(OR(B10="",Q10=""),"",COUNTIFS($B$5:$B$504,B10,$Q$5:$Q$504,"&gt;"&amp;Q10)+1)</f>
        <v>0</v>
      </c>
      <c r="AC10" s="8">
        <f>IF(OR(B10="",L10=""),"",COUNTIFS($B$5:$B$504,B10,$L$5:$L$504,"&gt;"&amp;L10)+1)</f>
        <v>0</v>
      </c>
      <c r="AD10" s="8">
        <f>IF(G10="","",IF(COUNTIFS($G$5:$G$504,G10)&gt;1,"Repeat","Once"))</f>
        <v>0</v>
      </c>
      <c r="AE10" s="8">
        <f>IF(G10="","",IF(IFERROR(INDEX(Recipes!$X$5:$X$204,MATCH(G10,Recipes!$A$5:$A$204,0)),"")="","",IFERROR(B10-IFERROR(INDEX(Recipes!$X$5:$X$204,MATCH(G10,Recipes!$A$5:$A$204,0)),""),"")))</f>
        <v>0</v>
      </c>
      <c r="AF10" s="8">
        <f>IF(G10="","",IF(AE10="","Yes",IF(AE10&gt;=Rotation_Gap_Days,"Yes","No")))</f>
        <v>0</v>
      </c>
      <c r="AG10" s="8">
        <f>IF(G10="","",IF(COUNTIFS('Recipe Ingredients'!$A$5:$A$1204,G10,'Recipe Ingredients'!$AC$5:$AC$1204,"Check")&gt;0,"Check","OK"))</f>
        <v>0</v>
      </c>
    </row>
    <row r="11" spans="1:33">
      <c r="A11" s="7"/>
      <c r="B11" s="30"/>
      <c r="C11" s="8">
        <f>IF(B11="","",B11-WEEKDAY(B11,2)+1)</f>
        <v>0</v>
      </c>
      <c r="D11" s="8">
        <f>IF(B11="","",TEXT(B11,"ddd"))</f>
        <v>0</v>
      </c>
      <c r="E11" s="8">
        <f>IF(B11="","",TEXT(B11,"mmm yyyy"))</f>
        <v>0</v>
      </c>
      <c r="F11" s="27"/>
      <c r="G11" s="7"/>
      <c r="H11" s="26"/>
      <c r="I11" s="8">
        <f>IF(G11="","",IFERROR(INDEX(Recipes!$D$5:$D$204,MATCH(G11,Recipes!$A$5:$A$204,0)),""))</f>
        <v>0</v>
      </c>
      <c r="J11" s="8">
        <f>IF(OR(G11="",H11="",I11="",I11=0),"",H11/I11)</f>
        <v>0</v>
      </c>
      <c r="K11" s="8">
        <f>IF(B11="","",Household_Size)</f>
        <v>0</v>
      </c>
      <c r="L11" s="8">
        <f>IF(OR(G11="",H11=""),"",IFERROR(IFERROR(INDEX(Recipes!$H$5:$H$204,MATCH(G11,Recipes!$A$5:$A$204,0)),"")*H11,""))</f>
        <v>0</v>
      </c>
      <c r="M11" s="8">
        <f>IF(OR(G11="",H11=""),"",IFERROR(IFERROR(INDEX(Recipes!$I$5:$I$204,MATCH(G11,Recipes!$A$5:$A$204,0)),"")*H11,""))</f>
        <v>0</v>
      </c>
      <c r="N11" s="8">
        <f>IF(OR(G11="",H11=""),"",IFERROR(IFERROR(INDEX(Recipes!$J$5:$J$204,MATCH(G11,Recipes!$A$5:$A$204,0)),"")*H11,""))</f>
        <v>0</v>
      </c>
      <c r="O11" s="8">
        <f>IF(OR(G11="",H11=""),"",IFERROR(IFERROR(INDEX(Recipes!$K$5:$K$204,MATCH(G11,Recipes!$A$5:$A$204,0)),"")*H11,""))</f>
        <v>0</v>
      </c>
      <c r="P11" s="8">
        <f>IF(OR(G11="",H11=""),"",IFERROR(IFERROR(INDEX(Recipes!$L$5:$L$204,MATCH(G11,Recipes!$A$5:$A$204,0)),"")*H11,""))</f>
        <v>0</v>
      </c>
      <c r="Q11" s="8">
        <f>IF(OR(G11="",H11=""),"",IFERROR(IFERROR(INDEX(Recipes!$Q$5:$Q$204,MATCH(G11,Recipes!$A$5:$A$204,0)),"")*H11,""))</f>
        <v>0</v>
      </c>
      <c r="R11" s="8">
        <f>IF(F11="","",Weekly_Budget/21)</f>
        <v>0</v>
      </c>
      <c r="S11" s="27"/>
      <c r="T11" s="27"/>
      <c r="U11" s="26"/>
      <c r="V11" s="7"/>
      <c r="W11" s="7"/>
      <c r="X11" s="26"/>
      <c r="Y11" s="8">
        <f>IF(G11="","",IF(COUNTIFS('Meal Prep'!$D$5:$D$124,G11)&gt;0,"Yes","No"))</f>
        <v>0</v>
      </c>
      <c r="Z11" s="8">
        <f>IF(G11="","",COUNTIFS('Recipe Ingredients'!$A$5:$A$1204,G11))</f>
        <v>0</v>
      </c>
      <c r="AA11" s="25"/>
      <c r="AB11" s="8">
        <f>IF(OR(B11="",Q11=""),"",COUNTIFS($B$5:$B$504,B11,$Q$5:$Q$504,"&gt;"&amp;Q11)+1)</f>
        <v>0</v>
      </c>
      <c r="AC11" s="8">
        <f>IF(OR(B11="",L11=""),"",COUNTIFS($B$5:$B$504,B11,$L$5:$L$504,"&gt;"&amp;L11)+1)</f>
        <v>0</v>
      </c>
      <c r="AD11" s="8">
        <f>IF(G11="","",IF(COUNTIFS($G$5:$G$504,G11)&gt;1,"Repeat","Once"))</f>
        <v>0</v>
      </c>
      <c r="AE11" s="8">
        <f>IF(G11="","",IF(IFERROR(INDEX(Recipes!$X$5:$X$204,MATCH(G11,Recipes!$A$5:$A$204,0)),"")="","",IFERROR(B11-IFERROR(INDEX(Recipes!$X$5:$X$204,MATCH(G11,Recipes!$A$5:$A$204,0)),""),"")))</f>
        <v>0</v>
      </c>
      <c r="AF11" s="8">
        <f>IF(G11="","",IF(AE11="","Yes",IF(AE11&gt;=Rotation_Gap_Days,"Yes","No")))</f>
        <v>0</v>
      </c>
      <c r="AG11" s="8">
        <f>IF(G11="","",IF(COUNTIFS('Recipe Ingredients'!$A$5:$A$1204,G11,'Recipe Ingredients'!$AC$5:$AC$1204,"Check")&gt;0,"Check","OK"))</f>
        <v>0</v>
      </c>
    </row>
    <row r="12" spans="1:33">
      <c r="A12" s="7"/>
      <c r="B12" s="30"/>
      <c r="C12" s="8">
        <f>IF(B12="","",B12-WEEKDAY(B12,2)+1)</f>
        <v>0</v>
      </c>
      <c r="D12" s="8">
        <f>IF(B12="","",TEXT(B12,"ddd"))</f>
        <v>0</v>
      </c>
      <c r="E12" s="8">
        <f>IF(B12="","",TEXT(B12,"mmm yyyy"))</f>
        <v>0</v>
      </c>
      <c r="F12" s="27"/>
      <c r="G12" s="7"/>
      <c r="H12" s="26"/>
      <c r="I12" s="8">
        <f>IF(G12="","",IFERROR(INDEX(Recipes!$D$5:$D$204,MATCH(G12,Recipes!$A$5:$A$204,0)),""))</f>
        <v>0</v>
      </c>
      <c r="J12" s="8">
        <f>IF(OR(G12="",H12="",I12="",I12=0),"",H12/I12)</f>
        <v>0</v>
      </c>
      <c r="K12" s="8">
        <f>IF(B12="","",Household_Size)</f>
        <v>0</v>
      </c>
      <c r="L12" s="8">
        <f>IF(OR(G12="",H12=""),"",IFERROR(IFERROR(INDEX(Recipes!$H$5:$H$204,MATCH(G12,Recipes!$A$5:$A$204,0)),"")*H12,""))</f>
        <v>0</v>
      </c>
      <c r="M12" s="8">
        <f>IF(OR(G12="",H12=""),"",IFERROR(IFERROR(INDEX(Recipes!$I$5:$I$204,MATCH(G12,Recipes!$A$5:$A$204,0)),"")*H12,""))</f>
        <v>0</v>
      </c>
      <c r="N12" s="8">
        <f>IF(OR(G12="",H12=""),"",IFERROR(IFERROR(INDEX(Recipes!$J$5:$J$204,MATCH(G12,Recipes!$A$5:$A$204,0)),"")*H12,""))</f>
        <v>0</v>
      </c>
      <c r="O12" s="8">
        <f>IF(OR(G12="",H12=""),"",IFERROR(IFERROR(INDEX(Recipes!$K$5:$K$204,MATCH(G12,Recipes!$A$5:$A$204,0)),"")*H12,""))</f>
        <v>0</v>
      </c>
      <c r="P12" s="8">
        <f>IF(OR(G12="",H12=""),"",IFERROR(IFERROR(INDEX(Recipes!$L$5:$L$204,MATCH(G12,Recipes!$A$5:$A$204,0)),"")*H12,""))</f>
        <v>0</v>
      </c>
      <c r="Q12" s="8">
        <f>IF(OR(G12="",H12=""),"",IFERROR(IFERROR(INDEX(Recipes!$Q$5:$Q$204,MATCH(G12,Recipes!$A$5:$A$204,0)),"")*H12,""))</f>
        <v>0</v>
      </c>
      <c r="R12" s="8">
        <f>IF(F12="","",Weekly_Budget/21)</f>
        <v>0</v>
      </c>
      <c r="S12" s="27"/>
      <c r="T12" s="27"/>
      <c r="U12" s="26"/>
      <c r="V12" s="7"/>
      <c r="W12" s="7"/>
      <c r="X12" s="26"/>
      <c r="Y12" s="8">
        <f>IF(G12="","",IF(COUNTIFS('Meal Prep'!$D$5:$D$124,G12)&gt;0,"Yes","No"))</f>
        <v>0</v>
      </c>
      <c r="Z12" s="8">
        <f>IF(G12="","",COUNTIFS('Recipe Ingredients'!$A$5:$A$1204,G12))</f>
        <v>0</v>
      </c>
      <c r="AA12" s="25"/>
      <c r="AB12" s="8">
        <f>IF(OR(B12="",Q12=""),"",COUNTIFS($B$5:$B$504,B12,$Q$5:$Q$504,"&gt;"&amp;Q12)+1)</f>
        <v>0</v>
      </c>
      <c r="AC12" s="8">
        <f>IF(OR(B12="",L12=""),"",COUNTIFS($B$5:$B$504,B12,$L$5:$L$504,"&gt;"&amp;L12)+1)</f>
        <v>0</v>
      </c>
      <c r="AD12" s="8">
        <f>IF(G12="","",IF(COUNTIFS($G$5:$G$504,G12)&gt;1,"Repeat","Once"))</f>
        <v>0</v>
      </c>
      <c r="AE12" s="8">
        <f>IF(G12="","",IF(IFERROR(INDEX(Recipes!$X$5:$X$204,MATCH(G12,Recipes!$A$5:$A$204,0)),"")="","",IFERROR(B12-IFERROR(INDEX(Recipes!$X$5:$X$204,MATCH(G12,Recipes!$A$5:$A$204,0)),""),"")))</f>
        <v>0</v>
      </c>
      <c r="AF12" s="8">
        <f>IF(G12="","",IF(AE12="","Yes",IF(AE12&gt;=Rotation_Gap_Days,"Yes","No")))</f>
        <v>0</v>
      </c>
      <c r="AG12" s="8">
        <f>IF(G12="","",IF(COUNTIFS('Recipe Ingredients'!$A$5:$A$1204,G12,'Recipe Ingredients'!$AC$5:$AC$1204,"Check")&gt;0,"Check","OK"))</f>
        <v>0</v>
      </c>
    </row>
    <row r="13" spans="1:33">
      <c r="A13" s="7"/>
      <c r="B13" s="30"/>
      <c r="C13" s="8">
        <f>IF(B13="","",B13-WEEKDAY(B13,2)+1)</f>
        <v>0</v>
      </c>
      <c r="D13" s="8">
        <f>IF(B13="","",TEXT(B13,"ddd"))</f>
        <v>0</v>
      </c>
      <c r="E13" s="8">
        <f>IF(B13="","",TEXT(B13,"mmm yyyy"))</f>
        <v>0</v>
      </c>
      <c r="F13" s="27"/>
      <c r="G13" s="7"/>
      <c r="H13" s="26"/>
      <c r="I13" s="8">
        <f>IF(G13="","",IFERROR(INDEX(Recipes!$D$5:$D$204,MATCH(G13,Recipes!$A$5:$A$204,0)),""))</f>
        <v>0</v>
      </c>
      <c r="J13" s="8">
        <f>IF(OR(G13="",H13="",I13="",I13=0),"",H13/I13)</f>
        <v>0</v>
      </c>
      <c r="K13" s="8">
        <f>IF(B13="","",Household_Size)</f>
        <v>0</v>
      </c>
      <c r="L13" s="8">
        <f>IF(OR(G13="",H13=""),"",IFERROR(IFERROR(INDEX(Recipes!$H$5:$H$204,MATCH(G13,Recipes!$A$5:$A$204,0)),"")*H13,""))</f>
        <v>0</v>
      </c>
      <c r="M13" s="8">
        <f>IF(OR(G13="",H13=""),"",IFERROR(IFERROR(INDEX(Recipes!$I$5:$I$204,MATCH(G13,Recipes!$A$5:$A$204,0)),"")*H13,""))</f>
        <v>0</v>
      </c>
      <c r="N13" s="8">
        <f>IF(OR(G13="",H13=""),"",IFERROR(IFERROR(INDEX(Recipes!$J$5:$J$204,MATCH(G13,Recipes!$A$5:$A$204,0)),"")*H13,""))</f>
        <v>0</v>
      </c>
      <c r="O13" s="8">
        <f>IF(OR(G13="",H13=""),"",IFERROR(IFERROR(INDEX(Recipes!$K$5:$K$204,MATCH(G13,Recipes!$A$5:$A$204,0)),"")*H13,""))</f>
        <v>0</v>
      </c>
      <c r="P13" s="8">
        <f>IF(OR(G13="",H13=""),"",IFERROR(IFERROR(INDEX(Recipes!$L$5:$L$204,MATCH(G13,Recipes!$A$5:$A$204,0)),"")*H13,""))</f>
        <v>0</v>
      </c>
      <c r="Q13" s="8">
        <f>IF(OR(G13="",H13=""),"",IFERROR(IFERROR(INDEX(Recipes!$Q$5:$Q$204,MATCH(G13,Recipes!$A$5:$A$204,0)),"")*H13,""))</f>
        <v>0</v>
      </c>
      <c r="R13" s="8">
        <f>IF(F13="","",Weekly_Budget/21)</f>
        <v>0</v>
      </c>
      <c r="S13" s="27"/>
      <c r="T13" s="27"/>
      <c r="U13" s="26"/>
      <c r="V13" s="7"/>
      <c r="W13" s="7"/>
      <c r="X13" s="26"/>
      <c r="Y13" s="8">
        <f>IF(G13="","",IF(COUNTIFS('Meal Prep'!$D$5:$D$124,G13)&gt;0,"Yes","No"))</f>
        <v>0</v>
      </c>
      <c r="Z13" s="8">
        <f>IF(G13="","",COUNTIFS('Recipe Ingredients'!$A$5:$A$1204,G13))</f>
        <v>0</v>
      </c>
      <c r="AA13" s="25"/>
      <c r="AB13" s="8">
        <f>IF(OR(B13="",Q13=""),"",COUNTIFS($B$5:$B$504,B13,$Q$5:$Q$504,"&gt;"&amp;Q13)+1)</f>
        <v>0</v>
      </c>
      <c r="AC13" s="8">
        <f>IF(OR(B13="",L13=""),"",COUNTIFS($B$5:$B$504,B13,$L$5:$L$504,"&gt;"&amp;L13)+1)</f>
        <v>0</v>
      </c>
      <c r="AD13" s="8">
        <f>IF(G13="","",IF(COUNTIFS($G$5:$G$504,G13)&gt;1,"Repeat","Once"))</f>
        <v>0</v>
      </c>
      <c r="AE13" s="8">
        <f>IF(G13="","",IF(IFERROR(INDEX(Recipes!$X$5:$X$204,MATCH(G13,Recipes!$A$5:$A$204,0)),"")="","",IFERROR(B13-IFERROR(INDEX(Recipes!$X$5:$X$204,MATCH(G13,Recipes!$A$5:$A$204,0)),""),"")))</f>
        <v>0</v>
      </c>
      <c r="AF13" s="8">
        <f>IF(G13="","",IF(AE13="","Yes",IF(AE13&gt;=Rotation_Gap_Days,"Yes","No")))</f>
        <v>0</v>
      </c>
      <c r="AG13" s="8">
        <f>IF(G13="","",IF(COUNTIFS('Recipe Ingredients'!$A$5:$A$1204,G13,'Recipe Ingredients'!$AC$5:$AC$1204,"Check")&gt;0,"Check","OK"))</f>
        <v>0</v>
      </c>
    </row>
    <row r="14" spans="1:33">
      <c r="A14" s="7"/>
      <c r="B14" s="30"/>
      <c r="C14" s="8">
        <f>IF(B14="","",B14-WEEKDAY(B14,2)+1)</f>
        <v>0</v>
      </c>
      <c r="D14" s="8">
        <f>IF(B14="","",TEXT(B14,"ddd"))</f>
        <v>0</v>
      </c>
      <c r="E14" s="8">
        <f>IF(B14="","",TEXT(B14,"mmm yyyy"))</f>
        <v>0</v>
      </c>
      <c r="F14" s="27"/>
      <c r="G14" s="7"/>
      <c r="H14" s="26"/>
      <c r="I14" s="8">
        <f>IF(G14="","",IFERROR(INDEX(Recipes!$D$5:$D$204,MATCH(G14,Recipes!$A$5:$A$204,0)),""))</f>
        <v>0</v>
      </c>
      <c r="J14" s="8">
        <f>IF(OR(G14="",H14="",I14="",I14=0),"",H14/I14)</f>
        <v>0</v>
      </c>
      <c r="K14" s="8">
        <f>IF(B14="","",Household_Size)</f>
        <v>0</v>
      </c>
      <c r="L14" s="8">
        <f>IF(OR(G14="",H14=""),"",IFERROR(IFERROR(INDEX(Recipes!$H$5:$H$204,MATCH(G14,Recipes!$A$5:$A$204,0)),"")*H14,""))</f>
        <v>0</v>
      </c>
      <c r="M14" s="8">
        <f>IF(OR(G14="",H14=""),"",IFERROR(IFERROR(INDEX(Recipes!$I$5:$I$204,MATCH(G14,Recipes!$A$5:$A$204,0)),"")*H14,""))</f>
        <v>0</v>
      </c>
      <c r="N14" s="8">
        <f>IF(OR(G14="",H14=""),"",IFERROR(IFERROR(INDEX(Recipes!$J$5:$J$204,MATCH(G14,Recipes!$A$5:$A$204,0)),"")*H14,""))</f>
        <v>0</v>
      </c>
      <c r="O14" s="8">
        <f>IF(OR(G14="",H14=""),"",IFERROR(IFERROR(INDEX(Recipes!$K$5:$K$204,MATCH(G14,Recipes!$A$5:$A$204,0)),"")*H14,""))</f>
        <v>0</v>
      </c>
      <c r="P14" s="8">
        <f>IF(OR(G14="",H14=""),"",IFERROR(IFERROR(INDEX(Recipes!$L$5:$L$204,MATCH(G14,Recipes!$A$5:$A$204,0)),"")*H14,""))</f>
        <v>0</v>
      </c>
      <c r="Q14" s="8">
        <f>IF(OR(G14="",H14=""),"",IFERROR(IFERROR(INDEX(Recipes!$Q$5:$Q$204,MATCH(G14,Recipes!$A$5:$A$204,0)),"")*H14,""))</f>
        <v>0</v>
      </c>
      <c r="R14" s="8">
        <f>IF(F14="","",Weekly_Budget/21)</f>
        <v>0</v>
      </c>
      <c r="S14" s="27"/>
      <c r="T14" s="27"/>
      <c r="U14" s="26"/>
      <c r="V14" s="7"/>
      <c r="W14" s="7"/>
      <c r="X14" s="26"/>
      <c r="Y14" s="8">
        <f>IF(G14="","",IF(COUNTIFS('Meal Prep'!$D$5:$D$124,G14)&gt;0,"Yes","No"))</f>
        <v>0</v>
      </c>
      <c r="Z14" s="8">
        <f>IF(G14="","",COUNTIFS('Recipe Ingredients'!$A$5:$A$1204,G14))</f>
        <v>0</v>
      </c>
      <c r="AA14" s="25"/>
      <c r="AB14" s="8">
        <f>IF(OR(B14="",Q14=""),"",COUNTIFS($B$5:$B$504,B14,$Q$5:$Q$504,"&gt;"&amp;Q14)+1)</f>
        <v>0</v>
      </c>
      <c r="AC14" s="8">
        <f>IF(OR(B14="",L14=""),"",COUNTIFS($B$5:$B$504,B14,$L$5:$L$504,"&gt;"&amp;L14)+1)</f>
        <v>0</v>
      </c>
      <c r="AD14" s="8">
        <f>IF(G14="","",IF(COUNTIFS($G$5:$G$504,G14)&gt;1,"Repeat","Once"))</f>
        <v>0</v>
      </c>
      <c r="AE14" s="8">
        <f>IF(G14="","",IF(IFERROR(INDEX(Recipes!$X$5:$X$204,MATCH(G14,Recipes!$A$5:$A$204,0)),"")="","",IFERROR(B14-IFERROR(INDEX(Recipes!$X$5:$X$204,MATCH(G14,Recipes!$A$5:$A$204,0)),""),"")))</f>
        <v>0</v>
      </c>
      <c r="AF14" s="8">
        <f>IF(G14="","",IF(AE14="","Yes",IF(AE14&gt;=Rotation_Gap_Days,"Yes","No")))</f>
        <v>0</v>
      </c>
      <c r="AG14" s="8">
        <f>IF(G14="","",IF(COUNTIFS('Recipe Ingredients'!$A$5:$A$1204,G14,'Recipe Ingredients'!$AC$5:$AC$1204,"Check")&gt;0,"Check","OK"))</f>
        <v>0</v>
      </c>
    </row>
    <row r="15" spans="1:33">
      <c r="A15" s="7"/>
      <c r="B15" s="30"/>
      <c r="C15" s="8">
        <f>IF(B15="","",B15-WEEKDAY(B15,2)+1)</f>
        <v>0</v>
      </c>
      <c r="D15" s="8">
        <f>IF(B15="","",TEXT(B15,"ddd"))</f>
        <v>0</v>
      </c>
      <c r="E15" s="8">
        <f>IF(B15="","",TEXT(B15,"mmm yyyy"))</f>
        <v>0</v>
      </c>
      <c r="F15" s="27"/>
      <c r="G15" s="7"/>
      <c r="H15" s="26"/>
      <c r="I15" s="8">
        <f>IF(G15="","",IFERROR(INDEX(Recipes!$D$5:$D$204,MATCH(G15,Recipes!$A$5:$A$204,0)),""))</f>
        <v>0</v>
      </c>
      <c r="J15" s="8">
        <f>IF(OR(G15="",H15="",I15="",I15=0),"",H15/I15)</f>
        <v>0</v>
      </c>
      <c r="K15" s="8">
        <f>IF(B15="","",Household_Size)</f>
        <v>0</v>
      </c>
      <c r="L15" s="8">
        <f>IF(OR(G15="",H15=""),"",IFERROR(IFERROR(INDEX(Recipes!$H$5:$H$204,MATCH(G15,Recipes!$A$5:$A$204,0)),"")*H15,""))</f>
        <v>0</v>
      </c>
      <c r="M15" s="8">
        <f>IF(OR(G15="",H15=""),"",IFERROR(IFERROR(INDEX(Recipes!$I$5:$I$204,MATCH(G15,Recipes!$A$5:$A$204,0)),"")*H15,""))</f>
        <v>0</v>
      </c>
      <c r="N15" s="8">
        <f>IF(OR(G15="",H15=""),"",IFERROR(IFERROR(INDEX(Recipes!$J$5:$J$204,MATCH(G15,Recipes!$A$5:$A$204,0)),"")*H15,""))</f>
        <v>0</v>
      </c>
      <c r="O15" s="8">
        <f>IF(OR(G15="",H15=""),"",IFERROR(IFERROR(INDEX(Recipes!$K$5:$K$204,MATCH(G15,Recipes!$A$5:$A$204,0)),"")*H15,""))</f>
        <v>0</v>
      </c>
      <c r="P15" s="8">
        <f>IF(OR(G15="",H15=""),"",IFERROR(IFERROR(INDEX(Recipes!$L$5:$L$204,MATCH(G15,Recipes!$A$5:$A$204,0)),"")*H15,""))</f>
        <v>0</v>
      </c>
      <c r="Q15" s="8">
        <f>IF(OR(G15="",H15=""),"",IFERROR(IFERROR(INDEX(Recipes!$Q$5:$Q$204,MATCH(G15,Recipes!$A$5:$A$204,0)),"")*H15,""))</f>
        <v>0</v>
      </c>
      <c r="R15" s="8">
        <f>IF(F15="","",Weekly_Budget/21)</f>
        <v>0</v>
      </c>
      <c r="S15" s="27"/>
      <c r="T15" s="27"/>
      <c r="U15" s="26"/>
      <c r="V15" s="7"/>
      <c r="W15" s="7"/>
      <c r="X15" s="26"/>
      <c r="Y15" s="8">
        <f>IF(G15="","",IF(COUNTIFS('Meal Prep'!$D$5:$D$124,G15)&gt;0,"Yes","No"))</f>
        <v>0</v>
      </c>
      <c r="Z15" s="8">
        <f>IF(G15="","",COUNTIFS('Recipe Ingredients'!$A$5:$A$1204,G15))</f>
        <v>0</v>
      </c>
      <c r="AA15" s="25"/>
      <c r="AB15" s="8">
        <f>IF(OR(B15="",Q15=""),"",COUNTIFS($B$5:$B$504,B15,$Q$5:$Q$504,"&gt;"&amp;Q15)+1)</f>
        <v>0</v>
      </c>
      <c r="AC15" s="8">
        <f>IF(OR(B15="",L15=""),"",COUNTIFS($B$5:$B$504,B15,$L$5:$L$504,"&gt;"&amp;L15)+1)</f>
        <v>0</v>
      </c>
      <c r="AD15" s="8">
        <f>IF(G15="","",IF(COUNTIFS($G$5:$G$504,G15)&gt;1,"Repeat","Once"))</f>
        <v>0</v>
      </c>
      <c r="AE15" s="8">
        <f>IF(G15="","",IF(IFERROR(INDEX(Recipes!$X$5:$X$204,MATCH(G15,Recipes!$A$5:$A$204,0)),"")="","",IFERROR(B15-IFERROR(INDEX(Recipes!$X$5:$X$204,MATCH(G15,Recipes!$A$5:$A$204,0)),""),"")))</f>
        <v>0</v>
      </c>
      <c r="AF15" s="8">
        <f>IF(G15="","",IF(AE15="","Yes",IF(AE15&gt;=Rotation_Gap_Days,"Yes","No")))</f>
        <v>0</v>
      </c>
      <c r="AG15" s="8">
        <f>IF(G15="","",IF(COUNTIFS('Recipe Ingredients'!$A$5:$A$1204,G15,'Recipe Ingredients'!$AC$5:$AC$1204,"Check")&gt;0,"Check","OK"))</f>
        <v>0</v>
      </c>
    </row>
    <row r="16" spans="1:33">
      <c r="A16" s="7"/>
      <c r="B16" s="30"/>
      <c r="C16" s="8">
        <f>IF(B16="","",B16-WEEKDAY(B16,2)+1)</f>
        <v>0</v>
      </c>
      <c r="D16" s="8">
        <f>IF(B16="","",TEXT(B16,"ddd"))</f>
        <v>0</v>
      </c>
      <c r="E16" s="8">
        <f>IF(B16="","",TEXT(B16,"mmm yyyy"))</f>
        <v>0</v>
      </c>
      <c r="F16" s="27"/>
      <c r="G16" s="7"/>
      <c r="H16" s="26"/>
      <c r="I16" s="8">
        <f>IF(G16="","",IFERROR(INDEX(Recipes!$D$5:$D$204,MATCH(G16,Recipes!$A$5:$A$204,0)),""))</f>
        <v>0</v>
      </c>
      <c r="J16" s="8">
        <f>IF(OR(G16="",H16="",I16="",I16=0),"",H16/I16)</f>
        <v>0</v>
      </c>
      <c r="K16" s="8">
        <f>IF(B16="","",Household_Size)</f>
        <v>0</v>
      </c>
      <c r="L16" s="8">
        <f>IF(OR(G16="",H16=""),"",IFERROR(IFERROR(INDEX(Recipes!$H$5:$H$204,MATCH(G16,Recipes!$A$5:$A$204,0)),"")*H16,""))</f>
        <v>0</v>
      </c>
      <c r="M16" s="8">
        <f>IF(OR(G16="",H16=""),"",IFERROR(IFERROR(INDEX(Recipes!$I$5:$I$204,MATCH(G16,Recipes!$A$5:$A$204,0)),"")*H16,""))</f>
        <v>0</v>
      </c>
      <c r="N16" s="8">
        <f>IF(OR(G16="",H16=""),"",IFERROR(IFERROR(INDEX(Recipes!$J$5:$J$204,MATCH(G16,Recipes!$A$5:$A$204,0)),"")*H16,""))</f>
        <v>0</v>
      </c>
      <c r="O16" s="8">
        <f>IF(OR(G16="",H16=""),"",IFERROR(IFERROR(INDEX(Recipes!$K$5:$K$204,MATCH(G16,Recipes!$A$5:$A$204,0)),"")*H16,""))</f>
        <v>0</v>
      </c>
      <c r="P16" s="8">
        <f>IF(OR(G16="",H16=""),"",IFERROR(IFERROR(INDEX(Recipes!$L$5:$L$204,MATCH(G16,Recipes!$A$5:$A$204,0)),"")*H16,""))</f>
        <v>0</v>
      </c>
      <c r="Q16" s="8">
        <f>IF(OR(G16="",H16=""),"",IFERROR(IFERROR(INDEX(Recipes!$Q$5:$Q$204,MATCH(G16,Recipes!$A$5:$A$204,0)),"")*H16,""))</f>
        <v>0</v>
      </c>
      <c r="R16" s="8">
        <f>IF(F16="","",Weekly_Budget/21)</f>
        <v>0</v>
      </c>
      <c r="S16" s="27"/>
      <c r="T16" s="27"/>
      <c r="U16" s="26"/>
      <c r="V16" s="7"/>
      <c r="W16" s="7"/>
      <c r="X16" s="26"/>
      <c r="Y16" s="8">
        <f>IF(G16="","",IF(COUNTIFS('Meal Prep'!$D$5:$D$124,G16)&gt;0,"Yes","No"))</f>
        <v>0</v>
      </c>
      <c r="Z16" s="8">
        <f>IF(G16="","",COUNTIFS('Recipe Ingredients'!$A$5:$A$1204,G16))</f>
        <v>0</v>
      </c>
      <c r="AA16" s="25"/>
      <c r="AB16" s="8">
        <f>IF(OR(B16="",Q16=""),"",COUNTIFS($B$5:$B$504,B16,$Q$5:$Q$504,"&gt;"&amp;Q16)+1)</f>
        <v>0</v>
      </c>
      <c r="AC16" s="8">
        <f>IF(OR(B16="",L16=""),"",COUNTIFS($B$5:$B$504,B16,$L$5:$L$504,"&gt;"&amp;L16)+1)</f>
        <v>0</v>
      </c>
      <c r="AD16" s="8">
        <f>IF(G16="","",IF(COUNTIFS($G$5:$G$504,G16)&gt;1,"Repeat","Once"))</f>
        <v>0</v>
      </c>
      <c r="AE16" s="8">
        <f>IF(G16="","",IF(IFERROR(INDEX(Recipes!$X$5:$X$204,MATCH(G16,Recipes!$A$5:$A$204,0)),"")="","",IFERROR(B16-IFERROR(INDEX(Recipes!$X$5:$X$204,MATCH(G16,Recipes!$A$5:$A$204,0)),""),"")))</f>
        <v>0</v>
      </c>
      <c r="AF16" s="8">
        <f>IF(G16="","",IF(AE16="","Yes",IF(AE16&gt;=Rotation_Gap_Days,"Yes","No")))</f>
        <v>0</v>
      </c>
      <c r="AG16" s="8">
        <f>IF(G16="","",IF(COUNTIFS('Recipe Ingredients'!$A$5:$A$1204,G16,'Recipe Ingredients'!$AC$5:$AC$1204,"Check")&gt;0,"Check","OK"))</f>
        <v>0</v>
      </c>
    </row>
    <row r="17" spans="1:33">
      <c r="A17" s="7"/>
      <c r="B17" s="30"/>
      <c r="C17" s="8">
        <f>IF(B17="","",B17-WEEKDAY(B17,2)+1)</f>
        <v>0</v>
      </c>
      <c r="D17" s="8">
        <f>IF(B17="","",TEXT(B17,"ddd"))</f>
        <v>0</v>
      </c>
      <c r="E17" s="8">
        <f>IF(B17="","",TEXT(B17,"mmm yyyy"))</f>
        <v>0</v>
      </c>
      <c r="F17" s="27"/>
      <c r="G17" s="7"/>
      <c r="H17" s="26"/>
      <c r="I17" s="8">
        <f>IF(G17="","",IFERROR(INDEX(Recipes!$D$5:$D$204,MATCH(G17,Recipes!$A$5:$A$204,0)),""))</f>
        <v>0</v>
      </c>
      <c r="J17" s="8">
        <f>IF(OR(G17="",H17="",I17="",I17=0),"",H17/I17)</f>
        <v>0</v>
      </c>
      <c r="K17" s="8">
        <f>IF(B17="","",Household_Size)</f>
        <v>0</v>
      </c>
      <c r="L17" s="8">
        <f>IF(OR(G17="",H17=""),"",IFERROR(IFERROR(INDEX(Recipes!$H$5:$H$204,MATCH(G17,Recipes!$A$5:$A$204,0)),"")*H17,""))</f>
        <v>0</v>
      </c>
      <c r="M17" s="8">
        <f>IF(OR(G17="",H17=""),"",IFERROR(IFERROR(INDEX(Recipes!$I$5:$I$204,MATCH(G17,Recipes!$A$5:$A$204,0)),"")*H17,""))</f>
        <v>0</v>
      </c>
      <c r="N17" s="8">
        <f>IF(OR(G17="",H17=""),"",IFERROR(IFERROR(INDEX(Recipes!$J$5:$J$204,MATCH(G17,Recipes!$A$5:$A$204,0)),"")*H17,""))</f>
        <v>0</v>
      </c>
      <c r="O17" s="8">
        <f>IF(OR(G17="",H17=""),"",IFERROR(IFERROR(INDEX(Recipes!$K$5:$K$204,MATCH(G17,Recipes!$A$5:$A$204,0)),"")*H17,""))</f>
        <v>0</v>
      </c>
      <c r="P17" s="8">
        <f>IF(OR(G17="",H17=""),"",IFERROR(IFERROR(INDEX(Recipes!$L$5:$L$204,MATCH(G17,Recipes!$A$5:$A$204,0)),"")*H17,""))</f>
        <v>0</v>
      </c>
      <c r="Q17" s="8">
        <f>IF(OR(G17="",H17=""),"",IFERROR(IFERROR(INDEX(Recipes!$Q$5:$Q$204,MATCH(G17,Recipes!$A$5:$A$204,0)),"")*H17,""))</f>
        <v>0</v>
      </c>
      <c r="R17" s="8">
        <f>IF(F17="","",Weekly_Budget/21)</f>
        <v>0</v>
      </c>
      <c r="S17" s="27"/>
      <c r="T17" s="27"/>
      <c r="U17" s="26"/>
      <c r="V17" s="7"/>
      <c r="W17" s="7"/>
      <c r="X17" s="26"/>
      <c r="Y17" s="8">
        <f>IF(G17="","",IF(COUNTIFS('Meal Prep'!$D$5:$D$124,G17)&gt;0,"Yes","No"))</f>
        <v>0</v>
      </c>
      <c r="Z17" s="8">
        <f>IF(G17="","",COUNTIFS('Recipe Ingredients'!$A$5:$A$1204,G17))</f>
        <v>0</v>
      </c>
      <c r="AA17" s="25"/>
      <c r="AB17" s="8">
        <f>IF(OR(B17="",Q17=""),"",COUNTIFS($B$5:$B$504,B17,$Q$5:$Q$504,"&gt;"&amp;Q17)+1)</f>
        <v>0</v>
      </c>
      <c r="AC17" s="8">
        <f>IF(OR(B17="",L17=""),"",COUNTIFS($B$5:$B$504,B17,$L$5:$L$504,"&gt;"&amp;L17)+1)</f>
        <v>0</v>
      </c>
      <c r="AD17" s="8">
        <f>IF(G17="","",IF(COUNTIFS($G$5:$G$504,G17)&gt;1,"Repeat","Once"))</f>
        <v>0</v>
      </c>
      <c r="AE17" s="8">
        <f>IF(G17="","",IF(IFERROR(INDEX(Recipes!$X$5:$X$204,MATCH(G17,Recipes!$A$5:$A$204,0)),"")="","",IFERROR(B17-IFERROR(INDEX(Recipes!$X$5:$X$204,MATCH(G17,Recipes!$A$5:$A$204,0)),""),"")))</f>
        <v>0</v>
      </c>
      <c r="AF17" s="8">
        <f>IF(G17="","",IF(AE17="","Yes",IF(AE17&gt;=Rotation_Gap_Days,"Yes","No")))</f>
        <v>0</v>
      </c>
      <c r="AG17" s="8">
        <f>IF(G17="","",IF(COUNTIFS('Recipe Ingredients'!$A$5:$A$1204,G17,'Recipe Ingredients'!$AC$5:$AC$1204,"Check")&gt;0,"Check","OK"))</f>
        <v>0</v>
      </c>
    </row>
    <row r="18" spans="1:33">
      <c r="A18" s="7"/>
      <c r="B18" s="30"/>
      <c r="C18" s="8">
        <f>IF(B18="","",B18-WEEKDAY(B18,2)+1)</f>
        <v>0</v>
      </c>
      <c r="D18" s="8">
        <f>IF(B18="","",TEXT(B18,"ddd"))</f>
        <v>0</v>
      </c>
      <c r="E18" s="8">
        <f>IF(B18="","",TEXT(B18,"mmm yyyy"))</f>
        <v>0</v>
      </c>
      <c r="F18" s="27"/>
      <c r="G18" s="7"/>
      <c r="H18" s="26"/>
      <c r="I18" s="8">
        <f>IF(G18="","",IFERROR(INDEX(Recipes!$D$5:$D$204,MATCH(G18,Recipes!$A$5:$A$204,0)),""))</f>
        <v>0</v>
      </c>
      <c r="J18" s="8">
        <f>IF(OR(G18="",H18="",I18="",I18=0),"",H18/I18)</f>
        <v>0</v>
      </c>
      <c r="K18" s="8">
        <f>IF(B18="","",Household_Size)</f>
        <v>0</v>
      </c>
      <c r="L18" s="8">
        <f>IF(OR(G18="",H18=""),"",IFERROR(IFERROR(INDEX(Recipes!$H$5:$H$204,MATCH(G18,Recipes!$A$5:$A$204,0)),"")*H18,""))</f>
        <v>0</v>
      </c>
      <c r="M18" s="8">
        <f>IF(OR(G18="",H18=""),"",IFERROR(IFERROR(INDEX(Recipes!$I$5:$I$204,MATCH(G18,Recipes!$A$5:$A$204,0)),"")*H18,""))</f>
        <v>0</v>
      </c>
      <c r="N18" s="8">
        <f>IF(OR(G18="",H18=""),"",IFERROR(IFERROR(INDEX(Recipes!$J$5:$J$204,MATCH(G18,Recipes!$A$5:$A$204,0)),"")*H18,""))</f>
        <v>0</v>
      </c>
      <c r="O18" s="8">
        <f>IF(OR(G18="",H18=""),"",IFERROR(IFERROR(INDEX(Recipes!$K$5:$K$204,MATCH(G18,Recipes!$A$5:$A$204,0)),"")*H18,""))</f>
        <v>0</v>
      </c>
      <c r="P18" s="8">
        <f>IF(OR(G18="",H18=""),"",IFERROR(IFERROR(INDEX(Recipes!$L$5:$L$204,MATCH(G18,Recipes!$A$5:$A$204,0)),"")*H18,""))</f>
        <v>0</v>
      </c>
      <c r="Q18" s="8">
        <f>IF(OR(G18="",H18=""),"",IFERROR(IFERROR(INDEX(Recipes!$Q$5:$Q$204,MATCH(G18,Recipes!$A$5:$A$204,0)),"")*H18,""))</f>
        <v>0</v>
      </c>
      <c r="R18" s="8">
        <f>IF(F18="","",Weekly_Budget/21)</f>
        <v>0</v>
      </c>
      <c r="S18" s="27"/>
      <c r="T18" s="27"/>
      <c r="U18" s="26"/>
      <c r="V18" s="7"/>
      <c r="W18" s="7"/>
      <c r="X18" s="26"/>
      <c r="Y18" s="8">
        <f>IF(G18="","",IF(COUNTIFS('Meal Prep'!$D$5:$D$124,G18)&gt;0,"Yes","No"))</f>
        <v>0</v>
      </c>
      <c r="Z18" s="8">
        <f>IF(G18="","",COUNTIFS('Recipe Ingredients'!$A$5:$A$1204,G18))</f>
        <v>0</v>
      </c>
      <c r="AA18" s="25"/>
      <c r="AB18" s="8">
        <f>IF(OR(B18="",Q18=""),"",COUNTIFS($B$5:$B$504,B18,$Q$5:$Q$504,"&gt;"&amp;Q18)+1)</f>
        <v>0</v>
      </c>
      <c r="AC18" s="8">
        <f>IF(OR(B18="",L18=""),"",COUNTIFS($B$5:$B$504,B18,$L$5:$L$504,"&gt;"&amp;L18)+1)</f>
        <v>0</v>
      </c>
      <c r="AD18" s="8">
        <f>IF(G18="","",IF(COUNTIFS($G$5:$G$504,G18)&gt;1,"Repeat","Once"))</f>
        <v>0</v>
      </c>
      <c r="AE18" s="8">
        <f>IF(G18="","",IF(IFERROR(INDEX(Recipes!$X$5:$X$204,MATCH(G18,Recipes!$A$5:$A$204,0)),"")="","",IFERROR(B18-IFERROR(INDEX(Recipes!$X$5:$X$204,MATCH(G18,Recipes!$A$5:$A$204,0)),""),"")))</f>
        <v>0</v>
      </c>
      <c r="AF18" s="8">
        <f>IF(G18="","",IF(AE18="","Yes",IF(AE18&gt;=Rotation_Gap_Days,"Yes","No")))</f>
        <v>0</v>
      </c>
      <c r="AG18" s="8">
        <f>IF(G18="","",IF(COUNTIFS('Recipe Ingredients'!$A$5:$A$1204,G18,'Recipe Ingredients'!$AC$5:$AC$1204,"Check")&gt;0,"Check","OK"))</f>
        <v>0</v>
      </c>
    </row>
    <row r="19" spans="1:33">
      <c r="A19" s="7"/>
      <c r="B19" s="30"/>
      <c r="C19" s="8">
        <f>IF(B19="","",B19-WEEKDAY(B19,2)+1)</f>
        <v>0</v>
      </c>
      <c r="D19" s="8">
        <f>IF(B19="","",TEXT(B19,"ddd"))</f>
        <v>0</v>
      </c>
      <c r="E19" s="8">
        <f>IF(B19="","",TEXT(B19,"mmm yyyy"))</f>
        <v>0</v>
      </c>
      <c r="F19" s="27"/>
      <c r="G19" s="7"/>
      <c r="H19" s="26"/>
      <c r="I19" s="8">
        <f>IF(G19="","",IFERROR(INDEX(Recipes!$D$5:$D$204,MATCH(G19,Recipes!$A$5:$A$204,0)),""))</f>
        <v>0</v>
      </c>
      <c r="J19" s="8">
        <f>IF(OR(G19="",H19="",I19="",I19=0),"",H19/I19)</f>
        <v>0</v>
      </c>
      <c r="K19" s="8">
        <f>IF(B19="","",Household_Size)</f>
        <v>0</v>
      </c>
      <c r="L19" s="8">
        <f>IF(OR(G19="",H19=""),"",IFERROR(IFERROR(INDEX(Recipes!$H$5:$H$204,MATCH(G19,Recipes!$A$5:$A$204,0)),"")*H19,""))</f>
        <v>0</v>
      </c>
      <c r="M19" s="8">
        <f>IF(OR(G19="",H19=""),"",IFERROR(IFERROR(INDEX(Recipes!$I$5:$I$204,MATCH(G19,Recipes!$A$5:$A$204,0)),"")*H19,""))</f>
        <v>0</v>
      </c>
      <c r="N19" s="8">
        <f>IF(OR(G19="",H19=""),"",IFERROR(IFERROR(INDEX(Recipes!$J$5:$J$204,MATCH(G19,Recipes!$A$5:$A$204,0)),"")*H19,""))</f>
        <v>0</v>
      </c>
      <c r="O19" s="8">
        <f>IF(OR(G19="",H19=""),"",IFERROR(IFERROR(INDEX(Recipes!$K$5:$K$204,MATCH(G19,Recipes!$A$5:$A$204,0)),"")*H19,""))</f>
        <v>0</v>
      </c>
      <c r="P19" s="8">
        <f>IF(OR(G19="",H19=""),"",IFERROR(IFERROR(INDEX(Recipes!$L$5:$L$204,MATCH(G19,Recipes!$A$5:$A$204,0)),"")*H19,""))</f>
        <v>0</v>
      </c>
      <c r="Q19" s="8">
        <f>IF(OR(G19="",H19=""),"",IFERROR(IFERROR(INDEX(Recipes!$Q$5:$Q$204,MATCH(G19,Recipes!$A$5:$A$204,0)),"")*H19,""))</f>
        <v>0</v>
      </c>
      <c r="R19" s="8">
        <f>IF(F19="","",Weekly_Budget/21)</f>
        <v>0</v>
      </c>
      <c r="S19" s="27"/>
      <c r="T19" s="27"/>
      <c r="U19" s="26"/>
      <c r="V19" s="7"/>
      <c r="W19" s="7"/>
      <c r="X19" s="26"/>
      <c r="Y19" s="8">
        <f>IF(G19="","",IF(COUNTIFS('Meal Prep'!$D$5:$D$124,G19)&gt;0,"Yes","No"))</f>
        <v>0</v>
      </c>
      <c r="Z19" s="8">
        <f>IF(G19="","",COUNTIFS('Recipe Ingredients'!$A$5:$A$1204,G19))</f>
        <v>0</v>
      </c>
      <c r="AA19" s="25"/>
      <c r="AB19" s="8">
        <f>IF(OR(B19="",Q19=""),"",COUNTIFS($B$5:$B$504,B19,$Q$5:$Q$504,"&gt;"&amp;Q19)+1)</f>
        <v>0</v>
      </c>
      <c r="AC19" s="8">
        <f>IF(OR(B19="",L19=""),"",COUNTIFS($B$5:$B$504,B19,$L$5:$L$504,"&gt;"&amp;L19)+1)</f>
        <v>0</v>
      </c>
      <c r="AD19" s="8">
        <f>IF(G19="","",IF(COUNTIFS($G$5:$G$504,G19)&gt;1,"Repeat","Once"))</f>
        <v>0</v>
      </c>
      <c r="AE19" s="8">
        <f>IF(G19="","",IF(IFERROR(INDEX(Recipes!$X$5:$X$204,MATCH(G19,Recipes!$A$5:$A$204,0)),"")="","",IFERROR(B19-IFERROR(INDEX(Recipes!$X$5:$X$204,MATCH(G19,Recipes!$A$5:$A$204,0)),""),"")))</f>
        <v>0</v>
      </c>
      <c r="AF19" s="8">
        <f>IF(G19="","",IF(AE19="","Yes",IF(AE19&gt;=Rotation_Gap_Days,"Yes","No")))</f>
        <v>0</v>
      </c>
      <c r="AG19" s="8">
        <f>IF(G19="","",IF(COUNTIFS('Recipe Ingredients'!$A$5:$A$1204,G19,'Recipe Ingredients'!$AC$5:$AC$1204,"Check")&gt;0,"Check","OK"))</f>
        <v>0</v>
      </c>
    </row>
    <row r="20" spans="1:33">
      <c r="A20" s="7"/>
      <c r="B20" s="30"/>
      <c r="C20" s="8">
        <f>IF(B20="","",B20-WEEKDAY(B20,2)+1)</f>
        <v>0</v>
      </c>
      <c r="D20" s="8">
        <f>IF(B20="","",TEXT(B20,"ddd"))</f>
        <v>0</v>
      </c>
      <c r="E20" s="8">
        <f>IF(B20="","",TEXT(B20,"mmm yyyy"))</f>
        <v>0</v>
      </c>
      <c r="F20" s="27"/>
      <c r="G20" s="7"/>
      <c r="H20" s="26"/>
      <c r="I20" s="8">
        <f>IF(G20="","",IFERROR(INDEX(Recipes!$D$5:$D$204,MATCH(G20,Recipes!$A$5:$A$204,0)),""))</f>
        <v>0</v>
      </c>
      <c r="J20" s="8">
        <f>IF(OR(G20="",H20="",I20="",I20=0),"",H20/I20)</f>
        <v>0</v>
      </c>
      <c r="K20" s="8">
        <f>IF(B20="","",Household_Size)</f>
        <v>0</v>
      </c>
      <c r="L20" s="8">
        <f>IF(OR(G20="",H20=""),"",IFERROR(IFERROR(INDEX(Recipes!$H$5:$H$204,MATCH(G20,Recipes!$A$5:$A$204,0)),"")*H20,""))</f>
        <v>0</v>
      </c>
      <c r="M20" s="8">
        <f>IF(OR(G20="",H20=""),"",IFERROR(IFERROR(INDEX(Recipes!$I$5:$I$204,MATCH(G20,Recipes!$A$5:$A$204,0)),"")*H20,""))</f>
        <v>0</v>
      </c>
      <c r="N20" s="8">
        <f>IF(OR(G20="",H20=""),"",IFERROR(IFERROR(INDEX(Recipes!$J$5:$J$204,MATCH(G20,Recipes!$A$5:$A$204,0)),"")*H20,""))</f>
        <v>0</v>
      </c>
      <c r="O20" s="8">
        <f>IF(OR(G20="",H20=""),"",IFERROR(IFERROR(INDEX(Recipes!$K$5:$K$204,MATCH(G20,Recipes!$A$5:$A$204,0)),"")*H20,""))</f>
        <v>0</v>
      </c>
      <c r="P20" s="8">
        <f>IF(OR(G20="",H20=""),"",IFERROR(IFERROR(INDEX(Recipes!$L$5:$L$204,MATCH(G20,Recipes!$A$5:$A$204,0)),"")*H20,""))</f>
        <v>0</v>
      </c>
      <c r="Q20" s="8">
        <f>IF(OR(G20="",H20=""),"",IFERROR(IFERROR(INDEX(Recipes!$Q$5:$Q$204,MATCH(G20,Recipes!$A$5:$A$204,0)),"")*H20,""))</f>
        <v>0</v>
      </c>
      <c r="R20" s="8">
        <f>IF(F20="","",Weekly_Budget/21)</f>
        <v>0</v>
      </c>
      <c r="S20" s="27"/>
      <c r="T20" s="27"/>
      <c r="U20" s="26"/>
      <c r="V20" s="7"/>
      <c r="W20" s="7"/>
      <c r="X20" s="26"/>
      <c r="Y20" s="8">
        <f>IF(G20="","",IF(COUNTIFS('Meal Prep'!$D$5:$D$124,G20)&gt;0,"Yes","No"))</f>
        <v>0</v>
      </c>
      <c r="Z20" s="8">
        <f>IF(G20="","",COUNTIFS('Recipe Ingredients'!$A$5:$A$1204,G20))</f>
        <v>0</v>
      </c>
      <c r="AA20" s="25"/>
      <c r="AB20" s="8">
        <f>IF(OR(B20="",Q20=""),"",COUNTIFS($B$5:$B$504,B20,$Q$5:$Q$504,"&gt;"&amp;Q20)+1)</f>
        <v>0</v>
      </c>
      <c r="AC20" s="8">
        <f>IF(OR(B20="",L20=""),"",COUNTIFS($B$5:$B$504,B20,$L$5:$L$504,"&gt;"&amp;L20)+1)</f>
        <v>0</v>
      </c>
      <c r="AD20" s="8">
        <f>IF(G20="","",IF(COUNTIFS($G$5:$G$504,G20)&gt;1,"Repeat","Once"))</f>
        <v>0</v>
      </c>
      <c r="AE20" s="8">
        <f>IF(G20="","",IF(IFERROR(INDEX(Recipes!$X$5:$X$204,MATCH(G20,Recipes!$A$5:$A$204,0)),"")="","",IFERROR(B20-IFERROR(INDEX(Recipes!$X$5:$X$204,MATCH(G20,Recipes!$A$5:$A$204,0)),""),"")))</f>
        <v>0</v>
      </c>
      <c r="AF20" s="8">
        <f>IF(G20="","",IF(AE20="","Yes",IF(AE20&gt;=Rotation_Gap_Days,"Yes","No")))</f>
        <v>0</v>
      </c>
      <c r="AG20" s="8">
        <f>IF(G20="","",IF(COUNTIFS('Recipe Ingredients'!$A$5:$A$1204,G20,'Recipe Ingredients'!$AC$5:$AC$1204,"Check")&gt;0,"Check","OK"))</f>
        <v>0</v>
      </c>
    </row>
    <row r="21" spans="1:33">
      <c r="A21" s="7"/>
      <c r="B21" s="30"/>
      <c r="C21" s="8">
        <f>IF(B21="","",B21-WEEKDAY(B21,2)+1)</f>
        <v>0</v>
      </c>
      <c r="D21" s="8">
        <f>IF(B21="","",TEXT(B21,"ddd"))</f>
        <v>0</v>
      </c>
      <c r="E21" s="8">
        <f>IF(B21="","",TEXT(B21,"mmm yyyy"))</f>
        <v>0</v>
      </c>
      <c r="F21" s="27"/>
      <c r="G21" s="7"/>
      <c r="H21" s="26"/>
      <c r="I21" s="8">
        <f>IF(G21="","",IFERROR(INDEX(Recipes!$D$5:$D$204,MATCH(G21,Recipes!$A$5:$A$204,0)),""))</f>
        <v>0</v>
      </c>
      <c r="J21" s="8">
        <f>IF(OR(G21="",H21="",I21="",I21=0),"",H21/I21)</f>
        <v>0</v>
      </c>
      <c r="K21" s="8">
        <f>IF(B21="","",Household_Size)</f>
        <v>0</v>
      </c>
      <c r="L21" s="8">
        <f>IF(OR(G21="",H21=""),"",IFERROR(IFERROR(INDEX(Recipes!$H$5:$H$204,MATCH(G21,Recipes!$A$5:$A$204,0)),"")*H21,""))</f>
        <v>0</v>
      </c>
      <c r="M21" s="8">
        <f>IF(OR(G21="",H21=""),"",IFERROR(IFERROR(INDEX(Recipes!$I$5:$I$204,MATCH(G21,Recipes!$A$5:$A$204,0)),"")*H21,""))</f>
        <v>0</v>
      </c>
      <c r="N21" s="8">
        <f>IF(OR(G21="",H21=""),"",IFERROR(IFERROR(INDEX(Recipes!$J$5:$J$204,MATCH(G21,Recipes!$A$5:$A$204,0)),"")*H21,""))</f>
        <v>0</v>
      </c>
      <c r="O21" s="8">
        <f>IF(OR(G21="",H21=""),"",IFERROR(IFERROR(INDEX(Recipes!$K$5:$K$204,MATCH(G21,Recipes!$A$5:$A$204,0)),"")*H21,""))</f>
        <v>0</v>
      </c>
      <c r="P21" s="8">
        <f>IF(OR(G21="",H21=""),"",IFERROR(IFERROR(INDEX(Recipes!$L$5:$L$204,MATCH(G21,Recipes!$A$5:$A$204,0)),"")*H21,""))</f>
        <v>0</v>
      </c>
      <c r="Q21" s="8">
        <f>IF(OR(G21="",H21=""),"",IFERROR(IFERROR(INDEX(Recipes!$Q$5:$Q$204,MATCH(G21,Recipes!$A$5:$A$204,0)),"")*H21,""))</f>
        <v>0</v>
      </c>
      <c r="R21" s="8">
        <f>IF(F21="","",Weekly_Budget/21)</f>
        <v>0</v>
      </c>
      <c r="S21" s="27"/>
      <c r="T21" s="27"/>
      <c r="U21" s="26"/>
      <c r="V21" s="7"/>
      <c r="W21" s="7"/>
      <c r="X21" s="26"/>
      <c r="Y21" s="8">
        <f>IF(G21="","",IF(COUNTIFS('Meal Prep'!$D$5:$D$124,G21)&gt;0,"Yes","No"))</f>
        <v>0</v>
      </c>
      <c r="Z21" s="8">
        <f>IF(G21="","",COUNTIFS('Recipe Ingredients'!$A$5:$A$1204,G21))</f>
        <v>0</v>
      </c>
      <c r="AA21" s="25"/>
      <c r="AB21" s="8">
        <f>IF(OR(B21="",Q21=""),"",COUNTIFS($B$5:$B$504,B21,$Q$5:$Q$504,"&gt;"&amp;Q21)+1)</f>
        <v>0</v>
      </c>
      <c r="AC21" s="8">
        <f>IF(OR(B21="",L21=""),"",COUNTIFS($B$5:$B$504,B21,$L$5:$L$504,"&gt;"&amp;L21)+1)</f>
        <v>0</v>
      </c>
      <c r="AD21" s="8">
        <f>IF(G21="","",IF(COUNTIFS($G$5:$G$504,G21)&gt;1,"Repeat","Once"))</f>
        <v>0</v>
      </c>
      <c r="AE21" s="8">
        <f>IF(G21="","",IF(IFERROR(INDEX(Recipes!$X$5:$X$204,MATCH(G21,Recipes!$A$5:$A$204,0)),"")="","",IFERROR(B21-IFERROR(INDEX(Recipes!$X$5:$X$204,MATCH(G21,Recipes!$A$5:$A$204,0)),""),"")))</f>
        <v>0</v>
      </c>
      <c r="AF21" s="8">
        <f>IF(G21="","",IF(AE21="","Yes",IF(AE21&gt;=Rotation_Gap_Days,"Yes","No")))</f>
        <v>0</v>
      </c>
      <c r="AG21" s="8">
        <f>IF(G21="","",IF(COUNTIFS('Recipe Ingredients'!$A$5:$A$1204,G21,'Recipe Ingredients'!$AC$5:$AC$1204,"Check")&gt;0,"Check","OK"))</f>
        <v>0</v>
      </c>
    </row>
    <row r="22" spans="1:33">
      <c r="A22" s="7"/>
      <c r="B22" s="30"/>
      <c r="C22" s="8">
        <f>IF(B22="","",B22-WEEKDAY(B22,2)+1)</f>
        <v>0</v>
      </c>
      <c r="D22" s="8">
        <f>IF(B22="","",TEXT(B22,"ddd"))</f>
        <v>0</v>
      </c>
      <c r="E22" s="8">
        <f>IF(B22="","",TEXT(B22,"mmm yyyy"))</f>
        <v>0</v>
      </c>
      <c r="F22" s="27"/>
      <c r="G22" s="7"/>
      <c r="H22" s="26"/>
      <c r="I22" s="8">
        <f>IF(G22="","",IFERROR(INDEX(Recipes!$D$5:$D$204,MATCH(G22,Recipes!$A$5:$A$204,0)),""))</f>
        <v>0</v>
      </c>
      <c r="J22" s="8">
        <f>IF(OR(G22="",H22="",I22="",I22=0),"",H22/I22)</f>
        <v>0</v>
      </c>
      <c r="K22" s="8">
        <f>IF(B22="","",Household_Size)</f>
        <v>0</v>
      </c>
      <c r="L22" s="8">
        <f>IF(OR(G22="",H22=""),"",IFERROR(IFERROR(INDEX(Recipes!$H$5:$H$204,MATCH(G22,Recipes!$A$5:$A$204,0)),"")*H22,""))</f>
        <v>0</v>
      </c>
      <c r="M22" s="8">
        <f>IF(OR(G22="",H22=""),"",IFERROR(IFERROR(INDEX(Recipes!$I$5:$I$204,MATCH(G22,Recipes!$A$5:$A$204,0)),"")*H22,""))</f>
        <v>0</v>
      </c>
      <c r="N22" s="8">
        <f>IF(OR(G22="",H22=""),"",IFERROR(IFERROR(INDEX(Recipes!$J$5:$J$204,MATCH(G22,Recipes!$A$5:$A$204,0)),"")*H22,""))</f>
        <v>0</v>
      </c>
      <c r="O22" s="8">
        <f>IF(OR(G22="",H22=""),"",IFERROR(IFERROR(INDEX(Recipes!$K$5:$K$204,MATCH(G22,Recipes!$A$5:$A$204,0)),"")*H22,""))</f>
        <v>0</v>
      </c>
      <c r="P22" s="8">
        <f>IF(OR(G22="",H22=""),"",IFERROR(IFERROR(INDEX(Recipes!$L$5:$L$204,MATCH(G22,Recipes!$A$5:$A$204,0)),"")*H22,""))</f>
        <v>0</v>
      </c>
      <c r="Q22" s="8">
        <f>IF(OR(G22="",H22=""),"",IFERROR(IFERROR(INDEX(Recipes!$Q$5:$Q$204,MATCH(G22,Recipes!$A$5:$A$204,0)),"")*H22,""))</f>
        <v>0</v>
      </c>
      <c r="R22" s="8">
        <f>IF(F22="","",Weekly_Budget/21)</f>
        <v>0</v>
      </c>
      <c r="S22" s="27"/>
      <c r="T22" s="27"/>
      <c r="U22" s="26"/>
      <c r="V22" s="7"/>
      <c r="W22" s="7"/>
      <c r="X22" s="26"/>
      <c r="Y22" s="8">
        <f>IF(G22="","",IF(COUNTIFS('Meal Prep'!$D$5:$D$124,G22)&gt;0,"Yes","No"))</f>
        <v>0</v>
      </c>
      <c r="Z22" s="8">
        <f>IF(G22="","",COUNTIFS('Recipe Ingredients'!$A$5:$A$1204,G22))</f>
        <v>0</v>
      </c>
      <c r="AA22" s="25"/>
      <c r="AB22" s="8">
        <f>IF(OR(B22="",Q22=""),"",COUNTIFS($B$5:$B$504,B22,$Q$5:$Q$504,"&gt;"&amp;Q22)+1)</f>
        <v>0</v>
      </c>
      <c r="AC22" s="8">
        <f>IF(OR(B22="",L22=""),"",COUNTIFS($B$5:$B$504,B22,$L$5:$L$504,"&gt;"&amp;L22)+1)</f>
        <v>0</v>
      </c>
      <c r="AD22" s="8">
        <f>IF(G22="","",IF(COUNTIFS($G$5:$G$504,G22)&gt;1,"Repeat","Once"))</f>
        <v>0</v>
      </c>
      <c r="AE22" s="8">
        <f>IF(G22="","",IF(IFERROR(INDEX(Recipes!$X$5:$X$204,MATCH(G22,Recipes!$A$5:$A$204,0)),"")="","",IFERROR(B22-IFERROR(INDEX(Recipes!$X$5:$X$204,MATCH(G22,Recipes!$A$5:$A$204,0)),""),"")))</f>
        <v>0</v>
      </c>
      <c r="AF22" s="8">
        <f>IF(G22="","",IF(AE22="","Yes",IF(AE22&gt;=Rotation_Gap_Days,"Yes","No")))</f>
        <v>0</v>
      </c>
      <c r="AG22" s="8">
        <f>IF(G22="","",IF(COUNTIFS('Recipe Ingredients'!$A$5:$A$1204,G22,'Recipe Ingredients'!$AC$5:$AC$1204,"Check")&gt;0,"Check","OK"))</f>
        <v>0</v>
      </c>
    </row>
    <row r="23" spans="1:33">
      <c r="A23" s="7"/>
      <c r="B23" s="30"/>
      <c r="C23" s="8">
        <f>IF(B23="","",B23-WEEKDAY(B23,2)+1)</f>
        <v>0</v>
      </c>
      <c r="D23" s="8">
        <f>IF(B23="","",TEXT(B23,"ddd"))</f>
        <v>0</v>
      </c>
      <c r="E23" s="8">
        <f>IF(B23="","",TEXT(B23,"mmm yyyy"))</f>
        <v>0</v>
      </c>
      <c r="F23" s="27"/>
      <c r="G23" s="7"/>
      <c r="H23" s="26"/>
      <c r="I23" s="8">
        <f>IF(G23="","",IFERROR(INDEX(Recipes!$D$5:$D$204,MATCH(G23,Recipes!$A$5:$A$204,0)),""))</f>
        <v>0</v>
      </c>
      <c r="J23" s="8">
        <f>IF(OR(G23="",H23="",I23="",I23=0),"",H23/I23)</f>
        <v>0</v>
      </c>
      <c r="K23" s="8">
        <f>IF(B23="","",Household_Size)</f>
        <v>0</v>
      </c>
      <c r="L23" s="8">
        <f>IF(OR(G23="",H23=""),"",IFERROR(IFERROR(INDEX(Recipes!$H$5:$H$204,MATCH(G23,Recipes!$A$5:$A$204,0)),"")*H23,""))</f>
        <v>0</v>
      </c>
      <c r="M23" s="8">
        <f>IF(OR(G23="",H23=""),"",IFERROR(IFERROR(INDEX(Recipes!$I$5:$I$204,MATCH(G23,Recipes!$A$5:$A$204,0)),"")*H23,""))</f>
        <v>0</v>
      </c>
      <c r="N23" s="8">
        <f>IF(OR(G23="",H23=""),"",IFERROR(IFERROR(INDEX(Recipes!$J$5:$J$204,MATCH(G23,Recipes!$A$5:$A$204,0)),"")*H23,""))</f>
        <v>0</v>
      </c>
      <c r="O23" s="8">
        <f>IF(OR(G23="",H23=""),"",IFERROR(IFERROR(INDEX(Recipes!$K$5:$K$204,MATCH(G23,Recipes!$A$5:$A$204,0)),"")*H23,""))</f>
        <v>0</v>
      </c>
      <c r="P23" s="8">
        <f>IF(OR(G23="",H23=""),"",IFERROR(IFERROR(INDEX(Recipes!$L$5:$L$204,MATCH(G23,Recipes!$A$5:$A$204,0)),"")*H23,""))</f>
        <v>0</v>
      </c>
      <c r="Q23" s="8">
        <f>IF(OR(G23="",H23=""),"",IFERROR(IFERROR(INDEX(Recipes!$Q$5:$Q$204,MATCH(G23,Recipes!$A$5:$A$204,0)),"")*H23,""))</f>
        <v>0</v>
      </c>
      <c r="R23" s="8">
        <f>IF(F23="","",Weekly_Budget/21)</f>
        <v>0</v>
      </c>
      <c r="S23" s="27"/>
      <c r="T23" s="27"/>
      <c r="U23" s="26"/>
      <c r="V23" s="7"/>
      <c r="W23" s="7"/>
      <c r="X23" s="26"/>
      <c r="Y23" s="8">
        <f>IF(G23="","",IF(COUNTIFS('Meal Prep'!$D$5:$D$124,G23)&gt;0,"Yes","No"))</f>
        <v>0</v>
      </c>
      <c r="Z23" s="8">
        <f>IF(G23="","",COUNTIFS('Recipe Ingredients'!$A$5:$A$1204,G23))</f>
        <v>0</v>
      </c>
      <c r="AA23" s="25"/>
      <c r="AB23" s="8">
        <f>IF(OR(B23="",Q23=""),"",COUNTIFS($B$5:$B$504,B23,$Q$5:$Q$504,"&gt;"&amp;Q23)+1)</f>
        <v>0</v>
      </c>
      <c r="AC23" s="8">
        <f>IF(OR(B23="",L23=""),"",COUNTIFS($B$5:$B$504,B23,$L$5:$L$504,"&gt;"&amp;L23)+1)</f>
        <v>0</v>
      </c>
      <c r="AD23" s="8">
        <f>IF(G23="","",IF(COUNTIFS($G$5:$G$504,G23)&gt;1,"Repeat","Once"))</f>
        <v>0</v>
      </c>
      <c r="AE23" s="8">
        <f>IF(G23="","",IF(IFERROR(INDEX(Recipes!$X$5:$X$204,MATCH(G23,Recipes!$A$5:$A$204,0)),"")="","",IFERROR(B23-IFERROR(INDEX(Recipes!$X$5:$X$204,MATCH(G23,Recipes!$A$5:$A$204,0)),""),"")))</f>
        <v>0</v>
      </c>
      <c r="AF23" s="8">
        <f>IF(G23="","",IF(AE23="","Yes",IF(AE23&gt;=Rotation_Gap_Days,"Yes","No")))</f>
        <v>0</v>
      </c>
      <c r="AG23" s="8">
        <f>IF(G23="","",IF(COUNTIFS('Recipe Ingredients'!$A$5:$A$1204,G23,'Recipe Ingredients'!$AC$5:$AC$1204,"Check")&gt;0,"Check","OK"))</f>
        <v>0</v>
      </c>
    </row>
    <row r="24" spans="1:33">
      <c r="A24" s="7"/>
      <c r="B24" s="30"/>
      <c r="C24" s="8">
        <f>IF(B24="","",B24-WEEKDAY(B24,2)+1)</f>
        <v>0</v>
      </c>
      <c r="D24" s="8">
        <f>IF(B24="","",TEXT(B24,"ddd"))</f>
        <v>0</v>
      </c>
      <c r="E24" s="8">
        <f>IF(B24="","",TEXT(B24,"mmm yyyy"))</f>
        <v>0</v>
      </c>
      <c r="F24" s="27"/>
      <c r="G24" s="7"/>
      <c r="H24" s="26"/>
      <c r="I24" s="8">
        <f>IF(G24="","",IFERROR(INDEX(Recipes!$D$5:$D$204,MATCH(G24,Recipes!$A$5:$A$204,0)),""))</f>
        <v>0</v>
      </c>
      <c r="J24" s="8">
        <f>IF(OR(G24="",H24="",I24="",I24=0),"",H24/I24)</f>
        <v>0</v>
      </c>
      <c r="K24" s="8">
        <f>IF(B24="","",Household_Size)</f>
        <v>0</v>
      </c>
      <c r="L24" s="8">
        <f>IF(OR(G24="",H24=""),"",IFERROR(IFERROR(INDEX(Recipes!$H$5:$H$204,MATCH(G24,Recipes!$A$5:$A$204,0)),"")*H24,""))</f>
        <v>0</v>
      </c>
      <c r="M24" s="8">
        <f>IF(OR(G24="",H24=""),"",IFERROR(IFERROR(INDEX(Recipes!$I$5:$I$204,MATCH(G24,Recipes!$A$5:$A$204,0)),"")*H24,""))</f>
        <v>0</v>
      </c>
      <c r="N24" s="8">
        <f>IF(OR(G24="",H24=""),"",IFERROR(IFERROR(INDEX(Recipes!$J$5:$J$204,MATCH(G24,Recipes!$A$5:$A$204,0)),"")*H24,""))</f>
        <v>0</v>
      </c>
      <c r="O24" s="8">
        <f>IF(OR(G24="",H24=""),"",IFERROR(IFERROR(INDEX(Recipes!$K$5:$K$204,MATCH(G24,Recipes!$A$5:$A$204,0)),"")*H24,""))</f>
        <v>0</v>
      </c>
      <c r="P24" s="8">
        <f>IF(OR(G24="",H24=""),"",IFERROR(IFERROR(INDEX(Recipes!$L$5:$L$204,MATCH(G24,Recipes!$A$5:$A$204,0)),"")*H24,""))</f>
        <v>0</v>
      </c>
      <c r="Q24" s="8">
        <f>IF(OR(G24="",H24=""),"",IFERROR(IFERROR(INDEX(Recipes!$Q$5:$Q$204,MATCH(G24,Recipes!$A$5:$A$204,0)),"")*H24,""))</f>
        <v>0</v>
      </c>
      <c r="R24" s="8">
        <f>IF(F24="","",Weekly_Budget/21)</f>
        <v>0</v>
      </c>
      <c r="S24" s="27"/>
      <c r="T24" s="27"/>
      <c r="U24" s="26"/>
      <c r="V24" s="7"/>
      <c r="W24" s="7"/>
      <c r="X24" s="26"/>
      <c r="Y24" s="8">
        <f>IF(G24="","",IF(COUNTIFS('Meal Prep'!$D$5:$D$124,G24)&gt;0,"Yes","No"))</f>
        <v>0</v>
      </c>
      <c r="Z24" s="8">
        <f>IF(G24="","",COUNTIFS('Recipe Ingredients'!$A$5:$A$1204,G24))</f>
        <v>0</v>
      </c>
      <c r="AA24" s="25"/>
      <c r="AB24" s="8">
        <f>IF(OR(B24="",Q24=""),"",COUNTIFS($B$5:$B$504,B24,$Q$5:$Q$504,"&gt;"&amp;Q24)+1)</f>
        <v>0</v>
      </c>
      <c r="AC24" s="8">
        <f>IF(OR(B24="",L24=""),"",COUNTIFS($B$5:$B$504,B24,$L$5:$L$504,"&gt;"&amp;L24)+1)</f>
        <v>0</v>
      </c>
      <c r="AD24" s="8">
        <f>IF(G24="","",IF(COUNTIFS($G$5:$G$504,G24)&gt;1,"Repeat","Once"))</f>
        <v>0</v>
      </c>
      <c r="AE24" s="8">
        <f>IF(G24="","",IF(IFERROR(INDEX(Recipes!$X$5:$X$204,MATCH(G24,Recipes!$A$5:$A$204,0)),"")="","",IFERROR(B24-IFERROR(INDEX(Recipes!$X$5:$X$204,MATCH(G24,Recipes!$A$5:$A$204,0)),""),"")))</f>
        <v>0</v>
      </c>
      <c r="AF24" s="8">
        <f>IF(G24="","",IF(AE24="","Yes",IF(AE24&gt;=Rotation_Gap_Days,"Yes","No")))</f>
        <v>0</v>
      </c>
      <c r="AG24" s="8">
        <f>IF(G24="","",IF(COUNTIFS('Recipe Ingredients'!$A$5:$A$1204,G24,'Recipe Ingredients'!$AC$5:$AC$1204,"Check")&gt;0,"Check","OK"))</f>
        <v>0</v>
      </c>
    </row>
    <row r="25" spans="1:33">
      <c r="A25" s="7"/>
      <c r="B25" s="30"/>
      <c r="C25" s="8">
        <f>IF(B25="","",B25-WEEKDAY(B25,2)+1)</f>
        <v>0</v>
      </c>
      <c r="D25" s="8">
        <f>IF(B25="","",TEXT(B25,"ddd"))</f>
        <v>0</v>
      </c>
      <c r="E25" s="8">
        <f>IF(B25="","",TEXT(B25,"mmm yyyy"))</f>
        <v>0</v>
      </c>
      <c r="F25" s="27"/>
      <c r="G25" s="7"/>
      <c r="H25" s="26"/>
      <c r="I25" s="8">
        <f>IF(G25="","",IFERROR(INDEX(Recipes!$D$5:$D$204,MATCH(G25,Recipes!$A$5:$A$204,0)),""))</f>
        <v>0</v>
      </c>
      <c r="J25" s="8">
        <f>IF(OR(G25="",H25="",I25="",I25=0),"",H25/I25)</f>
        <v>0</v>
      </c>
      <c r="K25" s="8">
        <f>IF(B25="","",Household_Size)</f>
        <v>0</v>
      </c>
      <c r="L25" s="8">
        <f>IF(OR(G25="",H25=""),"",IFERROR(IFERROR(INDEX(Recipes!$H$5:$H$204,MATCH(G25,Recipes!$A$5:$A$204,0)),"")*H25,""))</f>
        <v>0</v>
      </c>
      <c r="M25" s="8">
        <f>IF(OR(G25="",H25=""),"",IFERROR(IFERROR(INDEX(Recipes!$I$5:$I$204,MATCH(G25,Recipes!$A$5:$A$204,0)),"")*H25,""))</f>
        <v>0</v>
      </c>
      <c r="N25" s="8">
        <f>IF(OR(G25="",H25=""),"",IFERROR(IFERROR(INDEX(Recipes!$J$5:$J$204,MATCH(G25,Recipes!$A$5:$A$204,0)),"")*H25,""))</f>
        <v>0</v>
      </c>
      <c r="O25" s="8">
        <f>IF(OR(G25="",H25=""),"",IFERROR(IFERROR(INDEX(Recipes!$K$5:$K$204,MATCH(G25,Recipes!$A$5:$A$204,0)),"")*H25,""))</f>
        <v>0</v>
      </c>
      <c r="P25" s="8">
        <f>IF(OR(G25="",H25=""),"",IFERROR(IFERROR(INDEX(Recipes!$L$5:$L$204,MATCH(G25,Recipes!$A$5:$A$204,0)),"")*H25,""))</f>
        <v>0</v>
      </c>
      <c r="Q25" s="8">
        <f>IF(OR(G25="",H25=""),"",IFERROR(IFERROR(INDEX(Recipes!$Q$5:$Q$204,MATCH(G25,Recipes!$A$5:$A$204,0)),"")*H25,""))</f>
        <v>0</v>
      </c>
      <c r="R25" s="8">
        <f>IF(F25="","",Weekly_Budget/21)</f>
        <v>0</v>
      </c>
      <c r="S25" s="27"/>
      <c r="T25" s="27"/>
      <c r="U25" s="26"/>
      <c r="V25" s="7"/>
      <c r="W25" s="7"/>
      <c r="X25" s="26"/>
      <c r="Y25" s="8">
        <f>IF(G25="","",IF(COUNTIFS('Meal Prep'!$D$5:$D$124,G25)&gt;0,"Yes","No"))</f>
        <v>0</v>
      </c>
      <c r="Z25" s="8">
        <f>IF(G25="","",COUNTIFS('Recipe Ingredients'!$A$5:$A$1204,G25))</f>
        <v>0</v>
      </c>
      <c r="AA25" s="25"/>
      <c r="AB25" s="8">
        <f>IF(OR(B25="",Q25=""),"",COUNTIFS($B$5:$B$504,B25,$Q$5:$Q$504,"&gt;"&amp;Q25)+1)</f>
        <v>0</v>
      </c>
      <c r="AC25" s="8">
        <f>IF(OR(B25="",L25=""),"",COUNTIFS($B$5:$B$504,B25,$L$5:$L$504,"&gt;"&amp;L25)+1)</f>
        <v>0</v>
      </c>
      <c r="AD25" s="8">
        <f>IF(G25="","",IF(COUNTIFS($G$5:$G$504,G25)&gt;1,"Repeat","Once"))</f>
        <v>0</v>
      </c>
      <c r="AE25" s="8">
        <f>IF(G25="","",IF(IFERROR(INDEX(Recipes!$X$5:$X$204,MATCH(G25,Recipes!$A$5:$A$204,0)),"")="","",IFERROR(B25-IFERROR(INDEX(Recipes!$X$5:$X$204,MATCH(G25,Recipes!$A$5:$A$204,0)),""),"")))</f>
        <v>0</v>
      </c>
      <c r="AF25" s="8">
        <f>IF(G25="","",IF(AE25="","Yes",IF(AE25&gt;=Rotation_Gap_Days,"Yes","No")))</f>
        <v>0</v>
      </c>
      <c r="AG25" s="8">
        <f>IF(G25="","",IF(COUNTIFS('Recipe Ingredients'!$A$5:$A$1204,G25,'Recipe Ingredients'!$AC$5:$AC$1204,"Check")&gt;0,"Check","OK"))</f>
        <v>0</v>
      </c>
    </row>
    <row r="26" spans="1:33">
      <c r="A26" s="7"/>
      <c r="B26" s="30"/>
      <c r="C26" s="8">
        <f>IF(B26="","",B26-WEEKDAY(B26,2)+1)</f>
        <v>0</v>
      </c>
      <c r="D26" s="8">
        <f>IF(B26="","",TEXT(B26,"ddd"))</f>
        <v>0</v>
      </c>
      <c r="E26" s="8">
        <f>IF(B26="","",TEXT(B26,"mmm yyyy"))</f>
        <v>0</v>
      </c>
      <c r="F26" s="27"/>
      <c r="G26" s="7"/>
      <c r="H26" s="26"/>
      <c r="I26" s="8">
        <f>IF(G26="","",IFERROR(INDEX(Recipes!$D$5:$D$204,MATCH(G26,Recipes!$A$5:$A$204,0)),""))</f>
        <v>0</v>
      </c>
      <c r="J26" s="8">
        <f>IF(OR(G26="",H26="",I26="",I26=0),"",H26/I26)</f>
        <v>0</v>
      </c>
      <c r="K26" s="8">
        <f>IF(B26="","",Household_Size)</f>
        <v>0</v>
      </c>
      <c r="L26" s="8">
        <f>IF(OR(G26="",H26=""),"",IFERROR(IFERROR(INDEX(Recipes!$H$5:$H$204,MATCH(G26,Recipes!$A$5:$A$204,0)),"")*H26,""))</f>
        <v>0</v>
      </c>
      <c r="M26" s="8">
        <f>IF(OR(G26="",H26=""),"",IFERROR(IFERROR(INDEX(Recipes!$I$5:$I$204,MATCH(G26,Recipes!$A$5:$A$204,0)),"")*H26,""))</f>
        <v>0</v>
      </c>
      <c r="N26" s="8">
        <f>IF(OR(G26="",H26=""),"",IFERROR(IFERROR(INDEX(Recipes!$J$5:$J$204,MATCH(G26,Recipes!$A$5:$A$204,0)),"")*H26,""))</f>
        <v>0</v>
      </c>
      <c r="O26" s="8">
        <f>IF(OR(G26="",H26=""),"",IFERROR(IFERROR(INDEX(Recipes!$K$5:$K$204,MATCH(G26,Recipes!$A$5:$A$204,0)),"")*H26,""))</f>
        <v>0</v>
      </c>
      <c r="P26" s="8">
        <f>IF(OR(G26="",H26=""),"",IFERROR(IFERROR(INDEX(Recipes!$L$5:$L$204,MATCH(G26,Recipes!$A$5:$A$204,0)),"")*H26,""))</f>
        <v>0</v>
      </c>
      <c r="Q26" s="8">
        <f>IF(OR(G26="",H26=""),"",IFERROR(IFERROR(INDEX(Recipes!$Q$5:$Q$204,MATCH(G26,Recipes!$A$5:$A$204,0)),"")*H26,""))</f>
        <v>0</v>
      </c>
      <c r="R26" s="8">
        <f>IF(F26="","",Weekly_Budget/21)</f>
        <v>0</v>
      </c>
      <c r="S26" s="27"/>
      <c r="T26" s="27"/>
      <c r="U26" s="26"/>
      <c r="V26" s="7"/>
      <c r="W26" s="7"/>
      <c r="X26" s="26"/>
      <c r="Y26" s="8">
        <f>IF(G26="","",IF(COUNTIFS('Meal Prep'!$D$5:$D$124,G26)&gt;0,"Yes","No"))</f>
        <v>0</v>
      </c>
      <c r="Z26" s="8">
        <f>IF(G26="","",COUNTIFS('Recipe Ingredients'!$A$5:$A$1204,G26))</f>
        <v>0</v>
      </c>
      <c r="AA26" s="25"/>
      <c r="AB26" s="8">
        <f>IF(OR(B26="",Q26=""),"",COUNTIFS($B$5:$B$504,B26,$Q$5:$Q$504,"&gt;"&amp;Q26)+1)</f>
        <v>0</v>
      </c>
      <c r="AC26" s="8">
        <f>IF(OR(B26="",L26=""),"",COUNTIFS($B$5:$B$504,B26,$L$5:$L$504,"&gt;"&amp;L26)+1)</f>
        <v>0</v>
      </c>
      <c r="AD26" s="8">
        <f>IF(G26="","",IF(COUNTIFS($G$5:$G$504,G26)&gt;1,"Repeat","Once"))</f>
        <v>0</v>
      </c>
      <c r="AE26" s="8">
        <f>IF(G26="","",IF(IFERROR(INDEX(Recipes!$X$5:$X$204,MATCH(G26,Recipes!$A$5:$A$204,0)),"")="","",IFERROR(B26-IFERROR(INDEX(Recipes!$X$5:$X$204,MATCH(G26,Recipes!$A$5:$A$204,0)),""),"")))</f>
        <v>0</v>
      </c>
      <c r="AF26" s="8">
        <f>IF(G26="","",IF(AE26="","Yes",IF(AE26&gt;=Rotation_Gap_Days,"Yes","No")))</f>
        <v>0</v>
      </c>
      <c r="AG26" s="8">
        <f>IF(G26="","",IF(COUNTIFS('Recipe Ingredients'!$A$5:$A$1204,G26,'Recipe Ingredients'!$AC$5:$AC$1204,"Check")&gt;0,"Check","OK"))</f>
        <v>0</v>
      </c>
    </row>
    <row r="27" spans="1:33">
      <c r="A27" s="7"/>
      <c r="B27" s="30"/>
      <c r="C27" s="8">
        <f>IF(B27="","",B27-WEEKDAY(B27,2)+1)</f>
        <v>0</v>
      </c>
      <c r="D27" s="8">
        <f>IF(B27="","",TEXT(B27,"ddd"))</f>
        <v>0</v>
      </c>
      <c r="E27" s="8">
        <f>IF(B27="","",TEXT(B27,"mmm yyyy"))</f>
        <v>0</v>
      </c>
      <c r="F27" s="27"/>
      <c r="G27" s="7"/>
      <c r="H27" s="26"/>
      <c r="I27" s="8">
        <f>IF(G27="","",IFERROR(INDEX(Recipes!$D$5:$D$204,MATCH(G27,Recipes!$A$5:$A$204,0)),""))</f>
        <v>0</v>
      </c>
      <c r="J27" s="8">
        <f>IF(OR(G27="",H27="",I27="",I27=0),"",H27/I27)</f>
        <v>0</v>
      </c>
      <c r="K27" s="8">
        <f>IF(B27="","",Household_Size)</f>
        <v>0</v>
      </c>
      <c r="L27" s="8">
        <f>IF(OR(G27="",H27=""),"",IFERROR(IFERROR(INDEX(Recipes!$H$5:$H$204,MATCH(G27,Recipes!$A$5:$A$204,0)),"")*H27,""))</f>
        <v>0</v>
      </c>
      <c r="M27" s="8">
        <f>IF(OR(G27="",H27=""),"",IFERROR(IFERROR(INDEX(Recipes!$I$5:$I$204,MATCH(G27,Recipes!$A$5:$A$204,0)),"")*H27,""))</f>
        <v>0</v>
      </c>
      <c r="N27" s="8">
        <f>IF(OR(G27="",H27=""),"",IFERROR(IFERROR(INDEX(Recipes!$J$5:$J$204,MATCH(G27,Recipes!$A$5:$A$204,0)),"")*H27,""))</f>
        <v>0</v>
      </c>
      <c r="O27" s="8">
        <f>IF(OR(G27="",H27=""),"",IFERROR(IFERROR(INDEX(Recipes!$K$5:$K$204,MATCH(G27,Recipes!$A$5:$A$204,0)),"")*H27,""))</f>
        <v>0</v>
      </c>
      <c r="P27" s="8">
        <f>IF(OR(G27="",H27=""),"",IFERROR(IFERROR(INDEX(Recipes!$L$5:$L$204,MATCH(G27,Recipes!$A$5:$A$204,0)),"")*H27,""))</f>
        <v>0</v>
      </c>
      <c r="Q27" s="8">
        <f>IF(OR(G27="",H27=""),"",IFERROR(IFERROR(INDEX(Recipes!$Q$5:$Q$204,MATCH(G27,Recipes!$A$5:$A$204,0)),"")*H27,""))</f>
        <v>0</v>
      </c>
      <c r="R27" s="8">
        <f>IF(F27="","",Weekly_Budget/21)</f>
        <v>0</v>
      </c>
      <c r="S27" s="27"/>
      <c r="T27" s="27"/>
      <c r="U27" s="26"/>
      <c r="V27" s="7"/>
      <c r="W27" s="7"/>
      <c r="X27" s="26"/>
      <c r="Y27" s="8">
        <f>IF(G27="","",IF(COUNTIFS('Meal Prep'!$D$5:$D$124,G27)&gt;0,"Yes","No"))</f>
        <v>0</v>
      </c>
      <c r="Z27" s="8">
        <f>IF(G27="","",COUNTIFS('Recipe Ingredients'!$A$5:$A$1204,G27))</f>
        <v>0</v>
      </c>
      <c r="AA27" s="25"/>
      <c r="AB27" s="8">
        <f>IF(OR(B27="",Q27=""),"",COUNTIFS($B$5:$B$504,B27,$Q$5:$Q$504,"&gt;"&amp;Q27)+1)</f>
        <v>0</v>
      </c>
      <c r="AC27" s="8">
        <f>IF(OR(B27="",L27=""),"",COUNTIFS($B$5:$B$504,B27,$L$5:$L$504,"&gt;"&amp;L27)+1)</f>
        <v>0</v>
      </c>
      <c r="AD27" s="8">
        <f>IF(G27="","",IF(COUNTIFS($G$5:$G$504,G27)&gt;1,"Repeat","Once"))</f>
        <v>0</v>
      </c>
      <c r="AE27" s="8">
        <f>IF(G27="","",IF(IFERROR(INDEX(Recipes!$X$5:$X$204,MATCH(G27,Recipes!$A$5:$A$204,0)),"")="","",IFERROR(B27-IFERROR(INDEX(Recipes!$X$5:$X$204,MATCH(G27,Recipes!$A$5:$A$204,0)),""),"")))</f>
        <v>0</v>
      </c>
      <c r="AF27" s="8">
        <f>IF(G27="","",IF(AE27="","Yes",IF(AE27&gt;=Rotation_Gap_Days,"Yes","No")))</f>
        <v>0</v>
      </c>
      <c r="AG27" s="8">
        <f>IF(G27="","",IF(COUNTIFS('Recipe Ingredients'!$A$5:$A$1204,G27,'Recipe Ingredients'!$AC$5:$AC$1204,"Check")&gt;0,"Check","OK"))</f>
        <v>0</v>
      </c>
    </row>
    <row r="28" spans="1:33">
      <c r="A28" s="7"/>
      <c r="B28" s="30"/>
      <c r="C28" s="8">
        <f>IF(B28="","",B28-WEEKDAY(B28,2)+1)</f>
        <v>0</v>
      </c>
      <c r="D28" s="8">
        <f>IF(B28="","",TEXT(B28,"ddd"))</f>
        <v>0</v>
      </c>
      <c r="E28" s="8">
        <f>IF(B28="","",TEXT(B28,"mmm yyyy"))</f>
        <v>0</v>
      </c>
      <c r="F28" s="27"/>
      <c r="G28" s="7"/>
      <c r="H28" s="26"/>
      <c r="I28" s="8">
        <f>IF(G28="","",IFERROR(INDEX(Recipes!$D$5:$D$204,MATCH(G28,Recipes!$A$5:$A$204,0)),""))</f>
        <v>0</v>
      </c>
      <c r="J28" s="8">
        <f>IF(OR(G28="",H28="",I28="",I28=0),"",H28/I28)</f>
        <v>0</v>
      </c>
      <c r="K28" s="8">
        <f>IF(B28="","",Household_Size)</f>
        <v>0</v>
      </c>
      <c r="L28" s="8">
        <f>IF(OR(G28="",H28=""),"",IFERROR(IFERROR(INDEX(Recipes!$H$5:$H$204,MATCH(G28,Recipes!$A$5:$A$204,0)),"")*H28,""))</f>
        <v>0</v>
      </c>
      <c r="M28" s="8">
        <f>IF(OR(G28="",H28=""),"",IFERROR(IFERROR(INDEX(Recipes!$I$5:$I$204,MATCH(G28,Recipes!$A$5:$A$204,0)),"")*H28,""))</f>
        <v>0</v>
      </c>
      <c r="N28" s="8">
        <f>IF(OR(G28="",H28=""),"",IFERROR(IFERROR(INDEX(Recipes!$J$5:$J$204,MATCH(G28,Recipes!$A$5:$A$204,0)),"")*H28,""))</f>
        <v>0</v>
      </c>
      <c r="O28" s="8">
        <f>IF(OR(G28="",H28=""),"",IFERROR(IFERROR(INDEX(Recipes!$K$5:$K$204,MATCH(G28,Recipes!$A$5:$A$204,0)),"")*H28,""))</f>
        <v>0</v>
      </c>
      <c r="P28" s="8">
        <f>IF(OR(G28="",H28=""),"",IFERROR(IFERROR(INDEX(Recipes!$L$5:$L$204,MATCH(G28,Recipes!$A$5:$A$204,0)),"")*H28,""))</f>
        <v>0</v>
      </c>
      <c r="Q28" s="8">
        <f>IF(OR(G28="",H28=""),"",IFERROR(IFERROR(INDEX(Recipes!$Q$5:$Q$204,MATCH(G28,Recipes!$A$5:$A$204,0)),"")*H28,""))</f>
        <v>0</v>
      </c>
      <c r="R28" s="8">
        <f>IF(F28="","",Weekly_Budget/21)</f>
        <v>0</v>
      </c>
      <c r="S28" s="27"/>
      <c r="T28" s="27"/>
      <c r="U28" s="26"/>
      <c r="V28" s="7"/>
      <c r="W28" s="7"/>
      <c r="X28" s="26"/>
      <c r="Y28" s="8">
        <f>IF(G28="","",IF(COUNTIFS('Meal Prep'!$D$5:$D$124,G28)&gt;0,"Yes","No"))</f>
        <v>0</v>
      </c>
      <c r="Z28" s="8">
        <f>IF(G28="","",COUNTIFS('Recipe Ingredients'!$A$5:$A$1204,G28))</f>
        <v>0</v>
      </c>
      <c r="AA28" s="25"/>
      <c r="AB28" s="8">
        <f>IF(OR(B28="",Q28=""),"",COUNTIFS($B$5:$B$504,B28,$Q$5:$Q$504,"&gt;"&amp;Q28)+1)</f>
        <v>0</v>
      </c>
      <c r="AC28" s="8">
        <f>IF(OR(B28="",L28=""),"",COUNTIFS($B$5:$B$504,B28,$L$5:$L$504,"&gt;"&amp;L28)+1)</f>
        <v>0</v>
      </c>
      <c r="AD28" s="8">
        <f>IF(G28="","",IF(COUNTIFS($G$5:$G$504,G28)&gt;1,"Repeat","Once"))</f>
        <v>0</v>
      </c>
      <c r="AE28" s="8">
        <f>IF(G28="","",IF(IFERROR(INDEX(Recipes!$X$5:$X$204,MATCH(G28,Recipes!$A$5:$A$204,0)),"")="","",IFERROR(B28-IFERROR(INDEX(Recipes!$X$5:$X$204,MATCH(G28,Recipes!$A$5:$A$204,0)),""),"")))</f>
        <v>0</v>
      </c>
      <c r="AF28" s="8">
        <f>IF(G28="","",IF(AE28="","Yes",IF(AE28&gt;=Rotation_Gap_Days,"Yes","No")))</f>
        <v>0</v>
      </c>
      <c r="AG28" s="8">
        <f>IF(G28="","",IF(COUNTIFS('Recipe Ingredients'!$A$5:$A$1204,G28,'Recipe Ingredients'!$AC$5:$AC$1204,"Check")&gt;0,"Check","OK"))</f>
        <v>0</v>
      </c>
    </row>
    <row r="29" spans="1:33">
      <c r="A29" s="7"/>
      <c r="B29" s="30"/>
      <c r="C29" s="8">
        <f>IF(B29="","",B29-WEEKDAY(B29,2)+1)</f>
        <v>0</v>
      </c>
      <c r="D29" s="8">
        <f>IF(B29="","",TEXT(B29,"ddd"))</f>
        <v>0</v>
      </c>
      <c r="E29" s="8">
        <f>IF(B29="","",TEXT(B29,"mmm yyyy"))</f>
        <v>0</v>
      </c>
      <c r="F29" s="27"/>
      <c r="G29" s="7"/>
      <c r="H29" s="26"/>
      <c r="I29" s="8">
        <f>IF(G29="","",IFERROR(INDEX(Recipes!$D$5:$D$204,MATCH(G29,Recipes!$A$5:$A$204,0)),""))</f>
        <v>0</v>
      </c>
      <c r="J29" s="8">
        <f>IF(OR(G29="",H29="",I29="",I29=0),"",H29/I29)</f>
        <v>0</v>
      </c>
      <c r="K29" s="8">
        <f>IF(B29="","",Household_Size)</f>
        <v>0</v>
      </c>
      <c r="L29" s="8">
        <f>IF(OR(G29="",H29=""),"",IFERROR(IFERROR(INDEX(Recipes!$H$5:$H$204,MATCH(G29,Recipes!$A$5:$A$204,0)),"")*H29,""))</f>
        <v>0</v>
      </c>
      <c r="M29" s="8">
        <f>IF(OR(G29="",H29=""),"",IFERROR(IFERROR(INDEX(Recipes!$I$5:$I$204,MATCH(G29,Recipes!$A$5:$A$204,0)),"")*H29,""))</f>
        <v>0</v>
      </c>
      <c r="N29" s="8">
        <f>IF(OR(G29="",H29=""),"",IFERROR(IFERROR(INDEX(Recipes!$J$5:$J$204,MATCH(G29,Recipes!$A$5:$A$204,0)),"")*H29,""))</f>
        <v>0</v>
      </c>
      <c r="O29" s="8">
        <f>IF(OR(G29="",H29=""),"",IFERROR(IFERROR(INDEX(Recipes!$K$5:$K$204,MATCH(G29,Recipes!$A$5:$A$204,0)),"")*H29,""))</f>
        <v>0</v>
      </c>
      <c r="P29" s="8">
        <f>IF(OR(G29="",H29=""),"",IFERROR(IFERROR(INDEX(Recipes!$L$5:$L$204,MATCH(G29,Recipes!$A$5:$A$204,0)),"")*H29,""))</f>
        <v>0</v>
      </c>
      <c r="Q29" s="8">
        <f>IF(OR(G29="",H29=""),"",IFERROR(IFERROR(INDEX(Recipes!$Q$5:$Q$204,MATCH(G29,Recipes!$A$5:$A$204,0)),"")*H29,""))</f>
        <v>0</v>
      </c>
      <c r="R29" s="8">
        <f>IF(F29="","",Weekly_Budget/21)</f>
        <v>0</v>
      </c>
      <c r="S29" s="27"/>
      <c r="T29" s="27"/>
      <c r="U29" s="26"/>
      <c r="V29" s="7"/>
      <c r="W29" s="7"/>
      <c r="X29" s="26"/>
      <c r="Y29" s="8">
        <f>IF(G29="","",IF(COUNTIFS('Meal Prep'!$D$5:$D$124,G29)&gt;0,"Yes","No"))</f>
        <v>0</v>
      </c>
      <c r="Z29" s="8">
        <f>IF(G29="","",COUNTIFS('Recipe Ingredients'!$A$5:$A$1204,G29))</f>
        <v>0</v>
      </c>
      <c r="AA29" s="25"/>
      <c r="AB29" s="8">
        <f>IF(OR(B29="",Q29=""),"",COUNTIFS($B$5:$B$504,B29,$Q$5:$Q$504,"&gt;"&amp;Q29)+1)</f>
        <v>0</v>
      </c>
      <c r="AC29" s="8">
        <f>IF(OR(B29="",L29=""),"",COUNTIFS($B$5:$B$504,B29,$L$5:$L$504,"&gt;"&amp;L29)+1)</f>
        <v>0</v>
      </c>
      <c r="AD29" s="8">
        <f>IF(G29="","",IF(COUNTIFS($G$5:$G$504,G29)&gt;1,"Repeat","Once"))</f>
        <v>0</v>
      </c>
      <c r="AE29" s="8">
        <f>IF(G29="","",IF(IFERROR(INDEX(Recipes!$X$5:$X$204,MATCH(G29,Recipes!$A$5:$A$204,0)),"")="","",IFERROR(B29-IFERROR(INDEX(Recipes!$X$5:$X$204,MATCH(G29,Recipes!$A$5:$A$204,0)),""),"")))</f>
        <v>0</v>
      </c>
      <c r="AF29" s="8">
        <f>IF(G29="","",IF(AE29="","Yes",IF(AE29&gt;=Rotation_Gap_Days,"Yes","No")))</f>
        <v>0</v>
      </c>
      <c r="AG29" s="8">
        <f>IF(G29="","",IF(COUNTIFS('Recipe Ingredients'!$A$5:$A$1204,G29,'Recipe Ingredients'!$AC$5:$AC$1204,"Check")&gt;0,"Check","OK"))</f>
        <v>0</v>
      </c>
    </row>
    <row r="30" spans="1:33">
      <c r="A30" s="7"/>
      <c r="B30" s="30"/>
      <c r="C30" s="8">
        <f>IF(B30="","",B30-WEEKDAY(B30,2)+1)</f>
        <v>0</v>
      </c>
      <c r="D30" s="8">
        <f>IF(B30="","",TEXT(B30,"ddd"))</f>
        <v>0</v>
      </c>
      <c r="E30" s="8">
        <f>IF(B30="","",TEXT(B30,"mmm yyyy"))</f>
        <v>0</v>
      </c>
      <c r="F30" s="27"/>
      <c r="G30" s="7"/>
      <c r="H30" s="26"/>
      <c r="I30" s="8">
        <f>IF(G30="","",IFERROR(INDEX(Recipes!$D$5:$D$204,MATCH(G30,Recipes!$A$5:$A$204,0)),""))</f>
        <v>0</v>
      </c>
      <c r="J30" s="8">
        <f>IF(OR(G30="",H30="",I30="",I30=0),"",H30/I30)</f>
        <v>0</v>
      </c>
      <c r="K30" s="8">
        <f>IF(B30="","",Household_Size)</f>
        <v>0</v>
      </c>
      <c r="L30" s="8">
        <f>IF(OR(G30="",H30=""),"",IFERROR(IFERROR(INDEX(Recipes!$H$5:$H$204,MATCH(G30,Recipes!$A$5:$A$204,0)),"")*H30,""))</f>
        <v>0</v>
      </c>
      <c r="M30" s="8">
        <f>IF(OR(G30="",H30=""),"",IFERROR(IFERROR(INDEX(Recipes!$I$5:$I$204,MATCH(G30,Recipes!$A$5:$A$204,0)),"")*H30,""))</f>
        <v>0</v>
      </c>
      <c r="N30" s="8">
        <f>IF(OR(G30="",H30=""),"",IFERROR(IFERROR(INDEX(Recipes!$J$5:$J$204,MATCH(G30,Recipes!$A$5:$A$204,0)),"")*H30,""))</f>
        <v>0</v>
      </c>
      <c r="O30" s="8">
        <f>IF(OR(G30="",H30=""),"",IFERROR(IFERROR(INDEX(Recipes!$K$5:$K$204,MATCH(G30,Recipes!$A$5:$A$204,0)),"")*H30,""))</f>
        <v>0</v>
      </c>
      <c r="P30" s="8">
        <f>IF(OR(G30="",H30=""),"",IFERROR(IFERROR(INDEX(Recipes!$L$5:$L$204,MATCH(G30,Recipes!$A$5:$A$204,0)),"")*H30,""))</f>
        <v>0</v>
      </c>
      <c r="Q30" s="8">
        <f>IF(OR(G30="",H30=""),"",IFERROR(IFERROR(INDEX(Recipes!$Q$5:$Q$204,MATCH(G30,Recipes!$A$5:$A$204,0)),"")*H30,""))</f>
        <v>0</v>
      </c>
      <c r="R30" s="8">
        <f>IF(F30="","",Weekly_Budget/21)</f>
        <v>0</v>
      </c>
      <c r="S30" s="27"/>
      <c r="T30" s="27"/>
      <c r="U30" s="26"/>
      <c r="V30" s="7"/>
      <c r="W30" s="7"/>
      <c r="X30" s="26"/>
      <c r="Y30" s="8">
        <f>IF(G30="","",IF(COUNTIFS('Meal Prep'!$D$5:$D$124,G30)&gt;0,"Yes","No"))</f>
        <v>0</v>
      </c>
      <c r="Z30" s="8">
        <f>IF(G30="","",COUNTIFS('Recipe Ingredients'!$A$5:$A$1204,G30))</f>
        <v>0</v>
      </c>
      <c r="AA30" s="25"/>
      <c r="AB30" s="8">
        <f>IF(OR(B30="",Q30=""),"",COUNTIFS($B$5:$B$504,B30,$Q$5:$Q$504,"&gt;"&amp;Q30)+1)</f>
        <v>0</v>
      </c>
      <c r="AC30" s="8">
        <f>IF(OR(B30="",L30=""),"",COUNTIFS($B$5:$B$504,B30,$L$5:$L$504,"&gt;"&amp;L30)+1)</f>
        <v>0</v>
      </c>
      <c r="AD30" s="8">
        <f>IF(G30="","",IF(COUNTIFS($G$5:$G$504,G30)&gt;1,"Repeat","Once"))</f>
        <v>0</v>
      </c>
      <c r="AE30" s="8">
        <f>IF(G30="","",IF(IFERROR(INDEX(Recipes!$X$5:$X$204,MATCH(G30,Recipes!$A$5:$A$204,0)),"")="","",IFERROR(B30-IFERROR(INDEX(Recipes!$X$5:$X$204,MATCH(G30,Recipes!$A$5:$A$204,0)),""),"")))</f>
        <v>0</v>
      </c>
      <c r="AF30" s="8">
        <f>IF(G30="","",IF(AE30="","Yes",IF(AE30&gt;=Rotation_Gap_Days,"Yes","No")))</f>
        <v>0</v>
      </c>
      <c r="AG30" s="8">
        <f>IF(G30="","",IF(COUNTIFS('Recipe Ingredients'!$A$5:$A$1204,G30,'Recipe Ingredients'!$AC$5:$AC$1204,"Check")&gt;0,"Check","OK"))</f>
        <v>0</v>
      </c>
    </row>
    <row r="31" spans="1:33">
      <c r="A31" s="7"/>
      <c r="B31" s="30"/>
      <c r="C31" s="8">
        <f>IF(B31="","",B31-WEEKDAY(B31,2)+1)</f>
        <v>0</v>
      </c>
      <c r="D31" s="8">
        <f>IF(B31="","",TEXT(B31,"ddd"))</f>
        <v>0</v>
      </c>
      <c r="E31" s="8">
        <f>IF(B31="","",TEXT(B31,"mmm yyyy"))</f>
        <v>0</v>
      </c>
      <c r="F31" s="27"/>
      <c r="G31" s="7"/>
      <c r="H31" s="26"/>
      <c r="I31" s="8">
        <f>IF(G31="","",IFERROR(INDEX(Recipes!$D$5:$D$204,MATCH(G31,Recipes!$A$5:$A$204,0)),""))</f>
        <v>0</v>
      </c>
      <c r="J31" s="8">
        <f>IF(OR(G31="",H31="",I31="",I31=0),"",H31/I31)</f>
        <v>0</v>
      </c>
      <c r="K31" s="8">
        <f>IF(B31="","",Household_Size)</f>
        <v>0</v>
      </c>
      <c r="L31" s="8">
        <f>IF(OR(G31="",H31=""),"",IFERROR(IFERROR(INDEX(Recipes!$H$5:$H$204,MATCH(G31,Recipes!$A$5:$A$204,0)),"")*H31,""))</f>
        <v>0</v>
      </c>
      <c r="M31" s="8">
        <f>IF(OR(G31="",H31=""),"",IFERROR(IFERROR(INDEX(Recipes!$I$5:$I$204,MATCH(G31,Recipes!$A$5:$A$204,0)),"")*H31,""))</f>
        <v>0</v>
      </c>
      <c r="N31" s="8">
        <f>IF(OR(G31="",H31=""),"",IFERROR(IFERROR(INDEX(Recipes!$J$5:$J$204,MATCH(G31,Recipes!$A$5:$A$204,0)),"")*H31,""))</f>
        <v>0</v>
      </c>
      <c r="O31" s="8">
        <f>IF(OR(G31="",H31=""),"",IFERROR(IFERROR(INDEX(Recipes!$K$5:$K$204,MATCH(G31,Recipes!$A$5:$A$204,0)),"")*H31,""))</f>
        <v>0</v>
      </c>
      <c r="P31" s="8">
        <f>IF(OR(G31="",H31=""),"",IFERROR(IFERROR(INDEX(Recipes!$L$5:$L$204,MATCH(G31,Recipes!$A$5:$A$204,0)),"")*H31,""))</f>
        <v>0</v>
      </c>
      <c r="Q31" s="8">
        <f>IF(OR(G31="",H31=""),"",IFERROR(IFERROR(INDEX(Recipes!$Q$5:$Q$204,MATCH(G31,Recipes!$A$5:$A$204,0)),"")*H31,""))</f>
        <v>0</v>
      </c>
      <c r="R31" s="8">
        <f>IF(F31="","",Weekly_Budget/21)</f>
        <v>0</v>
      </c>
      <c r="S31" s="27"/>
      <c r="T31" s="27"/>
      <c r="U31" s="26"/>
      <c r="V31" s="7"/>
      <c r="W31" s="7"/>
      <c r="X31" s="26"/>
      <c r="Y31" s="8">
        <f>IF(G31="","",IF(COUNTIFS('Meal Prep'!$D$5:$D$124,G31)&gt;0,"Yes","No"))</f>
        <v>0</v>
      </c>
      <c r="Z31" s="8">
        <f>IF(G31="","",COUNTIFS('Recipe Ingredients'!$A$5:$A$1204,G31))</f>
        <v>0</v>
      </c>
      <c r="AA31" s="25"/>
      <c r="AB31" s="8">
        <f>IF(OR(B31="",Q31=""),"",COUNTIFS($B$5:$B$504,B31,$Q$5:$Q$504,"&gt;"&amp;Q31)+1)</f>
        <v>0</v>
      </c>
      <c r="AC31" s="8">
        <f>IF(OR(B31="",L31=""),"",COUNTIFS($B$5:$B$504,B31,$L$5:$L$504,"&gt;"&amp;L31)+1)</f>
        <v>0</v>
      </c>
      <c r="AD31" s="8">
        <f>IF(G31="","",IF(COUNTIFS($G$5:$G$504,G31)&gt;1,"Repeat","Once"))</f>
        <v>0</v>
      </c>
      <c r="AE31" s="8">
        <f>IF(G31="","",IF(IFERROR(INDEX(Recipes!$X$5:$X$204,MATCH(G31,Recipes!$A$5:$A$204,0)),"")="","",IFERROR(B31-IFERROR(INDEX(Recipes!$X$5:$X$204,MATCH(G31,Recipes!$A$5:$A$204,0)),""),"")))</f>
        <v>0</v>
      </c>
      <c r="AF31" s="8">
        <f>IF(G31="","",IF(AE31="","Yes",IF(AE31&gt;=Rotation_Gap_Days,"Yes","No")))</f>
        <v>0</v>
      </c>
      <c r="AG31" s="8">
        <f>IF(G31="","",IF(COUNTIFS('Recipe Ingredients'!$A$5:$A$1204,G31,'Recipe Ingredients'!$AC$5:$AC$1204,"Check")&gt;0,"Check","OK"))</f>
        <v>0</v>
      </c>
    </row>
    <row r="32" spans="1:33">
      <c r="A32" s="7"/>
      <c r="B32" s="30"/>
      <c r="C32" s="8">
        <f>IF(B32="","",B32-WEEKDAY(B32,2)+1)</f>
        <v>0</v>
      </c>
      <c r="D32" s="8">
        <f>IF(B32="","",TEXT(B32,"ddd"))</f>
        <v>0</v>
      </c>
      <c r="E32" s="8">
        <f>IF(B32="","",TEXT(B32,"mmm yyyy"))</f>
        <v>0</v>
      </c>
      <c r="F32" s="27"/>
      <c r="G32" s="7"/>
      <c r="H32" s="26"/>
      <c r="I32" s="8">
        <f>IF(G32="","",IFERROR(INDEX(Recipes!$D$5:$D$204,MATCH(G32,Recipes!$A$5:$A$204,0)),""))</f>
        <v>0</v>
      </c>
      <c r="J32" s="8">
        <f>IF(OR(G32="",H32="",I32="",I32=0),"",H32/I32)</f>
        <v>0</v>
      </c>
      <c r="K32" s="8">
        <f>IF(B32="","",Household_Size)</f>
        <v>0</v>
      </c>
      <c r="L32" s="8">
        <f>IF(OR(G32="",H32=""),"",IFERROR(IFERROR(INDEX(Recipes!$H$5:$H$204,MATCH(G32,Recipes!$A$5:$A$204,0)),"")*H32,""))</f>
        <v>0</v>
      </c>
      <c r="M32" s="8">
        <f>IF(OR(G32="",H32=""),"",IFERROR(IFERROR(INDEX(Recipes!$I$5:$I$204,MATCH(G32,Recipes!$A$5:$A$204,0)),"")*H32,""))</f>
        <v>0</v>
      </c>
      <c r="N32" s="8">
        <f>IF(OR(G32="",H32=""),"",IFERROR(IFERROR(INDEX(Recipes!$J$5:$J$204,MATCH(G32,Recipes!$A$5:$A$204,0)),"")*H32,""))</f>
        <v>0</v>
      </c>
      <c r="O32" s="8">
        <f>IF(OR(G32="",H32=""),"",IFERROR(IFERROR(INDEX(Recipes!$K$5:$K$204,MATCH(G32,Recipes!$A$5:$A$204,0)),"")*H32,""))</f>
        <v>0</v>
      </c>
      <c r="P32" s="8">
        <f>IF(OR(G32="",H32=""),"",IFERROR(IFERROR(INDEX(Recipes!$L$5:$L$204,MATCH(G32,Recipes!$A$5:$A$204,0)),"")*H32,""))</f>
        <v>0</v>
      </c>
      <c r="Q32" s="8">
        <f>IF(OR(G32="",H32=""),"",IFERROR(IFERROR(INDEX(Recipes!$Q$5:$Q$204,MATCH(G32,Recipes!$A$5:$A$204,0)),"")*H32,""))</f>
        <v>0</v>
      </c>
      <c r="R32" s="8">
        <f>IF(F32="","",Weekly_Budget/21)</f>
        <v>0</v>
      </c>
      <c r="S32" s="27"/>
      <c r="T32" s="27"/>
      <c r="U32" s="26"/>
      <c r="V32" s="7"/>
      <c r="W32" s="7"/>
      <c r="X32" s="26"/>
      <c r="Y32" s="8">
        <f>IF(G32="","",IF(COUNTIFS('Meal Prep'!$D$5:$D$124,G32)&gt;0,"Yes","No"))</f>
        <v>0</v>
      </c>
      <c r="Z32" s="8">
        <f>IF(G32="","",COUNTIFS('Recipe Ingredients'!$A$5:$A$1204,G32))</f>
        <v>0</v>
      </c>
      <c r="AA32" s="25"/>
      <c r="AB32" s="8">
        <f>IF(OR(B32="",Q32=""),"",COUNTIFS($B$5:$B$504,B32,$Q$5:$Q$504,"&gt;"&amp;Q32)+1)</f>
        <v>0</v>
      </c>
      <c r="AC32" s="8">
        <f>IF(OR(B32="",L32=""),"",COUNTIFS($B$5:$B$504,B32,$L$5:$L$504,"&gt;"&amp;L32)+1)</f>
        <v>0</v>
      </c>
      <c r="AD32" s="8">
        <f>IF(G32="","",IF(COUNTIFS($G$5:$G$504,G32)&gt;1,"Repeat","Once"))</f>
        <v>0</v>
      </c>
      <c r="AE32" s="8">
        <f>IF(G32="","",IF(IFERROR(INDEX(Recipes!$X$5:$X$204,MATCH(G32,Recipes!$A$5:$A$204,0)),"")="","",IFERROR(B32-IFERROR(INDEX(Recipes!$X$5:$X$204,MATCH(G32,Recipes!$A$5:$A$204,0)),""),"")))</f>
        <v>0</v>
      </c>
      <c r="AF32" s="8">
        <f>IF(G32="","",IF(AE32="","Yes",IF(AE32&gt;=Rotation_Gap_Days,"Yes","No")))</f>
        <v>0</v>
      </c>
      <c r="AG32" s="8">
        <f>IF(G32="","",IF(COUNTIFS('Recipe Ingredients'!$A$5:$A$1204,G32,'Recipe Ingredients'!$AC$5:$AC$1204,"Check")&gt;0,"Check","OK"))</f>
        <v>0</v>
      </c>
    </row>
    <row r="33" spans="1:33">
      <c r="A33" s="7"/>
      <c r="B33" s="30"/>
      <c r="C33" s="8">
        <f>IF(B33="","",B33-WEEKDAY(B33,2)+1)</f>
        <v>0</v>
      </c>
      <c r="D33" s="8">
        <f>IF(B33="","",TEXT(B33,"ddd"))</f>
        <v>0</v>
      </c>
      <c r="E33" s="8">
        <f>IF(B33="","",TEXT(B33,"mmm yyyy"))</f>
        <v>0</v>
      </c>
      <c r="F33" s="27"/>
      <c r="G33" s="7"/>
      <c r="H33" s="26"/>
      <c r="I33" s="8">
        <f>IF(G33="","",IFERROR(INDEX(Recipes!$D$5:$D$204,MATCH(G33,Recipes!$A$5:$A$204,0)),""))</f>
        <v>0</v>
      </c>
      <c r="J33" s="8">
        <f>IF(OR(G33="",H33="",I33="",I33=0),"",H33/I33)</f>
        <v>0</v>
      </c>
      <c r="K33" s="8">
        <f>IF(B33="","",Household_Size)</f>
        <v>0</v>
      </c>
      <c r="L33" s="8">
        <f>IF(OR(G33="",H33=""),"",IFERROR(IFERROR(INDEX(Recipes!$H$5:$H$204,MATCH(G33,Recipes!$A$5:$A$204,0)),"")*H33,""))</f>
        <v>0</v>
      </c>
      <c r="M33" s="8">
        <f>IF(OR(G33="",H33=""),"",IFERROR(IFERROR(INDEX(Recipes!$I$5:$I$204,MATCH(G33,Recipes!$A$5:$A$204,0)),"")*H33,""))</f>
        <v>0</v>
      </c>
      <c r="N33" s="8">
        <f>IF(OR(G33="",H33=""),"",IFERROR(IFERROR(INDEX(Recipes!$J$5:$J$204,MATCH(G33,Recipes!$A$5:$A$204,0)),"")*H33,""))</f>
        <v>0</v>
      </c>
      <c r="O33" s="8">
        <f>IF(OR(G33="",H33=""),"",IFERROR(IFERROR(INDEX(Recipes!$K$5:$K$204,MATCH(G33,Recipes!$A$5:$A$204,0)),"")*H33,""))</f>
        <v>0</v>
      </c>
      <c r="P33" s="8">
        <f>IF(OR(G33="",H33=""),"",IFERROR(IFERROR(INDEX(Recipes!$L$5:$L$204,MATCH(G33,Recipes!$A$5:$A$204,0)),"")*H33,""))</f>
        <v>0</v>
      </c>
      <c r="Q33" s="8">
        <f>IF(OR(G33="",H33=""),"",IFERROR(IFERROR(INDEX(Recipes!$Q$5:$Q$204,MATCH(G33,Recipes!$A$5:$A$204,0)),"")*H33,""))</f>
        <v>0</v>
      </c>
      <c r="R33" s="8">
        <f>IF(F33="","",Weekly_Budget/21)</f>
        <v>0</v>
      </c>
      <c r="S33" s="27"/>
      <c r="T33" s="27"/>
      <c r="U33" s="26"/>
      <c r="V33" s="7"/>
      <c r="W33" s="7"/>
      <c r="X33" s="26"/>
      <c r="Y33" s="8">
        <f>IF(G33="","",IF(COUNTIFS('Meal Prep'!$D$5:$D$124,G33)&gt;0,"Yes","No"))</f>
        <v>0</v>
      </c>
      <c r="Z33" s="8">
        <f>IF(G33="","",COUNTIFS('Recipe Ingredients'!$A$5:$A$1204,G33))</f>
        <v>0</v>
      </c>
      <c r="AA33" s="25"/>
      <c r="AB33" s="8">
        <f>IF(OR(B33="",Q33=""),"",COUNTIFS($B$5:$B$504,B33,$Q$5:$Q$504,"&gt;"&amp;Q33)+1)</f>
        <v>0</v>
      </c>
      <c r="AC33" s="8">
        <f>IF(OR(B33="",L33=""),"",COUNTIFS($B$5:$B$504,B33,$L$5:$L$504,"&gt;"&amp;L33)+1)</f>
        <v>0</v>
      </c>
      <c r="AD33" s="8">
        <f>IF(G33="","",IF(COUNTIFS($G$5:$G$504,G33)&gt;1,"Repeat","Once"))</f>
        <v>0</v>
      </c>
      <c r="AE33" s="8">
        <f>IF(G33="","",IF(IFERROR(INDEX(Recipes!$X$5:$X$204,MATCH(G33,Recipes!$A$5:$A$204,0)),"")="","",IFERROR(B33-IFERROR(INDEX(Recipes!$X$5:$X$204,MATCH(G33,Recipes!$A$5:$A$204,0)),""),"")))</f>
        <v>0</v>
      </c>
      <c r="AF33" s="8">
        <f>IF(G33="","",IF(AE33="","Yes",IF(AE33&gt;=Rotation_Gap_Days,"Yes","No")))</f>
        <v>0</v>
      </c>
      <c r="AG33" s="8">
        <f>IF(G33="","",IF(COUNTIFS('Recipe Ingredients'!$A$5:$A$1204,G33,'Recipe Ingredients'!$AC$5:$AC$1204,"Check")&gt;0,"Check","OK"))</f>
        <v>0</v>
      </c>
    </row>
    <row r="34" spans="1:33">
      <c r="A34" s="7"/>
      <c r="B34" s="30"/>
      <c r="C34" s="8">
        <f>IF(B34="","",B34-WEEKDAY(B34,2)+1)</f>
        <v>0</v>
      </c>
      <c r="D34" s="8">
        <f>IF(B34="","",TEXT(B34,"ddd"))</f>
        <v>0</v>
      </c>
      <c r="E34" s="8">
        <f>IF(B34="","",TEXT(B34,"mmm yyyy"))</f>
        <v>0</v>
      </c>
      <c r="F34" s="27"/>
      <c r="G34" s="7"/>
      <c r="H34" s="26"/>
      <c r="I34" s="8">
        <f>IF(G34="","",IFERROR(INDEX(Recipes!$D$5:$D$204,MATCH(G34,Recipes!$A$5:$A$204,0)),""))</f>
        <v>0</v>
      </c>
      <c r="J34" s="8">
        <f>IF(OR(G34="",H34="",I34="",I34=0),"",H34/I34)</f>
        <v>0</v>
      </c>
      <c r="K34" s="8">
        <f>IF(B34="","",Household_Size)</f>
        <v>0</v>
      </c>
      <c r="L34" s="8">
        <f>IF(OR(G34="",H34=""),"",IFERROR(IFERROR(INDEX(Recipes!$H$5:$H$204,MATCH(G34,Recipes!$A$5:$A$204,0)),"")*H34,""))</f>
        <v>0</v>
      </c>
      <c r="M34" s="8">
        <f>IF(OR(G34="",H34=""),"",IFERROR(IFERROR(INDEX(Recipes!$I$5:$I$204,MATCH(G34,Recipes!$A$5:$A$204,0)),"")*H34,""))</f>
        <v>0</v>
      </c>
      <c r="N34" s="8">
        <f>IF(OR(G34="",H34=""),"",IFERROR(IFERROR(INDEX(Recipes!$J$5:$J$204,MATCH(G34,Recipes!$A$5:$A$204,0)),"")*H34,""))</f>
        <v>0</v>
      </c>
      <c r="O34" s="8">
        <f>IF(OR(G34="",H34=""),"",IFERROR(IFERROR(INDEX(Recipes!$K$5:$K$204,MATCH(G34,Recipes!$A$5:$A$204,0)),"")*H34,""))</f>
        <v>0</v>
      </c>
      <c r="P34" s="8">
        <f>IF(OR(G34="",H34=""),"",IFERROR(IFERROR(INDEX(Recipes!$L$5:$L$204,MATCH(G34,Recipes!$A$5:$A$204,0)),"")*H34,""))</f>
        <v>0</v>
      </c>
      <c r="Q34" s="8">
        <f>IF(OR(G34="",H34=""),"",IFERROR(IFERROR(INDEX(Recipes!$Q$5:$Q$204,MATCH(G34,Recipes!$A$5:$A$204,0)),"")*H34,""))</f>
        <v>0</v>
      </c>
      <c r="R34" s="8">
        <f>IF(F34="","",Weekly_Budget/21)</f>
        <v>0</v>
      </c>
      <c r="S34" s="27"/>
      <c r="T34" s="27"/>
      <c r="U34" s="26"/>
      <c r="V34" s="7"/>
      <c r="W34" s="7"/>
      <c r="X34" s="26"/>
      <c r="Y34" s="8">
        <f>IF(G34="","",IF(COUNTIFS('Meal Prep'!$D$5:$D$124,G34)&gt;0,"Yes","No"))</f>
        <v>0</v>
      </c>
      <c r="Z34" s="8">
        <f>IF(G34="","",COUNTIFS('Recipe Ingredients'!$A$5:$A$1204,G34))</f>
        <v>0</v>
      </c>
      <c r="AA34" s="25"/>
      <c r="AB34" s="8">
        <f>IF(OR(B34="",Q34=""),"",COUNTIFS($B$5:$B$504,B34,$Q$5:$Q$504,"&gt;"&amp;Q34)+1)</f>
        <v>0</v>
      </c>
      <c r="AC34" s="8">
        <f>IF(OR(B34="",L34=""),"",COUNTIFS($B$5:$B$504,B34,$L$5:$L$504,"&gt;"&amp;L34)+1)</f>
        <v>0</v>
      </c>
      <c r="AD34" s="8">
        <f>IF(G34="","",IF(COUNTIFS($G$5:$G$504,G34)&gt;1,"Repeat","Once"))</f>
        <v>0</v>
      </c>
      <c r="AE34" s="8">
        <f>IF(G34="","",IF(IFERROR(INDEX(Recipes!$X$5:$X$204,MATCH(G34,Recipes!$A$5:$A$204,0)),"")="","",IFERROR(B34-IFERROR(INDEX(Recipes!$X$5:$X$204,MATCH(G34,Recipes!$A$5:$A$204,0)),""),"")))</f>
        <v>0</v>
      </c>
      <c r="AF34" s="8">
        <f>IF(G34="","",IF(AE34="","Yes",IF(AE34&gt;=Rotation_Gap_Days,"Yes","No")))</f>
        <v>0</v>
      </c>
      <c r="AG34" s="8">
        <f>IF(G34="","",IF(COUNTIFS('Recipe Ingredients'!$A$5:$A$1204,G34,'Recipe Ingredients'!$AC$5:$AC$1204,"Check")&gt;0,"Check","OK"))</f>
        <v>0</v>
      </c>
    </row>
    <row r="35" spans="1:33">
      <c r="A35" s="7"/>
      <c r="B35" s="30"/>
      <c r="C35" s="8">
        <f>IF(B35="","",B35-WEEKDAY(B35,2)+1)</f>
        <v>0</v>
      </c>
      <c r="D35" s="8">
        <f>IF(B35="","",TEXT(B35,"ddd"))</f>
        <v>0</v>
      </c>
      <c r="E35" s="8">
        <f>IF(B35="","",TEXT(B35,"mmm yyyy"))</f>
        <v>0</v>
      </c>
      <c r="F35" s="27"/>
      <c r="G35" s="7"/>
      <c r="H35" s="26"/>
      <c r="I35" s="8">
        <f>IF(G35="","",IFERROR(INDEX(Recipes!$D$5:$D$204,MATCH(G35,Recipes!$A$5:$A$204,0)),""))</f>
        <v>0</v>
      </c>
      <c r="J35" s="8">
        <f>IF(OR(G35="",H35="",I35="",I35=0),"",H35/I35)</f>
        <v>0</v>
      </c>
      <c r="K35" s="8">
        <f>IF(B35="","",Household_Size)</f>
        <v>0</v>
      </c>
      <c r="L35" s="8">
        <f>IF(OR(G35="",H35=""),"",IFERROR(IFERROR(INDEX(Recipes!$H$5:$H$204,MATCH(G35,Recipes!$A$5:$A$204,0)),"")*H35,""))</f>
        <v>0</v>
      </c>
      <c r="M35" s="8">
        <f>IF(OR(G35="",H35=""),"",IFERROR(IFERROR(INDEX(Recipes!$I$5:$I$204,MATCH(G35,Recipes!$A$5:$A$204,0)),"")*H35,""))</f>
        <v>0</v>
      </c>
      <c r="N35" s="8">
        <f>IF(OR(G35="",H35=""),"",IFERROR(IFERROR(INDEX(Recipes!$J$5:$J$204,MATCH(G35,Recipes!$A$5:$A$204,0)),"")*H35,""))</f>
        <v>0</v>
      </c>
      <c r="O35" s="8">
        <f>IF(OR(G35="",H35=""),"",IFERROR(IFERROR(INDEX(Recipes!$K$5:$K$204,MATCH(G35,Recipes!$A$5:$A$204,0)),"")*H35,""))</f>
        <v>0</v>
      </c>
      <c r="P35" s="8">
        <f>IF(OR(G35="",H35=""),"",IFERROR(IFERROR(INDEX(Recipes!$L$5:$L$204,MATCH(G35,Recipes!$A$5:$A$204,0)),"")*H35,""))</f>
        <v>0</v>
      </c>
      <c r="Q35" s="8">
        <f>IF(OR(G35="",H35=""),"",IFERROR(IFERROR(INDEX(Recipes!$Q$5:$Q$204,MATCH(G35,Recipes!$A$5:$A$204,0)),"")*H35,""))</f>
        <v>0</v>
      </c>
      <c r="R35" s="8">
        <f>IF(F35="","",Weekly_Budget/21)</f>
        <v>0</v>
      </c>
      <c r="S35" s="27"/>
      <c r="T35" s="27"/>
      <c r="U35" s="26"/>
      <c r="V35" s="7"/>
      <c r="W35" s="7"/>
      <c r="X35" s="26"/>
      <c r="Y35" s="8">
        <f>IF(G35="","",IF(COUNTIFS('Meal Prep'!$D$5:$D$124,G35)&gt;0,"Yes","No"))</f>
        <v>0</v>
      </c>
      <c r="Z35" s="8">
        <f>IF(G35="","",COUNTIFS('Recipe Ingredients'!$A$5:$A$1204,G35))</f>
        <v>0</v>
      </c>
      <c r="AA35" s="25"/>
      <c r="AB35" s="8">
        <f>IF(OR(B35="",Q35=""),"",COUNTIFS($B$5:$B$504,B35,$Q$5:$Q$504,"&gt;"&amp;Q35)+1)</f>
        <v>0</v>
      </c>
      <c r="AC35" s="8">
        <f>IF(OR(B35="",L35=""),"",COUNTIFS($B$5:$B$504,B35,$L$5:$L$504,"&gt;"&amp;L35)+1)</f>
        <v>0</v>
      </c>
      <c r="AD35" s="8">
        <f>IF(G35="","",IF(COUNTIFS($G$5:$G$504,G35)&gt;1,"Repeat","Once"))</f>
        <v>0</v>
      </c>
      <c r="AE35" s="8">
        <f>IF(G35="","",IF(IFERROR(INDEX(Recipes!$X$5:$X$204,MATCH(G35,Recipes!$A$5:$A$204,0)),"")="","",IFERROR(B35-IFERROR(INDEX(Recipes!$X$5:$X$204,MATCH(G35,Recipes!$A$5:$A$204,0)),""),"")))</f>
        <v>0</v>
      </c>
      <c r="AF35" s="8">
        <f>IF(G35="","",IF(AE35="","Yes",IF(AE35&gt;=Rotation_Gap_Days,"Yes","No")))</f>
        <v>0</v>
      </c>
      <c r="AG35" s="8">
        <f>IF(G35="","",IF(COUNTIFS('Recipe Ingredients'!$A$5:$A$1204,G35,'Recipe Ingredients'!$AC$5:$AC$1204,"Check")&gt;0,"Check","OK"))</f>
        <v>0</v>
      </c>
    </row>
    <row r="36" spans="1:33">
      <c r="A36" s="7"/>
      <c r="B36" s="30"/>
      <c r="C36" s="8">
        <f>IF(B36="","",B36-WEEKDAY(B36,2)+1)</f>
        <v>0</v>
      </c>
      <c r="D36" s="8">
        <f>IF(B36="","",TEXT(B36,"ddd"))</f>
        <v>0</v>
      </c>
      <c r="E36" s="8">
        <f>IF(B36="","",TEXT(B36,"mmm yyyy"))</f>
        <v>0</v>
      </c>
      <c r="F36" s="27"/>
      <c r="G36" s="7"/>
      <c r="H36" s="26"/>
      <c r="I36" s="8">
        <f>IF(G36="","",IFERROR(INDEX(Recipes!$D$5:$D$204,MATCH(G36,Recipes!$A$5:$A$204,0)),""))</f>
        <v>0</v>
      </c>
      <c r="J36" s="8">
        <f>IF(OR(G36="",H36="",I36="",I36=0),"",H36/I36)</f>
        <v>0</v>
      </c>
      <c r="K36" s="8">
        <f>IF(B36="","",Household_Size)</f>
        <v>0</v>
      </c>
      <c r="L36" s="8">
        <f>IF(OR(G36="",H36=""),"",IFERROR(IFERROR(INDEX(Recipes!$H$5:$H$204,MATCH(G36,Recipes!$A$5:$A$204,0)),"")*H36,""))</f>
        <v>0</v>
      </c>
      <c r="M36" s="8">
        <f>IF(OR(G36="",H36=""),"",IFERROR(IFERROR(INDEX(Recipes!$I$5:$I$204,MATCH(G36,Recipes!$A$5:$A$204,0)),"")*H36,""))</f>
        <v>0</v>
      </c>
      <c r="N36" s="8">
        <f>IF(OR(G36="",H36=""),"",IFERROR(IFERROR(INDEX(Recipes!$J$5:$J$204,MATCH(G36,Recipes!$A$5:$A$204,0)),"")*H36,""))</f>
        <v>0</v>
      </c>
      <c r="O36" s="8">
        <f>IF(OR(G36="",H36=""),"",IFERROR(IFERROR(INDEX(Recipes!$K$5:$K$204,MATCH(G36,Recipes!$A$5:$A$204,0)),"")*H36,""))</f>
        <v>0</v>
      </c>
      <c r="P36" s="8">
        <f>IF(OR(G36="",H36=""),"",IFERROR(IFERROR(INDEX(Recipes!$L$5:$L$204,MATCH(G36,Recipes!$A$5:$A$204,0)),"")*H36,""))</f>
        <v>0</v>
      </c>
      <c r="Q36" s="8">
        <f>IF(OR(G36="",H36=""),"",IFERROR(IFERROR(INDEX(Recipes!$Q$5:$Q$204,MATCH(G36,Recipes!$A$5:$A$204,0)),"")*H36,""))</f>
        <v>0</v>
      </c>
      <c r="R36" s="8">
        <f>IF(F36="","",Weekly_Budget/21)</f>
        <v>0</v>
      </c>
      <c r="S36" s="27"/>
      <c r="T36" s="27"/>
      <c r="U36" s="26"/>
      <c r="V36" s="7"/>
      <c r="W36" s="7"/>
      <c r="X36" s="26"/>
      <c r="Y36" s="8">
        <f>IF(G36="","",IF(COUNTIFS('Meal Prep'!$D$5:$D$124,G36)&gt;0,"Yes","No"))</f>
        <v>0</v>
      </c>
      <c r="Z36" s="8">
        <f>IF(G36="","",COUNTIFS('Recipe Ingredients'!$A$5:$A$1204,G36))</f>
        <v>0</v>
      </c>
      <c r="AA36" s="25"/>
      <c r="AB36" s="8">
        <f>IF(OR(B36="",Q36=""),"",COUNTIFS($B$5:$B$504,B36,$Q$5:$Q$504,"&gt;"&amp;Q36)+1)</f>
        <v>0</v>
      </c>
      <c r="AC36" s="8">
        <f>IF(OR(B36="",L36=""),"",COUNTIFS($B$5:$B$504,B36,$L$5:$L$504,"&gt;"&amp;L36)+1)</f>
        <v>0</v>
      </c>
      <c r="AD36" s="8">
        <f>IF(G36="","",IF(COUNTIFS($G$5:$G$504,G36)&gt;1,"Repeat","Once"))</f>
        <v>0</v>
      </c>
      <c r="AE36" s="8">
        <f>IF(G36="","",IF(IFERROR(INDEX(Recipes!$X$5:$X$204,MATCH(G36,Recipes!$A$5:$A$204,0)),"")="","",IFERROR(B36-IFERROR(INDEX(Recipes!$X$5:$X$204,MATCH(G36,Recipes!$A$5:$A$204,0)),""),"")))</f>
        <v>0</v>
      </c>
      <c r="AF36" s="8">
        <f>IF(G36="","",IF(AE36="","Yes",IF(AE36&gt;=Rotation_Gap_Days,"Yes","No")))</f>
        <v>0</v>
      </c>
      <c r="AG36" s="8">
        <f>IF(G36="","",IF(COUNTIFS('Recipe Ingredients'!$A$5:$A$1204,G36,'Recipe Ingredients'!$AC$5:$AC$1204,"Check")&gt;0,"Check","OK"))</f>
        <v>0</v>
      </c>
    </row>
    <row r="37" spans="1:33">
      <c r="A37" s="7"/>
      <c r="B37" s="30"/>
      <c r="C37" s="8">
        <f>IF(B37="","",B37-WEEKDAY(B37,2)+1)</f>
        <v>0</v>
      </c>
      <c r="D37" s="8">
        <f>IF(B37="","",TEXT(B37,"ddd"))</f>
        <v>0</v>
      </c>
      <c r="E37" s="8">
        <f>IF(B37="","",TEXT(B37,"mmm yyyy"))</f>
        <v>0</v>
      </c>
      <c r="F37" s="27"/>
      <c r="G37" s="7"/>
      <c r="H37" s="26"/>
      <c r="I37" s="8">
        <f>IF(G37="","",IFERROR(INDEX(Recipes!$D$5:$D$204,MATCH(G37,Recipes!$A$5:$A$204,0)),""))</f>
        <v>0</v>
      </c>
      <c r="J37" s="8">
        <f>IF(OR(G37="",H37="",I37="",I37=0),"",H37/I37)</f>
        <v>0</v>
      </c>
      <c r="K37" s="8">
        <f>IF(B37="","",Household_Size)</f>
        <v>0</v>
      </c>
      <c r="L37" s="8">
        <f>IF(OR(G37="",H37=""),"",IFERROR(IFERROR(INDEX(Recipes!$H$5:$H$204,MATCH(G37,Recipes!$A$5:$A$204,0)),"")*H37,""))</f>
        <v>0</v>
      </c>
      <c r="M37" s="8">
        <f>IF(OR(G37="",H37=""),"",IFERROR(IFERROR(INDEX(Recipes!$I$5:$I$204,MATCH(G37,Recipes!$A$5:$A$204,0)),"")*H37,""))</f>
        <v>0</v>
      </c>
      <c r="N37" s="8">
        <f>IF(OR(G37="",H37=""),"",IFERROR(IFERROR(INDEX(Recipes!$J$5:$J$204,MATCH(G37,Recipes!$A$5:$A$204,0)),"")*H37,""))</f>
        <v>0</v>
      </c>
      <c r="O37" s="8">
        <f>IF(OR(G37="",H37=""),"",IFERROR(IFERROR(INDEX(Recipes!$K$5:$K$204,MATCH(G37,Recipes!$A$5:$A$204,0)),"")*H37,""))</f>
        <v>0</v>
      </c>
      <c r="P37" s="8">
        <f>IF(OR(G37="",H37=""),"",IFERROR(IFERROR(INDEX(Recipes!$L$5:$L$204,MATCH(G37,Recipes!$A$5:$A$204,0)),"")*H37,""))</f>
        <v>0</v>
      </c>
      <c r="Q37" s="8">
        <f>IF(OR(G37="",H37=""),"",IFERROR(IFERROR(INDEX(Recipes!$Q$5:$Q$204,MATCH(G37,Recipes!$A$5:$A$204,0)),"")*H37,""))</f>
        <v>0</v>
      </c>
      <c r="R37" s="8">
        <f>IF(F37="","",Weekly_Budget/21)</f>
        <v>0</v>
      </c>
      <c r="S37" s="27"/>
      <c r="T37" s="27"/>
      <c r="U37" s="26"/>
      <c r="V37" s="7"/>
      <c r="W37" s="7"/>
      <c r="X37" s="26"/>
      <c r="Y37" s="8">
        <f>IF(G37="","",IF(COUNTIFS('Meal Prep'!$D$5:$D$124,G37)&gt;0,"Yes","No"))</f>
        <v>0</v>
      </c>
      <c r="Z37" s="8">
        <f>IF(G37="","",COUNTIFS('Recipe Ingredients'!$A$5:$A$1204,G37))</f>
        <v>0</v>
      </c>
      <c r="AA37" s="25"/>
      <c r="AB37" s="8">
        <f>IF(OR(B37="",Q37=""),"",COUNTIFS($B$5:$B$504,B37,$Q$5:$Q$504,"&gt;"&amp;Q37)+1)</f>
        <v>0</v>
      </c>
      <c r="AC37" s="8">
        <f>IF(OR(B37="",L37=""),"",COUNTIFS($B$5:$B$504,B37,$L$5:$L$504,"&gt;"&amp;L37)+1)</f>
        <v>0</v>
      </c>
      <c r="AD37" s="8">
        <f>IF(G37="","",IF(COUNTIFS($G$5:$G$504,G37)&gt;1,"Repeat","Once"))</f>
        <v>0</v>
      </c>
      <c r="AE37" s="8">
        <f>IF(G37="","",IF(IFERROR(INDEX(Recipes!$X$5:$X$204,MATCH(G37,Recipes!$A$5:$A$204,0)),"")="","",IFERROR(B37-IFERROR(INDEX(Recipes!$X$5:$X$204,MATCH(G37,Recipes!$A$5:$A$204,0)),""),"")))</f>
        <v>0</v>
      </c>
      <c r="AF37" s="8">
        <f>IF(G37="","",IF(AE37="","Yes",IF(AE37&gt;=Rotation_Gap_Days,"Yes","No")))</f>
        <v>0</v>
      </c>
      <c r="AG37" s="8">
        <f>IF(G37="","",IF(COUNTIFS('Recipe Ingredients'!$A$5:$A$1204,G37,'Recipe Ingredients'!$AC$5:$AC$1204,"Check")&gt;0,"Check","OK"))</f>
        <v>0</v>
      </c>
    </row>
    <row r="38" spans="1:33">
      <c r="A38" s="7"/>
      <c r="B38" s="30"/>
      <c r="C38" s="8">
        <f>IF(B38="","",B38-WEEKDAY(B38,2)+1)</f>
        <v>0</v>
      </c>
      <c r="D38" s="8">
        <f>IF(B38="","",TEXT(B38,"ddd"))</f>
        <v>0</v>
      </c>
      <c r="E38" s="8">
        <f>IF(B38="","",TEXT(B38,"mmm yyyy"))</f>
        <v>0</v>
      </c>
      <c r="F38" s="27"/>
      <c r="G38" s="7"/>
      <c r="H38" s="26"/>
      <c r="I38" s="8">
        <f>IF(G38="","",IFERROR(INDEX(Recipes!$D$5:$D$204,MATCH(G38,Recipes!$A$5:$A$204,0)),""))</f>
        <v>0</v>
      </c>
      <c r="J38" s="8">
        <f>IF(OR(G38="",H38="",I38="",I38=0),"",H38/I38)</f>
        <v>0</v>
      </c>
      <c r="K38" s="8">
        <f>IF(B38="","",Household_Size)</f>
        <v>0</v>
      </c>
      <c r="L38" s="8">
        <f>IF(OR(G38="",H38=""),"",IFERROR(IFERROR(INDEX(Recipes!$H$5:$H$204,MATCH(G38,Recipes!$A$5:$A$204,0)),"")*H38,""))</f>
        <v>0</v>
      </c>
      <c r="M38" s="8">
        <f>IF(OR(G38="",H38=""),"",IFERROR(IFERROR(INDEX(Recipes!$I$5:$I$204,MATCH(G38,Recipes!$A$5:$A$204,0)),"")*H38,""))</f>
        <v>0</v>
      </c>
      <c r="N38" s="8">
        <f>IF(OR(G38="",H38=""),"",IFERROR(IFERROR(INDEX(Recipes!$J$5:$J$204,MATCH(G38,Recipes!$A$5:$A$204,0)),"")*H38,""))</f>
        <v>0</v>
      </c>
      <c r="O38" s="8">
        <f>IF(OR(G38="",H38=""),"",IFERROR(IFERROR(INDEX(Recipes!$K$5:$K$204,MATCH(G38,Recipes!$A$5:$A$204,0)),"")*H38,""))</f>
        <v>0</v>
      </c>
      <c r="P38" s="8">
        <f>IF(OR(G38="",H38=""),"",IFERROR(IFERROR(INDEX(Recipes!$L$5:$L$204,MATCH(G38,Recipes!$A$5:$A$204,0)),"")*H38,""))</f>
        <v>0</v>
      </c>
      <c r="Q38" s="8">
        <f>IF(OR(G38="",H38=""),"",IFERROR(IFERROR(INDEX(Recipes!$Q$5:$Q$204,MATCH(G38,Recipes!$A$5:$A$204,0)),"")*H38,""))</f>
        <v>0</v>
      </c>
      <c r="R38" s="8">
        <f>IF(F38="","",Weekly_Budget/21)</f>
        <v>0</v>
      </c>
      <c r="S38" s="27"/>
      <c r="T38" s="27"/>
      <c r="U38" s="26"/>
      <c r="V38" s="7"/>
      <c r="W38" s="7"/>
      <c r="X38" s="26"/>
      <c r="Y38" s="8">
        <f>IF(G38="","",IF(COUNTIFS('Meal Prep'!$D$5:$D$124,G38)&gt;0,"Yes","No"))</f>
        <v>0</v>
      </c>
      <c r="Z38" s="8">
        <f>IF(G38="","",COUNTIFS('Recipe Ingredients'!$A$5:$A$1204,G38))</f>
        <v>0</v>
      </c>
      <c r="AA38" s="25"/>
      <c r="AB38" s="8">
        <f>IF(OR(B38="",Q38=""),"",COUNTIFS($B$5:$B$504,B38,$Q$5:$Q$504,"&gt;"&amp;Q38)+1)</f>
        <v>0</v>
      </c>
      <c r="AC38" s="8">
        <f>IF(OR(B38="",L38=""),"",COUNTIFS($B$5:$B$504,B38,$L$5:$L$504,"&gt;"&amp;L38)+1)</f>
        <v>0</v>
      </c>
      <c r="AD38" s="8">
        <f>IF(G38="","",IF(COUNTIFS($G$5:$G$504,G38)&gt;1,"Repeat","Once"))</f>
        <v>0</v>
      </c>
      <c r="AE38" s="8">
        <f>IF(G38="","",IF(IFERROR(INDEX(Recipes!$X$5:$X$204,MATCH(G38,Recipes!$A$5:$A$204,0)),"")="","",IFERROR(B38-IFERROR(INDEX(Recipes!$X$5:$X$204,MATCH(G38,Recipes!$A$5:$A$204,0)),""),"")))</f>
        <v>0</v>
      </c>
      <c r="AF38" s="8">
        <f>IF(G38="","",IF(AE38="","Yes",IF(AE38&gt;=Rotation_Gap_Days,"Yes","No")))</f>
        <v>0</v>
      </c>
      <c r="AG38" s="8">
        <f>IF(G38="","",IF(COUNTIFS('Recipe Ingredients'!$A$5:$A$1204,G38,'Recipe Ingredients'!$AC$5:$AC$1204,"Check")&gt;0,"Check","OK"))</f>
        <v>0</v>
      </c>
    </row>
    <row r="39" spans="1:33">
      <c r="A39" s="7"/>
      <c r="B39" s="30"/>
      <c r="C39" s="8">
        <f>IF(B39="","",B39-WEEKDAY(B39,2)+1)</f>
        <v>0</v>
      </c>
      <c r="D39" s="8">
        <f>IF(B39="","",TEXT(B39,"ddd"))</f>
        <v>0</v>
      </c>
      <c r="E39" s="8">
        <f>IF(B39="","",TEXT(B39,"mmm yyyy"))</f>
        <v>0</v>
      </c>
      <c r="F39" s="27"/>
      <c r="G39" s="7"/>
      <c r="H39" s="26"/>
      <c r="I39" s="8">
        <f>IF(G39="","",IFERROR(INDEX(Recipes!$D$5:$D$204,MATCH(G39,Recipes!$A$5:$A$204,0)),""))</f>
        <v>0</v>
      </c>
      <c r="J39" s="8">
        <f>IF(OR(G39="",H39="",I39="",I39=0),"",H39/I39)</f>
        <v>0</v>
      </c>
      <c r="K39" s="8">
        <f>IF(B39="","",Household_Size)</f>
        <v>0</v>
      </c>
      <c r="L39" s="8">
        <f>IF(OR(G39="",H39=""),"",IFERROR(IFERROR(INDEX(Recipes!$H$5:$H$204,MATCH(G39,Recipes!$A$5:$A$204,0)),"")*H39,""))</f>
        <v>0</v>
      </c>
      <c r="M39" s="8">
        <f>IF(OR(G39="",H39=""),"",IFERROR(IFERROR(INDEX(Recipes!$I$5:$I$204,MATCH(G39,Recipes!$A$5:$A$204,0)),"")*H39,""))</f>
        <v>0</v>
      </c>
      <c r="N39" s="8">
        <f>IF(OR(G39="",H39=""),"",IFERROR(IFERROR(INDEX(Recipes!$J$5:$J$204,MATCH(G39,Recipes!$A$5:$A$204,0)),"")*H39,""))</f>
        <v>0</v>
      </c>
      <c r="O39" s="8">
        <f>IF(OR(G39="",H39=""),"",IFERROR(IFERROR(INDEX(Recipes!$K$5:$K$204,MATCH(G39,Recipes!$A$5:$A$204,0)),"")*H39,""))</f>
        <v>0</v>
      </c>
      <c r="P39" s="8">
        <f>IF(OR(G39="",H39=""),"",IFERROR(IFERROR(INDEX(Recipes!$L$5:$L$204,MATCH(G39,Recipes!$A$5:$A$204,0)),"")*H39,""))</f>
        <v>0</v>
      </c>
      <c r="Q39" s="8">
        <f>IF(OR(G39="",H39=""),"",IFERROR(IFERROR(INDEX(Recipes!$Q$5:$Q$204,MATCH(G39,Recipes!$A$5:$A$204,0)),"")*H39,""))</f>
        <v>0</v>
      </c>
      <c r="R39" s="8">
        <f>IF(F39="","",Weekly_Budget/21)</f>
        <v>0</v>
      </c>
      <c r="S39" s="27"/>
      <c r="T39" s="27"/>
      <c r="U39" s="26"/>
      <c r="V39" s="7"/>
      <c r="W39" s="7"/>
      <c r="X39" s="26"/>
      <c r="Y39" s="8">
        <f>IF(G39="","",IF(COUNTIFS('Meal Prep'!$D$5:$D$124,G39)&gt;0,"Yes","No"))</f>
        <v>0</v>
      </c>
      <c r="Z39" s="8">
        <f>IF(G39="","",COUNTIFS('Recipe Ingredients'!$A$5:$A$1204,G39))</f>
        <v>0</v>
      </c>
      <c r="AA39" s="25"/>
      <c r="AB39" s="8">
        <f>IF(OR(B39="",Q39=""),"",COUNTIFS($B$5:$B$504,B39,$Q$5:$Q$504,"&gt;"&amp;Q39)+1)</f>
        <v>0</v>
      </c>
      <c r="AC39" s="8">
        <f>IF(OR(B39="",L39=""),"",COUNTIFS($B$5:$B$504,B39,$L$5:$L$504,"&gt;"&amp;L39)+1)</f>
        <v>0</v>
      </c>
      <c r="AD39" s="8">
        <f>IF(G39="","",IF(COUNTIFS($G$5:$G$504,G39)&gt;1,"Repeat","Once"))</f>
        <v>0</v>
      </c>
      <c r="AE39" s="8">
        <f>IF(G39="","",IF(IFERROR(INDEX(Recipes!$X$5:$X$204,MATCH(G39,Recipes!$A$5:$A$204,0)),"")="","",IFERROR(B39-IFERROR(INDEX(Recipes!$X$5:$X$204,MATCH(G39,Recipes!$A$5:$A$204,0)),""),"")))</f>
        <v>0</v>
      </c>
      <c r="AF39" s="8">
        <f>IF(G39="","",IF(AE39="","Yes",IF(AE39&gt;=Rotation_Gap_Days,"Yes","No")))</f>
        <v>0</v>
      </c>
      <c r="AG39" s="8">
        <f>IF(G39="","",IF(COUNTIFS('Recipe Ingredients'!$A$5:$A$1204,G39,'Recipe Ingredients'!$AC$5:$AC$1204,"Check")&gt;0,"Check","OK"))</f>
        <v>0</v>
      </c>
    </row>
    <row r="40" spans="1:33">
      <c r="A40" s="7"/>
      <c r="B40" s="30"/>
      <c r="C40" s="8">
        <f>IF(B40="","",B40-WEEKDAY(B40,2)+1)</f>
        <v>0</v>
      </c>
      <c r="D40" s="8">
        <f>IF(B40="","",TEXT(B40,"ddd"))</f>
        <v>0</v>
      </c>
      <c r="E40" s="8">
        <f>IF(B40="","",TEXT(B40,"mmm yyyy"))</f>
        <v>0</v>
      </c>
      <c r="F40" s="27"/>
      <c r="G40" s="7"/>
      <c r="H40" s="26"/>
      <c r="I40" s="8">
        <f>IF(G40="","",IFERROR(INDEX(Recipes!$D$5:$D$204,MATCH(G40,Recipes!$A$5:$A$204,0)),""))</f>
        <v>0</v>
      </c>
      <c r="J40" s="8">
        <f>IF(OR(G40="",H40="",I40="",I40=0),"",H40/I40)</f>
        <v>0</v>
      </c>
      <c r="K40" s="8">
        <f>IF(B40="","",Household_Size)</f>
        <v>0</v>
      </c>
      <c r="L40" s="8">
        <f>IF(OR(G40="",H40=""),"",IFERROR(IFERROR(INDEX(Recipes!$H$5:$H$204,MATCH(G40,Recipes!$A$5:$A$204,0)),"")*H40,""))</f>
        <v>0</v>
      </c>
      <c r="M40" s="8">
        <f>IF(OR(G40="",H40=""),"",IFERROR(IFERROR(INDEX(Recipes!$I$5:$I$204,MATCH(G40,Recipes!$A$5:$A$204,0)),"")*H40,""))</f>
        <v>0</v>
      </c>
      <c r="N40" s="8">
        <f>IF(OR(G40="",H40=""),"",IFERROR(IFERROR(INDEX(Recipes!$J$5:$J$204,MATCH(G40,Recipes!$A$5:$A$204,0)),"")*H40,""))</f>
        <v>0</v>
      </c>
      <c r="O40" s="8">
        <f>IF(OR(G40="",H40=""),"",IFERROR(IFERROR(INDEX(Recipes!$K$5:$K$204,MATCH(G40,Recipes!$A$5:$A$204,0)),"")*H40,""))</f>
        <v>0</v>
      </c>
      <c r="P40" s="8">
        <f>IF(OR(G40="",H40=""),"",IFERROR(IFERROR(INDEX(Recipes!$L$5:$L$204,MATCH(G40,Recipes!$A$5:$A$204,0)),"")*H40,""))</f>
        <v>0</v>
      </c>
      <c r="Q40" s="8">
        <f>IF(OR(G40="",H40=""),"",IFERROR(IFERROR(INDEX(Recipes!$Q$5:$Q$204,MATCH(G40,Recipes!$A$5:$A$204,0)),"")*H40,""))</f>
        <v>0</v>
      </c>
      <c r="R40" s="8">
        <f>IF(F40="","",Weekly_Budget/21)</f>
        <v>0</v>
      </c>
      <c r="S40" s="27"/>
      <c r="T40" s="27"/>
      <c r="U40" s="26"/>
      <c r="V40" s="7"/>
      <c r="W40" s="7"/>
      <c r="X40" s="26"/>
      <c r="Y40" s="8">
        <f>IF(G40="","",IF(COUNTIFS('Meal Prep'!$D$5:$D$124,G40)&gt;0,"Yes","No"))</f>
        <v>0</v>
      </c>
      <c r="Z40" s="8">
        <f>IF(G40="","",COUNTIFS('Recipe Ingredients'!$A$5:$A$1204,G40))</f>
        <v>0</v>
      </c>
      <c r="AA40" s="25"/>
      <c r="AB40" s="8">
        <f>IF(OR(B40="",Q40=""),"",COUNTIFS($B$5:$B$504,B40,$Q$5:$Q$504,"&gt;"&amp;Q40)+1)</f>
        <v>0</v>
      </c>
      <c r="AC40" s="8">
        <f>IF(OR(B40="",L40=""),"",COUNTIFS($B$5:$B$504,B40,$L$5:$L$504,"&gt;"&amp;L40)+1)</f>
        <v>0</v>
      </c>
      <c r="AD40" s="8">
        <f>IF(G40="","",IF(COUNTIFS($G$5:$G$504,G40)&gt;1,"Repeat","Once"))</f>
        <v>0</v>
      </c>
      <c r="AE40" s="8">
        <f>IF(G40="","",IF(IFERROR(INDEX(Recipes!$X$5:$X$204,MATCH(G40,Recipes!$A$5:$A$204,0)),"")="","",IFERROR(B40-IFERROR(INDEX(Recipes!$X$5:$X$204,MATCH(G40,Recipes!$A$5:$A$204,0)),""),"")))</f>
        <v>0</v>
      </c>
      <c r="AF40" s="8">
        <f>IF(G40="","",IF(AE40="","Yes",IF(AE40&gt;=Rotation_Gap_Days,"Yes","No")))</f>
        <v>0</v>
      </c>
      <c r="AG40" s="8">
        <f>IF(G40="","",IF(COUNTIFS('Recipe Ingredients'!$A$5:$A$1204,G40,'Recipe Ingredients'!$AC$5:$AC$1204,"Check")&gt;0,"Check","OK"))</f>
        <v>0</v>
      </c>
    </row>
    <row r="41" spans="1:33">
      <c r="A41" s="7"/>
      <c r="B41" s="30"/>
      <c r="C41" s="8">
        <f>IF(B41="","",B41-WEEKDAY(B41,2)+1)</f>
        <v>0</v>
      </c>
      <c r="D41" s="8">
        <f>IF(B41="","",TEXT(B41,"ddd"))</f>
        <v>0</v>
      </c>
      <c r="E41" s="8">
        <f>IF(B41="","",TEXT(B41,"mmm yyyy"))</f>
        <v>0</v>
      </c>
      <c r="F41" s="27"/>
      <c r="G41" s="7"/>
      <c r="H41" s="26"/>
      <c r="I41" s="8">
        <f>IF(G41="","",IFERROR(INDEX(Recipes!$D$5:$D$204,MATCH(G41,Recipes!$A$5:$A$204,0)),""))</f>
        <v>0</v>
      </c>
      <c r="J41" s="8">
        <f>IF(OR(G41="",H41="",I41="",I41=0),"",H41/I41)</f>
        <v>0</v>
      </c>
      <c r="K41" s="8">
        <f>IF(B41="","",Household_Size)</f>
        <v>0</v>
      </c>
      <c r="L41" s="8">
        <f>IF(OR(G41="",H41=""),"",IFERROR(IFERROR(INDEX(Recipes!$H$5:$H$204,MATCH(G41,Recipes!$A$5:$A$204,0)),"")*H41,""))</f>
        <v>0</v>
      </c>
      <c r="M41" s="8">
        <f>IF(OR(G41="",H41=""),"",IFERROR(IFERROR(INDEX(Recipes!$I$5:$I$204,MATCH(G41,Recipes!$A$5:$A$204,0)),"")*H41,""))</f>
        <v>0</v>
      </c>
      <c r="N41" s="8">
        <f>IF(OR(G41="",H41=""),"",IFERROR(IFERROR(INDEX(Recipes!$J$5:$J$204,MATCH(G41,Recipes!$A$5:$A$204,0)),"")*H41,""))</f>
        <v>0</v>
      </c>
      <c r="O41" s="8">
        <f>IF(OR(G41="",H41=""),"",IFERROR(IFERROR(INDEX(Recipes!$K$5:$K$204,MATCH(G41,Recipes!$A$5:$A$204,0)),"")*H41,""))</f>
        <v>0</v>
      </c>
      <c r="P41" s="8">
        <f>IF(OR(G41="",H41=""),"",IFERROR(IFERROR(INDEX(Recipes!$L$5:$L$204,MATCH(G41,Recipes!$A$5:$A$204,0)),"")*H41,""))</f>
        <v>0</v>
      </c>
      <c r="Q41" s="8">
        <f>IF(OR(G41="",H41=""),"",IFERROR(IFERROR(INDEX(Recipes!$Q$5:$Q$204,MATCH(G41,Recipes!$A$5:$A$204,0)),"")*H41,""))</f>
        <v>0</v>
      </c>
      <c r="R41" s="8">
        <f>IF(F41="","",Weekly_Budget/21)</f>
        <v>0</v>
      </c>
      <c r="S41" s="27"/>
      <c r="T41" s="27"/>
      <c r="U41" s="26"/>
      <c r="V41" s="7"/>
      <c r="W41" s="7"/>
      <c r="X41" s="26"/>
      <c r="Y41" s="8">
        <f>IF(G41="","",IF(COUNTIFS('Meal Prep'!$D$5:$D$124,G41)&gt;0,"Yes","No"))</f>
        <v>0</v>
      </c>
      <c r="Z41" s="8">
        <f>IF(G41="","",COUNTIFS('Recipe Ingredients'!$A$5:$A$1204,G41))</f>
        <v>0</v>
      </c>
      <c r="AA41" s="25"/>
      <c r="AB41" s="8">
        <f>IF(OR(B41="",Q41=""),"",COUNTIFS($B$5:$B$504,B41,$Q$5:$Q$504,"&gt;"&amp;Q41)+1)</f>
        <v>0</v>
      </c>
      <c r="AC41" s="8">
        <f>IF(OR(B41="",L41=""),"",COUNTIFS($B$5:$B$504,B41,$L$5:$L$504,"&gt;"&amp;L41)+1)</f>
        <v>0</v>
      </c>
      <c r="AD41" s="8">
        <f>IF(G41="","",IF(COUNTIFS($G$5:$G$504,G41)&gt;1,"Repeat","Once"))</f>
        <v>0</v>
      </c>
      <c r="AE41" s="8">
        <f>IF(G41="","",IF(IFERROR(INDEX(Recipes!$X$5:$X$204,MATCH(G41,Recipes!$A$5:$A$204,0)),"")="","",IFERROR(B41-IFERROR(INDEX(Recipes!$X$5:$X$204,MATCH(G41,Recipes!$A$5:$A$204,0)),""),"")))</f>
        <v>0</v>
      </c>
      <c r="AF41" s="8">
        <f>IF(G41="","",IF(AE41="","Yes",IF(AE41&gt;=Rotation_Gap_Days,"Yes","No")))</f>
        <v>0</v>
      </c>
      <c r="AG41" s="8">
        <f>IF(G41="","",IF(COUNTIFS('Recipe Ingredients'!$A$5:$A$1204,G41,'Recipe Ingredients'!$AC$5:$AC$1204,"Check")&gt;0,"Check","OK"))</f>
        <v>0</v>
      </c>
    </row>
    <row r="42" spans="1:33">
      <c r="A42" s="7"/>
      <c r="B42" s="30"/>
      <c r="C42" s="8">
        <f>IF(B42="","",B42-WEEKDAY(B42,2)+1)</f>
        <v>0</v>
      </c>
      <c r="D42" s="8">
        <f>IF(B42="","",TEXT(B42,"ddd"))</f>
        <v>0</v>
      </c>
      <c r="E42" s="8">
        <f>IF(B42="","",TEXT(B42,"mmm yyyy"))</f>
        <v>0</v>
      </c>
      <c r="F42" s="27"/>
      <c r="G42" s="7"/>
      <c r="H42" s="26"/>
      <c r="I42" s="8">
        <f>IF(G42="","",IFERROR(INDEX(Recipes!$D$5:$D$204,MATCH(G42,Recipes!$A$5:$A$204,0)),""))</f>
        <v>0</v>
      </c>
      <c r="J42" s="8">
        <f>IF(OR(G42="",H42="",I42="",I42=0),"",H42/I42)</f>
        <v>0</v>
      </c>
      <c r="K42" s="8">
        <f>IF(B42="","",Household_Size)</f>
        <v>0</v>
      </c>
      <c r="L42" s="8">
        <f>IF(OR(G42="",H42=""),"",IFERROR(IFERROR(INDEX(Recipes!$H$5:$H$204,MATCH(G42,Recipes!$A$5:$A$204,0)),"")*H42,""))</f>
        <v>0</v>
      </c>
      <c r="M42" s="8">
        <f>IF(OR(G42="",H42=""),"",IFERROR(IFERROR(INDEX(Recipes!$I$5:$I$204,MATCH(G42,Recipes!$A$5:$A$204,0)),"")*H42,""))</f>
        <v>0</v>
      </c>
      <c r="N42" s="8">
        <f>IF(OR(G42="",H42=""),"",IFERROR(IFERROR(INDEX(Recipes!$J$5:$J$204,MATCH(G42,Recipes!$A$5:$A$204,0)),"")*H42,""))</f>
        <v>0</v>
      </c>
      <c r="O42" s="8">
        <f>IF(OR(G42="",H42=""),"",IFERROR(IFERROR(INDEX(Recipes!$K$5:$K$204,MATCH(G42,Recipes!$A$5:$A$204,0)),"")*H42,""))</f>
        <v>0</v>
      </c>
      <c r="P42" s="8">
        <f>IF(OR(G42="",H42=""),"",IFERROR(IFERROR(INDEX(Recipes!$L$5:$L$204,MATCH(G42,Recipes!$A$5:$A$204,0)),"")*H42,""))</f>
        <v>0</v>
      </c>
      <c r="Q42" s="8">
        <f>IF(OR(G42="",H42=""),"",IFERROR(IFERROR(INDEX(Recipes!$Q$5:$Q$204,MATCH(G42,Recipes!$A$5:$A$204,0)),"")*H42,""))</f>
        <v>0</v>
      </c>
      <c r="R42" s="8">
        <f>IF(F42="","",Weekly_Budget/21)</f>
        <v>0</v>
      </c>
      <c r="S42" s="27"/>
      <c r="T42" s="27"/>
      <c r="U42" s="26"/>
      <c r="V42" s="7"/>
      <c r="W42" s="7"/>
      <c r="X42" s="26"/>
      <c r="Y42" s="8">
        <f>IF(G42="","",IF(COUNTIFS('Meal Prep'!$D$5:$D$124,G42)&gt;0,"Yes","No"))</f>
        <v>0</v>
      </c>
      <c r="Z42" s="8">
        <f>IF(G42="","",COUNTIFS('Recipe Ingredients'!$A$5:$A$1204,G42))</f>
        <v>0</v>
      </c>
      <c r="AA42" s="25"/>
      <c r="AB42" s="8">
        <f>IF(OR(B42="",Q42=""),"",COUNTIFS($B$5:$B$504,B42,$Q$5:$Q$504,"&gt;"&amp;Q42)+1)</f>
        <v>0</v>
      </c>
      <c r="AC42" s="8">
        <f>IF(OR(B42="",L42=""),"",COUNTIFS($B$5:$B$504,B42,$L$5:$L$504,"&gt;"&amp;L42)+1)</f>
        <v>0</v>
      </c>
      <c r="AD42" s="8">
        <f>IF(G42="","",IF(COUNTIFS($G$5:$G$504,G42)&gt;1,"Repeat","Once"))</f>
        <v>0</v>
      </c>
      <c r="AE42" s="8">
        <f>IF(G42="","",IF(IFERROR(INDEX(Recipes!$X$5:$X$204,MATCH(G42,Recipes!$A$5:$A$204,0)),"")="","",IFERROR(B42-IFERROR(INDEX(Recipes!$X$5:$X$204,MATCH(G42,Recipes!$A$5:$A$204,0)),""),"")))</f>
        <v>0</v>
      </c>
      <c r="AF42" s="8">
        <f>IF(G42="","",IF(AE42="","Yes",IF(AE42&gt;=Rotation_Gap_Days,"Yes","No")))</f>
        <v>0</v>
      </c>
      <c r="AG42" s="8">
        <f>IF(G42="","",IF(COUNTIFS('Recipe Ingredients'!$A$5:$A$1204,G42,'Recipe Ingredients'!$AC$5:$AC$1204,"Check")&gt;0,"Check","OK"))</f>
        <v>0</v>
      </c>
    </row>
    <row r="43" spans="1:33">
      <c r="A43" s="7"/>
      <c r="B43" s="30"/>
      <c r="C43" s="8">
        <f>IF(B43="","",B43-WEEKDAY(B43,2)+1)</f>
        <v>0</v>
      </c>
      <c r="D43" s="8">
        <f>IF(B43="","",TEXT(B43,"ddd"))</f>
        <v>0</v>
      </c>
      <c r="E43" s="8">
        <f>IF(B43="","",TEXT(B43,"mmm yyyy"))</f>
        <v>0</v>
      </c>
      <c r="F43" s="27"/>
      <c r="G43" s="7"/>
      <c r="H43" s="26"/>
      <c r="I43" s="8">
        <f>IF(G43="","",IFERROR(INDEX(Recipes!$D$5:$D$204,MATCH(G43,Recipes!$A$5:$A$204,0)),""))</f>
        <v>0</v>
      </c>
      <c r="J43" s="8">
        <f>IF(OR(G43="",H43="",I43="",I43=0),"",H43/I43)</f>
        <v>0</v>
      </c>
      <c r="K43" s="8">
        <f>IF(B43="","",Household_Size)</f>
        <v>0</v>
      </c>
      <c r="L43" s="8">
        <f>IF(OR(G43="",H43=""),"",IFERROR(IFERROR(INDEX(Recipes!$H$5:$H$204,MATCH(G43,Recipes!$A$5:$A$204,0)),"")*H43,""))</f>
        <v>0</v>
      </c>
      <c r="M43" s="8">
        <f>IF(OR(G43="",H43=""),"",IFERROR(IFERROR(INDEX(Recipes!$I$5:$I$204,MATCH(G43,Recipes!$A$5:$A$204,0)),"")*H43,""))</f>
        <v>0</v>
      </c>
      <c r="N43" s="8">
        <f>IF(OR(G43="",H43=""),"",IFERROR(IFERROR(INDEX(Recipes!$J$5:$J$204,MATCH(G43,Recipes!$A$5:$A$204,0)),"")*H43,""))</f>
        <v>0</v>
      </c>
      <c r="O43" s="8">
        <f>IF(OR(G43="",H43=""),"",IFERROR(IFERROR(INDEX(Recipes!$K$5:$K$204,MATCH(G43,Recipes!$A$5:$A$204,0)),"")*H43,""))</f>
        <v>0</v>
      </c>
      <c r="P43" s="8">
        <f>IF(OR(G43="",H43=""),"",IFERROR(IFERROR(INDEX(Recipes!$L$5:$L$204,MATCH(G43,Recipes!$A$5:$A$204,0)),"")*H43,""))</f>
        <v>0</v>
      </c>
      <c r="Q43" s="8">
        <f>IF(OR(G43="",H43=""),"",IFERROR(IFERROR(INDEX(Recipes!$Q$5:$Q$204,MATCH(G43,Recipes!$A$5:$A$204,0)),"")*H43,""))</f>
        <v>0</v>
      </c>
      <c r="R43" s="8">
        <f>IF(F43="","",Weekly_Budget/21)</f>
        <v>0</v>
      </c>
      <c r="S43" s="27"/>
      <c r="T43" s="27"/>
      <c r="U43" s="26"/>
      <c r="V43" s="7"/>
      <c r="W43" s="7"/>
      <c r="X43" s="26"/>
      <c r="Y43" s="8">
        <f>IF(G43="","",IF(COUNTIFS('Meal Prep'!$D$5:$D$124,G43)&gt;0,"Yes","No"))</f>
        <v>0</v>
      </c>
      <c r="Z43" s="8">
        <f>IF(G43="","",COUNTIFS('Recipe Ingredients'!$A$5:$A$1204,G43))</f>
        <v>0</v>
      </c>
      <c r="AA43" s="25"/>
      <c r="AB43" s="8">
        <f>IF(OR(B43="",Q43=""),"",COUNTIFS($B$5:$B$504,B43,$Q$5:$Q$504,"&gt;"&amp;Q43)+1)</f>
        <v>0</v>
      </c>
      <c r="AC43" s="8">
        <f>IF(OR(B43="",L43=""),"",COUNTIFS($B$5:$B$504,B43,$L$5:$L$504,"&gt;"&amp;L43)+1)</f>
        <v>0</v>
      </c>
      <c r="AD43" s="8">
        <f>IF(G43="","",IF(COUNTIFS($G$5:$G$504,G43)&gt;1,"Repeat","Once"))</f>
        <v>0</v>
      </c>
      <c r="AE43" s="8">
        <f>IF(G43="","",IF(IFERROR(INDEX(Recipes!$X$5:$X$204,MATCH(G43,Recipes!$A$5:$A$204,0)),"")="","",IFERROR(B43-IFERROR(INDEX(Recipes!$X$5:$X$204,MATCH(G43,Recipes!$A$5:$A$204,0)),""),"")))</f>
        <v>0</v>
      </c>
      <c r="AF43" s="8">
        <f>IF(G43="","",IF(AE43="","Yes",IF(AE43&gt;=Rotation_Gap_Days,"Yes","No")))</f>
        <v>0</v>
      </c>
      <c r="AG43" s="8">
        <f>IF(G43="","",IF(COUNTIFS('Recipe Ingredients'!$A$5:$A$1204,G43,'Recipe Ingredients'!$AC$5:$AC$1204,"Check")&gt;0,"Check","OK"))</f>
        <v>0</v>
      </c>
    </row>
    <row r="44" spans="1:33">
      <c r="A44" s="7"/>
      <c r="B44" s="30"/>
      <c r="C44" s="8">
        <f>IF(B44="","",B44-WEEKDAY(B44,2)+1)</f>
        <v>0</v>
      </c>
      <c r="D44" s="8">
        <f>IF(B44="","",TEXT(B44,"ddd"))</f>
        <v>0</v>
      </c>
      <c r="E44" s="8">
        <f>IF(B44="","",TEXT(B44,"mmm yyyy"))</f>
        <v>0</v>
      </c>
      <c r="F44" s="27"/>
      <c r="G44" s="7"/>
      <c r="H44" s="26"/>
      <c r="I44" s="8">
        <f>IF(G44="","",IFERROR(INDEX(Recipes!$D$5:$D$204,MATCH(G44,Recipes!$A$5:$A$204,0)),""))</f>
        <v>0</v>
      </c>
      <c r="J44" s="8">
        <f>IF(OR(G44="",H44="",I44="",I44=0),"",H44/I44)</f>
        <v>0</v>
      </c>
      <c r="K44" s="8">
        <f>IF(B44="","",Household_Size)</f>
        <v>0</v>
      </c>
      <c r="L44" s="8">
        <f>IF(OR(G44="",H44=""),"",IFERROR(IFERROR(INDEX(Recipes!$H$5:$H$204,MATCH(G44,Recipes!$A$5:$A$204,0)),"")*H44,""))</f>
        <v>0</v>
      </c>
      <c r="M44" s="8">
        <f>IF(OR(G44="",H44=""),"",IFERROR(IFERROR(INDEX(Recipes!$I$5:$I$204,MATCH(G44,Recipes!$A$5:$A$204,0)),"")*H44,""))</f>
        <v>0</v>
      </c>
      <c r="N44" s="8">
        <f>IF(OR(G44="",H44=""),"",IFERROR(IFERROR(INDEX(Recipes!$J$5:$J$204,MATCH(G44,Recipes!$A$5:$A$204,0)),"")*H44,""))</f>
        <v>0</v>
      </c>
      <c r="O44" s="8">
        <f>IF(OR(G44="",H44=""),"",IFERROR(IFERROR(INDEX(Recipes!$K$5:$K$204,MATCH(G44,Recipes!$A$5:$A$204,0)),"")*H44,""))</f>
        <v>0</v>
      </c>
      <c r="P44" s="8">
        <f>IF(OR(G44="",H44=""),"",IFERROR(IFERROR(INDEX(Recipes!$L$5:$L$204,MATCH(G44,Recipes!$A$5:$A$204,0)),"")*H44,""))</f>
        <v>0</v>
      </c>
      <c r="Q44" s="8">
        <f>IF(OR(G44="",H44=""),"",IFERROR(IFERROR(INDEX(Recipes!$Q$5:$Q$204,MATCH(G44,Recipes!$A$5:$A$204,0)),"")*H44,""))</f>
        <v>0</v>
      </c>
      <c r="R44" s="8">
        <f>IF(F44="","",Weekly_Budget/21)</f>
        <v>0</v>
      </c>
      <c r="S44" s="27"/>
      <c r="T44" s="27"/>
      <c r="U44" s="26"/>
      <c r="V44" s="7"/>
      <c r="W44" s="7"/>
      <c r="X44" s="26"/>
      <c r="Y44" s="8">
        <f>IF(G44="","",IF(COUNTIFS('Meal Prep'!$D$5:$D$124,G44)&gt;0,"Yes","No"))</f>
        <v>0</v>
      </c>
      <c r="Z44" s="8">
        <f>IF(G44="","",COUNTIFS('Recipe Ingredients'!$A$5:$A$1204,G44))</f>
        <v>0</v>
      </c>
      <c r="AA44" s="25"/>
      <c r="AB44" s="8">
        <f>IF(OR(B44="",Q44=""),"",COUNTIFS($B$5:$B$504,B44,$Q$5:$Q$504,"&gt;"&amp;Q44)+1)</f>
        <v>0</v>
      </c>
      <c r="AC44" s="8">
        <f>IF(OR(B44="",L44=""),"",COUNTIFS($B$5:$B$504,B44,$L$5:$L$504,"&gt;"&amp;L44)+1)</f>
        <v>0</v>
      </c>
      <c r="AD44" s="8">
        <f>IF(G44="","",IF(COUNTIFS($G$5:$G$504,G44)&gt;1,"Repeat","Once"))</f>
        <v>0</v>
      </c>
      <c r="AE44" s="8">
        <f>IF(G44="","",IF(IFERROR(INDEX(Recipes!$X$5:$X$204,MATCH(G44,Recipes!$A$5:$A$204,0)),"")="","",IFERROR(B44-IFERROR(INDEX(Recipes!$X$5:$X$204,MATCH(G44,Recipes!$A$5:$A$204,0)),""),"")))</f>
        <v>0</v>
      </c>
      <c r="AF44" s="8">
        <f>IF(G44="","",IF(AE44="","Yes",IF(AE44&gt;=Rotation_Gap_Days,"Yes","No")))</f>
        <v>0</v>
      </c>
      <c r="AG44" s="8">
        <f>IF(G44="","",IF(COUNTIFS('Recipe Ingredients'!$A$5:$A$1204,G44,'Recipe Ingredients'!$AC$5:$AC$1204,"Check")&gt;0,"Check","OK"))</f>
        <v>0</v>
      </c>
    </row>
    <row r="45" spans="1:33">
      <c r="A45" s="7"/>
      <c r="B45" s="30"/>
      <c r="C45" s="8">
        <f>IF(B45="","",B45-WEEKDAY(B45,2)+1)</f>
        <v>0</v>
      </c>
      <c r="D45" s="8">
        <f>IF(B45="","",TEXT(B45,"ddd"))</f>
        <v>0</v>
      </c>
      <c r="E45" s="8">
        <f>IF(B45="","",TEXT(B45,"mmm yyyy"))</f>
        <v>0</v>
      </c>
      <c r="F45" s="27"/>
      <c r="G45" s="7"/>
      <c r="H45" s="26"/>
      <c r="I45" s="8">
        <f>IF(G45="","",IFERROR(INDEX(Recipes!$D$5:$D$204,MATCH(G45,Recipes!$A$5:$A$204,0)),""))</f>
        <v>0</v>
      </c>
      <c r="J45" s="8">
        <f>IF(OR(G45="",H45="",I45="",I45=0),"",H45/I45)</f>
        <v>0</v>
      </c>
      <c r="K45" s="8">
        <f>IF(B45="","",Household_Size)</f>
        <v>0</v>
      </c>
      <c r="L45" s="8">
        <f>IF(OR(G45="",H45=""),"",IFERROR(IFERROR(INDEX(Recipes!$H$5:$H$204,MATCH(G45,Recipes!$A$5:$A$204,0)),"")*H45,""))</f>
        <v>0</v>
      </c>
      <c r="M45" s="8">
        <f>IF(OR(G45="",H45=""),"",IFERROR(IFERROR(INDEX(Recipes!$I$5:$I$204,MATCH(G45,Recipes!$A$5:$A$204,0)),"")*H45,""))</f>
        <v>0</v>
      </c>
      <c r="N45" s="8">
        <f>IF(OR(G45="",H45=""),"",IFERROR(IFERROR(INDEX(Recipes!$J$5:$J$204,MATCH(G45,Recipes!$A$5:$A$204,0)),"")*H45,""))</f>
        <v>0</v>
      </c>
      <c r="O45" s="8">
        <f>IF(OR(G45="",H45=""),"",IFERROR(IFERROR(INDEX(Recipes!$K$5:$K$204,MATCH(G45,Recipes!$A$5:$A$204,0)),"")*H45,""))</f>
        <v>0</v>
      </c>
      <c r="P45" s="8">
        <f>IF(OR(G45="",H45=""),"",IFERROR(IFERROR(INDEX(Recipes!$L$5:$L$204,MATCH(G45,Recipes!$A$5:$A$204,0)),"")*H45,""))</f>
        <v>0</v>
      </c>
      <c r="Q45" s="8">
        <f>IF(OR(G45="",H45=""),"",IFERROR(IFERROR(INDEX(Recipes!$Q$5:$Q$204,MATCH(G45,Recipes!$A$5:$A$204,0)),"")*H45,""))</f>
        <v>0</v>
      </c>
      <c r="R45" s="8">
        <f>IF(F45="","",Weekly_Budget/21)</f>
        <v>0</v>
      </c>
      <c r="S45" s="27"/>
      <c r="T45" s="27"/>
      <c r="U45" s="26"/>
      <c r="V45" s="7"/>
      <c r="W45" s="7"/>
      <c r="X45" s="26"/>
      <c r="Y45" s="8">
        <f>IF(G45="","",IF(COUNTIFS('Meal Prep'!$D$5:$D$124,G45)&gt;0,"Yes","No"))</f>
        <v>0</v>
      </c>
      <c r="Z45" s="8">
        <f>IF(G45="","",COUNTIFS('Recipe Ingredients'!$A$5:$A$1204,G45))</f>
        <v>0</v>
      </c>
      <c r="AA45" s="25"/>
      <c r="AB45" s="8">
        <f>IF(OR(B45="",Q45=""),"",COUNTIFS($B$5:$B$504,B45,$Q$5:$Q$504,"&gt;"&amp;Q45)+1)</f>
        <v>0</v>
      </c>
      <c r="AC45" s="8">
        <f>IF(OR(B45="",L45=""),"",COUNTIFS($B$5:$B$504,B45,$L$5:$L$504,"&gt;"&amp;L45)+1)</f>
        <v>0</v>
      </c>
      <c r="AD45" s="8">
        <f>IF(G45="","",IF(COUNTIFS($G$5:$G$504,G45)&gt;1,"Repeat","Once"))</f>
        <v>0</v>
      </c>
      <c r="AE45" s="8">
        <f>IF(G45="","",IF(IFERROR(INDEX(Recipes!$X$5:$X$204,MATCH(G45,Recipes!$A$5:$A$204,0)),"")="","",IFERROR(B45-IFERROR(INDEX(Recipes!$X$5:$X$204,MATCH(G45,Recipes!$A$5:$A$204,0)),""),"")))</f>
        <v>0</v>
      </c>
      <c r="AF45" s="8">
        <f>IF(G45="","",IF(AE45="","Yes",IF(AE45&gt;=Rotation_Gap_Days,"Yes","No")))</f>
        <v>0</v>
      </c>
      <c r="AG45" s="8">
        <f>IF(G45="","",IF(COUNTIFS('Recipe Ingredients'!$A$5:$A$1204,G45,'Recipe Ingredients'!$AC$5:$AC$1204,"Check")&gt;0,"Check","OK"))</f>
        <v>0</v>
      </c>
    </row>
    <row r="46" spans="1:33">
      <c r="A46" s="7"/>
      <c r="B46" s="30"/>
      <c r="C46" s="8">
        <f>IF(B46="","",B46-WEEKDAY(B46,2)+1)</f>
        <v>0</v>
      </c>
      <c r="D46" s="8">
        <f>IF(B46="","",TEXT(B46,"ddd"))</f>
        <v>0</v>
      </c>
      <c r="E46" s="8">
        <f>IF(B46="","",TEXT(B46,"mmm yyyy"))</f>
        <v>0</v>
      </c>
      <c r="F46" s="27"/>
      <c r="G46" s="7"/>
      <c r="H46" s="26"/>
      <c r="I46" s="8">
        <f>IF(G46="","",IFERROR(INDEX(Recipes!$D$5:$D$204,MATCH(G46,Recipes!$A$5:$A$204,0)),""))</f>
        <v>0</v>
      </c>
      <c r="J46" s="8">
        <f>IF(OR(G46="",H46="",I46="",I46=0),"",H46/I46)</f>
        <v>0</v>
      </c>
      <c r="K46" s="8">
        <f>IF(B46="","",Household_Size)</f>
        <v>0</v>
      </c>
      <c r="L46" s="8">
        <f>IF(OR(G46="",H46=""),"",IFERROR(IFERROR(INDEX(Recipes!$H$5:$H$204,MATCH(G46,Recipes!$A$5:$A$204,0)),"")*H46,""))</f>
        <v>0</v>
      </c>
      <c r="M46" s="8">
        <f>IF(OR(G46="",H46=""),"",IFERROR(IFERROR(INDEX(Recipes!$I$5:$I$204,MATCH(G46,Recipes!$A$5:$A$204,0)),"")*H46,""))</f>
        <v>0</v>
      </c>
      <c r="N46" s="8">
        <f>IF(OR(G46="",H46=""),"",IFERROR(IFERROR(INDEX(Recipes!$J$5:$J$204,MATCH(G46,Recipes!$A$5:$A$204,0)),"")*H46,""))</f>
        <v>0</v>
      </c>
      <c r="O46" s="8">
        <f>IF(OR(G46="",H46=""),"",IFERROR(IFERROR(INDEX(Recipes!$K$5:$K$204,MATCH(G46,Recipes!$A$5:$A$204,0)),"")*H46,""))</f>
        <v>0</v>
      </c>
      <c r="P46" s="8">
        <f>IF(OR(G46="",H46=""),"",IFERROR(IFERROR(INDEX(Recipes!$L$5:$L$204,MATCH(G46,Recipes!$A$5:$A$204,0)),"")*H46,""))</f>
        <v>0</v>
      </c>
      <c r="Q46" s="8">
        <f>IF(OR(G46="",H46=""),"",IFERROR(IFERROR(INDEX(Recipes!$Q$5:$Q$204,MATCH(G46,Recipes!$A$5:$A$204,0)),"")*H46,""))</f>
        <v>0</v>
      </c>
      <c r="R46" s="8">
        <f>IF(F46="","",Weekly_Budget/21)</f>
        <v>0</v>
      </c>
      <c r="S46" s="27"/>
      <c r="T46" s="27"/>
      <c r="U46" s="26"/>
      <c r="V46" s="7"/>
      <c r="W46" s="7"/>
      <c r="X46" s="26"/>
      <c r="Y46" s="8">
        <f>IF(G46="","",IF(COUNTIFS('Meal Prep'!$D$5:$D$124,G46)&gt;0,"Yes","No"))</f>
        <v>0</v>
      </c>
      <c r="Z46" s="8">
        <f>IF(G46="","",COUNTIFS('Recipe Ingredients'!$A$5:$A$1204,G46))</f>
        <v>0</v>
      </c>
      <c r="AA46" s="25"/>
      <c r="AB46" s="8">
        <f>IF(OR(B46="",Q46=""),"",COUNTIFS($B$5:$B$504,B46,$Q$5:$Q$504,"&gt;"&amp;Q46)+1)</f>
        <v>0</v>
      </c>
      <c r="AC46" s="8">
        <f>IF(OR(B46="",L46=""),"",COUNTIFS($B$5:$B$504,B46,$L$5:$L$504,"&gt;"&amp;L46)+1)</f>
        <v>0</v>
      </c>
      <c r="AD46" s="8">
        <f>IF(G46="","",IF(COUNTIFS($G$5:$G$504,G46)&gt;1,"Repeat","Once"))</f>
        <v>0</v>
      </c>
      <c r="AE46" s="8">
        <f>IF(G46="","",IF(IFERROR(INDEX(Recipes!$X$5:$X$204,MATCH(G46,Recipes!$A$5:$A$204,0)),"")="","",IFERROR(B46-IFERROR(INDEX(Recipes!$X$5:$X$204,MATCH(G46,Recipes!$A$5:$A$204,0)),""),"")))</f>
        <v>0</v>
      </c>
      <c r="AF46" s="8">
        <f>IF(G46="","",IF(AE46="","Yes",IF(AE46&gt;=Rotation_Gap_Days,"Yes","No")))</f>
        <v>0</v>
      </c>
      <c r="AG46" s="8">
        <f>IF(G46="","",IF(COUNTIFS('Recipe Ingredients'!$A$5:$A$1204,G46,'Recipe Ingredients'!$AC$5:$AC$1204,"Check")&gt;0,"Check","OK"))</f>
        <v>0</v>
      </c>
    </row>
    <row r="47" spans="1:33">
      <c r="A47" s="7"/>
      <c r="B47" s="30"/>
      <c r="C47" s="8">
        <f>IF(B47="","",B47-WEEKDAY(B47,2)+1)</f>
        <v>0</v>
      </c>
      <c r="D47" s="8">
        <f>IF(B47="","",TEXT(B47,"ddd"))</f>
        <v>0</v>
      </c>
      <c r="E47" s="8">
        <f>IF(B47="","",TEXT(B47,"mmm yyyy"))</f>
        <v>0</v>
      </c>
      <c r="F47" s="27"/>
      <c r="G47" s="7"/>
      <c r="H47" s="26"/>
      <c r="I47" s="8">
        <f>IF(G47="","",IFERROR(INDEX(Recipes!$D$5:$D$204,MATCH(G47,Recipes!$A$5:$A$204,0)),""))</f>
        <v>0</v>
      </c>
      <c r="J47" s="8">
        <f>IF(OR(G47="",H47="",I47="",I47=0),"",H47/I47)</f>
        <v>0</v>
      </c>
      <c r="K47" s="8">
        <f>IF(B47="","",Household_Size)</f>
        <v>0</v>
      </c>
      <c r="L47" s="8">
        <f>IF(OR(G47="",H47=""),"",IFERROR(IFERROR(INDEX(Recipes!$H$5:$H$204,MATCH(G47,Recipes!$A$5:$A$204,0)),"")*H47,""))</f>
        <v>0</v>
      </c>
      <c r="M47" s="8">
        <f>IF(OR(G47="",H47=""),"",IFERROR(IFERROR(INDEX(Recipes!$I$5:$I$204,MATCH(G47,Recipes!$A$5:$A$204,0)),"")*H47,""))</f>
        <v>0</v>
      </c>
      <c r="N47" s="8">
        <f>IF(OR(G47="",H47=""),"",IFERROR(IFERROR(INDEX(Recipes!$J$5:$J$204,MATCH(G47,Recipes!$A$5:$A$204,0)),"")*H47,""))</f>
        <v>0</v>
      </c>
      <c r="O47" s="8">
        <f>IF(OR(G47="",H47=""),"",IFERROR(IFERROR(INDEX(Recipes!$K$5:$K$204,MATCH(G47,Recipes!$A$5:$A$204,0)),"")*H47,""))</f>
        <v>0</v>
      </c>
      <c r="P47" s="8">
        <f>IF(OR(G47="",H47=""),"",IFERROR(IFERROR(INDEX(Recipes!$L$5:$L$204,MATCH(G47,Recipes!$A$5:$A$204,0)),"")*H47,""))</f>
        <v>0</v>
      </c>
      <c r="Q47" s="8">
        <f>IF(OR(G47="",H47=""),"",IFERROR(IFERROR(INDEX(Recipes!$Q$5:$Q$204,MATCH(G47,Recipes!$A$5:$A$204,0)),"")*H47,""))</f>
        <v>0</v>
      </c>
      <c r="R47" s="8">
        <f>IF(F47="","",Weekly_Budget/21)</f>
        <v>0</v>
      </c>
      <c r="S47" s="27"/>
      <c r="T47" s="27"/>
      <c r="U47" s="26"/>
      <c r="V47" s="7"/>
      <c r="W47" s="7"/>
      <c r="X47" s="26"/>
      <c r="Y47" s="8">
        <f>IF(G47="","",IF(COUNTIFS('Meal Prep'!$D$5:$D$124,G47)&gt;0,"Yes","No"))</f>
        <v>0</v>
      </c>
      <c r="Z47" s="8">
        <f>IF(G47="","",COUNTIFS('Recipe Ingredients'!$A$5:$A$1204,G47))</f>
        <v>0</v>
      </c>
      <c r="AA47" s="25"/>
      <c r="AB47" s="8">
        <f>IF(OR(B47="",Q47=""),"",COUNTIFS($B$5:$B$504,B47,$Q$5:$Q$504,"&gt;"&amp;Q47)+1)</f>
        <v>0</v>
      </c>
      <c r="AC47" s="8">
        <f>IF(OR(B47="",L47=""),"",COUNTIFS($B$5:$B$504,B47,$L$5:$L$504,"&gt;"&amp;L47)+1)</f>
        <v>0</v>
      </c>
      <c r="AD47" s="8">
        <f>IF(G47="","",IF(COUNTIFS($G$5:$G$504,G47)&gt;1,"Repeat","Once"))</f>
        <v>0</v>
      </c>
      <c r="AE47" s="8">
        <f>IF(G47="","",IF(IFERROR(INDEX(Recipes!$X$5:$X$204,MATCH(G47,Recipes!$A$5:$A$204,0)),"")="","",IFERROR(B47-IFERROR(INDEX(Recipes!$X$5:$X$204,MATCH(G47,Recipes!$A$5:$A$204,0)),""),"")))</f>
        <v>0</v>
      </c>
      <c r="AF47" s="8">
        <f>IF(G47="","",IF(AE47="","Yes",IF(AE47&gt;=Rotation_Gap_Days,"Yes","No")))</f>
        <v>0</v>
      </c>
      <c r="AG47" s="8">
        <f>IF(G47="","",IF(COUNTIFS('Recipe Ingredients'!$A$5:$A$1204,G47,'Recipe Ingredients'!$AC$5:$AC$1204,"Check")&gt;0,"Check","OK"))</f>
        <v>0</v>
      </c>
    </row>
    <row r="48" spans="1:33">
      <c r="A48" s="7"/>
      <c r="B48" s="30"/>
      <c r="C48" s="8">
        <f>IF(B48="","",B48-WEEKDAY(B48,2)+1)</f>
        <v>0</v>
      </c>
      <c r="D48" s="8">
        <f>IF(B48="","",TEXT(B48,"ddd"))</f>
        <v>0</v>
      </c>
      <c r="E48" s="8">
        <f>IF(B48="","",TEXT(B48,"mmm yyyy"))</f>
        <v>0</v>
      </c>
      <c r="F48" s="27"/>
      <c r="G48" s="7"/>
      <c r="H48" s="26"/>
      <c r="I48" s="8">
        <f>IF(G48="","",IFERROR(INDEX(Recipes!$D$5:$D$204,MATCH(G48,Recipes!$A$5:$A$204,0)),""))</f>
        <v>0</v>
      </c>
      <c r="J48" s="8">
        <f>IF(OR(G48="",H48="",I48="",I48=0),"",H48/I48)</f>
        <v>0</v>
      </c>
      <c r="K48" s="8">
        <f>IF(B48="","",Household_Size)</f>
        <v>0</v>
      </c>
      <c r="L48" s="8">
        <f>IF(OR(G48="",H48=""),"",IFERROR(IFERROR(INDEX(Recipes!$H$5:$H$204,MATCH(G48,Recipes!$A$5:$A$204,0)),"")*H48,""))</f>
        <v>0</v>
      </c>
      <c r="M48" s="8">
        <f>IF(OR(G48="",H48=""),"",IFERROR(IFERROR(INDEX(Recipes!$I$5:$I$204,MATCH(G48,Recipes!$A$5:$A$204,0)),"")*H48,""))</f>
        <v>0</v>
      </c>
      <c r="N48" s="8">
        <f>IF(OR(G48="",H48=""),"",IFERROR(IFERROR(INDEX(Recipes!$J$5:$J$204,MATCH(G48,Recipes!$A$5:$A$204,0)),"")*H48,""))</f>
        <v>0</v>
      </c>
      <c r="O48" s="8">
        <f>IF(OR(G48="",H48=""),"",IFERROR(IFERROR(INDEX(Recipes!$K$5:$K$204,MATCH(G48,Recipes!$A$5:$A$204,0)),"")*H48,""))</f>
        <v>0</v>
      </c>
      <c r="P48" s="8">
        <f>IF(OR(G48="",H48=""),"",IFERROR(IFERROR(INDEX(Recipes!$L$5:$L$204,MATCH(G48,Recipes!$A$5:$A$204,0)),"")*H48,""))</f>
        <v>0</v>
      </c>
      <c r="Q48" s="8">
        <f>IF(OR(G48="",H48=""),"",IFERROR(IFERROR(INDEX(Recipes!$Q$5:$Q$204,MATCH(G48,Recipes!$A$5:$A$204,0)),"")*H48,""))</f>
        <v>0</v>
      </c>
      <c r="R48" s="8">
        <f>IF(F48="","",Weekly_Budget/21)</f>
        <v>0</v>
      </c>
      <c r="S48" s="27"/>
      <c r="T48" s="27"/>
      <c r="U48" s="26"/>
      <c r="V48" s="7"/>
      <c r="W48" s="7"/>
      <c r="X48" s="26"/>
      <c r="Y48" s="8">
        <f>IF(G48="","",IF(COUNTIFS('Meal Prep'!$D$5:$D$124,G48)&gt;0,"Yes","No"))</f>
        <v>0</v>
      </c>
      <c r="Z48" s="8">
        <f>IF(G48="","",COUNTIFS('Recipe Ingredients'!$A$5:$A$1204,G48))</f>
        <v>0</v>
      </c>
      <c r="AA48" s="25"/>
      <c r="AB48" s="8">
        <f>IF(OR(B48="",Q48=""),"",COUNTIFS($B$5:$B$504,B48,$Q$5:$Q$504,"&gt;"&amp;Q48)+1)</f>
        <v>0</v>
      </c>
      <c r="AC48" s="8">
        <f>IF(OR(B48="",L48=""),"",COUNTIFS($B$5:$B$504,B48,$L$5:$L$504,"&gt;"&amp;L48)+1)</f>
        <v>0</v>
      </c>
      <c r="AD48" s="8">
        <f>IF(G48="","",IF(COUNTIFS($G$5:$G$504,G48)&gt;1,"Repeat","Once"))</f>
        <v>0</v>
      </c>
      <c r="AE48" s="8">
        <f>IF(G48="","",IF(IFERROR(INDEX(Recipes!$X$5:$X$204,MATCH(G48,Recipes!$A$5:$A$204,0)),"")="","",IFERROR(B48-IFERROR(INDEX(Recipes!$X$5:$X$204,MATCH(G48,Recipes!$A$5:$A$204,0)),""),"")))</f>
        <v>0</v>
      </c>
      <c r="AF48" s="8">
        <f>IF(G48="","",IF(AE48="","Yes",IF(AE48&gt;=Rotation_Gap_Days,"Yes","No")))</f>
        <v>0</v>
      </c>
      <c r="AG48" s="8">
        <f>IF(G48="","",IF(COUNTIFS('Recipe Ingredients'!$A$5:$A$1204,G48,'Recipe Ingredients'!$AC$5:$AC$1204,"Check")&gt;0,"Check","OK"))</f>
        <v>0</v>
      </c>
    </row>
    <row r="49" spans="1:33">
      <c r="A49" s="7"/>
      <c r="B49" s="30"/>
      <c r="C49" s="8">
        <f>IF(B49="","",B49-WEEKDAY(B49,2)+1)</f>
        <v>0</v>
      </c>
      <c r="D49" s="8">
        <f>IF(B49="","",TEXT(B49,"ddd"))</f>
        <v>0</v>
      </c>
      <c r="E49" s="8">
        <f>IF(B49="","",TEXT(B49,"mmm yyyy"))</f>
        <v>0</v>
      </c>
      <c r="F49" s="27"/>
      <c r="G49" s="7"/>
      <c r="H49" s="26"/>
      <c r="I49" s="8">
        <f>IF(G49="","",IFERROR(INDEX(Recipes!$D$5:$D$204,MATCH(G49,Recipes!$A$5:$A$204,0)),""))</f>
        <v>0</v>
      </c>
      <c r="J49" s="8">
        <f>IF(OR(G49="",H49="",I49="",I49=0),"",H49/I49)</f>
        <v>0</v>
      </c>
      <c r="K49" s="8">
        <f>IF(B49="","",Household_Size)</f>
        <v>0</v>
      </c>
      <c r="L49" s="8">
        <f>IF(OR(G49="",H49=""),"",IFERROR(IFERROR(INDEX(Recipes!$H$5:$H$204,MATCH(G49,Recipes!$A$5:$A$204,0)),"")*H49,""))</f>
        <v>0</v>
      </c>
      <c r="M49" s="8">
        <f>IF(OR(G49="",H49=""),"",IFERROR(IFERROR(INDEX(Recipes!$I$5:$I$204,MATCH(G49,Recipes!$A$5:$A$204,0)),"")*H49,""))</f>
        <v>0</v>
      </c>
      <c r="N49" s="8">
        <f>IF(OR(G49="",H49=""),"",IFERROR(IFERROR(INDEX(Recipes!$J$5:$J$204,MATCH(G49,Recipes!$A$5:$A$204,0)),"")*H49,""))</f>
        <v>0</v>
      </c>
      <c r="O49" s="8">
        <f>IF(OR(G49="",H49=""),"",IFERROR(IFERROR(INDEX(Recipes!$K$5:$K$204,MATCH(G49,Recipes!$A$5:$A$204,0)),"")*H49,""))</f>
        <v>0</v>
      </c>
      <c r="P49" s="8">
        <f>IF(OR(G49="",H49=""),"",IFERROR(IFERROR(INDEX(Recipes!$L$5:$L$204,MATCH(G49,Recipes!$A$5:$A$204,0)),"")*H49,""))</f>
        <v>0</v>
      </c>
      <c r="Q49" s="8">
        <f>IF(OR(G49="",H49=""),"",IFERROR(IFERROR(INDEX(Recipes!$Q$5:$Q$204,MATCH(G49,Recipes!$A$5:$A$204,0)),"")*H49,""))</f>
        <v>0</v>
      </c>
      <c r="R49" s="8">
        <f>IF(F49="","",Weekly_Budget/21)</f>
        <v>0</v>
      </c>
      <c r="S49" s="27"/>
      <c r="T49" s="27"/>
      <c r="U49" s="26"/>
      <c r="V49" s="7"/>
      <c r="W49" s="7"/>
      <c r="X49" s="26"/>
      <c r="Y49" s="8">
        <f>IF(G49="","",IF(COUNTIFS('Meal Prep'!$D$5:$D$124,G49)&gt;0,"Yes","No"))</f>
        <v>0</v>
      </c>
      <c r="Z49" s="8">
        <f>IF(G49="","",COUNTIFS('Recipe Ingredients'!$A$5:$A$1204,G49))</f>
        <v>0</v>
      </c>
      <c r="AA49" s="25"/>
      <c r="AB49" s="8">
        <f>IF(OR(B49="",Q49=""),"",COUNTIFS($B$5:$B$504,B49,$Q$5:$Q$504,"&gt;"&amp;Q49)+1)</f>
        <v>0</v>
      </c>
      <c r="AC49" s="8">
        <f>IF(OR(B49="",L49=""),"",COUNTIFS($B$5:$B$504,B49,$L$5:$L$504,"&gt;"&amp;L49)+1)</f>
        <v>0</v>
      </c>
      <c r="AD49" s="8">
        <f>IF(G49="","",IF(COUNTIFS($G$5:$G$504,G49)&gt;1,"Repeat","Once"))</f>
        <v>0</v>
      </c>
      <c r="AE49" s="8">
        <f>IF(G49="","",IF(IFERROR(INDEX(Recipes!$X$5:$X$204,MATCH(G49,Recipes!$A$5:$A$204,0)),"")="","",IFERROR(B49-IFERROR(INDEX(Recipes!$X$5:$X$204,MATCH(G49,Recipes!$A$5:$A$204,0)),""),"")))</f>
        <v>0</v>
      </c>
      <c r="AF49" s="8">
        <f>IF(G49="","",IF(AE49="","Yes",IF(AE49&gt;=Rotation_Gap_Days,"Yes","No")))</f>
        <v>0</v>
      </c>
      <c r="AG49" s="8">
        <f>IF(G49="","",IF(COUNTIFS('Recipe Ingredients'!$A$5:$A$1204,G49,'Recipe Ingredients'!$AC$5:$AC$1204,"Check")&gt;0,"Check","OK"))</f>
        <v>0</v>
      </c>
    </row>
    <row r="50" spans="1:33">
      <c r="A50" s="7"/>
      <c r="B50" s="30"/>
      <c r="C50" s="8">
        <f>IF(B50="","",B50-WEEKDAY(B50,2)+1)</f>
        <v>0</v>
      </c>
      <c r="D50" s="8">
        <f>IF(B50="","",TEXT(B50,"ddd"))</f>
        <v>0</v>
      </c>
      <c r="E50" s="8">
        <f>IF(B50="","",TEXT(B50,"mmm yyyy"))</f>
        <v>0</v>
      </c>
      <c r="F50" s="27"/>
      <c r="G50" s="7"/>
      <c r="H50" s="26"/>
      <c r="I50" s="8">
        <f>IF(G50="","",IFERROR(INDEX(Recipes!$D$5:$D$204,MATCH(G50,Recipes!$A$5:$A$204,0)),""))</f>
        <v>0</v>
      </c>
      <c r="J50" s="8">
        <f>IF(OR(G50="",H50="",I50="",I50=0),"",H50/I50)</f>
        <v>0</v>
      </c>
      <c r="K50" s="8">
        <f>IF(B50="","",Household_Size)</f>
        <v>0</v>
      </c>
      <c r="L50" s="8">
        <f>IF(OR(G50="",H50=""),"",IFERROR(IFERROR(INDEX(Recipes!$H$5:$H$204,MATCH(G50,Recipes!$A$5:$A$204,0)),"")*H50,""))</f>
        <v>0</v>
      </c>
      <c r="M50" s="8">
        <f>IF(OR(G50="",H50=""),"",IFERROR(IFERROR(INDEX(Recipes!$I$5:$I$204,MATCH(G50,Recipes!$A$5:$A$204,0)),"")*H50,""))</f>
        <v>0</v>
      </c>
      <c r="N50" s="8">
        <f>IF(OR(G50="",H50=""),"",IFERROR(IFERROR(INDEX(Recipes!$J$5:$J$204,MATCH(G50,Recipes!$A$5:$A$204,0)),"")*H50,""))</f>
        <v>0</v>
      </c>
      <c r="O50" s="8">
        <f>IF(OR(G50="",H50=""),"",IFERROR(IFERROR(INDEX(Recipes!$K$5:$K$204,MATCH(G50,Recipes!$A$5:$A$204,0)),"")*H50,""))</f>
        <v>0</v>
      </c>
      <c r="P50" s="8">
        <f>IF(OR(G50="",H50=""),"",IFERROR(IFERROR(INDEX(Recipes!$L$5:$L$204,MATCH(G50,Recipes!$A$5:$A$204,0)),"")*H50,""))</f>
        <v>0</v>
      </c>
      <c r="Q50" s="8">
        <f>IF(OR(G50="",H50=""),"",IFERROR(IFERROR(INDEX(Recipes!$Q$5:$Q$204,MATCH(G50,Recipes!$A$5:$A$204,0)),"")*H50,""))</f>
        <v>0</v>
      </c>
      <c r="R50" s="8">
        <f>IF(F50="","",Weekly_Budget/21)</f>
        <v>0</v>
      </c>
      <c r="S50" s="27"/>
      <c r="T50" s="27"/>
      <c r="U50" s="26"/>
      <c r="V50" s="7"/>
      <c r="W50" s="7"/>
      <c r="X50" s="26"/>
      <c r="Y50" s="8">
        <f>IF(G50="","",IF(COUNTIFS('Meal Prep'!$D$5:$D$124,G50)&gt;0,"Yes","No"))</f>
        <v>0</v>
      </c>
      <c r="Z50" s="8">
        <f>IF(G50="","",COUNTIFS('Recipe Ingredients'!$A$5:$A$1204,G50))</f>
        <v>0</v>
      </c>
      <c r="AA50" s="25"/>
      <c r="AB50" s="8">
        <f>IF(OR(B50="",Q50=""),"",COUNTIFS($B$5:$B$504,B50,$Q$5:$Q$504,"&gt;"&amp;Q50)+1)</f>
        <v>0</v>
      </c>
      <c r="AC50" s="8">
        <f>IF(OR(B50="",L50=""),"",COUNTIFS($B$5:$B$504,B50,$L$5:$L$504,"&gt;"&amp;L50)+1)</f>
        <v>0</v>
      </c>
      <c r="AD50" s="8">
        <f>IF(G50="","",IF(COUNTIFS($G$5:$G$504,G50)&gt;1,"Repeat","Once"))</f>
        <v>0</v>
      </c>
      <c r="AE50" s="8">
        <f>IF(G50="","",IF(IFERROR(INDEX(Recipes!$X$5:$X$204,MATCH(G50,Recipes!$A$5:$A$204,0)),"")="","",IFERROR(B50-IFERROR(INDEX(Recipes!$X$5:$X$204,MATCH(G50,Recipes!$A$5:$A$204,0)),""),"")))</f>
        <v>0</v>
      </c>
      <c r="AF50" s="8">
        <f>IF(G50="","",IF(AE50="","Yes",IF(AE50&gt;=Rotation_Gap_Days,"Yes","No")))</f>
        <v>0</v>
      </c>
      <c r="AG50" s="8">
        <f>IF(G50="","",IF(COUNTIFS('Recipe Ingredients'!$A$5:$A$1204,G50,'Recipe Ingredients'!$AC$5:$AC$1204,"Check")&gt;0,"Check","OK"))</f>
        <v>0</v>
      </c>
    </row>
    <row r="51" spans="1:33">
      <c r="A51" s="7"/>
      <c r="B51" s="30"/>
      <c r="C51" s="8">
        <f>IF(B51="","",B51-WEEKDAY(B51,2)+1)</f>
        <v>0</v>
      </c>
      <c r="D51" s="8">
        <f>IF(B51="","",TEXT(B51,"ddd"))</f>
        <v>0</v>
      </c>
      <c r="E51" s="8">
        <f>IF(B51="","",TEXT(B51,"mmm yyyy"))</f>
        <v>0</v>
      </c>
      <c r="F51" s="27"/>
      <c r="G51" s="7"/>
      <c r="H51" s="26"/>
      <c r="I51" s="8">
        <f>IF(G51="","",IFERROR(INDEX(Recipes!$D$5:$D$204,MATCH(G51,Recipes!$A$5:$A$204,0)),""))</f>
        <v>0</v>
      </c>
      <c r="J51" s="8">
        <f>IF(OR(G51="",H51="",I51="",I51=0),"",H51/I51)</f>
        <v>0</v>
      </c>
      <c r="K51" s="8">
        <f>IF(B51="","",Household_Size)</f>
        <v>0</v>
      </c>
      <c r="L51" s="8">
        <f>IF(OR(G51="",H51=""),"",IFERROR(IFERROR(INDEX(Recipes!$H$5:$H$204,MATCH(G51,Recipes!$A$5:$A$204,0)),"")*H51,""))</f>
        <v>0</v>
      </c>
      <c r="M51" s="8">
        <f>IF(OR(G51="",H51=""),"",IFERROR(IFERROR(INDEX(Recipes!$I$5:$I$204,MATCH(G51,Recipes!$A$5:$A$204,0)),"")*H51,""))</f>
        <v>0</v>
      </c>
      <c r="N51" s="8">
        <f>IF(OR(G51="",H51=""),"",IFERROR(IFERROR(INDEX(Recipes!$J$5:$J$204,MATCH(G51,Recipes!$A$5:$A$204,0)),"")*H51,""))</f>
        <v>0</v>
      </c>
      <c r="O51" s="8">
        <f>IF(OR(G51="",H51=""),"",IFERROR(IFERROR(INDEX(Recipes!$K$5:$K$204,MATCH(G51,Recipes!$A$5:$A$204,0)),"")*H51,""))</f>
        <v>0</v>
      </c>
      <c r="P51" s="8">
        <f>IF(OR(G51="",H51=""),"",IFERROR(IFERROR(INDEX(Recipes!$L$5:$L$204,MATCH(G51,Recipes!$A$5:$A$204,0)),"")*H51,""))</f>
        <v>0</v>
      </c>
      <c r="Q51" s="8">
        <f>IF(OR(G51="",H51=""),"",IFERROR(IFERROR(INDEX(Recipes!$Q$5:$Q$204,MATCH(G51,Recipes!$A$5:$A$204,0)),"")*H51,""))</f>
        <v>0</v>
      </c>
      <c r="R51" s="8">
        <f>IF(F51="","",Weekly_Budget/21)</f>
        <v>0</v>
      </c>
      <c r="S51" s="27"/>
      <c r="T51" s="27"/>
      <c r="U51" s="26"/>
      <c r="V51" s="7"/>
      <c r="W51" s="7"/>
      <c r="X51" s="26"/>
      <c r="Y51" s="8">
        <f>IF(G51="","",IF(COUNTIFS('Meal Prep'!$D$5:$D$124,G51)&gt;0,"Yes","No"))</f>
        <v>0</v>
      </c>
      <c r="Z51" s="8">
        <f>IF(G51="","",COUNTIFS('Recipe Ingredients'!$A$5:$A$1204,G51))</f>
        <v>0</v>
      </c>
      <c r="AA51" s="25"/>
      <c r="AB51" s="8">
        <f>IF(OR(B51="",Q51=""),"",COUNTIFS($B$5:$B$504,B51,$Q$5:$Q$504,"&gt;"&amp;Q51)+1)</f>
        <v>0</v>
      </c>
      <c r="AC51" s="8">
        <f>IF(OR(B51="",L51=""),"",COUNTIFS($B$5:$B$504,B51,$L$5:$L$504,"&gt;"&amp;L51)+1)</f>
        <v>0</v>
      </c>
      <c r="AD51" s="8">
        <f>IF(G51="","",IF(COUNTIFS($G$5:$G$504,G51)&gt;1,"Repeat","Once"))</f>
        <v>0</v>
      </c>
      <c r="AE51" s="8">
        <f>IF(G51="","",IF(IFERROR(INDEX(Recipes!$X$5:$X$204,MATCH(G51,Recipes!$A$5:$A$204,0)),"")="","",IFERROR(B51-IFERROR(INDEX(Recipes!$X$5:$X$204,MATCH(G51,Recipes!$A$5:$A$204,0)),""),"")))</f>
        <v>0</v>
      </c>
      <c r="AF51" s="8">
        <f>IF(G51="","",IF(AE51="","Yes",IF(AE51&gt;=Rotation_Gap_Days,"Yes","No")))</f>
        <v>0</v>
      </c>
      <c r="AG51" s="8">
        <f>IF(G51="","",IF(COUNTIFS('Recipe Ingredients'!$A$5:$A$1204,G51,'Recipe Ingredients'!$AC$5:$AC$1204,"Check")&gt;0,"Check","OK"))</f>
        <v>0</v>
      </c>
    </row>
    <row r="52" spans="1:33">
      <c r="A52" s="7"/>
      <c r="B52" s="30"/>
      <c r="C52" s="8">
        <f>IF(B52="","",B52-WEEKDAY(B52,2)+1)</f>
        <v>0</v>
      </c>
      <c r="D52" s="8">
        <f>IF(B52="","",TEXT(B52,"ddd"))</f>
        <v>0</v>
      </c>
      <c r="E52" s="8">
        <f>IF(B52="","",TEXT(B52,"mmm yyyy"))</f>
        <v>0</v>
      </c>
      <c r="F52" s="27"/>
      <c r="G52" s="7"/>
      <c r="H52" s="26"/>
      <c r="I52" s="8">
        <f>IF(G52="","",IFERROR(INDEX(Recipes!$D$5:$D$204,MATCH(G52,Recipes!$A$5:$A$204,0)),""))</f>
        <v>0</v>
      </c>
      <c r="J52" s="8">
        <f>IF(OR(G52="",H52="",I52="",I52=0),"",H52/I52)</f>
        <v>0</v>
      </c>
      <c r="K52" s="8">
        <f>IF(B52="","",Household_Size)</f>
        <v>0</v>
      </c>
      <c r="L52" s="8">
        <f>IF(OR(G52="",H52=""),"",IFERROR(IFERROR(INDEX(Recipes!$H$5:$H$204,MATCH(G52,Recipes!$A$5:$A$204,0)),"")*H52,""))</f>
        <v>0</v>
      </c>
      <c r="M52" s="8">
        <f>IF(OR(G52="",H52=""),"",IFERROR(IFERROR(INDEX(Recipes!$I$5:$I$204,MATCH(G52,Recipes!$A$5:$A$204,0)),"")*H52,""))</f>
        <v>0</v>
      </c>
      <c r="N52" s="8">
        <f>IF(OR(G52="",H52=""),"",IFERROR(IFERROR(INDEX(Recipes!$J$5:$J$204,MATCH(G52,Recipes!$A$5:$A$204,0)),"")*H52,""))</f>
        <v>0</v>
      </c>
      <c r="O52" s="8">
        <f>IF(OR(G52="",H52=""),"",IFERROR(IFERROR(INDEX(Recipes!$K$5:$K$204,MATCH(G52,Recipes!$A$5:$A$204,0)),"")*H52,""))</f>
        <v>0</v>
      </c>
      <c r="P52" s="8">
        <f>IF(OR(G52="",H52=""),"",IFERROR(IFERROR(INDEX(Recipes!$L$5:$L$204,MATCH(G52,Recipes!$A$5:$A$204,0)),"")*H52,""))</f>
        <v>0</v>
      </c>
      <c r="Q52" s="8">
        <f>IF(OR(G52="",H52=""),"",IFERROR(IFERROR(INDEX(Recipes!$Q$5:$Q$204,MATCH(G52,Recipes!$A$5:$A$204,0)),"")*H52,""))</f>
        <v>0</v>
      </c>
      <c r="R52" s="8">
        <f>IF(F52="","",Weekly_Budget/21)</f>
        <v>0</v>
      </c>
      <c r="S52" s="27"/>
      <c r="T52" s="27"/>
      <c r="U52" s="26"/>
      <c r="V52" s="7"/>
      <c r="W52" s="7"/>
      <c r="X52" s="26"/>
      <c r="Y52" s="8">
        <f>IF(G52="","",IF(COUNTIFS('Meal Prep'!$D$5:$D$124,G52)&gt;0,"Yes","No"))</f>
        <v>0</v>
      </c>
      <c r="Z52" s="8">
        <f>IF(G52="","",COUNTIFS('Recipe Ingredients'!$A$5:$A$1204,G52))</f>
        <v>0</v>
      </c>
      <c r="AA52" s="25"/>
      <c r="AB52" s="8">
        <f>IF(OR(B52="",Q52=""),"",COUNTIFS($B$5:$B$504,B52,$Q$5:$Q$504,"&gt;"&amp;Q52)+1)</f>
        <v>0</v>
      </c>
      <c r="AC52" s="8">
        <f>IF(OR(B52="",L52=""),"",COUNTIFS($B$5:$B$504,B52,$L$5:$L$504,"&gt;"&amp;L52)+1)</f>
        <v>0</v>
      </c>
      <c r="AD52" s="8">
        <f>IF(G52="","",IF(COUNTIFS($G$5:$G$504,G52)&gt;1,"Repeat","Once"))</f>
        <v>0</v>
      </c>
      <c r="AE52" s="8">
        <f>IF(G52="","",IF(IFERROR(INDEX(Recipes!$X$5:$X$204,MATCH(G52,Recipes!$A$5:$A$204,0)),"")="","",IFERROR(B52-IFERROR(INDEX(Recipes!$X$5:$X$204,MATCH(G52,Recipes!$A$5:$A$204,0)),""),"")))</f>
        <v>0</v>
      </c>
      <c r="AF52" s="8">
        <f>IF(G52="","",IF(AE52="","Yes",IF(AE52&gt;=Rotation_Gap_Days,"Yes","No")))</f>
        <v>0</v>
      </c>
      <c r="AG52" s="8">
        <f>IF(G52="","",IF(COUNTIFS('Recipe Ingredients'!$A$5:$A$1204,G52,'Recipe Ingredients'!$AC$5:$AC$1204,"Check")&gt;0,"Check","OK"))</f>
        <v>0</v>
      </c>
    </row>
    <row r="53" spans="1:33">
      <c r="A53" s="7"/>
      <c r="B53" s="30"/>
      <c r="C53" s="8">
        <f>IF(B53="","",B53-WEEKDAY(B53,2)+1)</f>
        <v>0</v>
      </c>
      <c r="D53" s="8">
        <f>IF(B53="","",TEXT(B53,"ddd"))</f>
        <v>0</v>
      </c>
      <c r="E53" s="8">
        <f>IF(B53="","",TEXT(B53,"mmm yyyy"))</f>
        <v>0</v>
      </c>
      <c r="F53" s="27"/>
      <c r="G53" s="7"/>
      <c r="H53" s="26"/>
      <c r="I53" s="8">
        <f>IF(G53="","",IFERROR(INDEX(Recipes!$D$5:$D$204,MATCH(G53,Recipes!$A$5:$A$204,0)),""))</f>
        <v>0</v>
      </c>
      <c r="J53" s="8">
        <f>IF(OR(G53="",H53="",I53="",I53=0),"",H53/I53)</f>
        <v>0</v>
      </c>
      <c r="K53" s="8">
        <f>IF(B53="","",Household_Size)</f>
        <v>0</v>
      </c>
      <c r="L53" s="8">
        <f>IF(OR(G53="",H53=""),"",IFERROR(IFERROR(INDEX(Recipes!$H$5:$H$204,MATCH(G53,Recipes!$A$5:$A$204,0)),"")*H53,""))</f>
        <v>0</v>
      </c>
      <c r="M53" s="8">
        <f>IF(OR(G53="",H53=""),"",IFERROR(IFERROR(INDEX(Recipes!$I$5:$I$204,MATCH(G53,Recipes!$A$5:$A$204,0)),"")*H53,""))</f>
        <v>0</v>
      </c>
      <c r="N53" s="8">
        <f>IF(OR(G53="",H53=""),"",IFERROR(IFERROR(INDEX(Recipes!$J$5:$J$204,MATCH(G53,Recipes!$A$5:$A$204,0)),"")*H53,""))</f>
        <v>0</v>
      </c>
      <c r="O53" s="8">
        <f>IF(OR(G53="",H53=""),"",IFERROR(IFERROR(INDEX(Recipes!$K$5:$K$204,MATCH(G53,Recipes!$A$5:$A$204,0)),"")*H53,""))</f>
        <v>0</v>
      </c>
      <c r="P53" s="8">
        <f>IF(OR(G53="",H53=""),"",IFERROR(IFERROR(INDEX(Recipes!$L$5:$L$204,MATCH(G53,Recipes!$A$5:$A$204,0)),"")*H53,""))</f>
        <v>0</v>
      </c>
      <c r="Q53" s="8">
        <f>IF(OR(G53="",H53=""),"",IFERROR(IFERROR(INDEX(Recipes!$Q$5:$Q$204,MATCH(G53,Recipes!$A$5:$A$204,0)),"")*H53,""))</f>
        <v>0</v>
      </c>
      <c r="R53" s="8">
        <f>IF(F53="","",Weekly_Budget/21)</f>
        <v>0</v>
      </c>
      <c r="S53" s="27"/>
      <c r="T53" s="27"/>
      <c r="U53" s="26"/>
      <c r="V53" s="7"/>
      <c r="W53" s="7"/>
      <c r="X53" s="26"/>
      <c r="Y53" s="8">
        <f>IF(G53="","",IF(COUNTIFS('Meal Prep'!$D$5:$D$124,G53)&gt;0,"Yes","No"))</f>
        <v>0</v>
      </c>
      <c r="Z53" s="8">
        <f>IF(G53="","",COUNTIFS('Recipe Ingredients'!$A$5:$A$1204,G53))</f>
        <v>0</v>
      </c>
      <c r="AA53" s="25"/>
      <c r="AB53" s="8">
        <f>IF(OR(B53="",Q53=""),"",COUNTIFS($B$5:$B$504,B53,$Q$5:$Q$504,"&gt;"&amp;Q53)+1)</f>
        <v>0</v>
      </c>
      <c r="AC53" s="8">
        <f>IF(OR(B53="",L53=""),"",COUNTIFS($B$5:$B$504,B53,$L$5:$L$504,"&gt;"&amp;L53)+1)</f>
        <v>0</v>
      </c>
      <c r="AD53" s="8">
        <f>IF(G53="","",IF(COUNTIFS($G$5:$G$504,G53)&gt;1,"Repeat","Once"))</f>
        <v>0</v>
      </c>
      <c r="AE53" s="8">
        <f>IF(G53="","",IF(IFERROR(INDEX(Recipes!$X$5:$X$204,MATCH(G53,Recipes!$A$5:$A$204,0)),"")="","",IFERROR(B53-IFERROR(INDEX(Recipes!$X$5:$X$204,MATCH(G53,Recipes!$A$5:$A$204,0)),""),"")))</f>
        <v>0</v>
      </c>
      <c r="AF53" s="8">
        <f>IF(G53="","",IF(AE53="","Yes",IF(AE53&gt;=Rotation_Gap_Days,"Yes","No")))</f>
        <v>0</v>
      </c>
      <c r="AG53" s="8">
        <f>IF(G53="","",IF(COUNTIFS('Recipe Ingredients'!$A$5:$A$1204,G53,'Recipe Ingredients'!$AC$5:$AC$1204,"Check")&gt;0,"Check","OK"))</f>
        <v>0</v>
      </c>
    </row>
    <row r="54" spans="1:33">
      <c r="A54" s="7"/>
      <c r="B54" s="30"/>
      <c r="C54" s="8">
        <f>IF(B54="","",B54-WEEKDAY(B54,2)+1)</f>
        <v>0</v>
      </c>
      <c r="D54" s="8">
        <f>IF(B54="","",TEXT(B54,"ddd"))</f>
        <v>0</v>
      </c>
      <c r="E54" s="8">
        <f>IF(B54="","",TEXT(B54,"mmm yyyy"))</f>
        <v>0</v>
      </c>
      <c r="F54" s="27"/>
      <c r="G54" s="7"/>
      <c r="H54" s="26"/>
      <c r="I54" s="8">
        <f>IF(G54="","",IFERROR(INDEX(Recipes!$D$5:$D$204,MATCH(G54,Recipes!$A$5:$A$204,0)),""))</f>
        <v>0</v>
      </c>
      <c r="J54" s="8">
        <f>IF(OR(G54="",H54="",I54="",I54=0),"",H54/I54)</f>
        <v>0</v>
      </c>
      <c r="K54" s="8">
        <f>IF(B54="","",Household_Size)</f>
        <v>0</v>
      </c>
      <c r="L54" s="8">
        <f>IF(OR(G54="",H54=""),"",IFERROR(IFERROR(INDEX(Recipes!$H$5:$H$204,MATCH(G54,Recipes!$A$5:$A$204,0)),"")*H54,""))</f>
        <v>0</v>
      </c>
      <c r="M54" s="8">
        <f>IF(OR(G54="",H54=""),"",IFERROR(IFERROR(INDEX(Recipes!$I$5:$I$204,MATCH(G54,Recipes!$A$5:$A$204,0)),"")*H54,""))</f>
        <v>0</v>
      </c>
      <c r="N54" s="8">
        <f>IF(OR(G54="",H54=""),"",IFERROR(IFERROR(INDEX(Recipes!$J$5:$J$204,MATCH(G54,Recipes!$A$5:$A$204,0)),"")*H54,""))</f>
        <v>0</v>
      </c>
      <c r="O54" s="8">
        <f>IF(OR(G54="",H54=""),"",IFERROR(IFERROR(INDEX(Recipes!$K$5:$K$204,MATCH(G54,Recipes!$A$5:$A$204,0)),"")*H54,""))</f>
        <v>0</v>
      </c>
      <c r="P54" s="8">
        <f>IF(OR(G54="",H54=""),"",IFERROR(IFERROR(INDEX(Recipes!$L$5:$L$204,MATCH(G54,Recipes!$A$5:$A$204,0)),"")*H54,""))</f>
        <v>0</v>
      </c>
      <c r="Q54" s="8">
        <f>IF(OR(G54="",H54=""),"",IFERROR(IFERROR(INDEX(Recipes!$Q$5:$Q$204,MATCH(G54,Recipes!$A$5:$A$204,0)),"")*H54,""))</f>
        <v>0</v>
      </c>
      <c r="R54" s="8">
        <f>IF(F54="","",Weekly_Budget/21)</f>
        <v>0</v>
      </c>
      <c r="S54" s="27"/>
      <c r="T54" s="27"/>
      <c r="U54" s="26"/>
      <c r="V54" s="7"/>
      <c r="W54" s="7"/>
      <c r="X54" s="26"/>
      <c r="Y54" s="8">
        <f>IF(G54="","",IF(COUNTIFS('Meal Prep'!$D$5:$D$124,G54)&gt;0,"Yes","No"))</f>
        <v>0</v>
      </c>
      <c r="Z54" s="8">
        <f>IF(G54="","",COUNTIFS('Recipe Ingredients'!$A$5:$A$1204,G54))</f>
        <v>0</v>
      </c>
      <c r="AA54" s="25"/>
      <c r="AB54" s="8">
        <f>IF(OR(B54="",Q54=""),"",COUNTIFS($B$5:$B$504,B54,$Q$5:$Q$504,"&gt;"&amp;Q54)+1)</f>
        <v>0</v>
      </c>
      <c r="AC54" s="8">
        <f>IF(OR(B54="",L54=""),"",COUNTIFS($B$5:$B$504,B54,$L$5:$L$504,"&gt;"&amp;L54)+1)</f>
        <v>0</v>
      </c>
      <c r="AD54" s="8">
        <f>IF(G54="","",IF(COUNTIFS($G$5:$G$504,G54)&gt;1,"Repeat","Once"))</f>
        <v>0</v>
      </c>
      <c r="AE54" s="8">
        <f>IF(G54="","",IF(IFERROR(INDEX(Recipes!$X$5:$X$204,MATCH(G54,Recipes!$A$5:$A$204,0)),"")="","",IFERROR(B54-IFERROR(INDEX(Recipes!$X$5:$X$204,MATCH(G54,Recipes!$A$5:$A$204,0)),""),"")))</f>
        <v>0</v>
      </c>
      <c r="AF54" s="8">
        <f>IF(G54="","",IF(AE54="","Yes",IF(AE54&gt;=Rotation_Gap_Days,"Yes","No")))</f>
        <v>0</v>
      </c>
      <c r="AG54" s="8">
        <f>IF(G54="","",IF(COUNTIFS('Recipe Ingredients'!$A$5:$A$1204,G54,'Recipe Ingredients'!$AC$5:$AC$1204,"Check")&gt;0,"Check","OK"))</f>
        <v>0</v>
      </c>
    </row>
    <row r="55" spans="1:33">
      <c r="A55" s="7"/>
      <c r="B55" s="30"/>
      <c r="C55" s="8">
        <f>IF(B55="","",B55-WEEKDAY(B55,2)+1)</f>
        <v>0</v>
      </c>
      <c r="D55" s="8">
        <f>IF(B55="","",TEXT(B55,"ddd"))</f>
        <v>0</v>
      </c>
      <c r="E55" s="8">
        <f>IF(B55="","",TEXT(B55,"mmm yyyy"))</f>
        <v>0</v>
      </c>
      <c r="F55" s="27"/>
      <c r="G55" s="7"/>
      <c r="H55" s="26"/>
      <c r="I55" s="8">
        <f>IF(G55="","",IFERROR(INDEX(Recipes!$D$5:$D$204,MATCH(G55,Recipes!$A$5:$A$204,0)),""))</f>
        <v>0</v>
      </c>
      <c r="J55" s="8">
        <f>IF(OR(G55="",H55="",I55="",I55=0),"",H55/I55)</f>
        <v>0</v>
      </c>
      <c r="K55" s="8">
        <f>IF(B55="","",Household_Size)</f>
        <v>0</v>
      </c>
      <c r="L55" s="8">
        <f>IF(OR(G55="",H55=""),"",IFERROR(IFERROR(INDEX(Recipes!$H$5:$H$204,MATCH(G55,Recipes!$A$5:$A$204,0)),"")*H55,""))</f>
        <v>0</v>
      </c>
      <c r="M55" s="8">
        <f>IF(OR(G55="",H55=""),"",IFERROR(IFERROR(INDEX(Recipes!$I$5:$I$204,MATCH(G55,Recipes!$A$5:$A$204,0)),"")*H55,""))</f>
        <v>0</v>
      </c>
      <c r="N55" s="8">
        <f>IF(OR(G55="",H55=""),"",IFERROR(IFERROR(INDEX(Recipes!$J$5:$J$204,MATCH(G55,Recipes!$A$5:$A$204,0)),"")*H55,""))</f>
        <v>0</v>
      </c>
      <c r="O55" s="8">
        <f>IF(OR(G55="",H55=""),"",IFERROR(IFERROR(INDEX(Recipes!$K$5:$K$204,MATCH(G55,Recipes!$A$5:$A$204,0)),"")*H55,""))</f>
        <v>0</v>
      </c>
      <c r="P55" s="8">
        <f>IF(OR(G55="",H55=""),"",IFERROR(IFERROR(INDEX(Recipes!$L$5:$L$204,MATCH(G55,Recipes!$A$5:$A$204,0)),"")*H55,""))</f>
        <v>0</v>
      </c>
      <c r="Q55" s="8">
        <f>IF(OR(G55="",H55=""),"",IFERROR(IFERROR(INDEX(Recipes!$Q$5:$Q$204,MATCH(G55,Recipes!$A$5:$A$204,0)),"")*H55,""))</f>
        <v>0</v>
      </c>
      <c r="R55" s="8">
        <f>IF(F55="","",Weekly_Budget/21)</f>
        <v>0</v>
      </c>
      <c r="S55" s="27"/>
      <c r="T55" s="27"/>
      <c r="U55" s="26"/>
      <c r="V55" s="7"/>
      <c r="W55" s="7"/>
      <c r="X55" s="26"/>
      <c r="Y55" s="8">
        <f>IF(G55="","",IF(COUNTIFS('Meal Prep'!$D$5:$D$124,G55)&gt;0,"Yes","No"))</f>
        <v>0</v>
      </c>
      <c r="Z55" s="8">
        <f>IF(G55="","",COUNTIFS('Recipe Ingredients'!$A$5:$A$1204,G55))</f>
        <v>0</v>
      </c>
      <c r="AA55" s="25"/>
      <c r="AB55" s="8">
        <f>IF(OR(B55="",Q55=""),"",COUNTIFS($B$5:$B$504,B55,$Q$5:$Q$504,"&gt;"&amp;Q55)+1)</f>
        <v>0</v>
      </c>
      <c r="AC55" s="8">
        <f>IF(OR(B55="",L55=""),"",COUNTIFS($B$5:$B$504,B55,$L$5:$L$504,"&gt;"&amp;L55)+1)</f>
        <v>0</v>
      </c>
      <c r="AD55" s="8">
        <f>IF(G55="","",IF(COUNTIFS($G$5:$G$504,G55)&gt;1,"Repeat","Once"))</f>
        <v>0</v>
      </c>
      <c r="AE55" s="8">
        <f>IF(G55="","",IF(IFERROR(INDEX(Recipes!$X$5:$X$204,MATCH(G55,Recipes!$A$5:$A$204,0)),"")="","",IFERROR(B55-IFERROR(INDEX(Recipes!$X$5:$X$204,MATCH(G55,Recipes!$A$5:$A$204,0)),""),"")))</f>
        <v>0</v>
      </c>
      <c r="AF55" s="8">
        <f>IF(G55="","",IF(AE55="","Yes",IF(AE55&gt;=Rotation_Gap_Days,"Yes","No")))</f>
        <v>0</v>
      </c>
      <c r="AG55" s="8">
        <f>IF(G55="","",IF(COUNTIFS('Recipe Ingredients'!$A$5:$A$1204,G55,'Recipe Ingredients'!$AC$5:$AC$1204,"Check")&gt;0,"Check","OK"))</f>
        <v>0</v>
      </c>
    </row>
    <row r="56" spans="1:33">
      <c r="A56" s="7"/>
      <c r="B56" s="30"/>
      <c r="C56" s="8">
        <f>IF(B56="","",B56-WEEKDAY(B56,2)+1)</f>
        <v>0</v>
      </c>
      <c r="D56" s="8">
        <f>IF(B56="","",TEXT(B56,"ddd"))</f>
        <v>0</v>
      </c>
      <c r="E56" s="8">
        <f>IF(B56="","",TEXT(B56,"mmm yyyy"))</f>
        <v>0</v>
      </c>
      <c r="F56" s="27"/>
      <c r="G56" s="7"/>
      <c r="H56" s="26"/>
      <c r="I56" s="8">
        <f>IF(G56="","",IFERROR(INDEX(Recipes!$D$5:$D$204,MATCH(G56,Recipes!$A$5:$A$204,0)),""))</f>
        <v>0</v>
      </c>
      <c r="J56" s="8">
        <f>IF(OR(G56="",H56="",I56="",I56=0),"",H56/I56)</f>
        <v>0</v>
      </c>
      <c r="K56" s="8">
        <f>IF(B56="","",Household_Size)</f>
        <v>0</v>
      </c>
      <c r="L56" s="8">
        <f>IF(OR(G56="",H56=""),"",IFERROR(IFERROR(INDEX(Recipes!$H$5:$H$204,MATCH(G56,Recipes!$A$5:$A$204,0)),"")*H56,""))</f>
        <v>0</v>
      </c>
      <c r="M56" s="8">
        <f>IF(OR(G56="",H56=""),"",IFERROR(IFERROR(INDEX(Recipes!$I$5:$I$204,MATCH(G56,Recipes!$A$5:$A$204,0)),"")*H56,""))</f>
        <v>0</v>
      </c>
      <c r="N56" s="8">
        <f>IF(OR(G56="",H56=""),"",IFERROR(IFERROR(INDEX(Recipes!$J$5:$J$204,MATCH(G56,Recipes!$A$5:$A$204,0)),"")*H56,""))</f>
        <v>0</v>
      </c>
      <c r="O56" s="8">
        <f>IF(OR(G56="",H56=""),"",IFERROR(IFERROR(INDEX(Recipes!$K$5:$K$204,MATCH(G56,Recipes!$A$5:$A$204,0)),"")*H56,""))</f>
        <v>0</v>
      </c>
      <c r="P56" s="8">
        <f>IF(OR(G56="",H56=""),"",IFERROR(IFERROR(INDEX(Recipes!$L$5:$L$204,MATCH(G56,Recipes!$A$5:$A$204,0)),"")*H56,""))</f>
        <v>0</v>
      </c>
      <c r="Q56" s="8">
        <f>IF(OR(G56="",H56=""),"",IFERROR(IFERROR(INDEX(Recipes!$Q$5:$Q$204,MATCH(G56,Recipes!$A$5:$A$204,0)),"")*H56,""))</f>
        <v>0</v>
      </c>
      <c r="R56" s="8">
        <f>IF(F56="","",Weekly_Budget/21)</f>
        <v>0</v>
      </c>
      <c r="S56" s="27"/>
      <c r="T56" s="27"/>
      <c r="U56" s="26"/>
      <c r="V56" s="7"/>
      <c r="W56" s="7"/>
      <c r="X56" s="26"/>
      <c r="Y56" s="8">
        <f>IF(G56="","",IF(COUNTIFS('Meal Prep'!$D$5:$D$124,G56)&gt;0,"Yes","No"))</f>
        <v>0</v>
      </c>
      <c r="Z56" s="8">
        <f>IF(G56="","",COUNTIFS('Recipe Ingredients'!$A$5:$A$1204,G56))</f>
        <v>0</v>
      </c>
      <c r="AA56" s="25"/>
      <c r="AB56" s="8">
        <f>IF(OR(B56="",Q56=""),"",COUNTIFS($B$5:$B$504,B56,$Q$5:$Q$504,"&gt;"&amp;Q56)+1)</f>
        <v>0</v>
      </c>
      <c r="AC56" s="8">
        <f>IF(OR(B56="",L56=""),"",COUNTIFS($B$5:$B$504,B56,$L$5:$L$504,"&gt;"&amp;L56)+1)</f>
        <v>0</v>
      </c>
      <c r="AD56" s="8">
        <f>IF(G56="","",IF(COUNTIFS($G$5:$G$504,G56)&gt;1,"Repeat","Once"))</f>
        <v>0</v>
      </c>
      <c r="AE56" s="8">
        <f>IF(G56="","",IF(IFERROR(INDEX(Recipes!$X$5:$X$204,MATCH(G56,Recipes!$A$5:$A$204,0)),"")="","",IFERROR(B56-IFERROR(INDEX(Recipes!$X$5:$X$204,MATCH(G56,Recipes!$A$5:$A$204,0)),""),"")))</f>
        <v>0</v>
      </c>
      <c r="AF56" s="8">
        <f>IF(G56="","",IF(AE56="","Yes",IF(AE56&gt;=Rotation_Gap_Days,"Yes","No")))</f>
        <v>0</v>
      </c>
      <c r="AG56" s="8">
        <f>IF(G56="","",IF(COUNTIFS('Recipe Ingredients'!$A$5:$A$1204,G56,'Recipe Ingredients'!$AC$5:$AC$1204,"Check")&gt;0,"Check","OK"))</f>
        <v>0</v>
      </c>
    </row>
    <row r="57" spans="1:33">
      <c r="A57" s="7"/>
      <c r="B57" s="30"/>
      <c r="C57" s="8">
        <f>IF(B57="","",B57-WEEKDAY(B57,2)+1)</f>
        <v>0</v>
      </c>
      <c r="D57" s="8">
        <f>IF(B57="","",TEXT(B57,"ddd"))</f>
        <v>0</v>
      </c>
      <c r="E57" s="8">
        <f>IF(B57="","",TEXT(B57,"mmm yyyy"))</f>
        <v>0</v>
      </c>
      <c r="F57" s="27"/>
      <c r="G57" s="7"/>
      <c r="H57" s="26"/>
      <c r="I57" s="8">
        <f>IF(G57="","",IFERROR(INDEX(Recipes!$D$5:$D$204,MATCH(G57,Recipes!$A$5:$A$204,0)),""))</f>
        <v>0</v>
      </c>
      <c r="J57" s="8">
        <f>IF(OR(G57="",H57="",I57="",I57=0),"",H57/I57)</f>
        <v>0</v>
      </c>
      <c r="K57" s="8">
        <f>IF(B57="","",Household_Size)</f>
        <v>0</v>
      </c>
      <c r="L57" s="8">
        <f>IF(OR(G57="",H57=""),"",IFERROR(IFERROR(INDEX(Recipes!$H$5:$H$204,MATCH(G57,Recipes!$A$5:$A$204,0)),"")*H57,""))</f>
        <v>0</v>
      </c>
      <c r="M57" s="8">
        <f>IF(OR(G57="",H57=""),"",IFERROR(IFERROR(INDEX(Recipes!$I$5:$I$204,MATCH(G57,Recipes!$A$5:$A$204,0)),"")*H57,""))</f>
        <v>0</v>
      </c>
      <c r="N57" s="8">
        <f>IF(OR(G57="",H57=""),"",IFERROR(IFERROR(INDEX(Recipes!$J$5:$J$204,MATCH(G57,Recipes!$A$5:$A$204,0)),"")*H57,""))</f>
        <v>0</v>
      </c>
      <c r="O57" s="8">
        <f>IF(OR(G57="",H57=""),"",IFERROR(IFERROR(INDEX(Recipes!$K$5:$K$204,MATCH(G57,Recipes!$A$5:$A$204,0)),"")*H57,""))</f>
        <v>0</v>
      </c>
      <c r="P57" s="8">
        <f>IF(OR(G57="",H57=""),"",IFERROR(IFERROR(INDEX(Recipes!$L$5:$L$204,MATCH(G57,Recipes!$A$5:$A$204,0)),"")*H57,""))</f>
        <v>0</v>
      </c>
      <c r="Q57" s="8">
        <f>IF(OR(G57="",H57=""),"",IFERROR(IFERROR(INDEX(Recipes!$Q$5:$Q$204,MATCH(G57,Recipes!$A$5:$A$204,0)),"")*H57,""))</f>
        <v>0</v>
      </c>
      <c r="R57" s="8">
        <f>IF(F57="","",Weekly_Budget/21)</f>
        <v>0</v>
      </c>
      <c r="S57" s="27"/>
      <c r="T57" s="27"/>
      <c r="U57" s="26"/>
      <c r="V57" s="7"/>
      <c r="W57" s="7"/>
      <c r="X57" s="26"/>
      <c r="Y57" s="8">
        <f>IF(G57="","",IF(COUNTIFS('Meal Prep'!$D$5:$D$124,G57)&gt;0,"Yes","No"))</f>
        <v>0</v>
      </c>
      <c r="Z57" s="8">
        <f>IF(G57="","",COUNTIFS('Recipe Ingredients'!$A$5:$A$1204,G57))</f>
        <v>0</v>
      </c>
      <c r="AA57" s="25"/>
      <c r="AB57" s="8">
        <f>IF(OR(B57="",Q57=""),"",COUNTIFS($B$5:$B$504,B57,$Q$5:$Q$504,"&gt;"&amp;Q57)+1)</f>
        <v>0</v>
      </c>
      <c r="AC57" s="8">
        <f>IF(OR(B57="",L57=""),"",COUNTIFS($B$5:$B$504,B57,$L$5:$L$504,"&gt;"&amp;L57)+1)</f>
        <v>0</v>
      </c>
      <c r="AD57" s="8">
        <f>IF(G57="","",IF(COUNTIFS($G$5:$G$504,G57)&gt;1,"Repeat","Once"))</f>
        <v>0</v>
      </c>
      <c r="AE57" s="8">
        <f>IF(G57="","",IF(IFERROR(INDEX(Recipes!$X$5:$X$204,MATCH(G57,Recipes!$A$5:$A$204,0)),"")="","",IFERROR(B57-IFERROR(INDEX(Recipes!$X$5:$X$204,MATCH(G57,Recipes!$A$5:$A$204,0)),""),"")))</f>
        <v>0</v>
      </c>
      <c r="AF57" s="8">
        <f>IF(G57="","",IF(AE57="","Yes",IF(AE57&gt;=Rotation_Gap_Days,"Yes","No")))</f>
        <v>0</v>
      </c>
      <c r="AG57" s="8">
        <f>IF(G57="","",IF(COUNTIFS('Recipe Ingredients'!$A$5:$A$1204,G57,'Recipe Ingredients'!$AC$5:$AC$1204,"Check")&gt;0,"Check","OK"))</f>
        <v>0</v>
      </c>
    </row>
    <row r="58" spans="1:33">
      <c r="A58" s="7"/>
      <c r="B58" s="30"/>
      <c r="C58" s="8">
        <f>IF(B58="","",B58-WEEKDAY(B58,2)+1)</f>
        <v>0</v>
      </c>
      <c r="D58" s="8">
        <f>IF(B58="","",TEXT(B58,"ddd"))</f>
        <v>0</v>
      </c>
      <c r="E58" s="8">
        <f>IF(B58="","",TEXT(B58,"mmm yyyy"))</f>
        <v>0</v>
      </c>
      <c r="F58" s="27"/>
      <c r="G58" s="7"/>
      <c r="H58" s="26"/>
      <c r="I58" s="8">
        <f>IF(G58="","",IFERROR(INDEX(Recipes!$D$5:$D$204,MATCH(G58,Recipes!$A$5:$A$204,0)),""))</f>
        <v>0</v>
      </c>
      <c r="J58" s="8">
        <f>IF(OR(G58="",H58="",I58="",I58=0),"",H58/I58)</f>
        <v>0</v>
      </c>
      <c r="K58" s="8">
        <f>IF(B58="","",Household_Size)</f>
        <v>0</v>
      </c>
      <c r="L58" s="8">
        <f>IF(OR(G58="",H58=""),"",IFERROR(IFERROR(INDEX(Recipes!$H$5:$H$204,MATCH(G58,Recipes!$A$5:$A$204,0)),"")*H58,""))</f>
        <v>0</v>
      </c>
      <c r="M58" s="8">
        <f>IF(OR(G58="",H58=""),"",IFERROR(IFERROR(INDEX(Recipes!$I$5:$I$204,MATCH(G58,Recipes!$A$5:$A$204,0)),"")*H58,""))</f>
        <v>0</v>
      </c>
      <c r="N58" s="8">
        <f>IF(OR(G58="",H58=""),"",IFERROR(IFERROR(INDEX(Recipes!$J$5:$J$204,MATCH(G58,Recipes!$A$5:$A$204,0)),"")*H58,""))</f>
        <v>0</v>
      </c>
      <c r="O58" s="8">
        <f>IF(OR(G58="",H58=""),"",IFERROR(IFERROR(INDEX(Recipes!$K$5:$K$204,MATCH(G58,Recipes!$A$5:$A$204,0)),"")*H58,""))</f>
        <v>0</v>
      </c>
      <c r="P58" s="8">
        <f>IF(OR(G58="",H58=""),"",IFERROR(IFERROR(INDEX(Recipes!$L$5:$L$204,MATCH(G58,Recipes!$A$5:$A$204,0)),"")*H58,""))</f>
        <v>0</v>
      </c>
      <c r="Q58" s="8">
        <f>IF(OR(G58="",H58=""),"",IFERROR(IFERROR(INDEX(Recipes!$Q$5:$Q$204,MATCH(G58,Recipes!$A$5:$A$204,0)),"")*H58,""))</f>
        <v>0</v>
      </c>
      <c r="R58" s="8">
        <f>IF(F58="","",Weekly_Budget/21)</f>
        <v>0</v>
      </c>
      <c r="S58" s="27"/>
      <c r="T58" s="27"/>
      <c r="U58" s="26"/>
      <c r="V58" s="7"/>
      <c r="W58" s="7"/>
      <c r="X58" s="26"/>
      <c r="Y58" s="8">
        <f>IF(G58="","",IF(COUNTIFS('Meal Prep'!$D$5:$D$124,G58)&gt;0,"Yes","No"))</f>
        <v>0</v>
      </c>
      <c r="Z58" s="8">
        <f>IF(G58="","",COUNTIFS('Recipe Ingredients'!$A$5:$A$1204,G58))</f>
        <v>0</v>
      </c>
      <c r="AA58" s="25"/>
      <c r="AB58" s="8">
        <f>IF(OR(B58="",Q58=""),"",COUNTIFS($B$5:$B$504,B58,$Q$5:$Q$504,"&gt;"&amp;Q58)+1)</f>
        <v>0</v>
      </c>
      <c r="AC58" s="8">
        <f>IF(OR(B58="",L58=""),"",COUNTIFS($B$5:$B$504,B58,$L$5:$L$504,"&gt;"&amp;L58)+1)</f>
        <v>0</v>
      </c>
      <c r="AD58" s="8">
        <f>IF(G58="","",IF(COUNTIFS($G$5:$G$504,G58)&gt;1,"Repeat","Once"))</f>
        <v>0</v>
      </c>
      <c r="AE58" s="8">
        <f>IF(G58="","",IF(IFERROR(INDEX(Recipes!$X$5:$X$204,MATCH(G58,Recipes!$A$5:$A$204,0)),"")="","",IFERROR(B58-IFERROR(INDEX(Recipes!$X$5:$X$204,MATCH(G58,Recipes!$A$5:$A$204,0)),""),"")))</f>
        <v>0</v>
      </c>
      <c r="AF58" s="8">
        <f>IF(G58="","",IF(AE58="","Yes",IF(AE58&gt;=Rotation_Gap_Days,"Yes","No")))</f>
        <v>0</v>
      </c>
      <c r="AG58" s="8">
        <f>IF(G58="","",IF(COUNTIFS('Recipe Ingredients'!$A$5:$A$1204,G58,'Recipe Ingredients'!$AC$5:$AC$1204,"Check")&gt;0,"Check","OK"))</f>
        <v>0</v>
      </c>
    </row>
    <row r="59" spans="1:33">
      <c r="A59" s="7"/>
      <c r="B59" s="30"/>
      <c r="C59" s="8">
        <f>IF(B59="","",B59-WEEKDAY(B59,2)+1)</f>
        <v>0</v>
      </c>
      <c r="D59" s="8">
        <f>IF(B59="","",TEXT(B59,"ddd"))</f>
        <v>0</v>
      </c>
      <c r="E59" s="8">
        <f>IF(B59="","",TEXT(B59,"mmm yyyy"))</f>
        <v>0</v>
      </c>
      <c r="F59" s="27"/>
      <c r="G59" s="7"/>
      <c r="H59" s="26"/>
      <c r="I59" s="8">
        <f>IF(G59="","",IFERROR(INDEX(Recipes!$D$5:$D$204,MATCH(G59,Recipes!$A$5:$A$204,0)),""))</f>
        <v>0</v>
      </c>
      <c r="J59" s="8">
        <f>IF(OR(G59="",H59="",I59="",I59=0),"",H59/I59)</f>
        <v>0</v>
      </c>
      <c r="K59" s="8">
        <f>IF(B59="","",Household_Size)</f>
        <v>0</v>
      </c>
      <c r="L59" s="8">
        <f>IF(OR(G59="",H59=""),"",IFERROR(IFERROR(INDEX(Recipes!$H$5:$H$204,MATCH(G59,Recipes!$A$5:$A$204,0)),"")*H59,""))</f>
        <v>0</v>
      </c>
      <c r="M59" s="8">
        <f>IF(OR(G59="",H59=""),"",IFERROR(IFERROR(INDEX(Recipes!$I$5:$I$204,MATCH(G59,Recipes!$A$5:$A$204,0)),"")*H59,""))</f>
        <v>0</v>
      </c>
      <c r="N59" s="8">
        <f>IF(OR(G59="",H59=""),"",IFERROR(IFERROR(INDEX(Recipes!$J$5:$J$204,MATCH(G59,Recipes!$A$5:$A$204,0)),"")*H59,""))</f>
        <v>0</v>
      </c>
      <c r="O59" s="8">
        <f>IF(OR(G59="",H59=""),"",IFERROR(IFERROR(INDEX(Recipes!$K$5:$K$204,MATCH(G59,Recipes!$A$5:$A$204,0)),"")*H59,""))</f>
        <v>0</v>
      </c>
      <c r="P59" s="8">
        <f>IF(OR(G59="",H59=""),"",IFERROR(IFERROR(INDEX(Recipes!$L$5:$L$204,MATCH(G59,Recipes!$A$5:$A$204,0)),"")*H59,""))</f>
        <v>0</v>
      </c>
      <c r="Q59" s="8">
        <f>IF(OR(G59="",H59=""),"",IFERROR(IFERROR(INDEX(Recipes!$Q$5:$Q$204,MATCH(G59,Recipes!$A$5:$A$204,0)),"")*H59,""))</f>
        <v>0</v>
      </c>
      <c r="R59" s="8">
        <f>IF(F59="","",Weekly_Budget/21)</f>
        <v>0</v>
      </c>
      <c r="S59" s="27"/>
      <c r="T59" s="27"/>
      <c r="U59" s="26"/>
      <c r="V59" s="7"/>
      <c r="W59" s="7"/>
      <c r="X59" s="26"/>
      <c r="Y59" s="8">
        <f>IF(G59="","",IF(COUNTIFS('Meal Prep'!$D$5:$D$124,G59)&gt;0,"Yes","No"))</f>
        <v>0</v>
      </c>
      <c r="Z59" s="8">
        <f>IF(G59="","",COUNTIFS('Recipe Ingredients'!$A$5:$A$1204,G59))</f>
        <v>0</v>
      </c>
      <c r="AA59" s="25"/>
      <c r="AB59" s="8">
        <f>IF(OR(B59="",Q59=""),"",COUNTIFS($B$5:$B$504,B59,$Q$5:$Q$504,"&gt;"&amp;Q59)+1)</f>
        <v>0</v>
      </c>
      <c r="AC59" s="8">
        <f>IF(OR(B59="",L59=""),"",COUNTIFS($B$5:$B$504,B59,$L$5:$L$504,"&gt;"&amp;L59)+1)</f>
        <v>0</v>
      </c>
      <c r="AD59" s="8">
        <f>IF(G59="","",IF(COUNTIFS($G$5:$G$504,G59)&gt;1,"Repeat","Once"))</f>
        <v>0</v>
      </c>
      <c r="AE59" s="8">
        <f>IF(G59="","",IF(IFERROR(INDEX(Recipes!$X$5:$X$204,MATCH(G59,Recipes!$A$5:$A$204,0)),"")="","",IFERROR(B59-IFERROR(INDEX(Recipes!$X$5:$X$204,MATCH(G59,Recipes!$A$5:$A$204,0)),""),"")))</f>
        <v>0</v>
      </c>
      <c r="AF59" s="8">
        <f>IF(G59="","",IF(AE59="","Yes",IF(AE59&gt;=Rotation_Gap_Days,"Yes","No")))</f>
        <v>0</v>
      </c>
      <c r="AG59" s="8">
        <f>IF(G59="","",IF(COUNTIFS('Recipe Ingredients'!$A$5:$A$1204,G59,'Recipe Ingredients'!$AC$5:$AC$1204,"Check")&gt;0,"Check","OK"))</f>
        <v>0</v>
      </c>
    </row>
    <row r="60" spans="1:33">
      <c r="A60" s="7"/>
      <c r="B60" s="30"/>
      <c r="C60" s="8">
        <f>IF(B60="","",B60-WEEKDAY(B60,2)+1)</f>
        <v>0</v>
      </c>
      <c r="D60" s="8">
        <f>IF(B60="","",TEXT(B60,"ddd"))</f>
        <v>0</v>
      </c>
      <c r="E60" s="8">
        <f>IF(B60="","",TEXT(B60,"mmm yyyy"))</f>
        <v>0</v>
      </c>
      <c r="F60" s="27"/>
      <c r="G60" s="7"/>
      <c r="H60" s="26"/>
      <c r="I60" s="8">
        <f>IF(G60="","",IFERROR(INDEX(Recipes!$D$5:$D$204,MATCH(G60,Recipes!$A$5:$A$204,0)),""))</f>
        <v>0</v>
      </c>
      <c r="J60" s="8">
        <f>IF(OR(G60="",H60="",I60="",I60=0),"",H60/I60)</f>
        <v>0</v>
      </c>
      <c r="K60" s="8">
        <f>IF(B60="","",Household_Size)</f>
        <v>0</v>
      </c>
      <c r="L60" s="8">
        <f>IF(OR(G60="",H60=""),"",IFERROR(IFERROR(INDEX(Recipes!$H$5:$H$204,MATCH(G60,Recipes!$A$5:$A$204,0)),"")*H60,""))</f>
        <v>0</v>
      </c>
      <c r="M60" s="8">
        <f>IF(OR(G60="",H60=""),"",IFERROR(IFERROR(INDEX(Recipes!$I$5:$I$204,MATCH(G60,Recipes!$A$5:$A$204,0)),"")*H60,""))</f>
        <v>0</v>
      </c>
      <c r="N60" s="8">
        <f>IF(OR(G60="",H60=""),"",IFERROR(IFERROR(INDEX(Recipes!$J$5:$J$204,MATCH(G60,Recipes!$A$5:$A$204,0)),"")*H60,""))</f>
        <v>0</v>
      </c>
      <c r="O60" s="8">
        <f>IF(OR(G60="",H60=""),"",IFERROR(IFERROR(INDEX(Recipes!$K$5:$K$204,MATCH(G60,Recipes!$A$5:$A$204,0)),"")*H60,""))</f>
        <v>0</v>
      </c>
      <c r="P60" s="8">
        <f>IF(OR(G60="",H60=""),"",IFERROR(IFERROR(INDEX(Recipes!$L$5:$L$204,MATCH(G60,Recipes!$A$5:$A$204,0)),"")*H60,""))</f>
        <v>0</v>
      </c>
      <c r="Q60" s="8">
        <f>IF(OR(G60="",H60=""),"",IFERROR(IFERROR(INDEX(Recipes!$Q$5:$Q$204,MATCH(G60,Recipes!$A$5:$A$204,0)),"")*H60,""))</f>
        <v>0</v>
      </c>
      <c r="R60" s="8">
        <f>IF(F60="","",Weekly_Budget/21)</f>
        <v>0</v>
      </c>
      <c r="S60" s="27"/>
      <c r="T60" s="27"/>
      <c r="U60" s="26"/>
      <c r="V60" s="7"/>
      <c r="W60" s="7"/>
      <c r="X60" s="26"/>
      <c r="Y60" s="8">
        <f>IF(G60="","",IF(COUNTIFS('Meal Prep'!$D$5:$D$124,G60)&gt;0,"Yes","No"))</f>
        <v>0</v>
      </c>
      <c r="Z60" s="8">
        <f>IF(G60="","",COUNTIFS('Recipe Ingredients'!$A$5:$A$1204,G60))</f>
        <v>0</v>
      </c>
      <c r="AA60" s="25"/>
      <c r="AB60" s="8">
        <f>IF(OR(B60="",Q60=""),"",COUNTIFS($B$5:$B$504,B60,$Q$5:$Q$504,"&gt;"&amp;Q60)+1)</f>
        <v>0</v>
      </c>
      <c r="AC60" s="8">
        <f>IF(OR(B60="",L60=""),"",COUNTIFS($B$5:$B$504,B60,$L$5:$L$504,"&gt;"&amp;L60)+1)</f>
        <v>0</v>
      </c>
      <c r="AD60" s="8">
        <f>IF(G60="","",IF(COUNTIFS($G$5:$G$504,G60)&gt;1,"Repeat","Once"))</f>
        <v>0</v>
      </c>
      <c r="AE60" s="8">
        <f>IF(G60="","",IF(IFERROR(INDEX(Recipes!$X$5:$X$204,MATCH(G60,Recipes!$A$5:$A$204,0)),"")="","",IFERROR(B60-IFERROR(INDEX(Recipes!$X$5:$X$204,MATCH(G60,Recipes!$A$5:$A$204,0)),""),"")))</f>
        <v>0</v>
      </c>
      <c r="AF60" s="8">
        <f>IF(G60="","",IF(AE60="","Yes",IF(AE60&gt;=Rotation_Gap_Days,"Yes","No")))</f>
        <v>0</v>
      </c>
      <c r="AG60" s="8">
        <f>IF(G60="","",IF(COUNTIFS('Recipe Ingredients'!$A$5:$A$1204,G60,'Recipe Ingredients'!$AC$5:$AC$1204,"Check")&gt;0,"Check","OK"))</f>
        <v>0</v>
      </c>
    </row>
    <row r="61" spans="1:33">
      <c r="A61" s="7"/>
      <c r="B61" s="30"/>
      <c r="C61" s="8">
        <f>IF(B61="","",B61-WEEKDAY(B61,2)+1)</f>
        <v>0</v>
      </c>
      <c r="D61" s="8">
        <f>IF(B61="","",TEXT(B61,"ddd"))</f>
        <v>0</v>
      </c>
      <c r="E61" s="8">
        <f>IF(B61="","",TEXT(B61,"mmm yyyy"))</f>
        <v>0</v>
      </c>
      <c r="F61" s="27"/>
      <c r="G61" s="7"/>
      <c r="H61" s="26"/>
      <c r="I61" s="8">
        <f>IF(G61="","",IFERROR(INDEX(Recipes!$D$5:$D$204,MATCH(G61,Recipes!$A$5:$A$204,0)),""))</f>
        <v>0</v>
      </c>
      <c r="J61" s="8">
        <f>IF(OR(G61="",H61="",I61="",I61=0),"",H61/I61)</f>
        <v>0</v>
      </c>
      <c r="K61" s="8">
        <f>IF(B61="","",Household_Size)</f>
        <v>0</v>
      </c>
      <c r="L61" s="8">
        <f>IF(OR(G61="",H61=""),"",IFERROR(IFERROR(INDEX(Recipes!$H$5:$H$204,MATCH(G61,Recipes!$A$5:$A$204,0)),"")*H61,""))</f>
        <v>0</v>
      </c>
      <c r="M61" s="8">
        <f>IF(OR(G61="",H61=""),"",IFERROR(IFERROR(INDEX(Recipes!$I$5:$I$204,MATCH(G61,Recipes!$A$5:$A$204,0)),"")*H61,""))</f>
        <v>0</v>
      </c>
      <c r="N61" s="8">
        <f>IF(OR(G61="",H61=""),"",IFERROR(IFERROR(INDEX(Recipes!$J$5:$J$204,MATCH(G61,Recipes!$A$5:$A$204,0)),"")*H61,""))</f>
        <v>0</v>
      </c>
      <c r="O61" s="8">
        <f>IF(OR(G61="",H61=""),"",IFERROR(IFERROR(INDEX(Recipes!$K$5:$K$204,MATCH(G61,Recipes!$A$5:$A$204,0)),"")*H61,""))</f>
        <v>0</v>
      </c>
      <c r="P61" s="8">
        <f>IF(OR(G61="",H61=""),"",IFERROR(IFERROR(INDEX(Recipes!$L$5:$L$204,MATCH(G61,Recipes!$A$5:$A$204,0)),"")*H61,""))</f>
        <v>0</v>
      </c>
      <c r="Q61" s="8">
        <f>IF(OR(G61="",H61=""),"",IFERROR(IFERROR(INDEX(Recipes!$Q$5:$Q$204,MATCH(G61,Recipes!$A$5:$A$204,0)),"")*H61,""))</f>
        <v>0</v>
      </c>
      <c r="R61" s="8">
        <f>IF(F61="","",Weekly_Budget/21)</f>
        <v>0</v>
      </c>
      <c r="S61" s="27"/>
      <c r="T61" s="27"/>
      <c r="U61" s="26"/>
      <c r="V61" s="7"/>
      <c r="W61" s="7"/>
      <c r="X61" s="26"/>
      <c r="Y61" s="8">
        <f>IF(G61="","",IF(COUNTIFS('Meal Prep'!$D$5:$D$124,G61)&gt;0,"Yes","No"))</f>
        <v>0</v>
      </c>
      <c r="Z61" s="8">
        <f>IF(G61="","",COUNTIFS('Recipe Ingredients'!$A$5:$A$1204,G61))</f>
        <v>0</v>
      </c>
      <c r="AA61" s="25"/>
      <c r="AB61" s="8">
        <f>IF(OR(B61="",Q61=""),"",COUNTIFS($B$5:$B$504,B61,$Q$5:$Q$504,"&gt;"&amp;Q61)+1)</f>
        <v>0</v>
      </c>
      <c r="AC61" s="8">
        <f>IF(OR(B61="",L61=""),"",COUNTIFS($B$5:$B$504,B61,$L$5:$L$504,"&gt;"&amp;L61)+1)</f>
        <v>0</v>
      </c>
      <c r="AD61" s="8">
        <f>IF(G61="","",IF(COUNTIFS($G$5:$G$504,G61)&gt;1,"Repeat","Once"))</f>
        <v>0</v>
      </c>
      <c r="AE61" s="8">
        <f>IF(G61="","",IF(IFERROR(INDEX(Recipes!$X$5:$X$204,MATCH(G61,Recipes!$A$5:$A$204,0)),"")="","",IFERROR(B61-IFERROR(INDEX(Recipes!$X$5:$X$204,MATCH(G61,Recipes!$A$5:$A$204,0)),""),"")))</f>
        <v>0</v>
      </c>
      <c r="AF61" s="8">
        <f>IF(G61="","",IF(AE61="","Yes",IF(AE61&gt;=Rotation_Gap_Days,"Yes","No")))</f>
        <v>0</v>
      </c>
      <c r="AG61" s="8">
        <f>IF(G61="","",IF(COUNTIFS('Recipe Ingredients'!$A$5:$A$1204,G61,'Recipe Ingredients'!$AC$5:$AC$1204,"Check")&gt;0,"Check","OK"))</f>
        <v>0</v>
      </c>
    </row>
    <row r="62" spans="1:33">
      <c r="A62" s="7"/>
      <c r="B62" s="30"/>
      <c r="C62" s="8">
        <f>IF(B62="","",B62-WEEKDAY(B62,2)+1)</f>
        <v>0</v>
      </c>
      <c r="D62" s="8">
        <f>IF(B62="","",TEXT(B62,"ddd"))</f>
        <v>0</v>
      </c>
      <c r="E62" s="8">
        <f>IF(B62="","",TEXT(B62,"mmm yyyy"))</f>
        <v>0</v>
      </c>
      <c r="F62" s="27"/>
      <c r="G62" s="7"/>
      <c r="H62" s="26"/>
      <c r="I62" s="8">
        <f>IF(G62="","",IFERROR(INDEX(Recipes!$D$5:$D$204,MATCH(G62,Recipes!$A$5:$A$204,0)),""))</f>
        <v>0</v>
      </c>
      <c r="J62" s="8">
        <f>IF(OR(G62="",H62="",I62="",I62=0),"",H62/I62)</f>
        <v>0</v>
      </c>
      <c r="K62" s="8">
        <f>IF(B62="","",Household_Size)</f>
        <v>0</v>
      </c>
      <c r="L62" s="8">
        <f>IF(OR(G62="",H62=""),"",IFERROR(IFERROR(INDEX(Recipes!$H$5:$H$204,MATCH(G62,Recipes!$A$5:$A$204,0)),"")*H62,""))</f>
        <v>0</v>
      </c>
      <c r="M62" s="8">
        <f>IF(OR(G62="",H62=""),"",IFERROR(IFERROR(INDEX(Recipes!$I$5:$I$204,MATCH(G62,Recipes!$A$5:$A$204,0)),"")*H62,""))</f>
        <v>0</v>
      </c>
      <c r="N62" s="8">
        <f>IF(OR(G62="",H62=""),"",IFERROR(IFERROR(INDEX(Recipes!$J$5:$J$204,MATCH(G62,Recipes!$A$5:$A$204,0)),"")*H62,""))</f>
        <v>0</v>
      </c>
      <c r="O62" s="8">
        <f>IF(OR(G62="",H62=""),"",IFERROR(IFERROR(INDEX(Recipes!$K$5:$K$204,MATCH(G62,Recipes!$A$5:$A$204,0)),"")*H62,""))</f>
        <v>0</v>
      </c>
      <c r="P62" s="8">
        <f>IF(OR(G62="",H62=""),"",IFERROR(IFERROR(INDEX(Recipes!$L$5:$L$204,MATCH(G62,Recipes!$A$5:$A$204,0)),"")*H62,""))</f>
        <v>0</v>
      </c>
      <c r="Q62" s="8">
        <f>IF(OR(G62="",H62=""),"",IFERROR(IFERROR(INDEX(Recipes!$Q$5:$Q$204,MATCH(G62,Recipes!$A$5:$A$204,0)),"")*H62,""))</f>
        <v>0</v>
      </c>
      <c r="R62" s="8">
        <f>IF(F62="","",Weekly_Budget/21)</f>
        <v>0</v>
      </c>
      <c r="S62" s="27"/>
      <c r="T62" s="27"/>
      <c r="U62" s="26"/>
      <c r="V62" s="7"/>
      <c r="W62" s="7"/>
      <c r="X62" s="26"/>
      <c r="Y62" s="8">
        <f>IF(G62="","",IF(COUNTIFS('Meal Prep'!$D$5:$D$124,G62)&gt;0,"Yes","No"))</f>
        <v>0</v>
      </c>
      <c r="Z62" s="8">
        <f>IF(G62="","",COUNTIFS('Recipe Ingredients'!$A$5:$A$1204,G62))</f>
        <v>0</v>
      </c>
      <c r="AA62" s="25"/>
      <c r="AB62" s="8">
        <f>IF(OR(B62="",Q62=""),"",COUNTIFS($B$5:$B$504,B62,$Q$5:$Q$504,"&gt;"&amp;Q62)+1)</f>
        <v>0</v>
      </c>
      <c r="AC62" s="8">
        <f>IF(OR(B62="",L62=""),"",COUNTIFS($B$5:$B$504,B62,$L$5:$L$504,"&gt;"&amp;L62)+1)</f>
        <v>0</v>
      </c>
      <c r="AD62" s="8">
        <f>IF(G62="","",IF(COUNTIFS($G$5:$G$504,G62)&gt;1,"Repeat","Once"))</f>
        <v>0</v>
      </c>
      <c r="AE62" s="8">
        <f>IF(G62="","",IF(IFERROR(INDEX(Recipes!$X$5:$X$204,MATCH(G62,Recipes!$A$5:$A$204,0)),"")="","",IFERROR(B62-IFERROR(INDEX(Recipes!$X$5:$X$204,MATCH(G62,Recipes!$A$5:$A$204,0)),""),"")))</f>
        <v>0</v>
      </c>
      <c r="AF62" s="8">
        <f>IF(G62="","",IF(AE62="","Yes",IF(AE62&gt;=Rotation_Gap_Days,"Yes","No")))</f>
        <v>0</v>
      </c>
      <c r="AG62" s="8">
        <f>IF(G62="","",IF(COUNTIFS('Recipe Ingredients'!$A$5:$A$1204,G62,'Recipe Ingredients'!$AC$5:$AC$1204,"Check")&gt;0,"Check","OK"))</f>
        <v>0</v>
      </c>
    </row>
    <row r="63" spans="1:33">
      <c r="A63" s="7"/>
      <c r="B63" s="30"/>
      <c r="C63" s="8">
        <f>IF(B63="","",B63-WEEKDAY(B63,2)+1)</f>
        <v>0</v>
      </c>
      <c r="D63" s="8">
        <f>IF(B63="","",TEXT(B63,"ddd"))</f>
        <v>0</v>
      </c>
      <c r="E63" s="8">
        <f>IF(B63="","",TEXT(B63,"mmm yyyy"))</f>
        <v>0</v>
      </c>
      <c r="F63" s="27"/>
      <c r="G63" s="7"/>
      <c r="H63" s="26"/>
      <c r="I63" s="8">
        <f>IF(G63="","",IFERROR(INDEX(Recipes!$D$5:$D$204,MATCH(G63,Recipes!$A$5:$A$204,0)),""))</f>
        <v>0</v>
      </c>
      <c r="J63" s="8">
        <f>IF(OR(G63="",H63="",I63="",I63=0),"",H63/I63)</f>
        <v>0</v>
      </c>
      <c r="K63" s="8">
        <f>IF(B63="","",Household_Size)</f>
        <v>0</v>
      </c>
      <c r="L63" s="8">
        <f>IF(OR(G63="",H63=""),"",IFERROR(IFERROR(INDEX(Recipes!$H$5:$H$204,MATCH(G63,Recipes!$A$5:$A$204,0)),"")*H63,""))</f>
        <v>0</v>
      </c>
      <c r="M63" s="8">
        <f>IF(OR(G63="",H63=""),"",IFERROR(IFERROR(INDEX(Recipes!$I$5:$I$204,MATCH(G63,Recipes!$A$5:$A$204,0)),"")*H63,""))</f>
        <v>0</v>
      </c>
      <c r="N63" s="8">
        <f>IF(OR(G63="",H63=""),"",IFERROR(IFERROR(INDEX(Recipes!$J$5:$J$204,MATCH(G63,Recipes!$A$5:$A$204,0)),"")*H63,""))</f>
        <v>0</v>
      </c>
      <c r="O63" s="8">
        <f>IF(OR(G63="",H63=""),"",IFERROR(IFERROR(INDEX(Recipes!$K$5:$K$204,MATCH(G63,Recipes!$A$5:$A$204,0)),"")*H63,""))</f>
        <v>0</v>
      </c>
      <c r="P63" s="8">
        <f>IF(OR(G63="",H63=""),"",IFERROR(IFERROR(INDEX(Recipes!$L$5:$L$204,MATCH(G63,Recipes!$A$5:$A$204,0)),"")*H63,""))</f>
        <v>0</v>
      </c>
      <c r="Q63" s="8">
        <f>IF(OR(G63="",H63=""),"",IFERROR(IFERROR(INDEX(Recipes!$Q$5:$Q$204,MATCH(G63,Recipes!$A$5:$A$204,0)),"")*H63,""))</f>
        <v>0</v>
      </c>
      <c r="R63" s="8">
        <f>IF(F63="","",Weekly_Budget/21)</f>
        <v>0</v>
      </c>
      <c r="S63" s="27"/>
      <c r="T63" s="27"/>
      <c r="U63" s="26"/>
      <c r="V63" s="7"/>
      <c r="W63" s="7"/>
      <c r="X63" s="26"/>
      <c r="Y63" s="8">
        <f>IF(G63="","",IF(COUNTIFS('Meal Prep'!$D$5:$D$124,G63)&gt;0,"Yes","No"))</f>
        <v>0</v>
      </c>
      <c r="Z63" s="8">
        <f>IF(G63="","",COUNTIFS('Recipe Ingredients'!$A$5:$A$1204,G63))</f>
        <v>0</v>
      </c>
      <c r="AA63" s="25"/>
      <c r="AB63" s="8">
        <f>IF(OR(B63="",Q63=""),"",COUNTIFS($B$5:$B$504,B63,$Q$5:$Q$504,"&gt;"&amp;Q63)+1)</f>
        <v>0</v>
      </c>
      <c r="AC63" s="8">
        <f>IF(OR(B63="",L63=""),"",COUNTIFS($B$5:$B$504,B63,$L$5:$L$504,"&gt;"&amp;L63)+1)</f>
        <v>0</v>
      </c>
      <c r="AD63" s="8">
        <f>IF(G63="","",IF(COUNTIFS($G$5:$G$504,G63)&gt;1,"Repeat","Once"))</f>
        <v>0</v>
      </c>
      <c r="AE63" s="8">
        <f>IF(G63="","",IF(IFERROR(INDEX(Recipes!$X$5:$X$204,MATCH(G63,Recipes!$A$5:$A$204,0)),"")="","",IFERROR(B63-IFERROR(INDEX(Recipes!$X$5:$X$204,MATCH(G63,Recipes!$A$5:$A$204,0)),""),"")))</f>
        <v>0</v>
      </c>
      <c r="AF63" s="8">
        <f>IF(G63="","",IF(AE63="","Yes",IF(AE63&gt;=Rotation_Gap_Days,"Yes","No")))</f>
        <v>0</v>
      </c>
      <c r="AG63" s="8">
        <f>IF(G63="","",IF(COUNTIFS('Recipe Ingredients'!$A$5:$A$1204,G63,'Recipe Ingredients'!$AC$5:$AC$1204,"Check")&gt;0,"Check","OK"))</f>
        <v>0</v>
      </c>
    </row>
    <row r="64" spans="1:33">
      <c r="A64" s="7"/>
      <c r="B64" s="30"/>
      <c r="C64" s="8">
        <f>IF(B64="","",B64-WEEKDAY(B64,2)+1)</f>
        <v>0</v>
      </c>
      <c r="D64" s="8">
        <f>IF(B64="","",TEXT(B64,"ddd"))</f>
        <v>0</v>
      </c>
      <c r="E64" s="8">
        <f>IF(B64="","",TEXT(B64,"mmm yyyy"))</f>
        <v>0</v>
      </c>
      <c r="F64" s="27"/>
      <c r="G64" s="7"/>
      <c r="H64" s="26"/>
      <c r="I64" s="8">
        <f>IF(G64="","",IFERROR(INDEX(Recipes!$D$5:$D$204,MATCH(G64,Recipes!$A$5:$A$204,0)),""))</f>
        <v>0</v>
      </c>
      <c r="J64" s="8">
        <f>IF(OR(G64="",H64="",I64="",I64=0),"",H64/I64)</f>
        <v>0</v>
      </c>
      <c r="K64" s="8">
        <f>IF(B64="","",Household_Size)</f>
        <v>0</v>
      </c>
      <c r="L64" s="8">
        <f>IF(OR(G64="",H64=""),"",IFERROR(IFERROR(INDEX(Recipes!$H$5:$H$204,MATCH(G64,Recipes!$A$5:$A$204,0)),"")*H64,""))</f>
        <v>0</v>
      </c>
      <c r="M64" s="8">
        <f>IF(OR(G64="",H64=""),"",IFERROR(IFERROR(INDEX(Recipes!$I$5:$I$204,MATCH(G64,Recipes!$A$5:$A$204,0)),"")*H64,""))</f>
        <v>0</v>
      </c>
      <c r="N64" s="8">
        <f>IF(OR(G64="",H64=""),"",IFERROR(IFERROR(INDEX(Recipes!$J$5:$J$204,MATCH(G64,Recipes!$A$5:$A$204,0)),"")*H64,""))</f>
        <v>0</v>
      </c>
      <c r="O64" s="8">
        <f>IF(OR(G64="",H64=""),"",IFERROR(IFERROR(INDEX(Recipes!$K$5:$K$204,MATCH(G64,Recipes!$A$5:$A$204,0)),"")*H64,""))</f>
        <v>0</v>
      </c>
      <c r="P64" s="8">
        <f>IF(OR(G64="",H64=""),"",IFERROR(IFERROR(INDEX(Recipes!$L$5:$L$204,MATCH(G64,Recipes!$A$5:$A$204,0)),"")*H64,""))</f>
        <v>0</v>
      </c>
      <c r="Q64" s="8">
        <f>IF(OR(G64="",H64=""),"",IFERROR(IFERROR(INDEX(Recipes!$Q$5:$Q$204,MATCH(G64,Recipes!$A$5:$A$204,0)),"")*H64,""))</f>
        <v>0</v>
      </c>
      <c r="R64" s="8">
        <f>IF(F64="","",Weekly_Budget/21)</f>
        <v>0</v>
      </c>
      <c r="S64" s="27"/>
      <c r="T64" s="27"/>
      <c r="U64" s="26"/>
      <c r="V64" s="7"/>
      <c r="W64" s="7"/>
      <c r="X64" s="26"/>
      <c r="Y64" s="8">
        <f>IF(G64="","",IF(COUNTIFS('Meal Prep'!$D$5:$D$124,G64)&gt;0,"Yes","No"))</f>
        <v>0</v>
      </c>
      <c r="Z64" s="8">
        <f>IF(G64="","",COUNTIFS('Recipe Ingredients'!$A$5:$A$1204,G64))</f>
        <v>0</v>
      </c>
      <c r="AA64" s="25"/>
      <c r="AB64" s="8">
        <f>IF(OR(B64="",Q64=""),"",COUNTIFS($B$5:$B$504,B64,$Q$5:$Q$504,"&gt;"&amp;Q64)+1)</f>
        <v>0</v>
      </c>
      <c r="AC64" s="8">
        <f>IF(OR(B64="",L64=""),"",COUNTIFS($B$5:$B$504,B64,$L$5:$L$504,"&gt;"&amp;L64)+1)</f>
        <v>0</v>
      </c>
      <c r="AD64" s="8">
        <f>IF(G64="","",IF(COUNTIFS($G$5:$G$504,G64)&gt;1,"Repeat","Once"))</f>
        <v>0</v>
      </c>
      <c r="AE64" s="8">
        <f>IF(G64="","",IF(IFERROR(INDEX(Recipes!$X$5:$X$204,MATCH(G64,Recipes!$A$5:$A$204,0)),"")="","",IFERROR(B64-IFERROR(INDEX(Recipes!$X$5:$X$204,MATCH(G64,Recipes!$A$5:$A$204,0)),""),"")))</f>
        <v>0</v>
      </c>
      <c r="AF64" s="8">
        <f>IF(G64="","",IF(AE64="","Yes",IF(AE64&gt;=Rotation_Gap_Days,"Yes","No")))</f>
        <v>0</v>
      </c>
      <c r="AG64" s="8">
        <f>IF(G64="","",IF(COUNTIFS('Recipe Ingredients'!$A$5:$A$1204,G64,'Recipe Ingredients'!$AC$5:$AC$1204,"Check")&gt;0,"Check","OK"))</f>
        <v>0</v>
      </c>
    </row>
    <row r="65" spans="1:33">
      <c r="A65" s="7"/>
      <c r="B65" s="30"/>
      <c r="C65" s="8">
        <f>IF(B65="","",B65-WEEKDAY(B65,2)+1)</f>
        <v>0</v>
      </c>
      <c r="D65" s="8">
        <f>IF(B65="","",TEXT(B65,"ddd"))</f>
        <v>0</v>
      </c>
      <c r="E65" s="8">
        <f>IF(B65="","",TEXT(B65,"mmm yyyy"))</f>
        <v>0</v>
      </c>
      <c r="F65" s="27"/>
      <c r="G65" s="7"/>
      <c r="H65" s="26"/>
      <c r="I65" s="8">
        <f>IF(G65="","",IFERROR(INDEX(Recipes!$D$5:$D$204,MATCH(G65,Recipes!$A$5:$A$204,0)),""))</f>
        <v>0</v>
      </c>
      <c r="J65" s="8">
        <f>IF(OR(G65="",H65="",I65="",I65=0),"",H65/I65)</f>
        <v>0</v>
      </c>
      <c r="K65" s="8">
        <f>IF(B65="","",Household_Size)</f>
        <v>0</v>
      </c>
      <c r="L65" s="8">
        <f>IF(OR(G65="",H65=""),"",IFERROR(IFERROR(INDEX(Recipes!$H$5:$H$204,MATCH(G65,Recipes!$A$5:$A$204,0)),"")*H65,""))</f>
        <v>0</v>
      </c>
      <c r="M65" s="8">
        <f>IF(OR(G65="",H65=""),"",IFERROR(IFERROR(INDEX(Recipes!$I$5:$I$204,MATCH(G65,Recipes!$A$5:$A$204,0)),"")*H65,""))</f>
        <v>0</v>
      </c>
      <c r="N65" s="8">
        <f>IF(OR(G65="",H65=""),"",IFERROR(IFERROR(INDEX(Recipes!$J$5:$J$204,MATCH(G65,Recipes!$A$5:$A$204,0)),"")*H65,""))</f>
        <v>0</v>
      </c>
      <c r="O65" s="8">
        <f>IF(OR(G65="",H65=""),"",IFERROR(IFERROR(INDEX(Recipes!$K$5:$K$204,MATCH(G65,Recipes!$A$5:$A$204,0)),"")*H65,""))</f>
        <v>0</v>
      </c>
      <c r="P65" s="8">
        <f>IF(OR(G65="",H65=""),"",IFERROR(IFERROR(INDEX(Recipes!$L$5:$L$204,MATCH(G65,Recipes!$A$5:$A$204,0)),"")*H65,""))</f>
        <v>0</v>
      </c>
      <c r="Q65" s="8">
        <f>IF(OR(G65="",H65=""),"",IFERROR(IFERROR(INDEX(Recipes!$Q$5:$Q$204,MATCH(G65,Recipes!$A$5:$A$204,0)),"")*H65,""))</f>
        <v>0</v>
      </c>
      <c r="R65" s="8">
        <f>IF(F65="","",Weekly_Budget/21)</f>
        <v>0</v>
      </c>
      <c r="S65" s="27"/>
      <c r="T65" s="27"/>
      <c r="U65" s="26"/>
      <c r="V65" s="7"/>
      <c r="W65" s="7"/>
      <c r="X65" s="26"/>
      <c r="Y65" s="8">
        <f>IF(G65="","",IF(COUNTIFS('Meal Prep'!$D$5:$D$124,G65)&gt;0,"Yes","No"))</f>
        <v>0</v>
      </c>
      <c r="Z65" s="8">
        <f>IF(G65="","",COUNTIFS('Recipe Ingredients'!$A$5:$A$1204,G65))</f>
        <v>0</v>
      </c>
      <c r="AA65" s="25"/>
      <c r="AB65" s="8">
        <f>IF(OR(B65="",Q65=""),"",COUNTIFS($B$5:$B$504,B65,$Q$5:$Q$504,"&gt;"&amp;Q65)+1)</f>
        <v>0</v>
      </c>
      <c r="AC65" s="8">
        <f>IF(OR(B65="",L65=""),"",COUNTIFS($B$5:$B$504,B65,$L$5:$L$504,"&gt;"&amp;L65)+1)</f>
        <v>0</v>
      </c>
      <c r="AD65" s="8">
        <f>IF(G65="","",IF(COUNTIFS($G$5:$G$504,G65)&gt;1,"Repeat","Once"))</f>
        <v>0</v>
      </c>
      <c r="AE65" s="8">
        <f>IF(G65="","",IF(IFERROR(INDEX(Recipes!$X$5:$X$204,MATCH(G65,Recipes!$A$5:$A$204,0)),"")="","",IFERROR(B65-IFERROR(INDEX(Recipes!$X$5:$X$204,MATCH(G65,Recipes!$A$5:$A$204,0)),""),"")))</f>
        <v>0</v>
      </c>
      <c r="AF65" s="8">
        <f>IF(G65="","",IF(AE65="","Yes",IF(AE65&gt;=Rotation_Gap_Days,"Yes","No")))</f>
        <v>0</v>
      </c>
      <c r="AG65" s="8">
        <f>IF(G65="","",IF(COUNTIFS('Recipe Ingredients'!$A$5:$A$1204,G65,'Recipe Ingredients'!$AC$5:$AC$1204,"Check")&gt;0,"Check","OK"))</f>
        <v>0</v>
      </c>
    </row>
    <row r="66" spans="1:33">
      <c r="A66" s="7"/>
      <c r="B66" s="30"/>
      <c r="C66" s="8">
        <f>IF(B66="","",B66-WEEKDAY(B66,2)+1)</f>
        <v>0</v>
      </c>
      <c r="D66" s="8">
        <f>IF(B66="","",TEXT(B66,"ddd"))</f>
        <v>0</v>
      </c>
      <c r="E66" s="8">
        <f>IF(B66="","",TEXT(B66,"mmm yyyy"))</f>
        <v>0</v>
      </c>
      <c r="F66" s="27"/>
      <c r="G66" s="7"/>
      <c r="H66" s="26"/>
      <c r="I66" s="8">
        <f>IF(G66="","",IFERROR(INDEX(Recipes!$D$5:$D$204,MATCH(G66,Recipes!$A$5:$A$204,0)),""))</f>
        <v>0</v>
      </c>
      <c r="J66" s="8">
        <f>IF(OR(G66="",H66="",I66="",I66=0),"",H66/I66)</f>
        <v>0</v>
      </c>
      <c r="K66" s="8">
        <f>IF(B66="","",Household_Size)</f>
        <v>0</v>
      </c>
      <c r="L66" s="8">
        <f>IF(OR(G66="",H66=""),"",IFERROR(IFERROR(INDEX(Recipes!$H$5:$H$204,MATCH(G66,Recipes!$A$5:$A$204,0)),"")*H66,""))</f>
        <v>0</v>
      </c>
      <c r="M66" s="8">
        <f>IF(OR(G66="",H66=""),"",IFERROR(IFERROR(INDEX(Recipes!$I$5:$I$204,MATCH(G66,Recipes!$A$5:$A$204,0)),"")*H66,""))</f>
        <v>0</v>
      </c>
      <c r="N66" s="8">
        <f>IF(OR(G66="",H66=""),"",IFERROR(IFERROR(INDEX(Recipes!$J$5:$J$204,MATCH(G66,Recipes!$A$5:$A$204,0)),"")*H66,""))</f>
        <v>0</v>
      </c>
      <c r="O66" s="8">
        <f>IF(OR(G66="",H66=""),"",IFERROR(IFERROR(INDEX(Recipes!$K$5:$K$204,MATCH(G66,Recipes!$A$5:$A$204,0)),"")*H66,""))</f>
        <v>0</v>
      </c>
      <c r="P66" s="8">
        <f>IF(OR(G66="",H66=""),"",IFERROR(IFERROR(INDEX(Recipes!$L$5:$L$204,MATCH(G66,Recipes!$A$5:$A$204,0)),"")*H66,""))</f>
        <v>0</v>
      </c>
      <c r="Q66" s="8">
        <f>IF(OR(G66="",H66=""),"",IFERROR(IFERROR(INDEX(Recipes!$Q$5:$Q$204,MATCH(G66,Recipes!$A$5:$A$204,0)),"")*H66,""))</f>
        <v>0</v>
      </c>
      <c r="R66" s="8">
        <f>IF(F66="","",Weekly_Budget/21)</f>
        <v>0</v>
      </c>
      <c r="S66" s="27"/>
      <c r="T66" s="27"/>
      <c r="U66" s="26"/>
      <c r="V66" s="7"/>
      <c r="W66" s="7"/>
      <c r="X66" s="26"/>
      <c r="Y66" s="8">
        <f>IF(G66="","",IF(COUNTIFS('Meal Prep'!$D$5:$D$124,G66)&gt;0,"Yes","No"))</f>
        <v>0</v>
      </c>
      <c r="Z66" s="8">
        <f>IF(G66="","",COUNTIFS('Recipe Ingredients'!$A$5:$A$1204,G66))</f>
        <v>0</v>
      </c>
      <c r="AA66" s="25"/>
      <c r="AB66" s="8">
        <f>IF(OR(B66="",Q66=""),"",COUNTIFS($B$5:$B$504,B66,$Q$5:$Q$504,"&gt;"&amp;Q66)+1)</f>
        <v>0</v>
      </c>
      <c r="AC66" s="8">
        <f>IF(OR(B66="",L66=""),"",COUNTIFS($B$5:$B$504,B66,$L$5:$L$504,"&gt;"&amp;L66)+1)</f>
        <v>0</v>
      </c>
      <c r="AD66" s="8">
        <f>IF(G66="","",IF(COUNTIFS($G$5:$G$504,G66)&gt;1,"Repeat","Once"))</f>
        <v>0</v>
      </c>
      <c r="AE66" s="8">
        <f>IF(G66="","",IF(IFERROR(INDEX(Recipes!$X$5:$X$204,MATCH(G66,Recipes!$A$5:$A$204,0)),"")="","",IFERROR(B66-IFERROR(INDEX(Recipes!$X$5:$X$204,MATCH(G66,Recipes!$A$5:$A$204,0)),""),"")))</f>
        <v>0</v>
      </c>
      <c r="AF66" s="8">
        <f>IF(G66="","",IF(AE66="","Yes",IF(AE66&gt;=Rotation_Gap_Days,"Yes","No")))</f>
        <v>0</v>
      </c>
      <c r="AG66" s="8">
        <f>IF(G66="","",IF(COUNTIFS('Recipe Ingredients'!$A$5:$A$1204,G66,'Recipe Ingredients'!$AC$5:$AC$1204,"Check")&gt;0,"Check","OK"))</f>
        <v>0</v>
      </c>
    </row>
    <row r="67" spans="1:33">
      <c r="A67" s="7"/>
      <c r="B67" s="30"/>
      <c r="C67" s="8">
        <f>IF(B67="","",B67-WEEKDAY(B67,2)+1)</f>
        <v>0</v>
      </c>
      <c r="D67" s="8">
        <f>IF(B67="","",TEXT(B67,"ddd"))</f>
        <v>0</v>
      </c>
      <c r="E67" s="8">
        <f>IF(B67="","",TEXT(B67,"mmm yyyy"))</f>
        <v>0</v>
      </c>
      <c r="F67" s="27"/>
      <c r="G67" s="7"/>
      <c r="H67" s="26"/>
      <c r="I67" s="8">
        <f>IF(G67="","",IFERROR(INDEX(Recipes!$D$5:$D$204,MATCH(G67,Recipes!$A$5:$A$204,0)),""))</f>
        <v>0</v>
      </c>
      <c r="J67" s="8">
        <f>IF(OR(G67="",H67="",I67="",I67=0),"",H67/I67)</f>
        <v>0</v>
      </c>
      <c r="K67" s="8">
        <f>IF(B67="","",Household_Size)</f>
        <v>0</v>
      </c>
      <c r="L67" s="8">
        <f>IF(OR(G67="",H67=""),"",IFERROR(IFERROR(INDEX(Recipes!$H$5:$H$204,MATCH(G67,Recipes!$A$5:$A$204,0)),"")*H67,""))</f>
        <v>0</v>
      </c>
      <c r="M67" s="8">
        <f>IF(OR(G67="",H67=""),"",IFERROR(IFERROR(INDEX(Recipes!$I$5:$I$204,MATCH(G67,Recipes!$A$5:$A$204,0)),"")*H67,""))</f>
        <v>0</v>
      </c>
      <c r="N67" s="8">
        <f>IF(OR(G67="",H67=""),"",IFERROR(IFERROR(INDEX(Recipes!$J$5:$J$204,MATCH(G67,Recipes!$A$5:$A$204,0)),"")*H67,""))</f>
        <v>0</v>
      </c>
      <c r="O67" s="8">
        <f>IF(OR(G67="",H67=""),"",IFERROR(IFERROR(INDEX(Recipes!$K$5:$K$204,MATCH(G67,Recipes!$A$5:$A$204,0)),"")*H67,""))</f>
        <v>0</v>
      </c>
      <c r="P67" s="8">
        <f>IF(OR(G67="",H67=""),"",IFERROR(IFERROR(INDEX(Recipes!$L$5:$L$204,MATCH(G67,Recipes!$A$5:$A$204,0)),"")*H67,""))</f>
        <v>0</v>
      </c>
      <c r="Q67" s="8">
        <f>IF(OR(G67="",H67=""),"",IFERROR(IFERROR(INDEX(Recipes!$Q$5:$Q$204,MATCH(G67,Recipes!$A$5:$A$204,0)),"")*H67,""))</f>
        <v>0</v>
      </c>
      <c r="R67" s="8">
        <f>IF(F67="","",Weekly_Budget/21)</f>
        <v>0</v>
      </c>
      <c r="S67" s="27"/>
      <c r="T67" s="27"/>
      <c r="U67" s="26"/>
      <c r="V67" s="7"/>
      <c r="W67" s="7"/>
      <c r="X67" s="26"/>
      <c r="Y67" s="8">
        <f>IF(G67="","",IF(COUNTIFS('Meal Prep'!$D$5:$D$124,G67)&gt;0,"Yes","No"))</f>
        <v>0</v>
      </c>
      <c r="Z67" s="8">
        <f>IF(G67="","",COUNTIFS('Recipe Ingredients'!$A$5:$A$1204,G67))</f>
        <v>0</v>
      </c>
      <c r="AA67" s="25"/>
      <c r="AB67" s="8">
        <f>IF(OR(B67="",Q67=""),"",COUNTIFS($B$5:$B$504,B67,$Q$5:$Q$504,"&gt;"&amp;Q67)+1)</f>
        <v>0</v>
      </c>
      <c r="AC67" s="8">
        <f>IF(OR(B67="",L67=""),"",COUNTIFS($B$5:$B$504,B67,$L$5:$L$504,"&gt;"&amp;L67)+1)</f>
        <v>0</v>
      </c>
      <c r="AD67" s="8">
        <f>IF(G67="","",IF(COUNTIFS($G$5:$G$504,G67)&gt;1,"Repeat","Once"))</f>
        <v>0</v>
      </c>
      <c r="AE67" s="8">
        <f>IF(G67="","",IF(IFERROR(INDEX(Recipes!$X$5:$X$204,MATCH(G67,Recipes!$A$5:$A$204,0)),"")="","",IFERROR(B67-IFERROR(INDEX(Recipes!$X$5:$X$204,MATCH(G67,Recipes!$A$5:$A$204,0)),""),"")))</f>
        <v>0</v>
      </c>
      <c r="AF67" s="8">
        <f>IF(G67="","",IF(AE67="","Yes",IF(AE67&gt;=Rotation_Gap_Days,"Yes","No")))</f>
        <v>0</v>
      </c>
      <c r="AG67" s="8">
        <f>IF(G67="","",IF(COUNTIFS('Recipe Ingredients'!$A$5:$A$1204,G67,'Recipe Ingredients'!$AC$5:$AC$1204,"Check")&gt;0,"Check","OK"))</f>
        <v>0</v>
      </c>
    </row>
    <row r="68" spans="1:33">
      <c r="A68" s="7"/>
      <c r="B68" s="30"/>
      <c r="C68" s="8">
        <f>IF(B68="","",B68-WEEKDAY(B68,2)+1)</f>
        <v>0</v>
      </c>
      <c r="D68" s="8">
        <f>IF(B68="","",TEXT(B68,"ddd"))</f>
        <v>0</v>
      </c>
      <c r="E68" s="8">
        <f>IF(B68="","",TEXT(B68,"mmm yyyy"))</f>
        <v>0</v>
      </c>
      <c r="F68" s="27"/>
      <c r="G68" s="7"/>
      <c r="H68" s="26"/>
      <c r="I68" s="8">
        <f>IF(G68="","",IFERROR(INDEX(Recipes!$D$5:$D$204,MATCH(G68,Recipes!$A$5:$A$204,0)),""))</f>
        <v>0</v>
      </c>
      <c r="J68" s="8">
        <f>IF(OR(G68="",H68="",I68="",I68=0),"",H68/I68)</f>
        <v>0</v>
      </c>
      <c r="K68" s="8">
        <f>IF(B68="","",Household_Size)</f>
        <v>0</v>
      </c>
      <c r="L68" s="8">
        <f>IF(OR(G68="",H68=""),"",IFERROR(IFERROR(INDEX(Recipes!$H$5:$H$204,MATCH(G68,Recipes!$A$5:$A$204,0)),"")*H68,""))</f>
        <v>0</v>
      </c>
      <c r="M68" s="8">
        <f>IF(OR(G68="",H68=""),"",IFERROR(IFERROR(INDEX(Recipes!$I$5:$I$204,MATCH(G68,Recipes!$A$5:$A$204,0)),"")*H68,""))</f>
        <v>0</v>
      </c>
      <c r="N68" s="8">
        <f>IF(OR(G68="",H68=""),"",IFERROR(IFERROR(INDEX(Recipes!$J$5:$J$204,MATCH(G68,Recipes!$A$5:$A$204,0)),"")*H68,""))</f>
        <v>0</v>
      </c>
      <c r="O68" s="8">
        <f>IF(OR(G68="",H68=""),"",IFERROR(IFERROR(INDEX(Recipes!$K$5:$K$204,MATCH(G68,Recipes!$A$5:$A$204,0)),"")*H68,""))</f>
        <v>0</v>
      </c>
      <c r="P68" s="8">
        <f>IF(OR(G68="",H68=""),"",IFERROR(IFERROR(INDEX(Recipes!$L$5:$L$204,MATCH(G68,Recipes!$A$5:$A$204,0)),"")*H68,""))</f>
        <v>0</v>
      </c>
      <c r="Q68" s="8">
        <f>IF(OR(G68="",H68=""),"",IFERROR(IFERROR(INDEX(Recipes!$Q$5:$Q$204,MATCH(G68,Recipes!$A$5:$A$204,0)),"")*H68,""))</f>
        <v>0</v>
      </c>
      <c r="R68" s="8">
        <f>IF(F68="","",Weekly_Budget/21)</f>
        <v>0</v>
      </c>
      <c r="S68" s="27"/>
      <c r="T68" s="27"/>
      <c r="U68" s="26"/>
      <c r="V68" s="7"/>
      <c r="W68" s="7"/>
      <c r="X68" s="26"/>
      <c r="Y68" s="8">
        <f>IF(G68="","",IF(COUNTIFS('Meal Prep'!$D$5:$D$124,G68)&gt;0,"Yes","No"))</f>
        <v>0</v>
      </c>
      <c r="Z68" s="8">
        <f>IF(G68="","",COUNTIFS('Recipe Ingredients'!$A$5:$A$1204,G68))</f>
        <v>0</v>
      </c>
      <c r="AA68" s="25"/>
      <c r="AB68" s="8">
        <f>IF(OR(B68="",Q68=""),"",COUNTIFS($B$5:$B$504,B68,$Q$5:$Q$504,"&gt;"&amp;Q68)+1)</f>
        <v>0</v>
      </c>
      <c r="AC68" s="8">
        <f>IF(OR(B68="",L68=""),"",COUNTIFS($B$5:$B$504,B68,$L$5:$L$504,"&gt;"&amp;L68)+1)</f>
        <v>0</v>
      </c>
      <c r="AD68" s="8">
        <f>IF(G68="","",IF(COUNTIFS($G$5:$G$504,G68)&gt;1,"Repeat","Once"))</f>
        <v>0</v>
      </c>
      <c r="AE68" s="8">
        <f>IF(G68="","",IF(IFERROR(INDEX(Recipes!$X$5:$X$204,MATCH(G68,Recipes!$A$5:$A$204,0)),"")="","",IFERROR(B68-IFERROR(INDEX(Recipes!$X$5:$X$204,MATCH(G68,Recipes!$A$5:$A$204,0)),""),"")))</f>
        <v>0</v>
      </c>
      <c r="AF68" s="8">
        <f>IF(G68="","",IF(AE68="","Yes",IF(AE68&gt;=Rotation_Gap_Days,"Yes","No")))</f>
        <v>0</v>
      </c>
      <c r="AG68" s="8">
        <f>IF(G68="","",IF(COUNTIFS('Recipe Ingredients'!$A$5:$A$1204,G68,'Recipe Ingredients'!$AC$5:$AC$1204,"Check")&gt;0,"Check","OK"))</f>
        <v>0</v>
      </c>
    </row>
    <row r="69" spans="1:33">
      <c r="A69" s="7"/>
      <c r="B69" s="30"/>
      <c r="C69" s="8">
        <f>IF(B69="","",B69-WEEKDAY(B69,2)+1)</f>
        <v>0</v>
      </c>
      <c r="D69" s="8">
        <f>IF(B69="","",TEXT(B69,"ddd"))</f>
        <v>0</v>
      </c>
      <c r="E69" s="8">
        <f>IF(B69="","",TEXT(B69,"mmm yyyy"))</f>
        <v>0</v>
      </c>
      <c r="F69" s="27"/>
      <c r="G69" s="7"/>
      <c r="H69" s="26"/>
      <c r="I69" s="8">
        <f>IF(G69="","",IFERROR(INDEX(Recipes!$D$5:$D$204,MATCH(G69,Recipes!$A$5:$A$204,0)),""))</f>
        <v>0</v>
      </c>
      <c r="J69" s="8">
        <f>IF(OR(G69="",H69="",I69="",I69=0),"",H69/I69)</f>
        <v>0</v>
      </c>
      <c r="K69" s="8">
        <f>IF(B69="","",Household_Size)</f>
        <v>0</v>
      </c>
      <c r="L69" s="8">
        <f>IF(OR(G69="",H69=""),"",IFERROR(IFERROR(INDEX(Recipes!$H$5:$H$204,MATCH(G69,Recipes!$A$5:$A$204,0)),"")*H69,""))</f>
        <v>0</v>
      </c>
      <c r="M69" s="8">
        <f>IF(OR(G69="",H69=""),"",IFERROR(IFERROR(INDEX(Recipes!$I$5:$I$204,MATCH(G69,Recipes!$A$5:$A$204,0)),"")*H69,""))</f>
        <v>0</v>
      </c>
      <c r="N69" s="8">
        <f>IF(OR(G69="",H69=""),"",IFERROR(IFERROR(INDEX(Recipes!$J$5:$J$204,MATCH(G69,Recipes!$A$5:$A$204,0)),"")*H69,""))</f>
        <v>0</v>
      </c>
      <c r="O69" s="8">
        <f>IF(OR(G69="",H69=""),"",IFERROR(IFERROR(INDEX(Recipes!$K$5:$K$204,MATCH(G69,Recipes!$A$5:$A$204,0)),"")*H69,""))</f>
        <v>0</v>
      </c>
      <c r="P69" s="8">
        <f>IF(OR(G69="",H69=""),"",IFERROR(IFERROR(INDEX(Recipes!$L$5:$L$204,MATCH(G69,Recipes!$A$5:$A$204,0)),"")*H69,""))</f>
        <v>0</v>
      </c>
      <c r="Q69" s="8">
        <f>IF(OR(G69="",H69=""),"",IFERROR(IFERROR(INDEX(Recipes!$Q$5:$Q$204,MATCH(G69,Recipes!$A$5:$A$204,0)),"")*H69,""))</f>
        <v>0</v>
      </c>
      <c r="R69" s="8">
        <f>IF(F69="","",Weekly_Budget/21)</f>
        <v>0</v>
      </c>
      <c r="S69" s="27"/>
      <c r="T69" s="27"/>
      <c r="U69" s="26"/>
      <c r="V69" s="7"/>
      <c r="W69" s="7"/>
      <c r="X69" s="26"/>
      <c r="Y69" s="8">
        <f>IF(G69="","",IF(COUNTIFS('Meal Prep'!$D$5:$D$124,G69)&gt;0,"Yes","No"))</f>
        <v>0</v>
      </c>
      <c r="Z69" s="8">
        <f>IF(G69="","",COUNTIFS('Recipe Ingredients'!$A$5:$A$1204,G69))</f>
        <v>0</v>
      </c>
      <c r="AA69" s="25"/>
      <c r="AB69" s="8">
        <f>IF(OR(B69="",Q69=""),"",COUNTIFS($B$5:$B$504,B69,$Q$5:$Q$504,"&gt;"&amp;Q69)+1)</f>
        <v>0</v>
      </c>
      <c r="AC69" s="8">
        <f>IF(OR(B69="",L69=""),"",COUNTIFS($B$5:$B$504,B69,$L$5:$L$504,"&gt;"&amp;L69)+1)</f>
        <v>0</v>
      </c>
      <c r="AD69" s="8">
        <f>IF(G69="","",IF(COUNTIFS($G$5:$G$504,G69)&gt;1,"Repeat","Once"))</f>
        <v>0</v>
      </c>
      <c r="AE69" s="8">
        <f>IF(G69="","",IF(IFERROR(INDEX(Recipes!$X$5:$X$204,MATCH(G69,Recipes!$A$5:$A$204,0)),"")="","",IFERROR(B69-IFERROR(INDEX(Recipes!$X$5:$X$204,MATCH(G69,Recipes!$A$5:$A$204,0)),""),"")))</f>
        <v>0</v>
      </c>
      <c r="AF69" s="8">
        <f>IF(G69="","",IF(AE69="","Yes",IF(AE69&gt;=Rotation_Gap_Days,"Yes","No")))</f>
        <v>0</v>
      </c>
      <c r="AG69" s="8">
        <f>IF(G69="","",IF(COUNTIFS('Recipe Ingredients'!$A$5:$A$1204,G69,'Recipe Ingredients'!$AC$5:$AC$1204,"Check")&gt;0,"Check","OK"))</f>
        <v>0</v>
      </c>
    </row>
    <row r="70" spans="1:33">
      <c r="A70" s="7"/>
      <c r="B70" s="30"/>
      <c r="C70" s="8">
        <f>IF(B70="","",B70-WEEKDAY(B70,2)+1)</f>
        <v>0</v>
      </c>
      <c r="D70" s="8">
        <f>IF(B70="","",TEXT(B70,"ddd"))</f>
        <v>0</v>
      </c>
      <c r="E70" s="8">
        <f>IF(B70="","",TEXT(B70,"mmm yyyy"))</f>
        <v>0</v>
      </c>
      <c r="F70" s="27"/>
      <c r="G70" s="7"/>
      <c r="H70" s="26"/>
      <c r="I70" s="8">
        <f>IF(G70="","",IFERROR(INDEX(Recipes!$D$5:$D$204,MATCH(G70,Recipes!$A$5:$A$204,0)),""))</f>
        <v>0</v>
      </c>
      <c r="J70" s="8">
        <f>IF(OR(G70="",H70="",I70="",I70=0),"",H70/I70)</f>
        <v>0</v>
      </c>
      <c r="K70" s="8">
        <f>IF(B70="","",Household_Size)</f>
        <v>0</v>
      </c>
      <c r="L70" s="8">
        <f>IF(OR(G70="",H70=""),"",IFERROR(IFERROR(INDEX(Recipes!$H$5:$H$204,MATCH(G70,Recipes!$A$5:$A$204,0)),"")*H70,""))</f>
        <v>0</v>
      </c>
      <c r="M70" s="8">
        <f>IF(OR(G70="",H70=""),"",IFERROR(IFERROR(INDEX(Recipes!$I$5:$I$204,MATCH(G70,Recipes!$A$5:$A$204,0)),"")*H70,""))</f>
        <v>0</v>
      </c>
      <c r="N70" s="8">
        <f>IF(OR(G70="",H70=""),"",IFERROR(IFERROR(INDEX(Recipes!$J$5:$J$204,MATCH(G70,Recipes!$A$5:$A$204,0)),"")*H70,""))</f>
        <v>0</v>
      </c>
      <c r="O70" s="8">
        <f>IF(OR(G70="",H70=""),"",IFERROR(IFERROR(INDEX(Recipes!$K$5:$K$204,MATCH(G70,Recipes!$A$5:$A$204,0)),"")*H70,""))</f>
        <v>0</v>
      </c>
      <c r="P70" s="8">
        <f>IF(OR(G70="",H70=""),"",IFERROR(IFERROR(INDEX(Recipes!$L$5:$L$204,MATCH(G70,Recipes!$A$5:$A$204,0)),"")*H70,""))</f>
        <v>0</v>
      </c>
      <c r="Q70" s="8">
        <f>IF(OR(G70="",H70=""),"",IFERROR(IFERROR(INDEX(Recipes!$Q$5:$Q$204,MATCH(G70,Recipes!$A$5:$A$204,0)),"")*H70,""))</f>
        <v>0</v>
      </c>
      <c r="R70" s="8">
        <f>IF(F70="","",Weekly_Budget/21)</f>
        <v>0</v>
      </c>
      <c r="S70" s="27"/>
      <c r="T70" s="27"/>
      <c r="U70" s="26"/>
      <c r="V70" s="7"/>
      <c r="W70" s="7"/>
      <c r="X70" s="26"/>
      <c r="Y70" s="8">
        <f>IF(G70="","",IF(COUNTIFS('Meal Prep'!$D$5:$D$124,G70)&gt;0,"Yes","No"))</f>
        <v>0</v>
      </c>
      <c r="Z70" s="8">
        <f>IF(G70="","",COUNTIFS('Recipe Ingredients'!$A$5:$A$1204,G70))</f>
        <v>0</v>
      </c>
      <c r="AA70" s="25"/>
      <c r="AB70" s="8">
        <f>IF(OR(B70="",Q70=""),"",COUNTIFS($B$5:$B$504,B70,$Q$5:$Q$504,"&gt;"&amp;Q70)+1)</f>
        <v>0</v>
      </c>
      <c r="AC70" s="8">
        <f>IF(OR(B70="",L70=""),"",COUNTIFS($B$5:$B$504,B70,$L$5:$L$504,"&gt;"&amp;L70)+1)</f>
        <v>0</v>
      </c>
      <c r="AD70" s="8">
        <f>IF(G70="","",IF(COUNTIFS($G$5:$G$504,G70)&gt;1,"Repeat","Once"))</f>
        <v>0</v>
      </c>
      <c r="AE70" s="8">
        <f>IF(G70="","",IF(IFERROR(INDEX(Recipes!$X$5:$X$204,MATCH(G70,Recipes!$A$5:$A$204,0)),"")="","",IFERROR(B70-IFERROR(INDEX(Recipes!$X$5:$X$204,MATCH(G70,Recipes!$A$5:$A$204,0)),""),"")))</f>
        <v>0</v>
      </c>
      <c r="AF70" s="8">
        <f>IF(G70="","",IF(AE70="","Yes",IF(AE70&gt;=Rotation_Gap_Days,"Yes","No")))</f>
        <v>0</v>
      </c>
      <c r="AG70" s="8">
        <f>IF(G70="","",IF(COUNTIFS('Recipe Ingredients'!$A$5:$A$1204,G70,'Recipe Ingredients'!$AC$5:$AC$1204,"Check")&gt;0,"Check","OK"))</f>
        <v>0</v>
      </c>
    </row>
    <row r="71" spans="1:33">
      <c r="A71" s="7"/>
      <c r="B71" s="30"/>
      <c r="C71" s="8">
        <f>IF(B71="","",B71-WEEKDAY(B71,2)+1)</f>
        <v>0</v>
      </c>
      <c r="D71" s="8">
        <f>IF(B71="","",TEXT(B71,"ddd"))</f>
        <v>0</v>
      </c>
      <c r="E71" s="8">
        <f>IF(B71="","",TEXT(B71,"mmm yyyy"))</f>
        <v>0</v>
      </c>
      <c r="F71" s="27"/>
      <c r="G71" s="7"/>
      <c r="H71" s="26"/>
      <c r="I71" s="8">
        <f>IF(G71="","",IFERROR(INDEX(Recipes!$D$5:$D$204,MATCH(G71,Recipes!$A$5:$A$204,0)),""))</f>
        <v>0</v>
      </c>
      <c r="J71" s="8">
        <f>IF(OR(G71="",H71="",I71="",I71=0),"",H71/I71)</f>
        <v>0</v>
      </c>
      <c r="K71" s="8">
        <f>IF(B71="","",Household_Size)</f>
        <v>0</v>
      </c>
      <c r="L71" s="8">
        <f>IF(OR(G71="",H71=""),"",IFERROR(IFERROR(INDEX(Recipes!$H$5:$H$204,MATCH(G71,Recipes!$A$5:$A$204,0)),"")*H71,""))</f>
        <v>0</v>
      </c>
      <c r="M71" s="8">
        <f>IF(OR(G71="",H71=""),"",IFERROR(IFERROR(INDEX(Recipes!$I$5:$I$204,MATCH(G71,Recipes!$A$5:$A$204,0)),"")*H71,""))</f>
        <v>0</v>
      </c>
      <c r="N71" s="8">
        <f>IF(OR(G71="",H71=""),"",IFERROR(IFERROR(INDEX(Recipes!$J$5:$J$204,MATCH(G71,Recipes!$A$5:$A$204,0)),"")*H71,""))</f>
        <v>0</v>
      </c>
      <c r="O71" s="8">
        <f>IF(OR(G71="",H71=""),"",IFERROR(IFERROR(INDEX(Recipes!$K$5:$K$204,MATCH(G71,Recipes!$A$5:$A$204,0)),"")*H71,""))</f>
        <v>0</v>
      </c>
      <c r="P71" s="8">
        <f>IF(OR(G71="",H71=""),"",IFERROR(IFERROR(INDEX(Recipes!$L$5:$L$204,MATCH(G71,Recipes!$A$5:$A$204,0)),"")*H71,""))</f>
        <v>0</v>
      </c>
      <c r="Q71" s="8">
        <f>IF(OR(G71="",H71=""),"",IFERROR(IFERROR(INDEX(Recipes!$Q$5:$Q$204,MATCH(G71,Recipes!$A$5:$A$204,0)),"")*H71,""))</f>
        <v>0</v>
      </c>
      <c r="R71" s="8">
        <f>IF(F71="","",Weekly_Budget/21)</f>
        <v>0</v>
      </c>
      <c r="S71" s="27"/>
      <c r="T71" s="27"/>
      <c r="U71" s="26"/>
      <c r="V71" s="7"/>
      <c r="W71" s="7"/>
      <c r="X71" s="26"/>
      <c r="Y71" s="8">
        <f>IF(G71="","",IF(COUNTIFS('Meal Prep'!$D$5:$D$124,G71)&gt;0,"Yes","No"))</f>
        <v>0</v>
      </c>
      <c r="Z71" s="8">
        <f>IF(G71="","",COUNTIFS('Recipe Ingredients'!$A$5:$A$1204,G71))</f>
        <v>0</v>
      </c>
      <c r="AA71" s="25"/>
      <c r="AB71" s="8">
        <f>IF(OR(B71="",Q71=""),"",COUNTIFS($B$5:$B$504,B71,$Q$5:$Q$504,"&gt;"&amp;Q71)+1)</f>
        <v>0</v>
      </c>
      <c r="AC71" s="8">
        <f>IF(OR(B71="",L71=""),"",COUNTIFS($B$5:$B$504,B71,$L$5:$L$504,"&gt;"&amp;L71)+1)</f>
        <v>0</v>
      </c>
      <c r="AD71" s="8">
        <f>IF(G71="","",IF(COUNTIFS($G$5:$G$504,G71)&gt;1,"Repeat","Once"))</f>
        <v>0</v>
      </c>
      <c r="AE71" s="8">
        <f>IF(G71="","",IF(IFERROR(INDEX(Recipes!$X$5:$X$204,MATCH(G71,Recipes!$A$5:$A$204,0)),"")="","",IFERROR(B71-IFERROR(INDEX(Recipes!$X$5:$X$204,MATCH(G71,Recipes!$A$5:$A$204,0)),""),"")))</f>
        <v>0</v>
      </c>
      <c r="AF71" s="8">
        <f>IF(G71="","",IF(AE71="","Yes",IF(AE71&gt;=Rotation_Gap_Days,"Yes","No")))</f>
        <v>0</v>
      </c>
      <c r="AG71" s="8">
        <f>IF(G71="","",IF(COUNTIFS('Recipe Ingredients'!$A$5:$A$1204,G71,'Recipe Ingredients'!$AC$5:$AC$1204,"Check")&gt;0,"Check","OK"))</f>
        <v>0</v>
      </c>
    </row>
    <row r="72" spans="1:33">
      <c r="A72" s="7"/>
      <c r="B72" s="30"/>
      <c r="C72" s="8">
        <f>IF(B72="","",B72-WEEKDAY(B72,2)+1)</f>
        <v>0</v>
      </c>
      <c r="D72" s="8">
        <f>IF(B72="","",TEXT(B72,"ddd"))</f>
        <v>0</v>
      </c>
      <c r="E72" s="8">
        <f>IF(B72="","",TEXT(B72,"mmm yyyy"))</f>
        <v>0</v>
      </c>
      <c r="F72" s="27"/>
      <c r="G72" s="7"/>
      <c r="H72" s="26"/>
      <c r="I72" s="8">
        <f>IF(G72="","",IFERROR(INDEX(Recipes!$D$5:$D$204,MATCH(G72,Recipes!$A$5:$A$204,0)),""))</f>
        <v>0</v>
      </c>
      <c r="J72" s="8">
        <f>IF(OR(G72="",H72="",I72="",I72=0),"",H72/I72)</f>
        <v>0</v>
      </c>
      <c r="K72" s="8">
        <f>IF(B72="","",Household_Size)</f>
        <v>0</v>
      </c>
      <c r="L72" s="8">
        <f>IF(OR(G72="",H72=""),"",IFERROR(IFERROR(INDEX(Recipes!$H$5:$H$204,MATCH(G72,Recipes!$A$5:$A$204,0)),"")*H72,""))</f>
        <v>0</v>
      </c>
      <c r="M72" s="8">
        <f>IF(OR(G72="",H72=""),"",IFERROR(IFERROR(INDEX(Recipes!$I$5:$I$204,MATCH(G72,Recipes!$A$5:$A$204,0)),"")*H72,""))</f>
        <v>0</v>
      </c>
      <c r="N72" s="8">
        <f>IF(OR(G72="",H72=""),"",IFERROR(IFERROR(INDEX(Recipes!$J$5:$J$204,MATCH(G72,Recipes!$A$5:$A$204,0)),"")*H72,""))</f>
        <v>0</v>
      </c>
      <c r="O72" s="8">
        <f>IF(OR(G72="",H72=""),"",IFERROR(IFERROR(INDEX(Recipes!$K$5:$K$204,MATCH(G72,Recipes!$A$5:$A$204,0)),"")*H72,""))</f>
        <v>0</v>
      </c>
      <c r="P72" s="8">
        <f>IF(OR(G72="",H72=""),"",IFERROR(IFERROR(INDEX(Recipes!$L$5:$L$204,MATCH(G72,Recipes!$A$5:$A$204,0)),"")*H72,""))</f>
        <v>0</v>
      </c>
      <c r="Q72" s="8">
        <f>IF(OR(G72="",H72=""),"",IFERROR(IFERROR(INDEX(Recipes!$Q$5:$Q$204,MATCH(G72,Recipes!$A$5:$A$204,0)),"")*H72,""))</f>
        <v>0</v>
      </c>
      <c r="R72" s="8">
        <f>IF(F72="","",Weekly_Budget/21)</f>
        <v>0</v>
      </c>
      <c r="S72" s="27"/>
      <c r="T72" s="27"/>
      <c r="U72" s="26"/>
      <c r="V72" s="7"/>
      <c r="W72" s="7"/>
      <c r="X72" s="26"/>
      <c r="Y72" s="8">
        <f>IF(G72="","",IF(COUNTIFS('Meal Prep'!$D$5:$D$124,G72)&gt;0,"Yes","No"))</f>
        <v>0</v>
      </c>
      <c r="Z72" s="8">
        <f>IF(G72="","",COUNTIFS('Recipe Ingredients'!$A$5:$A$1204,G72))</f>
        <v>0</v>
      </c>
      <c r="AA72" s="25"/>
      <c r="AB72" s="8">
        <f>IF(OR(B72="",Q72=""),"",COUNTIFS($B$5:$B$504,B72,$Q$5:$Q$504,"&gt;"&amp;Q72)+1)</f>
        <v>0</v>
      </c>
      <c r="AC72" s="8">
        <f>IF(OR(B72="",L72=""),"",COUNTIFS($B$5:$B$504,B72,$L$5:$L$504,"&gt;"&amp;L72)+1)</f>
        <v>0</v>
      </c>
      <c r="AD72" s="8">
        <f>IF(G72="","",IF(COUNTIFS($G$5:$G$504,G72)&gt;1,"Repeat","Once"))</f>
        <v>0</v>
      </c>
      <c r="AE72" s="8">
        <f>IF(G72="","",IF(IFERROR(INDEX(Recipes!$X$5:$X$204,MATCH(G72,Recipes!$A$5:$A$204,0)),"")="","",IFERROR(B72-IFERROR(INDEX(Recipes!$X$5:$X$204,MATCH(G72,Recipes!$A$5:$A$204,0)),""),"")))</f>
        <v>0</v>
      </c>
      <c r="AF72" s="8">
        <f>IF(G72="","",IF(AE72="","Yes",IF(AE72&gt;=Rotation_Gap_Days,"Yes","No")))</f>
        <v>0</v>
      </c>
      <c r="AG72" s="8">
        <f>IF(G72="","",IF(COUNTIFS('Recipe Ingredients'!$A$5:$A$1204,G72,'Recipe Ingredients'!$AC$5:$AC$1204,"Check")&gt;0,"Check","OK"))</f>
        <v>0</v>
      </c>
    </row>
    <row r="73" spans="1:33">
      <c r="A73" s="7"/>
      <c r="B73" s="30"/>
      <c r="C73" s="8">
        <f>IF(B73="","",B73-WEEKDAY(B73,2)+1)</f>
        <v>0</v>
      </c>
      <c r="D73" s="8">
        <f>IF(B73="","",TEXT(B73,"ddd"))</f>
        <v>0</v>
      </c>
      <c r="E73" s="8">
        <f>IF(B73="","",TEXT(B73,"mmm yyyy"))</f>
        <v>0</v>
      </c>
      <c r="F73" s="27"/>
      <c r="G73" s="7"/>
      <c r="H73" s="26"/>
      <c r="I73" s="8">
        <f>IF(G73="","",IFERROR(INDEX(Recipes!$D$5:$D$204,MATCH(G73,Recipes!$A$5:$A$204,0)),""))</f>
        <v>0</v>
      </c>
      <c r="J73" s="8">
        <f>IF(OR(G73="",H73="",I73="",I73=0),"",H73/I73)</f>
        <v>0</v>
      </c>
      <c r="K73" s="8">
        <f>IF(B73="","",Household_Size)</f>
        <v>0</v>
      </c>
      <c r="L73" s="8">
        <f>IF(OR(G73="",H73=""),"",IFERROR(IFERROR(INDEX(Recipes!$H$5:$H$204,MATCH(G73,Recipes!$A$5:$A$204,0)),"")*H73,""))</f>
        <v>0</v>
      </c>
      <c r="M73" s="8">
        <f>IF(OR(G73="",H73=""),"",IFERROR(IFERROR(INDEX(Recipes!$I$5:$I$204,MATCH(G73,Recipes!$A$5:$A$204,0)),"")*H73,""))</f>
        <v>0</v>
      </c>
      <c r="N73" s="8">
        <f>IF(OR(G73="",H73=""),"",IFERROR(IFERROR(INDEX(Recipes!$J$5:$J$204,MATCH(G73,Recipes!$A$5:$A$204,0)),"")*H73,""))</f>
        <v>0</v>
      </c>
      <c r="O73" s="8">
        <f>IF(OR(G73="",H73=""),"",IFERROR(IFERROR(INDEX(Recipes!$K$5:$K$204,MATCH(G73,Recipes!$A$5:$A$204,0)),"")*H73,""))</f>
        <v>0</v>
      </c>
      <c r="P73" s="8">
        <f>IF(OR(G73="",H73=""),"",IFERROR(IFERROR(INDEX(Recipes!$L$5:$L$204,MATCH(G73,Recipes!$A$5:$A$204,0)),"")*H73,""))</f>
        <v>0</v>
      </c>
      <c r="Q73" s="8">
        <f>IF(OR(G73="",H73=""),"",IFERROR(IFERROR(INDEX(Recipes!$Q$5:$Q$204,MATCH(G73,Recipes!$A$5:$A$204,0)),"")*H73,""))</f>
        <v>0</v>
      </c>
      <c r="R73" s="8">
        <f>IF(F73="","",Weekly_Budget/21)</f>
        <v>0</v>
      </c>
      <c r="S73" s="27"/>
      <c r="T73" s="27"/>
      <c r="U73" s="26"/>
      <c r="V73" s="7"/>
      <c r="W73" s="7"/>
      <c r="X73" s="26"/>
      <c r="Y73" s="8">
        <f>IF(G73="","",IF(COUNTIFS('Meal Prep'!$D$5:$D$124,G73)&gt;0,"Yes","No"))</f>
        <v>0</v>
      </c>
      <c r="Z73" s="8">
        <f>IF(G73="","",COUNTIFS('Recipe Ingredients'!$A$5:$A$1204,G73))</f>
        <v>0</v>
      </c>
      <c r="AA73" s="25"/>
      <c r="AB73" s="8">
        <f>IF(OR(B73="",Q73=""),"",COUNTIFS($B$5:$B$504,B73,$Q$5:$Q$504,"&gt;"&amp;Q73)+1)</f>
        <v>0</v>
      </c>
      <c r="AC73" s="8">
        <f>IF(OR(B73="",L73=""),"",COUNTIFS($B$5:$B$504,B73,$L$5:$L$504,"&gt;"&amp;L73)+1)</f>
        <v>0</v>
      </c>
      <c r="AD73" s="8">
        <f>IF(G73="","",IF(COUNTIFS($G$5:$G$504,G73)&gt;1,"Repeat","Once"))</f>
        <v>0</v>
      </c>
      <c r="AE73" s="8">
        <f>IF(G73="","",IF(IFERROR(INDEX(Recipes!$X$5:$X$204,MATCH(G73,Recipes!$A$5:$A$204,0)),"")="","",IFERROR(B73-IFERROR(INDEX(Recipes!$X$5:$X$204,MATCH(G73,Recipes!$A$5:$A$204,0)),""),"")))</f>
        <v>0</v>
      </c>
      <c r="AF73" s="8">
        <f>IF(G73="","",IF(AE73="","Yes",IF(AE73&gt;=Rotation_Gap_Days,"Yes","No")))</f>
        <v>0</v>
      </c>
      <c r="AG73" s="8">
        <f>IF(G73="","",IF(COUNTIFS('Recipe Ingredients'!$A$5:$A$1204,G73,'Recipe Ingredients'!$AC$5:$AC$1204,"Check")&gt;0,"Check","OK"))</f>
        <v>0</v>
      </c>
    </row>
    <row r="74" spans="1:33">
      <c r="A74" s="7"/>
      <c r="B74" s="30"/>
      <c r="C74" s="8">
        <f>IF(B74="","",B74-WEEKDAY(B74,2)+1)</f>
        <v>0</v>
      </c>
      <c r="D74" s="8">
        <f>IF(B74="","",TEXT(B74,"ddd"))</f>
        <v>0</v>
      </c>
      <c r="E74" s="8">
        <f>IF(B74="","",TEXT(B74,"mmm yyyy"))</f>
        <v>0</v>
      </c>
      <c r="F74" s="27"/>
      <c r="G74" s="7"/>
      <c r="H74" s="26"/>
      <c r="I74" s="8">
        <f>IF(G74="","",IFERROR(INDEX(Recipes!$D$5:$D$204,MATCH(G74,Recipes!$A$5:$A$204,0)),""))</f>
        <v>0</v>
      </c>
      <c r="J74" s="8">
        <f>IF(OR(G74="",H74="",I74="",I74=0),"",H74/I74)</f>
        <v>0</v>
      </c>
      <c r="K74" s="8">
        <f>IF(B74="","",Household_Size)</f>
        <v>0</v>
      </c>
      <c r="L74" s="8">
        <f>IF(OR(G74="",H74=""),"",IFERROR(IFERROR(INDEX(Recipes!$H$5:$H$204,MATCH(G74,Recipes!$A$5:$A$204,0)),"")*H74,""))</f>
        <v>0</v>
      </c>
      <c r="M74" s="8">
        <f>IF(OR(G74="",H74=""),"",IFERROR(IFERROR(INDEX(Recipes!$I$5:$I$204,MATCH(G74,Recipes!$A$5:$A$204,0)),"")*H74,""))</f>
        <v>0</v>
      </c>
      <c r="N74" s="8">
        <f>IF(OR(G74="",H74=""),"",IFERROR(IFERROR(INDEX(Recipes!$J$5:$J$204,MATCH(G74,Recipes!$A$5:$A$204,0)),"")*H74,""))</f>
        <v>0</v>
      </c>
      <c r="O74" s="8">
        <f>IF(OR(G74="",H74=""),"",IFERROR(IFERROR(INDEX(Recipes!$K$5:$K$204,MATCH(G74,Recipes!$A$5:$A$204,0)),"")*H74,""))</f>
        <v>0</v>
      </c>
      <c r="P74" s="8">
        <f>IF(OR(G74="",H74=""),"",IFERROR(IFERROR(INDEX(Recipes!$L$5:$L$204,MATCH(G74,Recipes!$A$5:$A$204,0)),"")*H74,""))</f>
        <v>0</v>
      </c>
      <c r="Q74" s="8">
        <f>IF(OR(G74="",H74=""),"",IFERROR(IFERROR(INDEX(Recipes!$Q$5:$Q$204,MATCH(G74,Recipes!$A$5:$A$204,0)),"")*H74,""))</f>
        <v>0</v>
      </c>
      <c r="R74" s="8">
        <f>IF(F74="","",Weekly_Budget/21)</f>
        <v>0</v>
      </c>
      <c r="S74" s="27"/>
      <c r="T74" s="27"/>
      <c r="U74" s="26"/>
      <c r="V74" s="7"/>
      <c r="W74" s="7"/>
      <c r="X74" s="26"/>
      <c r="Y74" s="8">
        <f>IF(G74="","",IF(COUNTIFS('Meal Prep'!$D$5:$D$124,G74)&gt;0,"Yes","No"))</f>
        <v>0</v>
      </c>
      <c r="Z74" s="8">
        <f>IF(G74="","",COUNTIFS('Recipe Ingredients'!$A$5:$A$1204,G74))</f>
        <v>0</v>
      </c>
      <c r="AA74" s="25"/>
      <c r="AB74" s="8">
        <f>IF(OR(B74="",Q74=""),"",COUNTIFS($B$5:$B$504,B74,$Q$5:$Q$504,"&gt;"&amp;Q74)+1)</f>
        <v>0</v>
      </c>
      <c r="AC74" s="8">
        <f>IF(OR(B74="",L74=""),"",COUNTIFS($B$5:$B$504,B74,$L$5:$L$504,"&gt;"&amp;L74)+1)</f>
        <v>0</v>
      </c>
      <c r="AD74" s="8">
        <f>IF(G74="","",IF(COUNTIFS($G$5:$G$504,G74)&gt;1,"Repeat","Once"))</f>
        <v>0</v>
      </c>
      <c r="AE74" s="8">
        <f>IF(G74="","",IF(IFERROR(INDEX(Recipes!$X$5:$X$204,MATCH(G74,Recipes!$A$5:$A$204,0)),"")="","",IFERROR(B74-IFERROR(INDEX(Recipes!$X$5:$X$204,MATCH(G74,Recipes!$A$5:$A$204,0)),""),"")))</f>
        <v>0</v>
      </c>
      <c r="AF74" s="8">
        <f>IF(G74="","",IF(AE74="","Yes",IF(AE74&gt;=Rotation_Gap_Days,"Yes","No")))</f>
        <v>0</v>
      </c>
      <c r="AG74" s="8">
        <f>IF(G74="","",IF(COUNTIFS('Recipe Ingredients'!$A$5:$A$1204,G74,'Recipe Ingredients'!$AC$5:$AC$1204,"Check")&gt;0,"Check","OK"))</f>
        <v>0</v>
      </c>
    </row>
    <row r="75" spans="1:33">
      <c r="A75" s="7"/>
      <c r="B75" s="30"/>
      <c r="C75" s="8">
        <f>IF(B75="","",B75-WEEKDAY(B75,2)+1)</f>
        <v>0</v>
      </c>
      <c r="D75" s="8">
        <f>IF(B75="","",TEXT(B75,"ddd"))</f>
        <v>0</v>
      </c>
      <c r="E75" s="8">
        <f>IF(B75="","",TEXT(B75,"mmm yyyy"))</f>
        <v>0</v>
      </c>
      <c r="F75" s="27"/>
      <c r="G75" s="7"/>
      <c r="H75" s="26"/>
      <c r="I75" s="8">
        <f>IF(G75="","",IFERROR(INDEX(Recipes!$D$5:$D$204,MATCH(G75,Recipes!$A$5:$A$204,0)),""))</f>
        <v>0</v>
      </c>
      <c r="J75" s="8">
        <f>IF(OR(G75="",H75="",I75="",I75=0),"",H75/I75)</f>
        <v>0</v>
      </c>
      <c r="K75" s="8">
        <f>IF(B75="","",Household_Size)</f>
        <v>0</v>
      </c>
      <c r="L75" s="8">
        <f>IF(OR(G75="",H75=""),"",IFERROR(IFERROR(INDEX(Recipes!$H$5:$H$204,MATCH(G75,Recipes!$A$5:$A$204,0)),"")*H75,""))</f>
        <v>0</v>
      </c>
      <c r="M75" s="8">
        <f>IF(OR(G75="",H75=""),"",IFERROR(IFERROR(INDEX(Recipes!$I$5:$I$204,MATCH(G75,Recipes!$A$5:$A$204,0)),"")*H75,""))</f>
        <v>0</v>
      </c>
      <c r="N75" s="8">
        <f>IF(OR(G75="",H75=""),"",IFERROR(IFERROR(INDEX(Recipes!$J$5:$J$204,MATCH(G75,Recipes!$A$5:$A$204,0)),"")*H75,""))</f>
        <v>0</v>
      </c>
      <c r="O75" s="8">
        <f>IF(OR(G75="",H75=""),"",IFERROR(IFERROR(INDEX(Recipes!$K$5:$K$204,MATCH(G75,Recipes!$A$5:$A$204,0)),"")*H75,""))</f>
        <v>0</v>
      </c>
      <c r="P75" s="8">
        <f>IF(OR(G75="",H75=""),"",IFERROR(IFERROR(INDEX(Recipes!$L$5:$L$204,MATCH(G75,Recipes!$A$5:$A$204,0)),"")*H75,""))</f>
        <v>0</v>
      </c>
      <c r="Q75" s="8">
        <f>IF(OR(G75="",H75=""),"",IFERROR(IFERROR(INDEX(Recipes!$Q$5:$Q$204,MATCH(G75,Recipes!$A$5:$A$204,0)),"")*H75,""))</f>
        <v>0</v>
      </c>
      <c r="R75" s="8">
        <f>IF(F75="","",Weekly_Budget/21)</f>
        <v>0</v>
      </c>
      <c r="S75" s="27"/>
      <c r="T75" s="27"/>
      <c r="U75" s="26"/>
      <c r="V75" s="7"/>
      <c r="W75" s="7"/>
      <c r="X75" s="26"/>
      <c r="Y75" s="8">
        <f>IF(G75="","",IF(COUNTIFS('Meal Prep'!$D$5:$D$124,G75)&gt;0,"Yes","No"))</f>
        <v>0</v>
      </c>
      <c r="Z75" s="8">
        <f>IF(G75="","",COUNTIFS('Recipe Ingredients'!$A$5:$A$1204,G75))</f>
        <v>0</v>
      </c>
      <c r="AA75" s="25"/>
      <c r="AB75" s="8">
        <f>IF(OR(B75="",Q75=""),"",COUNTIFS($B$5:$B$504,B75,$Q$5:$Q$504,"&gt;"&amp;Q75)+1)</f>
        <v>0</v>
      </c>
      <c r="AC75" s="8">
        <f>IF(OR(B75="",L75=""),"",COUNTIFS($B$5:$B$504,B75,$L$5:$L$504,"&gt;"&amp;L75)+1)</f>
        <v>0</v>
      </c>
      <c r="AD75" s="8">
        <f>IF(G75="","",IF(COUNTIFS($G$5:$G$504,G75)&gt;1,"Repeat","Once"))</f>
        <v>0</v>
      </c>
      <c r="AE75" s="8">
        <f>IF(G75="","",IF(IFERROR(INDEX(Recipes!$X$5:$X$204,MATCH(G75,Recipes!$A$5:$A$204,0)),"")="","",IFERROR(B75-IFERROR(INDEX(Recipes!$X$5:$X$204,MATCH(G75,Recipes!$A$5:$A$204,0)),""),"")))</f>
        <v>0</v>
      </c>
      <c r="AF75" s="8">
        <f>IF(G75="","",IF(AE75="","Yes",IF(AE75&gt;=Rotation_Gap_Days,"Yes","No")))</f>
        <v>0</v>
      </c>
      <c r="AG75" s="8">
        <f>IF(G75="","",IF(COUNTIFS('Recipe Ingredients'!$A$5:$A$1204,G75,'Recipe Ingredients'!$AC$5:$AC$1204,"Check")&gt;0,"Check","OK"))</f>
        <v>0</v>
      </c>
    </row>
    <row r="76" spans="1:33">
      <c r="A76" s="7"/>
      <c r="B76" s="30"/>
      <c r="C76" s="8">
        <f>IF(B76="","",B76-WEEKDAY(B76,2)+1)</f>
        <v>0</v>
      </c>
      <c r="D76" s="8">
        <f>IF(B76="","",TEXT(B76,"ddd"))</f>
        <v>0</v>
      </c>
      <c r="E76" s="8">
        <f>IF(B76="","",TEXT(B76,"mmm yyyy"))</f>
        <v>0</v>
      </c>
      <c r="F76" s="27"/>
      <c r="G76" s="7"/>
      <c r="H76" s="26"/>
      <c r="I76" s="8">
        <f>IF(G76="","",IFERROR(INDEX(Recipes!$D$5:$D$204,MATCH(G76,Recipes!$A$5:$A$204,0)),""))</f>
        <v>0</v>
      </c>
      <c r="J76" s="8">
        <f>IF(OR(G76="",H76="",I76="",I76=0),"",H76/I76)</f>
        <v>0</v>
      </c>
      <c r="K76" s="8">
        <f>IF(B76="","",Household_Size)</f>
        <v>0</v>
      </c>
      <c r="L76" s="8">
        <f>IF(OR(G76="",H76=""),"",IFERROR(IFERROR(INDEX(Recipes!$H$5:$H$204,MATCH(G76,Recipes!$A$5:$A$204,0)),"")*H76,""))</f>
        <v>0</v>
      </c>
      <c r="M76" s="8">
        <f>IF(OR(G76="",H76=""),"",IFERROR(IFERROR(INDEX(Recipes!$I$5:$I$204,MATCH(G76,Recipes!$A$5:$A$204,0)),"")*H76,""))</f>
        <v>0</v>
      </c>
      <c r="N76" s="8">
        <f>IF(OR(G76="",H76=""),"",IFERROR(IFERROR(INDEX(Recipes!$J$5:$J$204,MATCH(G76,Recipes!$A$5:$A$204,0)),"")*H76,""))</f>
        <v>0</v>
      </c>
      <c r="O76" s="8">
        <f>IF(OR(G76="",H76=""),"",IFERROR(IFERROR(INDEX(Recipes!$K$5:$K$204,MATCH(G76,Recipes!$A$5:$A$204,0)),"")*H76,""))</f>
        <v>0</v>
      </c>
      <c r="P76" s="8">
        <f>IF(OR(G76="",H76=""),"",IFERROR(IFERROR(INDEX(Recipes!$L$5:$L$204,MATCH(G76,Recipes!$A$5:$A$204,0)),"")*H76,""))</f>
        <v>0</v>
      </c>
      <c r="Q76" s="8">
        <f>IF(OR(G76="",H76=""),"",IFERROR(IFERROR(INDEX(Recipes!$Q$5:$Q$204,MATCH(G76,Recipes!$A$5:$A$204,0)),"")*H76,""))</f>
        <v>0</v>
      </c>
      <c r="R76" s="8">
        <f>IF(F76="","",Weekly_Budget/21)</f>
        <v>0</v>
      </c>
      <c r="S76" s="27"/>
      <c r="T76" s="27"/>
      <c r="U76" s="26"/>
      <c r="V76" s="7"/>
      <c r="W76" s="7"/>
      <c r="X76" s="26"/>
      <c r="Y76" s="8">
        <f>IF(G76="","",IF(COUNTIFS('Meal Prep'!$D$5:$D$124,G76)&gt;0,"Yes","No"))</f>
        <v>0</v>
      </c>
      <c r="Z76" s="8">
        <f>IF(G76="","",COUNTIFS('Recipe Ingredients'!$A$5:$A$1204,G76))</f>
        <v>0</v>
      </c>
      <c r="AA76" s="25"/>
      <c r="AB76" s="8">
        <f>IF(OR(B76="",Q76=""),"",COUNTIFS($B$5:$B$504,B76,$Q$5:$Q$504,"&gt;"&amp;Q76)+1)</f>
        <v>0</v>
      </c>
      <c r="AC76" s="8">
        <f>IF(OR(B76="",L76=""),"",COUNTIFS($B$5:$B$504,B76,$L$5:$L$504,"&gt;"&amp;L76)+1)</f>
        <v>0</v>
      </c>
      <c r="AD76" s="8">
        <f>IF(G76="","",IF(COUNTIFS($G$5:$G$504,G76)&gt;1,"Repeat","Once"))</f>
        <v>0</v>
      </c>
      <c r="AE76" s="8">
        <f>IF(G76="","",IF(IFERROR(INDEX(Recipes!$X$5:$X$204,MATCH(G76,Recipes!$A$5:$A$204,0)),"")="","",IFERROR(B76-IFERROR(INDEX(Recipes!$X$5:$X$204,MATCH(G76,Recipes!$A$5:$A$204,0)),""),"")))</f>
        <v>0</v>
      </c>
      <c r="AF76" s="8">
        <f>IF(G76="","",IF(AE76="","Yes",IF(AE76&gt;=Rotation_Gap_Days,"Yes","No")))</f>
        <v>0</v>
      </c>
      <c r="AG76" s="8">
        <f>IF(G76="","",IF(COUNTIFS('Recipe Ingredients'!$A$5:$A$1204,G76,'Recipe Ingredients'!$AC$5:$AC$1204,"Check")&gt;0,"Check","OK"))</f>
        <v>0</v>
      </c>
    </row>
    <row r="77" spans="1:33">
      <c r="A77" s="7"/>
      <c r="B77" s="30"/>
      <c r="C77" s="8">
        <f>IF(B77="","",B77-WEEKDAY(B77,2)+1)</f>
        <v>0</v>
      </c>
      <c r="D77" s="8">
        <f>IF(B77="","",TEXT(B77,"ddd"))</f>
        <v>0</v>
      </c>
      <c r="E77" s="8">
        <f>IF(B77="","",TEXT(B77,"mmm yyyy"))</f>
        <v>0</v>
      </c>
      <c r="F77" s="27"/>
      <c r="G77" s="7"/>
      <c r="H77" s="26"/>
      <c r="I77" s="8">
        <f>IF(G77="","",IFERROR(INDEX(Recipes!$D$5:$D$204,MATCH(G77,Recipes!$A$5:$A$204,0)),""))</f>
        <v>0</v>
      </c>
      <c r="J77" s="8">
        <f>IF(OR(G77="",H77="",I77="",I77=0),"",H77/I77)</f>
        <v>0</v>
      </c>
      <c r="K77" s="8">
        <f>IF(B77="","",Household_Size)</f>
        <v>0</v>
      </c>
      <c r="L77" s="8">
        <f>IF(OR(G77="",H77=""),"",IFERROR(IFERROR(INDEX(Recipes!$H$5:$H$204,MATCH(G77,Recipes!$A$5:$A$204,0)),"")*H77,""))</f>
        <v>0</v>
      </c>
      <c r="M77" s="8">
        <f>IF(OR(G77="",H77=""),"",IFERROR(IFERROR(INDEX(Recipes!$I$5:$I$204,MATCH(G77,Recipes!$A$5:$A$204,0)),"")*H77,""))</f>
        <v>0</v>
      </c>
      <c r="N77" s="8">
        <f>IF(OR(G77="",H77=""),"",IFERROR(IFERROR(INDEX(Recipes!$J$5:$J$204,MATCH(G77,Recipes!$A$5:$A$204,0)),"")*H77,""))</f>
        <v>0</v>
      </c>
      <c r="O77" s="8">
        <f>IF(OR(G77="",H77=""),"",IFERROR(IFERROR(INDEX(Recipes!$K$5:$K$204,MATCH(G77,Recipes!$A$5:$A$204,0)),"")*H77,""))</f>
        <v>0</v>
      </c>
      <c r="P77" s="8">
        <f>IF(OR(G77="",H77=""),"",IFERROR(IFERROR(INDEX(Recipes!$L$5:$L$204,MATCH(G77,Recipes!$A$5:$A$204,0)),"")*H77,""))</f>
        <v>0</v>
      </c>
      <c r="Q77" s="8">
        <f>IF(OR(G77="",H77=""),"",IFERROR(IFERROR(INDEX(Recipes!$Q$5:$Q$204,MATCH(G77,Recipes!$A$5:$A$204,0)),"")*H77,""))</f>
        <v>0</v>
      </c>
      <c r="R77" s="8">
        <f>IF(F77="","",Weekly_Budget/21)</f>
        <v>0</v>
      </c>
      <c r="S77" s="27"/>
      <c r="T77" s="27"/>
      <c r="U77" s="26"/>
      <c r="V77" s="7"/>
      <c r="W77" s="7"/>
      <c r="X77" s="26"/>
      <c r="Y77" s="8">
        <f>IF(G77="","",IF(COUNTIFS('Meal Prep'!$D$5:$D$124,G77)&gt;0,"Yes","No"))</f>
        <v>0</v>
      </c>
      <c r="Z77" s="8">
        <f>IF(G77="","",COUNTIFS('Recipe Ingredients'!$A$5:$A$1204,G77))</f>
        <v>0</v>
      </c>
      <c r="AA77" s="25"/>
      <c r="AB77" s="8">
        <f>IF(OR(B77="",Q77=""),"",COUNTIFS($B$5:$B$504,B77,$Q$5:$Q$504,"&gt;"&amp;Q77)+1)</f>
        <v>0</v>
      </c>
      <c r="AC77" s="8">
        <f>IF(OR(B77="",L77=""),"",COUNTIFS($B$5:$B$504,B77,$L$5:$L$504,"&gt;"&amp;L77)+1)</f>
        <v>0</v>
      </c>
      <c r="AD77" s="8">
        <f>IF(G77="","",IF(COUNTIFS($G$5:$G$504,G77)&gt;1,"Repeat","Once"))</f>
        <v>0</v>
      </c>
      <c r="AE77" s="8">
        <f>IF(G77="","",IF(IFERROR(INDEX(Recipes!$X$5:$X$204,MATCH(G77,Recipes!$A$5:$A$204,0)),"")="","",IFERROR(B77-IFERROR(INDEX(Recipes!$X$5:$X$204,MATCH(G77,Recipes!$A$5:$A$204,0)),""),"")))</f>
        <v>0</v>
      </c>
      <c r="AF77" s="8">
        <f>IF(G77="","",IF(AE77="","Yes",IF(AE77&gt;=Rotation_Gap_Days,"Yes","No")))</f>
        <v>0</v>
      </c>
      <c r="AG77" s="8">
        <f>IF(G77="","",IF(COUNTIFS('Recipe Ingredients'!$A$5:$A$1204,G77,'Recipe Ingredients'!$AC$5:$AC$1204,"Check")&gt;0,"Check","OK"))</f>
        <v>0</v>
      </c>
    </row>
    <row r="78" spans="1:33">
      <c r="A78" s="7"/>
      <c r="B78" s="30"/>
      <c r="C78" s="8">
        <f>IF(B78="","",B78-WEEKDAY(B78,2)+1)</f>
        <v>0</v>
      </c>
      <c r="D78" s="8">
        <f>IF(B78="","",TEXT(B78,"ddd"))</f>
        <v>0</v>
      </c>
      <c r="E78" s="8">
        <f>IF(B78="","",TEXT(B78,"mmm yyyy"))</f>
        <v>0</v>
      </c>
      <c r="F78" s="27"/>
      <c r="G78" s="7"/>
      <c r="H78" s="26"/>
      <c r="I78" s="8">
        <f>IF(G78="","",IFERROR(INDEX(Recipes!$D$5:$D$204,MATCH(G78,Recipes!$A$5:$A$204,0)),""))</f>
        <v>0</v>
      </c>
      <c r="J78" s="8">
        <f>IF(OR(G78="",H78="",I78="",I78=0),"",H78/I78)</f>
        <v>0</v>
      </c>
      <c r="K78" s="8">
        <f>IF(B78="","",Household_Size)</f>
        <v>0</v>
      </c>
      <c r="L78" s="8">
        <f>IF(OR(G78="",H78=""),"",IFERROR(IFERROR(INDEX(Recipes!$H$5:$H$204,MATCH(G78,Recipes!$A$5:$A$204,0)),"")*H78,""))</f>
        <v>0</v>
      </c>
      <c r="M78" s="8">
        <f>IF(OR(G78="",H78=""),"",IFERROR(IFERROR(INDEX(Recipes!$I$5:$I$204,MATCH(G78,Recipes!$A$5:$A$204,0)),"")*H78,""))</f>
        <v>0</v>
      </c>
      <c r="N78" s="8">
        <f>IF(OR(G78="",H78=""),"",IFERROR(IFERROR(INDEX(Recipes!$J$5:$J$204,MATCH(G78,Recipes!$A$5:$A$204,0)),"")*H78,""))</f>
        <v>0</v>
      </c>
      <c r="O78" s="8">
        <f>IF(OR(G78="",H78=""),"",IFERROR(IFERROR(INDEX(Recipes!$K$5:$K$204,MATCH(G78,Recipes!$A$5:$A$204,0)),"")*H78,""))</f>
        <v>0</v>
      </c>
      <c r="P78" s="8">
        <f>IF(OR(G78="",H78=""),"",IFERROR(IFERROR(INDEX(Recipes!$L$5:$L$204,MATCH(G78,Recipes!$A$5:$A$204,0)),"")*H78,""))</f>
        <v>0</v>
      </c>
      <c r="Q78" s="8">
        <f>IF(OR(G78="",H78=""),"",IFERROR(IFERROR(INDEX(Recipes!$Q$5:$Q$204,MATCH(G78,Recipes!$A$5:$A$204,0)),"")*H78,""))</f>
        <v>0</v>
      </c>
      <c r="R78" s="8">
        <f>IF(F78="","",Weekly_Budget/21)</f>
        <v>0</v>
      </c>
      <c r="S78" s="27"/>
      <c r="T78" s="27"/>
      <c r="U78" s="26"/>
      <c r="V78" s="7"/>
      <c r="W78" s="7"/>
      <c r="X78" s="26"/>
      <c r="Y78" s="8">
        <f>IF(G78="","",IF(COUNTIFS('Meal Prep'!$D$5:$D$124,G78)&gt;0,"Yes","No"))</f>
        <v>0</v>
      </c>
      <c r="Z78" s="8">
        <f>IF(G78="","",COUNTIFS('Recipe Ingredients'!$A$5:$A$1204,G78))</f>
        <v>0</v>
      </c>
      <c r="AA78" s="25"/>
      <c r="AB78" s="8">
        <f>IF(OR(B78="",Q78=""),"",COUNTIFS($B$5:$B$504,B78,$Q$5:$Q$504,"&gt;"&amp;Q78)+1)</f>
        <v>0</v>
      </c>
      <c r="AC78" s="8">
        <f>IF(OR(B78="",L78=""),"",COUNTIFS($B$5:$B$504,B78,$L$5:$L$504,"&gt;"&amp;L78)+1)</f>
        <v>0</v>
      </c>
      <c r="AD78" s="8">
        <f>IF(G78="","",IF(COUNTIFS($G$5:$G$504,G78)&gt;1,"Repeat","Once"))</f>
        <v>0</v>
      </c>
      <c r="AE78" s="8">
        <f>IF(G78="","",IF(IFERROR(INDEX(Recipes!$X$5:$X$204,MATCH(G78,Recipes!$A$5:$A$204,0)),"")="","",IFERROR(B78-IFERROR(INDEX(Recipes!$X$5:$X$204,MATCH(G78,Recipes!$A$5:$A$204,0)),""),"")))</f>
        <v>0</v>
      </c>
      <c r="AF78" s="8">
        <f>IF(G78="","",IF(AE78="","Yes",IF(AE78&gt;=Rotation_Gap_Days,"Yes","No")))</f>
        <v>0</v>
      </c>
      <c r="AG78" s="8">
        <f>IF(G78="","",IF(COUNTIFS('Recipe Ingredients'!$A$5:$A$1204,G78,'Recipe Ingredients'!$AC$5:$AC$1204,"Check")&gt;0,"Check","OK"))</f>
        <v>0</v>
      </c>
    </row>
    <row r="79" spans="1:33">
      <c r="A79" s="7"/>
      <c r="B79" s="30"/>
      <c r="C79" s="8">
        <f>IF(B79="","",B79-WEEKDAY(B79,2)+1)</f>
        <v>0</v>
      </c>
      <c r="D79" s="8">
        <f>IF(B79="","",TEXT(B79,"ddd"))</f>
        <v>0</v>
      </c>
      <c r="E79" s="8">
        <f>IF(B79="","",TEXT(B79,"mmm yyyy"))</f>
        <v>0</v>
      </c>
      <c r="F79" s="27"/>
      <c r="G79" s="7"/>
      <c r="H79" s="26"/>
      <c r="I79" s="8">
        <f>IF(G79="","",IFERROR(INDEX(Recipes!$D$5:$D$204,MATCH(G79,Recipes!$A$5:$A$204,0)),""))</f>
        <v>0</v>
      </c>
      <c r="J79" s="8">
        <f>IF(OR(G79="",H79="",I79="",I79=0),"",H79/I79)</f>
        <v>0</v>
      </c>
      <c r="K79" s="8">
        <f>IF(B79="","",Household_Size)</f>
        <v>0</v>
      </c>
      <c r="L79" s="8">
        <f>IF(OR(G79="",H79=""),"",IFERROR(IFERROR(INDEX(Recipes!$H$5:$H$204,MATCH(G79,Recipes!$A$5:$A$204,0)),"")*H79,""))</f>
        <v>0</v>
      </c>
      <c r="M79" s="8">
        <f>IF(OR(G79="",H79=""),"",IFERROR(IFERROR(INDEX(Recipes!$I$5:$I$204,MATCH(G79,Recipes!$A$5:$A$204,0)),"")*H79,""))</f>
        <v>0</v>
      </c>
      <c r="N79" s="8">
        <f>IF(OR(G79="",H79=""),"",IFERROR(IFERROR(INDEX(Recipes!$J$5:$J$204,MATCH(G79,Recipes!$A$5:$A$204,0)),"")*H79,""))</f>
        <v>0</v>
      </c>
      <c r="O79" s="8">
        <f>IF(OR(G79="",H79=""),"",IFERROR(IFERROR(INDEX(Recipes!$K$5:$K$204,MATCH(G79,Recipes!$A$5:$A$204,0)),"")*H79,""))</f>
        <v>0</v>
      </c>
      <c r="P79" s="8">
        <f>IF(OR(G79="",H79=""),"",IFERROR(IFERROR(INDEX(Recipes!$L$5:$L$204,MATCH(G79,Recipes!$A$5:$A$204,0)),"")*H79,""))</f>
        <v>0</v>
      </c>
      <c r="Q79" s="8">
        <f>IF(OR(G79="",H79=""),"",IFERROR(IFERROR(INDEX(Recipes!$Q$5:$Q$204,MATCH(G79,Recipes!$A$5:$A$204,0)),"")*H79,""))</f>
        <v>0</v>
      </c>
      <c r="R79" s="8">
        <f>IF(F79="","",Weekly_Budget/21)</f>
        <v>0</v>
      </c>
      <c r="S79" s="27"/>
      <c r="T79" s="27"/>
      <c r="U79" s="26"/>
      <c r="V79" s="7"/>
      <c r="W79" s="7"/>
      <c r="X79" s="26"/>
      <c r="Y79" s="8">
        <f>IF(G79="","",IF(COUNTIFS('Meal Prep'!$D$5:$D$124,G79)&gt;0,"Yes","No"))</f>
        <v>0</v>
      </c>
      <c r="Z79" s="8">
        <f>IF(G79="","",COUNTIFS('Recipe Ingredients'!$A$5:$A$1204,G79))</f>
        <v>0</v>
      </c>
      <c r="AA79" s="25"/>
      <c r="AB79" s="8">
        <f>IF(OR(B79="",Q79=""),"",COUNTIFS($B$5:$B$504,B79,$Q$5:$Q$504,"&gt;"&amp;Q79)+1)</f>
        <v>0</v>
      </c>
      <c r="AC79" s="8">
        <f>IF(OR(B79="",L79=""),"",COUNTIFS($B$5:$B$504,B79,$L$5:$L$504,"&gt;"&amp;L79)+1)</f>
        <v>0</v>
      </c>
      <c r="AD79" s="8">
        <f>IF(G79="","",IF(COUNTIFS($G$5:$G$504,G79)&gt;1,"Repeat","Once"))</f>
        <v>0</v>
      </c>
      <c r="AE79" s="8">
        <f>IF(G79="","",IF(IFERROR(INDEX(Recipes!$X$5:$X$204,MATCH(G79,Recipes!$A$5:$A$204,0)),"")="","",IFERROR(B79-IFERROR(INDEX(Recipes!$X$5:$X$204,MATCH(G79,Recipes!$A$5:$A$204,0)),""),"")))</f>
        <v>0</v>
      </c>
      <c r="AF79" s="8">
        <f>IF(G79="","",IF(AE79="","Yes",IF(AE79&gt;=Rotation_Gap_Days,"Yes","No")))</f>
        <v>0</v>
      </c>
      <c r="AG79" s="8">
        <f>IF(G79="","",IF(COUNTIFS('Recipe Ingredients'!$A$5:$A$1204,G79,'Recipe Ingredients'!$AC$5:$AC$1204,"Check")&gt;0,"Check","OK"))</f>
        <v>0</v>
      </c>
    </row>
    <row r="80" spans="1:33">
      <c r="A80" s="7"/>
      <c r="B80" s="30"/>
      <c r="C80" s="8">
        <f>IF(B80="","",B80-WEEKDAY(B80,2)+1)</f>
        <v>0</v>
      </c>
      <c r="D80" s="8">
        <f>IF(B80="","",TEXT(B80,"ddd"))</f>
        <v>0</v>
      </c>
      <c r="E80" s="8">
        <f>IF(B80="","",TEXT(B80,"mmm yyyy"))</f>
        <v>0</v>
      </c>
      <c r="F80" s="27"/>
      <c r="G80" s="7"/>
      <c r="H80" s="26"/>
      <c r="I80" s="8">
        <f>IF(G80="","",IFERROR(INDEX(Recipes!$D$5:$D$204,MATCH(G80,Recipes!$A$5:$A$204,0)),""))</f>
        <v>0</v>
      </c>
      <c r="J80" s="8">
        <f>IF(OR(G80="",H80="",I80="",I80=0),"",H80/I80)</f>
        <v>0</v>
      </c>
      <c r="K80" s="8">
        <f>IF(B80="","",Household_Size)</f>
        <v>0</v>
      </c>
      <c r="L80" s="8">
        <f>IF(OR(G80="",H80=""),"",IFERROR(IFERROR(INDEX(Recipes!$H$5:$H$204,MATCH(G80,Recipes!$A$5:$A$204,0)),"")*H80,""))</f>
        <v>0</v>
      </c>
      <c r="M80" s="8">
        <f>IF(OR(G80="",H80=""),"",IFERROR(IFERROR(INDEX(Recipes!$I$5:$I$204,MATCH(G80,Recipes!$A$5:$A$204,0)),"")*H80,""))</f>
        <v>0</v>
      </c>
      <c r="N80" s="8">
        <f>IF(OR(G80="",H80=""),"",IFERROR(IFERROR(INDEX(Recipes!$J$5:$J$204,MATCH(G80,Recipes!$A$5:$A$204,0)),"")*H80,""))</f>
        <v>0</v>
      </c>
      <c r="O80" s="8">
        <f>IF(OR(G80="",H80=""),"",IFERROR(IFERROR(INDEX(Recipes!$K$5:$K$204,MATCH(G80,Recipes!$A$5:$A$204,0)),"")*H80,""))</f>
        <v>0</v>
      </c>
      <c r="P80" s="8">
        <f>IF(OR(G80="",H80=""),"",IFERROR(IFERROR(INDEX(Recipes!$L$5:$L$204,MATCH(G80,Recipes!$A$5:$A$204,0)),"")*H80,""))</f>
        <v>0</v>
      </c>
      <c r="Q80" s="8">
        <f>IF(OR(G80="",H80=""),"",IFERROR(IFERROR(INDEX(Recipes!$Q$5:$Q$204,MATCH(G80,Recipes!$A$5:$A$204,0)),"")*H80,""))</f>
        <v>0</v>
      </c>
      <c r="R80" s="8">
        <f>IF(F80="","",Weekly_Budget/21)</f>
        <v>0</v>
      </c>
      <c r="S80" s="27"/>
      <c r="T80" s="27"/>
      <c r="U80" s="26"/>
      <c r="V80" s="7"/>
      <c r="W80" s="7"/>
      <c r="X80" s="26"/>
      <c r="Y80" s="8">
        <f>IF(G80="","",IF(COUNTIFS('Meal Prep'!$D$5:$D$124,G80)&gt;0,"Yes","No"))</f>
        <v>0</v>
      </c>
      <c r="Z80" s="8">
        <f>IF(G80="","",COUNTIFS('Recipe Ingredients'!$A$5:$A$1204,G80))</f>
        <v>0</v>
      </c>
      <c r="AA80" s="25"/>
      <c r="AB80" s="8">
        <f>IF(OR(B80="",Q80=""),"",COUNTIFS($B$5:$B$504,B80,$Q$5:$Q$504,"&gt;"&amp;Q80)+1)</f>
        <v>0</v>
      </c>
      <c r="AC80" s="8">
        <f>IF(OR(B80="",L80=""),"",COUNTIFS($B$5:$B$504,B80,$L$5:$L$504,"&gt;"&amp;L80)+1)</f>
        <v>0</v>
      </c>
      <c r="AD80" s="8">
        <f>IF(G80="","",IF(COUNTIFS($G$5:$G$504,G80)&gt;1,"Repeat","Once"))</f>
        <v>0</v>
      </c>
      <c r="AE80" s="8">
        <f>IF(G80="","",IF(IFERROR(INDEX(Recipes!$X$5:$X$204,MATCH(G80,Recipes!$A$5:$A$204,0)),"")="","",IFERROR(B80-IFERROR(INDEX(Recipes!$X$5:$X$204,MATCH(G80,Recipes!$A$5:$A$204,0)),""),"")))</f>
        <v>0</v>
      </c>
      <c r="AF80" s="8">
        <f>IF(G80="","",IF(AE80="","Yes",IF(AE80&gt;=Rotation_Gap_Days,"Yes","No")))</f>
        <v>0</v>
      </c>
      <c r="AG80" s="8">
        <f>IF(G80="","",IF(COUNTIFS('Recipe Ingredients'!$A$5:$A$1204,G80,'Recipe Ingredients'!$AC$5:$AC$1204,"Check")&gt;0,"Check","OK"))</f>
        <v>0</v>
      </c>
    </row>
    <row r="81" spans="1:33">
      <c r="A81" s="7"/>
      <c r="B81" s="30"/>
      <c r="C81" s="8">
        <f>IF(B81="","",B81-WEEKDAY(B81,2)+1)</f>
        <v>0</v>
      </c>
      <c r="D81" s="8">
        <f>IF(B81="","",TEXT(B81,"ddd"))</f>
        <v>0</v>
      </c>
      <c r="E81" s="8">
        <f>IF(B81="","",TEXT(B81,"mmm yyyy"))</f>
        <v>0</v>
      </c>
      <c r="F81" s="27"/>
      <c r="G81" s="7"/>
      <c r="H81" s="26"/>
      <c r="I81" s="8">
        <f>IF(G81="","",IFERROR(INDEX(Recipes!$D$5:$D$204,MATCH(G81,Recipes!$A$5:$A$204,0)),""))</f>
        <v>0</v>
      </c>
      <c r="J81" s="8">
        <f>IF(OR(G81="",H81="",I81="",I81=0),"",H81/I81)</f>
        <v>0</v>
      </c>
      <c r="K81" s="8">
        <f>IF(B81="","",Household_Size)</f>
        <v>0</v>
      </c>
      <c r="L81" s="8">
        <f>IF(OR(G81="",H81=""),"",IFERROR(IFERROR(INDEX(Recipes!$H$5:$H$204,MATCH(G81,Recipes!$A$5:$A$204,0)),"")*H81,""))</f>
        <v>0</v>
      </c>
      <c r="M81" s="8">
        <f>IF(OR(G81="",H81=""),"",IFERROR(IFERROR(INDEX(Recipes!$I$5:$I$204,MATCH(G81,Recipes!$A$5:$A$204,0)),"")*H81,""))</f>
        <v>0</v>
      </c>
      <c r="N81" s="8">
        <f>IF(OR(G81="",H81=""),"",IFERROR(IFERROR(INDEX(Recipes!$J$5:$J$204,MATCH(G81,Recipes!$A$5:$A$204,0)),"")*H81,""))</f>
        <v>0</v>
      </c>
      <c r="O81" s="8">
        <f>IF(OR(G81="",H81=""),"",IFERROR(IFERROR(INDEX(Recipes!$K$5:$K$204,MATCH(G81,Recipes!$A$5:$A$204,0)),"")*H81,""))</f>
        <v>0</v>
      </c>
      <c r="P81" s="8">
        <f>IF(OR(G81="",H81=""),"",IFERROR(IFERROR(INDEX(Recipes!$L$5:$L$204,MATCH(G81,Recipes!$A$5:$A$204,0)),"")*H81,""))</f>
        <v>0</v>
      </c>
      <c r="Q81" s="8">
        <f>IF(OR(G81="",H81=""),"",IFERROR(IFERROR(INDEX(Recipes!$Q$5:$Q$204,MATCH(G81,Recipes!$A$5:$A$204,0)),"")*H81,""))</f>
        <v>0</v>
      </c>
      <c r="R81" s="8">
        <f>IF(F81="","",Weekly_Budget/21)</f>
        <v>0</v>
      </c>
      <c r="S81" s="27"/>
      <c r="T81" s="27"/>
      <c r="U81" s="26"/>
      <c r="V81" s="7"/>
      <c r="W81" s="7"/>
      <c r="X81" s="26"/>
      <c r="Y81" s="8">
        <f>IF(G81="","",IF(COUNTIFS('Meal Prep'!$D$5:$D$124,G81)&gt;0,"Yes","No"))</f>
        <v>0</v>
      </c>
      <c r="Z81" s="8">
        <f>IF(G81="","",COUNTIFS('Recipe Ingredients'!$A$5:$A$1204,G81))</f>
        <v>0</v>
      </c>
      <c r="AA81" s="25"/>
      <c r="AB81" s="8">
        <f>IF(OR(B81="",Q81=""),"",COUNTIFS($B$5:$B$504,B81,$Q$5:$Q$504,"&gt;"&amp;Q81)+1)</f>
        <v>0</v>
      </c>
      <c r="AC81" s="8">
        <f>IF(OR(B81="",L81=""),"",COUNTIFS($B$5:$B$504,B81,$L$5:$L$504,"&gt;"&amp;L81)+1)</f>
        <v>0</v>
      </c>
      <c r="AD81" s="8">
        <f>IF(G81="","",IF(COUNTIFS($G$5:$G$504,G81)&gt;1,"Repeat","Once"))</f>
        <v>0</v>
      </c>
      <c r="AE81" s="8">
        <f>IF(G81="","",IF(IFERROR(INDEX(Recipes!$X$5:$X$204,MATCH(G81,Recipes!$A$5:$A$204,0)),"")="","",IFERROR(B81-IFERROR(INDEX(Recipes!$X$5:$X$204,MATCH(G81,Recipes!$A$5:$A$204,0)),""),"")))</f>
        <v>0</v>
      </c>
      <c r="AF81" s="8">
        <f>IF(G81="","",IF(AE81="","Yes",IF(AE81&gt;=Rotation_Gap_Days,"Yes","No")))</f>
        <v>0</v>
      </c>
      <c r="AG81" s="8">
        <f>IF(G81="","",IF(COUNTIFS('Recipe Ingredients'!$A$5:$A$1204,G81,'Recipe Ingredients'!$AC$5:$AC$1204,"Check")&gt;0,"Check","OK"))</f>
        <v>0</v>
      </c>
    </row>
    <row r="82" spans="1:33">
      <c r="A82" s="7"/>
      <c r="B82" s="30"/>
      <c r="C82" s="8">
        <f>IF(B82="","",B82-WEEKDAY(B82,2)+1)</f>
        <v>0</v>
      </c>
      <c r="D82" s="8">
        <f>IF(B82="","",TEXT(B82,"ddd"))</f>
        <v>0</v>
      </c>
      <c r="E82" s="8">
        <f>IF(B82="","",TEXT(B82,"mmm yyyy"))</f>
        <v>0</v>
      </c>
      <c r="F82" s="27"/>
      <c r="G82" s="7"/>
      <c r="H82" s="26"/>
      <c r="I82" s="8">
        <f>IF(G82="","",IFERROR(INDEX(Recipes!$D$5:$D$204,MATCH(G82,Recipes!$A$5:$A$204,0)),""))</f>
        <v>0</v>
      </c>
      <c r="J82" s="8">
        <f>IF(OR(G82="",H82="",I82="",I82=0),"",H82/I82)</f>
        <v>0</v>
      </c>
      <c r="K82" s="8">
        <f>IF(B82="","",Household_Size)</f>
        <v>0</v>
      </c>
      <c r="L82" s="8">
        <f>IF(OR(G82="",H82=""),"",IFERROR(IFERROR(INDEX(Recipes!$H$5:$H$204,MATCH(G82,Recipes!$A$5:$A$204,0)),"")*H82,""))</f>
        <v>0</v>
      </c>
      <c r="M82" s="8">
        <f>IF(OR(G82="",H82=""),"",IFERROR(IFERROR(INDEX(Recipes!$I$5:$I$204,MATCH(G82,Recipes!$A$5:$A$204,0)),"")*H82,""))</f>
        <v>0</v>
      </c>
      <c r="N82" s="8">
        <f>IF(OR(G82="",H82=""),"",IFERROR(IFERROR(INDEX(Recipes!$J$5:$J$204,MATCH(G82,Recipes!$A$5:$A$204,0)),"")*H82,""))</f>
        <v>0</v>
      </c>
      <c r="O82" s="8">
        <f>IF(OR(G82="",H82=""),"",IFERROR(IFERROR(INDEX(Recipes!$K$5:$K$204,MATCH(G82,Recipes!$A$5:$A$204,0)),"")*H82,""))</f>
        <v>0</v>
      </c>
      <c r="P82" s="8">
        <f>IF(OR(G82="",H82=""),"",IFERROR(IFERROR(INDEX(Recipes!$L$5:$L$204,MATCH(G82,Recipes!$A$5:$A$204,0)),"")*H82,""))</f>
        <v>0</v>
      </c>
      <c r="Q82" s="8">
        <f>IF(OR(G82="",H82=""),"",IFERROR(IFERROR(INDEX(Recipes!$Q$5:$Q$204,MATCH(G82,Recipes!$A$5:$A$204,0)),"")*H82,""))</f>
        <v>0</v>
      </c>
      <c r="R82" s="8">
        <f>IF(F82="","",Weekly_Budget/21)</f>
        <v>0</v>
      </c>
      <c r="S82" s="27"/>
      <c r="T82" s="27"/>
      <c r="U82" s="26"/>
      <c r="V82" s="7"/>
      <c r="W82" s="7"/>
      <c r="X82" s="26"/>
      <c r="Y82" s="8">
        <f>IF(G82="","",IF(COUNTIFS('Meal Prep'!$D$5:$D$124,G82)&gt;0,"Yes","No"))</f>
        <v>0</v>
      </c>
      <c r="Z82" s="8">
        <f>IF(G82="","",COUNTIFS('Recipe Ingredients'!$A$5:$A$1204,G82))</f>
        <v>0</v>
      </c>
      <c r="AA82" s="25"/>
      <c r="AB82" s="8">
        <f>IF(OR(B82="",Q82=""),"",COUNTIFS($B$5:$B$504,B82,$Q$5:$Q$504,"&gt;"&amp;Q82)+1)</f>
        <v>0</v>
      </c>
      <c r="AC82" s="8">
        <f>IF(OR(B82="",L82=""),"",COUNTIFS($B$5:$B$504,B82,$L$5:$L$504,"&gt;"&amp;L82)+1)</f>
        <v>0</v>
      </c>
      <c r="AD82" s="8">
        <f>IF(G82="","",IF(COUNTIFS($G$5:$G$504,G82)&gt;1,"Repeat","Once"))</f>
        <v>0</v>
      </c>
      <c r="AE82" s="8">
        <f>IF(G82="","",IF(IFERROR(INDEX(Recipes!$X$5:$X$204,MATCH(G82,Recipes!$A$5:$A$204,0)),"")="","",IFERROR(B82-IFERROR(INDEX(Recipes!$X$5:$X$204,MATCH(G82,Recipes!$A$5:$A$204,0)),""),"")))</f>
        <v>0</v>
      </c>
      <c r="AF82" s="8">
        <f>IF(G82="","",IF(AE82="","Yes",IF(AE82&gt;=Rotation_Gap_Days,"Yes","No")))</f>
        <v>0</v>
      </c>
      <c r="AG82" s="8">
        <f>IF(G82="","",IF(COUNTIFS('Recipe Ingredients'!$A$5:$A$1204,G82,'Recipe Ingredients'!$AC$5:$AC$1204,"Check")&gt;0,"Check","OK"))</f>
        <v>0</v>
      </c>
    </row>
    <row r="83" spans="1:33">
      <c r="A83" s="7"/>
      <c r="B83" s="30"/>
      <c r="C83" s="8">
        <f>IF(B83="","",B83-WEEKDAY(B83,2)+1)</f>
        <v>0</v>
      </c>
      <c r="D83" s="8">
        <f>IF(B83="","",TEXT(B83,"ddd"))</f>
        <v>0</v>
      </c>
      <c r="E83" s="8">
        <f>IF(B83="","",TEXT(B83,"mmm yyyy"))</f>
        <v>0</v>
      </c>
      <c r="F83" s="27"/>
      <c r="G83" s="7"/>
      <c r="H83" s="26"/>
      <c r="I83" s="8">
        <f>IF(G83="","",IFERROR(INDEX(Recipes!$D$5:$D$204,MATCH(G83,Recipes!$A$5:$A$204,0)),""))</f>
        <v>0</v>
      </c>
      <c r="J83" s="8">
        <f>IF(OR(G83="",H83="",I83="",I83=0),"",H83/I83)</f>
        <v>0</v>
      </c>
      <c r="K83" s="8">
        <f>IF(B83="","",Household_Size)</f>
        <v>0</v>
      </c>
      <c r="L83" s="8">
        <f>IF(OR(G83="",H83=""),"",IFERROR(IFERROR(INDEX(Recipes!$H$5:$H$204,MATCH(G83,Recipes!$A$5:$A$204,0)),"")*H83,""))</f>
        <v>0</v>
      </c>
      <c r="M83" s="8">
        <f>IF(OR(G83="",H83=""),"",IFERROR(IFERROR(INDEX(Recipes!$I$5:$I$204,MATCH(G83,Recipes!$A$5:$A$204,0)),"")*H83,""))</f>
        <v>0</v>
      </c>
      <c r="N83" s="8">
        <f>IF(OR(G83="",H83=""),"",IFERROR(IFERROR(INDEX(Recipes!$J$5:$J$204,MATCH(G83,Recipes!$A$5:$A$204,0)),"")*H83,""))</f>
        <v>0</v>
      </c>
      <c r="O83" s="8">
        <f>IF(OR(G83="",H83=""),"",IFERROR(IFERROR(INDEX(Recipes!$K$5:$K$204,MATCH(G83,Recipes!$A$5:$A$204,0)),"")*H83,""))</f>
        <v>0</v>
      </c>
      <c r="P83" s="8">
        <f>IF(OR(G83="",H83=""),"",IFERROR(IFERROR(INDEX(Recipes!$L$5:$L$204,MATCH(G83,Recipes!$A$5:$A$204,0)),"")*H83,""))</f>
        <v>0</v>
      </c>
      <c r="Q83" s="8">
        <f>IF(OR(G83="",H83=""),"",IFERROR(IFERROR(INDEX(Recipes!$Q$5:$Q$204,MATCH(G83,Recipes!$A$5:$A$204,0)),"")*H83,""))</f>
        <v>0</v>
      </c>
      <c r="R83" s="8">
        <f>IF(F83="","",Weekly_Budget/21)</f>
        <v>0</v>
      </c>
      <c r="S83" s="27"/>
      <c r="T83" s="27"/>
      <c r="U83" s="26"/>
      <c r="V83" s="7"/>
      <c r="W83" s="7"/>
      <c r="X83" s="26"/>
      <c r="Y83" s="8">
        <f>IF(G83="","",IF(COUNTIFS('Meal Prep'!$D$5:$D$124,G83)&gt;0,"Yes","No"))</f>
        <v>0</v>
      </c>
      <c r="Z83" s="8">
        <f>IF(G83="","",COUNTIFS('Recipe Ingredients'!$A$5:$A$1204,G83))</f>
        <v>0</v>
      </c>
      <c r="AA83" s="25"/>
      <c r="AB83" s="8">
        <f>IF(OR(B83="",Q83=""),"",COUNTIFS($B$5:$B$504,B83,$Q$5:$Q$504,"&gt;"&amp;Q83)+1)</f>
        <v>0</v>
      </c>
      <c r="AC83" s="8">
        <f>IF(OR(B83="",L83=""),"",COUNTIFS($B$5:$B$504,B83,$L$5:$L$504,"&gt;"&amp;L83)+1)</f>
        <v>0</v>
      </c>
      <c r="AD83" s="8">
        <f>IF(G83="","",IF(COUNTIFS($G$5:$G$504,G83)&gt;1,"Repeat","Once"))</f>
        <v>0</v>
      </c>
      <c r="AE83" s="8">
        <f>IF(G83="","",IF(IFERROR(INDEX(Recipes!$X$5:$X$204,MATCH(G83,Recipes!$A$5:$A$204,0)),"")="","",IFERROR(B83-IFERROR(INDEX(Recipes!$X$5:$X$204,MATCH(G83,Recipes!$A$5:$A$204,0)),""),"")))</f>
        <v>0</v>
      </c>
      <c r="AF83" s="8">
        <f>IF(G83="","",IF(AE83="","Yes",IF(AE83&gt;=Rotation_Gap_Days,"Yes","No")))</f>
        <v>0</v>
      </c>
      <c r="AG83" s="8">
        <f>IF(G83="","",IF(COUNTIFS('Recipe Ingredients'!$A$5:$A$1204,G83,'Recipe Ingredients'!$AC$5:$AC$1204,"Check")&gt;0,"Check","OK"))</f>
        <v>0</v>
      </c>
    </row>
    <row r="84" spans="1:33">
      <c r="A84" s="7"/>
      <c r="B84" s="30"/>
      <c r="C84" s="8">
        <f>IF(B84="","",B84-WEEKDAY(B84,2)+1)</f>
        <v>0</v>
      </c>
      <c r="D84" s="8">
        <f>IF(B84="","",TEXT(B84,"ddd"))</f>
        <v>0</v>
      </c>
      <c r="E84" s="8">
        <f>IF(B84="","",TEXT(B84,"mmm yyyy"))</f>
        <v>0</v>
      </c>
      <c r="F84" s="27"/>
      <c r="G84" s="7"/>
      <c r="H84" s="26"/>
      <c r="I84" s="8">
        <f>IF(G84="","",IFERROR(INDEX(Recipes!$D$5:$D$204,MATCH(G84,Recipes!$A$5:$A$204,0)),""))</f>
        <v>0</v>
      </c>
      <c r="J84" s="8">
        <f>IF(OR(G84="",H84="",I84="",I84=0),"",H84/I84)</f>
        <v>0</v>
      </c>
      <c r="K84" s="8">
        <f>IF(B84="","",Household_Size)</f>
        <v>0</v>
      </c>
      <c r="L84" s="8">
        <f>IF(OR(G84="",H84=""),"",IFERROR(IFERROR(INDEX(Recipes!$H$5:$H$204,MATCH(G84,Recipes!$A$5:$A$204,0)),"")*H84,""))</f>
        <v>0</v>
      </c>
      <c r="M84" s="8">
        <f>IF(OR(G84="",H84=""),"",IFERROR(IFERROR(INDEX(Recipes!$I$5:$I$204,MATCH(G84,Recipes!$A$5:$A$204,0)),"")*H84,""))</f>
        <v>0</v>
      </c>
      <c r="N84" s="8">
        <f>IF(OR(G84="",H84=""),"",IFERROR(IFERROR(INDEX(Recipes!$J$5:$J$204,MATCH(G84,Recipes!$A$5:$A$204,0)),"")*H84,""))</f>
        <v>0</v>
      </c>
      <c r="O84" s="8">
        <f>IF(OR(G84="",H84=""),"",IFERROR(IFERROR(INDEX(Recipes!$K$5:$K$204,MATCH(G84,Recipes!$A$5:$A$204,0)),"")*H84,""))</f>
        <v>0</v>
      </c>
      <c r="P84" s="8">
        <f>IF(OR(G84="",H84=""),"",IFERROR(IFERROR(INDEX(Recipes!$L$5:$L$204,MATCH(G84,Recipes!$A$5:$A$204,0)),"")*H84,""))</f>
        <v>0</v>
      </c>
      <c r="Q84" s="8">
        <f>IF(OR(G84="",H84=""),"",IFERROR(IFERROR(INDEX(Recipes!$Q$5:$Q$204,MATCH(G84,Recipes!$A$5:$A$204,0)),"")*H84,""))</f>
        <v>0</v>
      </c>
      <c r="R84" s="8">
        <f>IF(F84="","",Weekly_Budget/21)</f>
        <v>0</v>
      </c>
      <c r="S84" s="27"/>
      <c r="T84" s="27"/>
      <c r="U84" s="26"/>
      <c r="V84" s="7"/>
      <c r="W84" s="7"/>
      <c r="X84" s="26"/>
      <c r="Y84" s="8">
        <f>IF(G84="","",IF(COUNTIFS('Meal Prep'!$D$5:$D$124,G84)&gt;0,"Yes","No"))</f>
        <v>0</v>
      </c>
      <c r="Z84" s="8">
        <f>IF(G84="","",COUNTIFS('Recipe Ingredients'!$A$5:$A$1204,G84))</f>
        <v>0</v>
      </c>
      <c r="AA84" s="25"/>
      <c r="AB84" s="8">
        <f>IF(OR(B84="",Q84=""),"",COUNTIFS($B$5:$B$504,B84,$Q$5:$Q$504,"&gt;"&amp;Q84)+1)</f>
        <v>0</v>
      </c>
      <c r="AC84" s="8">
        <f>IF(OR(B84="",L84=""),"",COUNTIFS($B$5:$B$504,B84,$L$5:$L$504,"&gt;"&amp;L84)+1)</f>
        <v>0</v>
      </c>
      <c r="AD84" s="8">
        <f>IF(G84="","",IF(COUNTIFS($G$5:$G$504,G84)&gt;1,"Repeat","Once"))</f>
        <v>0</v>
      </c>
      <c r="AE84" s="8">
        <f>IF(G84="","",IF(IFERROR(INDEX(Recipes!$X$5:$X$204,MATCH(G84,Recipes!$A$5:$A$204,0)),"")="","",IFERROR(B84-IFERROR(INDEX(Recipes!$X$5:$X$204,MATCH(G84,Recipes!$A$5:$A$204,0)),""),"")))</f>
        <v>0</v>
      </c>
      <c r="AF84" s="8">
        <f>IF(G84="","",IF(AE84="","Yes",IF(AE84&gt;=Rotation_Gap_Days,"Yes","No")))</f>
        <v>0</v>
      </c>
      <c r="AG84" s="8">
        <f>IF(G84="","",IF(COUNTIFS('Recipe Ingredients'!$A$5:$A$1204,G84,'Recipe Ingredients'!$AC$5:$AC$1204,"Check")&gt;0,"Check","OK"))</f>
        <v>0</v>
      </c>
    </row>
    <row r="85" spans="1:33">
      <c r="A85" s="7"/>
      <c r="B85" s="30"/>
      <c r="C85" s="8">
        <f>IF(B85="","",B85-WEEKDAY(B85,2)+1)</f>
        <v>0</v>
      </c>
      <c r="D85" s="8">
        <f>IF(B85="","",TEXT(B85,"ddd"))</f>
        <v>0</v>
      </c>
      <c r="E85" s="8">
        <f>IF(B85="","",TEXT(B85,"mmm yyyy"))</f>
        <v>0</v>
      </c>
      <c r="F85" s="27"/>
      <c r="G85" s="7"/>
      <c r="H85" s="26"/>
      <c r="I85" s="8">
        <f>IF(G85="","",IFERROR(INDEX(Recipes!$D$5:$D$204,MATCH(G85,Recipes!$A$5:$A$204,0)),""))</f>
        <v>0</v>
      </c>
      <c r="J85" s="8">
        <f>IF(OR(G85="",H85="",I85="",I85=0),"",H85/I85)</f>
        <v>0</v>
      </c>
      <c r="K85" s="8">
        <f>IF(B85="","",Household_Size)</f>
        <v>0</v>
      </c>
      <c r="L85" s="8">
        <f>IF(OR(G85="",H85=""),"",IFERROR(IFERROR(INDEX(Recipes!$H$5:$H$204,MATCH(G85,Recipes!$A$5:$A$204,0)),"")*H85,""))</f>
        <v>0</v>
      </c>
      <c r="M85" s="8">
        <f>IF(OR(G85="",H85=""),"",IFERROR(IFERROR(INDEX(Recipes!$I$5:$I$204,MATCH(G85,Recipes!$A$5:$A$204,0)),"")*H85,""))</f>
        <v>0</v>
      </c>
      <c r="N85" s="8">
        <f>IF(OR(G85="",H85=""),"",IFERROR(IFERROR(INDEX(Recipes!$J$5:$J$204,MATCH(G85,Recipes!$A$5:$A$204,0)),"")*H85,""))</f>
        <v>0</v>
      </c>
      <c r="O85" s="8">
        <f>IF(OR(G85="",H85=""),"",IFERROR(IFERROR(INDEX(Recipes!$K$5:$K$204,MATCH(G85,Recipes!$A$5:$A$204,0)),"")*H85,""))</f>
        <v>0</v>
      </c>
      <c r="P85" s="8">
        <f>IF(OR(G85="",H85=""),"",IFERROR(IFERROR(INDEX(Recipes!$L$5:$L$204,MATCH(G85,Recipes!$A$5:$A$204,0)),"")*H85,""))</f>
        <v>0</v>
      </c>
      <c r="Q85" s="8">
        <f>IF(OR(G85="",H85=""),"",IFERROR(IFERROR(INDEX(Recipes!$Q$5:$Q$204,MATCH(G85,Recipes!$A$5:$A$204,0)),"")*H85,""))</f>
        <v>0</v>
      </c>
      <c r="R85" s="8">
        <f>IF(F85="","",Weekly_Budget/21)</f>
        <v>0</v>
      </c>
      <c r="S85" s="27"/>
      <c r="T85" s="27"/>
      <c r="U85" s="26"/>
      <c r="V85" s="7"/>
      <c r="W85" s="7"/>
      <c r="X85" s="26"/>
      <c r="Y85" s="8">
        <f>IF(G85="","",IF(COUNTIFS('Meal Prep'!$D$5:$D$124,G85)&gt;0,"Yes","No"))</f>
        <v>0</v>
      </c>
      <c r="Z85" s="8">
        <f>IF(G85="","",COUNTIFS('Recipe Ingredients'!$A$5:$A$1204,G85))</f>
        <v>0</v>
      </c>
      <c r="AA85" s="25"/>
      <c r="AB85" s="8">
        <f>IF(OR(B85="",Q85=""),"",COUNTIFS($B$5:$B$504,B85,$Q$5:$Q$504,"&gt;"&amp;Q85)+1)</f>
        <v>0</v>
      </c>
      <c r="AC85" s="8">
        <f>IF(OR(B85="",L85=""),"",COUNTIFS($B$5:$B$504,B85,$L$5:$L$504,"&gt;"&amp;L85)+1)</f>
        <v>0</v>
      </c>
      <c r="AD85" s="8">
        <f>IF(G85="","",IF(COUNTIFS($G$5:$G$504,G85)&gt;1,"Repeat","Once"))</f>
        <v>0</v>
      </c>
      <c r="AE85" s="8">
        <f>IF(G85="","",IF(IFERROR(INDEX(Recipes!$X$5:$X$204,MATCH(G85,Recipes!$A$5:$A$204,0)),"")="","",IFERROR(B85-IFERROR(INDEX(Recipes!$X$5:$X$204,MATCH(G85,Recipes!$A$5:$A$204,0)),""),"")))</f>
        <v>0</v>
      </c>
      <c r="AF85" s="8">
        <f>IF(G85="","",IF(AE85="","Yes",IF(AE85&gt;=Rotation_Gap_Days,"Yes","No")))</f>
        <v>0</v>
      </c>
      <c r="AG85" s="8">
        <f>IF(G85="","",IF(COUNTIFS('Recipe Ingredients'!$A$5:$A$1204,G85,'Recipe Ingredients'!$AC$5:$AC$1204,"Check")&gt;0,"Check","OK"))</f>
        <v>0</v>
      </c>
    </row>
    <row r="86" spans="1:33">
      <c r="A86" s="7"/>
      <c r="B86" s="30"/>
      <c r="C86" s="8">
        <f>IF(B86="","",B86-WEEKDAY(B86,2)+1)</f>
        <v>0</v>
      </c>
      <c r="D86" s="8">
        <f>IF(B86="","",TEXT(B86,"ddd"))</f>
        <v>0</v>
      </c>
      <c r="E86" s="8">
        <f>IF(B86="","",TEXT(B86,"mmm yyyy"))</f>
        <v>0</v>
      </c>
      <c r="F86" s="27"/>
      <c r="G86" s="7"/>
      <c r="H86" s="26"/>
      <c r="I86" s="8">
        <f>IF(G86="","",IFERROR(INDEX(Recipes!$D$5:$D$204,MATCH(G86,Recipes!$A$5:$A$204,0)),""))</f>
        <v>0</v>
      </c>
      <c r="J86" s="8">
        <f>IF(OR(G86="",H86="",I86="",I86=0),"",H86/I86)</f>
        <v>0</v>
      </c>
      <c r="K86" s="8">
        <f>IF(B86="","",Household_Size)</f>
        <v>0</v>
      </c>
      <c r="L86" s="8">
        <f>IF(OR(G86="",H86=""),"",IFERROR(IFERROR(INDEX(Recipes!$H$5:$H$204,MATCH(G86,Recipes!$A$5:$A$204,0)),"")*H86,""))</f>
        <v>0</v>
      </c>
      <c r="M86" s="8">
        <f>IF(OR(G86="",H86=""),"",IFERROR(IFERROR(INDEX(Recipes!$I$5:$I$204,MATCH(G86,Recipes!$A$5:$A$204,0)),"")*H86,""))</f>
        <v>0</v>
      </c>
      <c r="N86" s="8">
        <f>IF(OR(G86="",H86=""),"",IFERROR(IFERROR(INDEX(Recipes!$J$5:$J$204,MATCH(G86,Recipes!$A$5:$A$204,0)),"")*H86,""))</f>
        <v>0</v>
      </c>
      <c r="O86" s="8">
        <f>IF(OR(G86="",H86=""),"",IFERROR(IFERROR(INDEX(Recipes!$K$5:$K$204,MATCH(G86,Recipes!$A$5:$A$204,0)),"")*H86,""))</f>
        <v>0</v>
      </c>
      <c r="P86" s="8">
        <f>IF(OR(G86="",H86=""),"",IFERROR(IFERROR(INDEX(Recipes!$L$5:$L$204,MATCH(G86,Recipes!$A$5:$A$204,0)),"")*H86,""))</f>
        <v>0</v>
      </c>
      <c r="Q86" s="8">
        <f>IF(OR(G86="",H86=""),"",IFERROR(IFERROR(INDEX(Recipes!$Q$5:$Q$204,MATCH(G86,Recipes!$A$5:$A$204,0)),"")*H86,""))</f>
        <v>0</v>
      </c>
      <c r="R86" s="8">
        <f>IF(F86="","",Weekly_Budget/21)</f>
        <v>0</v>
      </c>
      <c r="S86" s="27"/>
      <c r="T86" s="27"/>
      <c r="U86" s="26"/>
      <c r="V86" s="7"/>
      <c r="W86" s="7"/>
      <c r="X86" s="26"/>
      <c r="Y86" s="8">
        <f>IF(G86="","",IF(COUNTIFS('Meal Prep'!$D$5:$D$124,G86)&gt;0,"Yes","No"))</f>
        <v>0</v>
      </c>
      <c r="Z86" s="8">
        <f>IF(G86="","",COUNTIFS('Recipe Ingredients'!$A$5:$A$1204,G86))</f>
        <v>0</v>
      </c>
      <c r="AA86" s="25"/>
      <c r="AB86" s="8">
        <f>IF(OR(B86="",Q86=""),"",COUNTIFS($B$5:$B$504,B86,$Q$5:$Q$504,"&gt;"&amp;Q86)+1)</f>
        <v>0</v>
      </c>
      <c r="AC86" s="8">
        <f>IF(OR(B86="",L86=""),"",COUNTIFS($B$5:$B$504,B86,$L$5:$L$504,"&gt;"&amp;L86)+1)</f>
        <v>0</v>
      </c>
      <c r="AD86" s="8">
        <f>IF(G86="","",IF(COUNTIFS($G$5:$G$504,G86)&gt;1,"Repeat","Once"))</f>
        <v>0</v>
      </c>
      <c r="AE86" s="8">
        <f>IF(G86="","",IF(IFERROR(INDEX(Recipes!$X$5:$X$204,MATCH(G86,Recipes!$A$5:$A$204,0)),"")="","",IFERROR(B86-IFERROR(INDEX(Recipes!$X$5:$X$204,MATCH(G86,Recipes!$A$5:$A$204,0)),""),"")))</f>
        <v>0</v>
      </c>
      <c r="AF86" s="8">
        <f>IF(G86="","",IF(AE86="","Yes",IF(AE86&gt;=Rotation_Gap_Days,"Yes","No")))</f>
        <v>0</v>
      </c>
      <c r="AG86" s="8">
        <f>IF(G86="","",IF(COUNTIFS('Recipe Ingredients'!$A$5:$A$1204,G86,'Recipe Ingredients'!$AC$5:$AC$1204,"Check")&gt;0,"Check","OK"))</f>
        <v>0</v>
      </c>
    </row>
    <row r="87" spans="1:33">
      <c r="A87" s="7"/>
      <c r="B87" s="30"/>
      <c r="C87" s="8">
        <f>IF(B87="","",B87-WEEKDAY(B87,2)+1)</f>
        <v>0</v>
      </c>
      <c r="D87" s="8">
        <f>IF(B87="","",TEXT(B87,"ddd"))</f>
        <v>0</v>
      </c>
      <c r="E87" s="8">
        <f>IF(B87="","",TEXT(B87,"mmm yyyy"))</f>
        <v>0</v>
      </c>
      <c r="F87" s="27"/>
      <c r="G87" s="7"/>
      <c r="H87" s="26"/>
      <c r="I87" s="8">
        <f>IF(G87="","",IFERROR(INDEX(Recipes!$D$5:$D$204,MATCH(G87,Recipes!$A$5:$A$204,0)),""))</f>
        <v>0</v>
      </c>
      <c r="J87" s="8">
        <f>IF(OR(G87="",H87="",I87="",I87=0),"",H87/I87)</f>
        <v>0</v>
      </c>
      <c r="K87" s="8">
        <f>IF(B87="","",Household_Size)</f>
        <v>0</v>
      </c>
      <c r="L87" s="8">
        <f>IF(OR(G87="",H87=""),"",IFERROR(IFERROR(INDEX(Recipes!$H$5:$H$204,MATCH(G87,Recipes!$A$5:$A$204,0)),"")*H87,""))</f>
        <v>0</v>
      </c>
      <c r="M87" s="8">
        <f>IF(OR(G87="",H87=""),"",IFERROR(IFERROR(INDEX(Recipes!$I$5:$I$204,MATCH(G87,Recipes!$A$5:$A$204,0)),"")*H87,""))</f>
        <v>0</v>
      </c>
      <c r="N87" s="8">
        <f>IF(OR(G87="",H87=""),"",IFERROR(IFERROR(INDEX(Recipes!$J$5:$J$204,MATCH(G87,Recipes!$A$5:$A$204,0)),"")*H87,""))</f>
        <v>0</v>
      </c>
      <c r="O87" s="8">
        <f>IF(OR(G87="",H87=""),"",IFERROR(IFERROR(INDEX(Recipes!$K$5:$K$204,MATCH(G87,Recipes!$A$5:$A$204,0)),"")*H87,""))</f>
        <v>0</v>
      </c>
      <c r="P87" s="8">
        <f>IF(OR(G87="",H87=""),"",IFERROR(IFERROR(INDEX(Recipes!$L$5:$L$204,MATCH(G87,Recipes!$A$5:$A$204,0)),"")*H87,""))</f>
        <v>0</v>
      </c>
      <c r="Q87" s="8">
        <f>IF(OR(G87="",H87=""),"",IFERROR(IFERROR(INDEX(Recipes!$Q$5:$Q$204,MATCH(G87,Recipes!$A$5:$A$204,0)),"")*H87,""))</f>
        <v>0</v>
      </c>
      <c r="R87" s="8">
        <f>IF(F87="","",Weekly_Budget/21)</f>
        <v>0</v>
      </c>
      <c r="S87" s="27"/>
      <c r="T87" s="27"/>
      <c r="U87" s="26"/>
      <c r="V87" s="7"/>
      <c r="W87" s="7"/>
      <c r="X87" s="26"/>
      <c r="Y87" s="8">
        <f>IF(G87="","",IF(COUNTIFS('Meal Prep'!$D$5:$D$124,G87)&gt;0,"Yes","No"))</f>
        <v>0</v>
      </c>
      <c r="Z87" s="8">
        <f>IF(G87="","",COUNTIFS('Recipe Ingredients'!$A$5:$A$1204,G87))</f>
        <v>0</v>
      </c>
      <c r="AA87" s="25"/>
      <c r="AB87" s="8">
        <f>IF(OR(B87="",Q87=""),"",COUNTIFS($B$5:$B$504,B87,$Q$5:$Q$504,"&gt;"&amp;Q87)+1)</f>
        <v>0</v>
      </c>
      <c r="AC87" s="8">
        <f>IF(OR(B87="",L87=""),"",COUNTIFS($B$5:$B$504,B87,$L$5:$L$504,"&gt;"&amp;L87)+1)</f>
        <v>0</v>
      </c>
      <c r="AD87" s="8">
        <f>IF(G87="","",IF(COUNTIFS($G$5:$G$504,G87)&gt;1,"Repeat","Once"))</f>
        <v>0</v>
      </c>
      <c r="AE87" s="8">
        <f>IF(G87="","",IF(IFERROR(INDEX(Recipes!$X$5:$X$204,MATCH(G87,Recipes!$A$5:$A$204,0)),"")="","",IFERROR(B87-IFERROR(INDEX(Recipes!$X$5:$X$204,MATCH(G87,Recipes!$A$5:$A$204,0)),""),"")))</f>
        <v>0</v>
      </c>
      <c r="AF87" s="8">
        <f>IF(G87="","",IF(AE87="","Yes",IF(AE87&gt;=Rotation_Gap_Days,"Yes","No")))</f>
        <v>0</v>
      </c>
      <c r="AG87" s="8">
        <f>IF(G87="","",IF(COUNTIFS('Recipe Ingredients'!$A$5:$A$1204,G87,'Recipe Ingredients'!$AC$5:$AC$1204,"Check")&gt;0,"Check","OK"))</f>
        <v>0</v>
      </c>
    </row>
    <row r="88" spans="1:33">
      <c r="A88" s="7"/>
      <c r="B88" s="30"/>
      <c r="C88" s="8">
        <f>IF(B88="","",B88-WEEKDAY(B88,2)+1)</f>
        <v>0</v>
      </c>
      <c r="D88" s="8">
        <f>IF(B88="","",TEXT(B88,"ddd"))</f>
        <v>0</v>
      </c>
      <c r="E88" s="8">
        <f>IF(B88="","",TEXT(B88,"mmm yyyy"))</f>
        <v>0</v>
      </c>
      <c r="F88" s="27"/>
      <c r="G88" s="7"/>
      <c r="H88" s="26"/>
      <c r="I88" s="8">
        <f>IF(G88="","",IFERROR(INDEX(Recipes!$D$5:$D$204,MATCH(G88,Recipes!$A$5:$A$204,0)),""))</f>
        <v>0</v>
      </c>
      <c r="J88" s="8">
        <f>IF(OR(G88="",H88="",I88="",I88=0),"",H88/I88)</f>
        <v>0</v>
      </c>
      <c r="K88" s="8">
        <f>IF(B88="","",Household_Size)</f>
        <v>0</v>
      </c>
      <c r="L88" s="8">
        <f>IF(OR(G88="",H88=""),"",IFERROR(IFERROR(INDEX(Recipes!$H$5:$H$204,MATCH(G88,Recipes!$A$5:$A$204,0)),"")*H88,""))</f>
        <v>0</v>
      </c>
      <c r="M88" s="8">
        <f>IF(OR(G88="",H88=""),"",IFERROR(IFERROR(INDEX(Recipes!$I$5:$I$204,MATCH(G88,Recipes!$A$5:$A$204,0)),"")*H88,""))</f>
        <v>0</v>
      </c>
      <c r="N88" s="8">
        <f>IF(OR(G88="",H88=""),"",IFERROR(IFERROR(INDEX(Recipes!$J$5:$J$204,MATCH(G88,Recipes!$A$5:$A$204,0)),"")*H88,""))</f>
        <v>0</v>
      </c>
      <c r="O88" s="8">
        <f>IF(OR(G88="",H88=""),"",IFERROR(IFERROR(INDEX(Recipes!$K$5:$K$204,MATCH(G88,Recipes!$A$5:$A$204,0)),"")*H88,""))</f>
        <v>0</v>
      </c>
      <c r="P88" s="8">
        <f>IF(OR(G88="",H88=""),"",IFERROR(IFERROR(INDEX(Recipes!$L$5:$L$204,MATCH(G88,Recipes!$A$5:$A$204,0)),"")*H88,""))</f>
        <v>0</v>
      </c>
      <c r="Q88" s="8">
        <f>IF(OR(G88="",H88=""),"",IFERROR(IFERROR(INDEX(Recipes!$Q$5:$Q$204,MATCH(G88,Recipes!$A$5:$A$204,0)),"")*H88,""))</f>
        <v>0</v>
      </c>
      <c r="R88" s="8">
        <f>IF(F88="","",Weekly_Budget/21)</f>
        <v>0</v>
      </c>
      <c r="S88" s="27"/>
      <c r="T88" s="27"/>
      <c r="U88" s="26"/>
      <c r="V88" s="7"/>
      <c r="W88" s="7"/>
      <c r="X88" s="26"/>
      <c r="Y88" s="8">
        <f>IF(G88="","",IF(COUNTIFS('Meal Prep'!$D$5:$D$124,G88)&gt;0,"Yes","No"))</f>
        <v>0</v>
      </c>
      <c r="Z88" s="8">
        <f>IF(G88="","",COUNTIFS('Recipe Ingredients'!$A$5:$A$1204,G88))</f>
        <v>0</v>
      </c>
      <c r="AA88" s="25"/>
      <c r="AB88" s="8">
        <f>IF(OR(B88="",Q88=""),"",COUNTIFS($B$5:$B$504,B88,$Q$5:$Q$504,"&gt;"&amp;Q88)+1)</f>
        <v>0</v>
      </c>
      <c r="AC88" s="8">
        <f>IF(OR(B88="",L88=""),"",COUNTIFS($B$5:$B$504,B88,$L$5:$L$504,"&gt;"&amp;L88)+1)</f>
        <v>0</v>
      </c>
      <c r="AD88" s="8">
        <f>IF(G88="","",IF(COUNTIFS($G$5:$G$504,G88)&gt;1,"Repeat","Once"))</f>
        <v>0</v>
      </c>
      <c r="AE88" s="8">
        <f>IF(G88="","",IF(IFERROR(INDEX(Recipes!$X$5:$X$204,MATCH(G88,Recipes!$A$5:$A$204,0)),"")="","",IFERROR(B88-IFERROR(INDEX(Recipes!$X$5:$X$204,MATCH(G88,Recipes!$A$5:$A$204,0)),""),"")))</f>
        <v>0</v>
      </c>
      <c r="AF88" s="8">
        <f>IF(G88="","",IF(AE88="","Yes",IF(AE88&gt;=Rotation_Gap_Days,"Yes","No")))</f>
        <v>0</v>
      </c>
      <c r="AG88" s="8">
        <f>IF(G88="","",IF(COUNTIFS('Recipe Ingredients'!$A$5:$A$1204,G88,'Recipe Ingredients'!$AC$5:$AC$1204,"Check")&gt;0,"Check","OK"))</f>
        <v>0</v>
      </c>
    </row>
    <row r="89" spans="1:33">
      <c r="A89" s="7"/>
      <c r="B89" s="30"/>
      <c r="C89" s="8">
        <f>IF(B89="","",B89-WEEKDAY(B89,2)+1)</f>
        <v>0</v>
      </c>
      <c r="D89" s="8">
        <f>IF(B89="","",TEXT(B89,"ddd"))</f>
        <v>0</v>
      </c>
      <c r="E89" s="8">
        <f>IF(B89="","",TEXT(B89,"mmm yyyy"))</f>
        <v>0</v>
      </c>
      <c r="F89" s="27"/>
      <c r="G89" s="7"/>
      <c r="H89" s="26"/>
      <c r="I89" s="8">
        <f>IF(G89="","",IFERROR(INDEX(Recipes!$D$5:$D$204,MATCH(G89,Recipes!$A$5:$A$204,0)),""))</f>
        <v>0</v>
      </c>
      <c r="J89" s="8">
        <f>IF(OR(G89="",H89="",I89="",I89=0),"",H89/I89)</f>
        <v>0</v>
      </c>
      <c r="K89" s="8">
        <f>IF(B89="","",Household_Size)</f>
        <v>0</v>
      </c>
      <c r="L89" s="8">
        <f>IF(OR(G89="",H89=""),"",IFERROR(IFERROR(INDEX(Recipes!$H$5:$H$204,MATCH(G89,Recipes!$A$5:$A$204,0)),"")*H89,""))</f>
        <v>0</v>
      </c>
      <c r="M89" s="8">
        <f>IF(OR(G89="",H89=""),"",IFERROR(IFERROR(INDEX(Recipes!$I$5:$I$204,MATCH(G89,Recipes!$A$5:$A$204,0)),"")*H89,""))</f>
        <v>0</v>
      </c>
      <c r="N89" s="8">
        <f>IF(OR(G89="",H89=""),"",IFERROR(IFERROR(INDEX(Recipes!$J$5:$J$204,MATCH(G89,Recipes!$A$5:$A$204,0)),"")*H89,""))</f>
        <v>0</v>
      </c>
      <c r="O89" s="8">
        <f>IF(OR(G89="",H89=""),"",IFERROR(IFERROR(INDEX(Recipes!$K$5:$K$204,MATCH(G89,Recipes!$A$5:$A$204,0)),"")*H89,""))</f>
        <v>0</v>
      </c>
      <c r="P89" s="8">
        <f>IF(OR(G89="",H89=""),"",IFERROR(IFERROR(INDEX(Recipes!$L$5:$L$204,MATCH(G89,Recipes!$A$5:$A$204,0)),"")*H89,""))</f>
        <v>0</v>
      </c>
      <c r="Q89" s="8">
        <f>IF(OR(G89="",H89=""),"",IFERROR(IFERROR(INDEX(Recipes!$Q$5:$Q$204,MATCH(G89,Recipes!$A$5:$A$204,0)),"")*H89,""))</f>
        <v>0</v>
      </c>
      <c r="R89" s="8">
        <f>IF(F89="","",Weekly_Budget/21)</f>
        <v>0</v>
      </c>
      <c r="S89" s="27"/>
      <c r="T89" s="27"/>
      <c r="U89" s="26"/>
      <c r="V89" s="7"/>
      <c r="W89" s="7"/>
      <c r="X89" s="26"/>
      <c r="Y89" s="8">
        <f>IF(G89="","",IF(COUNTIFS('Meal Prep'!$D$5:$D$124,G89)&gt;0,"Yes","No"))</f>
        <v>0</v>
      </c>
      <c r="Z89" s="8">
        <f>IF(G89="","",COUNTIFS('Recipe Ingredients'!$A$5:$A$1204,G89))</f>
        <v>0</v>
      </c>
      <c r="AA89" s="25"/>
      <c r="AB89" s="8">
        <f>IF(OR(B89="",Q89=""),"",COUNTIFS($B$5:$B$504,B89,$Q$5:$Q$504,"&gt;"&amp;Q89)+1)</f>
        <v>0</v>
      </c>
      <c r="AC89" s="8">
        <f>IF(OR(B89="",L89=""),"",COUNTIFS($B$5:$B$504,B89,$L$5:$L$504,"&gt;"&amp;L89)+1)</f>
        <v>0</v>
      </c>
      <c r="AD89" s="8">
        <f>IF(G89="","",IF(COUNTIFS($G$5:$G$504,G89)&gt;1,"Repeat","Once"))</f>
        <v>0</v>
      </c>
      <c r="AE89" s="8">
        <f>IF(G89="","",IF(IFERROR(INDEX(Recipes!$X$5:$X$204,MATCH(G89,Recipes!$A$5:$A$204,0)),"")="","",IFERROR(B89-IFERROR(INDEX(Recipes!$X$5:$X$204,MATCH(G89,Recipes!$A$5:$A$204,0)),""),"")))</f>
        <v>0</v>
      </c>
      <c r="AF89" s="8">
        <f>IF(G89="","",IF(AE89="","Yes",IF(AE89&gt;=Rotation_Gap_Days,"Yes","No")))</f>
        <v>0</v>
      </c>
      <c r="AG89" s="8">
        <f>IF(G89="","",IF(COUNTIFS('Recipe Ingredients'!$A$5:$A$1204,G89,'Recipe Ingredients'!$AC$5:$AC$1204,"Check")&gt;0,"Check","OK"))</f>
        <v>0</v>
      </c>
    </row>
    <row r="90" spans="1:33">
      <c r="A90" s="7"/>
      <c r="B90" s="30"/>
      <c r="C90" s="8">
        <f>IF(B90="","",B90-WEEKDAY(B90,2)+1)</f>
        <v>0</v>
      </c>
      <c r="D90" s="8">
        <f>IF(B90="","",TEXT(B90,"ddd"))</f>
        <v>0</v>
      </c>
      <c r="E90" s="8">
        <f>IF(B90="","",TEXT(B90,"mmm yyyy"))</f>
        <v>0</v>
      </c>
      <c r="F90" s="27"/>
      <c r="G90" s="7"/>
      <c r="H90" s="26"/>
      <c r="I90" s="8">
        <f>IF(G90="","",IFERROR(INDEX(Recipes!$D$5:$D$204,MATCH(G90,Recipes!$A$5:$A$204,0)),""))</f>
        <v>0</v>
      </c>
      <c r="J90" s="8">
        <f>IF(OR(G90="",H90="",I90="",I90=0),"",H90/I90)</f>
        <v>0</v>
      </c>
      <c r="K90" s="8">
        <f>IF(B90="","",Household_Size)</f>
        <v>0</v>
      </c>
      <c r="L90" s="8">
        <f>IF(OR(G90="",H90=""),"",IFERROR(IFERROR(INDEX(Recipes!$H$5:$H$204,MATCH(G90,Recipes!$A$5:$A$204,0)),"")*H90,""))</f>
        <v>0</v>
      </c>
      <c r="M90" s="8">
        <f>IF(OR(G90="",H90=""),"",IFERROR(IFERROR(INDEX(Recipes!$I$5:$I$204,MATCH(G90,Recipes!$A$5:$A$204,0)),"")*H90,""))</f>
        <v>0</v>
      </c>
      <c r="N90" s="8">
        <f>IF(OR(G90="",H90=""),"",IFERROR(IFERROR(INDEX(Recipes!$J$5:$J$204,MATCH(G90,Recipes!$A$5:$A$204,0)),"")*H90,""))</f>
        <v>0</v>
      </c>
      <c r="O90" s="8">
        <f>IF(OR(G90="",H90=""),"",IFERROR(IFERROR(INDEX(Recipes!$K$5:$K$204,MATCH(G90,Recipes!$A$5:$A$204,0)),"")*H90,""))</f>
        <v>0</v>
      </c>
      <c r="P90" s="8">
        <f>IF(OR(G90="",H90=""),"",IFERROR(IFERROR(INDEX(Recipes!$L$5:$L$204,MATCH(G90,Recipes!$A$5:$A$204,0)),"")*H90,""))</f>
        <v>0</v>
      </c>
      <c r="Q90" s="8">
        <f>IF(OR(G90="",H90=""),"",IFERROR(IFERROR(INDEX(Recipes!$Q$5:$Q$204,MATCH(G90,Recipes!$A$5:$A$204,0)),"")*H90,""))</f>
        <v>0</v>
      </c>
      <c r="R90" s="8">
        <f>IF(F90="","",Weekly_Budget/21)</f>
        <v>0</v>
      </c>
      <c r="S90" s="27"/>
      <c r="T90" s="27"/>
      <c r="U90" s="26"/>
      <c r="V90" s="7"/>
      <c r="W90" s="7"/>
      <c r="X90" s="26"/>
      <c r="Y90" s="8">
        <f>IF(G90="","",IF(COUNTIFS('Meal Prep'!$D$5:$D$124,G90)&gt;0,"Yes","No"))</f>
        <v>0</v>
      </c>
      <c r="Z90" s="8">
        <f>IF(G90="","",COUNTIFS('Recipe Ingredients'!$A$5:$A$1204,G90))</f>
        <v>0</v>
      </c>
      <c r="AA90" s="25"/>
      <c r="AB90" s="8">
        <f>IF(OR(B90="",Q90=""),"",COUNTIFS($B$5:$B$504,B90,$Q$5:$Q$504,"&gt;"&amp;Q90)+1)</f>
        <v>0</v>
      </c>
      <c r="AC90" s="8">
        <f>IF(OR(B90="",L90=""),"",COUNTIFS($B$5:$B$504,B90,$L$5:$L$504,"&gt;"&amp;L90)+1)</f>
        <v>0</v>
      </c>
      <c r="AD90" s="8">
        <f>IF(G90="","",IF(COUNTIFS($G$5:$G$504,G90)&gt;1,"Repeat","Once"))</f>
        <v>0</v>
      </c>
      <c r="AE90" s="8">
        <f>IF(G90="","",IF(IFERROR(INDEX(Recipes!$X$5:$X$204,MATCH(G90,Recipes!$A$5:$A$204,0)),"")="","",IFERROR(B90-IFERROR(INDEX(Recipes!$X$5:$X$204,MATCH(G90,Recipes!$A$5:$A$204,0)),""),"")))</f>
        <v>0</v>
      </c>
      <c r="AF90" s="8">
        <f>IF(G90="","",IF(AE90="","Yes",IF(AE90&gt;=Rotation_Gap_Days,"Yes","No")))</f>
        <v>0</v>
      </c>
      <c r="AG90" s="8">
        <f>IF(G90="","",IF(COUNTIFS('Recipe Ingredients'!$A$5:$A$1204,G90,'Recipe Ingredients'!$AC$5:$AC$1204,"Check")&gt;0,"Check","OK"))</f>
        <v>0</v>
      </c>
    </row>
    <row r="91" spans="1:33">
      <c r="A91" s="7"/>
      <c r="B91" s="30"/>
      <c r="C91" s="8">
        <f>IF(B91="","",B91-WEEKDAY(B91,2)+1)</f>
        <v>0</v>
      </c>
      <c r="D91" s="8">
        <f>IF(B91="","",TEXT(B91,"ddd"))</f>
        <v>0</v>
      </c>
      <c r="E91" s="8">
        <f>IF(B91="","",TEXT(B91,"mmm yyyy"))</f>
        <v>0</v>
      </c>
      <c r="F91" s="27"/>
      <c r="G91" s="7"/>
      <c r="H91" s="26"/>
      <c r="I91" s="8">
        <f>IF(G91="","",IFERROR(INDEX(Recipes!$D$5:$D$204,MATCH(G91,Recipes!$A$5:$A$204,0)),""))</f>
        <v>0</v>
      </c>
      <c r="J91" s="8">
        <f>IF(OR(G91="",H91="",I91="",I91=0),"",H91/I91)</f>
        <v>0</v>
      </c>
      <c r="K91" s="8">
        <f>IF(B91="","",Household_Size)</f>
        <v>0</v>
      </c>
      <c r="L91" s="8">
        <f>IF(OR(G91="",H91=""),"",IFERROR(IFERROR(INDEX(Recipes!$H$5:$H$204,MATCH(G91,Recipes!$A$5:$A$204,0)),"")*H91,""))</f>
        <v>0</v>
      </c>
      <c r="M91" s="8">
        <f>IF(OR(G91="",H91=""),"",IFERROR(IFERROR(INDEX(Recipes!$I$5:$I$204,MATCH(G91,Recipes!$A$5:$A$204,0)),"")*H91,""))</f>
        <v>0</v>
      </c>
      <c r="N91" s="8">
        <f>IF(OR(G91="",H91=""),"",IFERROR(IFERROR(INDEX(Recipes!$J$5:$J$204,MATCH(G91,Recipes!$A$5:$A$204,0)),"")*H91,""))</f>
        <v>0</v>
      </c>
      <c r="O91" s="8">
        <f>IF(OR(G91="",H91=""),"",IFERROR(IFERROR(INDEX(Recipes!$K$5:$K$204,MATCH(G91,Recipes!$A$5:$A$204,0)),"")*H91,""))</f>
        <v>0</v>
      </c>
      <c r="P91" s="8">
        <f>IF(OR(G91="",H91=""),"",IFERROR(IFERROR(INDEX(Recipes!$L$5:$L$204,MATCH(G91,Recipes!$A$5:$A$204,0)),"")*H91,""))</f>
        <v>0</v>
      </c>
      <c r="Q91" s="8">
        <f>IF(OR(G91="",H91=""),"",IFERROR(IFERROR(INDEX(Recipes!$Q$5:$Q$204,MATCH(G91,Recipes!$A$5:$A$204,0)),"")*H91,""))</f>
        <v>0</v>
      </c>
      <c r="R91" s="8">
        <f>IF(F91="","",Weekly_Budget/21)</f>
        <v>0</v>
      </c>
      <c r="S91" s="27"/>
      <c r="T91" s="27"/>
      <c r="U91" s="26"/>
      <c r="V91" s="7"/>
      <c r="W91" s="7"/>
      <c r="X91" s="26"/>
      <c r="Y91" s="8">
        <f>IF(G91="","",IF(COUNTIFS('Meal Prep'!$D$5:$D$124,G91)&gt;0,"Yes","No"))</f>
        <v>0</v>
      </c>
      <c r="Z91" s="8">
        <f>IF(G91="","",COUNTIFS('Recipe Ingredients'!$A$5:$A$1204,G91))</f>
        <v>0</v>
      </c>
      <c r="AA91" s="25"/>
      <c r="AB91" s="8">
        <f>IF(OR(B91="",Q91=""),"",COUNTIFS($B$5:$B$504,B91,$Q$5:$Q$504,"&gt;"&amp;Q91)+1)</f>
        <v>0</v>
      </c>
      <c r="AC91" s="8">
        <f>IF(OR(B91="",L91=""),"",COUNTIFS($B$5:$B$504,B91,$L$5:$L$504,"&gt;"&amp;L91)+1)</f>
        <v>0</v>
      </c>
      <c r="AD91" s="8">
        <f>IF(G91="","",IF(COUNTIFS($G$5:$G$504,G91)&gt;1,"Repeat","Once"))</f>
        <v>0</v>
      </c>
      <c r="AE91" s="8">
        <f>IF(G91="","",IF(IFERROR(INDEX(Recipes!$X$5:$X$204,MATCH(G91,Recipes!$A$5:$A$204,0)),"")="","",IFERROR(B91-IFERROR(INDEX(Recipes!$X$5:$X$204,MATCH(G91,Recipes!$A$5:$A$204,0)),""),"")))</f>
        <v>0</v>
      </c>
      <c r="AF91" s="8">
        <f>IF(G91="","",IF(AE91="","Yes",IF(AE91&gt;=Rotation_Gap_Days,"Yes","No")))</f>
        <v>0</v>
      </c>
      <c r="AG91" s="8">
        <f>IF(G91="","",IF(COUNTIFS('Recipe Ingredients'!$A$5:$A$1204,G91,'Recipe Ingredients'!$AC$5:$AC$1204,"Check")&gt;0,"Check","OK"))</f>
        <v>0</v>
      </c>
    </row>
    <row r="92" spans="1:33">
      <c r="A92" s="7"/>
      <c r="B92" s="30"/>
      <c r="C92" s="8">
        <f>IF(B92="","",B92-WEEKDAY(B92,2)+1)</f>
        <v>0</v>
      </c>
      <c r="D92" s="8">
        <f>IF(B92="","",TEXT(B92,"ddd"))</f>
        <v>0</v>
      </c>
      <c r="E92" s="8">
        <f>IF(B92="","",TEXT(B92,"mmm yyyy"))</f>
        <v>0</v>
      </c>
      <c r="F92" s="27"/>
      <c r="G92" s="7"/>
      <c r="H92" s="26"/>
      <c r="I92" s="8">
        <f>IF(G92="","",IFERROR(INDEX(Recipes!$D$5:$D$204,MATCH(G92,Recipes!$A$5:$A$204,0)),""))</f>
        <v>0</v>
      </c>
      <c r="J92" s="8">
        <f>IF(OR(G92="",H92="",I92="",I92=0),"",H92/I92)</f>
        <v>0</v>
      </c>
      <c r="K92" s="8">
        <f>IF(B92="","",Household_Size)</f>
        <v>0</v>
      </c>
      <c r="L92" s="8">
        <f>IF(OR(G92="",H92=""),"",IFERROR(IFERROR(INDEX(Recipes!$H$5:$H$204,MATCH(G92,Recipes!$A$5:$A$204,0)),"")*H92,""))</f>
        <v>0</v>
      </c>
      <c r="M92" s="8">
        <f>IF(OR(G92="",H92=""),"",IFERROR(IFERROR(INDEX(Recipes!$I$5:$I$204,MATCH(G92,Recipes!$A$5:$A$204,0)),"")*H92,""))</f>
        <v>0</v>
      </c>
      <c r="N92" s="8">
        <f>IF(OR(G92="",H92=""),"",IFERROR(IFERROR(INDEX(Recipes!$J$5:$J$204,MATCH(G92,Recipes!$A$5:$A$204,0)),"")*H92,""))</f>
        <v>0</v>
      </c>
      <c r="O92" s="8">
        <f>IF(OR(G92="",H92=""),"",IFERROR(IFERROR(INDEX(Recipes!$K$5:$K$204,MATCH(G92,Recipes!$A$5:$A$204,0)),"")*H92,""))</f>
        <v>0</v>
      </c>
      <c r="P92" s="8">
        <f>IF(OR(G92="",H92=""),"",IFERROR(IFERROR(INDEX(Recipes!$L$5:$L$204,MATCH(G92,Recipes!$A$5:$A$204,0)),"")*H92,""))</f>
        <v>0</v>
      </c>
      <c r="Q92" s="8">
        <f>IF(OR(G92="",H92=""),"",IFERROR(IFERROR(INDEX(Recipes!$Q$5:$Q$204,MATCH(G92,Recipes!$A$5:$A$204,0)),"")*H92,""))</f>
        <v>0</v>
      </c>
      <c r="R92" s="8">
        <f>IF(F92="","",Weekly_Budget/21)</f>
        <v>0</v>
      </c>
      <c r="S92" s="27"/>
      <c r="T92" s="27"/>
      <c r="U92" s="26"/>
      <c r="V92" s="7"/>
      <c r="W92" s="7"/>
      <c r="X92" s="26"/>
      <c r="Y92" s="8">
        <f>IF(G92="","",IF(COUNTIFS('Meal Prep'!$D$5:$D$124,G92)&gt;0,"Yes","No"))</f>
        <v>0</v>
      </c>
      <c r="Z92" s="8">
        <f>IF(G92="","",COUNTIFS('Recipe Ingredients'!$A$5:$A$1204,G92))</f>
        <v>0</v>
      </c>
      <c r="AA92" s="25"/>
      <c r="AB92" s="8">
        <f>IF(OR(B92="",Q92=""),"",COUNTIFS($B$5:$B$504,B92,$Q$5:$Q$504,"&gt;"&amp;Q92)+1)</f>
        <v>0</v>
      </c>
      <c r="AC92" s="8">
        <f>IF(OR(B92="",L92=""),"",COUNTIFS($B$5:$B$504,B92,$L$5:$L$504,"&gt;"&amp;L92)+1)</f>
        <v>0</v>
      </c>
      <c r="AD92" s="8">
        <f>IF(G92="","",IF(COUNTIFS($G$5:$G$504,G92)&gt;1,"Repeat","Once"))</f>
        <v>0</v>
      </c>
      <c r="AE92" s="8">
        <f>IF(G92="","",IF(IFERROR(INDEX(Recipes!$X$5:$X$204,MATCH(G92,Recipes!$A$5:$A$204,0)),"")="","",IFERROR(B92-IFERROR(INDEX(Recipes!$X$5:$X$204,MATCH(G92,Recipes!$A$5:$A$204,0)),""),"")))</f>
        <v>0</v>
      </c>
      <c r="AF92" s="8">
        <f>IF(G92="","",IF(AE92="","Yes",IF(AE92&gt;=Rotation_Gap_Days,"Yes","No")))</f>
        <v>0</v>
      </c>
      <c r="AG92" s="8">
        <f>IF(G92="","",IF(COUNTIFS('Recipe Ingredients'!$A$5:$A$1204,G92,'Recipe Ingredients'!$AC$5:$AC$1204,"Check")&gt;0,"Check","OK"))</f>
        <v>0</v>
      </c>
    </row>
    <row r="93" spans="1:33">
      <c r="A93" s="7"/>
      <c r="B93" s="30"/>
      <c r="C93" s="8">
        <f>IF(B93="","",B93-WEEKDAY(B93,2)+1)</f>
        <v>0</v>
      </c>
      <c r="D93" s="8">
        <f>IF(B93="","",TEXT(B93,"ddd"))</f>
        <v>0</v>
      </c>
      <c r="E93" s="8">
        <f>IF(B93="","",TEXT(B93,"mmm yyyy"))</f>
        <v>0</v>
      </c>
      <c r="F93" s="27"/>
      <c r="G93" s="7"/>
      <c r="H93" s="26"/>
      <c r="I93" s="8">
        <f>IF(G93="","",IFERROR(INDEX(Recipes!$D$5:$D$204,MATCH(G93,Recipes!$A$5:$A$204,0)),""))</f>
        <v>0</v>
      </c>
      <c r="J93" s="8">
        <f>IF(OR(G93="",H93="",I93="",I93=0),"",H93/I93)</f>
        <v>0</v>
      </c>
      <c r="K93" s="8">
        <f>IF(B93="","",Household_Size)</f>
        <v>0</v>
      </c>
      <c r="L93" s="8">
        <f>IF(OR(G93="",H93=""),"",IFERROR(IFERROR(INDEX(Recipes!$H$5:$H$204,MATCH(G93,Recipes!$A$5:$A$204,0)),"")*H93,""))</f>
        <v>0</v>
      </c>
      <c r="M93" s="8">
        <f>IF(OR(G93="",H93=""),"",IFERROR(IFERROR(INDEX(Recipes!$I$5:$I$204,MATCH(G93,Recipes!$A$5:$A$204,0)),"")*H93,""))</f>
        <v>0</v>
      </c>
      <c r="N93" s="8">
        <f>IF(OR(G93="",H93=""),"",IFERROR(IFERROR(INDEX(Recipes!$J$5:$J$204,MATCH(G93,Recipes!$A$5:$A$204,0)),"")*H93,""))</f>
        <v>0</v>
      </c>
      <c r="O93" s="8">
        <f>IF(OR(G93="",H93=""),"",IFERROR(IFERROR(INDEX(Recipes!$K$5:$K$204,MATCH(G93,Recipes!$A$5:$A$204,0)),"")*H93,""))</f>
        <v>0</v>
      </c>
      <c r="P93" s="8">
        <f>IF(OR(G93="",H93=""),"",IFERROR(IFERROR(INDEX(Recipes!$L$5:$L$204,MATCH(G93,Recipes!$A$5:$A$204,0)),"")*H93,""))</f>
        <v>0</v>
      </c>
      <c r="Q93" s="8">
        <f>IF(OR(G93="",H93=""),"",IFERROR(IFERROR(INDEX(Recipes!$Q$5:$Q$204,MATCH(G93,Recipes!$A$5:$A$204,0)),"")*H93,""))</f>
        <v>0</v>
      </c>
      <c r="R93" s="8">
        <f>IF(F93="","",Weekly_Budget/21)</f>
        <v>0</v>
      </c>
      <c r="S93" s="27"/>
      <c r="T93" s="27"/>
      <c r="U93" s="26"/>
      <c r="V93" s="7"/>
      <c r="W93" s="7"/>
      <c r="X93" s="26"/>
      <c r="Y93" s="8">
        <f>IF(G93="","",IF(COUNTIFS('Meal Prep'!$D$5:$D$124,G93)&gt;0,"Yes","No"))</f>
        <v>0</v>
      </c>
      <c r="Z93" s="8">
        <f>IF(G93="","",COUNTIFS('Recipe Ingredients'!$A$5:$A$1204,G93))</f>
        <v>0</v>
      </c>
      <c r="AA93" s="25"/>
      <c r="AB93" s="8">
        <f>IF(OR(B93="",Q93=""),"",COUNTIFS($B$5:$B$504,B93,$Q$5:$Q$504,"&gt;"&amp;Q93)+1)</f>
        <v>0</v>
      </c>
      <c r="AC93" s="8">
        <f>IF(OR(B93="",L93=""),"",COUNTIFS($B$5:$B$504,B93,$L$5:$L$504,"&gt;"&amp;L93)+1)</f>
        <v>0</v>
      </c>
      <c r="AD93" s="8">
        <f>IF(G93="","",IF(COUNTIFS($G$5:$G$504,G93)&gt;1,"Repeat","Once"))</f>
        <v>0</v>
      </c>
      <c r="AE93" s="8">
        <f>IF(G93="","",IF(IFERROR(INDEX(Recipes!$X$5:$X$204,MATCH(G93,Recipes!$A$5:$A$204,0)),"")="","",IFERROR(B93-IFERROR(INDEX(Recipes!$X$5:$X$204,MATCH(G93,Recipes!$A$5:$A$204,0)),""),"")))</f>
        <v>0</v>
      </c>
      <c r="AF93" s="8">
        <f>IF(G93="","",IF(AE93="","Yes",IF(AE93&gt;=Rotation_Gap_Days,"Yes","No")))</f>
        <v>0</v>
      </c>
      <c r="AG93" s="8">
        <f>IF(G93="","",IF(COUNTIFS('Recipe Ingredients'!$A$5:$A$1204,G93,'Recipe Ingredients'!$AC$5:$AC$1204,"Check")&gt;0,"Check","OK"))</f>
        <v>0</v>
      </c>
    </row>
    <row r="94" spans="1:33">
      <c r="A94" s="7"/>
      <c r="B94" s="30"/>
      <c r="C94" s="8">
        <f>IF(B94="","",B94-WEEKDAY(B94,2)+1)</f>
        <v>0</v>
      </c>
      <c r="D94" s="8">
        <f>IF(B94="","",TEXT(B94,"ddd"))</f>
        <v>0</v>
      </c>
      <c r="E94" s="8">
        <f>IF(B94="","",TEXT(B94,"mmm yyyy"))</f>
        <v>0</v>
      </c>
      <c r="F94" s="27"/>
      <c r="G94" s="7"/>
      <c r="H94" s="26"/>
      <c r="I94" s="8">
        <f>IF(G94="","",IFERROR(INDEX(Recipes!$D$5:$D$204,MATCH(G94,Recipes!$A$5:$A$204,0)),""))</f>
        <v>0</v>
      </c>
      <c r="J94" s="8">
        <f>IF(OR(G94="",H94="",I94="",I94=0),"",H94/I94)</f>
        <v>0</v>
      </c>
      <c r="K94" s="8">
        <f>IF(B94="","",Household_Size)</f>
        <v>0</v>
      </c>
      <c r="L94" s="8">
        <f>IF(OR(G94="",H94=""),"",IFERROR(IFERROR(INDEX(Recipes!$H$5:$H$204,MATCH(G94,Recipes!$A$5:$A$204,0)),"")*H94,""))</f>
        <v>0</v>
      </c>
      <c r="M94" s="8">
        <f>IF(OR(G94="",H94=""),"",IFERROR(IFERROR(INDEX(Recipes!$I$5:$I$204,MATCH(G94,Recipes!$A$5:$A$204,0)),"")*H94,""))</f>
        <v>0</v>
      </c>
      <c r="N94" s="8">
        <f>IF(OR(G94="",H94=""),"",IFERROR(IFERROR(INDEX(Recipes!$J$5:$J$204,MATCH(G94,Recipes!$A$5:$A$204,0)),"")*H94,""))</f>
        <v>0</v>
      </c>
      <c r="O94" s="8">
        <f>IF(OR(G94="",H94=""),"",IFERROR(IFERROR(INDEX(Recipes!$K$5:$K$204,MATCH(G94,Recipes!$A$5:$A$204,0)),"")*H94,""))</f>
        <v>0</v>
      </c>
      <c r="P94" s="8">
        <f>IF(OR(G94="",H94=""),"",IFERROR(IFERROR(INDEX(Recipes!$L$5:$L$204,MATCH(G94,Recipes!$A$5:$A$204,0)),"")*H94,""))</f>
        <v>0</v>
      </c>
      <c r="Q94" s="8">
        <f>IF(OR(G94="",H94=""),"",IFERROR(IFERROR(INDEX(Recipes!$Q$5:$Q$204,MATCH(G94,Recipes!$A$5:$A$204,0)),"")*H94,""))</f>
        <v>0</v>
      </c>
      <c r="R94" s="8">
        <f>IF(F94="","",Weekly_Budget/21)</f>
        <v>0</v>
      </c>
      <c r="S94" s="27"/>
      <c r="T94" s="27"/>
      <c r="U94" s="26"/>
      <c r="V94" s="7"/>
      <c r="W94" s="7"/>
      <c r="X94" s="26"/>
      <c r="Y94" s="8">
        <f>IF(G94="","",IF(COUNTIFS('Meal Prep'!$D$5:$D$124,G94)&gt;0,"Yes","No"))</f>
        <v>0</v>
      </c>
      <c r="Z94" s="8">
        <f>IF(G94="","",COUNTIFS('Recipe Ingredients'!$A$5:$A$1204,G94))</f>
        <v>0</v>
      </c>
      <c r="AA94" s="25"/>
      <c r="AB94" s="8">
        <f>IF(OR(B94="",Q94=""),"",COUNTIFS($B$5:$B$504,B94,$Q$5:$Q$504,"&gt;"&amp;Q94)+1)</f>
        <v>0</v>
      </c>
      <c r="AC94" s="8">
        <f>IF(OR(B94="",L94=""),"",COUNTIFS($B$5:$B$504,B94,$L$5:$L$504,"&gt;"&amp;L94)+1)</f>
        <v>0</v>
      </c>
      <c r="AD94" s="8">
        <f>IF(G94="","",IF(COUNTIFS($G$5:$G$504,G94)&gt;1,"Repeat","Once"))</f>
        <v>0</v>
      </c>
      <c r="AE94" s="8">
        <f>IF(G94="","",IF(IFERROR(INDEX(Recipes!$X$5:$X$204,MATCH(G94,Recipes!$A$5:$A$204,0)),"")="","",IFERROR(B94-IFERROR(INDEX(Recipes!$X$5:$X$204,MATCH(G94,Recipes!$A$5:$A$204,0)),""),"")))</f>
        <v>0</v>
      </c>
      <c r="AF94" s="8">
        <f>IF(G94="","",IF(AE94="","Yes",IF(AE94&gt;=Rotation_Gap_Days,"Yes","No")))</f>
        <v>0</v>
      </c>
      <c r="AG94" s="8">
        <f>IF(G94="","",IF(COUNTIFS('Recipe Ingredients'!$A$5:$A$1204,G94,'Recipe Ingredients'!$AC$5:$AC$1204,"Check")&gt;0,"Check","OK"))</f>
        <v>0</v>
      </c>
    </row>
    <row r="95" spans="1:33">
      <c r="A95" s="7"/>
      <c r="B95" s="30"/>
      <c r="C95" s="8">
        <f>IF(B95="","",B95-WEEKDAY(B95,2)+1)</f>
        <v>0</v>
      </c>
      <c r="D95" s="8">
        <f>IF(B95="","",TEXT(B95,"ddd"))</f>
        <v>0</v>
      </c>
      <c r="E95" s="8">
        <f>IF(B95="","",TEXT(B95,"mmm yyyy"))</f>
        <v>0</v>
      </c>
      <c r="F95" s="27"/>
      <c r="G95" s="7"/>
      <c r="H95" s="26"/>
      <c r="I95" s="8">
        <f>IF(G95="","",IFERROR(INDEX(Recipes!$D$5:$D$204,MATCH(G95,Recipes!$A$5:$A$204,0)),""))</f>
        <v>0</v>
      </c>
      <c r="J95" s="8">
        <f>IF(OR(G95="",H95="",I95="",I95=0),"",H95/I95)</f>
        <v>0</v>
      </c>
      <c r="K95" s="8">
        <f>IF(B95="","",Household_Size)</f>
        <v>0</v>
      </c>
      <c r="L95" s="8">
        <f>IF(OR(G95="",H95=""),"",IFERROR(IFERROR(INDEX(Recipes!$H$5:$H$204,MATCH(G95,Recipes!$A$5:$A$204,0)),"")*H95,""))</f>
        <v>0</v>
      </c>
      <c r="M95" s="8">
        <f>IF(OR(G95="",H95=""),"",IFERROR(IFERROR(INDEX(Recipes!$I$5:$I$204,MATCH(G95,Recipes!$A$5:$A$204,0)),"")*H95,""))</f>
        <v>0</v>
      </c>
      <c r="N95" s="8">
        <f>IF(OR(G95="",H95=""),"",IFERROR(IFERROR(INDEX(Recipes!$J$5:$J$204,MATCH(G95,Recipes!$A$5:$A$204,0)),"")*H95,""))</f>
        <v>0</v>
      </c>
      <c r="O95" s="8">
        <f>IF(OR(G95="",H95=""),"",IFERROR(IFERROR(INDEX(Recipes!$K$5:$K$204,MATCH(G95,Recipes!$A$5:$A$204,0)),"")*H95,""))</f>
        <v>0</v>
      </c>
      <c r="P95" s="8">
        <f>IF(OR(G95="",H95=""),"",IFERROR(IFERROR(INDEX(Recipes!$L$5:$L$204,MATCH(G95,Recipes!$A$5:$A$204,0)),"")*H95,""))</f>
        <v>0</v>
      </c>
      <c r="Q95" s="8">
        <f>IF(OR(G95="",H95=""),"",IFERROR(IFERROR(INDEX(Recipes!$Q$5:$Q$204,MATCH(G95,Recipes!$A$5:$A$204,0)),"")*H95,""))</f>
        <v>0</v>
      </c>
      <c r="R95" s="8">
        <f>IF(F95="","",Weekly_Budget/21)</f>
        <v>0</v>
      </c>
      <c r="S95" s="27"/>
      <c r="T95" s="27"/>
      <c r="U95" s="26"/>
      <c r="V95" s="7"/>
      <c r="W95" s="7"/>
      <c r="X95" s="26"/>
      <c r="Y95" s="8">
        <f>IF(G95="","",IF(COUNTIFS('Meal Prep'!$D$5:$D$124,G95)&gt;0,"Yes","No"))</f>
        <v>0</v>
      </c>
      <c r="Z95" s="8">
        <f>IF(G95="","",COUNTIFS('Recipe Ingredients'!$A$5:$A$1204,G95))</f>
        <v>0</v>
      </c>
      <c r="AA95" s="25"/>
      <c r="AB95" s="8">
        <f>IF(OR(B95="",Q95=""),"",COUNTIFS($B$5:$B$504,B95,$Q$5:$Q$504,"&gt;"&amp;Q95)+1)</f>
        <v>0</v>
      </c>
      <c r="AC95" s="8">
        <f>IF(OR(B95="",L95=""),"",COUNTIFS($B$5:$B$504,B95,$L$5:$L$504,"&gt;"&amp;L95)+1)</f>
        <v>0</v>
      </c>
      <c r="AD95" s="8">
        <f>IF(G95="","",IF(COUNTIFS($G$5:$G$504,G95)&gt;1,"Repeat","Once"))</f>
        <v>0</v>
      </c>
      <c r="AE95" s="8">
        <f>IF(G95="","",IF(IFERROR(INDEX(Recipes!$X$5:$X$204,MATCH(G95,Recipes!$A$5:$A$204,0)),"")="","",IFERROR(B95-IFERROR(INDEX(Recipes!$X$5:$X$204,MATCH(G95,Recipes!$A$5:$A$204,0)),""),"")))</f>
        <v>0</v>
      </c>
      <c r="AF95" s="8">
        <f>IF(G95="","",IF(AE95="","Yes",IF(AE95&gt;=Rotation_Gap_Days,"Yes","No")))</f>
        <v>0</v>
      </c>
      <c r="AG95" s="8">
        <f>IF(G95="","",IF(COUNTIFS('Recipe Ingredients'!$A$5:$A$1204,G95,'Recipe Ingredients'!$AC$5:$AC$1204,"Check")&gt;0,"Check","OK"))</f>
        <v>0</v>
      </c>
    </row>
    <row r="96" spans="1:33">
      <c r="A96" s="7"/>
      <c r="B96" s="30"/>
      <c r="C96" s="8">
        <f>IF(B96="","",B96-WEEKDAY(B96,2)+1)</f>
        <v>0</v>
      </c>
      <c r="D96" s="8">
        <f>IF(B96="","",TEXT(B96,"ddd"))</f>
        <v>0</v>
      </c>
      <c r="E96" s="8">
        <f>IF(B96="","",TEXT(B96,"mmm yyyy"))</f>
        <v>0</v>
      </c>
      <c r="F96" s="27"/>
      <c r="G96" s="7"/>
      <c r="H96" s="26"/>
      <c r="I96" s="8">
        <f>IF(G96="","",IFERROR(INDEX(Recipes!$D$5:$D$204,MATCH(G96,Recipes!$A$5:$A$204,0)),""))</f>
        <v>0</v>
      </c>
      <c r="J96" s="8">
        <f>IF(OR(G96="",H96="",I96="",I96=0),"",H96/I96)</f>
        <v>0</v>
      </c>
      <c r="K96" s="8">
        <f>IF(B96="","",Household_Size)</f>
        <v>0</v>
      </c>
      <c r="L96" s="8">
        <f>IF(OR(G96="",H96=""),"",IFERROR(IFERROR(INDEX(Recipes!$H$5:$H$204,MATCH(G96,Recipes!$A$5:$A$204,0)),"")*H96,""))</f>
        <v>0</v>
      </c>
      <c r="M96" s="8">
        <f>IF(OR(G96="",H96=""),"",IFERROR(IFERROR(INDEX(Recipes!$I$5:$I$204,MATCH(G96,Recipes!$A$5:$A$204,0)),"")*H96,""))</f>
        <v>0</v>
      </c>
      <c r="N96" s="8">
        <f>IF(OR(G96="",H96=""),"",IFERROR(IFERROR(INDEX(Recipes!$J$5:$J$204,MATCH(G96,Recipes!$A$5:$A$204,0)),"")*H96,""))</f>
        <v>0</v>
      </c>
      <c r="O96" s="8">
        <f>IF(OR(G96="",H96=""),"",IFERROR(IFERROR(INDEX(Recipes!$K$5:$K$204,MATCH(G96,Recipes!$A$5:$A$204,0)),"")*H96,""))</f>
        <v>0</v>
      </c>
      <c r="P96" s="8">
        <f>IF(OR(G96="",H96=""),"",IFERROR(IFERROR(INDEX(Recipes!$L$5:$L$204,MATCH(G96,Recipes!$A$5:$A$204,0)),"")*H96,""))</f>
        <v>0</v>
      </c>
      <c r="Q96" s="8">
        <f>IF(OR(G96="",H96=""),"",IFERROR(IFERROR(INDEX(Recipes!$Q$5:$Q$204,MATCH(G96,Recipes!$A$5:$A$204,0)),"")*H96,""))</f>
        <v>0</v>
      </c>
      <c r="R96" s="8">
        <f>IF(F96="","",Weekly_Budget/21)</f>
        <v>0</v>
      </c>
      <c r="S96" s="27"/>
      <c r="T96" s="27"/>
      <c r="U96" s="26"/>
      <c r="V96" s="7"/>
      <c r="W96" s="7"/>
      <c r="X96" s="26"/>
      <c r="Y96" s="8">
        <f>IF(G96="","",IF(COUNTIFS('Meal Prep'!$D$5:$D$124,G96)&gt;0,"Yes","No"))</f>
        <v>0</v>
      </c>
      <c r="Z96" s="8">
        <f>IF(G96="","",COUNTIFS('Recipe Ingredients'!$A$5:$A$1204,G96))</f>
        <v>0</v>
      </c>
      <c r="AA96" s="25"/>
      <c r="AB96" s="8">
        <f>IF(OR(B96="",Q96=""),"",COUNTIFS($B$5:$B$504,B96,$Q$5:$Q$504,"&gt;"&amp;Q96)+1)</f>
        <v>0</v>
      </c>
      <c r="AC96" s="8">
        <f>IF(OR(B96="",L96=""),"",COUNTIFS($B$5:$B$504,B96,$L$5:$L$504,"&gt;"&amp;L96)+1)</f>
        <v>0</v>
      </c>
      <c r="AD96" s="8">
        <f>IF(G96="","",IF(COUNTIFS($G$5:$G$504,G96)&gt;1,"Repeat","Once"))</f>
        <v>0</v>
      </c>
      <c r="AE96" s="8">
        <f>IF(G96="","",IF(IFERROR(INDEX(Recipes!$X$5:$X$204,MATCH(G96,Recipes!$A$5:$A$204,0)),"")="","",IFERROR(B96-IFERROR(INDEX(Recipes!$X$5:$X$204,MATCH(G96,Recipes!$A$5:$A$204,0)),""),"")))</f>
        <v>0</v>
      </c>
      <c r="AF96" s="8">
        <f>IF(G96="","",IF(AE96="","Yes",IF(AE96&gt;=Rotation_Gap_Days,"Yes","No")))</f>
        <v>0</v>
      </c>
      <c r="AG96" s="8">
        <f>IF(G96="","",IF(COUNTIFS('Recipe Ingredients'!$A$5:$A$1204,G96,'Recipe Ingredients'!$AC$5:$AC$1204,"Check")&gt;0,"Check","OK"))</f>
        <v>0</v>
      </c>
    </row>
    <row r="97" spans="1:33">
      <c r="A97" s="7"/>
      <c r="B97" s="30"/>
      <c r="C97" s="8">
        <f>IF(B97="","",B97-WEEKDAY(B97,2)+1)</f>
        <v>0</v>
      </c>
      <c r="D97" s="8">
        <f>IF(B97="","",TEXT(B97,"ddd"))</f>
        <v>0</v>
      </c>
      <c r="E97" s="8">
        <f>IF(B97="","",TEXT(B97,"mmm yyyy"))</f>
        <v>0</v>
      </c>
      <c r="F97" s="27"/>
      <c r="G97" s="7"/>
      <c r="H97" s="26"/>
      <c r="I97" s="8">
        <f>IF(G97="","",IFERROR(INDEX(Recipes!$D$5:$D$204,MATCH(G97,Recipes!$A$5:$A$204,0)),""))</f>
        <v>0</v>
      </c>
      <c r="J97" s="8">
        <f>IF(OR(G97="",H97="",I97="",I97=0),"",H97/I97)</f>
        <v>0</v>
      </c>
      <c r="K97" s="8">
        <f>IF(B97="","",Household_Size)</f>
        <v>0</v>
      </c>
      <c r="L97" s="8">
        <f>IF(OR(G97="",H97=""),"",IFERROR(IFERROR(INDEX(Recipes!$H$5:$H$204,MATCH(G97,Recipes!$A$5:$A$204,0)),"")*H97,""))</f>
        <v>0</v>
      </c>
      <c r="M97" s="8">
        <f>IF(OR(G97="",H97=""),"",IFERROR(IFERROR(INDEX(Recipes!$I$5:$I$204,MATCH(G97,Recipes!$A$5:$A$204,0)),"")*H97,""))</f>
        <v>0</v>
      </c>
      <c r="N97" s="8">
        <f>IF(OR(G97="",H97=""),"",IFERROR(IFERROR(INDEX(Recipes!$J$5:$J$204,MATCH(G97,Recipes!$A$5:$A$204,0)),"")*H97,""))</f>
        <v>0</v>
      </c>
      <c r="O97" s="8">
        <f>IF(OR(G97="",H97=""),"",IFERROR(IFERROR(INDEX(Recipes!$K$5:$K$204,MATCH(G97,Recipes!$A$5:$A$204,0)),"")*H97,""))</f>
        <v>0</v>
      </c>
      <c r="P97" s="8">
        <f>IF(OR(G97="",H97=""),"",IFERROR(IFERROR(INDEX(Recipes!$L$5:$L$204,MATCH(G97,Recipes!$A$5:$A$204,0)),"")*H97,""))</f>
        <v>0</v>
      </c>
      <c r="Q97" s="8">
        <f>IF(OR(G97="",H97=""),"",IFERROR(IFERROR(INDEX(Recipes!$Q$5:$Q$204,MATCH(G97,Recipes!$A$5:$A$204,0)),"")*H97,""))</f>
        <v>0</v>
      </c>
      <c r="R97" s="8">
        <f>IF(F97="","",Weekly_Budget/21)</f>
        <v>0</v>
      </c>
      <c r="S97" s="27"/>
      <c r="T97" s="27"/>
      <c r="U97" s="26"/>
      <c r="V97" s="7"/>
      <c r="W97" s="7"/>
      <c r="X97" s="26"/>
      <c r="Y97" s="8">
        <f>IF(G97="","",IF(COUNTIFS('Meal Prep'!$D$5:$D$124,G97)&gt;0,"Yes","No"))</f>
        <v>0</v>
      </c>
      <c r="Z97" s="8">
        <f>IF(G97="","",COUNTIFS('Recipe Ingredients'!$A$5:$A$1204,G97))</f>
        <v>0</v>
      </c>
      <c r="AA97" s="25"/>
      <c r="AB97" s="8">
        <f>IF(OR(B97="",Q97=""),"",COUNTIFS($B$5:$B$504,B97,$Q$5:$Q$504,"&gt;"&amp;Q97)+1)</f>
        <v>0</v>
      </c>
      <c r="AC97" s="8">
        <f>IF(OR(B97="",L97=""),"",COUNTIFS($B$5:$B$504,B97,$L$5:$L$504,"&gt;"&amp;L97)+1)</f>
        <v>0</v>
      </c>
      <c r="AD97" s="8">
        <f>IF(G97="","",IF(COUNTIFS($G$5:$G$504,G97)&gt;1,"Repeat","Once"))</f>
        <v>0</v>
      </c>
      <c r="AE97" s="8">
        <f>IF(G97="","",IF(IFERROR(INDEX(Recipes!$X$5:$X$204,MATCH(G97,Recipes!$A$5:$A$204,0)),"")="","",IFERROR(B97-IFERROR(INDEX(Recipes!$X$5:$X$204,MATCH(G97,Recipes!$A$5:$A$204,0)),""),"")))</f>
        <v>0</v>
      </c>
      <c r="AF97" s="8">
        <f>IF(G97="","",IF(AE97="","Yes",IF(AE97&gt;=Rotation_Gap_Days,"Yes","No")))</f>
        <v>0</v>
      </c>
      <c r="AG97" s="8">
        <f>IF(G97="","",IF(COUNTIFS('Recipe Ingredients'!$A$5:$A$1204,G97,'Recipe Ingredients'!$AC$5:$AC$1204,"Check")&gt;0,"Check","OK"))</f>
        <v>0</v>
      </c>
    </row>
    <row r="98" spans="1:33">
      <c r="A98" s="7"/>
      <c r="B98" s="30"/>
      <c r="C98" s="8">
        <f>IF(B98="","",B98-WEEKDAY(B98,2)+1)</f>
        <v>0</v>
      </c>
      <c r="D98" s="8">
        <f>IF(B98="","",TEXT(B98,"ddd"))</f>
        <v>0</v>
      </c>
      <c r="E98" s="8">
        <f>IF(B98="","",TEXT(B98,"mmm yyyy"))</f>
        <v>0</v>
      </c>
      <c r="F98" s="27"/>
      <c r="G98" s="7"/>
      <c r="H98" s="26"/>
      <c r="I98" s="8">
        <f>IF(G98="","",IFERROR(INDEX(Recipes!$D$5:$D$204,MATCH(G98,Recipes!$A$5:$A$204,0)),""))</f>
        <v>0</v>
      </c>
      <c r="J98" s="8">
        <f>IF(OR(G98="",H98="",I98="",I98=0),"",H98/I98)</f>
        <v>0</v>
      </c>
      <c r="K98" s="8">
        <f>IF(B98="","",Household_Size)</f>
        <v>0</v>
      </c>
      <c r="L98" s="8">
        <f>IF(OR(G98="",H98=""),"",IFERROR(IFERROR(INDEX(Recipes!$H$5:$H$204,MATCH(G98,Recipes!$A$5:$A$204,0)),"")*H98,""))</f>
        <v>0</v>
      </c>
      <c r="M98" s="8">
        <f>IF(OR(G98="",H98=""),"",IFERROR(IFERROR(INDEX(Recipes!$I$5:$I$204,MATCH(G98,Recipes!$A$5:$A$204,0)),"")*H98,""))</f>
        <v>0</v>
      </c>
      <c r="N98" s="8">
        <f>IF(OR(G98="",H98=""),"",IFERROR(IFERROR(INDEX(Recipes!$J$5:$J$204,MATCH(G98,Recipes!$A$5:$A$204,0)),"")*H98,""))</f>
        <v>0</v>
      </c>
      <c r="O98" s="8">
        <f>IF(OR(G98="",H98=""),"",IFERROR(IFERROR(INDEX(Recipes!$K$5:$K$204,MATCH(G98,Recipes!$A$5:$A$204,0)),"")*H98,""))</f>
        <v>0</v>
      </c>
      <c r="P98" s="8">
        <f>IF(OR(G98="",H98=""),"",IFERROR(IFERROR(INDEX(Recipes!$L$5:$L$204,MATCH(G98,Recipes!$A$5:$A$204,0)),"")*H98,""))</f>
        <v>0</v>
      </c>
      <c r="Q98" s="8">
        <f>IF(OR(G98="",H98=""),"",IFERROR(IFERROR(INDEX(Recipes!$Q$5:$Q$204,MATCH(G98,Recipes!$A$5:$A$204,0)),"")*H98,""))</f>
        <v>0</v>
      </c>
      <c r="R98" s="8">
        <f>IF(F98="","",Weekly_Budget/21)</f>
        <v>0</v>
      </c>
      <c r="S98" s="27"/>
      <c r="T98" s="27"/>
      <c r="U98" s="26"/>
      <c r="V98" s="7"/>
      <c r="W98" s="7"/>
      <c r="X98" s="26"/>
      <c r="Y98" s="8">
        <f>IF(G98="","",IF(COUNTIFS('Meal Prep'!$D$5:$D$124,G98)&gt;0,"Yes","No"))</f>
        <v>0</v>
      </c>
      <c r="Z98" s="8">
        <f>IF(G98="","",COUNTIFS('Recipe Ingredients'!$A$5:$A$1204,G98))</f>
        <v>0</v>
      </c>
      <c r="AA98" s="25"/>
      <c r="AB98" s="8">
        <f>IF(OR(B98="",Q98=""),"",COUNTIFS($B$5:$B$504,B98,$Q$5:$Q$504,"&gt;"&amp;Q98)+1)</f>
        <v>0</v>
      </c>
      <c r="AC98" s="8">
        <f>IF(OR(B98="",L98=""),"",COUNTIFS($B$5:$B$504,B98,$L$5:$L$504,"&gt;"&amp;L98)+1)</f>
        <v>0</v>
      </c>
      <c r="AD98" s="8">
        <f>IF(G98="","",IF(COUNTIFS($G$5:$G$504,G98)&gt;1,"Repeat","Once"))</f>
        <v>0</v>
      </c>
      <c r="AE98" s="8">
        <f>IF(G98="","",IF(IFERROR(INDEX(Recipes!$X$5:$X$204,MATCH(G98,Recipes!$A$5:$A$204,0)),"")="","",IFERROR(B98-IFERROR(INDEX(Recipes!$X$5:$X$204,MATCH(G98,Recipes!$A$5:$A$204,0)),""),"")))</f>
        <v>0</v>
      </c>
      <c r="AF98" s="8">
        <f>IF(G98="","",IF(AE98="","Yes",IF(AE98&gt;=Rotation_Gap_Days,"Yes","No")))</f>
        <v>0</v>
      </c>
      <c r="AG98" s="8">
        <f>IF(G98="","",IF(COUNTIFS('Recipe Ingredients'!$A$5:$A$1204,G98,'Recipe Ingredients'!$AC$5:$AC$1204,"Check")&gt;0,"Check","OK"))</f>
        <v>0</v>
      </c>
    </row>
    <row r="99" spans="1:33">
      <c r="A99" s="7"/>
      <c r="B99" s="30"/>
      <c r="C99" s="8">
        <f>IF(B99="","",B99-WEEKDAY(B99,2)+1)</f>
        <v>0</v>
      </c>
      <c r="D99" s="8">
        <f>IF(B99="","",TEXT(B99,"ddd"))</f>
        <v>0</v>
      </c>
      <c r="E99" s="8">
        <f>IF(B99="","",TEXT(B99,"mmm yyyy"))</f>
        <v>0</v>
      </c>
      <c r="F99" s="27"/>
      <c r="G99" s="7"/>
      <c r="H99" s="26"/>
      <c r="I99" s="8">
        <f>IF(G99="","",IFERROR(INDEX(Recipes!$D$5:$D$204,MATCH(G99,Recipes!$A$5:$A$204,0)),""))</f>
        <v>0</v>
      </c>
      <c r="J99" s="8">
        <f>IF(OR(G99="",H99="",I99="",I99=0),"",H99/I99)</f>
        <v>0</v>
      </c>
      <c r="K99" s="8">
        <f>IF(B99="","",Household_Size)</f>
        <v>0</v>
      </c>
      <c r="L99" s="8">
        <f>IF(OR(G99="",H99=""),"",IFERROR(IFERROR(INDEX(Recipes!$H$5:$H$204,MATCH(G99,Recipes!$A$5:$A$204,0)),"")*H99,""))</f>
        <v>0</v>
      </c>
      <c r="M99" s="8">
        <f>IF(OR(G99="",H99=""),"",IFERROR(IFERROR(INDEX(Recipes!$I$5:$I$204,MATCH(G99,Recipes!$A$5:$A$204,0)),"")*H99,""))</f>
        <v>0</v>
      </c>
      <c r="N99" s="8">
        <f>IF(OR(G99="",H99=""),"",IFERROR(IFERROR(INDEX(Recipes!$J$5:$J$204,MATCH(G99,Recipes!$A$5:$A$204,0)),"")*H99,""))</f>
        <v>0</v>
      </c>
      <c r="O99" s="8">
        <f>IF(OR(G99="",H99=""),"",IFERROR(IFERROR(INDEX(Recipes!$K$5:$K$204,MATCH(G99,Recipes!$A$5:$A$204,0)),"")*H99,""))</f>
        <v>0</v>
      </c>
      <c r="P99" s="8">
        <f>IF(OR(G99="",H99=""),"",IFERROR(IFERROR(INDEX(Recipes!$L$5:$L$204,MATCH(G99,Recipes!$A$5:$A$204,0)),"")*H99,""))</f>
        <v>0</v>
      </c>
      <c r="Q99" s="8">
        <f>IF(OR(G99="",H99=""),"",IFERROR(IFERROR(INDEX(Recipes!$Q$5:$Q$204,MATCH(G99,Recipes!$A$5:$A$204,0)),"")*H99,""))</f>
        <v>0</v>
      </c>
      <c r="R99" s="8">
        <f>IF(F99="","",Weekly_Budget/21)</f>
        <v>0</v>
      </c>
      <c r="S99" s="27"/>
      <c r="T99" s="27"/>
      <c r="U99" s="26"/>
      <c r="V99" s="7"/>
      <c r="W99" s="7"/>
      <c r="X99" s="26"/>
      <c r="Y99" s="8">
        <f>IF(G99="","",IF(COUNTIFS('Meal Prep'!$D$5:$D$124,G99)&gt;0,"Yes","No"))</f>
        <v>0</v>
      </c>
      <c r="Z99" s="8">
        <f>IF(G99="","",COUNTIFS('Recipe Ingredients'!$A$5:$A$1204,G99))</f>
        <v>0</v>
      </c>
      <c r="AA99" s="25"/>
      <c r="AB99" s="8">
        <f>IF(OR(B99="",Q99=""),"",COUNTIFS($B$5:$B$504,B99,$Q$5:$Q$504,"&gt;"&amp;Q99)+1)</f>
        <v>0</v>
      </c>
      <c r="AC99" s="8">
        <f>IF(OR(B99="",L99=""),"",COUNTIFS($B$5:$B$504,B99,$L$5:$L$504,"&gt;"&amp;L99)+1)</f>
        <v>0</v>
      </c>
      <c r="AD99" s="8">
        <f>IF(G99="","",IF(COUNTIFS($G$5:$G$504,G99)&gt;1,"Repeat","Once"))</f>
        <v>0</v>
      </c>
      <c r="AE99" s="8">
        <f>IF(G99="","",IF(IFERROR(INDEX(Recipes!$X$5:$X$204,MATCH(G99,Recipes!$A$5:$A$204,0)),"")="","",IFERROR(B99-IFERROR(INDEX(Recipes!$X$5:$X$204,MATCH(G99,Recipes!$A$5:$A$204,0)),""),"")))</f>
        <v>0</v>
      </c>
      <c r="AF99" s="8">
        <f>IF(G99="","",IF(AE99="","Yes",IF(AE99&gt;=Rotation_Gap_Days,"Yes","No")))</f>
        <v>0</v>
      </c>
      <c r="AG99" s="8">
        <f>IF(G99="","",IF(COUNTIFS('Recipe Ingredients'!$A$5:$A$1204,G99,'Recipe Ingredients'!$AC$5:$AC$1204,"Check")&gt;0,"Check","OK"))</f>
        <v>0</v>
      </c>
    </row>
    <row r="100" spans="1:33">
      <c r="A100" s="7"/>
      <c r="B100" s="30"/>
      <c r="C100" s="8">
        <f>IF(B100="","",B100-WEEKDAY(B100,2)+1)</f>
        <v>0</v>
      </c>
      <c r="D100" s="8">
        <f>IF(B100="","",TEXT(B100,"ddd"))</f>
        <v>0</v>
      </c>
      <c r="E100" s="8">
        <f>IF(B100="","",TEXT(B100,"mmm yyyy"))</f>
        <v>0</v>
      </c>
      <c r="F100" s="27"/>
      <c r="G100" s="7"/>
      <c r="H100" s="26"/>
      <c r="I100" s="8">
        <f>IF(G100="","",IFERROR(INDEX(Recipes!$D$5:$D$204,MATCH(G100,Recipes!$A$5:$A$204,0)),""))</f>
        <v>0</v>
      </c>
      <c r="J100" s="8">
        <f>IF(OR(G100="",H100="",I100="",I100=0),"",H100/I100)</f>
        <v>0</v>
      </c>
      <c r="K100" s="8">
        <f>IF(B100="","",Household_Size)</f>
        <v>0</v>
      </c>
      <c r="L100" s="8">
        <f>IF(OR(G100="",H100=""),"",IFERROR(IFERROR(INDEX(Recipes!$H$5:$H$204,MATCH(G100,Recipes!$A$5:$A$204,0)),"")*H100,""))</f>
        <v>0</v>
      </c>
      <c r="M100" s="8">
        <f>IF(OR(G100="",H100=""),"",IFERROR(IFERROR(INDEX(Recipes!$I$5:$I$204,MATCH(G100,Recipes!$A$5:$A$204,0)),"")*H100,""))</f>
        <v>0</v>
      </c>
      <c r="N100" s="8">
        <f>IF(OR(G100="",H100=""),"",IFERROR(IFERROR(INDEX(Recipes!$J$5:$J$204,MATCH(G100,Recipes!$A$5:$A$204,0)),"")*H100,""))</f>
        <v>0</v>
      </c>
      <c r="O100" s="8">
        <f>IF(OR(G100="",H100=""),"",IFERROR(IFERROR(INDEX(Recipes!$K$5:$K$204,MATCH(G100,Recipes!$A$5:$A$204,0)),"")*H100,""))</f>
        <v>0</v>
      </c>
      <c r="P100" s="8">
        <f>IF(OR(G100="",H100=""),"",IFERROR(IFERROR(INDEX(Recipes!$L$5:$L$204,MATCH(G100,Recipes!$A$5:$A$204,0)),"")*H100,""))</f>
        <v>0</v>
      </c>
      <c r="Q100" s="8">
        <f>IF(OR(G100="",H100=""),"",IFERROR(IFERROR(INDEX(Recipes!$Q$5:$Q$204,MATCH(G100,Recipes!$A$5:$A$204,0)),"")*H100,""))</f>
        <v>0</v>
      </c>
      <c r="R100" s="8">
        <f>IF(F100="","",Weekly_Budget/21)</f>
        <v>0</v>
      </c>
      <c r="S100" s="27"/>
      <c r="T100" s="27"/>
      <c r="U100" s="26"/>
      <c r="V100" s="7"/>
      <c r="W100" s="7"/>
      <c r="X100" s="26"/>
      <c r="Y100" s="8">
        <f>IF(G100="","",IF(COUNTIFS('Meal Prep'!$D$5:$D$124,G100)&gt;0,"Yes","No"))</f>
        <v>0</v>
      </c>
      <c r="Z100" s="8">
        <f>IF(G100="","",COUNTIFS('Recipe Ingredients'!$A$5:$A$1204,G100))</f>
        <v>0</v>
      </c>
      <c r="AA100" s="25"/>
      <c r="AB100" s="8">
        <f>IF(OR(B100="",Q100=""),"",COUNTIFS($B$5:$B$504,B100,$Q$5:$Q$504,"&gt;"&amp;Q100)+1)</f>
        <v>0</v>
      </c>
      <c r="AC100" s="8">
        <f>IF(OR(B100="",L100=""),"",COUNTIFS($B$5:$B$504,B100,$L$5:$L$504,"&gt;"&amp;L100)+1)</f>
        <v>0</v>
      </c>
      <c r="AD100" s="8">
        <f>IF(G100="","",IF(COUNTIFS($G$5:$G$504,G100)&gt;1,"Repeat","Once"))</f>
        <v>0</v>
      </c>
      <c r="AE100" s="8">
        <f>IF(G100="","",IF(IFERROR(INDEX(Recipes!$X$5:$X$204,MATCH(G100,Recipes!$A$5:$A$204,0)),"")="","",IFERROR(B100-IFERROR(INDEX(Recipes!$X$5:$X$204,MATCH(G100,Recipes!$A$5:$A$204,0)),""),"")))</f>
        <v>0</v>
      </c>
      <c r="AF100" s="8">
        <f>IF(G100="","",IF(AE100="","Yes",IF(AE100&gt;=Rotation_Gap_Days,"Yes","No")))</f>
        <v>0</v>
      </c>
      <c r="AG100" s="8">
        <f>IF(G100="","",IF(COUNTIFS('Recipe Ingredients'!$A$5:$A$1204,G100,'Recipe Ingredients'!$AC$5:$AC$1204,"Check")&gt;0,"Check","OK"))</f>
        <v>0</v>
      </c>
    </row>
    <row r="101" spans="1:33">
      <c r="A101" s="7"/>
      <c r="B101" s="30"/>
      <c r="C101" s="8">
        <f>IF(B101="","",B101-WEEKDAY(B101,2)+1)</f>
        <v>0</v>
      </c>
      <c r="D101" s="8">
        <f>IF(B101="","",TEXT(B101,"ddd"))</f>
        <v>0</v>
      </c>
      <c r="E101" s="8">
        <f>IF(B101="","",TEXT(B101,"mmm yyyy"))</f>
        <v>0</v>
      </c>
      <c r="F101" s="27"/>
      <c r="G101" s="7"/>
      <c r="H101" s="26"/>
      <c r="I101" s="8">
        <f>IF(G101="","",IFERROR(INDEX(Recipes!$D$5:$D$204,MATCH(G101,Recipes!$A$5:$A$204,0)),""))</f>
        <v>0</v>
      </c>
      <c r="J101" s="8">
        <f>IF(OR(G101="",H101="",I101="",I101=0),"",H101/I101)</f>
        <v>0</v>
      </c>
      <c r="K101" s="8">
        <f>IF(B101="","",Household_Size)</f>
        <v>0</v>
      </c>
      <c r="L101" s="8">
        <f>IF(OR(G101="",H101=""),"",IFERROR(IFERROR(INDEX(Recipes!$H$5:$H$204,MATCH(G101,Recipes!$A$5:$A$204,0)),"")*H101,""))</f>
        <v>0</v>
      </c>
      <c r="M101" s="8">
        <f>IF(OR(G101="",H101=""),"",IFERROR(IFERROR(INDEX(Recipes!$I$5:$I$204,MATCH(G101,Recipes!$A$5:$A$204,0)),"")*H101,""))</f>
        <v>0</v>
      </c>
      <c r="N101" s="8">
        <f>IF(OR(G101="",H101=""),"",IFERROR(IFERROR(INDEX(Recipes!$J$5:$J$204,MATCH(G101,Recipes!$A$5:$A$204,0)),"")*H101,""))</f>
        <v>0</v>
      </c>
      <c r="O101" s="8">
        <f>IF(OR(G101="",H101=""),"",IFERROR(IFERROR(INDEX(Recipes!$K$5:$K$204,MATCH(G101,Recipes!$A$5:$A$204,0)),"")*H101,""))</f>
        <v>0</v>
      </c>
      <c r="P101" s="8">
        <f>IF(OR(G101="",H101=""),"",IFERROR(IFERROR(INDEX(Recipes!$L$5:$L$204,MATCH(G101,Recipes!$A$5:$A$204,0)),"")*H101,""))</f>
        <v>0</v>
      </c>
      <c r="Q101" s="8">
        <f>IF(OR(G101="",H101=""),"",IFERROR(IFERROR(INDEX(Recipes!$Q$5:$Q$204,MATCH(G101,Recipes!$A$5:$A$204,0)),"")*H101,""))</f>
        <v>0</v>
      </c>
      <c r="R101" s="8">
        <f>IF(F101="","",Weekly_Budget/21)</f>
        <v>0</v>
      </c>
      <c r="S101" s="27"/>
      <c r="T101" s="27"/>
      <c r="U101" s="26"/>
      <c r="V101" s="7"/>
      <c r="W101" s="7"/>
      <c r="X101" s="26"/>
      <c r="Y101" s="8">
        <f>IF(G101="","",IF(COUNTIFS('Meal Prep'!$D$5:$D$124,G101)&gt;0,"Yes","No"))</f>
        <v>0</v>
      </c>
      <c r="Z101" s="8">
        <f>IF(G101="","",COUNTIFS('Recipe Ingredients'!$A$5:$A$1204,G101))</f>
        <v>0</v>
      </c>
      <c r="AA101" s="25"/>
      <c r="AB101" s="8">
        <f>IF(OR(B101="",Q101=""),"",COUNTIFS($B$5:$B$504,B101,$Q$5:$Q$504,"&gt;"&amp;Q101)+1)</f>
        <v>0</v>
      </c>
      <c r="AC101" s="8">
        <f>IF(OR(B101="",L101=""),"",COUNTIFS($B$5:$B$504,B101,$L$5:$L$504,"&gt;"&amp;L101)+1)</f>
        <v>0</v>
      </c>
      <c r="AD101" s="8">
        <f>IF(G101="","",IF(COUNTIFS($G$5:$G$504,G101)&gt;1,"Repeat","Once"))</f>
        <v>0</v>
      </c>
      <c r="AE101" s="8">
        <f>IF(G101="","",IF(IFERROR(INDEX(Recipes!$X$5:$X$204,MATCH(G101,Recipes!$A$5:$A$204,0)),"")="","",IFERROR(B101-IFERROR(INDEX(Recipes!$X$5:$X$204,MATCH(G101,Recipes!$A$5:$A$204,0)),""),"")))</f>
        <v>0</v>
      </c>
      <c r="AF101" s="8">
        <f>IF(G101="","",IF(AE101="","Yes",IF(AE101&gt;=Rotation_Gap_Days,"Yes","No")))</f>
        <v>0</v>
      </c>
      <c r="AG101" s="8">
        <f>IF(G101="","",IF(COUNTIFS('Recipe Ingredients'!$A$5:$A$1204,G101,'Recipe Ingredients'!$AC$5:$AC$1204,"Check")&gt;0,"Check","OK"))</f>
        <v>0</v>
      </c>
    </row>
    <row r="102" spans="1:33">
      <c r="A102" s="7"/>
      <c r="B102" s="30"/>
      <c r="C102" s="8">
        <f>IF(B102="","",B102-WEEKDAY(B102,2)+1)</f>
        <v>0</v>
      </c>
      <c r="D102" s="8">
        <f>IF(B102="","",TEXT(B102,"ddd"))</f>
        <v>0</v>
      </c>
      <c r="E102" s="8">
        <f>IF(B102="","",TEXT(B102,"mmm yyyy"))</f>
        <v>0</v>
      </c>
      <c r="F102" s="27"/>
      <c r="G102" s="7"/>
      <c r="H102" s="26"/>
      <c r="I102" s="8">
        <f>IF(G102="","",IFERROR(INDEX(Recipes!$D$5:$D$204,MATCH(G102,Recipes!$A$5:$A$204,0)),""))</f>
        <v>0</v>
      </c>
      <c r="J102" s="8">
        <f>IF(OR(G102="",H102="",I102="",I102=0),"",H102/I102)</f>
        <v>0</v>
      </c>
      <c r="K102" s="8">
        <f>IF(B102="","",Household_Size)</f>
        <v>0</v>
      </c>
      <c r="L102" s="8">
        <f>IF(OR(G102="",H102=""),"",IFERROR(IFERROR(INDEX(Recipes!$H$5:$H$204,MATCH(G102,Recipes!$A$5:$A$204,0)),"")*H102,""))</f>
        <v>0</v>
      </c>
      <c r="M102" s="8">
        <f>IF(OR(G102="",H102=""),"",IFERROR(IFERROR(INDEX(Recipes!$I$5:$I$204,MATCH(G102,Recipes!$A$5:$A$204,0)),"")*H102,""))</f>
        <v>0</v>
      </c>
      <c r="N102" s="8">
        <f>IF(OR(G102="",H102=""),"",IFERROR(IFERROR(INDEX(Recipes!$J$5:$J$204,MATCH(G102,Recipes!$A$5:$A$204,0)),"")*H102,""))</f>
        <v>0</v>
      </c>
      <c r="O102" s="8">
        <f>IF(OR(G102="",H102=""),"",IFERROR(IFERROR(INDEX(Recipes!$K$5:$K$204,MATCH(G102,Recipes!$A$5:$A$204,0)),"")*H102,""))</f>
        <v>0</v>
      </c>
      <c r="P102" s="8">
        <f>IF(OR(G102="",H102=""),"",IFERROR(IFERROR(INDEX(Recipes!$L$5:$L$204,MATCH(G102,Recipes!$A$5:$A$204,0)),"")*H102,""))</f>
        <v>0</v>
      </c>
      <c r="Q102" s="8">
        <f>IF(OR(G102="",H102=""),"",IFERROR(IFERROR(INDEX(Recipes!$Q$5:$Q$204,MATCH(G102,Recipes!$A$5:$A$204,0)),"")*H102,""))</f>
        <v>0</v>
      </c>
      <c r="R102" s="8">
        <f>IF(F102="","",Weekly_Budget/21)</f>
        <v>0</v>
      </c>
      <c r="S102" s="27"/>
      <c r="T102" s="27"/>
      <c r="U102" s="26"/>
      <c r="V102" s="7"/>
      <c r="W102" s="7"/>
      <c r="X102" s="26"/>
      <c r="Y102" s="8">
        <f>IF(G102="","",IF(COUNTIFS('Meal Prep'!$D$5:$D$124,G102)&gt;0,"Yes","No"))</f>
        <v>0</v>
      </c>
      <c r="Z102" s="8">
        <f>IF(G102="","",COUNTIFS('Recipe Ingredients'!$A$5:$A$1204,G102))</f>
        <v>0</v>
      </c>
      <c r="AA102" s="25"/>
      <c r="AB102" s="8">
        <f>IF(OR(B102="",Q102=""),"",COUNTIFS($B$5:$B$504,B102,$Q$5:$Q$504,"&gt;"&amp;Q102)+1)</f>
        <v>0</v>
      </c>
      <c r="AC102" s="8">
        <f>IF(OR(B102="",L102=""),"",COUNTIFS($B$5:$B$504,B102,$L$5:$L$504,"&gt;"&amp;L102)+1)</f>
        <v>0</v>
      </c>
      <c r="AD102" s="8">
        <f>IF(G102="","",IF(COUNTIFS($G$5:$G$504,G102)&gt;1,"Repeat","Once"))</f>
        <v>0</v>
      </c>
      <c r="AE102" s="8">
        <f>IF(G102="","",IF(IFERROR(INDEX(Recipes!$X$5:$X$204,MATCH(G102,Recipes!$A$5:$A$204,0)),"")="","",IFERROR(B102-IFERROR(INDEX(Recipes!$X$5:$X$204,MATCH(G102,Recipes!$A$5:$A$204,0)),""),"")))</f>
        <v>0</v>
      </c>
      <c r="AF102" s="8">
        <f>IF(G102="","",IF(AE102="","Yes",IF(AE102&gt;=Rotation_Gap_Days,"Yes","No")))</f>
        <v>0</v>
      </c>
      <c r="AG102" s="8">
        <f>IF(G102="","",IF(COUNTIFS('Recipe Ingredients'!$A$5:$A$1204,G102,'Recipe Ingredients'!$AC$5:$AC$1204,"Check")&gt;0,"Check","OK"))</f>
        <v>0</v>
      </c>
    </row>
    <row r="103" spans="1:33">
      <c r="A103" s="7"/>
      <c r="B103" s="30"/>
      <c r="C103" s="8">
        <f>IF(B103="","",B103-WEEKDAY(B103,2)+1)</f>
        <v>0</v>
      </c>
      <c r="D103" s="8">
        <f>IF(B103="","",TEXT(B103,"ddd"))</f>
        <v>0</v>
      </c>
      <c r="E103" s="8">
        <f>IF(B103="","",TEXT(B103,"mmm yyyy"))</f>
        <v>0</v>
      </c>
      <c r="F103" s="27"/>
      <c r="G103" s="7"/>
      <c r="H103" s="26"/>
      <c r="I103" s="8">
        <f>IF(G103="","",IFERROR(INDEX(Recipes!$D$5:$D$204,MATCH(G103,Recipes!$A$5:$A$204,0)),""))</f>
        <v>0</v>
      </c>
      <c r="J103" s="8">
        <f>IF(OR(G103="",H103="",I103="",I103=0),"",H103/I103)</f>
        <v>0</v>
      </c>
      <c r="K103" s="8">
        <f>IF(B103="","",Household_Size)</f>
        <v>0</v>
      </c>
      <c r="L103" s="8">
        <f>IF(OR(G103="",H103=""),"",IFERROR(IFERROR(INDEX(Recipes!$H$5:$H$204,MATCH(G103,Recipes!$A$5:$A$204,0)),"")*H103,""))</f>
        <v>0</v>
      </c>
      <c r="M103" s="8">
        <f>IF(OR(G103="",H103=""),"",IFERROR(IFERROR(INDEX(Recipes!$I$5:$I$204,MATCH(G103,Recipes!$A$5:$A$204,0)),"")*H103,""))</f>
        <v>0</v>
      </c>
      <c r="N103" s="8">
        <f>IF(OR(G103="",H103=""),"",IFERROR(IFERROR(INDEX(Recipes!$J$5:$J$204,MATCH(G103,Recipes!$A$5:$A$204,0)),"")*H103,""))</f>
        <v>0</v>
      </c>
      <c r="O103" s="8">
        <f>IF(OR(G103="",H103=""),"",IFERROR(IFERROR(INDEX(Recipes!$K$5:$K$204,MATCH(G103,Recipes!$A$5:$A$204,0)),"")*H103,""))</f>
        <v>0</v>
      </c>
      <c r="P103" s="8">
        <f>IF(OR(G103="",H103=""),"",IFERROR(IFERROR(INDEX(Recipes!$L$5:$L$204,MATCH(G103,Recipes!$A$5:$A$204,0)),"")*H103,""))</f>
        <v>0</v>
      </c>
      <c r="Q103" s="8">
        <f>IF(OR(G103="",H103=""),"",IFERROR(IFERROR(INDEX(Recipes!$Q$5:$Q$204,MATCH(G103,Recipes!$A$5:$A$204,0)),"")*H103,""))</f>
        <v>0</v>
      </c>
      <c r="R103" s="8">
        <f>IF(F103="","",Weekly_Budget/21)</f>
        <v>0</v>
      </c>
      <c r="S103" s="27"/>
      <c r="T103" s="27"/>
      <c r="U103" s="26"/>
      <c r="V103" s="7"/>
      <c r="W103" s="7"/>
      <c r="X103" s="26"/>
      <c r="Y103" s="8">
        <f>IF(G103="","",IF(COUNTIFS('Meal Prep'!$D$5:$D$124,G103)&gt;0,"Yes","No"))</f>
        <v>0</v>
      </c>
      <c r="Z103" s="8">
        <f>IF(G103="","",COUNTIFS('Recipe Ingredients'!$A$5:$A$1204,G103))</f>
        <v>0</v>
      </c>
      <c r="AA103" s="25"/>
      <c r="AB103" s="8">
        <f>IF(OR(B103="",Q103=""),"",COUNTIFS($B$5:$B$504,B103,$Q$5:$Q$504,"&gt;"&amp;Q103)+1)</f>
        <v>0</v>
      </c>
      <c r="AC103" s="8">
        <f>IF(OR(B103="",L103=""),"",COUNTIFS($B$5:$B$504,B103,$L$5:$L$504,"&gt;"&amp;L103)+1)</f>
        <v>0</v>
      </c>
      <c r="AD103" s="8">
        <f>IF(G103="","",IF(COUNTIFS($G$5:$G$504,G103)&gt;1,"Repeat","Once"))</f>
        <v>0</v>
      </c>
      <c r="AE103" s="8">
        <f>IF(G103="","",IF(IFERROR(INDEX(Recipes!$X$5:$X$204,MATCH(G103,Recipes!$A$5:$A$204,0)),"")="","",IFERROR(B103-IFERROR(INDEX(Recipes!$X$5:$X$204,MATCH(G103,Recipes!$A$5:$A$204,0)),""),"")))</f>
        <v>0</v>
      </c>
      <c r="AF103" s="8">
        <f>IF(G103="","",IF(AE103="","Yes",IF(AE103&gt;=Rotation_Gap_Days,"Yes","No")))</f>
        <v>0</v>
      </c>
      <c r="AG103" s="8">
        <f>IF(G103="","",IF(COUNTIFS('Recipe Ingredients'!$A$5:$A$1204,G103,'Recipe Ingredients'!$AC$5:$AC$1204,"Check")&gt;0,"Check","OK"))</f>
        <v>0</v>
      </c>
    </row>
    <row r="104" spans="1:33">
      <c r="A104" s="7"/>
      <c r="B104" s="30"/>
      <c r="C104" s="8">
        <f>IF(B104="","",B104-WEEKDAY(B104,2)+1)</f>
        <v>0</v>
      </c>
      <c r="D104" s="8">
        <f>IF(B104="","",TEXT(B104,"ddd"))</f>
        <v>0</v>
      </c>
      <c r="E104" s="8">
        <f>IF(B104="","",TEXT(B104,"mmm yyyy"))</f>
        <v>0</v>
      </c>
      <c r="F104" s="27"/>
      <c r="G104" s="7"/>
      <c r="H104" s="26"/>
      <c r="I104" s="8">
        <f>IF(G104="","",IFERROR(INDEX(Recipes!$D$5:$D$204,MATCH(G104,Recipes!$A$5:$A$204,0)),""))</f>
        <v>0</v>
      </c>
      <c r="J104" s="8">
        <f>IF(OR(G104="",H104="",I104="",I104=0),"",H104/I104)</f>
        <v>0</v>
      </c>
      <c r="K104" s="8">
        <f>IF(B104="","",Household_Size)</f>
        <v>0</v>
      </c>
      <c r="L104" s="8">
        <f>IF(OR(G104="",H104=""),"",IFERROR(IFERROR(INDEX(Recipes!$H$5:$H$204,MATCH(G104,Recipes!$A$5:$A$204,0)),"")*H104,""))</f>
        <v>0</v>
      </c>
      <c r="M104" s="8">
        <f>IF(OR(G104="",H104=""),"",IFERROR(IFERROR(INDEX(Recipes!$I$5:$I$204,MATCH(G104,Recipes!$A$5:$A$204,0)),"")*H104,""))</f>
        <v>0</v>
      </c>
      <c r="N104" s="8">
        <f>IF(OR(G104="",H104=""),"",IFERROR(IFERROR(INDEX(Recipes!$J$5:$J$204,MATCH(G104,Recipes!$A$5:$A$204,0)),"")*H104,""))</f>
        <v>0</v>
      </c>
      <c r="O104" s="8">
        <f>IF(OR(G104="",H104=""),"",IFERROR(IFERROR(INDEX(Recipes!$K$5:$K$204,MATCH(G104,Recipes!$A$5:$A$204,0)),"")*H104,""))</f>
        <v>0</v>
      </c>
      <c r="P104" s="8">
        <f>IF(OR(G104="",H104=""),"",IFERROR(IFERROR(INDEX(Recipes!$L$5:$L$204,MATCH(G104,Recipes!$A$5:$A$204,0)),"")*H104,""))</f>
        <v>0</v>
      </c>
      <c r="Q104" s="8">
        <f>IF(OR(G104="",H104=""),"",IFERROR(IFERROR(INDEX(Recipes!$Q$5:$Q$204,MATCH(G104,Recipes!$A$5:$A$204,0)),"")*H104,""))</f>
        <v>0</v>
      </c>
      <c r="R104" s="8">
        <f>IF(F104="","",Weekly_Budget/21)</f>
        <v>0</v>
      </c>
      <c r="S104" s="27"/>
      <c r="T104" s="27"/>
      <c r="U104" s="26"/>
      <c r="V104" s="7"/>
      <c r="W104" s="7"/>
      <c r="X104" s="26"/>
      <c r="Y104" s="8">
        <f>IF(G104="","",IF(COUNTIFS('Meal Prep'!$D$5:$D$124,G104)&gt;0,"Yes","No"))</f>
        <v>0</v>
      </c>
      <c r="Z104" s="8">
        <f>IF(G104="","",COUNTIFS('Recipe Ingredients'!$A$5:$A$1204,G104))</f>
        <v>0</v>
      </c>
      <c r="AA104" s="25"/>
      <c r="AB104" s="8">
        <f>IF(OR(B104="",Q104=""),"",COUNTIFS($B$5:$B$504,B104,$Q$5:$Q$504,"&gt;"&amp;Q104)+1)</f>
        <v>0</v>
      </c>
      <c r="AC104" s="8">
        <f>IF(OR(B104="",L104=""),"",COUNTIFS($B$5:$B$504,B104,$L$5:$L$504,"&gt;"&amp;L104)+1)</f>
        <v>0</v>
      </c>
      <c r="AD104" s="8">
        <f>IF(G104="","",IF(COUNTIFS($G$5:$G$504,G104)&gt;1,"Repeat","Once"))</f>
        <v>0</v>
      </c>
      <c r="AE104" s="8">
        <f>IF(G104="","",IF(IFERROR(INDEX(Recipes!$X$5:$X$204,MATCH(G104,Recipes!$A$5:$A$204,0)),"")="","",IFERROR(B104-IFERROR(INDEX(Recipes!$X$5:$X$204,MATCH(G104,Recipes!$A$5:$A$204,0)),""),"")))</f>
        <v>0</v>
      </c>
      <c r="AF104" s="8">
        <f>IF(G104="","",IF(AE104="","Yes",IF(AE104&gt;=Rotation_Gap_Days,"Yes","No")))</f>
        <v>0</v>
      </c>
      <c r="AG104" s="8">
        <f>IF(G104="","",IF(COUNTIFS('Recipe Ingredients'!$A$5:$A$1204,G104,'Recipe Ingredients'!$AC$5:$AC$1204,"Check")&gt;0,"Check","OK"))</f>
        <v>0</v>
      </c>
    </row>
    <row r="105" spans="1:33">
      <c r="A105" s="7"/>
      <c r="B105" s="30"/>
      <c r="C105" s="8">
        <f>IF(B105="","",B105-WEEKDAY(B105,2)+1)</f>
        <v>0</v>
      </c>
      <c r="D105" s="8">
        <f>IF(B105="","",TEXT(B105,"ddd"))</f>
        <v>0</v>
      </c>
      <c r="E105" s="8">
        <f>IF(B105="","",TEXT(B105,"mmm yyyy"))</f>
        <v>0</v>
      </c>
      <c r="F105" s="27"/>
      <c r="G105" s="7"/>
      <c r="H105" s="26"/>
      <c r="I105" s="8">
        <f>IF(G105="","",IFERROR(INDEX(Recipes!$D$5:$D$204,MATCH(G105,Recipes!$A$5:$A$204,0)),""))</f>
        <v>0</v>
      </c>
      <c r="J105" s="8">
        <f>IF(OR(G105="",H105="",I105="",I105=0),"",H105/I105)</f>
        <v>0</v>
      </c>
      <c r="K105" s="8">
        <f>IF(B105="","",Household_Size)</f>
        <v>0</v>
      </c>
      <c r="L105" s="8">
        <f>IF(OR(G105="",H105=""),"",IFERROR(IFERROR(INDEX(Recipes!$H$5:$H$204,MATCH(G105,Recipes!$A$5:$A$204,0)),"")*H105,""))</f>
        <v>0</v>
      </c>
      <c r="M105" s="8">
        <f>IF(OR(G105="",H105=""),"",IFERROR(IFERROR(INDEX(Recipes!$I$5:$I$204,MATCH(G105,Recipes!$A$5:$A$204,0)),"")*H105,""))</f>
        <v>0</v>
      </c>
      <c r="N105" s="8">
        <f>IF(OR(G105="",H105=""),"",IFERROR(IFERROR(INDEX(Recipes!$J$5:$J$204,MATCH(G105,Recipes!$A$5:$A$204,0)),"")*H105,""))</f>
        <v>0</v>
      </c>
      <c r="O105" s="8">
        <f>IF(OR(G105="",H105=""),"",IFERROR(IFERROR(INDEX(Recipes!$K$5:$K$204,MATCH(G105,Recipes!$A$5:$A$204,0)),"")*H105,""))</f>
        <v>0</v>
      </c>
      <c r="P105" s="8">
        <f>IF(OR(G105="",H105=""),"",IFERROR(IFERROR(INDEX(Recipes!$L$5:$L$204,MATCH(G105,Recipes!$A$5:$A$204,0)),"")*H105,""))</f>
        <v>0</v>
      </c>
      <c r="Q105" s="8">
        <f>IF(OR(G105="",H105=""),"",IFERROR(IFERROR(INDEX(Recipes!$Q$5:$Q$204,MATCH(G105,Recipes!$A$5:$A$204,0)),"")*H105,""))</f>
        <v>0</v>
      </c>
      <c r="R105" s="8">
        <f>IF(F105="","",Weekly_Budget/21)</f>
        <v>0</v>
      </c>
      <c r="S105" s="27"/>
      <c r="T105" s="27"/>
      <c r="U105" s="26"/>
      <c r="V105" s="7"/>
      <c r="W105" s="7"/>
      <c r="X105" s="26"/>
      <c r="Y105" s="8">
        <f>IF(G105="","",IF(COUNTIFS('Meal Prep'!$D$5:$D$124,G105)&gt;0,"Yes","No"))</f>
        <v>0</v>
      </c>
      <c r="Z105" s="8">
        <f>IF(G105="","",COUNTIFS('Recipe Ingredients'!$A$5:$A$1204,G105))</f>
        <v>0</v>
      </c>
      <c r="AA105" s="25"/>
      <c r="AB105" s="8">
        <f>IF(OR(B105="",Q105=""),"",COUNTIFS($B$5:$B$504,B105,$Q$5:$Q$504,"&gt;"&amp;Q105)+1)</f>
        <v>0</v>
      </c>
      <c r="AC105" s="8">
        <f>IF(OR(B105="",L105=""),"",COUNTIFS($B$5:$B$504,B105,$L$5:$L$504,"&gt;"&amp;L105)+1)</f>
        <v>0</v>
      </c>
      <c r="AD105" s="8">
        <f>IF(G105="","",IF(COUNTIFS($G$5:$G$504,G105)&gt;1,"Repeat","Once"))</f>
        <v>0</v>
      </c>
      <c r="AE105" s="8">
        <f>IF(G105="","",IF(IFERROR(INDEX(Recipes!$X$5:$X$204,MATCH(G105,Recipes!$A$5:$A$204,0)),"")="","",IFERROR(B105-IFERROR(INDEX(Recipes!$X$5:$X$204,MATCH(G105,Recipes!$A$5:$A$204,0)),""),"")))</f>
        <v>0</v>
      </c>
      <c r="AF105" s="8">
        <f>IF(G105="","",IF(AE105="","Yes",IF(AE105&gt;=Rotation_Gap_Days,"Yes","No")))</f>
        <v>0</v>
      </c>
      <c r="AG105" s="8">
        <f>IF(G105="","",IF(COUNTIFS('Recipe Ingredients'!$A$5:$A$1204,G105,'Recipe Ingredients'!$AC$5:$AC$1204,"Check")&gt;0,"Check","OK"))</f>
        <v>0</v>
      </c>
    </row>
    <row r="106" spans="1:33">
      <c r="A106" s="7"/>
      <c r="B106" s="30"/>
      <c r="C106" s="8">
        <f>IF(B106="","",B106-WEEKDAY(B106,2)+1)</f>
        <v>0</v>
      </c>
      <c r="D106" s="8">
        <f>IF(B106="","",TEXT(B106,"ddd"))</f>
        <v>0</v>
      </c>
      <c r="E106" s="8">
        <f>IF(B106="","",TEXT(B106,"mmm yyyy"))</f>
        <v>0</v>
      </c>
      <c r="F106" s="27"/>
      <c r="G106" s="7"/>
      <c r="H106" s="26"/>
      <c r="I106" s="8">
        <f>IF(G106="","",IFERROR(INDEX(Recipes!$D$5:$D$204,MATCH(G106,Recipes!$A$5:$A$204,0)),""))</f>
        <v>0</v>
      </c>
      <c r="J106" s="8">
        <f>IF(OR(G106="",H106="",I106="",I106=0),"",H106/I106)</f>
        <v>0</v>
      </c>
      <c r="K106" s="8">
        <f>IF(B106="","",Household_Size)</f>
        <v>0</v>
      </c>
      <c r="L106" s="8">
        <f>IF(OR(G106="",H106=""),"",IFERROR(IFERROR(INDEX(Recipes!$H$5:$H$204,MATCH(G106,Recipes!$A$5:$A$204,0)),"")*H106,""))</f>
        <v>0</v>
      </c>
      <c r="M106" s="8">
        <f>IF(OR(G106="",H106=""),"",IFERROR(IFERROR(INDEX(Recipes!$I$5:$I$204,MATCH(G106,Recipes!$A$5:$A$204,0)),"")*H106,""))</f>
        <v>0</v>
      </c>
      <c r="N106" s="8">
        <f>IF(OR(G106="",H106=""),"",IFERROR(IFERROR(INDEX(Recipes!$J$5:$J$204,MATCH(G106,Recipes!$A$5:$A$204,0)),"")*H106,""))</f>
        <v>0</v>
      </c>
      <c r="O106" s="8">
        <f>IF(OR(G106="",H106=""),"",IFERROR(IFERROR(INDEX(Recipes!$K$5:$K$204,MATCH(G106,Recipes!$A$5:$A$204,0)),"")*H106,""))</f>
        <v>0</v>
      </c>
      <c r="P106" s="8">
        <f>IF(OR(G106="",H106=""),"",IFERROR(IFERROR(INDEX(Recipes!$L$5:$L$204,MATCH(G106,Recipes!$A$5:$A$204,0)),"")*H106,""))</f>
        <v>0</v>
      </c>
      <c r="Q106" s="8">
        <f>IF(OR(G106="",H106=""),"",IFERROR(IFERROR(INDEX(Recipes!$Q$5:$Q$204,MATCH(G106,Recipes!$A$5:$A$204,0)),"")*H106,""))</f>
        <v>0</v>
      </c>
      <c r="R106" s="8">
        <f>IF(F106="","",Weekly_Budget/21)</f>
        <v>0</v>
      </c>
      <c r="S106" s="27"/>
      <c r="T106" s="27"/>
      <c r="U106" s="26"/>
      <c r="V106" s="7"/>
      <c r="W106" s="7"/>
      <c r="X106" s="26"/>
      <c r="Y106" s="8">
        <f>IF(G106="","",IF(COUNTIFS('Meal Prep'!$D$5:$D$124,G106)&gt;0,"Yes","No"))</f>
        <v>0</v>
      </c>
      <c r="Z106" s="8">
        <f>IF(G106="","",COUNTIFS('Recipe Ingredients'!$A$5:$A$1204,G106))</f>
        <v>0</v>
      </c>
      <c r="AA106" s="25"/>
      <c r="AB106" s="8">
        <f>IF(OR(B106="",Q106=""),"",COUNTIFS($B$5:$B$504,B106,$Q$5:$Q$504,"&gt;"&amp;Q106)+1)</f>
        <v>0</v>
      </c>
      <c r="AC106" s="8">
        <f>IF(OR(B106="",L106=""),"",COUNTIFS($B$5:$B$504,B106,$L$5:$L$504,"&gt;"&amp;L106)+1)</f>
        <v>0</v>
      </c>
      <c r="AD106" s="8">
        <f>IF(G106="","",IF(COUNTIFS($G$5:$G$504,G106)&gt;1,"Repeat","Once"))</f>
        <v>0</v>
      </c>
      <c r="AE106" s="8">
        <f>IF(G106="","",IF(IFERROR(INDEX(Recipes!$X$5:$X$204,MATCH(G106,Recipes!$A$5:$A$204,0)),"")="","",IFERROR(B106-IFERROR(INDEX(Recipes!$X$5:$X$204,MATCH(G106,Recipes!$A$5:$A$204,0)),""),"")))</f>
        <v>0</v>
      </c>
      <c r="AF106" s="8">
        <f>IF(G106="","",IF(AE106="","Yes",IF(AE106&gt;=Rotation_Gap_Days,"Yes","No")))</f>
        <v>0</v>
      </c>
      <c r="AG106" s="8">
        <f>IF(G106="","",IF(COUNTIFS('Recipe Ingredients'!$A$5:$A$1204,G106,'Recipe Ingredients'!$AC$5:$AC$1204,"Check")&gt;0,"Check","OK"))</f>
        <v>0</v>
      </c>
    </row>
    <row r="107" spans="1:33">
      <c r="A107" s="7"/>
      <c r="B107" s="30"/>
      <c r="C107" s="8">
        <f>IF(B107="","",B107-WEEKDAY(B107,2)+1)</f>
        <v>0</v>
      </c>
      <c r="D107" s="8">
        <f>IF(B107="","",TEXT(B107,"ddd"))</f>
        <v>0</v>
      </c>
      <c r="E107" s="8">
        <f>IF(B107="","",TEXT(B107,"mmm yyyy"))</f>
        <v>0</v>
      </c>
      <c r="F107" s="27"/>
      <c r="G107" s="7"/>
      <c r="H107" s="26"/>
      <c r="I107" s="8">
        <f>IF(G107="","",IFERROR(INDEX(Recipes!$D$5:$D$204,MATCH(G107,Recipes!$A$5:$A$204,0)),""))</f>
        <v>0</v>
      </c>
      <c r="J107" s="8">
        <f>IF(OR(G107="",H107="",I107="",I107=0),"",H107/I107)</f>
        <v>0</v>
      </c>
      <c r="K107" s="8">
        <f>IF(B107="","",Household_Size)</f>
        <v>0</v>
      </c>
      <c r="L107" s="8">
        <f>IF(OR(G107="",H107=""),"",IFERROR(IFERROR(INDEX(Recipes!$H$5:$H$204,MATCH(G107,Recipes!$A$5:$A$204,0)),"")*H107,""))</f>
        <v>0</v>
      </c>
      <c r="M107" s="8">
        <f>IF(OR(G107="",H107=""),"",IFERROR(IFERROR(INDEX(Recipes!$I$5:$I$204,MATCH(G107,Recipes!$A$5:$A$204,0)),"")*H107,""))</f>
        <v>0</v>
      </c>
      <c r="N107" s="8">
        <f>IF(OR(G107="",H107=""),"",IFERROR(IFERROR(INDEX(Recipes!$J$5:$J$204,MATCH(G107,Recipes!$A$5:$A$204,0)),"")*H107,""))</f>
        <v>0</v>
      </c>
      <c r="O107" s="8">
        <f>IF(OR(G107="",H107=""),"",IFERROR(IFERROR(INDEX(Recipes!$K$5:$K$204,MATCH(G107,Recipes!$A$5:$A$204,0)),"")*H107,""))</f>
        <v>0</v>
      </c>
      <c r="P107" s="8">
        <f>IF(OR(G107="",H107=""),"",IFERROR(IFERROR(INDEX(Recipes!$L$5:$L$204,MATCH(G107,Recipes!$A$5:$A$204,0)),"")*H107,""))</f>
        <v>0</v>
      </c>
      <c r="Q107" s="8">
        <f>IF(OR(G107="",H107=""),"",IFERROR(IFERROR(INDEX(Recipes!$Q$5:$Q$204,MATCH(G107,Recipes!$A$5:$A$204,0)),"")*H107,""))</f>
        <v>0</v>
      </c>
      <c r="R107" s="8">
        <f>IF(F107="","",Weekly_Budget/21)</f>
        <v>0</v>
      </c>
      <c r="S107" s="27"/>
      <c r="T107" s="27"/>
      <c r="U107" s="26"/>
      <c r="V107" s="7"/>
      <c r="W107" s="7"/>
      <c r="X107" s="26"/>
      <c r="Y107" s="8">
        <f>IF(G107="","",IF(COUNTIFS('Meal Prep'!$D$5:$D$124,G107)&gt;0,"Yes","No"))</f>
        <v>0</v>
      </c>
      <c r="Z107" s="8">
        <f>IF(G107="","",COUNTIFS('Recipe Ingredients'!$A$5:$A$1204,G107))</f>
        <v>0</v>
      </c>
      <c r="AA107" s="25"/>
      <c r="AB107" s="8">
        <f>IF(OR(B107="",Q107=""),"",COUNTIFS($B$5:$B$504,B107,$Q$5:$Q$504,"&gt;"&amp;Q107)+1)</f>
        <v>0</v>
      </c>
      <c r="AC107" s="8">
        <f>IF(OR(B107="",L107=""),"",COUNTIFS($B$5:$B$504,B107,$L$5:$L$504,"&gt;"&amp;L107)+1)</f>
        <v>0</v>
      </c>
      <c r="AD107" s="8">
        <f>IF(G107="","",IF(COUNTIFS($G$5:$G$504,G107)&gt;1,"Repeat","Once"))</f>
        <v>0</v>
      </c>
      <c r="AE107" s="8">
        <f>IF(G107="","",IF(IFERROR(INDEX(Recipes!$X$5:$X$204,MATCH(G107,Recipes!$A$5:$A$204,0)),"")="","",IFERROR(B107-IFERROR(INDEX(Recipes!$X$5:$X$204,MATCH(G107,Recipes!$A$5:$A$204,0)),""),"")))</f>
        <v>0</v>
      </c>
      <c r="AF107" s="8">
        <f>IF(G107="","",IF(AE107="","Yes",IF(AE107&gt;=Rotation_Gap_Days,"Yes","No")))</f>
        <v>0</v>
      </c>
      <c r="AG107" s="8">
        <f>IF(G107="","",IF(COUNTIFS('Recipe Ingredients'!$A$5:$A$1204,G107,'Recipe Ingredients'!$AC$5:$AC$1204,"Check")&gt;0,"Check","OK"))</f>
        <v>0</v>
      </c>
    </row>
    <row r="108" spans="1:33">
      <c r="A108" s="7"/>
      <c r="B108" s="30"/>
      <c r="C108" s="8">
        <f>IF(B108="","",B108-WEEKDAY(B108,2)+1)</f>
        <v>0</v>
      </c>
      <c r="D108" s="8">
        <f>IF(B108="","",TEXT(B108,"ddd"))</f>
        <v>0</v>
      </c>
      <c r="E108" s="8">
        <f>IF(B108="","",TEXT(B108,"mmm yyyy"))</f>
        <v>0</v>
      </c>
      <c r="F108" s="27"/>
      <c r="G108" s="7"/>
      <c r="H108" s="26"/>
      <c r="I108" s="8">
        <f>IF(G108="","",IFERROR(INDEX(Recipes!$D$5:$D$204,MATCH(G108,Recipes!$A$5:$A$204,0)),""))</f>
        <v>0</v>
      </c>
      <c r="J108" s="8">
        <f>IF(OR(G108="",H108="",I108="",I108=0),"",H108/I108)</f>
        <v>0</v>
      </c>
      <c r="K108" s="8">
        <f>IF(B108="","",Household_Size)</f>
        <v>0</v>
      </c>
      <c r="L108" s="8">
        <f>IF(OR(G108="",H108=""),"",IFERROR(IFERROR(INDEX(Recipes!$H$5:$H$204,MATCH(G108,Recipes!$A$5:$A$204,0)),"")*H108,""))</f>
        <v>0</v>
      </c>
      <c r="M108" s="8">
        <f>IF(OR(G108="",H108=""),"",IFERROR(IFERROR(INDEX(Recipes!$I$5:$I$204,MATCH(G108,Recipes!$A$5:$A$204,0)),"")*H108,""))</f>
        <v>0</v>
      </c>
      <c r="N108" s="8">
        <f>IF(OR(G108="",H108=""),"",IFERROR(IFERROR(INDEX(Recipes!$J$5:$J$204,MATCH(G108,Recipes!$A$5:$A$204,0)),"")*H108,""))</f>
        <v>0</v>
      </c>
      <c r="O108" s="8">
        <f>IF(OR(G108="",H108=""),"",IFERROR(IFERROR(INDEX(Recipes!$K$5:$K$204,MATCH(G108,Recipes!$A$5:$A$204,0)),"")*H108,""))</f>
        <v>0</v>
      </c>
      <c r="P108" s="8">
        <f>IF(OR(G108="",H108=""),"",IFERROR(IFERROR(INDEX(Recipes!$L$5:$L$204,MATCH(G108,Recipes!$A$5:$A$204,0)),"")*H108,""))</f>
        <v>0</v>
      </c>
      <c r="Q108" s="8">
        <f>IF(OR(G108="",H108=""),"",IFERROR(IFERROR(INDEX(Recipes!$Q$5:$Q$204,MATCH(G108,Recipes!$A$5:$A$204,0)),"")*H108,""))</f>
        <v>0</v>
      </c>
      <c r="R108" s="8">
        <f>IF(F108="","",Weekly_Budget/21)</f>
        <v>0</v>
      </c>
      <c r="S108" s="27"/>
      <c r="T108" s="27"/>
      <c r="U108" s="26"/>
      <c r="V108" s="7"/>
      <c r="W108" s="7"/>
      <c r="X108" s="26"/>
      <c r="Y108" s="8">
        <f>IF(G108="","",IF(COUNTIFS('Meal Prep'!$D$5:$D$124,G108)&gt;0,"Yes","No"))</f>
        <v>0</v>
      </c>
      <c r="Z108" s="8">
        <f>IF(G108="","",COUNTIFS('Recipe Ingredients'!$A$5:$A$1204,G108))</f>
        <v>0</v>
      </c>
      <c r="AA108" s="25"/>
      <c r="AB108" s="8">
        <f>IF(OR(B108="",Q108=""),"",COUNTIFS($B$5:$B$504,B108,$Q$5:$Q$504,"&gt;"&amp;Q108)+1)</f>
        <v>0</v>
      </c>
      <c r="AC108" s="8">
        <f>IF(OR(B108="",L108=""),"",COUNTIFS($B$5:$B$504,B108,$L$5:$L$504,"&gt;"&amp;L108)+1)</f>
        <v>0</v>
      </c>
      <c r="AD108" s="8">
        <f>IF(G108="","",IF(COUNTIFS($G$5:$G$504,G108)&gt;1,"Repeat","Once"))</f>
        <v>0</v>
      </c>
      <c r="AE108" s="8">
        <f>IF(G108="","",IF(IFERROR(INDEX(Recipes!$X$5:$X$204,MATCH(G108,Recipes!$A$5:$A$204,0)),"")="","",IFERROR(B108-IFERROR(INDEX(Recipes!$X$5:$X$204,MATCH(G108,Recipes!$A$5:$A$204,0)),""),"")))</f>
        <v>0</v>
      </c>
      <c r="AF108" s="8">
        <f>IF(G108="","",IF(AE108="","Yes",IF(AE108&gt;=Rotation_Gap_Days,"Yes","No")))</f>
        <v>0</v>
      </c>
      <c r="AG108" s="8">
        <f>IF(G108="","",IF(COUNTIFS('Recipe Ingredients'!$A$5:$A$1204,G108,'Recipe Ingredients'!$AC$5:$AC$1204,"Check")&gt;0,"Check","OK"))</f>
        <v>0</v>
      </c>
    </row>
    <row r="109" spans="1:33">
      <c r="A109" s="7"/>
      <c r="B109" s="30"/>
      <c r="C109" s="8">
        <f>IF(B109="","",B109-WEEKDAY(B109,2)+1)</f>
        <v>0</v>
      </c>
      <c r="D109" s="8">
        <f>IF(B109="","",TEXT(B109,"ddd"))</f>
        <v>0</v>
      </c>
      <c r="E109" s="8">
        <f>IF(B109="","",TEXT(B109,"mmm yyyy"))</f>
        <v>0</v>
      </c>
      <c r="F109" s="27"/>
      <c r="G109" s="7"/>
      <c r="H109" s="26"/>
      <c r="I109" s="8">
        <f>IF(G109="","",IFERROR(INDEX(Recipes!$D$5:$D$204,MATCH(G109,Recipes!$A$5:$A$204,0)),""))</f>
        <v>0</v>
      </c>
      <c r="J109" s="8">
        <f>IF(OR(G109="",H109="",I109="",I109=0),"",H109/I109)</f>
        <v>0</v>
      </c>
      <c r="K109" s="8">
        <f>IF(B109="","",Household_Size)</f>
        <v>0</v>
      </c>
      <c r="L109" s="8">
        <f>IF(OR(G109="",H109=""),"",IFERROR(IFERROR(INDEX(Recipes!$H$5:$H$204,MATCH(G109,Recipes!$A$5:$A$204,0)),"")*H109,""))</f>
        <v>0</v>
      </c>
      <c r="M109" s="8">
        <f>IF(OR(G109="",H109=""),"",IFERROR(IFERROR(INDEX(Recipes!$I$5:$I$204,MATCH(G109,Recipes!$A$5:$A$204,0)),"")*H109,""))</f>
        <v>0</v>
      </c>
      <c r="N109" s="8">
        <f>IF(OR(G109="",H109=""),"",IFERROR(IFERROR(INDEX(Recipes!$J$5:$J$204,MATCH(G109,Recipes!$A$5:$A$204,0)),"")*H109,""))</f>
        <v>0</v>
      </c>
      <c r="O109" s="8">
        <f>IF(OR(G109="",H109=""),"",IFERROR(IFERROR(INDEX(Recipes!$K$5:$K$204,MATCH(G109,Recipes!$A$5:$A$204,0)),"")*H109,""))</f>
        <v>0</v>
      </c>
      <c r="P109" s="8">
        <f>IF(OR(G109="",H109=""),"",IFERROR(IFERROR(INDEX(Recipes!$L$5:$L$204,MATCH(G109,Recipes!$A$5:$A$204,0)),"")*H109,""))</f>
        <v>0</v>
      </c>
      <c r="Q109" s="8">
        <f>IF(OR(G109="",H109=""),"",IFERROR(IFERROR(INDEX(Recipes!$Q$5:$Q$204,MATCH(G109,Recipes!$A$5:$A$204,0)),"")*H109,""))</f>
        <v>0</v>
      </c>
      <c r="R109" s="8">
        <f>IF(F109="","",Weekly_Budget/21)</f>
        <v>0</v>
      </c>
      <c r="S109" s="27"/>
      <c r="T109" s="27"/>
      <c r="U109" s="26"/>
      <c r="V109" s="7"/>
      <c r="W109" s="7"/>
      <c r="X109" s="26"/>
      <c r="Y109" s="8">
        <f>IF(G109="","",IF(COUNTIFS('Meal Prep'!$D$5:$D$124,G109)&gt;0,"Yes","No"))</f>
        <v>0</v>
      </c>
      <c r="Z109" s="8">
        <f>IF(G109="","",COUNTIFS('Recipe Ingredients'!$A$5:$A$1204,G109))</f>
        <v>0</v>
      </c>
      <c r="AA109" s="25"/>
      <c r="AB109" s="8">
        <f>IF(OR(B109="",Q109=""),"",COUNTIFS($B$5:$B$504,B109,$Q$5:$Q$504,"&gt;"&amp;Q109)+1)</f>
        <v>0</v>
      </c>
      <c r="AC109" s="8">
        <f>IF(OR(B109="",L109=""),"",COUNTIFS($B$5:$B$504,B109,$L$5:$L$504,"&gt;"&amp;L109)+1)</f>
        <v>0</v>
      </c>
      <c r="AD109" s="8">
        <f>IF(G109="","",IF(COUNTIFS($G$5:$G$504,G109)&gt;1,"Repeat","Once"))</f>
        <v>0</v>
      </c>
      <c r="AE109" s="8">
        <f>IF(G109="","",IF(IFERROR(INDEX(Recipes!$X$5:$X$204,MATCH(G109,Recipes!$A$5:$A$204,0)),"")="","",IFERROR(B109-IFERROR(INDEX(Recipes!$X$5:$X$204,MATCH(G109,Recipes!$A$5:$A$204,0)),""),"")))</f>
        <v>0</v>
      </c>
      <c r="AF109" s="8">
        <f>IF(G109="","",IF(AE109="","Yes",IF(AE109&gt;=Rotation_Gap_Days,"Yes","No")))</f>
        <v>0</v>
      </c>
      <c r="AG109" s="8">
        <f>IF(G109="","",IF(COUNTIFS('Recipe Ingredients'!$A$5:$A$1204,G109,'Recipe Ingredients'!$AC$5:$AC$1204,"Check")&gt;0,"Check","OK"))</f>
        <v>0</v>
      </c>
    </row>
    <row r="110" spans="1:33">
      <c r="A110" s="7"/>
      <c r="B110" s="30"/>
      <c r="C110" s="8">
        <f>IF(B110="","",B110-WEEKDAY(B110,2)+1)</f>
        <v>0</v>
      </c>
      <c r="D110" s="8">
        <f>IF(B110="","",TEXT(B110,"ddd"))</f>
        <v>0</v>
      </c>
      <c r="E110" s="8">
        <f>IF(B110="","",TEXT(B110,"mmm yyyy"))</f>
        <v>0</v>
      </c>
      <c r="F110" s="27"/>
      <c r="G110" s="7"/>
      <c r="H110" s="26"/>
      <c r="I110" s="8">
        <f>IF(G110="","",IFERROR(INDEX(Recipes!$D$5:$D$204,MATCH(G110,Recipes!$A$5:$A$204,0)),""))</f>
        <v>0</v>
      </c>
      <c r="J110" s="8">
        <f>IF(OR(G110="",H110="",I110="",I110=0),"",H110/I110)</f>
        <v>0</v>
      </c>
      <c r="K110" s="8">
        <f>IF(B110="","",Household_Size)</f>
        <v>0</v>
      </c>
      <c r="L110" s="8">
        <f>IF(OR(G110="",H110=""),"",IFERROR(IFERROR(INDEX(Recipes!$H$5:$H$204,MATCH(G110,Recipes!$A$5:$A$204,0)),"")*H110,""))</f>
        <v>0</v>
      </c>
      <c r="M110" s="8">
        <f>IF(OR(G110="",H110=""),"",IFERROR(IFERROR(INDEX(Recipes!$I$5:$I$204,MATCH(G110,Recipes!$A$5:$A$204,0)),"")*H110,""))</f>
        <v>0</v>
      </c>
      <c r="N110" s="8">
        <f>IF(OR(G110="",H110=""),"",IFERROR(IFERROR(INDEX(Recipes!$J$5:$J$204,MATCH(G110,Recipes!$A$5:$A$204,0)),"")*H110,""))</f>
        <v>0</v>
      </c>
      <c r="O110" s="8">
        <f>IF(OR(G110="",H110=""),"",IFERROR(IFERROR(INDEX(Recipes!$K$5:$K$204,MATCH(G110,Recipes!$A$5:$A$204,0)),"")*H110,""))</f>
        <v>0</v>
      </c>
      <c r="P110" s="8">
        <f>IF(OR(G110="",H110=""),"",IFERROR(IFERROR(INDEX(Recipes!$L$5:$L$204,MATCH(G110,Recipes!$A$5:$A$204,0)),"")*H110,""))</f>
        <v>0</v>
      </c>
      <c r="Q110" s="8">
        <f>IF(OR(G110="",H110=""),"",IFERROR(IFERROR(INDEX(Recipes!$Q$5:$Q$204,MATCH(G110,Recipes!$A$5:$A$204,0)),"")*H110,""))</f>
        <v>0</v>
      </c>
      <c r="R110" s="8">
        <f>IF(F110="","",Weekly_Budget/21)</f>
        <v>0</v>
      </c>
      <c r="S110" s="27"/>
      <c r="T110" s="27"/>
      <c r="U110" s="26"/>
      <c r="V110" s="7"/>
      <c r="W110" s="7"/>
      <c r="X110" s="26"/>
      <c r="Y110" s="8">
        <f>IF(G110="","",IF(COUNTIFS('Meal Prep'!$D$5:$D$124,G110)&gt;0,"Yes","No"))</f>
        <v>0</v>
      </c>
      <c r="Z110" s="8">
        <f>IF(G110="","",COUNTIFS('Recipe Ingredients'!$A$5:$A$1204,G110))</f>
        <v>0</v>
      </c>
      <c r="AA110" s="25"/>
      <c r="AB110" s="8">
        <f>IF(OR(B110="",Q110=""),"",COUNTIFS($B$5:$B$504,B110,$Q$5:$Q$504,"&gt;"&amp;Q110)+1)</f>
        <v>0</v>
      </c>
      <c r="AC110" s="8">
        <f>IF(OR(B110="",L110=""),"",COUNTIFS($B$5:$B$504,B110,$L$5:$L$504,"&gt;"&amp;L110)+1)</f>
        <v>0</v>
      </c>
      <c r="AD110" s="8">
        <f>IF(G110="","",IF(COUNTIFS($G$5:$G$504,G110)&gt;1,"Repeat","Once"))</f>
        <v>0</v>
      </c>
      <c r="AE110" s="8">
        <f>IF(G110="","",IF(IFERROR(INDEX(Recipes!$X$5:$X$204,MATCH(G110,Recipes!$A$5:$A$204,0)),"")="","",IFERROR(B110-IFERROR(INDEX(Recipes!$X$5:$X$204,MATCH(G110,Recipes!$A$5:$A$204,0)),""),"")))</f>
        <v>0</v>
      </c>
      <c r="AF110" s="8">
        <f>IF(G110="","",IF(AE110="","Yes",IF(AE110&gt;=Rotation_Gap_Days,"Yes","No")))</f>
        <v>0</v>
      </c>
      <c r="AG110" s="8">
        <f>IF(G110="","",IF(COUNTIFS('Recipe Ingredients'!$A$5:$A$1204,G110,'Recipe Ingredients'!$AC$5:$AC$1204,"Check")&gt;0,"Check","OK"))</f>
        <v>0</v>
      </c>
    </row>
    <row r="111" spans="1:33">
      <c r="A111" s="7"/>
      <c r="B111" s="30"/>
      <c r="C111" s="8">
        <f>IF(B111="","",B111-WEEKDAY(B111,2)+1)</f>
        <v>0</v>
      </c>
      <c r="D111" s="8">
        <f>IF(B111="","",TEXT(B111,"ddd"))</f>
        <v>0</v>
      </c>
      <c r="E111" s="8">
        <f>IF(B111="","",TEXT(B111,"mmm yyyy"))</f>
        <v>0</v>
      </c>
      <c r="F111" s="27"/>
      <c r="G111" s="7"/>
      <c r="H111" s="26"/>
      <c r="I111" s="8">
        <f>IF(G111="","",IFERROR(INDEX(Recipes!$D$5:$D$204,MATCH(G111,Recipes!$A$5:$A$204,0)),""))</f>
        <v>0</v>
      </c>
      <c r="J111" s="8">
        <f>IF(OR(G111="",H111="",I111="",I111=0),"",H111/I111)</f>
        <v>0</v>
      </c>
      <c r="K111" s="8">
        <f>IF(B111="","",Household_Size)</f>
        <v>0</v>
      </c>
      <c r="L111" s="8">
        <f>IF(OR(G111="",H111=""),"",IFERROR(IFERROR(INDEX(Recipes!$H$5:$H$204,MATCH(G111,Recipes!$A$5:$A$204,0)),"")*H111,""))</f>
        <v>0</v>
      </c>
      <c r="M111" s="8">
        <f>IF(OR(G111="",H111=""),"",IFERROR(IFERROR(INDEX(Recipes!$I$5:$I$204,MATCH(G111,Recipes!$A$5:$A$204,0)),"")*H111,""))</f>
        <v>0</v>
      </c>
      <c r="N111" s="8">
        <f>IF(OR(G111="",H111=""),"",IFERROR(IFERROR(INDEX(Recipes!$J$5:$J$204,MATCH(G111,Recipes!$A$5:$A$204,0)),"")*H111,""))</f>
        <v>0</v>
      </c>
      <c r="O111" s="8">
        <f>IF(OR(G111="",H111=""),"",IFERROR(IFERROR(INDEX(Recipes!$K$5:$K$204,MATCH(G111,Recipes!$A$5:$A$204,0)),"")*H111,""))</f>
        <v>0</v>
      </c>
      <c r="P111" s="8">
        <f>IF(OR(G111="",H111=""),"",IFERROR(IFERROR(INDEX(Recipes!$L$5:$L$204,MATCH(G111,Recipes!$A$5:$A$204,0)),"")*H111,""))</f>
        <v>0</v>
      </c>
      <c r="Q111" s="8">
        <f>IF(OR(G111="",H111=""),"",IFERROR(IFERROR(INDEX(Recipes!$Q$5:$Q$204,MATCH(G111,Recipes!$A$5:$A$204,0)),"")*H111,""))</f>
        <v>0</v>
      </c>
      <c r="R111" s="8">
        <f>IF(F111="","",Weekly_Budget/21)</f>
        <v>0</v>
      </c>
      <c r="S111" s="27"/>
      <c r="T111" s="27"/>
      <c r="U111" s="26"/>
      <c r="V111" s="7"/>
      <c r="W111" s="7"/>
      <c r="X111" s="26"/>
      <c r="Y111" s="8">
        <f>IF(G111="","",IF(COUNTIFS('Meal Prep'!$D$5:$D$124,G111)&gt;0,"Yes","No"))</f>
        <v>0</v>
      </c>
      <c r="Z111" s="8">
        <f>IF(G111="","",COUNTIFS('Recipe Ingredients'!$A$5:$A$1204,G111))</f>
        <v>0</v>
      </c>
      <c r="AA111" s="25"/>
      <c r="AB111" s="8">
        <f>IF(OR(B111="",Q111=""),"",COUNTIFS($B$5:$B$504,B111,$Q$5:$Q$504,"&gt;"&amp;Q111)+1)</f>
        <v>0</v>
      </c>
      <c r="AC111" s="8">
        <f>IF(OR(B111="",L111=""),"",COUNTIFS($B$5:$B$504,B111,$L$5:$L$504,"&gt;"&amp;L111)+1)</f>
        <v>0</v>
      </c>
      <c r="AD111" s="8">
        <f>IF(G111="","",IF(COUNTIFS($G$5:$G$504,G111)&gt;1,"Repeat","Once"))</f>
        <v>0</v>
      </c>
      <c r="AE111" s="8">
        <f>IF(G111="","",IF(IFERROR(INDEX(Recipes!$X$5:$X$204,MATCH(G111,Recipes!$A$5:$A$204,0)),"")="","",IFERROR(B111-IFERROR(INDEX(Recipes!$X$5:$X$204,MATCH(G111,Recipes!$A$5:$A$204,0)),""),"")))</f>
        <v>0</v>
      </c>
      <c r="AF111" s="8">
        <f>IF(G111="","",IF(AE111="","Yes",IF(AE111&gt;=Rotation_Gap_Days,"Yes","No")))</f>
        <v>0</v>
      </c>
      <c r="AG111" s="8">
        <f>IF(G111="","",IF(COUNTIFS('Recipe Ingredients'!$A$5:$A$1204,G111,'Recipe Ingredients'!$AC$5:$AC$1204,"Check")&gt;0,"Check","OK"))</f>
        <v>0</v>
      </c>
    </row>
    <row r="112" spans="1:33">
      <c r="A112" s="7"/>
      <c r="B112" s="30"/>
      <c r="C112" s="8">
        <f>IF(B112="","",B112-WEEKDAY(B112,2)+1)</f>
        <v>0</v>
      </c>
      <c r="D112" s="8">
        <f>IF(B112="","",TEXT(B112,"ddd"))</f>
        <v>0</v>
      </c>
      <c r="E112" s="8">
        <f>IF(B112="","",TEXT(B112,"mmm yyyy"))</f>
        <v>0</v>
      </c>
      <c r="F112" s="27"/>
      <c r="G112" s="7"/>
      <c r="H112" s="26"/>
      <c r="I112" s="8">
        <f>IF(G112="","",IFERROR(INDEX(Recipes!$D$5:$D$204,MATCH(G112,Recipes!$A$5:$A$204,0)),""))</f>
        <v>0</v>
      </c>
      <c r="J112" s="8">
        <f>IF(OR(G112="",H112="",I112="",I112=0),"",H112/I112)</f>
        <v>0</v>
      </c>
      <c r="K112" s="8">
        <f>IF(B112="","",Household_Size)</f>
        <v>0</v>
      </c>
      <c r="L112" s="8">
        <f>IF(OR(G112="",H112=""),"",IFERROR(IFERROR(INDEX(Recipes!$H$5:$H$204,MATCH(G112,Recipes!$A$5:$A$204,0)),"")*H112,""))</f>
        <v>0</v>
      </c>
      <c r="M112" s="8">
        <f>IF(OR(G112="",H112=""),"",IFERROR(IFERROR(INDEX(Recipes!$I$5:$I$204,MATCH(G112,Recipes!$A$5:$A$204,0)),"")*H112,""))</f>
        <v>0</v>
      </c>
      <c r="N112" s="8">
        <f>IF(OR(G112="",H112=""),"",IFERROR(IFERROR(INDEX(Recipes!$J$5:$J$204,MATCH(G112,Recipes!$A$5:$A$204,0)),"")*H112,""))</f>
        <v>0</v>
      </c>
      <c r="O112" s="8">
        <f>IF(OR(G112="",H112=""),"",IFERROR(IFERROR(INDEX(Recipes!$K$5:$K$204,MATCH(G112,Recipes!$A$5:$A$204,0)),"")*H112,""))</f>
        <v>0</v>
      </c>
      <c r="P112" s="8">
        <f>IF(OR(G112="",H112=""),"",IFERROR(IFERROR(INDEX(Recipes!$L$5:$L$204,MATCH(G112,Recipes!$A$5:$A$204,0)),"")*H112,""))</f>
        <v>0</v>
      </c>
      <c r="Q112" s="8">
        <f>IF(OR(G112="",H112=""),"",IFERROR(IFERROR(INDEX(Recipes!$Q$5:$Q$204,MATCH(G112,Recipes!$A$5:$A$204,0)),"")*H112,""))</f>
        <v>0</v>
      </c>
      <c r="R112" s="8">
        <f>IF(F112="","",Weekly_Budget/21)</f>
        <v>0</v>
      </c>
      <c r="S112" s="27"/>
      <c r="T112" s="27"/>
      <c r="U112" s="26"/>
      <c r="V112" s="7"/>
      <c r="W112" s="7"/>
      <c r="X112" s="26"/>
      <c r="Y112" s="8">
        <f>IF(G112="","",IF(COUNTIFS('Meal Prep'!$D$5:$D$124,G112)&gt;0,"Yes","No"))</f>
        <v>0</v>
      </c>
      <c r="Z112" s="8">
        <f>IF(G112="","",COUNTIFS('Recipe Ingredients'!$A$5:$A$1204,G112))</f>
        <v>0</v>
      </c>
      <c r="AA112" s="25"/>
      <c r="AB112" s="8">
        <f>IF(OR(B112="",Q112=""),"",COUNTIFS($B$5:$B$504,B112,$Q$5:$Q$504,"&gt;"&amp;Q112)+1)</f>
        <v>0</v>
      </c>
      <c r="AC112" s="8">
        <f>IF(OR(B112="",L112=""),"",COUNTIFS($B$5:$B$504,B112,$L$5:$L$504,"&gt;"&amp;L112)+1)</f>
        <v>0</v>
      </c>
      <c r="AD112" s="8">
        <f>IF(G112="","",IF(COUNTIFS($G$5:$G$504,G112)&gt;1,"Repeat","Once"))</f>
        <v>0</v>
      </c>
      <c r="AE112" s="8">
        <f>IF(G112="","",IF(IFERROR(INDEX(Recipes!$X$5:$X$204,MATCH(G112,Recipes!$A$5:$A$204,0)),"")="","",IFERROR(B112-IFERROR(INDEX(Recipes!$X$5:$X$204,MATCH(G112,Recipes!$A$5:$A$204,0)),""),"")))</f>
        <v>0</v>
      </c>
      <c r="AF112" s="8">
        <f>IF(G112="","",IF(AE112="","Yes",IF(AE112&gt;=Rotation_Gap_Days,"Yes","No")))</f>
        <v>0</v>
      </c>
      <c r="AG112" s="8">
        <f>IF(G112="","",IF(COUNTIFS('Recipe Ingredients'!$A$5:$A$1204,G112,'Recipe Ingredients'!$AC$5:$AC$1204,"Check")&gt;0,"Check","OK"))</f>
        <v>0</v>
      </c>
    </row>
    <row r="113" spans="1:33">
      <c r="A113" s="7"/>
      <c r="B113" s="30"/>
      <c r="C113" s="8">
        <f>IF(B113="","",B113-WEEKDAY(B113,2)+1)</f>
        <v>0</v>
      </c>
      <c r="D113" s="8">
        <f>IF(B113="","",TEXT(B113,"ddd"))</f>
        <v>0</v>
      </c>
      <c r="E113" s="8">
        <f>IF(B113="","",TEXT(B113,"mmm yyyy"))</f>
        <v>0</v>
      </c>
      <c r="F113" s="27"/>
      <c r="G113" s="7"/>
      <c r="H113" s="26"/>
      <c r="I113" s="8">
        <f>IF(G113="","",IFERROR(INDEX(Recipes!$D$5:$D$204,MATCH(G113,Recipes!$A$5:$A$204,0)),""))</f>
        <v>0</v>
      </c>
      <c r="J113" s="8">
        <f>IF(OR(G113="",H113="",I113="",I113=0),"",H113/I113)</f>
        <v>0</v>
      </c>
      <c r="K113" s="8">
        <f>IF(B113="","",Household_Size)</f>
        <v>0</v>
      </c>
      <c r="L113" s="8">
        <f>IF(OR(G113="",H113=""),"",IFERROR(IFERROR(INDEX(Recipes!$H$5:$H$204,MATCH(G113,Recipes!$A$5:$A$204,0)),"")*H113,""))</f>
        <v>0</v>
      </c>
      <c r="M113" s="8">
        <f>IF(OR(G113="",H113=""),"",IFERROR(IFERROR(INDEX(Recipes!$I$5:$I$204,MATCH(G113,Recipes!$A$5:$A$204,0)),"")*H113,""))</f>
        <v>0</v>
      </c>
      <c r="N113" s="8">
        <f>IF(OR(G113="",H113=""),"",IFERROR(IFERROR(INDEX(Recipes!$J$5:$J$204,MATCH(G113,Recipes!$A$5:$A$204,0)),"")*H113,""))</f>
        <v>0</v>
      </c>
      <c r="O113" s="8">
        <f>IF(OR(G113="",H113=""),"",IFERROR(IFERROR(INDEX(Recipes!$K$5:$K$204,MATCH(G113,Recipes!$A$5:$A$204,0)),"")*H113,""))</f>
        <v>0</v>
      </c>
      <c r="P113" s="8">
        <f>IF(OR(G113="",H113=""),"",IFERROR(IFERROR(INDEX(Recipes!$L$5:$L$204,MATCH(G113,Recipes!$A$5:$A$204,0)),"")*H113,""))</f>
        <v>0</v>
      </c>
      <c r="Q113" s="8">
        <f>IF(OR(G113="",H113=""),"",IFERROR(IFERROR(INDEX(Recipes!$Q$5:$Q$204,MATCH(G113,Recipes!$A$5:$A$204,0)),"")*H113,""))</f>
        <v>0</v>
      </c>
      <c r="R113" s="8">
        <f>IF(F113="","",Weekly_Budget/21)</f>
        <v>0</v>
      </c>
      <c r="S113" s="27"/>
      <c r="T113" s="27"/>
      <c r="U113" s="26"/>
      <c r="V113" s="7"/>
      <c r="W113" s="7"/>
      <c r="X113" s="26"/>
      <c r="Y113" s="8">
        <f>IF(G113="","",IF(COUNTIFS('Meal Prep'!$D$5:$D$124,G113)&gt;0,"Yes","No"))</f>
        <v>0</v>
      </c>
      <c r="Z113" s="8">
        <f>IF(G113="","",COUNTIFS('Recipe Ingredients'!$A$5:$A$1204,G113))</f>
        <v>0</v>
      </c>
      <c r="AA113" s="25"/>
      <c r="AB113" s="8">
        <f>IF(OR(B113="",Q113=""),"",COUNTIFS($B$5:$B$504,B113,$Q$5:$Q$504,"&gt;"&amp;Q113)+1)</f>
        <v>0</v>
      </c>
      <c r="AC113" s="8">
        <f>IF(OR(B113="",L113=""),"",COUNTIFS($B$5:$B$504,B113,$L$5:$L$504,"&gt;"&amp;L113)+1)</f>
        <v>0</v>
      </c>
      <c r="AD113" s="8">
        <f>IF(G113="","",IF(COUNTIFS($G$5:$G$504,G113)&gt;1,"Repeat","Once"))</f>
        <v>0</v>
      </c>
      <c r="AE113" s="8">
        <f>IF(G113="","",IF(IFERROR(INDEX(Recipes!$X$5:$X$204,MATCH(G113,Recipes!$A$5:$A$204,0)),"")="","",IFERROR(B113-IFERROR(INDEX(Recipes!$X$5:$X$204,MATCH(G113,Recipes!$A$5:$A$204,0)),""),"")))</f>
        <v>0</v>
      </c>
      <c r="AF113" s="8">
        <f>IF(G113="","",IF(AE113="","Yes",IF(AE113&gt;=Rotation_Gap_Days,"Yes","No")))</f>
        <v>0</v>
      </c>
      <c r="AG113" s="8">
        <f>IF(G113="","",IF(COUNTIFS('Recipe Ingredients'!$A$5:$A$1204,G113,'Recipe Ingredients'!$AC$5:$AC$1204,"Check")&gt;0,"Check","OK"))</f>
        <v>0</v>
      </c>
    </row>
    <row r="114" spans="1:33">
      <c r="A114" s="7"/>
      <c r="B114" s="30"/>
      <c r="C114" s="8">
        <f>IF(B114="","",B114-WEEKDAY(B114,2)+1)</f>
        <v>0</v>
      </c>
      <c r="D114" s="8">
        <f>IF(B114="","",TEXT(B114,"ddd"))</f>
        <v>0</v>
      </c>
      <c r="E114" s="8">
        <f>IF(B114="","",TEXT(B114,"mmm yyyy"))</f>
        <v>0</v>
      </c>
      <c r="F114" s="27"/>
      <c r="G114" s="7"/>
      <c r="H114" s="26"/>
      <c r="I114" s="8">
        <f>IF(G114="","",IFERROR(INDEX(Recipes!$D$5:$D$204,MATCH(G114,Recipes!$A$5:$A$204,0)),""))</f>
        <v>0</v>
      </c>
      <c r="J114" s="8">
        <f>IF(OR(G114="",H114="",I114="",I114=0),"",H114/I114)</f>
        <v>0</v>
      </c>
      <c r="K114" s="8">
        <f>IF(B114="","",Household_Size)</f>
        <v>0</v>
      </c>
      <c r="L114" s="8">
        <f>IF(OR(G114="",H114=""),"",IFERROR(IFERROR(INDEX(Recipes!$H$5:$H$204,MATCH(G114,Recipes!$A$5:$A$204,0)),"")*H114,""))</f>
        <v>0</v>
      </c>
      <c r="M114" s="8">
        <f>IF(OR(G114="",H114=""),"",IFERROR(IFERROR(INDEX(Recipes!$I$5:$I$204,MATCH(G114,Recipes!$A$5:$A$204,0)),"")*H114,""))</f>
        <v>0</v>
      </c>
      <c r="N114" s="8">
        <f>IF(OR(G114="",H114=""),"",IFERROR(IFERROR(INDEX(Recipes!$J$5:$J$204,MATCH(G114,Recipes!$A$5:$A$204,0)),"")*H114,""))</f>
        <v>0</v>
      </c>
      <c r="O114" s="8">
        <f>IF(OR(G114="",H114=""),"",IFERROR(IFERROR(INDEX(Recipes!$K$5:$K$204,MATCH(G114,Recipes!$A$5:$A$204,0)),"")*H114,""))</f>
        <v>0</v>
      </c>
      <c r="P114" s="8">
        <f>IF(OR(G114="",H114=""),"",IFERROR(IFERROR(INDEX(Recipes!$L$5:$L$204,MATCH(G114,Recipes!$A$5:$A$204,0)),"")*H114,""))</f>
        <v>0</v>
      </c>
      <c r="Q114" s="8">
        <f>IF(OR(G114="",H114=""),"",IFERROR(IFERROR(INDEX(Recipes!$Q$5:$Q$204,MATCH(G114,Recipes!$A$5:$A$204,0)),"")*H114,""))</f>
        <v>0</v>
      </c>
      <c r="R114" s="8">
        <f>IF(F114="","",Weekly_Budget/21)</f>
        <v>0</v>
      </c>
      <c r="S114" s="27"/>
      <c r="T114" s="27"/>
      <c r="U114" s="26"/>
      <c r="V114" s="7"/>
      <c r="W114" s="7"/>
      <c r="X114" s="26"/>
      <c r="Y114" s="8">
        <f>IF(G114="","",IF(COUNTIFS('Meal Prep'!$D$5:$D$124,G114)&gt;0,"Yes","No"))</f>
        <v>0</v>
      </c>
      <c r="Z114" s="8">
        <f>IF(G114="","",COUNTIFS('Recipe Ingredients'!$A$5:$A$1204,G114))</f>
        <v>0</v>
      </c>
      <c r="AA114" s="25"/>
      <c r="AB114" s="8">
        <f>IF(OR(B114="",Q114=""),"",COUNTIFS($B$5:$B$504,B114,$Q$5:$Q$504,"&gt;"&amp;Q114)+1)</f>
        <v>0</v>
      </c>
      <c r="AC114" s="8">
        <f>IF(OR(B114="",L114=""),"",COUNTIFS($B$5:$B$504,B114,$L$5:$L$504,"&gt;"&amp;L114)+1)</f>
        <v>0</v>
      </c>
      <c r="AD114" s="8">
        <f>IF(G114="","",IF(COUNTIFS($G$5:$G$504,G114)&gt;1,"Repeat","Once"))</f>
        <v>0</v>
      </c>
      <c r="AE114" s="8">
        <f>IF(G114="","",IF(IFERROR(INDEX(Recipes!$X$5:$X$204,MATCH(G114,Recipes!$A$5:$A$204,0)),"")="","",IFERROR(B114-IFERROR(INDEX(Recipes!$X$5:$X$204,MATCH(G114,Recipes!$A$5:$A$204,0)),""),"")))</f>
        <v>0</v>
      </c>
      <c r="AF114" s="8">
        <f>IF(G114="","",IF(AE114="","Yes",IF(AE114&gt;=Rotation_Gap_Days,"Yes","No")))</f>
        <v>0</v>
      </c>
      <c r="AG114" s="8">
        <f>IF(G114="","",IF(COUNTIFS('Recipe Ingredients'!$A$5:$A$1204,G114,'Recipe Ingredients'!$AC$5:$AC$1204,"Check")&gt;0,"Check","OK"))</f>
        <v>0</v>
      </c>
    </row>
    <row r="115" spans="1:33">
      <c r="A115" s="7"/>
      <c r="B115" s="30"/>
      <c r="C115" s="8">
        <f>IF(B115="","",B115-WEEKDAY(B115,2)+1)</f>
        <v>0</v>
      </c>
      <c r="D115" s="8">
        <f>IF(B115="","",TEXT(B115,"ddd"))</f>
        <v>0</v>
      </c>
      <c r="E115" s="8">
        <f>IF(B115="","",TEXT(B115,"mmm yyyy"))</f>
        <v>0</v>
      </c>
      <c r="F115" s="27"/>
      <c r="G115" s="7"/>
      <c r="H115" s="26"/>
      <c r="I115" s="8">
        <f>IF(G115="","",IFERROR(INDEX(Recipes!$D$5:$D$204,MATCH(G115,Recipes!$A$5:$A$204,0)),""))</f>
        <v>0</v>
      </c>
      <c r="J115" s="8">
        <f>IF(OR(G115="",H115="",I115="",I115=0),"",H115/I115)</f>
        <v>0</v>
      </c>
      <c r="K115" s="8">
        <f>IF(B115="","",Household_Size)</f>
        <v>0</v>
      </c>
      <c r="L115" s="8">
        <f>IF(OR(G115="",H115=""),"",IFERROR(IFERROR(INDEX(Recipes!$H$5:$H$204,MATCH(G115,Recipes!$A$5:$A$204,0)),"")*H115,""))</f>
        <v>0</v>
      </c>
      <c r="M115" s="8">
        <f>IF(OR(G115="",H115=""),"",IFERROR(IFERROR(INDEX(Recipes!$I$5:$I$204,MATCH(G115,Recipes!$A$5:$A$204,0)),"")*H115,""))</f>
        <v>0</v>
      </c>
      <c r="N115" s="8">
        <f>IF(OR(G115="",H115=""),"",IFERROR(IFERROR(INDEX(Recipes!$J$5:$J$204,MATCH(G115,Recipes!$A$5:$A$204,0)),"")*H115,""))</f>
        <v>0</v>
      </c>
      <c r="O115" s="8">
        <f>IF(OR(G115="",H115=""),"",IFERROR(IFERROR(INDEX(Recipes!$K$5:$K$204,MATCH(G115,Recipes!$A$5:$A$204,0)),"")*H115,""))</f>
        <v>0</v>
      </c>
      <c r="P115" s="8">
        <f>IF(OR(G115="",H115=""),"",IFERROR(IFERROR(INDEX(Recipes!$L$5:$L$204,MATCH(G115,Recipes!$A$5:$A$204,0)),"")*H115,""))</f>
        <v>0</v>
      </c>
      <c r="Q115" s="8">
        <f>IF(OR(G115="",H115=""),"",IFERROR(IFERROR(INDEX(Recipes!$Q$5:$Q$204,MATCH(G115,Recipes!$A$5:$A$204,0)),"")*H115,""))</f>
        <v>0</v>
      </c>
      <c r="R115" s="8">
        <f>IF(F115="","",Weekly_Budget/21)</f>
        <v>0</v>
      </c>
      <c r="S115" s="27"/>
      <c r="T115" s="27"/>
      <c r="U115" s="26"/>
      <c r="V115" s="7"/>
      <c r="W115" s="7"/>
      <c r="X115" s="26"/>
      <c r="Y115" s="8">
        <f>IF(G115="","",IF(COUNTIFS('Meal Prep'!$D$5:$D$124,G115)&gt;0,"Yes","No"))</f>
        <v>0</v>
      </c>
      <c r="Z115" s="8">
        <f>IF(G115="","",COUNTIFS('Recipe Ingredients'!$A$5:$A$1204,G115))</f>
        <v>0</v>
      </c>
      <c r="AA115" s="25"/>
      <c r="AB115" s="8">
        <f>IF(OR(B115="",Q115=""),"",COUNTIFS($B$5:$B$504,B115,$Q$5:$Q$504,"&gt;"&amp;Q115)+1)</f>
        <v>0</v>
      </c>
      <c r="AC115" s="8">
        <f>IF(OR(B115="",L115=""),"",COUNTIFS($B$5:$B$504,B115,$L$5:$L$504,"&gt;"&amp;L115)+1)</f>
        <v>0</v>
      </c>
      <c r="AD115" s="8">
        <f>IF(G115="","",IF(COUNTIFS($G$5:$G$504,G115)&gt;1,"Repeat","Once"))</f>
        <v>0</v>
      </c>
      <c r="AE115" s="8">
        <f>IF(G115="","",IF(IFERROR(INDEX(Recipes!$X$5:$X$204,MATCH(G115,Recipes!$A$5:$A$204,0)),"")="","",IFERROR(B115-IFERROR(INDEX(Recipes!$X$5:$X$204,MATCH(G115,Recipes!$A$5:$A$204,0)),""),"")))</f>
        <v>0</v>
      </c>
      <c r="AF115" s="8">
        <f>IF(G115="","",IF(AE115="","Yes",IF(AE115&gt;=Rotation_Gap_Days,"Yes","No")))</f>
        <v>0</v>
      </c>
      <c r="AG115" s="8">
        <f>IF(G115="","",IF(COUNTIFS('Recipe Ingredients'!$A$5:$A$1204,G115,'Recipe Ingredients'!$AC$5:$AC$1204,"Check")&gt;0,"Check","OK"))</f>
        <v>0</v>
      </c>
    </row>
    <row r="116" spans="1:33">
      <c r="A116" s="7"/>
      <c r="B116" s="30"/>
      <c r="C116" s="8">
        <f>IF(B116="","",B116-WEEKDAY(B116,2)+1)</f>
        <v>0</v>
      </c>
      <c r="D116" s="8">
        <f>IF(B116="","",TEXT(B116,"ddd"))</f>
        <v>0</v>
      </c>
      <c r="E116" s="8">
        <f>IF(B116="","",TEXT(B116,"mmm yyyy"))</f>
        <v>0</v>
      </c>
      <c r="F116" s="27"/>
      <c r="G116" s="7"/>
      <c r="H116" s="26"/>
      <c r="I116" s="8">
        <f>IF(G116="","",IFERROR(INDEX(Recipes!$D$5:$D$204,MATCH(G116,Recipes!$A$5:$A$204,0)),""))</f>
        <v>0</v>
      </c>
      <c r="J116" s="8">
        <f>IF(OR(G116="",H116="",I116="",I116=0),"",H116/I116)</f>
        <v>0</v>
      </c>
      <c r="K116" s="8">
        <f>IF(B116="","",Household_Size)</f>
        <v>0</v>
      </c>
      <c r="L116" s="8">
        <f>IF(OR(G116="",H116=""),"",IFERROR(IFERROR(INDEX(Recipes!$H$5:$H$204,MATCH(G116,Recipes!$A$5:$A$204,0)),"")*H116,""))</f>
        <v>0</v>
      </c>
      <c r="M116" s="8">
        <f>IF(OR(G116="",H116=""),"",IFERROR(IFERROR(INDEX(Recipes!$I$5:$I$204,MATCH(G116,Recipes!$A$5:$A$204,0)),"")*H116,""))</f>
        <v>0</v>
      </c>
      <c r="N116" s="8">
        <f>IF(OR(G116="",H116=""),"",IFERROR(IFERROR(INDEX(Recipes!$J$5:$J$204,MATCH(G116,Recipes!$A$5:$A$204,0)),"")*H116,""))</f>
        <v>0</v>
      </c>
      <c r="O116" s="8">
        <f>IF(OR(G116="",H116=""),"",IFERROR(IFERROR(INDEX(Recipes!$K$5:$K$204,MATCH(G116,Recipes!$A$5:$A$204,0)),"")*H116,""))</f>
        <v>0</v>
      </c>
      <c r="P116" s="8">
        <f>IF(OR(G116="",H116=""),"",IFERROR(IFERROR(INDEX(Recipes!$L$5:$L$204,MATCH(G116,Recipes!$A$5:$A$204,0)),"")*H116,""))</f>
        <v>0</v>
      </c>
      <c r="Q116" s="8">
        <f>IF(OR(G116="",H116=""),"",IFERROR(IFERROR(INDEX(Recipes!$Q$5:$Q$204,MATCH(G116,Recipes!$A$5:$A$204,0)),"")*H116,""))</f>
        <v>0</v>
      </c>
      <c r="R116" s="8">
        <f>IF(F116="","",Weekly_Budget/21)</f>
        <v>0</v>
      </c>
      <c r="S116" s="27"/>
      <c r="T116" s="27"/>
      <c r="U116" s="26"/>
      <c r="V116" s="7"/>
      <c r="W116" s="7"/>
      <c r="X116" s="26"/>
      <c r="Y116" s="8">
        <f>IF(G116="","",IF(COUNTIFS('Meal Prep'!$D$5:$D$124,G116)&gt;0,"Yes","No"))</f>
        <v>0</v>
      </c>
      <c r="Z116" s="8">
        <f>IF(G116="","",COUNTIFS('Recipe Ingredients'!$A$5:$A$1204,G116))</f>
        <v>0</v>
      </c>
      <c r="AA116" s="25"/>
      <c r="AB116" s="8">
        <f>IF(OR(B116="",Q116=""),"",COUNTIFS($B$5:$B$504,B116,$Q$5:$Q$504,"&gt;"&amp;Q116)+1)</f>
        <v>0</v>
      </c>
      <c r="AC116" s="8">
        <f>IF(OR(B116="",L116=""),"",COUNTIFS($B$5:$B$504,B116,$L$5:$L$504,"&gt;"&amp;L116)+1)</f>
        <v>0</v>
      </c>
      <c r="AD116" s="8">
        <f>IF(G116="","",IF(COUNTIFS($G$5:$G$504,G116)&gt;1,"Repeat","Once"))</f>
        <v>0</v>
      </c>
      <c r="AE116" s="8">
        <f>IF(G116="","",IF(IFERROR(INDEX(Recipes!$X$5:$X$204,MATCH(G116,Recipes!$A$5:$A$204,0)),"")="","",IFERROR(B116-IFERROR(INDEX(Recipes!$X$5:$X$204,MATCH(G116,Recipes!$A$5:$A$204,0)),""),"")))</f>
        <v>0</v>
      </c>
      <c r="AF116" s="8">
        <f>IF(G116="","",IF(AE116="","Yes",IF(AE116&gt;=Rotation_Gap_Days,"Yes","No")))</f>
        <v>0</v>
      </c>
      <c r="AG116" s="8">
        <f>IF(G116="","",IF(COUNTIFS('Recipe Ingredients'!$A$5:$A$1204,G116,'Recipe Ingredients'!$AC$5:$AC$1204,"Check")&gt;0,"Check","OK"))</f>
        <v>0</v>
      </c>
    </row>
    <row r="117" spans="1:33">
      <c r="A117" s="7"/>
      <c r="B117" s="30"/>
      <c r="C117" s="8">
        <f>IF(B117="","",B117-WEEKDAY(B117,2)+1)</f>
        <v>0</v>
      </c>
      <c r="D117" s="8">
        <f>IF(B117="","",TEXT(B117,"ddd"))</f>
        <v>0</v>
      </c>
      <c r="E117" s="8">
        <f>IF(B117="","",TEXT(B117,"mmm yyyy"))</f>
        <v>0</v>
      </c>
      <c r="F117" s="27"/>
      <c r="G117" s="7"/>
      <c r="H117" s="26"/>
      <c r="I117" s="8">
        <f>IF(G117="","",IFERROR(INDEX(Recipes!$D$5:$D$204,MATCH(G117,Recipes!$A$5:$A$204,0)),""))</f>
        <v>0</v>
      </c>
      <c r="J117" s="8">
        <f>IF(OR(G117="",H117="",I117="",I117=0),"",H117/I117)</f>
        <v>0</v>
      </c>
      <c r="K117" s="8">
        <f>IF(B117="","",Household_Size)</f>
        <v>0</v>
      </c>
      <c r="L117" s="8">
        <f>IF(OR(G117="",H117=""),"",IFERROR(IFERROR(INDEX(Recipes!$H$5:$H$204,MATCH(G117,Recipes!$A$5:$A$204,0)),"")*H117,""))</f>
        <v>0</v>
      </c>
      <c r="M117" s="8">
        <f>IF(OR(G117="",H117=""),"",IFERROR(IFERROR(INDEX(Recipes!$I$5:$I$204,MATCH(G117,Recipes!$A$5:$A$204,0)),"")*H117,""))</f>
        <v>0</v>
      </c>
      <c r="N117" s="8">
        <f>IF(OR(G117="",H117=""),"",IFERROR(IFERROR(INDEX(Recipes!$J$5:$J$204,MATCH(G117,Recipes!$A$5:$A$204,0)),"")*H117,""))</f>
        <v>0</v>
      </c>
      <c r="O117" s="8">
        <f>IF(OR(G117="",H117=""),"",IFERROR(IFERROR(INDEX(Recipes!$K$5:$K$204,MATCH(G117,Recipes!$A$5:$A$204,0)),"")*H117,""))</f>
        <v>0</v>
      </c>
      <c r="P117" s="8">
        <f>IF(OR(G117="",H117=""),"",IFERROR(IFERROR(INDEX(Recipes!$L$5:$L$204,MATCH(G117,Recipes!$A$5:$A$204,0)),"")*H117,""))</f>
        <v>0</v>
      </c>
      <c r="Q117" s="8">
        <f>IF(OR(G117="",H117=""),"",IFERROR(IFERROR(INDEX(Recipes!$Q$5:$Q$204,MATCH(G117,Recipes!$A$5:$A$204,0)),"")*H117,""))</f>
        <v>0</v>
      </c>
      <c r="R117" s="8">
        <f>IF(F117="","",Weekly_Budget/21)</f>
        <v>0</v>
      </c>
      <c r="S117" s="27"/>
      <c r="T117" s="27"/>
      <c r="U117" s="26"/>
      <c r="V117" s="7"/>
      <c r="W117" s="7"/>
      <c r="X117" s="26"/>
      <c r="Y117" s="8">
        <f>IF(G117="","",IF(COUNTIFS('Meal Prep'!$D$5:$D$124,G117)&gt;0,"Yes","No"))</f>
        <v>0</v>
      </c>
      <c r="Z117" s="8">
        <f>IF(G117="","",COUNTIFS('Recipe Ingredients'!$A$5:$A$1204,G117))</f>
        <v>0</v>
      </c>
      <c r="AA117" s="25"/>
      <c r="AB117" s="8">
        <f>IF(OR(B117="",Q117=""),"",COUNTIFS($B$5:$B$504,B117,$Q$5:$Q$504,"&gt;"&amp;Q117)+1)</f>
        <v>0</v>
      </c>
      <c r="AC117" s="8">
        <f>IF(OR(B117="",L117=""),"",COUNTIFS($B$5:$B$504,B117,$L$5:$L$504,"&gt;"&amp;L117)+1)</f>
        <v>0</v>
      </c>
      <c r="AD117" s="8">
        <f>IF(G117="","",IF(COUNTIFS($G$5:$G$504,G117)&gt;1,"Repeat","Once"))</f>
        <v>0</v>
      </c>
      <c r="AE117" s="8">
        <f>IF(G117="","",IF(IFERROR(INDEX(Recipes!$X$5:$X$204,MATCH(G117,Recipes!$A$5:$A$204,0)),"")="","",IFERROR(B117-IFERROR(INDEX(Recipes!$X$5:$X$204,MATCH(G117,Recipes!$A$5:$A$204,0)),""),"")))</f>
        <v>0</v>
      </c>
      <c r="AF117" s="8">
        <f>IF(G117="","",IF(AE117="","Yes",IF(AE117&gt;=Rotation_Gap_Days,"Yes","No")))</f>
        <v>0</v>
      </c>
      <c r="AG117" s="8">
        <f>IF(G117="","",IF(COUNTIFS('Recipe Ingredients'!$A$5:$A$1204,G117,'Recipe Ingredients'!$AC$5:$AC$1204,"Check")&gt;0,"Check","OK"))</f>
        <v>0</v>
      </c>
    </row>
    <row r="118" spans="1:33">
      <c r="A118" s="7"/>
      <c r="B118" s="30"/>
      <c r="C118" s="8">
        <f>IF(B118="","",B118-WEEKDAY(B118,2)+1)</f>
        <v>0</v>
      </c>
      <c r="D118" s="8">
        <f>IF(B118="","",TEXT(B118,"ddd"))</f>
        <v>0</v>
      </c>
      <c r="E118" s="8">
        <f>IF(B118="","",TEXT(B118,"mmm yyyy"))</f>
        <v>0</v>
      </c>
      <c r="F118" s="27"/>
      <c r="G118" s="7"/>
      <c r="H118" s="26"/>
      <c r="I118" s="8">
        <f>IF(G118="","",IFERROR(INDEX(Recipes!$D$5:$D$204,MATCH(G118,Recipes!$A$5:$A$204,0)),""))</f>
        <v>0</v>
      </c>
      <c r="J118" s="8">
        <f>IF(OR(G118="",H118="",I118="",I118=0),"",H118/I118)</f>
        <v>0</v>
      </c>
      <c r="K118" s="8">
        <f>IF(B118="","",Household_Size)</f>
        <v>0</v>
      </c>
      <c r="L118" s="8">
        <f>IF(OR(G118="",H118=""),"",IFERROR(IFERROR(INDEX(Recipes!$H$5:$H$204,MATCH(G118,Recipes!$A$5:$A$204,0)),"")*H118,""))</f>
        <v>0</v>
      </c>
      <c r="M118" s="8">
        <f>IF(OR(G118="",H118=""),"",IFERROR(IFERROR(INDEX(Recipes!$I$5:$I$204,MATCH(G118,Recipes!$A$5:$A$204,0)),"")*H118,""))</f>
        <v>0</v>
      </c>
      <c r="N118" s="8">
        <f>IF(OR(G118="",H118=""),"",IFERROR(IFERROR(INDEX(Recipes!$J$5:$J$204,MATCH(G118,Recipes!$A$5:$A$204,0)),"")*H118,""))</f>
        <v>0</v>
      </c>
      <c r="O118" s="8">
        <f>IF(OR(G118="",H118=""),"",IFERROR(IFERROR(INDEX(Recipes!$K$5:$K$204,MATCH(G118,Recipes!$A$5:$A$204,0)),"")*H118,""))</f>
        <v>0</v>
      </c>
      <c r="P118" s="8">
        <f>IF(OR(G118="",H118=""),"",IFERROR(IFERROR(INDEX(Recipes!$L$5:$L$204,MATCH(G118,Recipes!$A$5:$A$204,0)),"")*H118,""))</f>
        <v>0</v>
      </c>
      <c r="Q118" s="8">
        <f>IF(OR(G118="",H118=""),"",IFERROR(IFERROR(INDEX(Recipes!$Q$5:$Q$204,MATCH(G118,Recipes!$A$5:$A$204,0)),"")*H118,""))</f>
        <v>0</v>
      </c>
      <c r="R118" s="8">
        <f>IF(F118="","",Weekly_Budget/21)</f>
        <v>0</v>
      </c>
      <c r="S118" s="27"/>
      <c r="T118" s="27"/>
      <c r="U118" s="26"/>
      <c r="V118" s="7"/>
      <c r="W118" s="7"/>
      <c r="X118" s="26"/>
      <c r="Y118" s="8">
        <f>IF(G118="","",IF(COUNTIFS('Meal Prep'!$D$5:$D$124,G118)&gt;0,"Yes","No"))</f>
        <v>0</v>
      </c>
      <c r="Z118" s="8">
        <f>IF(G118="","",COUNTIFS('Recipe Ingredients'!$A$5:$A$1204,G118))</f>
        <v>0</v>
      </c>
      <c r="AA118" s="25"/>
      <c r="AB118" s="8">
        <f>IF(OR(B118="",Q118=""),"",COUNTIFS($B$5:$B$504,B118,$Q$5:$Q$504,"&gt;"&amp;Q118)+1)</f>
        <v>0</v>
      </c>
      <c r="AC118" s="8">
        <f>IF(OR(B118="",L118=""),"",COUNTIFS($B$5:$B$504,B118,$L$5:$L$504,"&gt;"&amp;L118)+1)</f>
        <v>0</v>
      </c>
      <c r="AD118" s="8">
        <f>IF(G118="","",IF(COUNTIFS($G$5:$G$504,G118)&gt;1,"Repeat","Once"))</f>
        <v>0</v>
      </c>
      <c r="AE118" s="8">
        <f>IF(G118="","",IF(IFERROR(INDEX(Recipes!$X$5:$X$204,MATCH(G118,Recipes!$A$5:$A$204,0)),"")="","",IFERROR(B118-IFERROR(INDEX(Recipes!$X$5:$X$204,MATCH(G118,Recipes!$A$5:$A$204,0)),""),"")))</f>
        <v>0</v>
      </c>
      <c r="AF118" s="8">
        <f>IF(G118="","",IF(AE118="","Yes",IF(AE118&gt;=Rotation_Gap_Days,"Yes","No")))</f>
        <v>0</v>
      </c>
      <c r="AG118" s="8">
        <f>IF(G118="","",IF(COUNTIFS('Recipe Ingredients'!$A$5:$A$1204,G118,'Recipe Ingredients'!$AC$5:$AC$1204,"Check")&gt;0,"Check","OK"))</f>
        <v>0</v>
      </c>
    </row>
    <row r="119" spans="1:33">
      <c r="A119" s="7"/>
      <c r="B119" s="30"/>
      <c r="C119" s="8">
        <f>IF(B119="","",B119-WEEKDAY(B119,2)+1)</f>
        <v>0</v>
      </c>
      <c r="D119" s="8">
        <f>IF(B119="","",TEXT(B119,"ddd"))</f>
        <v>0</v>
      </c>
      <c r="E119" s="8">
        <f>IF(B119="","",TEXT(B119,"mmm yyyy"))</f>
        <v>0</v>
      </c>
      <c r="F119" s="27"/>
      <c r="G119" s="7"/>
      <c r="H119" s="26"/>
      <c r="I119" s="8">
        <f>IF(G119="","",IFERROR(INDEX(Recipes!$D$5:$D$204,MATCH(G119,Recipes!$A$5:$A$204,0)),""))</f>
        <v>0</v>
      </c>
      <c r="J119" s="8">
        <f>IF(OR(G119="",H119="",I119="",I119=0),"",H119/I119)</f>
        <v>0</v>
      </c>
      <c r="K119" s="8">
        <f>IF(B119="","",Household_Size)</f>
        <v>0</v>
      </c>
      <c r="L119" s="8">
        <f>IF(OR(G119="",H119=""),"",IFERROR(IFERROR(INDEX(Recipes!$H$5:$H$204,MATCH(G119,Recipes!$A$5:$A$204,0)),"")*H119,""))</f>
        <v>0</v>
      </c>
      <c r="M119" s="8">
        <f>IF(OR(G119="",H119=""),"",IFERROR(IFERROR(INDEX(Recipes!$I$5:$I$204,MATCH(G119,Recipes!$A$5:$A$204,0)),"")*H119,""))</f>
        <v>0</v>
      </c>
      <c r="N119" s="8">
        <f>IF(OR(G119="",H119=""),"",IFERROR(IFERROR(INDEX(Recipes!$J$5:$J$204,MATCH(G119,Recipes!$A$5:$A$204,0)),"")*H119,""))</f>
        <v>0</v>
      </c>
      <c r="O119" s="8">
        <f>IF(OR(G119="",H119=""),"",IFERROR(IFERROR(INDEX(Recipes!$K$5:$K$204,MATCH(G119,Recipes!$A$5:$A$204,0)),"")*H119,""))</f>
        <v>0</v>
      </c>
      <c r="P119" s="8">
        <f>IF(OR(G119="",H119=""),"",IFERROR(IFERROR(INDEX(Recipes!$L$5:$L$204,MATCH(G119,Recipes!$A$5:$A$204,0)),"")*H119,""))</f>
        <v>0</v>
      </c>
      <c r="Q119" s="8">
        <f>IF(OR(G119="",H119=""),"",IFERROR(IFERROR(INDEX(Recipes!$Q$5:$Q$204,MATCH(G119,Recipes!$A$5:$A$204,0)),"")*H119,""))</f>
        <v>0</v>
      </c>
      <c r="R119" s="8">
        <f>IF(F119="","",Weekly_Budget/21)</f>
        <v>0</v>
      </c>
      <c r="S119" s="27"/>
      <c r="T119" s="27"/>
      <c r="U119" s="26"/>
      <c r="V119" s="7"/>
      <c r="W119" s="7"/>
      <c r="X119" s="26"/>
      <c r="Y119" s="8">
        <f>IF(G119="","",IF(COUNTIFS('Meal Prep'!$D$5:$D$124,G119)&gt;0,"Yes","No"))</f>
        <v>0</v>
      </c>
      <c r="Z119" s="8">
        <f>IF(G119="","",COUNTIFS('Recipe Ingredients'!$A$5:$A$1204,G119))</f>
        <v>0</v>
      </c>
      <c r="AA119" s="25"/>
      <c r="AB119" s="8">
        <f>IF(OR(B119="",Q119=""),"",COUNTIFS($B$5:$B$504,B119,$Q$5:$Q$504,"&gt;"&amp;Q119)+1)</f>
        <v>0</v>
      </c>
      <c r="AC119" s="8">
        <f>IF(OR(B119="",L119=""),"",COUNTIFS($B$5:$B$504,B119,$L$5:$L$504,"&gt;"&amp;L119)+1)</f>
        <v>0</v>
      </c>
      <c r="AD119" s="8">
        <f>IF(G119="","",IF(COUNTIFS($G$5:$G$504,G119)&gt;1,"Repeat","Once"))</f>
        <v>0</v>
      </c>
      <c r="AE119" s="8">
        <f>IF(G119="","",IF(IFERROR(INDEX(Recipes!$X$5:$X$204,MATCH(G119,Recipes!$A$5:$A$204,0)),"")="","",IFERROR(B119-IFERROR(INDEX(Recipes!$X$5:$X$204,MATCH(G119,Recipes!$A$5:$A$204,0)),""),"")))</f>
        <v>0</v>
      </c>
      <c r="AF119" s="8">
        <f>IF(G119="","",IF(AE119="","Yes",IF(AE119&gt;=Rotation_Gap_Days,"Yes","No")))</f>
        <v>0</v>
      </c>
      <c r="AG119" s="8">
        <f>IF(G119="","",IF(COUNTIFS('Recipe Ingredients'!$A$5:$A$1204,G119,'Recipe Ingredients'!$AC$5:$AC$1204,"Check")&gt;0,"Check","OK"))</f>
        <v>0</v>
      </c>
    </row>
    <row r="120" spans="1:33">
      <c r="A120" s="7"/>
      <c r="B120" s="30"/>
      <c r="C120" s="8">
        <f>IF(B120="","",B120-WEEKDAY(B120,2)+1)</f>
        <v>0</v>
      </c>
      <c r="D120" s="8">
        <f>IF(B120="","",TEXT(B120,"ddd"))</f>
        <v>0</v>
      </c>
      <c r="E120" s="8">
        <f>IF(B120="","",TEXT(B120,"mmm yyyy"))</f>
        <v>0</v>
      </c>
      <c r="F120" s="27"/>
      <c r="G120" s="7"/>
      <c r="H120" s="26"/>
      <c r="I120" s="8">
        <f>IF(G120="","",IFERROR(INDEX(Recipes!$D$5:$D$204,MATCH(G120,Recipes!$A$5:$A$204,0)),""))</f>
        <v>0</v>
      </c>
      <c r="J120" s="8">
        <f>IF(OR(G120="",H120="",I120="",I120=0),"",H120/I120)</f>
        <v>0</v>
      </c>
      <c r="K120" s="8">
        <f>IF(B120="","",Household_Size)</f>
        <v>0</v>
      </c>
      <c r="L120" s="8">
        <f>IF(OR(G120="",H120=""),"",IFERROR(IFERROR(INDEX(Recipes!$H$5:$H$204,MATCH(G120,Recipes!$A$5:$A$204,0)),"")*H120,""))</f>
        <v>0</v>
      </c>
      <c r="M120" s="8">
        <f>IF(OR(G120="",H120=""),"",IFERROR(IFERROR(INDEX(Recipes!$I$5:$I$204,MATCH(G120,Recipes!$A$5:$A$204,0)),"")*H120,""))</f>
        <v>0</v>
      </c>
      <c r="N120" s="8">
        <f>IF(OR(G120="",H120=""),"",IFERROR(IFERROR(INDEX(Recipes!$J$5:$J$204,MATCH(G120,Recipes!$A$5:$A$204,0)),"")*H120,""))</f>
        <v>0</v>
      </c>
      <c r="O120" s="8">
        <f>IF(OR(G120="",H120=""),"",IFERROR(IFERROR(INDEX(Recipes!$K$5:$K$204,MATCH(G120,Recipes!$A$5:$A$204,0)),"")*H120,""))</f>
        <v>0</v>
      </c>
      <c r="P120" s="8">
        <f>IF(OR(G120="",H120=""),"",IFERROR(IFERROR(INDEX(Recipes!$L$5:$L$204,MATCH(G120,Recipes!$A$5:$A$204,0)),"")*H120,""))</f>
        <v>0</v>
      </c>
      <c r="Q120" s="8">
        <f>IF(OR(G120="",H120=""),"",IFERROR(IFERROR(INDEX(Recipes!$Q$5:$Q$204,MATCH(G120,Recipes!$A$5:$A$204,0)),"")*H120,""))</f>
        <v>0</v>
      </c>
      <c r="R120" s="8">
        <f>IF(F120="","",Weekly_Budget/21)</f>
        <v>0</v>
      </c>
      <c r="S120" s="27"/>
      <c r="T120" s="27"/>
      <c r="U120" s="26"/>
      <c r="V120" s="7"/>
      <c r="W120" s="7"/>
      <c r="X120" s="26"/>
      <c r="Y120" s="8">
        <f>IF(G120="","",IF(COUNTIFS('Meal Prep'!$D$5:$D$124,G120)&gt;0,"Yes","No"))</f>
        <v>0</v>
      </c>
      <c r="Z120" s="8">
        <f>IF(G120="","",COUNTIFS('Recipe Ingredients'!$A$5:$A$1204,G120))</f>
        <v>0</v>
      </c>
      <c r="AA120" s="25"/>
      <c r="AB120" s="8">
        <f>IF(OR(B120="",Q120=""),"",COUNTIFS($B$5:$B$504,B120,$Q$5:$Q$504,"&gt;"&amp;Q120)+1)</f>
        <v>0</v>
      </c>
      <c r="AC120" s="8">
        <f>IF(OR(B120="",L120=""),"",COUNTIFS($B$5:$B$504,B120,$L$5:$L$504,"&gt;"&amp;L120)+1)</f>
        <v>0</v>
      </c>
      <c r="AD120" s="8">
        <f>IF(G120="","",IF(COUNTIFS($G$5:$G$504,G120)&gt;1,"Repeat","Once"))</f>
        <v>0</v>
      </c>
      <c r="AE120" s="8">
        <f>IF(G120="","",IF(IFERROR(INDEX(Recipes!$X$5:$X$204,MATCH(G120,Recipes!$A$5:$A$204,0)),"")="","",IFERROR(B120-IFERROR(INDEX(Recipes!$X$5:$X$204,MATCH(G120,Recipes!$A$5:$A$204,0)),""),"")))</f>
        <v>0</v>
      </c>
      <c r="AF120" s="8">
        <f>IF(G120="","",IF(AE120="","Yes",IF(AE120&gt;=Rotation_Gap_Days,"Yes","No")))</f>
        <v>0</v>
      </c>
      <c r="AG120" s="8">
        <f>IF(G120="","",IF(COUNTIFS('Recipe Ingredients'!$A$5:$A$1204,G120,'Recipe Ingredients'!$AC$5:$AC$1204,"Check")&gt;0,"Check","OK"))</f>
        <v>0</v>
      </c>
    </row>
    <row r="121" spans="1:33">
      <c r="A121" s="7"/>
      <c r="B121" s="30"/>
      <c r="C121" s="8">
        <f>IF(B121="","",B121-WEEKDAY(B121,2)+1)</f>
        <v>0</v>
      </c>
      <c r="D121" s="8">
        <f>IF(B121="","",TEXT(B121,"ddd"))</f>
        <v>0</v>
      </c>
      <c r="E121" s="8">
        <f>IF(B121="","",TEXT(B121,"mmm yyyy"))</f>
        <v>0</v>
      </c>
      <c r="F121" s="27"/>
      <c r="G121" s="7"/>
      <c r="H121" s="26"/>
      <c r="I121" s="8">
        <f>IF(G121="","",IFERROR(INDEX(Recipes!$D$5:$D$204,MATCH(G121,Recipes!$A$5:$A$204,0)),""))</f>
        <v>0</v>
      </c>
      <c r="J121" s="8">
        <f>IF(OR(G121="",H121="",I121="",I121=0),"",H121/I121)</f>
        <v>0</v>
      </c>
      <c r="K121" s="8">
        <f>IF(B121="","",Household_Size)</f>
        <v>0</v>
      </c>
      <c r="L121" s="8">
        <f>IF(OR(G121="",H121=""),"",IFERROR(IFERROR(INDEX(Recipes!$H$5:$H$204,MATCH(G121,Recipes!$A$5:$A$204,0)),"")*H121,""))</f>
        <v>0</v>
      </c>
      <c r="M121" s="8">
        <f>IF(OR(G121="",H121=""),"",IFERROR(IFERROR(INDEX(Recipes!$I$5:$I$204,MATCH(G121,Recipes!$A$5:$A$204,0)),"")*H121,""))</f>
        <v>0</v>
      </c>
      <c r="N121" s="8">
        <f>IF(OR(G121="",H121=""),"",IFERROR(IFERROR(INDEX(Recipes!$J$5:$J$204,MATCH(G121,Recipes!$A$5:$A$204,0)),"")*H121,""))</f>
        <v>0</v>
      </c>
      <c r="O121" s="8">
        <f>IF(OR(G121="",H121=""),"",IFERROR(IFERROR(INDEX(Recipes!$K$5:$K$204,MATCH(G121,Recipes!$A$5:$A$204,0)),"")*H121,""))</f>
        <v>0</v>
      </c>
      <c r="P121" s="8">
        <f>IF(OR(G121="",H121=""),"",IFERROR(IFERROR(INDEX(Recipes!$L$5:$L$204,MATCH(G121,Recipes!$A$5:$A$204,0)),"")*H121,""))</f>
        <v>0</v>
      </c>
      <c r="Q121" s="8">
        <f>IF(OR(G121="",H121=""),"",IFERROR(IFERROR(INDEX(Recipes!$Q$5:$Q$204,MATCH(G121,Recipes!$A$5:$A$204,0)),"")*H121,""))</f>
        <v>0</v>
      </c>
      <c r="R121" s="8">
        <f>IF(F121="","",Weekly_Budget/21)</f>
        <v>0</v>
      </c>
      <c r="S121" s="27"/>
      <c r="T121" s="27"/>
      <c r="U121" s="26"/>
      <c r="V121" s="7"/>
      <c r="W121" s="7"/>
      <c r="X121" s="26"/>
      <c r="Y121" s="8">
        <f>IF(G121="","",IF(COUNTIFS('Meal Prep'!$D$5:$D$124,G121)&gt;0,"Yes","No"))</f>
        <v>0</v>
      </c>
      <c r="Z121" s="8">
        <f>IF(G121="","",COUNTIFS('Recipe Ingredients'!$A$5:$A$1204,G121))</f>
        <v>0</v>
      </c>
      <c r="AA121" s="25"/>
      <c r="AB121" s="8">
        <f>IF(OR(B121="",Q121=""),"",COUNTIFS($B$5:$B$504,B121,$Q$5:$Q$504,"&gt;"&amp;Q121)+1)</f>
        <v>0</v>
      </c>
      <c r="AC121" s="8">
        <f>IF(OR(B121="",L121=""),"",COUNTIFS($B$5:$B$504,B121,$L$5:$L$504,"&gt;"&amp;L121)+1)</f>
        <v>0</v>
      </c>
      <c r="AD121" s="8">
        <f>IF(G121="","",IF(COUNTIFS($G$5:$G$504,G121)&gt;1,"Repeat","Once"))</f>
        <v>0</v>
      </c>
      <c r="AE121" s="8">
        <f>IF(G121="","",IF(IFERROR(INDEX(Recipes!$X$5:$X$204,MATCH(G121,Recipes!$A$5:$A$204,0)),"")="","",IFERROR(B121-IFERROR(INDEX(Recipes!$X$5:$X$204,MATCH(G121,Recipes!$A$5:$A$204,0)),""),"")))</f>
        <v>0</v>
      </c>
      <c r="AF121" s="8">
        <f>IF(G121="","",IF(AE121="","Yes",IF(AE121&gt;=Rotation_Gap_Days,"Yes","No")))</f>
        <v>0</v>
      </c>
      <c r="AG121" s="8">
        <f>IF(G121="","",IF(COUNTIFS('Recipe Ingredients'!$A$5:$A$1204,G121,'Recipe Ingredients'!$AC$5:$AC$1204,"Check")&gt;0,"Check","OK"))</f>
        <v>0</v>
      </c>
    </row>
    <row r="122" spans="1:33">
      <c r="A122" s="7"/>
      <c r="B122" s="30"/>
      <c r="C122" s="8">
        <f>IF(B122="","",B122-WEEKDAY(B122,2)+1)</f>
        <v>0</v>
      </c>
      <c r="D122" s="8">
        <f>IF(B122="","",TEXT(B122,"ddd"))</f>
        <v>0</v>
      </c>
      <c r="E122" s="8">
        <f>IF(B122="","",TEXT(B122,"mmm yyyy"))</f>
        <v>0</v>
      </c>
      <c r="F122" s="27"/>
      <c r="G122" s="7"/>
      <c r="H122" s="26"/>
      <c r="I122" s="8">
        <f>IF(G122="","",IFERROR(INDEX(Recipes!$D$5:$D$204,MATCH(G122,Recipes!$A$5:$A$204,0)),""))</f>
        <v>0</v>
      </c>
      <c r="J122" s="8">
        <f>IF(OR(G122="",H122="",I122="",I122=0),"",H122/I122)</f>
        <v>0</v>
      </c>
      <c r="K122" s="8">
        <f>IF(B122="","",Household_Size)</f>
        <v>0</v>
      </c>
      <c r="L122" s="8">
        <f>IF(OR(G122="",H122=""),"",IFERROR(IFERROR(INDEX(Recipes!$H$5:$H$204,MATCH(G122,Recipes!$A$5:$A$204,0)),"")*H122,""))</f>
        <v>0</v>
      </c>
      <c r="M122" s="8">
        <f>IF(OR(G122="",H122=""),"",IFERROR(IFERROR(INDEX(Recipes!$I$5:$I$204,MATCH(G122,Recipes!$A$5:$A$204,0)),"")*H122,""))</f>
        <v>0</v>
      </c>
      <c r="N122" s="8">
        <f>IF(OR(G122="",H122=""),"",IFERROR(IFERROR(INDEX(Recipes!$J$5:$J$204,MATCH(G122,Recipes!$A$5:$A$204,0)),"")*H122,""))</f>
        <v>0</v>
      </c>
      <c r="O122" s="8">
        <f>IF(OR(G122="",H122=""),"",IFERROR(IFERROR(INDEX(Recipes!$K$5:$K$204,MATCH(G122,Recipes!$A$5:$A$204,0)),"")*H122,""))</f>
        <v>0</v>
      </c>
      <c r="P122" s="8">
        <f>IF(OR(G122="",H122=""),"",IFERROR(IFERROR(INDEX(Recipes!$L$5:$L$204,MATCH(G122,Recipes!$A$5:$A$204,0)),"")*H122,""))</f>
        <v>0</v>
      </c>
      <c r="Q122" s="8">
        <f>IF(OR(G122="",H122=""),"",IFERROR(IFERROR(INDEX(Recipes!$Q$5:$Q$204,MATCH(G122,Recipes!$A$5:$A$204,0)),"")*H122,""))</f>
        <v>0</v>
      </c>
      <c r="R122" s="8">
        <f>IF(F122="","",Weekly_Budget/21)</f>
        <v>0</v>
      </c>
      <c r="S122" s="27"/>
      <c r="T122" s="27"/>
      <c r="U122" s="26"/>
      <c r="V122" s="7"/>
      <c r="W122" s="7"/>
      <c r="X122" s="26"/>
      <c r="Y122" s="8">
        <f>IF(G122="","",IF(COUNTIFS('Meal Prep'!$D$5:$D$124,G122)&gt;0,"Yes","No"))</f>
        <v>0</v>
      </c>
      <c r="Z122" s="8">
        <f>IF(G122="","",COUNTIFS('Recipe Ingredients'!$A$5:$A$1204,G122))</f>
        <v>0</v>
      </c>
      <c r="AA122" s="25"/>
      <c r="AB122" s="8">
        <f>IF(OR(B122="",Q122=""),"",COUNTIFS($B$5:$B$504,B122,$Q$5:$Q$504,"&gt;"&amp;Q122)+1)</f>
        <v>0</v>
      </c>
      <c r="AC122" s="8">
        <f>IF(OR(B122="",L122=""),"",COUNTIFS($B$5:$B$504,B122,$L$5:$L$504,"&gt;"&amp;L122)+1)</f>
        <v>0</v>
      </c>
      <c r="AD122" s="8">
        <f>IF(G122="","",IF(COUNTIFS($G$5:$G$504,G122)&gt;1,"Repeat","Once"))</f>
        <v>0</v>
      </c>
      <c r="AE122" s="8">
        <f>IF(G122="","",IF(IFERROR(INDEX(Recipes!$X$5:$X$204,MATCH(G122,Recipes!$A$5:$A$204,0)),"")="","",IFERROR(B122-IFERROR(INDEX(Recipes!$X$5:$X$204,MATCH(G122,Recipes!$A$5:$A$204,0)),""),"")))</f>
        <v>0</v>
      </c>
      <c r="AF122" s="8">
        <f>IF(G122="","",IF(AE122="","Yes",IF(AE122&gt;=Rotation_Gap_Days,"Yes","No")))</f>
        <v>0</v>
      </c>
      <c r="AG122" s="8">
        <f>IF(G122="","",IF(COUNTIFS('Recipe Ingredients'!$A$5:$A$1204,G122,'Recipe Ingredients'!$AC$5:$AC$1204,"Check")&gt;0,"Check","OK"))</f>
        <v>0</v>
      </c>
    </row>
    <row r="123" spans="1:33">
      <c r="A123" s="7"/>
      <c r="B123" s="30"/>
      <c r="C123" s="8">
        <f>IF(B123="","",B123-WEEKDAY(B123,2)+1)</f>
        <v>0</v>
      </c>
      <c r="D123" s="8">
        <f>IF(B123="","",TEXT(B123,"ddd"))</f>
        <v>0</v>
      </c>
      <c r="E123" s="8">
        <f>IF(B123="","",TEXT(B123,"mmm yyyy"))</f>
        <v>0</v>
      </c>
      <c r="F123" s="27"/>
      <c r="G123" s="7"/>
      <c r="H123" s="26"/>
      <c r="I123" s="8">
        <f>IF(G123="","",IFERROR(INDEX(Recipes!$D$5:$D$204,MATCH(G123,Recipes!$A$5:$A$204,0)),""))</f>
        <v>0</v>
      </c>
      <c r="J123" s="8">
        <f>IF(OR(G123="",H123="",I123="",I123=0),"",H123/I123)</f>
        <v>0</v>
      </c>
      <c r="K123" s="8">
        <f>IF(B123="","",Household_Size)</f>
        <v>0</v>
      </c>
      <c r="L123" s="8">
        <f>IF(OR(G123="",H123=""),"",IFERROR(IFERROR(INDEX(Recipes!$H$5:$H$204,MATCH(G123,Recipes!$A$5:$A$204,0)),"")*H123,""))</f>
        <v>0</v>
      </c>
      <c r="M123" s="8">
        <f>IF(OR(G123="",H123=""),"",IFERROR(IFERROR(INDEX(Recipes!$I$5:$I$204,MATCH(G123,Recipes!$A$5:$A$204,0)),"")*H123,""))</f>
        <v>0</v>
      </c>
      <c r="N123" s="8">
        <f>IF(OR(G123="",H123=""),"",IFERROR(IFERROR(INDEX(Recipes!$J$5:$J$204,MATCH(G123,Recipes!$A$5:$A$204,0)),"")*H123,""))</f>
        <v>0</v>
      </c>
      <c r="O123" s="8">
        <f>IF(OR(G123="",H123=""),"",IFERROR(IFERROR(INDEX(Recipes!$K$5:$K$204,MATCH(G123,Recipes!$A$5:$A$204,0)),"")*H123,""))</f>
        <v>0</v>
      </c>
      <c r="P123" s="8">
        <f>IF(OR(G123="",H123=""),"",IFERROR(IFERROR(INDEX(Recipes!$L$5:$L$204,MATCH(G123,Recipes!$A$5:$A$204,0)),"")*H123,""))</f>
        <v>0</v>
      </c>
      <c r="Q123" s="8">
        <f>IF(OR(G123="",H123=""),"",IFERROR(IFERROR(INDEX(Recipes!$Q$5:$Q$204,MATCH(G123,Recipes!$A$5:$A$204,0)),"")*H123,""))</f>
        <v>0</v>
      </c>
      <c r="R123" s="8">
        <f>IF(F123="","",Weekly_Budget/21)</f>
        <v>0</v>
      </c>
      <c r="S123" s="27"/>
      <c r="T123" s="27"/>
      <c r="U123" s="26"/>
      <c r="V123" s="7"/>
      <c r="W123" s="7"/>
      <c r="X123" s="26"/>
      <c r="Y123" s="8">
        <f>IF(G123="","",IF(COUNTIFS('Meal Prep'!$D$5:$D$124,G123)&gt;0,"Yes","No"))</f>
        <v>0</v>
      </c>
      <c r="Z123" s="8">
        <f>IF(G123="","",COUNTIFS('Recipe Ingredients'!$A$5:$A$1204,G123))</f>
        <v>0</v>
      </c>
      <c r="AA123" s="25"/>
      <c r="AB123" s="8">
        <f>IF(OR(B123="",Q123=""),"",COUNTIFS($B$5:$B$504,B123,$Q$5:$Q$504,"&gt;"&amp;Q123)+1)</f>
        <v>0</v>
      </c>
      <c r="AC123" s="8">
        <f>IF(OR(B123="",L123=""),"",COUNTIFS($B$5:$B$504,B123,$L$5:$L$504,"&gt;"&amp;L123)+1)</f>
        <v>0</v>
      </c>
      <c r="AD123" s="8">
        <f>IF(G123="","",IF(COUNTIFS($G$5:$G$504,G123)&gt;1,"Repeat","Once"))</f>
        <v>0</v>
      </c>
      <c r="AE123" s="8">
        <f>IF(G123="","",IF(IFERROR(INDEX(Recipes!$X$5:$X$204,MATCH(G123,Recipes!$A$5:$A$204,0)),"")="","",IFERROR(B123-IFERROR(INDEX(Recipes!$X$5:$X$204,MATCH(G123,Recipes!$A$5:$A$204,0)),""),"")))</f>
        <v>0</v>
      </c>
      <c r="AF123" s="8">
        <f>IF(G123="","",IF(AE123="","Yes",IF(AE123&gt;=Rotation_Gap_Days,"Yes","No")))</f>
        <v>0</v>
      </c>
      <c r="AG123" s="8">
        <f>IF(G123="","",IF(COUNTIFS('Recipe Ingredients'!$A$5:$A$1204,G123,'Recipe Ingredients'!$AC$5:$AC$1204,"Check")&gt;0,"Check","OK"))</f>
        <v>0</v>
      </c>
    </row>
    <row r="124" spans="1:33">
      <c r="A124" s="7"/>
      <c r="B124" s="30"/>
      <c r="C124" s="8">
        <f>IF(B124="","",B124-WEEKDAY(B124,2)+1)</f>
        <v>0</v>
      </c>
      <c r="D124" s="8">
        <f>IF(B124="","",TEXT(B124,"ddd"))</f>
        <v>0</v>
      </c>
      <c r="E124" s="8">
        <f>IF(B124="","",TEXT(B124,"mmm yyyy"))</f>
        <v>0</v>
      </c>
      <c r="F124" s="27"/>
      <c r="G124" s="7"/>
      <c r="H124" s="26"/>
      <c r="I124" s="8">
        <f>IF(G124="","",IFERROR(INDEX(Recipes!$D$5:$D$204,MATCH(G124,Recipes!$A$5:$A$204,0)),""))</f>
        <v>0</v>
      </c>
      <c r="J124" s="8">
        <f>IF(OR(G124="",H124="",I124="",I124=0),"",H124/I124)</f>
        <v>0</v>
      </c>
      <c r="K124" s="8">
        <f>IF(B124="","",Household_Size)</f>
        <v>0</v>
      </c>
      <c r="L124" s="8">
        <f>IF(OR(G124="",H124=""),"",IFERROR(IFERROR(INDEX(Recipes!$H$5:$H$204,MATCH(G124,Recipes!$A$5:$A$204,0)),"")*H124,""))</f>
        <v>0</v>
      </c>
      <c r="M124" s="8">
        <f>IF(OR(G124="",H124=""),"",IFERROR(IFERROR(INDEX(Recipes!$I$5:$I$204,MATCH(G124,Recipes!$A$5:$A$204,0)),"")*H124,""))</f>
        <v>0</v>
      </c>
      <c r="N124" s="8">
        <f>IF(OR(G124="",H124=""),"",IFERROR(IFERROR(INDEX(Recipes!$J$5:$J$204,MATCH(G124,Recipes!$A$5:$A$204,0)),"")*H124,""))</f>
        <v>0</v>
      </c>
      <c r="O124" s="8">
        <f>IF(OR(G124="",H124=""),"",IFERROR(IFERROR(INDEX(Recipes!$K$5:$K$204,MATCH(G124,Recipes!$A$5:$A$204,0)),"")*H124,""))</f>
        <v>0</v>
      </c>
      <c r="P124" s="8">
        <f>IF(OR(G124="",H124=""),"",IFERROR(IFERROR(INDEX(Recipes!$L$5:$L$204,MATCH(G124,Recipes!$A$5:$A$204,0)),"")*H124,""))</f>
        <v>0</v>
      </c>
      <c r="Q124" s="8">
        <f>IF(OR(G124="",H124=""),"",IFERROR(IFERROR(INDEX(Recipes!$Q$5:$Q$204,MATCH(G124,Recipes!$A$5:$A$204,0)),"")*H124,""))</f>
        <v>0</v>
      </c>
      <c r="R124" s="8">
        <f>IF(F124="","",Weekly_Budget/21)</f>
        <v>0</v>
      </c>
      <c r="S124" s="27"/>
      <c r="T124" s="27"/>
      <c r="U124" s="26"/>
      <c r="V124" s="7"/>
      <c r="W124" s="7"/>
      <c r="X124" s="26"/>
      <c r="Y124" s="8">
        <f>IF(G124="","",IF(COUNTIFS('Meal Prep'!$D$5:$D$124,G124)&gt;0,"Yes","No"))</f>
        <v>0</v>
      </c>
      <c r="Z124" s="8">
        <f>IF(G124="","",COUNTIFS('Recipe Ingredients'!$A$5:$A$1204,G124))</f>
        <v>0</v>
      </c>
      <c r="AA124" s="25"/>
      <c r="AB124" s="8">
        <f>IF(OR(B124="",Q124=""),"",COUNTIFS($B$5:$B$504,B124,$Q$5:$Q$504,"&gt;"&amp;Q124)+1)</f>
        <v>0</v>
      </c>
      <c r="AC124" s="8">
        <f>IF(OR(B124="",L124=""),"",COUNTIFS($B$5:$B$504,B124,$L$5:$L$504,"&gt;"&amp;L124)+1)</f>
        <v>0</v>
      </c>
      <c r="AD124" s="8">
        <f>IF(G124="","",IF(COUNTIFS($G$5:$G$504,G124)&gt;1,"Repeat","Once"))</f>
        <v>0</v>
      </c>
      <c r="AE124" s="8">
        <f>IF(G124="","",IF(IFERROR(INDEX(Recipes!$X$5:$X$204,MATCH(G124,Recipes!$A$5:$A$204,0)),"")="","",IFERROR(B124-IFERROR(INDEX(Recipes!$X$5:$X$204,MATCH(G124,Recipes!$A$5:$A$204,0)),""),"")))</f>
        <v>0</v>
      </c>
      <c r="AF124" s="8">
        <f>IF(G124="","",IF(AE124="","Yes",IF(AE124&gt;=Rotation_Gap_Days,"Yes","No")))</f>
        <v>0</v>
      </c>
      <c r="AG124" s="8">
        <f>IF(G124="","",IF(COUNTIFS('Recipe Ingredients'!$A$5:$A$1204,G124,'Recipe Ingredients'!$AC$5:$AC$1204,"Check")&gt;0,"Check","OK"))</f>
        <v>0</v>
      </c>
    </row>
    <row r="125" spans="1:33">
      <c r="A125" s="7"/>
      <c r="B125" s="30"/>
      <c r="C125" s="8">
        <f>IF(B125="","",B125-WEEKDAY(B125,2)+1)</f>
        <v>0</v>
      </c>
      <c r="D125" s="8">
        <f>IF(B125="","",TEXT(B125,"ddd"))</f>
        <v>0</v>
      </c>
      <c r="E125" s="8">
        <f>IF(B125="","",TEXT(B125,"mmm yyyy"))</f>
        <v>0</v>
      </c>
      <c r="F125" s="27"/>
      <c r="G125" s="7"/>
      <c r="H125" s="26"/>
      <c r="I125" s="8">
        <f>IF(G125="","",IFERROR(INDEX(Recipes!$D$5:$D$204,MATCH(G125,Recipes!$A$5:$A$204,0)),""))</f>
        <v>0</v>
      </c>
      <c r="J125" s="8">
        <f>IF(OR(G125="",H125="",I125="",I125=0),"",H125/I125)</f>
        <v>0</v>
      </c>
      <c r="K125" s="8">
        <f>IF(B125="","",Household_Size)</f>
        <v>0</v>
      </c>
      <c r="L125" s="8">
        <f>IF(OR(G125="",H125=""),"",IFERROR(IFERROR(INDEX(Recipes!$H$5:$H$204,MATCH(G125,Recipes!$A$5:$A$204,0)),"")*H125,""))</f>
        <v>0</v>
      </c>
      <c r="M125" s="8">
        <f>IF(OR(G125="",H125=""),"",IFERROR(IFERROR(INDEX(Recipes!$I$5:$I$204,MATCH(G125,Recipes!$A$5:$A$204,0)),"")*H125,""))</f>
        <v>0</v>
      </c>
      <c r="N125" s="8">
        <f>IF(OR(G125="",H125=""),"",IFERROR(IFERROR(INDEX(Recipes!$J$5:$J$204,MATCH(G125,Recipes!$A$5:$A$204,0)),"")*H125,""))</f>
        <v>0</v>
      </c>
      <c r="O125" s="8">
        <f>IF(OR(G125="",H125=""),"",IFERROR(IFERROR(INDEX(Recipes!$K$5:$K$204,MATCH(G125,Recipes!$A$5:$A$204,0)),"")*H125,""))</f>
        <v>0</v>
      </c>
      <c r="P125" s="8">
        <f>IF(OR(G125="",H125=""),"",IFERROR(IFERROR(INDEX(Recipes!$L$5:$L$204,MATCH(G125,Recipes!$A$5:$A$204,0)),"")*H125,""))</f>
        <v>0</v>
      </c>
      <c r="Q125" s="8">
        <f>IF(OR(G125="",H125=""),"",IFERROR(IFERROR(INDEX(Recipes!$Q$5:$Q$204,MATCH(G125,Recipes!$A$5:$A$204,0)),"")*H125,""))</f>
        <v>0</v>
      </c>
      <c r="R125" s="8">
        <f>IF(F125="","",Weekly_Budget/21)</f>
        <v>0</v>
      </c>
      <c r="S125" s="27"/>
      <c r="T125" s="27"/>
      <c r="U125" s="26"/>
      <c r="V125" s="7"/>
      <c r="W125" s="7"/>
      <c r="X125" s="26"/>
      <c r="Y125" s="8">
        <f>IF(G125="","",IF(COUNTIFS('Meal Prep'!$D$5:$D$124,G125)&gt;0,"Yes","No"))</f>
        <v>0</v>
      </c>
      <c r="Z125" s="8">
        <f>IF(G125="","",COUNTIFS('Recipe Ingredients'!$A$5:$A$1204,G125))</f>
        <v>0</v>
      </c>
      <c r="AA125" s="25"/>
      <c r="AB125" s="8">
        <f>IF(OR(B125="",Q125=""),"",COUNTIFS($B$5:$B$504,B125,$Q$5:$Q$504,"&gt;"&amp;Q125)+1)</f>
        <v>0</v>
      </c>
      <c r="AC125" s="8">
        <f>IF(OR(B125="",L125=""),"",COUNTIFS($B$5:$B$504,B125,$L$5:$L$504,"&gt;"&amp;L125)+1)</f>
        <v>0</v>
      </c>
      <c r="AD125" s="8">
        <f>IF(G125="","",IF(COUNTIFS($G$5:$G$504,G125)&gt;1,"Repeat","Once"))</f>
        <v>0</v>
      </c>
      <c r="AE125" s="8">
        <f>IF(G125="","",IF(IFERROR(INDEX(Recipes!$X$5:$X$204,MATCH(G125,Recipes!$A$5:$A$204,0)),"")="","",IFERROR(B125-IFERROR(INDEX(Recipes!$X$5:$X$204,MATCH(G125,Recipes!$A$5:$A$204,0)),""),"")))</f>
        <v>0</v>
      </c>
      <c r="AF125" s="8">
        <f>IF(G125="","",IF(AE125="","Yes",IF(AE125&gt;=Rotation_Gap_Days,"Yes","No")))</f>
        <v>0</v>
      </c>
      <c r="AG125" s="8">
        <f>IF(G125="","",IF(COUNTIFS('Recipe Ingredients'!$A$5:$A$1204,G125,'Recipe Ingredients'!$AC$5:$AC$1204,"Check")&gt;0,"Check","OK"))</f>
        <v>0</v>
      </c>
    </row>
    <row r="126" spans="1:33">
      <c r="A126" s="7"/>
      <c r="B126" s="30"/>
      <c r="C126" s="8">
        <f>IF(B126="","",B126-WEEKDAY(B126,2)+1)</f>
        <v>0</v>
      </c>
      <c r="D126" s="8">
        <f>IF(B126="","",TEXT(B126,"ddd"))</f>
        <v>0</v>
      </c>
      <c r="E126" s="8">
        <f>IF(B126="","",TEXT(B126,"mmm yyyy"))</f>
        <v>0</v>
      </c>
      <c r="F126" s="27"/>
      <c r="G126" s="7"/>
      <c r="H126" s="26"/>
      <c r="I126" s="8">
        <f>IF(G126="","",IFERROR(INDEX(Recipes!$D$5:$D$204,MATCH(G126,Recipes!$A$5:$A$204,0)),""))</f>
        <v>0</v>
      </c>
      <c r="J126" s="8">
        <f>IF(OR(G126="",H126="",I126="",I126=0),"",H126/I126)</f>
        <v>0</v>
      </c>
      <c r="K126" s="8">
        <f>IF(B126="","",Household_Size)</f>
        <v>0</v>
      </c>
      <c r="L126" s="8">
        <f>IF(OR(G126="",H126=""),"",IFERROR(IFERROR(INDEX(Recipes!$H$5:$H$204,MATCH(G126,Recipes!$A$5:$A$204,0)),"")*H126,""))</f>
        <v>0</v>
      </c>
      <c r="M126" s="8">
        <f>IF(OR(G126="",H126=""),"",IFERROR(IFERROR(INDEX(Recipes!$I$5:$I$204,MATCH(G126,Recipes!$A$5:$A$204,0)),"")*H126,""))</f>
        <v>0</v>
      </c>
      <c r="N126" s="8">
        <f>IF(OR(G126="",H126=""),"",IFERROR(IFERROR(INDEX(Recipes!$J$5:$J$204,MATCH(G126,Recipes!$A$5:$A$204,0)),"")*H126,""))</f>
        <v>0</v>
      </c>
      <c r="O126" s="8">
        <f>IF(OR(G126="",H126=""),"",IFERROR(IFERROR(INDEX(Recipes!$K$5:$K$204,MATCH(G126,Recipes!$A$5:$A$204,0)),"")*H126,""))</f>
        <v>0</v>
      </c>
      <c r="P126" s="8">
        <f>IF(OR(G126="",H126=""),"",IFERROR(IFERROR(INDEX(Recipes!$L$5:$L$204,MATCH(G126,Recipes!$A$5:$A$204,0)),"")*H126,""))</f>
        <v>0</v>
      </c>
      <c r="Q126" s="8">
        <f>IF(OR(G126="",H126=""),"",IFERROR(IFERROR(INDEX(Recipes!$Q$5:$Q$204,MATCH(G126,Recipes!$A$5:$A$204,0)),"")*H126,""))</f>
        <v>0</v>
      </c>
      <c r="R126" s="8">
        <f>IF(F126="","",Weekly_Budget/21)</f>
        <v>0</v>
      </c>
      <c r="S126" s="27"/>
      <c r="T126" s="27"/>
      <c r="U126" s="26"/>
      <c r="V126" s="7"/>
      <c r="W126" s="7"/>
      <c r="X126" s="26"/>
      <c r="Y126" s="8">
        <f>IF(G126="","",IF(COUNTIFS('Meal Prep'!$D$5:$D$124,G126)&gt;0,"Yes","No"))</f>
        <v>0</v>
      </c>
      <c r="Z126" s="8">
        <f>IF(G126="","",COUNTIFS('Recipe Ingredients'!$A$5:$A$1204,G126))</f>
        <v>0</v>
      </c>
      <c r="AA126" s="25"/>
      <c r="AB126" s="8">
        <f>IF(OR(B126="",Q126=""),"",COUNTIFS($B$5:$B$504,B126,$Q$5:$Q$504,"&gt;"&amp;Q126)+1)</f>
        <v>0</v>
      </c>
      <c r="AC126" s="8">
        <f>IF(OR(B126="",L126=""),"",COUNTIFS($B$5:$B$504,B126,$L$5:$L$504,"&gt;"&amp;L126)+1)</f>
        <v>0</v>
      </c>
      <c r="AD126" s="8">
        <f>IF(G126="","",IF(COUNTIFS($G$5:$G$504,G126)&gt;1,"Repeat","Once"))</f>
        <v>0</v>
      </c>
      <c r="AE126" s="8">
        <f>IF(G126="","",IF(IFERROR(INDEX(Recipes!$X$5:$X$204,MATCH(G126,Recipes!$A$5:$A$204,0)),"")="","",IFERROR(B126-IFERROR(INDEX(Recipes!$X$5:$X$204,MATCH(G126,Recipes!$A$5:$A$204,0)),""),"")))</f>
        <v>0</v>
      </c>
      <c r="AF126" s="8">
        <f>IF(G126="","",IF(AE126="","Yes",IF(AE126&gt;=Rotation_Gap_Days,"Yes","No")))</f>
        <v>0</v>
      </c>
      <c r="AG126" s="8">
        <f>IF(G126="","",IF(COUNTIFS('Recipe Ingredients'!$A$5:$A$1204,G126,'Recipe Ingredients'!$AC$5:$AC$1204,"Check")&gt;0,"Check","OK"))</f>
        <v>0</v>
      </c>
    </row>
    <row r="127" spans="1:33">
      <c r="A127" s="7"/>
      <c r="B127" s="30"/>
      <c r="C127" s="8">
        <f>IF(B127="","",B127-WEEKDAY(B127,2)+1)</f>
        <v>0</v>
      </c>
      <c r="D127" s="8">
        <f>IF(B127="","",TEXT(B127,"ddd"))</f>
        <v>0</v>
      </c>
      <c r="E127" s="8">
        <f>IF(B127="","",TEXT(B127,"mmm yyyy"))</f>
        <v>0</v>
      </c>
      <c r="F127" s="27"/>
      <c r="G127" s="7"/>
      <c r="H127" s="26"/>
      <c r="I127" s="8">
        <f>IF(G127="","",IFERROR(INDEX(Recipes!$D$5:$D$204,MATCH(G127,Recipes!$A$5:$A$204,0)),""))</f>
        <v>0</v>
      </c>
      <c r="J127" s="8">
        <f>IF(OR(G127="",H127="",I127="",I127=0),"",H127/I127)</f>
        <v>0</v>
      </c>
      <c r="K127" s="8">
        <f>IF(B127="","",Household_Size)</f>
        <v>0</v>
      </c>
      <c r="L127" s="8">
        <f>IF(OR(G127="",H127=""),"",IFERROR(IFERROR(INDEX(Recipes!$H$5:$H$204,MATCH(G127,Recipes!$A$5:$A$204,0)),"")*H127,""))</f>
        <v>0</v>
      </c>
      <c r="M127" s="8">
        <f>IF(OR(G127="",H127=""),"",IFERROR(IFERROR(INDEX(Recipes!$I$5:$I$204,MATCH(G127,Recipes!$A$5:$A$204,0)),"")*H127,""))</f>
        <v>0</v>
      </c>
      <c r="N127" s="8">
        <f>IF(OR(G127="",H127=""),"",IFERROR(IFERROR(INDEX(Recipes!$J$5:$J$204,MATCH(G127,Recipes!$A$5:$A$204,0)),"")*H127,""))</f>
        <v>0</v>
      </c>
      <c r="O127" s="8">
        <f>IF(OR(G127="",H127=""),"",IFERROR(IFERROR(INDEX(Recipes!$K$5:$K$204,MATCH(G127,Recipes!$A$5:$A$204,0)),"")*H127,""))</f>
        <v>0</v>
      </c>
      <c r="P127" s="8">
        <f>IF(OR(G127="",H127=""),"",IFERROR(IFERROR(INDEX(Recipes!$L$5:$L$204,MATCH(G127,Recipes!$A$5:$A$204,0)),"")*H127,""))</f>
        <v>0</v>
      </c>
      <c r="Q127" s="8">
        <f>IF(OR(G127="",H127=""),"",IFERROR(IFERROR(INDEX(Recipes!$Q$5:$Q$204,MATCH(G127,Recipes!$A$5:$A$204,0)),"")*H127,""))</f>
        <v>0</v>
      </c>
      <c r="R127" s="8">
        <f>IF(F127="","",Weekly_Budget/21)</f>
        <v>0</v>
      </c>
      <c r="S127" s="27"/>
      <c r="T127" s="27"/>
      <c r="U127" s="26"/>
      <c r="V127" s="7"/>
      <c r="W127" s="7"/>
      <c r="X127" s="26"/>
      <c r="Y127" s="8">
        <f>IF(G127="","",IF(COUNTIFS('Meal Prep'!$D$5:$D$124,G127)&gt;0,"Yes","No"))</f>
        <v>0</v>
      </c>
      <c r="Z127" s="8">
        <f>IF(G127="","",COUNTIFS('Recipe Ingredients'!$A$5:$A$1204,G127))</f>
        <v>0</v>
      </c>
      <c r="AA127" s="25"/>
      <c r="AB127" s="8">
        <f>IF(OR(B127="",Q127=""),"",COUNTIFS($B$5:$B$504,B127,$Q$5:$Q$504,"&gt;"&amp;Q127)+1)</f>
        <v>0</v>
      </c>
      <c r="AC127" s="8">
        <f>IF(OR(B127="",L127=""),"",COUNTIFS($B$5:$B$504,B127,$L$5:$L$504,"&gt;"&amp;L127)+1)</f>
        <v>0</v>
      </c>
      <c r="AD127" s="8">
        <f>IF(G127="","",IF(COUNTIFS($G$5:$G$504,G127)&gt;1,"Repeat","Once"))</f>
        <v>0</v>
      </c>
      <c r="AE127" s="8">
        <f>IF(G127="","",IF(IFERROR(INDEX(Recipes!$X$5:$X$204,MATCH(G127,Recipes!$A$5:$A$204,0)),"")="","",IFERROR(B127-IFERROR(INDEX(Recipes!$X$5:$X$204,MATCH(G127,Recipes!$A$5:$A$204,0)),""),"")))</f>
        <v>0</v>
      </c>
      <c r="AF127" s="8">
        <f>IF(G127="","",IF(AE127="","Yes",IF(AE127&gt;=Rotation_Gap_Days,"Yes","No")))</f>
        <v>0</v>
      </c>
      <c r="AG127" s="8">
        <f>IF(G127="","",IF(COUNTIFS('Recipe Ingredients'!$A$5:$A$1204,G127,'Recipe Ingredients'!$AC$5:$AC$1204,"Check")&gt;0,"Check","OK"))</f>
        <v>0</v>
      </c>
    </row>
    <row r="128" spans="1:33">
      <c r="A128" s="7"/>
      <c r="B128" s="30"/>
      <c r="C128" s="8">
        <f>IF(B128="","",B128-WEEKDAY(B128,2)+1)</f>
        <v>0</v>
      </c>
      <c r="D128" s="8">
        <f>IF(B128="","",TEXT(B128,"ddd"))</f>
        <v>0</v>
      </c>
      <c r="E128" s="8">
        <f>IF(B128="","",TEXT(B128,"mmm yyyy"))</f>
        <v>0</v>
      </c>
      <c r="F128" s="27"/>
      <c r="G128" s="7"/>
      <c r="H128" s="26"/>
      <c r="I128" s="8">
        <f>IF(G128="","",IFERROR(INDEX(Recipes!$D$5:$D$204,MATCH(G128,Recipes!$A$5:$A$204,0)),""))</f>
        <v>0</v>
      </c>
      <c r="J128" s="8">
        <f>IF(OR(G128="",H128="",I128="",I128=0),"",H128/I128)</f>
        <v>0</v>
      </c>
      <c r="K128" s="8">
        <f>IF(B128="","",Household_Size)</f>
        <v>0</v>
      </c>
      <c r="L128" s="8">
        <f>IF(OR(G128="",H128=""),"",IFERROR(IFERROR(INDEX(Recipes!$H$5:$H$204,MATCH(G128,Recipes!$A$5:$A$204,0)),"")*H128,""))</f>
        <v>0</v>
      </c>
      <c r="M128" s="8">
        <f>IF(OR(G128="",H128=""),"",IFERROR(IFERROR(INDEX(Recipes!$I$5:$I$204,MATCH(G128,Recipes!$A$5:$A$204,0)),"")*H128,""))</f>
        <v>0</v>
      </c>
      <c r="N128" s="8">
        <f>IF(OR(G128="",H128=""),"",IFERROR(IFERROR(INDEX(Recipes!$J$5:$J$204,MATCH(G128,Recipes!$A$5:$A$204,0)),"")*H128,""))</f>
        <v>0</v>
      </c>
      <c r="O128" s="8">
        <f>IF(OR(G128="",H128=""),"",IFERROR(IFERROR(INDEX(Recipes!$K$5:$K$204,MATCH(G128,Recipes!$A$5:$A$204,0)),"")*H128,""))</f>
        <v>0</v>
      </c>
      <c r="P128" s="8">
        <f>IF(OR(G128="",H128=""),"",IFERROR(IFERROR(INDEX(Recipes!$L$5:$L$204,MATCH(G128,Recipes!$A$5:$A$204,0)),"")*H128,""))</f>
        <v>0</v>
      </c>
      <c r="Q128" s="8">
        <f>IF(OR(G128="",H128=""),"",IFERROR(IFERROR(INDEX(Recipes!$Q$5:$Q$204,MATCH(G128,Recipes!$A$5:$A$204,0)),"")*H128,""))</f>
        <v>0</v>
      </c>
      <c r="R128" s="8">
        <f>IF(F128="","",Weekly_Budget/21)</f>
        <v>0</v>
      </c>
      <c r="S128" s="27"/>
      <c r="T128" s="27"/>
      <c r="U128" s="26"/>
      <c r="V128" s="7"/>
      <c r="W128" s="7"/>
      <c r="X128" s="26"/>
      <c r="Y128" s="8">
        <f>IF(G128="","",IF(COUNTIFS('Meal Prep'!$D$5:$D$124,G128)&gt;0,"Yes","No"))</f>
        <v>0</v>
      </c>
      <c r="Z128" s="8">
        <f>IF(G128="","",COUNTIFS('Recipe Ingredients'!$A$5:$A$1204,G128))</f>
        <v>0</v>
      </c>
      <c r="AA128" s="25"/>
      <c r="AB128" s="8">
        <f>IF(OR(B128="",Q128=""),"",COUNTIFS($B$5:$B$504,B128,$Q$5:$Q$504,"&gt;"&amp;Q128)+1)</f>
        <v>0</v>
      </c>
      <c r="AC128" s="8">
        <f>IF(OR(B128="",L128=""),"",COUNTIFS($B$5:$B$504,B128,$L$5:$L$504,"&gt;"&amp;L128)+1)</f>
        <v>0</v>
      </c>
      <c r="AD128" s="8">
        <f>IF(G128="","",IF(COUNTIFS($G$5:$G$504,G128)&gt;1,"Repeat","Once"))</f>
        <v>0</v>
      </c>
      <c r="AE128" s="8">
        <f>IF(G128="","",IF(IFERROR(INDEX(Recipes!$X$5:$X$204,MATCH(G128,Recipes!$A$5:$A$204,0)),"")="","",IFERROR(B128-IFERROR(INDEX(Recipes!$X$5:$X$204,MATCH(G128,Recipes!$A$5:$A$204,0)),""),"")))</f>
        <v>0</v>
      </c>
      <c r="AF128" s="8">
        <f>IF(G128="","",IF(AE128="","Yes",IF(AE128&gt;=Rotation_Gap_Days,"Yes","No")))</f>
        <v>0</v>
      </c>
      <c r="AG128" s="8">
        <f>IF(G128="","",IF(COUNTIFS('Recipe Ingredients'!$A$5:$A$1204,G128,'Recipe Ingredients'!$AC$5:$AC$1204,"Check")&gt;0,"Check","OK"))</f>
        <v>0</v>
      </c>
    </row>
    <row r="129" spans="1:33">
      <c r="A129" s="7"/>
      <c r="B129" s="30"/>
      <c r="C129" s="8">
        <f>IF(B129="","",B129-WEEKDAY(B129,2)+1)</f>
        <v>0</v>
      </c>
      <c r="D129" s="8">
        <f>IF(B129="","",TEXT(B129,"ddd"))</f>
        <v>0</v>
      </c>
      <c r="E129" s="8">
        <f>IF(B129="","",TEXT(B129,"mmm yyyy"))</f>
        <v>0</v>
      </c>
      <c r="F129" s="27"/>
      <c r="G129" s="7"/>
      <c r="H129" s="26"/>
      <c r="I129" s="8">
        <f>IF(G129="","",IFERROR(INDEX(Recipes!$D$5:$D$204,MATCH(G129,Recipes!$A$5:$A$204,0)),""))</f>
        <v>0</v>
      </c>
      <c r="J129" s="8">
        <f>IF(OR(G129="",H129="",I129="",I129=0),"",H129/I129)</f>
        <v>0</v>
      </c>
      <c r="K129" s="8">
        <f>IF(B129="","",Household_Size)</f>
        <v>0</v>
      </c>
      <c r="L129" s="8">
        <f>IF(OR(G129="",H129=""),"",IFERROR(IFERROR(INDEX(Recipes!$H$5:$H$204,MATCH(G129,Recipes!$A$5:$A$204,0)),"")*H129,""))</f>
        <v>0</v>
      </c>
      <c r="M129" s="8">
        <f>IF(OR(G129="",H129=""),"",IFERROR(IFERROR(INDEX(Recipes!$I$5:$I$204,MATCH(G129,Recipes!$A$5:$A$204,0)),"")*H129,""))</f>
        <v>0</v>
      </c>
      <c r="N129" s="8">
        <f>IF(OR(G129="",H129=""),"",IFERROR(IFERROR(INDEX(Recipes!$J$5:$J$204,MATCH(G129,Recipes!$A$5:$A$204,0)),"")*H129,""))</f>
        <v>0</v>
      </c>
      <c r="O129" s="8">
        <f>IF(OR(G129="",H129=""),"",IFERROR(IFERROR(INDEX(Recipes!$K$5:$K$204,MATCH(G129,Recipes!$A$5:$A$204,0)),"")*H129,""))</f>
        <v>0</v>
      </c>
      <c r="P129" s="8">
        <f>IF(OR(G129="",H129=""),"",IFERROR(IFERROR(INDEX(Recipes!$L$5:$L$204,MATCH(G129,Recipes!$A$5:$A$204,0)),"")*H129,""))</f>
        <v>0</v>
      </c>
      <c r="Q129" s="8">
        <f>IF(OR(G129="",H129=""),"",IFERROR(IFERROR(INDEX(Recipes!$Q$5:$Q$204,MATCH(G129,Recipes!$A$5:$A$204,0)),"")*H129,""))</f>
        <v>0</v>
      </c>
      <c r="R129" s="8">
        <f>IF(F129="","",Weekly_Budget/21)</f>
        <v>0</v>
      </c>
      <c r="S129" s="27"/>
      <c r="T129" s="27"/>
      <c r="U129" s="26"/>
      <c r="V129" s="7"/>
      <c r="W129" s="7"/>
      <c r="X129" s="26"/>
      <c r="Y129" s="8">
        <f>IF(G129="","",IF(COUNTIFS('Meal Prep'!$D$5:$D$124,G129)&gt;0,"Yes","No"))</f>
        <v>0</v>
      </c>
      <c r="Z129" s="8">
        <f>IF(G129="","",COUNTIFS('Recipe Ingredients'!$A$5:$A$1204,G129))</f>
        <v>0</v>
      </c>
      <c r="AA129" s="25"/>
      <c r="AB129" s="8">
        <f>IF(OR(B129="",Q129=""),"",COUNTIFS($B$5:$B$504,B129,$Q$5:$Q$504,"&gt;"&amp;Q129)+1)</f>
        <v>0</v>
      </c>
      <c r="AC129" s="8">
        <f>IF(OR(B129="",L129=""),"",COUNTIFS($B$5:$B$504,B129,$L$5:$L$504,"&gt;"&amp;L129)+1)</f>
        <v>0</v>
      </c>
      <c r="AD129" s="8">
        <f>IF(G129="","",IF(COUNTIFS($G$5:$G$504,G129)&gt;1,"Repeat","Once"))</f>
        <v>0</v>
      </c>
      <c r="AE129" s="8">
        <f>IF(G129="","",IF(IFERROR(INDEX(Recipes!$X$5:$X$204,MATCH(G129,Recipes!$A$5:$A$204,0)),"")="","",IFERROR(B129-IFERROR(INDEX(Recipes!$X$5:$X$204,MATCH(G129,Recipes!$A$5:$A$204,0)),""),"")))</f>
        <v>0</v>
      </c>
      <c r="AF129" s="8">
        <f>IF(G129="","",IF(AE129="","Yes",IF(AE129&gt;=Rotation_Gap_Days,"Yes","No")))</f>
        <v>0</v>
      </c>
      <c r="AG129" s="8">
        <f>IF(G129="","",IF(COUNTIFS('Recipe Ingredients'!$A$5:$A$1204,G129,'Recipe Ingredients'!$AC$5:$AC$1204,"Check")&gt;0,"Check","OK"))</f>
        <v>0</v>
      </c>
    </row>
    <row r="130" spans="1:33">
      <c r="A130" s="7"/>
      <c r="B130" s="30"/>
      <c r="C130" s="8">
        <f>IF(B130="","",B130-WEEKDAY(B130,2)+1)</f>
        <v>0</v>
      </c>
      <c r="D130" s="8">
        <f>IF(B130="","",TEXT(B130,"ddd"))</f>
        <v>0</v>
      </c>
      <c r="E130" s="8">
        <f>IF(B130="","",TEXT(B130,"mmm yyyy"))</f>
        <v>0</v>
      </c>
      <c r="F130" s="27"/>
      <c r="G130" s="7"/>
      <c r="H130" s="26"/>
      <c r="I130" s="8">
        <f>IF(G130="","",IFERROR(INDEX(Recipes!$D$5:$D$204,MATCH(G130,Recipes!$A$5:$A$204,0)),""))</f>
        <v>0</v>
      </c>
      <c r="J130" s="8">
        <f>IF(OR(G130="",H130="",I130="",I130=0),"",H130/I130)</f>
        <v>0</v>
      </c>
      <c r="K130" s="8">
        <f>IF(B130="","",Household_Size)</f>
        <v>0</v>
      </c>
      <c r="L130" s="8">
        <f>IF(OR(G130="",H130=""),"",IFERROR(IFERROR(INDEX(Recipes!$H$5:$H$204,MATCH(G130,Recipes!$A$5:$A$204,0)),"")*H130,""))</f>
        <v>0</v>
      </c>
      <c r="M130" s="8">
        <f>IF(OR(G130="",H130=""),"",IFERROR(IFERROR(INDEX(Recipes!$I$5:$I$204,MATCH(G130,Recipes!$A$5:$A$204,0)),"")*H130,""))</f>
        <v>0</v>
      </c>
      <c r="N130" s="8">
        <f>IF(OR(G130="",H130=""),"",IFERROR(IFERROR(INDEX(Recipes!$J$5:$J$204,MATCH(G130,Recipes!$A$5:$A$204,0)),"")*H130,""))</f>
        <v>0</v>
      </c>
      <c r="O130" s="8">
        <f>IF(OR(G130="",H130=""),"",IFERROR(IFERROR(INDEX(Recipes!$K$5:$K$204,MATCH(G130,Recipes!$A$5:$A$204,0)),"")*H130,""))</f>
        <v>0</v>
      </c>
      <c r="P130" s="8">
        <f>IF(OR(G130="",H130=""),"",IFERROR(IFERROR(INDEX(Recipes!$L$5:$L$204,MATCH(G130,Recipes!$A$5:$A$204,0)),"")*H130,""))</f>
        <v>0</v>
      </c>
      <c r="Q130" s="8">
        <f>IF(OR(G130="",H130=""),"",IFERROR(IFERROR(INDEX(Recipes!$Q$5:$Q$204,MATCH(G130,Recipes!$A$5:$A$204,0)),"")*H130,""))</f>
        <v>0</v>
      </c>
      <c r="R130" s="8">
        <f>IF(F130="","",Weekly_Budget/21)</f>
        <v>0</v>
      </c>
      <c r="S130" s="27"/>
      <c r="T130" s="27"/>
      <c r="U130" s="26"/>
      <c r="V130" s="7"/>
      <c r="W130" s="7"/>
      <c r="X130" s="26"/>
      <c r="Y130" s="8">
        <f>IF(G130="","",IF(COUNTIFS('Meal Prep'!$D$5:$D$124,G130)&gt;0,"Yes","No"))</f>
        <v>0</v>
      </c>
      <c r="Z130" s="8">
        <f>IF(G130="","",COUNTIFS('Recipe Ingredients'!$A$5:$A$1204,G130))</f>
        <v>0</v>
      </c>
      <c r="AA130" s="25"/>
      <c r="AB130" s="8">
        <f>IF(OR(B130="",Q130=""),"",COUNTIFS($B$5:$B$504,B130,$Q$5:$Q$504,"&gt;"&amp;Q130)+1)</f>
        <v>0</v>
      </c>
      <c r="AC130" s="8">
        <f>IF(OR(B130="",L130=""),"",COUNTIFS($B$5:$B$504,B130,$L$5:$L$504,"&gt;"&amp;L130)+1)</f>
        <v>0</v>
      </c>
      <c r="AD130" s="8">
        <f>IF(G130="","",IF(COUNTIFS($G$5:$G$504,G130)&gt;1,"Repeat","Once"))</f>
        <v>0</v>
      </c>
      <c r="AE130" s="8">
        <f>IF(G130="","",IF(IFERROR(INDEX(Recipes!$X$5:$X$204,MATCH(G130,Recipes!$A$5:$A$204,0)),"")="","",IFERROR(B130-IFERROR(INDEX(Recipes!$X$5:$X$204,MATCH(G130,Recipes!$A$5:$A$204,0)),""),"")))</f>
        <v>0</v>
      </c>
      <c r="AF130" s="8">
        <f>IF(G130="","",IF(AE130="","Yes",IF(AE130&gt;=Rotation_Gap_Days,"Yes","No")))</f>
        <v>0</v>
      </c>
      <c r="AG130" s="8">
        <f>IF(G130="","",IF(COUNTIFS('Recipe Ingredients'!$A$5:$A$1204,G130,'Recipe Ingredients'!$AC$5:$AC$1204,"Check")&gt;0,"Check","OK"))</f>
        <v>0</v>
      </c>
    </row>
    <row r="131" spans="1:33">
      <c r="A131" s="7"/>
      <c r="B131" s="30"/>
      <c r="C131" s="8">
        <f>IF(B131="","",B131-WEEKDAY(B131,2)+1)</f>
        <v>0</v>
      </c>
      <c r="D131" s="8">
        <f>IF(B131="","",TEXT(B131,"ddd"))</f>
        <v>0</v>
      </c>
      <c r="E131" s="8">
        <f>IF(B131="","",TEXT(B131,"mmm yyyy"))</f>
        <v>0</v>
      </c>
      <c r="F131" s="27"/>
      <c r="G131" s="7"/>
      <c r="H131" s="26"/>
      <c r="I131" s="8">
        <f>IF(G131="","",IFERROR(INDEX(Recipes!$D$5:$D$204,MATCH(G131,Recipes!$A$5:$A$204,0)),""))</f>
        <v>0</v>
      </c>
      <c r="J131" s="8">
        <f>IF(OR(G131="",H131="",I131="",I131=0),"",H131/I131)</f>
        <v>0</v>
      </c>
      <c r="K131" s="8">
        <f>IF(B131="","",Household_Size)</f>
        <v>0</v>
      </c>
      <c r="L131" s="8">
        <f>IF(OR(G131="",H131=""),"",IFERROR(IFERROR(INDEX(Recipes!$H$5:$H$204,MATCH(G131,Recipes!$A$5:$A$204,0)),"")*H131,""))</f>
        <v>0</v>
      </c>
      <c r="M131" s="8">
        <f>IF(OR(G131="",H131=""),"",IFERROR(IFERROR(INDEX(Recipes!$I$5:$I$204,MATCH(G131,Recipes!$A$5:$A$204,0)),"")*H131,""))</f>
        <v>0</v>
      </c>
      <c r="N131" s="8">
        <f>IF(OR(G131="",H131=""),"",IFERROR(IFERROR(INDEX(Recipes!$J$5:$J$204,MATCH(G131,Recipes!$A$5:$A$204,0)),"")*H131,""))</f>
        <v>0</v>
      </c>
      <c r="O131" s="8">
        <f>IF(OR(G131="",H131=""),"",IFERROR(IFERROR(INDEX(Recipes!$K$5:$K$204,MATCH(G131,Recipes!$A$5:$A$204,0)),"")*H131,""))</f>
        <v>0</v>
      </c>
      <c r="P131" s="8">
        <f>IF(OR(G131="",H131=""),"",IFERROR(IFERROR(INDEX(Recipes!$L$5:$L$204,MATCH(G131,Recipes!$A$5:$A$204,0)),"")*H131,""))</f>
        <v>0</v>
      </c>
      <c r="Q131" s="8">
        <f>IF(OR(G131="",H131=""),"",IFERROR(IFERROR(INDEX(Recipes!$Q$5:$Q$204,MATCH(G131,Recipes!$A$5:$A$204,0)),"")*H131,""))</f>
        <v>0</v>
      </c>
      <c r="R131" s="8">
        <f>IF(F131="","",Weekly_Budget/21)</f>
        <v>0</v>
      </c>
      <c r="S131" s="27"/>
      <c r="T131" s="27"/>
      <c r="U131" s="26"/>
      <c r="V131" s="7"/>
      <c r="W131" s="7"/>
      <c r="X131" s="26"/>
      <c r="Y131" s="8">
        <f>IF(G131="","",IF(COUNTIFS('Meal Prep'!$D$5:$D$124,G131)&gt;0,"Yes","No"))</f>
        <v>0</v>
      </c>
      <c r="Z131" s="8">
        <f>IF(G131="","",COUNTIFS('Recipe Ingredients'!$A$5:$A$1204,G131))</f>
        <v>0</v>
      </c>
      <c r="AA131" s="25"/>
      <c r="AB131" s="8">
        <f>IF(OR(B131="",Q131=""),"",COUNTIFS($B$5:$B$504,B131,$Q$5:$Q$504,"&gt;"&amp;Q131)+1)</f>
        <v>0</v>
      </c>
      <c r="AC131" s="8">
        <f>IF(OR(B131="",L131=""),"",COUNTIFS($B$5:$B$504,B131,$L$5:$L$504,"&gt;"&amp;L131)+1)</f>
        <v>0</v>
      </c>
      <c r="AD131" s="8">
        <f>IF(G131="","",IF(COUNTIFS($G$5:$G$504,G131)&gt;1,"Repeat","Once"))</f>
        <v>0</v>
      </c>
      <c r="AE131" s="8">
        <f>IF(G131="","",IF(IFERROR(INDEX(Recipes!$X$5:$X$204,MATCH(G131,Recipes!$A$5:$A$204,0)),"")="","",IFERROR(B131-IFERROR(INDEX(Recipes!$X$5:$X$204,MATCH(G131,Recipes!$A$5:$A$204,0)),""),"")))</f>
        <v>0</v>
      </c>
      <c r="AF131" s="8">
        <f>IF(G131="","",IF(AE131="","Yes",IF(AE131&gt;=Rotation_Gap_Days,"Yes","No")))</f>
        <v>0</v>
      </c>
      <c r="AG131" s="8">
        <f>IF(G131="","",IF(COUNTIFS('Recipe Ingredients'!$A$5:$A$1204,G131,'Recipe Ingredients'!$AC$5:$AC$1204,"Check")&gt;0,"Check","OK"))</f>
        <v>0</v>
      </c>
    </row>
    <row r="132" spans="1:33">
      <c r="A132" s="7"/>
      <c r="B132" s="30"/>
      <c r="C132" s="8">
        <f>IF(B132="","",B132-WEEKDAY(B132,2)+1)</f>
        <v>0</v>
      </c>
      <c r="D132" s="8">
        <f>IF(B132="","",TEXT(B132,"ddd"))</f>
        <v>0</v>
      </c>
      <c r="E132" s="8">
        <f>IF(B132="","",TEXT(B132,"mmm yyyy"))</f>
        <v>0</v>
      </c>
      <c r="F132" s="27"/>
      <c r="G132" s="7"/>
      <c r="H132" s="26"/>
      <c r="I132" s="8">
        <f>IF(G132="","",IFERROR(INDEX(Recipes!$D$5:$D$204,MATCH(G132,Recipes!$A$5:$A$204,0)),""))</f>
        <v>0</v>
      </c>
      <c r="J132" s="8">
        <f>IF(OR(G132="",H132="",I132="",I132=0),"",H132/I132)</f>
        <v>0</v>
      </c>
      <c r="K132" s="8">
        <f>IF(B132="","",Household_Size)</f>
        <v>0</v>
      </c>
      <c r="L132" s="8">
        <f>IF(OR(G132="",H132=""),"",IFERROR(IFERROR(INDEX(Recipes!$H$5:$H$204,MATCH(G132,Recipes!$A$5:$A$204,0)),"")*H132,""))</f>
        <v>0</v>
      </c>
      <c r="M132" s="8">
        <f>IF(OR(G132="",H132=""),"",IFERROR(IFERROR(INDEX(Recipes!$I$5:$I$204,MATCH(G132,Recipes!$A$5:$A$204,0)),"")*H132,""))</f>
        <v>0</v>
      </c>
      <c r="N132" s="8">
        <f>IF(OR(G132="",H132=""),"",IFERROR(IFERROR(INDEX(Recipes!$J$5:$J$204,MATCH(G132,Recipes!$A$5:$A$204,0)),"")*H132,""))</f>
        <v>0</v>
      </c>
      <c r="O132" s="8">
        <f>IF(OR(G132="",H132=""),"",IFERROR(IFERROR(INDEX(Recipes!$K$5:$K$204,MATCH(G132,Recipes!$A$5:$A$204,0)),"")*H132,""))</f>
        <v>0</v>
      </c>
      <c r="P132" s="8">
        <f>IF(OR(G132="",H132=""),"",IFERROR(IFERROR(INDEX(Recipes!$L$5:$L$204,MATCH(G132,Recipes!$A$5:$A$204,0)),"")*H132,""))</f>
        <v>0</v>
      </c>
      <c r="Q132" s="8">
        <f>IF(OR(G132="",H132=""),"",IFERROR(IFERROR(INDEX(Recipes!$Q$5:$Q$204,MATCH(G132,Recipes!$A$5:$A$204,0)),"")*H132,""))</f>
        <v>0</v>
      </c>
      <c r="R132" s="8">
        <f>IF(F132="","",Weekly_Budget/21)</f>
        <v>0</v>
      </c>
      <c r="S132" s="27"/>
      <c r="T132" s="27"/>
      <c r="U132" s="26"/>
      <c r="V132" s="7"/>
      <c r="W132" s="7"/>
      <c r="X132" s="26"/>
      <c r="Y132" s="8">
        <f>IF(G132="","",IF(COUNTIFS('Meal Prep'!$D$5:$D$124,G132)&gt;0,"Yes","No"))</f>
        <v>0</v>
      </c>
      <c r="Z132" s="8">
        <f>IF(G132="","",COUNTIFS('Recipe Ingredients'!$A$5:$A$1204,G132))</f>
        <v>0</v>
      </c>
      <c r="AA132" s="25"/>
      <c r="AB132" s="8">
        <f>IF(OR(B132="",Q132=""),"",COUNTIFS($B$5:$B$504,B132,$Q$5:$Q$504,"&gt;"&amp;Q132)+1)</f>
        <v>0</v>
      </c>
      <c r="AC132" s="8">
        <f>IF(OR(B132="",L132=""),"",COUNTIFS($B$5:$B$504,B132,$L$5:$L$504,"&gt;"&amp;L132)+1)</f>
        <v>0</v>
      </c>
      <c r="AD132" s="8">
        <f>IF(G132="","",IF(COUNTIFS($G$5:$G$504,G132)&gt;1,"Repeat","Once"))</f>
        <v>0</v>
      </c>
      <c r="AE132" s="8">
        <f>IF(G132="","",IF(IFERROR(INDEX(Recipes!$X$5:$X$204,MATCH(G132,Recipes!$A$5:$A$204,0)),"")="","",IFERROR(B132-IFERROR(INDEX(Recipes!$X$5:$X$204,MATCH(G132,Recipes!$A$5:$A$204,0)),""),"")))</f>
        <v>0</v>
      </c>
      <c r="AF132" s="8">
        <f>IF(G132="","",IF(AE132="","Yes",IF(AE132&gt;=Rotation_Gap_Days,"Yes","No")))</f>
        <v>0</v>
      </c>
      <c r="AG132" s="8">
        <f>IF(G132="","",IF(COUNTIFS('Recipe Ingredients'!$A$5:$A$1204,G132,'Recipe Ingredients'!$AC$5:$AC$1204,"Check")&gt;0,"Check","OK"))</f>
        <v>0</v>
      </c>
    </row>
    <row r="133" spans="1:33">
      <c r="A133" s="7"/>
      <c r="B133" s="30"/>
      <c r="C133" s="8">
        <f>IF(B133="","",B133-WEEKDAY(B133,2)+1)</f>
        <v>0</v>
      </c>
      <c r="D133" s="8">
        <f>IF(B133="","",TEXT(B133,"ddd"))</f>
        <v>0</v>
      </c>
      <c r="E133" s="8">
        <f>IF(B133="","",TEXT(B133,"mmm yyyy"))</f>
        <v>0</v>
      </c>
      <c r="F133" s="27"/>
      <c r="G133" s="7"/>
      <c r="H133" s="26"/>
      <c r="I133" s="8">
        <f>IF(G133="","",IFERROR(INDEX(Recipes!$D$5:$D$204,MATCH(G133,Recipes!$A$5:$A$204,0)),""))</f>
        <v>0</v>
      </c>
      <c r="J133" s="8">
        <f>IF(OR(G133="",H133="",I133="",I133=0),"",H133/I133)</f>
        <v>0</v>
      </c>
      <c r="K133" s="8">
        <f>IF(B133="","",Household_Size)</f>
        <v>0</v>
      </c>
      <c r="L133" s="8">
        <f>IF(OR(G133="",H133=""),"",IFERROR(IFERROR(INDEX(Recipes!$H$5:$H$204,MATCH(G133,Recipes!$A$5:$A$204,0)),"")*H133,""))</f>
        <v>0</v>
      </c>
      <c r="M133" s="8">
        <f>IF(OR(G133="",H133=""),"",IFERROR(IFERROR(INDEX(Recipes!$I$5:$I$204,MATCH(G133,Recipes!$A$5:$A$204,0)),"")*H133,""))</f>
        <v>0</v>
      </c>
      <c r="N133" s="8">
        <f>IF(OR(G133="",H133=""),"",IFERROR(IFERROR(INDEX(Recipes!$J$5:$J$204,MATCH(G133,Recipes!$A$5:$A$204,0)),"")*H133,""))</f>
        <v>0</v>
      </c>
      <c r="O133" s="8">
        <f>IF(OR(G133="",H133=""),"",IFERROR(IFERROR(INDEX(Recipes!$K$5:$K$204,MATCH(G133,Recipes!$A$5:$A$204,0)),"")*H133,""))</f>
        <v>0</v>
      </c>
      <c r="P133" s="8">
        <f>IF(OR(G133="",H133=""),"",IFERROR(IFERROR(INDEX(Recipes!$L$5:$L$204,MATCH(G133,Recipes!$A$5:$A$204,0)),"")*H133,""))</f>
        <v>0</v>
      </c>
      <c r="Q133" s="8">
        <f>IF(OR(G133="",H133=""),"",IFERROR(IFERROR(INDEX(Recipes!$Q$5:$Q$204,MATCH(G133,Recipes!$A$5:$A$204,0)),"")*H133,""))</f>
        <v>0</v>
      </c>
      <c r="R133" s="8">
        <f>IF(F133="","",Weekly_Budget/21)</f>
        <v>0</v>
      </c>
      <c r="S133" s="27"/>
      <c r="T133" s="27"/>
      <c r="U133" s="26"/>
      <c r="V133" s="7"/>
      <c r="W133" s="7"/>
      <c r="X133" s="26"/>
      <c r="Y133" s="8">
        <f>IF(G133="","",IF(COUNTIFS('Meal Prep'!$D$5:$D$124,G133)&gt;0,"Yes","No"))</f>
        <v>0</v>
      </c>
      <c r="Z133" s="8">
        <f>IF(G133="","",COUNTIFS('Recipe Ingredients'!$A$5:$A$1204,G133))</f>
        <v>0</v>
      </c>
      <c r="AA133" s="25"/>
      <c r="AB133" s="8">
        <f>IF(OR(B133="",Q133=""),"",COUNTIFS($B$5:$B$504,B133,$Q$5:$Q$504,"&gt;"&amp;Q133)+1)</f>
        <v>0</v>
      </c>
      <c r="AC133" s="8">
        <f>IF(OR(B133="",L133=""),"",COUNTIFS($B$5:$B$504,B133,$L$5:$L$504,"&gt;"&amp;L133)+1)</f>
        <v>0</v>
      </c>
      <c r="AD133" s="8">
        <f>IF(G133="","",IF(COUNTIFS($G$5:$G$504,G133)&gt;1,"Repeat","Once"))</f>
        <v>0</v>
      </c>
      <c r="AE133" s="8">
        <f>IF(G133="","",IF(IFERROR(INDEX(Recipes!$X$5:$X$204,MATCH(G133,Recipes!$A$5:$A$204,0)),"")="","",IFERROR(B133-IFERROR(INDEX(Recipes!$X$5:$X$204,MATCH(G133,Recipes!$A$5:$A$204,0)),""),"")))</f>
        <v>0</v>
      </c>
      <c r="AF133" s="8">
        <f>IF(G133="","",IF(AE133="","Yes",IF(AE133&gt;=Rotation_Gap_Days,"Yes","No")))</f>
        <v>0</v>
      </c>
      <c r="AG133" s="8">
        <f>IF(G133="","",IF(COUNTIFS('Recipe Ingredients'!$A$5:$A$1204,G133,'Recipe Ingredients'!$AC$5:$AC$1204,"Check")&gt;0,"Check","OK"))</f>
        <v>0</v>
      </c>
    </row>
    <row r="134" spans="1:33">
      <c r="A134" s="7"/>
      <c r="B134" s="30"/>
      <c r="C134" s="8">
        <f>IF(B134="","",B134-WEEKDAY(B134,2)+1)</f>
        <v>0</v>
      </c>
      <c r="D134" s="8">
        <f>IF(B134="","",TEXT(B134,"ddd"))</f>
        <v>0</v>
      </c>
      <c r="E134" s="8">
        <f>IF(B134="","",TEXT(B134,"mmm yyyy"))</f>
        <v>0</v>
      </c>
      <c r="F134" s="27"/>
      <c r="G134" s="7"/>
      <c r="H134" s="26"/>
      <c r="I134" s="8">
        <f>IF(G134="","",IFERROR(INDEX(Recipes!$D$5:$D$204,MATCH(G134,Recipes!$A$5:$A$204,0)),""))</f>
        <v>0</v>
      </c>
      <c r="J134" s="8">
        <f>IF(OR(G134="",H134="",I134="",I134=0),"",H134/I134)</f>
        <v>0</v>
      </c>
      <c r="K134" s="8">
        <f>IF(B134="","",Household_Size)</f>
        <v>0</v>
      </c>
      <c r="L134" s="8">
        <f>IF(OR(G134="",H134=""),"",IFERROR(IFERROR(INDEX(Recipes!$H$5:$H$204,MATCH(G134,Recipes!$A$5:$A$204,0)),"")*H134,""))</f>
        <v>0</v>
      </c>
      <c r="M134" s="8">
        <f>IF(OR(G134="",H134=""),"",IFERROR(IFERROR(INDEX(Recipes!$I$5:$I$204,MATCH(G134,Recipes!$A$5:$A$204,0)),"")*H134,""))</f>
        <v>0</v>
      </c>
      <c r="N134" s="8">
        <f>IF(OR(G134="",H134=""),"",IFERROR(IFERROR(INDEX(Recipes!$J$5:$J$204,MATCH(G134,Recipes!$A$5:$A$204,0)),"")*H134,""))</f>
        <v>0</v>
      </c>
      <c r="O134" s="8">
        <f>IF(OR(G134="",H134=""),"",IFERROR(IFERROR(INDEX(Recipes!$K$5:$K$204,MATCH(G134,Recipes!$A$5:$A$204,0)),"")*H134,""))</f>
        <v>0</v>
      </c>
      <c r="P134" s="8">
        <f>IF(OR(G134="",H134=""),"",IFERROR(IFERROR(INDEX(Recipes!$L$5:$L$204,MATCH(G134,Recipes!$A$5:$A$204,0)),"")*H134,""))</f>
        <v>0</v>
      </c>
      <c r="Q134" s="8">
        <f>IF(OR(G134="",H134=""),"",IFERROR(IFERROR(INDEX(Recipes!$Q$5:$Q$204,MATCH(G134,Recipes!$A$5:$A$204,0)),"")*H134,""))</f>
        <v>0</v>
      </c>
      <c r="R134" s="8">
        <f>IF(F134="","",Weekly_Budget/21)</f>
        <v>0</v>
      </c>
      <c r="S134" s="27"/>
      <c r="T134" s="27"/>
      <c r="U134" s="26"/>
      <c r="V134" s="7"/>
      <c r="W134" s="7"/>
      <c r="X134" s="26"/>
      <c r="Y134" s="8">
        <f>IF(G134="","",IF(COUNTIFS('Meal Prep'!$D$5:$D$124,G134)&gt;0,"Yes","No"))</f>
        <v>0</v>
      </c>
      <c r="Z134" s="8">
        <f>IF(G134="","",COUNTIFS('Recipe Ingredients'!$A$5:$A$1204,G134))</f>
        <v>0</v>
      </c>
      <c r="AA134" s="25"/>
      <c r="AB134" s="8">
        <f>IF(OR(B134="",Q134=""),"",COUNTIFS($B$5:$B$504,B134,$Q$5:$Q$504,"&gt;"&amp;Q134)+1)</f>
        <v>0</v>
      </c>
      <c r="AC134" s="8">
        <f>IF(OR(B134="",L134=""),"",COUNTIFS($B$5:$B$504,B134,$L$5:$L$504,"&gt;"&amp;L134)+1)</f>
        <v>0</v>
      </c>
      <c r="AD134" s="8">
        <f>IF(G134="","",IF(COUNTIFS($G$5:$G$504,G134)&gt;1,"Repeat","Once"))</f>
        <v>0</v>
      </c>
      <c r="AE134" s="8">
        <f>IF(G134="","",IF(IFERROR(INDEX(Recipes!$X$5:$X$204,MATCH(G134,Recipes!$A$5:$A$204,0)),"")="","",IFERROR(B134-IFERROR(INDEX(Recipes!$X$5:$X$204,MATCH(G134,Recipes!$A$5:$A$204,0)),""),"")))</f>
        <v>0</v>
      </c>
      <c r="AF134" s="8">
        <f>IF(G134="","",IF(AE134="","Yes",IF(AE134&gt;=Rotation_Gap_Days,"Yes","No")))</f>
        <v>0</v>
      </c>
      <c r="AG134" s="8">
        <f>IF(G134="","",IF(COUNTIFS('Recipe Ingredients'!$A$5:$A$1204,G134,'Recipe Ingredients'!$AC$5:$AC$1204,"Check")&gt;0,"Check","OK"))</f>
        <v>0</v>
      </c>
    </row>
    <row r="135" spans="1:33">
      <c r="A135" s="7"/>
      <c r="B135" s="30"/>
      <c r="C135" s="8">
        <f>IF(B135="","",B135-WEEKDAY(B135,2)+1)</f>
        <v>0</v>
      </c>
      <c r="D135" s="8">
        <f>IF(B135="","",TEXT(B135,"ddd"))</f>
        <v>0</v>
      </c>
      <c r="E135" s="8">
        <f>IF(B135="","",TEXT(B135,"mmm yyyy"))</f>
        <v>0</v>
      </c>
      <c r="F135" s="27"/>
      <c r="G135" s="7"/>
      <c r="H135" s="26"/>
      <c r="I135" s="8">
        <f>IF(G135="","",IFERROR(INDEX(Recipes!$D$5:$D$204,MATCH(G135,Recipes!$A$5:$A$204,0)),""))</f>
        <v>0</v>
      </c>
      <c r="J135" s="8">
        <f>IF(OR(G135="",H135="",I135="",I135=0),"",H135/I135)</f>
        <v>0</v>
      </c>
      <c r="K135" s="8">
        <f>IF(B135="","",Household_Size)</f>
        <v>0</v>
      </c>
      <c r="L135" s="8">
        <f>IF(OR(G135="",H135=""),"",IFERROR(IFERROR(INDEX(Recipes!$H$5:$H$204,MATCH(G135,Recipes!$A$5:$A$204,0)),"")*H135,""))</f>
        <v>0</v>
      </c>
      <c r="M135" s="8">
        <f>IF(OR(G135="",H135=""),"",IFERROR(IFERROR(INDEX(Recipes!$I$5:$I$204,MATCH(G135,Recipes!$A$5:$A$204,0)),"")*H135,""))</f>
        <v>0</v>
      </c>
      <c r="N135" s="8">
        <f>IF(OR(G135="",H135=""),"",IFERROR(IFERROR(INDEX(Recipes!$J$5:$J$204,MATCH(G135,Recipes!$A$5:$A$204,0)),"")*H135,""))</f>
        <v>0</v>
      </c>
      <c r="O135" s="8">
        <f>IF(OR(G135="",H135=""),"",IFERROR(IFERROR(INDEX(Recipes!$K$5:$K$204,MATCH(G135,Recipes!$A$5:$A$204,0)),"")*H135,""))</f>
        <v>0</v>
      </c>
      <c r="P135" s="8">
        <f>IF(OR(G135="",H135=""),"",IFERROR(IFERROR(INDEX(Recipes!$L$5:$L$204,MATCH(G135,Recipes!$A$5:$A$204,0)),"")*H135,""))</f>
        <v>0</v>
      </c>
      <c r="Q135" s="8">
        <f>IF(OR(G135="",H135=""),"",IFERROR(IFERROR(INDEX(Recipes!$Q$5:$Q$204,MATCH(G135,Recipes!$A$5:$A$204,0)),"")*H135,""))</f>
        <v>0</v>
      </c>
      <c r="R135" s="8">
        <f>IF(F135="","",Weekly_Budget/21)</f>
        <v>0</v>
      </c>
      <c r="S135" s="27"/>
      <c r="T135" s="27"/>
      <c r="U135" s="26"/>
      <c r="V135" s="7"/>
      <c r="W135" s="7"/>
      <c r="X135" s="26"/>
      <c r="Y135" s="8">
        <f>IF(G135="","",IF(COUNTIFS('Meal Prep'!$D$5:$D$124,G135)&gt;0,"Yes","No"))</f>
        <v>0</v>
      </c>
      <c r="Z135" s="8">
        <f>IF(G135="","",COUNTIFS('Recipe Ingredients'!$A$5:$A$1204,G135))</f>
        <v>0</v>
      </c>
      <c r="AA135" s="25"/>
      <c r="AB135" s="8">
        <f>IF(OR(B135="",Q135=""),"",COUNTIFS($B$5:$B$504,B135,$Q$5:$Q$504,"&gt;"&amp;Q135)+1)</f>
        <v>0</v>
      </c>
      <c r="AC135" s="8">
        <f>IF(OR(B135="",L135=""),"",COUNTIFS($B$5:$B$504,B135,$L$5:$L$504,"&gt;"&amp;L135)+1)</f>
        <v>0</v>
      </c>
      <c r="AD135" s="8">
        <f>IF(G135="","",IF(COUNTIFS($G$5:$G$504,G135)&gt;1,"Repeat","Once"))</f>
        <v>0</v>
      </c>
      <c r="AE135" s="8">
        <f>IF(G135="","",IF(IFERROR(INDEX(Recipes!$X$5:$X$204,MATCH(G135,Recipes!$A$5:$A$204,0)),"")="","",IFERROR(B135-IFERROR(INDEX(Recipes!$X$5:$X$204,MATCH(G135,Recipes!$A$5:$A$204,0)),""),"")))</f>
        <v>0</v>
      </c>
      <c r="AF135" s="8">
        <f>IF(G135="","",IF(AE135="","Yes",IF(AE135&gt;=Rotation_Gap_Days,"Yes","No")))</f>
        <v>0</v>
      </c>
      <c r="AG135" s="8">
        <f>IF(G135="","",IF(COUNTIFS('Recipe Ingredients'!$A$5:$A$1204,G135,'Recipe Ingredients'!$AC$5:$AC$1204,"Check")&gt;0,"Check","OK"))</f>
        <v>0</v>
      </c>
    </row>
    <row r="136" spans="1:33">
      <c r="A136" s="7"/>
      <c r="B136" s="30"/>
      <c r="C136" s="8">
        <f>IF(B136="","",B136-WEEKDAY(B136,2)+1)</f>
        <v>0</v>
      </c>
      <c r="D136" s="8">
        <f>IF(B136="","",TEXT(B136,"ddd"))</f>
        <v>0</v>
      </c>
      <c r="E136" s="8">
        <f>IF(B136="","",TEXT(B136,"mmm yyyy"))</f>
        <v>0</v>
      </c>
      <c r="F136" s="27"/>
      <c r="G136" s="7"/>
      <c r="H136" s="26"/>
      <c r="I136" s="8">
        <f>IF(G136="","",IFERROR(INDEX(Recipes!$D$5:$D$204,MATCH(G136,Recipes!$A$5:$A$204,0)),""))</f>
        <v>0</v>
      </c>
      <c r="J136" s="8">
        <f>IF(OR(G136="",H136="",I136="",I136=0),"",H136/I136)</f>
        <v>0</v>
      </c>
      <c r="K136" s="8">
        <f>IF(B136="","",Household_Size)</f>
        <v>0</v>
      </c>
      <c r="L136" s="8">
        <f>IF(OR(G136="",H136=""),"",IFERROR(IFERROR(INDEX(Recipes!$H$5:$H$204,MATCH(G136,Recipes!$A$5:$A$204,0)),"")*H136,""))</f>
        <v>0</v>
      </c>
      <c r="M136" s="8">
        <f>IF(OR(G136="",H136=""),"",IFERROR(IFERROR(INDEX(Recipes!$I$5:$I$204,MATCH(G136,Recipes!$A$5:$A$204,0)),"")*H136,""))</f>
        <v>0</v>
      </c>
      <c r="N136" s="8">
        <f>IF(OR(G136="",H136=""),"",IFERROR(IFERROR(INDEX(Recipes!$J$5:$J$204,MATCH(G136,Recipes!$A$5:$A$204,0)),"")*H136,""))</f>
        <v>0</v>
      </c>
      <c r="O136" s="8">
        <f>IF(OR(G136="",H136=""),"",IFERROR(IFERROR(INDEX(Recipes!$K$5:$K$204,MATCH(G136,Recipes!$A$5:$A$204,0)),"")*H136,""))</f>
        <v>0</v>
      </c>
      <c r="P136" s="8">
        <f>IF(OR(G136="",H136=""),"",IFERROR(IFERROR(INDEX(Recipes!$L$5:$L$204,MATCH(G136,Recipes!$A$5:$A$204,0)),"")*H136,""))</f>
        <v>0</v>
      </c>
      <c r="Q136" s="8">
        <f>IF(OR(G136="",H136=""),"",IFERROR(IFERROR(INDEX(Recipes!$Q$5:$Q$204,MATCH(G136,Recipes!$A$5:$A$204,0)),"")*H136,""))</f>
        <v>0</v>
      </c>
      <c r="R136" s="8">
        <f>IF(F136="","",Weekly_Budget/21)</f>
        <v>0</v>
      </c>
      <c r="S136" s="27"/>
      <c r="T136" s="27"/>
      <c r="U136" s="26"/>
      <c r="V136" s="7"/>
      <c r="W136" s="7"/>
      <c r="X136" s="26"/>
      <c r="Y136" s="8">
        <f>IF(G136="","",IF(COUNTIFS('Meal Prep'!$D$5:$D$124,G136)&gt;0,"Yes","No"))</f>
        <v>0</v>
      </c>
      <c r="Z136" s="8">
        <f>IF(G136="","",COUNTIFS('Recipe Ingredients'!$A$5:$A$1204,G136))</f>
        <v>0</v>
      </c>
      <c r="AA136" s="25"/>
      <c r="AB136" s="8">
        <f>IF(OR(B136="",Q136=""),"",COUNTIFS($B$5:$B$504,B136,$Q$5:$Q$504,"&gt;"&amp;Q136)+1)</f>
        <v>0</v>
      </c>
      <c r="AC136" s="8">
        <f>IF(OR(B136="",L136=""),"",COUNTIFS($B$5:$B$504,B136,$L$5:$L$504,"&gt;"&amp;L136)+1)</f>
        <v>0</v>
      </c>
      <c r="AD136" s="8">
        <f>IF(G136="","",IF(COUNTIFS($G$5:$G$504,G136)&gt;1,"Repeat","Once"))</f>
        <v>0</v>
      </c>
      <c r="AE136" s="8">
        <f>IF(G136="","",IF(IFERROR(INDEX(Recipes!$X$5:$X$204,MATCH(G136,Recipes!$A$5:$A$204,0)),"")="","",IFERROR(B136-IFERROR(INDEX(Recipes!$X$5:$X$204,MATCH(G136,Recipes!$A$5:$A$204,0)),""),"")))</f>
        <v>0</v>
      </c>
      <c r="AF136" s="8">
        <f>IF(G136="","",IF(AE136="","Yes",IF(AE136&gt;=Rotation_Gap_Days,"Yes","No")))</f>
        <v>0</v>
      </c>
      <c r="AG136" s="8">
        <f>IF(G136="","",IF(COUNTIFS('Recipe Ingredients'!$A$5:$A$1204,G136,'Recipe Ingredients'!$AC$5:$AC$1204,"Check")&gt;0,"Check","OK"))</f>
        <v>0</v>
      </c>
    </row>
    <row r="137" spans="1:33">
      <c r="A137" s="7"/>
      <c r="B137" s="30"/>
      <c r="C137" s="8">
        <f>IF(B137="","",B137-WEEKDAY(B137,2)+1)</f>
        <v>0</v>
      </c>
      <c r="D137" s="8">
        <f>IF(B137="","",TEXT(B137,"ddd"))</f>
        <v>0</v>
      </c>
      <c r="E137" s="8">
        <f>IF(B137="","",TEXT(B137,"mmm yyyy"))</f>
        <v>0</v>
      </c>
      <c r="F137" s="27"/>
      <c r="G137" s="7"/>
      <c r="H137" s="26"/>
      <c r="I137" s="8">
        <f>IF(G137="","",IFERROR(INDEX(Recipes!$D$5:$D$204,MATCH(G137,Recipes!$A$5:$A$204,0)),""))</f>
        <v>0</v>
      </c>
      <c r="J137" s="8">
        <f>IF(OR(G137="",H137="",I137="",I137=0),"",H137/I137)</f>
        <v>0</v>
      </c>
      <c r="K137" s="8">
        <f>IF(B137="","",Household_Size)</f>
        <v>0</v>
      </c>
      <c r="L137" s="8">
        <f>IF(OR(G137="",H137=""),"",IFERROR(IFERROR(INDEX(Recipes!$H$5:$H$204,MATCH(G137,Recipes!$A$5:$A$204,0)),"")*H137,""))</f>
        <v>0</v>
      </c>
      <c r="M137" s="8">
        <f>IF(OR(G137="",H137=""),"",IFERROR(IFERROR(INDEX(Recipes!$I$5:$I$204,MATCH(G137,Recipes!$A$5:$A$204,0)),"")*H137,""))</f>
        <v>0</v>
      </c>
      <c r="N137" s="8">
        <f>IF(OR(G137="",H137=""),"",IFERROR(IFERROR(INDEX(Recipes!$J$5:$J$204,MATCH(G137,Recipes!$A$5:$A$204,0)),"")*H137,""))</f>
        <v>0</v>
      </c>
      <c r="O137" s="8">
        <f>IF(OR(G137="",H137=""),"",IFERROR(IFERROR(INDEX(Recipes!$K$5:$K$204,MATCH(G137,Recipes!$A$5:$A$204,0)),"")*H137,""))</f>
        <v>0</v>
      </c>
      <c r="P137" s="8">
        <f>IF(OR(G137="",H137=""),"",IFERROR(IFERROR(INDEX(Recipes!$L$5:$L$204,MATCH(G137,Recipes!$A$5:$A$204,0)),"")*H137,""))</f>
        <v>0</v>
      </c>
      <c r="Q137" s="8">
        <f>IF(OR(G137="",H137=""),"",IFERROR(IFERROR(INDEX(Recipes!$Q$5:$Q$204,MATCH(G137,Recipes!$A$5:$A$204,0)),"")*H137,""))</f>
        <v>0</v>
      </c>
      <c r="R137" s="8">
        <f>IF(F137="","",Weekly_Budget/21)</f>
        <v>0</v>
      </c>
      <c r="S137" s="27"/>
      <c r="T137" s="27"/>
      <c r="U137" s="26"/>
      <c r="V137" s="7"/>
      <c r="W137" s="7"/>
      <c r="X137" s="26"/>
      <c r="Y137" s="8">
        <f>IF(G137="","",IF(COUNTIFS('Meal Prep'!$D$5:$D$124,G137)&gt;0,"Yes","No"))</f>
        <v>0</v>
      </c>
      <c r="Z137" s="8">
        <f>IF(G137="","",COUNTIFS('Recipe Ingredients'!$A$5:$A$1204,G137))</f>
        <v>0</v>
      </c>
      <c r="AA137" s="25"/>
      <c r="AB137" s="8">
        <f>IF(OR(B137="",Q137=""),"",COUNTIFS($B$5:$B$504,B137,$Q$5:$Q$504,"&gt;"&amp;Q137)+1)</f>
        <v>0</v>
      </c>
      <c r="AC137" s="8">
        <f>IF(OR(B137="",L137=""),"",COUNTIFS($B$5:$B$504,B137,$L$5:$L$504,"&gt;"&amp;L137)+1)</f>
        <v>0</v>
      </c>
      <c r="AD137" s="8">
        <f>IF(G137="","",IF(COUNTIFS($G$5:$G$504,G137)&gt;1,"Repeat","Once"))</f>
        <v>0</v>
      </c>
      <c r="AE137" s="8">
        <f>IF(G137="","",IF(IFERROR(INDEX(Recipes!$X$5:$X$204,MATCH(G137,Recipes!$A$5:$A$204,0)),"")="","",IFERROR(B137-IFERROR(INDEX(Recipes!$X$5:$X$204,MATCH(G137,Recipes!$A$5:$A$204,0)),""),"")))</f>
        <v>0</v>
      </c>
      <c r="AF137" s="8">
        <f>IF(G137="","",IF(AE137="","Yes",IF(AE137&gt;=Rotation_Gap_Days,"Yes","No")))</f>
        <v>0</v>
      </c>
      <c r="AG137" s="8">
        <f>IF(G137="","",IF(COUNTIFS('Recipe Ingredients'!$A$5:$A$1204,G137,'Recipe Ingredients'!$AC$5:$AC$1204,"Check")&gt;0,"Check","OK"))</f>
        <v>0</v>
      </c>
    </row>
    <row r="138" spans="1:33">
      <c r="A138" s="7"/>
      <c r="B138" s="30"/>
      <c r="C138" s="8">
        <f>IF(B138="","",B138-WEEKDAY(B138,2)+1)</f>
        <v>0</v>
      </c>
      <c r="D138" s="8">
        <f>IF(B138="","",TEXT(B138,"ddd"))</f>
        <v>0</v>
      </c>
      <c r="E138" s="8">
        <f>IF(B138="","",TEXT(B138,"mmm yyyy"))</f>
        <v>0</v>
      </c>
      <c r="F138" s="27"/>
      <c r="G138" s="7"/>
      <c r="H138" s="26"/>
      <c r="I138" s="8">
        <f>IF(G138="","",IFERROR(INDEX(Recipes!$D$5:$D$204,MATCH(G138,Recipes!$A$5:$A$204,0)),""))</f>
        <v>0</v>
      </c>
      <c r="J138" s="8">
        <f>IF(OR(G138="",H138="",I138="",I138=0),"",H138/I138)</f>
        <v>0</v>
      </c>
      <c r="K138" s="8">
        <f>IF(B138="","",Household_Size)</f>
        <v>0</v>
      </c>
      <c r="L138" s="8">
        <f>IF(OR(G138="",H138=""),"",IFERROR(IFERROR(INDEX(Recipes!$H$5:$H$204,MATCH(G138,Recipes!$A$5:$A$204,0)),"")*H138,""))</f>
        <v>0</v>
      </c>
      <c r="M138" s="8">
        <f>IF(OR(G138="",H138=""),"",IFERROR(IFERROR(INDEX(Recipes!$I$5:$I$204,MATCH(G138,Recipes!$A$5:$A$204,0)),"")*H138,""))</f>
        <v>0</v>
      </c>
      <c r="N138" s="8">
        <f>IF(OR(G138="",H138=""),"",IFERROR(IFERROR(INDEX(Recipes!$J$5:$J$204,MATCH(G138,Recipes!$A$5:$A$204,0)),"")*H138,""))</f>
        <v>0</v>
      </c>
      <c r="O138" s="8">
        <f>IF(OR(G138="",H138=""),"",IFERROR(IFERROR(INDEX(Recipes!$K$5:$K$204,MATCH(G138,Recipes!$A$5:$A$204,0)),"")*H138,""))</f>
        <v>0</v>
      </c>
      <c r="P138" s="8">
        <f>IF(OR(G138="",H138=""),"",IFERROR(IFERROR(INDEX(Recipes!$L$5:$L$204,MATCH(G138,Recipes!$A$5:$A$204,0)),"")*H138,""))</f>
        <v>0</v>
      </c>
      <c r="Q138" s="8">
        <f>IF(OR(G138="",H138=""),"",IFERROR(IFERROR(INDEX(Recipes!$Q$5:$Q$204,MATCH(G138,Recipes!$A$5:$A$204,0)),"")*H138,""))</f>
        <v>0</v>
      </c>
      <c r="R138" s="8">
        <f>IF(F138="","",Weekly_Budget/21)</f>
        <v>0</v>
      </c>
      <c r="S138" s="27"/>
      <c r="T138" s="27"/>
      <c r="U138" s="26"/>
      <c r="V138" s="7"/>
      <c r="W138" s="7"/>
      <c r="X138" s="26"/>
      <c r="Y138" s="8">
        <f>IF(G138="","",IF(COUNTIFS('Meal Prep'!$D$5:$D$124,G138)&gt;0,"Yes","No"))</f>
        <v>0</v>
      </c>
      <c r="Z138" s="8">
        <f>IF(G138="","",COUNTIFS('Recipe Ingredients'!$A$5:$A$1204,G138))</f>
        <v>0</v>
      </c>
      <c r="AA138" s="25"/>
      <c r="AB138" s="8">
        <f>IF(OR(B138="",Q138=""),"",COUNTIFS($B$5:$B$504,B138,$Q$5:$Q$504,"&gt;"&amp;Q138)+1)</f>
        <v>0</v>
      </c>
      <c r="AC138" s="8">
        <f>IF(OR(B138="",L138=""),"",COUNTIFS($B$5:$B$504,B138,$L$5:$L$504,"&gt;"&amp;L138)+1)</f>
        <v>0</v>
      </c>
      <c r="AD138" s="8">
        <f>IF(G138="","",IF(COUNTIFS($G$5:$G$504,G138)&gt;1,"Repeat","Once"))</f>
        <v>0</v>
      </c>
      <c r="AE138" s="8">
        <f>IF(G138="","",IF(IFERROR(INDEX(Recipes!$X$5:$X$204,MATCH(G138,Recipes!$A$5:$A$204,0)),"")="","",IFERROR(B138-IFERROR(INDEX(Recipes!$X$5:$X$204,MATCH(G138,Recipes!$A$5:$A$204,0)),""),"")))</f>
        <v>0</v>
      </c>
      <c r="AF138" s="8">
        <f>IF(G138="","",IF(AE138="","Yes",IF(AE138&gt;=Rotation_Gap_Days,"Yes","No")))</f>
        <v>0</v>
      </c>
      <c r="AG138" s="8">
        <f>IF(G138="","",IF(COUNTIFS('Recipe Ingredients'!$A$5:$A$1204,G138,'Recipe Ingredients'!$AC$5:$AC$1204,"Check")&gt;0,"Check","OK"))</f>
        <v>0</v>
      </c>
    </row>
    <row r="139" spans="1:33">
      <c r="A139" s="7"/>
      <c r="B139" s="30"/>
      <c r="C139" s="8">
        <f>IF(B139="","",B139-WEEKDAY(B139,2)+1)</f>
        <v>0</v>
      </c>
      <c r="D139" s="8">
        <f>IF(B139="","",TEXT(B139,"ddd"))</f>
        <v>0</v>
      </c>
      <c r="E139" s="8">
        <f>IF(B139="","",TEXT(B139,"mmm yyyy"))</f>
        <v>0</v>
      </c>
      <c r="F139" s="27"/>
      <c r="G139" s="7"/>
      <c r="H139" s="26"/>
      <c r="I139" s="8">
        <f>IF(G139="","",IFERROR(INDEX(Recipes!$D$5:$D$204,MATCH(G139,Recipes!$A$5:$A$204,0)),""))</f>
        <v>0</v>
      </c>
      <c r="J139" s="8">
        <f>IF(OR(G139="",H139="",I139="",I139=0),"",H139/I139)</f>
        <v>0</v>
      </c>
      <c r="K139" s="8">
        <f>IF(B139="","",Household_Size)</f>
        <v>0</v>
      </c>
      <c r="L139" s="8">
        <f>IF(OR(G139="",H139=""),"",IFERROR(IFERROR(INDEX(Recipes!$H$5:$H$204,MATCH(G139,Recipes!$A$5:$A$204,0)),"")*H139,""))</f>
        <v>0</v>
      </c>
      <c r="M139" s="8">
        <f>IF(OR(G139="",H139=""),"",IFERROR(IFERROR(INDEX(Recipes!$I$5:$I$204,MATCH(G139,Recipes!$A$5:$A$204,0)),"")*H139,""))</f>
        <v>0</v>
      </c>
      <c r="N139" s="8">
        <f>IF(OR(G139="",H139=""),"",IFERROR(IFERROR(INDEX(Recipes!$J$5:$J$204,MATCH(G139,Recipes!$A$5:$A$204,0)),"")*H139,""))</f>
        <v>0</v>
      </c>
      <c r="O139" s="8">
        <f>IF(OR(G139="",H139=""),"",IFERROR(IFERROR(INDEX(Recipes!$K$5:$K$204,MATCH(G139,Recipes!$A$5:$A$204,0)),"")*H139,""))</f>
        <v>0</v>
      </c>
      <c r="P139" s="8">
        <f>IF(OR(G139="",H139=""),"",IFERROR(IFERROR(INDEX(Recipes!$L$5:$L$204,MATCH(G139,Recipes!$A$5:$A$204,0)),"")*H139,""))</f>
        <v>0</v>
      </c>
      <c r="Q139" s="8">
        <f>IF(OR(G139="",H139=""),"",IFERROR(IFERROR(INDEX(Recipes!$Q$5:$Q$204,MATCH(G139,Recipes!$A$5:$A$204,0)),"")*H139,""))</f>
        <v>0</v>
      </c>
      <c r="R139" s="8">
        <f>IF(F139="","",Weekly_Budget/21)</f>
        <v>0</v>
      </c>
      <c r="S139" s="27"/>
      <c r="T139" s="27"/>
      <c r="U139" s="26"/>
      <c r="V139" s="7"/>
      <c r="W139" s="7"/>
      <c r="X139" s="26"/>
      <c r="Y139" s="8">
        <f>IF(G139="","",IF(COUNTIFS('Meal Prep'!$D$5:$D$124,G139)&gt;0,"Yes","No"))</f>
        <v>0</v>
      </c>
      <c r="Z139" s="8">
        <f>IF(G139="","",COUNTIFS('Recipe Ingredients'!$A$5:$A$1204,G139))</f>
        <v>0</v>
      </c>
      <c r="AA139" s="25"/>
      <c r="AB139" s="8">
        <f>IF(OR(B139="",Q139=""),"",COUNTIFS($B$5:$B$504,B139,$Q$5:$Q$504,"&gt;"&amp;Q139)+1)</f>
        <v>0</v>
      </c>
      <c r="AC139" s="8">
        <f>IF(OR(B139="",L139=""),"",COUNTIFS($B$5:$B$504,B139,$L$5:$L$504,"&gt;"&amp;L139)+1)</f>
        <v>0</v>
      </c>
      <c r="AD139" s="8">
        <f>IF(G139="","",IF(COUNTIFS($G$5:$G$504,G139)&gt;1,"Repeat","Once"))</f>
        <v>0</v>
      </c>
      <c r="AE139" s="8">
        <f>IF(G139="","",IF(IFERROR(INDEX(Recipes!$X$5:$X$204,MATCH(G139,Recipes!$A$5:$A$204,0)),"")="","",IFERROR(B139-IFERROR(INDEX(Recipes!$X$5:$X$204,MATCH(G139,Recipes!$A$5:$A$204,0)),""),"")))</f>
        <v>0</v>
      </c>
      <c r="AF139" s="8">
        <f>IF(G139="","",IF(AE139="","Yes",IF(AE139&gt;=Rotation_Gap_Days,"Yes","No")))</f>
        <v>0</v>
      </c>
      <c r="AG139" s="8">
        <f>IF(G139="","",IF(COUNTIFS('Recipe Ingredients'!$A$5:$A$1204,G139,'Recipe Ingredients'!$AC$5:$AC$1204,"Check")&gt;0,"Check","OK"))</f>
        <v>0</v>
      </c>
    </row>
    <row r="140" spans="1:33">
      <c r="A140" s="7"/>
      <c r="B140" s="30"/>
      <c r="C140" s="8">
        <f>IF(B140="","",B140-WEEKDAY(B140,2)+1)</f>
        <v>0</v>
      </c>
      <c r="D140" s="8">
        <f>IF(B140="","",TEXT(B140,"ddd"))</f>
        <v>0</v>
      </c>
      <c r="E140" s="8">
        <f>IF(B140="","",TEXT(B140,"mmm yyyy"))</f>
        <v>0</v>
      </c>
      <c r="F140" s="27"/>
      <c r="G140" s="7"/>
      <c r="H140" s="26"/>
      <c r="I140" s="8">
        <f>IF(G140="","",IFERROR(INDEX(Recipes!$D$5:$D$204,MATCH(G140,Recipes!$A$5:$A$204,0)),""))</f>
        <v>0</v>
      </c>
      <c r="J140" s="8">
        <f>IF(OR(G140="",H140="",I140="",I140=0),"",H140/I140)</f>
        <v>0</v>
      </c>
      <c r="K140" s="8">
        <f>IF(B140="","",Household_Size)</f>
        <v>0</v>
      </c>
      <c r="L140" s="8">
        <f>IF(OR(G140="",H140=""),"",IFERROR(IFERROR(INDEX(Recipes!$H$5:$H$204,MATCH(G140,Recipes!$A$5:$A$204,0)),"")*H140,""))</f>
        <v>0</v>
      </c>
      <c r="M140" s="8">
        <f>IF(OR(G140="",H140=""),"",IFERROR(IFERROR(INDEX(Recipes!$I$5:$I$204,MATCH(G140,Recipes!$A$5:$A$204,0)),"")*H140,""))</f>
        <v>0</v>
      </c>
      <c r="N140" s="8">
        <f>IF(OR(G140="",H140=""),"",IFERROR(IFERROR(INDEX(Recipes!$J$5:$J$204,MATCH(G140,Recipes!$A$5:$A$204,0)),"")*H140,""))</f>
        <v>0</v>
      </c>
      <c r="O140" s="8">
        <f>IF(OR(G140="",H140=""),"",IFERROR(IFERROR(INDEX(Recipes!$K$5:$K$204,MATCH(G140,Recipes!$A$5:$A$204,0)),"")*H140,""))</f>
        <v>0</v>
      </c>
      <c r="P140" s="8">
        <f>IF(OR(G140="",H140=""),"",IFERROR(IFERROR(INDEX(Recipes!$L$5:$L$204,MATCH(G140,Recipes!$A$5:$A$204,0)),"")*H140,""))</f>
        <v>0</v>
      </c>
      <c r="Q140" s="8">
        <f>IF(OR(G140="",H140=""),"",IFERROR(IFERROR(INDEX(Recipes!$Q$5:$Q$204,MATCH(G140,Recipes!$A$5:$A$204,0)),"")*H140,""))</f>
        <v>0</v>
      </c>
      <c r="R140" s="8">
        <f>IF(F140="","",Weekly_Budget/21)</f>
        <v>0</v>
      </c>
      <c r="S140" s="27"/>
      <c r="T140" s="27"/>
      <c r="U140" s="26"/>
      <c r="V140" s="7"/>
      <c r="W140" s="7"/>
      <c r="X140" s="26"/>
      <c r="Y140" s="8">
        <f>IF(G140="","",IF(COUNTIFS('Meal Prep'!$D$5:$D$124,G140)&gt;0,"Yes","No"))</f>
        <v>0</v>
      </c>
      <c r="Z140" s="8">
        <f>IF(G140="","",COUNTIFS('Recipe Ingredients'!$A$5:$A$1204,G140))</f>
        <v>0</v>
      </c>
      <c r="AA140" s="25"/>
      <c r="AB140" s="8">
        <f>IF(OR(B140="",Q140=""),"",COUNTIFS($B$5:$B$504,B140,$Q$5:$Q$504,"&gt;"&amp;Q140)+1)</f>
        <v>0</v>
      </c>
      <c r="AC140" s="8">
        <f>IF(OR(B140="",L140=""),"",COUNTIFS($B$5:$B$504,B140,$L$5:$L$504,"&gt;"&amp;L140)+1)</f>
        <v>0</v>
      </c>
      <c r="AD140" s="8">
        <f>IF(G140="","",IF(COUNTIFS($G$5:$G$504,G140)&gt;1,"Repeat","Once"))</f>
        <v>0</v>
      </c>
      <c r="AE140" s="8">
        <f>IF(G140="","",IF(IFERROR(INDEX(Recipes!$X$5:$X$204,MATCH(G140,Recipes!$A$5:$A$204,0)),"")="","",IFERROR(B140-IFERROR(INDEX(Recipes!$X$5:$X$204,MATCH(G140,Recipes!$A$5:$A$204,0)),""),"")))</f>
        <v>0</v>
      </c>
      <c r="AF140" s="8">
        <f>IF(G140="","",IF(AE140="","Yes",IF(AE140&gt;=Rotation_Gap_Days,"Yes","No")))</f>
        <v>0</v>
      </c>
      <c r="AG140" s="8">
        <f>IF(G140="","",IF(COUNTIFS('Recipe Ingredients'!$A$5:$A$1204,G140,'Recipe Ingredients'!$AC$5:$AC$1204,"Check")&gt;0,"Check","OK"))</f>
        <v>0</v>
      </c>
    </row>
    <row r="141" spans="1:33">
      <c r="A141" s="7"/>
      <c r="B141" s="30"/>
      <c r="C141" s="8">
        <f>IF(B141="","",B141-WEEKDAY(B141,2)+1)</f>
        <v>0</v>
      </c>
      <c r="D141" s="8">
        <f>IF(B141="","",TEXT(B141,"ddd"))</f>
        <v>0</v>
      </c>
      <c r="E141" s="8">
        <f>IF(B141="","",TEXT(B141,"mmm yyyy"))</f>
        <v>0</v>
      </c>
      <c r="F141" s="27"/>
      <c r="G141" s="7"/>
      <c r="H141" s="26"/>
      <c r="I141" s="8">
        <f>IF(G141="","",IFERROR(INDEX(Recipes!$D$5:$D$204,MATCH(G141,Recipes!$A$5:$A$204,0)),""))</f>
        <v>0</v>
      </c>
      <c r="J141" s="8">
        <f>IF(OR(G141="",H141="",I141="",I141=0),"",H141/I141)</f>
        <v>0</v>
      </c>
      <c r="K141" s="8">
        <f>IF(B141="","",Household_Size)</f>
        <v>0</v>
      </c>
      <c r="L141" s="8">
        <f>IF(OR(G141="",H141=""),"",IFERROR(IFERROR(INDEX(Recipes!$H$5:$H$204,MATCH(G141,Recipes!$A$5:$A$204,0)),"")*H141,""))</f>
        <v>0</v>
      </c>
      <c r="M141" s="8">
        <f>IF(OR(G141="",H141=""),"",IFERROR(IFERROR(INDEX(Recipes!$I$5:$I$204,MATCH(G141,Recipes!$A$5:$A$204,0)),"")*H141,""))</f>
        <v>0</v>
      </c>
      <c r="N141" s="8">
        <f>IF(OR(G141="",H141=""),"",IFERROR(IFERROR(INDEX(Recipes!$J$5:$J$204,MATCH(G141,Recipes!$A$5:$A$204,0)),"")*H141,""))</f>
        <v>0</v>
      </c>
      <c r="O141" s="8">
        <f>IF(OR(G141="",H141=""),"",IFERROR(IFERROR(INDEX(Recipes!$K$5:$K$204,MATCH(G141,Recipes!$A$5:$A$204,0)),"")*H141,""))</f>
        <v>0</v>
      </c>
      <c r="P141" s="8">
        <f>IF(OR(G141="",H141=""),"",IFERROR(IFERROR(INDEX(Recipes!$L$5:$L$204,MATCH(G141,Recipes!$A$5:$A$204,0)),"")*H141,""))</f>
        <v>0</v>
      </c>
      <c r="Q141" s="8">
        <f>IF(OR(G141="",H141=""),"",IFERROR(IFERROR(INDEX(Recipes!$Q$5:$Q$204,MATCH(G141,Recipes!$A$5:$A$204,0)),"")*H141,""))</f>
        <v>0</v>
      </c>
      <c r="R141" s="8">
        <f>IF(F141="","",Weekly_Budget/21)</f>
        <v>0</v>
      </c>
      <c r="S141" s="27"/>
      <c r="T141" s="27"/>
      <c r="U141" s="26"/>
      <c r="V141" s="7"/>
      <c r="W141" s="7"/>
      <c r="X141" s="26"/>
      <c r="Y141" s="8">
        <f>IF(G141="","",IF(COUNTIFS('Meal Prep'!$D$5:$D$124,G141)&gt;0,"Yes","No"))</f>
        <v>0</v>
      </c>
      <c r="Z141" s="8">
        <f>IF(G141="","",COUNTIFS('Recipe Ingredients'!$A$5:$A$1204,G141))</f>
        <v>0</v>
      </c>
      <c r="AA141" s="25"/>
      <c r="AB141" s="8">
        <f>IF(OR(B141="",Q141=""),"",COUNTIFS($B$5:$B$504,B141,$Q$5:$Q$504,"&gt;"&amp;Q141)+1)</f>
        <v>0</v>
      </c>
      <c r="AC141" s="8">
        <f>IF(OR(B141="",L141=""),"",COUNTIFS($B$5:$B$504,B141,$L$5:$L$504,"&gt;"&amp;L141)+1)</f>
        <v>0</v>
      </c>
      <c r="AD141" s="8">
        <f>IF(G141="","",IF(COUNTIFS($G$5:$G$504,G141)&gt;1,"Repeat","Once"))</f>
        <v>0</v>
      </c>
      <c r="AE141" s="8">
        <f>IF(G141="","",IF(IFERROR(INDEX(Recipes!$X$5:$X$204,MATCH(G141,Recipes!$A$5:$A$204,0)),"")="","",IFERROR(B141-IFERROR(INDEX(Recipes!$X$5:$X$204,MATCH(G141,Recipes!$A$5:$A$204,0)),""),"")))</f>
        <v>0</v>
      </c>
      <c r="AF141" s="8">
        <f>IF(G141="","",IF(AE141="","Yes",IF(AE141&gt;=Rotation_Gap_Days,"Yes","No")))</f>
        <v>0</v>
      </c>
      <c r="AG141" s="8">
        <f>IF(G141="","",IF(COUNTIFS('Recipe Ingredients'!$A$5:$A$1204,G141,'Recipe Ingredients'!$AC$5:$AC$1204,"Check")&gt;0,"Check","OK"))</f>
        <v>0</v>
      </c>
    </row>
    <row r="142" spans="1:33">
      <c r="A142" s="7"/>
      <c r="B142" s="30"/>
      <c r="C142" s="8">
        <f>IF(B142="","",B142-WEEKDAY(B142,2)+1)</f>
        <v>0</v>
      </c>
      <c r="D142" s="8">
        <f>IF(B142="","",TEXT(B142,"ddd"))</f>
        <v>0</v>
      </c>
      <c r="E142" s="8">
        <f>IF(B142="","",TEXT(B142,"mmm yyyy"))</f>
        <v>0</v>
      </c>
      <c r="F142" s="27"/>
      <c r="G142" s="7"/>
      <c r="H142" s="26"/>
      <c r="I142" s="8">
        <f>IF(G142="","",IFERROR(INDEX(Recipes!$D$5:$D$204,MATCH(G142,Recipes!$A$5:$A$204,0)),""))</f>
        <v>0</v>
      </c>
      <c r="J142" s="8">
        <f>IF(OR(G142="",H142="",I142="",I142=0),"",H142/I142)</f>
        <v>0</v>
      </c>
      <c r="K142" s="8">
        <f>IF(B142="","",Household_Size)</f>
        <v>0</v>
      </c>
      <c r="L142" s="8">
        <f>IF(OR(G142="",H142=""),"",IFERROR(IFERROR(INDEX(Recipes!$H$5:$H$204,MATCH(G142,Recipes!$A$5:$A$204,0)),"")*H142,""))</f>
        <v>0</v>
      </c>
      <c r="M142" s="8">
        <f>IF(OR(G142="",H142=""),"",IFERROR(IFERROR(INDEX(Recipes!$I$5:$I$204,MATCH(G142,Recipes!$A$5:$A$204,0)),"")*H142,""))</f>
        <v>0</v>
      </c>
      <c r="N142" s="8">
        <f>IF(OR(G142="",H142=""),"",IFERROR(IFERROR(INDEX(Recipes!$J$5:$J$204,MATCH(G142,Recipes!$A$5:$A$204,0)),"")*H142,""))</f>
        <v>0</v>
      </c>
      <c r="O142" s="8">
        <f>IF(OR(G142="",H142=""),"",IFERROR(IFERROR(INDEX(Recipes!$K$5:$K$204,MATCH(G142,Recipes!$A$5:$A$204,0)),"")*H142,""))</f>
        <v>0</v>
      </c>
      <c r="P142" s="8">
        <f>IF(OR(G142="",H142=""),"",IFERROR(IFERROR(INDEX(Recipes!$L$5:$L$204,MATCH(G142,Recipes!$A$5:$A$204,0)),"")*H142,""))</f>
        <v>0</v>
      </c>
      <c r="Q142" s="8">
        <f>IF(OR(G142="",H142=""),"",IFERROR(IFERROR(INDEX(Recipes!$Q$5:$Q$204,MATCH(G142,Recipes!$A$5:$A$204,0)),"")*H142,""))</f>
        <v>0</v>
      </c>
      <c r="R142" s="8">
        <f>IF(F142="","",Weekly_Budget/21)</f>
        <v>0</v>
      </c>
      <c r="S142" s="27"/>
      <c r="T142" s="27"/>
      <c r="U142" s="26"/>
      <c r="V142" s="7"/>
      <c r="W142" s="7"/>
      <c r="X142" s="26"/>
      <c r="Y142" s="8">
        <f>IF(G142="","",IF(COUNTIFS('Meal Prep'!$D$5:$D$124,G142)&gt;0,"Yes","No"))</f>
        <v>0</v>
      </c>
      <c r="Z142" s="8">
        <f>IF(G142="","",COUNTIFS('Recipe Ingredients'!$A$5:$A$1204,G142))</f>
        <v>0</v>
      </c>
      <c r="AA142" s="25"/>
      <c r="AB142" s="8">
        <f>IF(OR(B142="",Q142=""),"",COUNTIFS($B$5:$B$504,B142,$Q$5:$Q$504,"&gt;"&amp;Q142)+1)</f>
        <v>0</v>
      </c>
      <c r="AC142" s="8">
        <f>IF(OR(B142="",L142=""),"",COUNTIFS($B$5:$B$504,B142,$L$5:$L$504,"&gt;"&amp;L142)+1)</f>
        <v>0</v>
      </c>
      <c r="AD142" s="8">
        <f>IF(G142="","",IF(COUNTIFS($G$5:$G$504,G142)&gt;1,"Repeat","Once"))</f>
        <v>0</v>
      </c>
      <c r="AE142" s="8">
        <f>IF(G142="","",IF(IFERROR(INDEX(Recipes!$X$5:$X$204,MATCH(G142,Recipes!$A$5:$A$204,0)),"")="","",IFERROR(B142-IFERROR(INDEX(Recipes!$X$5:$X$204,MATCH(G142,Recipes!$A$5:$A$204,0)),""),"")))</f>
        <v>0</v>
      </c>
      <c r="AF142" s="8">
        <f>IF(G142="","",IF(AE142="","Yes",IF(AE142&gt;=Rotation_Gap_Days,"Yes","No")))</f>
        <v>0</v>
      </c>
      <c r="AG142" s="8">
        <f>IF(G142="","",IF(COUNTIFS('Recipe Ingredients'!$A$5:$A$1204,G142,'Recipe Ingredients'!$AC$5:$AC$1204,"Check")&gt;0,"Check","OK"))</f>
        <v>0</v>
      </c>
    </row>
    <row r="143" spans="1:33">
      <c r="A143" s="7"/>
      <c r="B143" s="30"/>
      <c r="C143" s="8">
        <f>IF(B143="","",B143-WEEKDAY(B143,2)+1)</f>
        <v>0</v>
      </c>
      <c r="D143" s="8">
        <f>IF(B143="","",TEXT(B143,"ddd"))</f>
        <v>0</v>
      </c>
      <c r="E143" s="8">
        <f>IF(B143="","",TEXT(B143,"mmm yyyy"))</f>
        <v>0</v>
      </c>
      <c r="F143" s="27"/>
      <c r="G143" s="7"/>
      <c r="H143" s="26"/>
      <c r="I143" s="8">
        <f>IF(G143="","",IFERROR(INDEX(Recipes!$D$5:$D$204,MATCH(G143,Recipes!$A$5:$A$204,0)),""))</f>
        <v>0</v>
      </c>
      <c r="J143" s="8">
        <f>IF(OR(G143="",H143="",I143="",I143=0),"",H143/I143)</f>
        <v>0</v>
      </c>
      <c r="K143" s="8">
        <f>IF(B143="","",Household_Size)</f>
        <v>0</v>
      </c>
      <c r="L143" s="8">
        <f>IF(OR(G143="",H143=""),"",IFERROR(IFERROR(INDEX(Recipes!$H$5:$H$204,MATCH(G143,Recipes!$A$5:$A$204,0)),"")*H143,""))</f>
        <v>0</v>
      </c>
      <c r="M143" s="8">
        <f>IF(OR(G143="",H143=""),"",IFERROR(IFERROR(INDEX(Recipes!$I$5:$I$204,MATCH(G143,Recipes!$A$5:$A$204,0)),"")*H143,""))</f>
        <v>0</v>
      </c>
      <c r="N143" s="8">
        <f>IF(OR(G143="",H143=""),"",IFERROR(IFERROR(INDEX(Recipes!$J$5:$J$204,MATCH(G143,Recipes!$A$5:$A$204,0)),"")*H143,""))</f>
        <v>0</v>
      </c>
      <c r="O143" s="8">
        <f>IF(OR(G143="",H143=""),"",IFERROR(IFERROR(INDEX(Recipes!$K$5:$K$204,MATCH(G143,Recipes!$A$5:$A$204,0)),"")*H143,""))</f>
        <v>0</v>
      </c>
      <c r="P143" s="8">
        <f>IF(OR(G143="",H143=""),"",IFERROR(IFERROR(INDEX(Recipes!$L$5:$L$204,MATCH(G143,Recipes!$A$5:$A$204,0)),"")*H143,""))</f>
        <v>0</v>
      </c>
      <c r="Q143" s="8">
        <f>IF(OR(G143="",H143=""),"",IFERROR(IFERROR(INDEX(Recipes!$Q$5:$Q$204,MATCH(G143,Recipes!$A$5:$A$204,0)),"")*H143,""))</f>
        <v>0</v>
      </c>
      <c r="R143" s="8">
        <f>IF(F143="","",Weekly_Budget/21)</f>
        <v>0</v>
      </c>
      <c r="S143" s="27"/>
      <c r="T143" s="27"/>
      <c r="U143" s="26"/>
      <c r="V143" s="7"/>
      <c r="W143" s="7"/>
      <c r="X143" s="26"/>
      <c r="Y143" s="8">
        <f>IF(G143="","",IF(COUNTIFS('Meal Prep'!$D$5:$D$124,G143)&gt;0,"Yes","No"))</f>
        <v>0</v>
      </c>
      <c r="Z143" s="8">
        <f>IF(G143="","",COUNTIFS('Recipe Ingredients'!$A$5:$A$1204,G143))</f>
        <v>0</v>
      </c>
      <c r="AA143" s="25"/>
      <c r="AB143" s="8">
        <f>IF(OR(B143="",Q143=""),"",COUNTIFS($B$5:$B$504,B143,$Q$5:$Q$504,"&gt;"&amp;Q143)+1)</f>
        <v>0</v>
      </c>
      <c r="AC143" s="8">
        <f>IF(OR(B143="",L143=""),"",COUNTIFS($B$5:$B$504,B143,$L$5:$L$504,"&gt;"&amp;L143)+1)</f>
        <v>0</v>
      </c>
      <c r="AD143" s="8">
        <f>IF(G143="","",IF(COUNTIFS($G$5:$G$504,G143)&gt;1,"Repeat","Once"))</f>
        <v>0</v>
      </c>
      <c r="AE143" s="8">
        <f>IF(G143="","",IF(IFERROR(INDEX(Recipes!$X$5:$X$204,MATCH(G143,Recipes!$A$5:$A$204,0)),"")="","",IFERROR(B143-IFERROR(INDEX(Recipes!$X$5:$X$204,MATCH(G143,Recipes!$A$5:$A$204,0)),""),"")))</f>
        <v>0</v>
      </c>
      <c r="AF143" s="8">
        <f>IF(G143="","",IF(AE143="","Yes",IF(AE143&gt;=Rotation_Gap_Days,"Yes","No")))</f>
        <v>0</v>
      </c>
      <c r="AG143" s="8">
        <f>IF(G143="","",IF(COUNTIFS('Recipe Ingredients'!$A$5:$A$1204,G143,'Recipe Ingredients'!$AC$5:$AC$1204,"Check")&gt;0,"Check","OK"))</f>
        <v>0</v>
      </c>
    </row>
    <row r="144" spans="1:33">
      <c r="A144" s="7"/>
      <c r="B144" s="30"/>
      <c r="C144" s="8">
        <f>IF(B144="","",B144-WEEKDAY(B144,2)+1)</f>
        <v>0</v>
      </c>
      <c r="D144" s="8">
        <f>IF(B144="","",TEXT(B144,"ddd"))</f>
        <v>0</v>
      </c>
      <c r="E144" s="8">
        <f>IF(B144="","",TEXT(B144,"mmm yyyy"))</f>
        <v>0</v>
      </c>
      <c r="F144" s="27"/>
      <c r="G144" s="7"/>
      <c r="H144" s="26"/>
      <c r="I144" s="8">
        <f>IF(G144="","",IFERROR(INDEX(Recipes!$D$5:$D$204,MATCH(G144,Recipes!$A$5:$A$204,0)),""))</f>
        <v>0</v>
      </c>
      <c r="J144" s="8">
        <f>IF(OR(G144="",H144="",I144="",I144=0),"",H144/I144)</f>
        <v>0</v>
      </c>
      <c r="K144" s="8">
        <f>IF(B144="","",Household_Size)</f>
        <v>0</v>
      </c>
      <c r="L144" s="8">
        <f>IF(OR(G144="",H144=""),"",IFERROR(IFERROR(INDEX(Recipes!$H$5:$H$204,MATCH(G144,Recipes!$A$5:$A$204,0)),"")*H144,""))</f>
        <v>0</v>
      </c>
      <c r="M144" s="8">
        <f>IF(OR(G144="",H144=""),"",IFERROR(IFERROR(INDEX(Recipes!$I$5:$I$204,MATCH(G144,Recipes!$A$5:$A$204,0)),"")*H144,""))</f>
        <v>0</v>
      </c>
      <c r="N144" s="8">
        <f>IF(OR(G144="",H144=""),"",IFERROR(IFERROR(INDEX(Recipes!$J$5:$J$204,MATCH(G144,Recipes!$A$5:$A$204,0)),"")*H144,""))</f>
        <v>0</v>
      </c>
      <c r="O144" s="8">
        <f>IF(OR(G144="",H144=""),"",IFERROR(IFERROR(INDEX(Recipes!$K$5:$K$204,MATCH(G144,Recipes!$A$5:$A$204,0)),"")*H144,""))</f>
        <v>0</v>
      </c>
      <c r="P144" s="8">
        <f>IF(OR(G144="",H144=""),"",IFERROR(IFERROR(INDEX(Recipes!$L$5:$L$204,MATCH(G144,Recipes!$A$5:$A$204,0)),"")*H144,""))</f>
        <v>0</v>
      </c>
      <c r="Q144" s="8">
        <f>IF(OR(G144="",H144=""),"",IFERROR(IFERROR(INDEX(Recipes!$Q$5:$Q$204,MATCH(G144,Recipes!$A$5:$A$204,0)),"")*H144,""))</f>
        <v>0</v>
      </c>
      <c r="R144" s="8">
        <f>IF(F144="","",Weekly_Budget/21)</f>
        <v>0</v>
      </c>
      <c r="S144" s="27"/>
      <c r="T144" s="27"/>
      <c r="U144" s="26"/>
      <c r="V144" s="7"/>
      <c r="W144" s="7"/>
      <c r="X144" s="26"/>
      <c r="Y144" s="8">
        <f>IF(G144="","",IF(COUNTIFS('Meal Prep'!$D$5:$D$124,G144)&gt;0,"Yes","No"))</f>
        <v>0</v>
      </c>
      <c r="Z144" s="8">
        <f>IF(G144="","",COUNTIFS('Recipe Ingredients'!$A$5:$A$1204,G144))</f>
        <v>0</v>
      </c>
      <c r="AA144" s="25"/>
      <c r="AB144" s="8">
        <f>IF(OR(B144="",Q144=""),"",COUNTIFS($B$5:$B$504,B144,$Q$5:$Q$504,"&gt;"&amp;Q144)+1)</f>
        <v>0</v>
      </c>
      <c r="AC144" s="8">
        <f>IF(OR(B144="",L144=""),"",COUNTIFS($B$5:$B$504,B144,$L$5:$L$504,"&gt;"&amp;L144)+1)</f>
        <v>0</v>
      </c>
      <c r="AD144" s="8">
        <f>IF(G144="","",IF(COUNTIFS($G$5:$G$504,G144)&gt;1,"Repeat","Once"))</f>
        <v>0</v>
      </c>
      <c r="AE144" s="8">
        <f>IF(G144="","",IF(IFERROR(INDEX(Recipes!$X$5:$X$204,MATCH(G144,Recipes!$A$5:$A$204,0)),"")="","",IFERROR(B144-IFERROR(INDEX(Recipes!$X$5:$X$204,MATCH(G144,Recipes!$A$5:$A$204,0)),""),"")))</f>
        <v>0</v>
      </c>
      <c r="AF144" s="8">
        <f>IF(G144="","",IF(AE144="","Yes",IF(AE144&gt;=Rotation_Gap_Days,"Yes","No")))</f>
        <v>0</v>
      </c>
      <c r="AG144" s="8">
        <f>IF(G144="","",IF(COUNTIFS('Recipe Ingredients'!$A$5:$A$1204,G144,'Recipe Ingredients'!$AC$5:$AC$1204,"Check")&gt;0,"Check","OK"))</f>
        <v>0</v>
      </c>
    </row>
    <row r="145" spans="1:33">
      <c r="A145" s="7"/>
      <c r="B145" s="30"/>
      <c r="C145" s="8">
        <f>IF(B145="","",B145-WEEKDAY(B145,2)+1)</f>
        <v>0</v>
      </c>
      <c r="D145" s="8">
        <f>IF(B145="","",TEXT(B145,"ddd"))</f>
        <v>0</v>
      </c>
      <c r="E145" s="8">
        <f>IF(B145="","",TEXT(B145,"mmm yyyy"))</f>
        <v>0</v>
      </c>
      <c r="F145" s="27"/>
      <c r="G145" s="7"/>
      <c r="H145" s="26"/>
      <c r="I145" s="8">
        <f>IF(G145="","",IFERROR(INDEX(Recipes!$D$5:$D$204,MATCH(G145,Recipes!$A$5:$A$204,0)),""))</f>
        <v>0</v>
      </c>
      <c r="J145" s="8">
        <f>IF(OR(G145="",H145="",I145="",I145=0),"",H145/I145)</f>
        <v>0</v>
      </c>
      <c r="K145" s="8">
        <f>IF(B145="","",Household_Size)</f>
        <v>0</v>
      </c>
      <c r="L145" s="8">
        <f>IF(OR(G145="",H145=""),"",IFERROR(IFERROR(INDEX(Recipes!$H$5:$H$204,MATCH(G145,Recipes!$A$5:$A$204,0)),"")*H145,""))</f>
        <v>0</v>
      </c>
      <c r="M145" s="8">
        <f>IF(OR(G145="",H145=""),"",IFERROR(IFERROR(INDEX(Recipes!$I$5:$I$204,MATCH(G145,Recipes!$A$5:$A$204,0)),"")*H145,""))</f>
        <v>0</v>
      </c>
      <c r="N145" s="8">
        <f>IF(OR(G145="",H145=""),"",IFERROR(IFERROR(INDEX(Recipes!$J$5:$J$204,MATCH(G145,Recipes!$A$5:$A$204,0)),"")*H145,""))</f>
        <v>0</v>
      </c>
      <c r="O145" s="8">
        <f>IF(OR(G145="",H145=""),"",IFERROR(IFERROR(INDEX(Recipes!$K$5:$K$204,MATCH(G145,Recipes!$A$5:$A$204,0)),"")*H145,""))</f>
        <v>0</v>
      </c>
      <c r="P145" s="8">
        <f>IF(OR(G145="",H145=""),"",IFERROR(IFERROR(INDEX(Recipes!$L$5:$L$204,MATCH(G145,Recipes!$A$5:$A$204,0)),"")*H145,""))</f>
        <v>0</v>
      </c>
      <c r="Q145" s="8">
        <f>IF(OR(G145="",H145=""),"",IFERROR(IFERROR(INDEX(Recipes!$Q$5:$Q$204,MATCH(G145,Recipes!$A$5:$A$204,0)),"")*H145,""))</f>
        <v>0</v>
      </c>
      <c r="R145" s="8">
        <f>IF(F145="","",Weekly_Budget/21)</f>
        <v>0</v>
      </c>
      <c r="S145" s="27"/>
      <c r="T145" s="27"/>
      <c r="U145" s="26"/>
      <c r="V145" s="7"/>
      <c r="W145" s="7"/>
      <c r="X145" s="26"/>
      <c r="Y145" s="8">
        <f>IF(G145="","",IF(COUNTIFS('Meal Prep'!$D$5:$D$124,G145)&gt;0,"Yes","No"))</f>
        <v>0</v>
      </c>
      <c r="Z145" s="8">
        <f>IF(G145="","",COUNTIFS('Recipe Ingredients'!$A$5:$A$1204,G145))</f>
        <v>0</v>
      </c>
      <c r="AA145" s="25"/>
      <c r="AB145" s="8">
        <f>IF(OR(B145="",Q145=""),"",COUNTIFS($B$5:$B$504,B145,$Q$5:$Q$504,"&gt;"&amp;Q145)+1)</f>
        <v>0</v>
      </c>
      <c r="AC145" s="8">
        <f>IF(OR(B145="",L145=""),"",COUNTIFS($B$5:$B$504,B145,$L$5:$L$504,"&gt;"&amp;L145)+1)</f>
        <v>0</v>
      </c>
      <c r="AD145" s="8">
        <f>IF(G145="","",IF(COUNTIFS($G$5:$G$504,G145)&gt;1,"Repeat","Once"))</f>
        <v>0</v>
      </c>
      <c r="AE145" s="8">
        <f>IF(G145="","",IF(IFERROR(INDEX(Recipes!$X$5:$X$204,MATCH(G145,Recipes!$A$5:$A$204,0)),"")="","",IFERROR(B145-IFERROR(INDEX(Recipes!$X$5:$X$204,MATCH(G145,Recipes!$A$5:$A$204,0)),""),"")))</f>
        <v>0</v>
      </c>
      <c r="AF145" s="8">
        <f>IF(G145="","",IF(AE145="","Yes",IF(AE145&gt;=Rotation_Gap_Days,"Yes","No")))</f>
        <v>0</v>
      </c>
      <c r="AG145" s="8">
        <f>IF(G145="","",IF(COUNTIFS('Recipe Ingredients'!$A$5:$A$1204,G145,'Recipe Ingredients'!$AC$5:$AC$1204,"Check")&gt;0,"Check","OK"))</f>
        <v>0</v>
      </c>
    </row>
    <row r="146" spans="1:33">
      <c r="A146" s="7"/>
      <c r="B146" s="30"/>
      <c r="C146" s="8">
        <f>IF(B146="","",B146-WEEKDAY(B146,2)+1)</f>
        <v>0</v>
      </c>
      <c r="D146" s="8">
        <f>IF(B146="","",TEXT(B146,"ddd"))</f>
        <v>0</v>
      </c>
      <c r="E146" s="8">
        <f>IF(B146="","",TEXT(B146,"mmm yyyy"))</f>
        <v>0</v>
      </c>
      <c r="F146" s="27"/>
      <c r="G146" s="7"/>
      <c r="H146" s="26"/>
      <c r="I146" s="8">
        <f>IF(G146="","",IFERROR(INDEX(Recipes!$D$5:$D$204,MATCH(G146,Recipes!$A$5:$A$204,0)),""))</f>
        <v>0</v>
      </c>
      <c r="J146" s="8">
        <f>IF(OR(G146="",H146="",I146="",I146=0),"",H146/I146)</f>
        <v>0</v>
      </c>
      <c r="K146" s="8">
        <f>IF(B146="","",Household_Size)</f>
        <v>0</v>
      </c>
      <c r="L146" s="8">
        <f>IF(OR(G146="",H146=""),"",IFERROR(IFERROR(INDEX(Recipes!$H$5:$H$204,MATCH(G146,Recipes!$A$5:$A$204,0)),"")*H146,""))</f>
        <v>0</v>
      </c>
      <c r="M146" s="8">
        <f>IF(OR(G146="",H146=""),"",IFERROR(IFERROR(INDEX(Recipes!$I$5:$I$204,MATCH(G146,Recipes!$A$5:$A$204,0)),"")*H146,""))</f>
        <v>0</v>
      </c>
      <c r="N146" s="8">
        <f>IF(OR(G146="",H146=""),"",IFERROR(IFERROR(INDEX(Recipes!$J$5:$J$204,MATCH(G146,Recipes!$A$5:$A$204,0)),"")*H146,""))</f>
        <v>0</v>
      </c>
      <c r="O146" s="8">
        <f>IF(OR(G146="",H146=""),"",IFERROR(IFERROR(INDEX(Recipes!$K$5:$K$204,MATCH(G146,Recipes!$A$5:$A$204,0)),"")*H146,""))</f>
        <v>0</v>
      </c>
      <c r="P146" s="8">
        <f>IF(OR(G146="",H146=""),"",IFERROR(IFERROR(INDEX(Recipes!$L$5:$L$204,MATCH(G146,Recipes!$A$5:$A$204,0)),"")*H146,""))</f>
        <v>0</v>
      </c>
      <c r="Q146" s="8">
        <f>IF(OR(G146="",H146=""),"",IFERROR(IFERROR(INDEX(Recipes!$Q$5:$Q$204,MATCH(G146,Recipes!$A$5:$A$204,0)),"")*H146,""))</f>
        <v>0</v>
      </c>
      <c r="R146" s="8">
        <f>IF(F146="","",Weekly_Budget/21)</f>
        <v>0</v>
      </c>
      <c r="S146" s="27"/>
      <c r="T146" s="27"/>
      <c r="U146" s="26"/>
      <c r="V146" s="7"/>
      <c r="W146" s="7"/>
      <c r="X146" s="26"/>
      <c r="Y146" s="8">
        <f>IF(G146="","",IF(COUNTIFS('Meal Prep'!$D$5:$D$124,G146)&gt;0,"Yes","No"))</f>
        <v>0</v>
      </c>
      <c r="Z146" s="8">
        <f>IF(G146="","",COUNTIFS('Recipe Ingredients'!$A$5:$A$1204,G146))</f>
        <v>0</v>
      </c>
      <c r="AA146" s="25"/>
      <c r="AB146" s="8">
        <f>IF(OR(B146="",Q146=""),"",COUNTIFS($B$5:$B$504,B146,$Q$5:$Q$504,"&gt;"&amp;Q146)+1)</f>
        <v>0</v>
      </c>
      <c r="AC146" s="8">
        <f>IF(OR(B146="",L146=""),"",COUNTIFS($B$5:$B$504,B146,$L$5:$L$504,"&gt;"&amp;L146)+1)</f>
        <v>0</v>
      </c>
      <c r="AD146" s="8">
        <f>IF(G146="","",IF(COUNTIFS($G$5:$G$504,G146)&gt;1,"Repeat","Once"))</f>
        <v>0</v>
      </c>
      <c r="AE146" s="8">
        <f>IF(G146="","",IF(IFERROR(INDEX(Recipes!$X$5:$X$204,MATCH(G146,Recipes!$A$5:$A$204,0)),"")="","",IFERROR(B146-IFERROR(INDEX(Recipes!$X$5:$X$204,MATCH(G146,Recipes!$A$5:$A$204,0)),""),"")))</f>
        <v>0</v>
      </c>
      <c r="AF146" s="8">
        <f>IF(G146="","",IF(AE146="","Yes",IF(AE146&gt;=Rotation_Gap_Days,"Yes","No")))</f>
        <v>0</v>
      </c>
      <c r="AG146" s="8">
        <f>IF(G146="","",IF(COUNTIFS('Recipe Ingredients'!$A$5:$A$1204,G146,'Recipe Ingredients'!$AC$5:$AC$1204,"Check")&gt;0,"Check","OK"))</f>
        <v>0</v>
      </c>
    </row>
    <row r="147" spans="1:33">
      <c r="A147" s="7"/>
      <c r="B147" s="30"/>
      <c r="C147" s="8">
        <f>IF(B147="","",B147-WEEKDAY(B147,2)+1)</f>
        <v>0</v>
      </c>
      <c r="D147" s="8">
        <f>IF(B147="","",TEXT(B147,"ddd"))</f>
        <v>0</v>
      </c>
      <c r="E147" s="8">
        <f>IF(B147="","",TEXT(B147,"mmm yyyy"))</f>
        <v>0</v>
      </c>
      <c r="F147" s="27"/>
      <c r="G147" s="7"/>
      <c r="H147" s="26"/>
      <c r="I147" s="8">
        <f>IF(G147="","",IFERROR(INDEX(Recipes!$D$5:$D$204,MATCH(G147,Recipes!$A$5:$A$204,0)),""))</f>
        <v>0</v>
      </c>
      <c r="J147" s="8">
        <f>IF(OR(G147="",H147="",I147="",I147=0),"",H147/I147)</f>
        <v>0</v>
      </c>
      <c r="K147" s="8">
        <f>IF(B147="","",Household_Size)</f>
        <v>0</v>
      </c>
      <c r="L147" s="8">
        <f>IF(OR(G147="",H147=""),"",IFERROR(IFERROR(INDEX(Recipes!$H$5:$H$204,MATCH(G147,Recipes!$A$5:$A$204,0)),"")*H147,""))</f>
        <v>0</v>
      </c>
      <c r="M147" s="8">
        <f>IF(OR(G147="",H147=""),"",IFERROR(IFERROR(INDEX(Recipes!$I$5:$I$204,MATCH(G147,Recipes!$A$5:$A$204,0)),"")*H147,""))</f>
        <v>0</v>
      </c>
      <c r="N147" s="8">
        <f>IF(OR(G147="",H147=""),"",IFERROR(IFERROR(INDEX(Recipes!$J$5:$J$204,MATCH(G147,Recipes!$A$5:$A$204,0)),"")*H147,""))</f>
        <v>0</v>
      </c>
      <c r="O147" s="8">
        <f>IF(OR(G147="",H147=""),"",IFERROR(IFERROR(INDEX(Recipes!$K$5:$K$204,MATCH(G147,Recipes!$A$5:$A$204,0)),"")*H147,""))</f>
        <v>0</v>
      </c>
      <c r="P147" s="8">
        <f>IF(OR(G147="",H147=""),"",IFERROR(IFERROR(INDEX(Recipes!$L$5:$L$204,MATCH(G147,Recipes!$A$5:$A$204,0)),"")*H147,""))</f>
        <v>0</v>
      </c>
      <c r="Q147" s="8">
        <f>IF(OR(G147="",H147=""),"",IFERROR(IFERROR(INDEX(Recipes!$Q$5:$Q$204,MATCH(G147,Recipes!$A$5:$A$204,0)),"")*H147,""))</f>
        <v>0</v>
      </c>
      <c r="R147" s="8">
        <f>IF(F147="","",Weekly_Budget/21)</f>
        <v>0</v>
      </c>
      <c r="S147" s="27"/>
      <c r="T147" s="27"/>
      <c r="U147" s="26"/>
      <c r="V147" s="7"/>
      <c r="W147" s="7"/>
      <c r="X147" s="26"/>
      <c r="Y147" s="8">
        <f>IF(G147="","",IF(COUNTIFS('Meal Prep'!$D$5:$D$124,G147)&gt;0,"Yes","No"))</f>
        <v>0</v>
      </c>
      <c r="Z147" s="8">
        <f>IF(G147="","",COUNTIFS('Recipe Ingredients'!$A$5:$A$1204,G147))</f>
        <v>0</v>
      </c>
      <c r="AA147" s="25"/>
      <c r="AB147" s="8">
        <f>IF(OR(B147="",Q147=""),"",COUNTIFS($B$5:$B$504,B147,$Q$5:$Q$504,"&gt;"&amp;Q147)+1)</f>
        <v>0</v>
      </c>
      <c r="AC147" s="8">
        <f>IF(OR(B147="",L147=""),"",COUNTIFS($B$5:$B$504,B147,$L$5:$L$504,"&gt;"&amp;L147)+1)</f>
        <v>0</v>
      </c>
      <c r="AD147" s="8">
        <f>IF(G147="","",IF(COUNTIFS($G$5:$G$504,G147)&gt;1,"Repeat","Once"))</f>
        <v>0</v>
      </c>
      <c r="AE147" s="8">
        <f>IF(G147="","",IF(IFERROR(INDEX(Recipes!$X$5:$X$204,MATCH(G147,Recipes!$A$5:$A$204,0)),"")="","",IFERROR(B147-IFERROR(INDEX(Recipes!$X$5:$X$204,MATCH(G147,Recipes!$A$5:$A$204,0)),""),"")))</f>
        <v>0</v>
      </c>
      <c r="AF147" s="8">
        <f>IF(G147="","",IF(AE147="","Yes",IF(AE147&gt;=Rotation_Gap_Days,"Yes","No")))</f>
        <v>0</v>
      </c>
      <c r="AG147" s="8">
        <f>IF(G147="","",IF(COUNTIFS('Recipe Ingredients'!$A$5:$A$1204,G147,'Recipe Ingredients'!$AC$5:$AC$1204,"Check")&gt;0,"Check","OK"))</f>
        <v>0</v>
      </c>
    </row>
    <row r="148" spans="1:33">
      <c r="A148" s="7"/>
      <c r="B148" s="30"/>
      <c r="C148" s="8">
        <f>IF(B148="","",B148-WEEKDAY(B148,2)+1)</f>
        <v>0</v>
      </c>
      <c r="D148" s="8">
        <f>IF(B148="","",TEXT(B148,"ddd"))</f>
        <v>0</v>
      </c>
      <c r="E148" s="8">
        <f>IF(B148="","",TEXT(B148,"mmm yyyy"))</f>
        <v>0</v>
      </c>
      <c r="F148" s="27"/>
      <c r="G148" s="7"/>
      <c r="H148" s="26"/>
      <c r="I148" s="8">
        <f>IF(G148="","",IFERROR(INDEX(Recipes!$D$5:$D$204,MATCH(G148,Recipes!$A$5:$A$204,0)),""))</f>
        <v>0</v>
      </c>
      <c r="J148" s="8">
        <f>IF(OR(G148="",H148="",I148="",I148=0),"",H148/I148)</f>
        <v>0</v>
      </c>
      <c r="K148" s="8">
        <f>IF(B148="","",Household_Size)</f>
        <v>0</v>
      </c>
      <c r="L148" s="8">
        <f>IF(OR(G148="",H148=""),"",IFERROR(IFERROR(INDEX(Recipes!$H$5:$H$204,MATCH(G148,Recipes!$A$5:$A$204,0)),"")*H148,""))</f>
        <v>0</v>
      </c>
      <c r="M148" s="8">
        <f>IF(OR(G148="",H148=""),"",IFERROR(IFERROR(INDEX(Recipes!$I$5:$I$204,MATCH(G148,Recipes!$A$5:$A$204,0)),"")*H148,""))</f>
        <v>0</v>
      </c>
      <c r="N148" s="8">
        <f>IF(OR(G148="",H148=""),"",IFERROR(IFERROR(INDEX(Recipes!$J$5:$J$204,MATCH(G148,Recipes!$A$5:$A$204,0)),"")*H148,""))</f>
        <v>0</v>
      </c>
      <c r="O148" s="8">
        <f>IF(OR(G148="",H148=""),"",IFERROR(IFERROR(INDEX(Recipes!$K$5:$K$204,MATCH(G148,Recipes!$A$5:$A$204,0)),"")*H148,""))</f>
        <v>0</v>
      </c>
      <c r="P148" s="8">
        <f>IF(OR(G148="",H148=""),"",IFERROR(IFERROR(INDEX(Recipes!$L$5:$L$204,MATCH(G148,Recipes!$A$5:$A$204,0)),"")*H148,""))</f>
        <v>0</v>
      </c>
      <c r="Q148" s="8">
        <f>IF(OR(G148="",H148=""),"",IFERROR(IFERROR(INDEX(Recipes!$Q$5:$Q$204,MATCH(G148,Recipes!$A$5:$A$204,0)),"")*H148,""))</f>
        <v>0</v>
      </c>
      <c r="R148" s="8">
        <f>IF(F148="","",Weekly_Budget/21)</f>
        <v>0</v>
      </c>
      <c r="S148" s="27"/>
      <c r="T148" s="27"/>
      <c r="U148" s="26"/>
      <c r="V148" s="7"/>
      <c r="W148" s="7"/>
      <c r="X148" s="26"/>
      <c r="Y148" s="8">
        <f>IF(G148="","",IF(COUNTIFS('Meal Prep'!$D$5:$D$124,G148)&gt;0,"Yes","No"))</f>
        <v>0</v>
      </c>
      <c r="Z148" s="8">
        <f>IF(G148="","",COUNTIFS('Recipe Ingredients'!$A$5:$A$1204,G148))</f>
        <v>0</v>
      </c>
      <c r="AA148" s="25"/>
      <c r="AB148" s="8">
        <f>IF(OR(B148="",Q148=""),"",COUNTIFS($B$5:$B$504,B148,$Q$5:$Q$504,"&gt;"&amp;Q148)+1)</f>
        <v>0</v>
      </c>
      <c r="AC148" s="8">
        <f>IF(OR(B148="",L148=""),"",COUNTIFS($B$5:$B$504,B148,$L$5:$L$504,"&gt;"&amp;L148)+1)</f>
        <v>0</v>
      </c>
      <c r="AD148" s="8">
        <f>IF(G148="","",IF(COUNTIFS($G$5:$G$504,G148)&gt;1,"Repeat","Once"))</f>
        <v>0</v>
      </c>
      <c r="AE148" s="8">
        <f>IF(G148="","",IF(IFERROR(INDEX(Recipes!$X$5:$X$204,MATCH(G148,Recipes!$A$5:$A$204,0)),"")="","",IFERROR(B148-IFERROR(INDEX(Recipes!$X$5:$X$204,MATCH(G148,Recipes!$A$5:$A$204,0)),""),"")))</f>
        <v>0</v>
      </c>
      <c r="AF148" s="8">
        <f>IF(G148="","",IF(AE148="","Yes",IF(AE148&gt;=Rotation_Gap_Days,"Yes","No")))</f>
        <v>0</v>
      </c>
      <c r="AG148" s="8">
        <f>IF(G148="","",IF(COUNTIFS('Recipe Ingredients'!$A$5:$A$1204,G148,'Recipe Ingredients'!$AC$5:$AC$1204,"Check")&gt;0,"Check","OK"))</f>
        <v>0</v>
      </c>
    </row>
    <row r="149" spans="1:33">
      <c r="A149" s="7"/>
      <c r="B149" s="30"/>
      <c r="C149" s="8">
        <f>IF(B149="","",B149-WEEKDAY(B149,2)+1)</f>
        <v>0</v>
      </c>
      <c r="D149" s="8">
        <f>IF(B149="","",TEXT(B149,"ddd"))</f>
        <v>0</v>
      </c>
      <c r="E149" s="8">
        <f>IF(B149="","",TEXT(B149,"mmm yyyy"))</f>
        <v>0</v>
      </c>
      <c r="F149" s="27"/>
      <c r="G149" s="7"/>
      <c r="H149" s="26"/>
      <c r="I149" s="8">
        <f>IF(G149="","",IFERROR(INDEX(Recipes!$D$5:$D$204,MATCH(G149,Recipes!$A$5:$A$204,0)),""))</f>
        <v>0</v>
      </c>
      <c r="J149" s="8">
        <f>IF(OR(G149="",H149="",I149="",I149=0),"",H149/I149)</f>
        <v>0</v>
      </c>
      <c r="K149" s="8">
        <f>IF(B149="","",Household_Size)</f>
        <v>0</v>
      </c>
      <c r="L149" s="8">
        <f>IF(OR(G149="",H149=""),"",IFERROR(IFERROR(INDEX(Recipes!$H$5:$H$204,MATCH(G149,Recipes!$A$5:$A$204,0)),"")*H149,""))</f>
        <v>0</v>
      </c>
      <c r="M149" s="8">
        <f>IF(OR(G149="",H149=""),"",IFERROR(IFERROR(INDEX(Recipes!$I$5:$I$204,MATCH(G149,Recipes!$A$5:$A$204,0)),"")*H149,""))</f>
        <v>0</v>
      </c>
      <c r="N149" s="8">
        <f>IF(OR(G149="",H149=""),"",IFERROR(IFERROR(INDEX(Recipes!$J$5:$J$204,MATCH(G149,Recipes!$A$5:$A$204,0)),"")*H149,""))</f>
        <v>0</v>
      </c>
      <c r="O149" s="8">
        <f>IF(OR(G149="",H149=""),"",IFERROR(IFERROR(INDEX(Recipes!$K$5:$K$204,MATCH(G149,Recipes!$A$5:$A$204,0)),"")*H149,""))</f>
        <v>0</v>
      </c>
      <c r="P149" s="8">
        <f>IF(OR(G149="",H149=""),"",IFERROR(IFERROR(INDEX(Recipes!$L$5:$L$204,MATCH(G149,Recipes!$A$5:$A$204,0)),"")*H149,""))</f>
        <v>0</v>
      </c>
      <c r="Q149" s="8">
        <f>IF(OR(G149="",H149=""),"",IFERROR(IFERROR(INDEX(Recipes!$Q$5:$Q$204,MATCH(G149,Recipes!$A$5:$A$204,0)),"")*H149,""))</f>
        <v>0</v>
      </c>
      <c r="R149" s="8">
        <f>IF(F149="","",Weekly_Budget/21)</f>
        <v>0</v>
      </c>
      <c r="S149" s="27"/>
      <c r="T149" s="27"/>
      <c r="U149" s="26"/>
      <c r="V149" s="7"/>
      <c r="W149" s="7"/>
      <c r="X149" s="26"/>
      <c r="Y149" s="8">
        <f>IF(G149="","",IF(COUNTIFS('Meal Prep'!$D$5:$D$124,G149)&gt;0,"Yes","No"))</f>
        <v>0</v>
      </c>
      <c r="Z149" s="8">
        <f>IF(G149="","",COUNTIFS('Recipe Ingredients'!$A$5:$A$1204,G149))</f>
        <v>0</v>
      </c>
      <c r="AA149" s="25"/>
      <c r="AB149" s="8">
        <f>IF(OR(B149="",Q149=""),"",COUNTIFS($B$5:$B$504,B149,$Q$5:$Q$504,"&gt;"&amp;Q149)+1)</f>
        <v>0</v>
      </c>
      <c r="AC149" s="8">
        <f>IF(OR(B149="",L149=""),"",COUNTIFS($B$5:$B$504,B149,$L$5:$L$504,"&gt;"&amp;L149)+1)</f>
        <v>0</v>
      </c>
      <c r="AD149" s="8">
        <f>IF(G149="","",IF(COUNTIFS($G$5:$G$504,G149)&gt;1,"Repeat","Once"))</f>
        <v>0</v>
      </c>
      <c r="AE149" s="8">
        <f>IF(G149="","",IF(IFERROR(INDEX(Recipes!$X$5:$X$204,MATCH(G149,Recipes!$A$5:$A$204,0)),"")="","",IFERROR(B149-IFERROR(INDEX(Recipes!$X$5:$X$204,MATCH(G149,Recipes!$A$5:$A$204,0)),""),"")))</f>
        <v>0</v>
      </c>
      <c r="AF149" s="8">
        <f>IF(G149="","",IF(AE149="","Yes",IF(AE149&gt;=Rotation_Gap_Days,"Yes","No")))</f>
        <v>0</v>
      </c>
      <c r="AG149" s="8">
        <f>IF(G149="","",IF(COUNTIFS('Recipe Ingredients'!$A$5:$A$1204,G149,'Recipe Ingredients'!$AC$5:$AC$1204,"Check")&gt;0,"Check","OK"))</f>
        <v>0</v>
      </c>
    </row>
    <row r="150" spans="1:33">
      <c r="A150" s="7"/>
      <c r="B150" s="30"/>
      <c r="C150" s="8">
        <f>IF(B150="","",B150-WEEKDAY(B150,2)+1)</f>
        <v>0</v>
      </c>
      <c r="D150" s="8">
        <f>IF(B150="","",TEXT(B150,"ddd"))</f>
        <v>0</v>
      </c>
      <c r="E150" s="8">
        <f>IF(B150="","",TEXT(B150,"mmm yyyy"))</f>
        <v>0</v>
      </c>
      <c r="F150" s="27"/>
      <c r="G150" s="7"/>
      <c r="H150" s="26"/>
      <c r="I150" s="8">
        <f>IF(G150="","",IFERROR(INDEX(Recipes!$D$5:$D$204,MATCH(G150,Recipes!$A$5:$A$204,0)),""))</f>
        <v>0</v>
      </c>
      <c r="J150" s="8">
        <f>IF(OR(G150="",H150="",I150="",I150=0),"",H150/I150)</f>
        <v>0</v>
      </c>
      <c r="K150" s="8">
        <f>IF(B150="","",Household_Size)</f>
        <v>0</v>
      </c>
      <c r="L150" s="8">
        <f>IF(OR(G150="",H150=""),"",IFERROR(IFERROR(INDEX(Recipes!$H$5:$H$204,MATCH(G150,Recipes!$A$5:$A$204,0)),"")*H150,""))</f>
        <v>0</v>
      </c>
      <c r="M150" s="8">
        <f>IF(OR(G150="",H150=""),"",IFERROR(IFERROR(INDEX(Recipes!$I$5:$I$204,MATCH(G150,Recipes!$A$5:$A$204,0)),"")*H150,""))</f>
        <v>0</v>
      </c>
      <c r="N150" s="8">
        <f>IF(OR(G150="",H150=""),"",IFERROR(IFERROR(INDEX(Recipes!$J$5:$J$204,MATCH(G150,Recipes!$A$5:$A$204,0)),"")*H150,""))</f>
        <v>0</v>
      </c>
      <c r="O150" s="8">
        <f>IF(OR(G150="",H150=""),"",IFERROR(IFERROR(INDEX(Recipes!$K$5:$K$204,MATCH(G150,Recipes!$A$5:$A$204,0)),"")*H150,""))</f>
        <v>0</v>
      </c>
      <c r="P150" s="8">
        <f>IF(OR(G150="",H150=""),"",IFERROR(IFERROR(INDEX(Recipes!$L$5:$L$204,MATCH(G150,Recipes!$A$5:$A$204,0)),"")*H150,""))</f>
        <v>0</v>
      </c>
      <c r="Q150" s="8">
        <f>IF(OR(G150="",H150=""),"",IFERROR(IFERROR(INDEX(Recipes!$Q$5:$Q$204,MATCH(G150,Recipes!$A$5:$A$204,0)),"")*H150,""))</f>
        <v>0</v>
      </c>
      <c r="R150" s="8">
        <f>IF(F150="","",Weekly_Budget/21)</f>
        <v>0</v>
      </c>
      <c r="S150" s="27"/>
      <c r="T150" s="27"/>
      <c r="U150" s="26"/>
      <c r="V150" s="7"/>
      <c r="W150" s="7"/>
      <c r="X150" s="26"/>
      <c r="Y150" s="8">
        <f>IF(G150="","",IF(COUNTIFS('Meal Prep'!$D$5:$D$124,G150)&gt;0,"Yes","No"))</f>
        <v>0</v>
      </c>
      <c r="Z150" s="8">
        <f>IF(G150="","",COUNTIFS('Recipe Ingredients'!$A$5:$A$1204,G150))</f>
        <v>0</v>
      </c>
      <c r="AA150" s="25"/>
      <c r="AB150" s="8">
        <f>IF(OR(B150="",Q150=""),"",COUNTIFS($B$5:$B$504,B150,$Q$5:$Q$504,"&gt;"&amp;Q150)+1)</f>
        <v>0</v>
      </c>
      <c r="AC150" s="8">
        <f>IF(OR(B150="",L150=""),"",COUNTIFS($B$5:$B$504,B150,$L$5:$L$504,"&gt;"&amp;L150)+1)</f>
        <v>0</v>
      </c>
      <c r="AD150" s="8">
        <f>IF(G150="","",IF(COUNTIFS($G$5:$G$504,G150)&gt;1,"Repeat","Once"))</f>
        <v>0</v>
      </c>
      <c r="AE150" s="8">
        <f>IF(G150="","",IF(IFERROR(INDEX(Recipes!$X$5:$X$204,MATCH(G150,Recipes!$A$5:$A$204,0)),"")="","",IFERROR(B150-IFERROR(INDEX(Recipes!$X$5:$X$204,MATCH(G150,Recipes!$A$5:$A$204,0)),""),"")))</f>
        <v>0</v>
      </c>
      <c r="AF150" s="8">
        <f>IF(G150="","",IF(AE150="","Yes",IF(AE150&gt;=Rotation_Gap_Days,"Yes","No")))</f>
        <v>0</v>
      </c>
      <c r="AG150" s="8">
        <f>IF(G150="","",IF(COUNTIFS('Recipe Ingredients'!$A$5:$A$1204,G150,'Recipe Ingredients'!$AC$5:$AC$1204,"Check")&gt;0,"Check","OK"))</f>
        <v>0</v>
      </c>
    </row>
    <row r="151" spans="1:33">
      <c r="A151" s="7"/>
      <c r="B151" s="30"/>
      <c r="C151" s="8">
        <f>IF(B151="","",B151-WEEKDAY(B151,2)+1)</f>
        <v>0</v>
      </c>
      <c r="D151" s="8">
        <f>IF(B151="","",TEXT(B151,"ddd"))</f>
        <v>0</v>
      </c>
      <c r="E151" s="8">
        <f>IF(B151="","",TEXT(B151,"mmm yyyy"))</f>
        <v>0</v>
      </c>
      <c r="F151" s="27"/>
      <c r="G151" s="7"/>
      <c r="H151" s="26"/>
      <c r="I151" s="8">
        <f>IF(G151="","",IFERROR(INDEX(Recipes!$D$5:$D$204,MATCH(G151,Recipes!$A$5:$A$204,0)),""))</f>
        <v>0</v>
      </c>
      <c r="J151" s="8">
        <f>IF(OR(G151="",H151="",I151="",I151=0),"",H151/I151)</f>
        <v>0</v>
      </c>
      <c r="K151" s="8">
        <f>IF(B151="","",Household_Size)</f>
        <v>0</v>
      </c>
      <c r="L151" s="8">
        <f>IF(OR(G151="",H151=""),"",IFERROR(IFERROR(INDEX(Recipes!$H$5:$H$204,MATCH(G151,Recipes!$A$5:$A$204,0)),"")*H151,""))</f>
        <v>0</v>
      </c>
      <c r="M151" s="8">
        <f>IF(OR(G151="",H151=""),"",IFERROR(IFERROR(INDEX(Recipes!$I$5:$I$204,MATCH(G151,Recipes!$A$5:$A$204,0)),"")*H151,""))</f>
        <v>0</v>
      </c>
      <c r="N151" s="8">
        <f>IF(OR(G151="",H151=""),"",IFERROR(IFERROR(INDEX(Recipes!$J$5:$J$204,MATCH(G151,Recipes!$A$5:$A$204,0)),"")*H151,""))</f>
        <v>0</v>
      </c>
      <c r="O151" s="8">
        <f>IF(OR(G151="",H151=""),"",IFERROR(IFERROR(INDEX(Recipes!$K$5:$K$204,MATCH(G151,Recipes!$A$5:$A$204,0)),"")*H151,""))</f>
        <v>0</v>
      </c>
      <c r="P151" s="8">
        <f>IF(OR(G151="",H151=""),"",IFERROR(IFERROR(INDEX(Recipes!$L$5:$L$204,MATCH(G151,Recipes!$A$5:$A$204,0)),"")*H151,""))</f>
        <v>0</v>
      </c>
      <c r="Q151" s="8">
        <f>IF(OR(G151="",H151=""),"",IFERROR(IFERROR(INDEX(Recipes!$Q$5:$Q$204,MATCH(G151,Recipes!$A$5:$A$204,0)),"")*H151,""))</f>
        <v>0</v>
      </c>
      <c r="R151" s="8">
        <f>IF(F151="","",Weekly_Budget/21)</f>
        <v>0</v>
      </c>
      <c r="S151" s="27"/>
      <c r="T151" s="27"/>
      <c r="U151" s="26"/>
      <c r="V151" s="7"/>
      <c r="W151" s="7"/>
      <c r="X151" s="26"/>
      <c r="Y151" s="8">
        <f>IF(G151="","",IF(COUNTIFS('Meal Prep'!$D$5:$D$124,G151)&gt;0,"Yes","No"))</f>
        <v>0</v>
      </c>
      <c r="Z151" s="8">
        <f>IF(G151="","",COUNTIFS('Recipe Ingredients'!$A$5:$A$1204,G151))</f>
        <v>0</v>
      </c>
      <c r="AA151" s="25"/>
      <c r="AB151" s="8">
        <f>IF(OR(B151="",Q151=""),"",COUNTIFS($B$5:$B$504,B151,$Q$5:$Q$504,"&gt;"&amp;Q151)+1)</f>
        <v>0</v>
      </c>
      <c r="AC151" s="8">
        <f>IF(OR(B151="",L151=""),"",COUNTIFS($B$5:$B$504,B151,$L$5:$L$504,"&gt;"&amp;L151)+1)</f>
        <v>0</v>
      </c>
      <c r="AD151" s="8">
        <f>IF(G151="","",IF(COUNTIFS($G$5:$G$504,G151)&gt;1,"Repeat","Once"))</f>
        <v>0</v>
      </c>
      <c r="AE151" s="8">
        <f>IF(G151="","",IF(IFERROR(INDEX(Recipes!$X$5:$X$204,MATCH(G151,Recipes!$A$5:$A$204,0)),"")="","",IFERROR(B151-IFERROR(INDEX(Recipes!$X$5:$X$204,MATCH(G151,Recipes!$A$5:$A$204,0)),""),"")))</f>
        <v>0</v>
      </c>
      <c r="AF151" s="8">
        <f>IF(G151="","",IF(AE151="","Yes",IF(AE151&gt;=Rotation_Gap_Days,"Yes","No")))</f>
        <v>0</v>
      </c>
      <c r="AG151" s="8">
        <f>IF(G151="","",IF(COUNTIFS('Recipe Ingredients'!$A$5:$A$1204,G151,'Recipe Ingredients'!$AC$5:$AC$1204,"Check")&gt;0,"Check","OK"))</f>
        <v>0</v>
      </c>
    </row>
    <row r="152" spans="1:33">
      <c r="A152" s="7"/>
      <c r="B152" s="30"/>
      <c r="C152" s="8">
        <f>IF(B152="","",B152-WEEKDAY(B152,2)+1)</f>
        <v>0</v>
      </c>
      <c r="D152" s="8">
        <f>IF(B152="","",TEXT(B152,"ddd"))</f>
        <v>0</v>
      </c>
      <c r="E152" s="8">
        <f>IF(B152="","",TEXT(B152,"mmm yyyy"))</f>
        <v>0</v>
      </c>
      <c r="F152" s="27"/>
      <c r="G152" s="7"/>
      <c r="H152" s="26"/>
      <c r="I152" s="8">
        <f>IF(G152="","",IFERROR(INDEX(Recipes!$D$5:$D$204,MATCH(G152,Recipes!$A$5:$A$204,0)),""))</f>
        <v>0</v>
      </c>
      <c r="J152" s="8">
        <f>IF(OR(G152="",H152="",I152="",I152=0),"",H152/I152)</f>
        <v>0</v>
      </c>
      <c r="K152" s="8">
        <f>IF(B152="","",Household_Size)</f>
        <v>0</v>
      </c>
      <c r="L152" s="8">
        <f>IF(OR(G152="",H152=""),"",IFERROR(IFERROR(INDEX(Recipes!$H$5:$H$204,MATCH(G152,Recipes!$A$5:$A$204,0)),"")*H152,""))</f>
        <v>0</v>
      </c>
      <c r="M152" s="8">
        <f>IF(OR(G152="",H152=""),"",IFERROR(IFERROR(INDEX(Recipes!$I$5:$I$204,MATCH(G152,Recipes!$A$5:$A$204,0)),"")*H152,""))</f>
        <v>0</v>
      </c>
      <c r="N152" s="8">
        <f>IF(OR(G152="",H152=""),"",IFERROR(IFERROR(INDEX(Recipes!$J$5:$J$204,MATCH(G152,Recipes!$A$5:$A$204,0)),"")*H152,""))</f>
        <v>0</v>
      </c>
      <c r="O152" s="8">
        <f>IF(OR(G152="",H152=""),"",IFERROR(IFERROR(INDEX(Recipes!$K$5:$K$204,MATCH(G152,Recipes!$A$5:$A$204,0)),"")*H152,""))</f>
        <v>0</v>
      </c>
      <c r="P152" s="8">
        <f>IF(OR(G152="",H152=""),"",IFERROR(IFERROR(INDEX(Recipes!$L$5:$L$204,MATCH(G152,Recipes!$A$5:$A$204,0)),"")*H152,""))</f>
        <v>0</v>
      </c>
      <c r="Q152" s="8">
        <f>IF(OR(G152="",H152=""),"",IFERROR(IFERROR(INDEX(Recipes!$Q$5:$Q$204,MATCH(G152,Recipes!$A$5:$A$204,0)),"")*H152,""))</f>
        <v>0</v>
      </c>
      <c r="R152" s="8">
        <f>IF(F152="","",Weekly_Budget/21)</f>
        <v>0</v>
      </c>
      <c r="S152" s="27"/>
      <c r="T152" s="27"/>
      <c r="U152" s="26"/>
      <c r="V152" s="7"/>
      <c r="W152" s="7"/>
      <c r="X152" s="26"/>
      <c r="Y152" s="8">
        <f>IF(G152="","",IF(COUNTIFS('Meal Prep'!$D$5:$D$124,G152)&gt;0,"Yes","No"))</f>
        <v>0</v>
      </c>
      <c r="Z152" s="8">
        <f>IF(G152="","",COUNTIFS('Recipe Ingredients'!$A$5:$A$1204,G152))</f>
        <v>0</v>
      </c>
      <c r="AA152" s="25"/>
      <c r="AB152" s="8">
        <f>IF(OR(B152="",Q152=""),"",COUNTIFS($B$5:$B$504,B152,$Q$5:$Q$504,"&gt;"&amp;Q152)+1)</f>
        <v>0</v>
      </c>
      <c r="AC152" s="8">
        <f>IF(OR(B152="",L152=""),"",COUNTIFS($B$5:$B$504,B152,$L$5:$L$504,"&gt;"&amp;L152)+1)</f>
        <v>0</v>
      </c>
      <c r="AD152" s="8">
        <f>IF(G152="","",IF(COUNTIFS($G$5:$G$504,G152)&gt;1,"Repeat","Once"))</f>
        <v>0</v>
      </c>
      <c r="AE152" s="8">
        <f>IF(G152="","",IF(IFERROR(INDEX(Recipes!$X$5:$X$204,MATCH(G152,Recipes!$A$5:$A$204,0)),"")="","",IFERROR(B152-IFERROR(INDEX(Recipes!$X$5:$X$204,MATCH(G152,Recipes!$A$5:$A$204,0)),""),"")))</f>
        <v>0</v>
      </c>
      <c r="AF152" s="8">
        <f>IF(G152="","",IF(AE152="","Yes",IF(AE152&gt;=Rotation_Gap_Days,"Yes","No")))</f>
        <v>0</v>
      </c>
      <c r="AG152" s="8">
        <f>IF(G152="","",IF(COUNTIFS('Recipe Ingredients'!$A$5:$A$1204,G152,'Recipe Ingredients'!$AC$5:$AC$1204,"Check")&gt;0,"Check","OK"))</f>
        <v>0</v>
      </c>
    </row>
    <row r="153" spans="1:33">
      <c r="A153" s="7"/>
      <c r="B153" s="30"/>
      <c r="C153" s="8">
        <f>IF(B153="","",B153-WEEKDAY(B153,2)+1)</f>
        <v>0</v>
      </c>
      <c r="D153" s="8">
        <f>IF(B153="","",TEXT(B153,"ddd"))</f>
        <v>0</v>
      </c>
      <c r="E153" s="8">
        <f>IF(B153="","",TEXT(B153,"mmm yyyy"))</f>
        <v>0</v>
      </c>
      <c r="F153" s="27"/>
      <c r="G153" s="7"/>
      <c r="H153" s="26"/>
      <c r="I153" s="8">
        <f>IF(G153="","",IFERROR(INDEX(Recipes!$D$5:$D$204,MATCH(G153,Recipes!$A$5:$A$204,0)),""))</f>
        <v>0</v>
      </c>
      <c r="J153" s="8">
        <f>IF(OR(G153="",H153="",I153="",I153=0),"",H153/I153)</f>
        <v>0</v>
      </c>
      <c r="K153" s="8">
        <f>IF(B153="","",Household_Size)</f>
        <v>0</v>
      </c>
      <c r="L153" s="8">
        <f>IF(OR(G153="",H153=""),"",IFERROR(IFERROR(INDEX(Recipes!$H$5:$H$204,MATCH(G153,Recipes!$A$5:$A$204,0)),"")*H153,""))</f>
        <v>0</v>
      </c>
      <c r="M153" s="8">
        <f>IF(OR(G153="",H153=""),"",IFERROR(IFERROR(INDEX(Recipes!$I$5:$I$204,MATCH(G153,Recipes!$A$5:$A$204,0)),"")*H153,""))</f>
        <v>0</v>
      </c>
      <c r="N153" s="8">
        <f>IF(OR(G153="",H153=""),"",IFERROR(IFERROR(INDEX(Recipes!$J$5:$J$204,MATCH(G153,Recipes!$A$5:$A$204,0)),"")*H153,""))</f>
        <v>0</v>
      </c>
      <c r="O153" s="8">
        <f>IF(OR(G153="",H153=""),"",IFERROR(IFERROR(INDEX(Recipes!$K$5:$K$204,MATCH(G153,Recipes!$A$5:$A$204,0)),"")*H153,""))</f>
        <v>0</v>
      </c>
      <c r="P153" s="8">
        <f>IF(OR(G153="",H153=""),"",IFERROR(IFERROR(INDEX(Recipes!$L$5:$L$204,MATCH(G153,Recipes!$A$5:$A$204,0)),"")*H153,""))</f>
        <v>0</v>
      </c>
      <c r="Q153" s="8">
        <f>IF(OR(G153="",H153=""),"",IFERROR(IFERROR(INDEX(Recipes!$Q$5:$Q$204,MATCH(G153,Recipes!$A$5:$A$204,0)),"")*H153,""))</f>
        <v>0</v>
      </c>
      <c r="R153" s="8">
        <f>IF(F153="","",Weekly_Budget/21)</f>
        <v>0</v>
      </c>
      <c r="S153" s="27"/>
      <c r="T153" s="27"/>
      <c r="U153" s="26"/>
      <c r="V153" s="7"/>
      <c r="W153" s="7"/>
      <c r="X153" s="26"/>
      <c r="Y153" s="8">
        <f>IF(G153="","",IF(COUNTIFS('Meal Prep'!$D$5:$D$124,G153)&gt;0,"Yes","No"))</f>
        <v>0</v>
      </c>
      <c r="Z153" s="8">
        <f>IF(G153="","",COUNTIFS('Recipe Ingredients'!$A$5:$A$1204,G153))</f>
        <v>0</v>
      </c>
      <c r="AA153" s="25"/>
      <c r="AB153" s="8">
        <f>IF(OR(B153="",Q153=""),"",COUNTIFS($B$5:$B$504,B153,$Q$5:$Q$504,"&gt;"&amp;Q153)+1)</f>
        <v>0</v>
      </c>
      <c r="AC153" s="8">
        <f>IF(OR(B153="",L153=""),"",COUNTIFS($B$5:$B$504,B153,$L$5:$L$504,"&gt;"&amp;L153)+1)</f>
        <v>0</v>
      </c>
      <c r="AD153" s="8">
        <f>IF(G153="","",IF(COUNTIFS($G$5:$G$504,G153)&gt;1,"Repeat","Once"))</f>
        <v>0</v>
      </c>
      <c r="AE153" s="8">
        <f>IF(G153="","",IF(IFERROR(INDEX(Recipes!$X$5:$X$204,MATCH(G153,Recipes!$A$5:$A$204,0)),"")="","",IFERROR(B153-IFERROR(INDEX(Recipes!$X$5:$X$204,MATCH(G153,Recipes!$A$5:$A$204,0)),""),"")))</f>
        <v>0</v>
      </c>
      <c r="AF153" s="8">
        <f>IF(G153="","",IF(AE153="","Yes",IF(AE153&gt;=Rotation_Gap_Days,"Yes","No")))</f>
        <v>0</v>
      </c>
      <c r="AG153" s="8">
        <f>IF(G153="","",IF(COUNTIFS('Recipe Ingredients'!$A$5:$A$1204,G153,'Recipe Ingredients'!$AC$5:$AC$1204,"Check")&gt;0,"Check","OK"))</f>
        <v>0</v>
      </c>
    </row>
    <row r="154" spans="1:33">
      <c r="A154" s="7"/>
      <c r="B154" s="30"/>
      <c r="C154" s="8">
        <f>IF(B154="","",B154-WEEKDAY(B154,2)+1)</f>
        <v>0</v>
      </c>
      <c r="D154" s="8">
        <f>IF(B154="","",TEXT(B154,"ddd"))</f>
        <v>0</v>
      </c>
      <c r="E154" s="8">
        <f>IF(B154="","",TEXT(B154,"mmm yyyy"))</f>
        <v>0</v>
      </c>
      <c r="F154" s="27"/>
      <c r="G154" s="7"/>
      <c r="H154" s="26"/>
      <c r="I154" s="8">
        <f>IF(G154="","",IFERROR(INDEX(Recipes!$D$5:$D$204,MATCH(G154,Recipes!$A$5:$A$204,0)),""))</f>
        <v>0</v>
      </c>
      <c r="J154" s="8">
        <f>IF(OR(G154="",H154="",I154="",I154=0),"",H154/I154)</f>
        <v>0</v>
      </c>
      <c r="K154" s="8">
        <f>IF(B154="","",Household_Size)</f>
        <v>0</v>
      </c>
      <c r="L154" s="8">
        <f>IF(OR(G154="",H154=""),"",IFERROR(IFERROR(INDEX(Recipes!$H$5:$H$204,MATCH(G154,Recipes!$A$5:$A$204,0)),"")*H154,""))</f>
        <v>0</v>
      </c>
      <c r="M154" s="8">
        <f>IF(OR(G154="",H154=""),"",IFERROR(IFERROR(INDEX(Recipes!$I$5:$I$204,MATCH(G154,Recipes!$A$5:$A$204,0)),"")*H154,""))</f>
        <v>0</v>
      </c>
      <c r="N154" s="8">
        <f>IF(OR(G154="",H154=""),"",IFERROR(IFERROR(INDEX(Recipes!$J$5:$J$204,MATCH(G154,Recipes!$A$5:$A$204,0)),"")*H154,""))</f>
        <v>0</v>
      </c>
      <c r="O154" s="8">
        <f>IF(OR(G154="",H154=""),"",IFERROR(IFERROR(INDEX(Recipes!$K$5:$K$204,MATCH(G154,Recipes!$A$5:$A$204,0)),"")*H154,""))</f>
        <v>0</v>
      </c>
      <c r="P154" s="8">
        <f>IF(OR(G154="",H154=""),"",IFERROR(IFERROR(INDEX(Recipes!$L$5:$L$204,MATCH(G154,Recipes!$A$5:$A$204,0)),"")*H154,""))</f>
        <v>0</v>
      </c>
      <c r="Q154" s="8">
        <f>IF(OR(G154="",H154=""),"",IFERROR(IFERROR(INDEX(Recipes!$Q$5:$Q$204,MATCH(G154,Recipes!$A$5:$A$204,0)),"")*H154,""))</f>
        <v>0</v>
      </c>
      <c r="R154" s="8">
        <f>IF(F154="","",Weekly_Budget/21)</f>
        <v>0</v>
      </c>
      <c r="S154" s="27"/>
      <c r="T154" s="27"/>
      <c r="U154" s="26"/>
      <c r="V154" s="7"/>
      <c r="W154" s="7"/>
      <c r="X154" s="26"/>
      <c r="Y154" s="8">
        <f>IF(G154="","",IF(COUNTIFS('Meal Prep'!$D$5:$D$124,G154)&gt;0,"Yes","No"))</f>
        <v>0</v>
      </c>
      <c r="Z154" s="8">
        <f>IF(G154="","",COUNTIFS('Recipe Ingredients'!$A$5:$A$1204,G154))</f>
        <v>0</v>
      </c>
      <c r="AA154" s="25"/>
      <c r="AB154" s="8">
        <f>IF(OR(B154="",Q154=""),"",COUNTIFS($B$5:$B$504,B154,$Q$5:$Q$504,"&gt;"&amp;Q154)+1)</f>
        <v>0</v>
      </c>
      <c r="AC154" s="8">
        <f>IF(OR(B154="",L154=""),"",COUNTIFS($B$5:$B$504,B154,$L$5:$L$504,"&gt;"&amp;L154)+1)</f>
        <v>0</v>
      </c>
      <c r="AD154" s="8">
        <f>IF(G154="","",IF(COUNTIFS($G$5:$G$504,G154)&gt;1,"Repeat","Once"))</f>
        <v>0</v>
      </c>
      <c r="AE154" s="8">
        <f>IF(G154="","",IF(IFERROR(INDEX(Recipes!$X$5:$X$204,MATCH(G154,Recipes!$A$5:$A$204,0)),"")="","",IFERROR(B154-IFERROR(INDEX(Recipes!$X$5:$X$204,MATCH(G154,Recipes!$A$5:$A$204,0)),""),"")))</f>
        <v>0</v>
      </c>
      <c r="AF154" s="8">
        <f>IF(G154="","",IF(AE154="","Yes",IF(AE154&gt;=Rotation_Gap_Days,"Yes","No")))</f>
        <v>0</v>
      </c>
      <c r="AG154" s="8">
        <f>IF(G154="","",IF(COUNTIFS('Recipe Ingredients'!$A$5:$A$1204,G154,'Recipe Ingredients'!$AC$5:$AC$1204,"Check")&gt;0,"Check","OK"))</f>
        <v>0</v>
      </c>
    </row>
    <row r="155" spans="1:33">
      <c r="A155" s="7"/>
      <c r="B155" s="30"/>
      <c r="C155" s="8">
        <f>IF(B155="","",B155-WEEKDAY(B155,2)+1)</f>
        <v>0</v>
      </c>
      <c r="D155" s="8">
        <f>IF(B155="","",TEXT(B155,"ddd"))</f>
        <v>0</v>
      </c>
      <c r="E155" s="8">
        <f>IF(B155="","",TEXT(B155,"mmm yyyy"))</f>
        <v>0</v>
      </c>
      <c r="F155" s="27"/>
      <c r="G155" s="7"/>
      <c r="H155" s="26"/>
      <c r="I155" s="8">
        <f>IF(G155="","",IFERROR(INDEX(Recipes!$D$5:$D$204,MATCH(G155,Recipes!$A$5:$A$204,0)),""))</f>
        <v>0</v>
      </c>
      <c r="J155" s="8">
        <f>IF(OR(G155="",H155="",I155="",I155=0),"",H155/I155)</f>
        <v>0</v>
      </c>
      <c r="K155" s="8">
        <f>IF(B155="","",Household_Size)</f>
        <v>0</v>
      </c>
      <c r="L155" s="8">
        <f>IF(OR(G155="",H155=""),"",IFERROR(IFERROR(INDEX(Recipes!$H$5:$H$204,MATCH(G155,Recipes!$A$5:$A$204,0)),"")*H155,""))</f>
        <v>0</v>
      </c>
      <c r="M155" s="8">
        <f>IF(OR(G155="",H155=""),"",IFERROR(IFERROR(INDEX(Recipes!$I$5:$I$204,MATCH(G155,Recipes!$A$5:$A$204,0)),"")*H155,""))</f>
        <v>0</v>
      </c>
      <c r="N155" s="8">
        <f>IF(OR(G155="",H155=""),"",IFERROR(IFERROR(INDEX(Recipes!$J$5:$J$204,MATCH(G155,Recipes!$A$5:$A$204,0)),"")*H155,""))</f>
        <v>0</v>
      </c>
      <c r="O155" s="8">
        <f>IF(OR(G155="",H155=""),"",IFERROR(IFERROR(INDEX(Recipes!$K$5:$K$204,MATCH(G155,Recipes!$A$5:$A$204,0)),"")*H155,""))</f>
        <v>0</v>
      </c>
      <c r="P155" s="8">
        <f>IF(OR(G155="",H155=""),"",IFERROR(IFERROR(INDEX(Recipes!$L$5:$L$204,MATCH(G155,Recipes!$A$5:$A$204,0)),"")*H155,""))</f>
        <v>0</v>
      </c>
      <c r="Q155" s="8">
        <f>IF(OR(G155="",H155=""),"",IFERROR(IFERROR(INDEX(Recipes!$Q$5:$Q$204,MATCH(G155,Recipes!$A$5:$A$204,0)),"")*H155,""))</f>
        <v>0</v>
      </c>
      <c r="R155" s="8">
        <f>IF(F155="","",Weekly_Budget/21)</f>
        <v>0</v>
      </c>
      <c r="S155" s="27"/>
      <c r="T155" s="27"/>
      <c r="U155" s="26"/>
      <c r="V155" s="7"/>
      <c r="W155" s="7"/>
      <c r="X155" s="26"/>
      <c r="Y155" s="8">
        <f>IF(G155="","",IF(COUNTIFS('Meal Prep'!$D$5:$D$124,G155)&gt;0,"Yes","No"))</f>
        <v>0</v>
      </c>
      <c r="Z155" s="8">
        <f>IF(G155="","",COUNTIFS('Recipe Ingredients'!$A$5:$A$1204,G155))</f>
        <v>0</v>
      </c>
      <c r="AA155" s="25"/>
      <c r="AB155" s="8">
        <f>IF(OR(B155="",Q155=""),"",COUNTIFS($B$5:$B$504,B155,$Q$5:$Q$504,"&gt;"&amp;Q155)+1)</f>
        <v>0</v>
      </c>
      <c r="AC155" s="8">
        <f>IF(OR(B155="",L155=""),"",COUNTIFS($B$5:$B$504,B155,$L$5:$L$504,"&gt;"&amp;L155)+1)</f>
        <v>0</v>
      </c>
      <c r="AD155" s="8">
        <f>IF(G155="","",IF(COUNTIFS($G$5:$G$504,G155)&gt;1,"Repeat","Once"))</f>
        <v>0</v>
      </c>
      <c r="AE155" s="8">
        <f>IF(G155="","",IF(IFERROR(INDEX(Recipes!$X$5:$X$204,MATCH(G155,Recipes!$A$5:$A$204,0)),"")="","",IFERROR(B155-IFERROR(INDEX(Recipes!$X$5:$X$204,MATCH(G155,Recipes!$A$5:$A$204,0)),""),"")))</f>
        <v>0</v>
      </c>
      <c r="AF155" s="8">
        <f>IF(G155="","",IF(AE155="","Yes",IF(AE155&gt;=Rotation_Gap_Days,"Yes","No")))</f>
        <v>0</v>
      </c>
      <c r="AG155" s="8">
        <f>IF(G155="","",IF(COUNTIFS('Recipe Ingredients'!$A$5:$A$1204,G155,'Recipe Ingredients'!$AC$5:$AC$1204,"Check")&gt;0,"Check","OK"))</f>
        <v>0</v>
      </c>
    </row>
    <row r="156" spans="1:33">
      <c r="A156" s="7"/>
      <c r="B156" s="30"/>
      <c r="C156" s="8">
        <f>IF(B156="","",B156-WEEKDAY(B156,2)+1)</f>
        <v>0</v>
      </c>
      <c r="D156" s="8">
        <f>IF(B156="","",TEXT(B156,"ddd"))</f>
        <v>0</v>
      </c>
      <c r="E156" s="8">
        <f>IF(B156="","",TEXT(B156,"mmm yyyy"))</f>
        <v>0</v>
      </c>
      <c r="F156" s="27"/>
      <c r="G156" s="7"/>
      <c r="H156" s="26"/>
      <c r="I156" s="8">
        <f>IF(G156="","",IFERROR(INDEX(Recipes!$D$5:$D$204,MATCH(G156,Recipes!$A$5:$A$204,0)),""))</f>
        <v>0</v>
      </c>
      <c r="J156" s="8">
        <f>IF(OR(G156="",H156="",I156="",I156=0),"",H156/I156)</f>
        <v>0</v>
      </c>
      <c r="K156" s="8">
        <f>IF(B156="","",Household_Size)</f>
        <v>0</v>
      </c>
      <c r="L156" s="8">
        <f>IF(OR(G156="",H156=""),"",IFERROR(IFERROR(INDEX(Recipes!$H$5:$H$204,MATCH(G156,Recipes!$A$5:$A$204,0)),"")*H156,""))</f>
        <v>0</v>
      </c>
      <c r="M156" s="8">
        <f>IF(OR(G156="",H156=""),"",IFERROR(IFERROR(INDEX(Recipes!$I$5:$I$204,MATCH(G156,Recipes!$A$5:$A$204,0)),"")*H156,""))</f>
        <v>0</v>
      </c>
      <c r="N156" s="8">
        <f>IF(OR(G156="",H156=""),"",IFERROR(IFERROR(INDEX(Recipes!$J$5:$J$204,MATCH(G156,Recipes!$A$5:$A$204,0)),"")*H156,""))</f>
        <v>0</v>
      </c>
      <c r="O156" s="8">
        <f>IF(OR(G156="",H156=""),"",IFERROR(IFERROR(INDEX(Recipes!$K$5:$K$204,MATCH(G156,Recipes!$A$5:$A$204,0)),"")*H156,""))</f>
        <v>0</v>
      </c>
      <c r="P156" s="8">
        <f>IF(OR(G156="",H156=""),"",IFERROR(IFERROR(INDEX(Recipes!$L$5:$L$204,MATCH(G156,Recipes!$A$5:$A$204,0)),"")*H156,""))</f>
        <v>0</v>
      </c>
      <c r="Q156" s="8">
        <f>IF(OR(G156="",H156=""),"",IFERROR(IFERROR(INDEX(Recipes!$Q$5:$Q$204,MATCH(G156,Recipes!$A$5:$A$204,0)),"")*H156,""))</f>
        <v>0</v>
      </c>
      <c r="R156" s="8">
        <f>IF(F156="","",Weekly_Budget/21)</f>
        <v>0</v>
      </c>
      <c r="S156" s="27"/>
      <c r="T156" s="27"/>
      <c r="U156" s="26"/>
      <c r="V156" s="7"/>
      <c r="W156" s="7"/>
      <c r="X156" s="26"/>
      <c r="Y156" s="8">
        <f>IF(G156="","",IF(COUNTIFS('Meal Prep'!$D$5:$D$124,G156)&gt;0,"Yes","No"))</f>
        <v>0</v>
      </c>
      <c r="Z156" s="8">
        <f>IF(G156="","",COUNTIFS('Recipe Ingredients'!$A$5:$A$1204,G156))</f>
        <v>0</v>
      </c>
      <c r="AA156" s="25"/>
      <c r="AB156" s="8">
        <f>IF(OR(B156="",Q156=""),"",COUNTIFS($B$5:$B$504,B156,$Q$5:$Q$504,"&gt;"&amp;Q156)+1)</f>
        <v>0</v>
      </c>
      <c r="AC156" s="8">
        <f>IF(OR(B156="",L156=""),"",COUNTIFS($B$5:$B$504,B156,$L$5:$L$504,"&gt;"&amp;L156)+1)</f>
        <v>0</v>
      </c>
      <c r="AD156" s="8">
        <f>IF(G156="","",IF(COUNTIFS($G$5:$G$504,G156)&gt;1,"Repeat","Once"))</f>
        <v>0</v>
      </c>
      <c r="AE156" s="8">
        <f>IF(G156="","",IF(IFERROR(INDEX(Recipes!$X$5:$X$204,MATCH(G156,Recipes!$A$5:$A$204,0)),"")="","",IFERROR(B156-IFERROR(INDEX(Recipes!$X$5:$X$204,MATCH(G156,Recipes!$A$5:$A$204,0)),""),"")))</f>
        <v>0</v>
      </c>
      <c r="AF156" s="8">
        <f>IF(G156="","",IF(AE156="","Yes",IF(AE156&gt;=Rotation_Gap_Days,"Yes","No")))</f>
        <v>0</v>
      </c>
      <c r="AG156" s="8">
        <f>IF(G156="","",IF(COUNTIFS('Recipe Ingredients'!$A$5:$A$1204,G156,'Recipe Ingredients'!$AC$5:$AC$1204,"Check")&gt;0,"Check","OK"))</f>
        <v>0</v>
      </c>
    </row>
    <row r="157" spans="1:33">
      <c r="A157" s="7"/>
      <c r="B157" s="30"/>
      <c r="C157" s="8">
        <f>IF(B157="","",B157-WEEKDAY(B157,2)+1)</f>
        <v>0</v>
      </c>
      <c r="D157" s="8">
        <f>IF(B157="","",TEXT(B157,"ddd"))</f>
        <v>0</v>
      </c>
      <c r="E157" s="8">
        <f>IF(B157="","",TEXT(B157,"mmm yyyy"))</f>
        <v>0</v>
      </c>
      <c r="F157" s="27"/>
      <c r="G157" s="7"/>
      <c r="H157" s="26"/>
      <c r="I157" s="8">
        <f>IF(G157="","",IFERROR(INDEX(Recipes!$D$5:$D$204,MATCH(G157,Recipes!$A$5:$A$204,0)),""))</f>
        <v>0</v>
      </c>
      <c r="J157" s="8">
        <f>IF(OR(G157="",H157="",I157="",I157=0),"",H157/I157)</f>
        <v>0</v>
      </c>
      <c r="K157" s="8">
        <f>IF(B157="","",Household_Size)</f>
        <v>0</v>
      </c>
      <c r="L157" s="8">
        <f>IF(OR(G157="",H157=""),"",IFERROR(IFERROR(INDEX(Recipes!$H$5:$H$204,MATCH(G157,Recipes!$A$5:$A$204,0)),"")*H157,""))</f>
        <v>0</v>
      </c>
      <c r="M157" s="8">
        <f>IF(OR(G157="",H157=""),"",IFERROR(IFERROR(INDEX(Recipes!$I$5:$I$204,MATCH(G157,Recipes!$A$5:$A$204,0)),"")*H157,""))</f>
        <v>0</v>
      </c>
      <c r="N157" s="8">
        <f>IF(OR(G157="",H157=""),"",IFERROR(IFERROR(INDEX(Recipes!$J$5:$J$204,MATCH(G157,Recipes!$A$5:$A$204,0)),"")*H157,""))</f>
        <v>0</v>
      </c>
      <c r="O157" s="8">
        <f>IF(OR(G157="",H157=""),"",IFERROR(IFERROR(INDEX(Recipes!$K$5:$K$204,MATCH(G157,Recipes!$A$5:$A$204,0)),"")*H157,""))</f>
        <v>0</v>
      </c>
      <c r="P157" s="8">
        <f>IF(OR(G157="",H157=""),"",IFERROR(IFERROR(INDEX(Recipes!$L$5:$L$204,MATCH(G157,Recipes!$A$5:$A$204,0)),"")*H157,""))</f>
        <v>0</v>
      </c>
      <c r="Q157" s="8">
        <f>IF(OR(G157="",H157=""),"",IFERROR(IFERROR(INDEX(Recipes!$Q$5:$Q$204,MATCH(G157,Recipes!$A$5:$A$204,0)),"")*H157,""))</f>
        <v>0</v>
      </c>
      <c r="R157" s="8">
        <f>IF(F157="","",Weekly_Budget/21)</f>
        <v>0</v>
      </c>
      <c r="S157" s="27"/>
      <c r="T157" s="27"/>
      <c r="U157" s="26"/>
      <c r="V157" s="7"/>
      <c r="W157" s="7"/>
      <c r="X157" s="26"/>
      <c r="Y157" s="8">
        <f>IF(G157="","",IF(COUNTIFS('Meal Prep'!$D$5:$D$124,G157)&gt;0,"Yes","No"))</f>
        <v>0</v>
      </c>
      <c r="Z157" s="8">
        <f>IF(G157="","",COUNTIFS('Recipe Ingredients'!$A$5:$A$1204,G157))</f>
        <v>0</v>
      </c>
      <c r="AA157" s="25"/>
      <c r="AB157" s="8">
        <f>IF(OR(B157="",Q157=""),"",COUNTIFS($B$5:$B$504,B157,$Q$5:$Q$504,"&gt;"&amp;Q157)+1)</f>
        <v>0</v>
      </c>
      <c r="AC157" s="8">
        <f>IF(OR(B157="",L157=""),"",COUNTIFS($B$5:$B$504,B157,$L$5:$L$504,"&gt;"&amp;L157)+1)</f>
        <v>0</v>
      </c>
      <c r="AD157" s="8">
        <f>IF(G157="","",IF(COUNTIFS($G$5:$G$504,G157)&gt;1,"Repeat","Once"))</f>
        <v>0</v>
      </c>
      <c r="AE157" s="8">
        <f>IF(G157="","",IF(IFERROR(INDEX(Recipes!$X$5:$X$204,MATCH(G157,Recipes!$A$5:$A$204,0)),"")="","",IFERROR(B157-IFERROR(INDEX(Recipes!$X$5:$X$204,MATCH(G157,Recipes!$A$5:$A$204,0)),""),"")))</f>
        <v>0</v>
      </c>
      <c r="AF157" s="8">
        <f>IF(G157="","",IF(AE157="","Yes",IF(AE157&gt;=Rotation_Gap_Days,"Yes","No")))</f>
        <v>0</v>
      </c>
      <c r="AG157" s="8">
        <f>IF(G157="","",IF(COUNTIFS('Recipe Ingredients'!$A$5:$A$1204,G157,'Recipe Ingredients'!$AC$5:$AC$1204,"Check")&gt;0,"Check","OK"))</f>
        <v>0</v>
      </c>
    </row>
    <row r="158" spans="1:33">
      <c r="A158" s="7"/>
      <c r="B158" s="30"/>
      <c r="C158" s="8">
        <f>IF(B158="","",B158-WEEKDAY(B158,2)+1)</f>
        <v>0</v>
      </c>
      <c r="D158" s="8">
        <f>IF(B158="","",TEXT(B158,"ddd"))</f>
        <v>0</v>
      </c>
      <c r="E158" s="8">
        <f>IF(B158="","",TEXT(B158,"mmm yyyy"))</f>
        <v>0</v>
      </c>
      <c r="F158" s="27"/>
      <c r="G158" s="7"/>
      <c r="H158" s="26"/>
      <c r="I158" s="8">
        <f>IF(G158="","",IFERROR(INDEX(Recipes!$D$5:$D$204,MATCH(G158,Recipes!$A$5:$A$204,0)),""))</f>
        <v>0</v>
      </c>
      <c r="J158" s="8">
        <f>IF(OR(G158="",H158="",I158="",I158=0),"",H158/I158)</f>
        <v>0</v>
      </c>
      <c r="K158" s="8">
        <f>IF(B158="","",Household_Size)</f>
        <v>0</v>
      </c>
      <c r="L158" s="8">
        <f>IF(OR(G158="",H158=""),"",IFERROR(IFERROR(INDEX(Recipes!$H$5:$H$204,MATCH(G158,Recipes!$A$5:$A$204,0)),"")*H158,""))</f>
        <v>0</v>
      </c>
      <c r="M158" s="8">
        <f>IF(OR(G158="",H158=""),"",IFERROR(IFERROR(INDEX(Recipes!$I$5:$I$204,MATCH(G158,Recipes!$A$5:$A$204,0)),"")*H158,""))</f>
        <v>0</v>
      </c>
      <c r="N158" s="8">
        <f>IF(OR(G158="",H158=""),"",IFERROR(IFERROR(INDEX(Recipes!$J$5:$J$204,MATCH(G158,Recipes!$A$5:$A$204,0)),"")*H158,""))</f>
        <v>0</v>
      </c>
      <c r="O158" s="8">
        <f>IF(OR(G158="",H158=""),"",IFERROR(IFERROR(INDEX(Recipes!$K$5:$K$204,MATCH(G158,Recipes!$A$5:$A$204,0)),"")*H158,""))</f>
        <v>0</v>
      </c>
      <c r="P158" s="8">
        <f>IF(OR(G158="",H158=""),"",IFERROR(IFERROR(INDEX(Recipes!$L$5:$L$204,MATCH(G158,Recipes!$A$5:$A$204,0)),"")*H158,""))</f>
        <v>0</v>
      </c>
      <c r="Q158" s="8">
        <f>IF(OR(G158="",H158=""),"",IFERROR(IFERROR(INDEX(Recipes!$Q$5:$Q$204,MATCH(G158,Recipes!$A$5:$A$204,0)),"")*H158,""))</f>
        <v>0</v>
      </c>
      <c r="R158" s="8">
        <f>IF(F158="","",Weekly_Budget/21)</f>
        <v>0</v>
      </c>
      <c r="S158" s="27"/>
      <c r="T158" s="27"/>
      <c r="U158" s="26"/>
      <c r="V158" s="7"/>
      <c r="W158" s="7"/>
      <c r="X158" s="26"/>
      <c r="Y158" s="8">
        <f>IF(G158="","",IF(COUNTIFS('Meal Prep'!$D$5:$D$124,G158)&gt;0,"Yes","No"))</f>
        <v>0</v>
      </c>
      <c r="Z158" s="8">
        <f>IF(G158="","",COUNTIFS('Recipe Ingredients'!$A$5:$A$1204,G158))</f>
        <v>0</v>
      </c>
      <c r="AA158" s="25"/>
      <c r="AB158" s="8">
        <f>IF(OR(B158="",Q158=""),"",COUNTIFS($B$5:$B$504,B158,$Q$5:$Q$504,"&gt;"&amp;Q158)+1)</f>
        <v>0</v>
      </c>
      <c r="AC158" s="8">
        <f>IF(OR(B158="",L158=""),"",COUNTIFS($B$5:$B$504,B158,$L$5:$L$504,"&gt;"&amp;L158)+1)</f>
        <v>0</v>
      </c>
      <c r="AD158" s="8">
        <f>IF(G158="","",IF(COUNTIFS($G$5:$G$504,G158)&gt;1,"Repeat","Once"))</f>
        <v>0</v>
      </c>
      <c r="AE158" s="8">
        <f>IF(G158="","",IF(IFERROR(INDEX(Recipes!$X$5:$X$204,MATCH(G158,Recipes!$A$5:$A$204,0)),"")="","",IFERROR(B158-IFERROR(INDEX(Recipes!$X$5:$X$204,MATCH(G158,Recipes!$A$5:$A$204,0)),""),"")))</f>
        <v>0</v>
      </c>
      <c r="AF158" s="8">
        <f>IF(G158="","",IF(AE158="","Yes",IF(AE158&gt;=Rotation_Gap_Days,"Yes","No")))</f>
        <v>0</v>
      </c>
      <c r="AG158" s="8">
        <f>IF(G158="","",IF(COUNTIFS('Recipe Ingredients'!$A$5:$A$1204,G158,'Recipe Ingredients'!$AC$5:$AC$1204,"Check")&gt;0,"Check","OK"))</f>
        <v>0</v>
      </c>
    </row>
    <row r="159" spans="1:33">
      <c r="A159" s="7"/>
      <c r="B159" s="30"/>
      <c r="C159" s="8">
        <f>IF(B159="","",B159-WEEKDAY(B159,2)+1)</f>
        <v>0</v>
      </c>
      <c r="D159" s="8">
        <f>IF(B159="","",TEXT(B159,"ddd"))</f>
        <v>0</v>
      </c>
      <c r="E159" s="8">
        <f>IF(B159="","",TEXT(B159,"mmm yyyy"))</f>
        <v>0</v>
      </c>
      <c r="F159" s="27"/>
      <c r="G159" s="7"/>
      <c r="H159" s="26"/>
      <c r="I159" s="8">
        <f>IF(G159="","",IFERROR(INDEX(Recipes!$D$5:$D$204,MATCH(G159,Recipes!$A$5:$A$204,0)),""))</f>
        <v>0</v>
      </c>
      <c r="J159" s="8">
        <f>IF(OR(G159="",H159="",I159="",I159=0),"",H159/I159)</f>
        <v>0</v>
      </c>
      <c r="K159" s="8">
        <f>IF(B159="","",Household_Size)</f>
        <v>0</v>
      </c>
      <c r="L159" s="8">
        <f>IF(OR(G159="",H159=""),"",IFERROR(IFERROR(INDEX(Recipes!$H$5:$H$204,MATCH(G159,Recipes!$A$5:$A$204,0)),"")*H159,""))</f>
        <v>0</v>
      </c>
      <c r="M159" s="8">
        <f>IF(OR(G159="",H159=""),"",IFERROR(IFERROR(INDEX(Recipes!$I$5:$I$204,MATCH(G159,Recipes!$A$5:$A$204,0)),"")*H159,""))</f>
        <v>0</v>
      </c>
      <c r="N159" s="8">
        <f>IF(OR(G159="",H159=""),"",IFERROR(IFERROR(INDEX(Recipes!$J$5:$J$204,MATCH(G159,Recipes!$A$5:$A$204,0)),"")*H159,""))</f>
        <v>0</v>
      </c>
      <c r="O159" s="8">
        <f>IF(OR(G159="",H159=""),"",IFERROR(IFERROR(INDEX(Recipes!$K$5:$K$204,MATCH(G159,Recipes!$A$5:$A$204,0)),"")*H159,""))</f>
        <v>0</v>
      </c>
      <c r="P159" s="8">
        <f>IF(OR(G159="",H159=""),"",IFERROR(IFERROR(INDEX(Recipes!$L$5:$L$204,MATCH(G159,Recipes!$A$5:$A$204,0)),"")*H159,""))</f>
        <v>0</v>
      </c>
      <c r="Q159" s="8">
        <f>IF(OR(G159="",H159=""),"",IFERROR(IFERROR(INDEX(Recipes!$Q$5:$Q$204,MATCH(G159,Recipes!$A$5:$A$204,0)),"")*H159,""))</f>
        <v>0</v>
      </c>
      <c r="R159" s="8">
        <f>IF(F159="","",Weekly_Budget/21)</f>
        <v>0</v>
      </c>
      <c r="S159" s="27"/>
      <c r="T159" s="27"/>
      <c r="U159" s="26"/>
      <c r="V159" s="7"/>
      <c r="W159" s="7"/>
      <c r="X159" s="26"/>
      <c r="Y159" s="8">
        <f>IF(G159="","",IF(COUNTIFS('Meal Prep'!$D$5:$D$124,G159)&gt;0,"Yes","No"))</f>
        <v>0</v>
      </c>
      <c r="Z159" s="8">
        <f>IF(G159="","",COUNTIFS('Recipe Ingredients'!$A$5:$A$1204,G159))</f>
        <v>0</v>
      </c>
      <c r="AA159" s="25"/>
      <c r="AB159" s="8">
        <f>IF(OR(B159="",Q159=""),"",COUNTIFS($B$5:$B$504,B159,$Q$5:$Q$504,"&gt;"&amp;Q159)+1)</f>
        <v>0</v>
      </c>
      <c r="AC159" s="8">
        <f>IF(OR(B159="",L159=""),"",COUNTIFS($B$5:$B$504,B159,$L$5:$L$504,"&gt;"&amp;L159)+1)</f>
        <v>0</v>
      </c>
      <c r="AD159" s="8">
        <f>IF(G159="","",IF(COUNTIFS($G$5:$G$504,G159)&gt;1,"Repeat","Once"))</f>
        <v>0</v>
      </c>
      <c r="AE159" s="8">
        <f>IF(G159="","",IF(IFERROR(INDEX(Recipes!$X$5:$X$204,MATCH(G159,Recipes!$A$5:$A$204,0)),"")="","",IFERROR(B159-IFERROR(INDEX(Recipes!$X$5:$X$204,MATCH(G159,Recipes!$A$5:$A$204,0)),""),"")))</f>
        <v>0</v>
      </c>
      <c r="AF159" s="8">
        <f>IF(G159="","",IF(AE159="","Yes",IF(AE159&gt;=Rotation_Gap_Days,"Yes","No")))</f>
        <v>0</v>
      </c>
      <c r="AG159" s="8">
        <f>IF(G159="","",IF(COUNTIFS('Recipe Ingredients'!$A$5:$A$1204,G159,'Recipe Ingredients'!$AC$5:$AC$1204,"Check")&gt;0,"Check","OK"))</f>
        <v>0</v>
      </c>
    </row>
    <row r="160" spans="1:33">
      <c r="A160" s="7"/>
      <c r="B160" s="30"/>
      <c r="C160" s="8">
        <f>IF(B160="","",B160-WEEKDAY(B160,2)+1)</f>
        <v>0</v>
      </c>
      <c r="D160" s="8">
        <f>IF(B160="","",TEXT(B160,"ddd"))</f>
        <v>0</v>
      </c>
      <c r="E160" s="8">
        <f>IF(B160="","",TEXT(B160,"mmm yyyy"))</f>
        <v>0</v>
      </c>
      <c r="F160" s="27"/>
      <c r="G160" s="7"/>
      <c r="H160" s="26"/>
      <c r="I160" s="8">
        <f>IF(G160="","",IFERROR(INDEX(Recipes!$D$5:$D$204,MATCH(G160,Recipes!$A$5:$A$204,0)),""))</f>
        <v>0</v>
      </c>
      <c r="J160" s="8">
        <f>IF(OR(G160="",H160="",I160="",I160=0),"",H160/I160)</f>
        <v>0</v>
      </c>
      <c r="K160" s="8">
        <f>IF(B160="","",Household_Size)</f>
        <v>0</v>
      </c>
      <c r="L160" s="8">
        <f>IF(OR(G160="",H160=""),"",IFERROR(IFERROR(INDEX(Recipes!$H$5:$H$204,MATCH(G160,Recipes!$A$5:$A$204,0)),"")*H160,""))</f>
        <v>0</v>
      </c>
      <c r="M160" s="8">
        <f>IF(OR(G160="",H160=""),"",IFERROR(IFERROR(INDEX(Recipes!$I$5:$I$204,MATCH(G160,Recipes!$A$5:$A$204,0)),"")*H160,""))</f>
        <v>0</v>
      </c>
      <c r="N160" s="8">
        <f>IF(OR(G160="",H160=""),"",IFERROR(IFERROR(INDEX(Recipes!$J$5:$J$204,MATCH(G160,Recipes!$A$5:$A$204,0)),"")*H160,""))</f>
        <v>0</v>
      </c>
      <c r="O160" s="8">
        <f>IF(OR(G160="",H160=""),"",IFERROR(IFERROR(INDEX(Recipes!$K$5:$K$204,MATCH(G160,Recipes!$A$5:$A$204,0)),"")*H160,""))</f>
        <v>0</v>
      </c>
      <c r="P160" s="8">
        <f>IF(OR(G160="",H160=""),"",IFERROR(IFERROR(INDEX(Recipes!$L$5:$L$204,MATCH(G160,Recipes!$A$5:$A$204,0)),"")*H160,""))</f>
        <v>0</v>
      </c>
      <c r="Q160" s="8">
        <f>IF(OR(G160="",H160=""),"",IFERROR(IFERROR(INDEX(Recipes!$Q$5:$Q$204,MATCH(G160,Recipes!$A$5:$A$204,0)),"")*H160,""))</f>
        <v>0</v>
      </c>
      <c r="R160" s="8">
        <f>IF(F160="","",Weekly_Budget/21)</f>
        <v>0</v>
      </c>
      <c r="S160" s="27"/>
      <c r="T160" s="27"/>
      <c r="U160" s="26"/>
      <c r="V160" s="7"/>
      <c r="W160" s="7"/>
      <c r="X160" s="26"/>
      <c r="Y160" s="8">
        <f>IF(G160="","",IF(COUNTIFS('Meal Prep'!$D$5:$D$124,G160)&gt;0,"Yes","No"))</f>
        <v>0</v>
      </c>
      <c r="Z160" s="8">
        <f>IF(G160="","",COUNTIFS('Recipe Ingredients'!$A$5:$A$1204,G160))</f>
        <v>0</v>
      </c>
      <c r="AA160" s="25"/>
      <c r="AB160" s="8">
        <f>IF(OR(B160="",Q160=""),"",COUNTIFS($B$5:$B$504,B160,$Q$5:$Q$504,"&gt;"&amp;Q160)+1)</f>
        <v>0</v>
      </c>
      <c r="AC160" s="8">
        <f>IF(OR(B160="",L160=""),"",COUNTIFS($B$5:$B$504,B160,$L$5:$L$504,"&gt;"&amp;L160)+1)</f>
        <v>0</v>
      </c>
      <c r="AD160" s="8">
        <f>IF(G160="","",IF(COUNTIFS($G$5:$G$504,G160)&gt;1,"Repeat","Once"))</f>
        <v>0</v>
      </c>
      <c r="AE160" s="8">
        <f>IF(G160="","",IF(IFERROR(INDEX(Recipes!$X$5:$X$204,MATCH(G160,Recipes!$A$5:$A$204,0)),"")="","",IFERROR(B160-IFERROR(INDEX(Recipes!$X$5:$X$204,MATCH(G160,Recipes!$A$5:$A$204,0)),""),"")))</f>
        <v>0</v>
      </c>
      <c r="AF160" s="8">
        <f>IF(G160="","",IF(AE160="","Yes",IF(AE160&gt;=Rotation_Gap_Days,"Yes","No")))</f>
        <v>0</v>
      </c>
      <c r="AG160" s="8">
        <f>IF(G160="","",IF(COUNTIFS('Recipe Ingredients'!$A$5:$A$1204,G160,'Recipe Ingredients'!$AC$5:$AC$1204,"Check")&gt;0,"Check","OK"))</f>
        <v>0</v>
      </c>
    </row>
    <row r="161" spans="1:33">
      <c r="A161" s="7"/>
      <c r="B161" s="30"/>
      <c r="C161" s="8">
        <f>IF(B161="","",B161-WEEKDAY(B161,2)+1)</f>
        <v>0</v>
      </c>
      <c r="D161" s="8">
        <f>IF(B161="","",TEXT(B161,"ddd"))</f>
        <v>0</v>
      </c>
      <c r="E161" s="8">
        <f>IF(B161="","",TEXT(B161,"mmm yyyy"))</f>
        <v>0</v>
      </c>
      <c r="F161" s="27"/>
      <c r="G161" s="7"/>
      <c r="H161" s="26"/>
      <c r="I161" s="8">
        <f>IF(G161="","",IFERROR(INDEX(Recipes!$D$5:$D$204,MATCH(G161,Recipes!$A$5:$A$204,0)),""))</f>
        <v>0</v>
      </c>
      <c r="J161" s="8">
        <f>IF(OR(G161="",H161="",I161="",I161=0),"",H161/I161)</f>
        <v>0</v>
      </c>
      <c r="K161" s="8">
        <f>IF(B161="","",Household_Size)</f>
        <v>0</v>
      </c>
      <c r="L161" s="8">
        <f>IF(OR(G161="",H161=""),"",IFERROR(IFERROR(INDEX(Recipes!$H$5:$H$204,MATCH(G161,Recipes!$A$5:$A$204,0)),"")*H161,""))</f>
        <v>0</v>
      </c>
      <c r="M161" s="8">
        <f>IF(OR(G161="",H161=""),"",IFERROR(IFERROR(INDEX(Recipes!$I$5:$I$204,MATCH(G161,Recipes!$A$5:$A$204,0)),"")*H161,""))</f>
        <v>0</v>
      </c>
      <c r="N161" s="8">
        <f>IF(OR(G161="",H161=""),"",IFERROR(IFERROR(INDEX(Recipes!$J$5:$J$204,MATCH(G161,Recipes!$A$5:$A$204,0)),"")*H161,""))</f>
        <v>0</v>
      </c>
      <c r="O161" s="8">
        <f>IF(OR(G161="",H161=""),"",IFERROR(IFERROR(INDEX(Recipes!$K$5:$K$204,MATCH(G161,Recipes!$A$5:$A$204,0)),"")*H161,""))</f>
        <v>0</v>
      </c>
      <c r="P161" s="8">
        <f>IF(OR(G161="",H161=""),"",IFERROR(IFERROR(INDEX(Recipes!$L$5:$L$204,MATCH(G161,Recipes!$A$5:$A$204,0)),"")*H161,""))</f>
        <v>0</v>
      </c>
      <c r="Q161" s="8">
        <f>IF(OR(G161="",H161=""),"",IFERROR(IFERROR(INDEX(Recipes!$Q$5:$Q$204,MATCH(G161,Recipes!$A$5:$A$204,0)),"")*H161,""))</f>
        <v>0</v>
      </c>
      <c r="R161" s="8">
        <f>IF(F161="","",Weekly_Budget/21)</f>
        <v>0</v>
      </c>
      <c r="S161" s="27"/>
      <c r="T161" s="27"/>
      <c r="U161" s="26"/>
      <c r="V161" s="7"/>
      <c r="W161" s="7"/>
      <c r="X161" s="26"/>
      <c r="Y161" s="8">
        <f>IF(G161="","",IF(COUNTIFS('Meal Prep'!$D$5:$D$124,G161)&gt;0,"Yes","No"))</f>
        <v>0</v>
      </c>
      <c r="Z161" s="8">
        <f>IF(G161="","",COUNTIFS('Recipe Ingredients'!$A$5:$A$1204,G161))</f>
        <v>0</v>
      </c>
      <c r="AA161" s="25"/>
      <c r="AB161" s="8">
        <f>IF(OR(B161="",Q161=""),"",COUNTIFS($B$5:$B$504,B161,$Q$5:$Q$504,"&gt;"&amp;Q161)+1)</f>
        <v>0</v>
      </c>
      <c r="AC161" s="8">
        <f>IF(OR(B161="",L161=""),"",COUNTIFS($B$5:$B$504,B161,$L$5:$L$504,"&gt;"&amp;L161)+1)</f>
        <v>0</v>
      </c>
      <c r="AD161" s="8">
        <f>IF(G161="","",IF(COUNTIFS($G$5:$G$504,G161)&gt;1,"Repeat","Once"))</f>
        <v>0</v>
      </c>
      <c r="AE161" s="8">
        <f>IF(G161="","",IF(IFERROR(INDEX(Recipes!$X$5:$X$204,MATCH(G161,Recipes!$A$5:$A$204,0)),"")="","",IFERROR(B161-IFERROR(INDEX(Recipes!$X$5:$X$204,MATCH(G161,Recipes!$A$5:$A$204,0)),""),"")))</f>
        <v>0</v>
      </c>
      <c r="AF161" s="8">
        <f>IF(G161="","",IF(AE161="","Yes",IF(AE161&gt;=Rotation_Gap_Days,"Yes","No")))</f>
        <v>0</v>
      </c>
      <c r="AG161" s="8">
        <f>IF(G161="","",IF(COUNTIFS('Recipe Ingredients'!$A$5:$A$1204,G161,'Recipe Ingredients'!$AC$5:$AC$1204,"Check")&gt;0,"Check","OK"))</f>
        <v>0</v>
      </c>
    </row>
    <row r="162" spans="1:33">
      <c r="A162" s="7"/>
      <c r="B162" s="30"/>
      <c r="C162" s="8">
        <f>IF(B162="","",B162-WEEKDAY(B162,2)+1)</f>
        <v>0</v>
      </c>
      <c r="D162" s="8">
        <f>IF(B162="","",TEXT(B162,"ddd"))</f>
        <v>0</v>
      </c>
      <c r="E162" s="8">
        <f>IF(B162="","",TEXT(B162,"mmm yyyy"))</f>
        <v>0</v>
      </c>
      <c r="F162" s="27"/>
      <c r="G162" s="7"/>
      <c r="H162" s="26"/>
      <c r="I162" s="8">
        <f>IF(G162="","",IFERROR(INDEX(Recipes!$D$5:$D$204,MATCH(G162,Recipes!$A$5:$A$204,0)),""))</f>
        <v>0</v>
      </c>
      <c r="J162" s="8">
        <f>IF(OR(G162="",H162="",I162="",I162=0),"",H162/I162)</f>
        <v>0</v>
      </c>
      <c r="K162" s="8">
        <f>IF(B162="","",Household_Size)</f>
        <v>0</v>
      </c>
      <c r="L162" s="8">
        <f>IF(OR(G162="",H162=""),"",IFERROR(IFERROR(INDEX(Recipes!$H$5:$H$204,MATCH(G162,Recipes!$A$5:$A$204,0)),"")*H162,""))</f>
        <v>0</v>
      </c>
      <c r="M162" s="8">
        <f>IF(OR(G162="",H162=""),"",IFERROR(IFERROR(INDEX(Recipes!$I$5:$I$204,MATCH(G162,Recipes!$A$5:$A$204,0)),"")*H162,""))</f>
        <v>0</v>
      </c>
      <c r="N162" s="8">
        <f>IF(OR(G162="",H162=""),"",IFERROR(IFERROR(INDEX(Recipes!$J$5:$J$204,MATCH(G162,Recipes!$A$5:$A$204,0)),"")*H162,""))</f>
        <v>0</v>
      </c>
      <c r="O162" s="8">
        <f>IF(OR(G162="",H162=""),"",IFERROR(IFERROR(INDEX(Recipes!$K$5:$K$204,MATCH(G162,Recipes!$A$5:$A$204,0)),"")*H162,""))</f>
        <v>0</v>
      </c>
      <c r="P162" s="8">
        <f>IF(OR(G162="",H162=""),"",IFERROR(IFERROR(INDEX(Recipes!$L$5:$L$204,MATCH(G162,Recipes!$A$5:$A$204,0)),"")*H162,""))</f>
        <v>0</v>
      </c>
      <c r="Q162" s="8">
        <f>IF(OR(G162="",H162=""),"",IFERROR(IFERROR(INDEX(Recipes!$Q$5:$Q$204,MATCH(G162,Recipes!$A$5:$A$204,0)),"")*H162,""))</f>
        <v>0</v>
      </c>
      <c r="R162" s="8">
        <f>IF(F162="","",Weekly_Budget/21)</f>
        <v>0</v>
      </c>
      <c r="S162" s="27"/>
      <c r="T162" s="27"/>
      <c r="U162" s="26"/>
      <c r="V162" s="7"/>
      <c r="W162" s="7"/>
      <c r="X162" s="26"/>
      <c r="Y162" s="8">
        <f>IF(G162="","",IF(COUNTIFS('Meal Prep'!$D$5:$D$124,G162)&gt;0,"Yes","No"))</f>
        <v>0</v>
      </c>
      <c r="Z162" s="8">
        <f>IF(G162="","",COUNTIFS('Recipe Ingredients'!$A$5:$A$1204,G162))</f>
        <v>0</v>
      </c>
      <c r="AA162" s="25"/>
      <c r="AB162" s="8">
        <f>IF(OR(B162="",Q162=""),"",COUNTIFS($B$5:$B$504,B162,$Q$5:$Q$504,"&gt;"&amp;Q162)+1)</f>
        <v>0</v>
      </c>
      <c r="AC162" s="8">
        <f>IF(OR(B162="",L162=""),"",COUNTIFS($B$5:$B$504,B162,$L$5:$L$504,"&gt;"&amp;L162)+1)</f>
        <v>0</v>
      </c>
      <c r="AD162" s="8">
        <f>IF(G162="","",IF(COUNTIFS($G$5:$G$504,G162)&gt;1,"Repeat","Once"))</f>
        <v>0</v>
      </c>
      <c r="AE162" s="8">
        <f>IF(G162="","",IF(IFERROR(INDEX(Recipes!$X$5:$X$204,MATCH(G162,Recipes!$A$5:$A$204,0)),"")="","",IFERROR(B162-IFERROR(INDEX(Recipes!$X$5:$X$204,MATCH(G162,Recipes!$A$5:$A$204,0)),""),"")))</f>
        <v>0</v>
      </c>
      <c r="AF162" s="8">
        <f>IF(G162="","",IF(AE162="","Yes",IF(AE162&gt;=Rotation_Gap_Days,"Yes","No")))</f>
        <v>0</v>
      </c>
      <c r="AG162" s="8">
        <f>IF(G162="","",IF(COUNTIFS('Recipe Ingredients'!$A$5:$A$1204,G162,'Recipe Ingredients'!$AC$5:$AC$1204,"Check")&gt;0,"Check","OK"))</f>
        <v>0</v>
      </c>
    </row>
    <row r="163" spans="1:33">
      <c r="A163" s="7"/>
      <c r="B163" s="30"/>
      <c r="C163" s="8">
        <f>IF(B163="","",B163-WEEKDAY(B163,2)+1)</f>
        <v>0</v>
      </c>
      <c r="D163" s="8">
        <f>IF(B163="","",TEXT(B163,"ddd"))</f>
        <v>0</v>
      </c>
      <c r="E163" s="8">
        <f>IF(B163="","",TEXT(B163,"mmm yyyy"))</f>
        <v>0</v>
      </c>
      <c r="F163" s="27"/>
      <c r="G163" s="7"/>
      <c r="H163" s="26"/>
      <c r="I163" s="8">
        <f>IF(G163="","",IFERROR(INDEX(Recipes!$D$5:$D$204,MATCH(G163,Recipes!$A$5:$A$204,0)),""))</f>
        <v>0</v>
      </c>
      <c r="J163" s="8">
        <f>IF(OR(G163="",H163="",I163="",I163=0),"",H163/I163)</f>
        <v>0</v>
      </c>
      <c r="K163" s="8">
        <f>IF(B163="","",Household_Size)</f>
        <v>0</v>
      </c>
      <c r="L163" s="8">
        <f>IF(OR(G163="",H163=""),"",IFERROR(IFERROR(INDEX(Recipes!$H$5:$H$204,MATCH(G163,Recipes!$A$5:$A$204,0)),"")*H163,""))</f>
        <v>0</v>
      </c>
      <c r="M163" s="8">
        <f>IF(OR(G163="",H163=""),"",IFERROR(IFERROR(INDEX(Recipes!$I$5:$I$204,MATCH(G163,Recipes!$A$5:$A$204,0)),"")*H163,""))</f>
        <v>0</v>
      </c>
      <c r="N163" s="8">
        <f>IF(OR(G163="",H163=""),"",IFERROR(IFERROR(INDEX(Recipes!$J$5:$J$204,MATCH(G163,Recipes!$A$5:$A$204,0)),"")*H163,""))</f>
        <v>0</v>
      </c>
      <c r="O163" s="8">
        <f>IF(OR(G163="",H163=""),"",IFERROR(IFERROR(INDEX(Recipes!$K$5:$K$204,MATCH(G163,Recipes!$A$5:$A$204,0)),"")*H163,""))</f>
        <v>0</v>
      </c>
      <c r="P163" s="8">
        <f>IF(OR(G163="",H163=""),"",IFERROR(IFERROR(INDEX(Recipes!$L$5:$L$204,MATCH(G163,Recipes!$A$5:$A$204,0)),"")*H163,""))</f>
        <v>0</v>
      </c>
      <c r="Q163" s="8">
        <f>IF(OR(G163="",H163=""),"",IFERROR(IFERROR(INDEX(Recipes!$Q$5:$Q$204,MATCH(G163,Recipes!$A$5:$A$204,0)),"")*H163,""))</f>
        <v>0</v>
      </c>
      <c r="R163" s="8">
        <f>IF(F163="","",Weekly_Budget/21)</f>
        <v>0</v>
      </c>
      <c r="S163" s="27"/>
      <c r="T163" s="27"/>
      <c r="U163" s="26"/>
      <c r="V163" s="7"/>
      <c r="W163" s="7"/>
      <c r="X163" s="26"/>
      <c r="Y163" s="8">
        <f>IF(G163="","",IF(COUNTIFS('Meal Prep'!$D$5:$D$124,G163)&gt;0,"Yes","No"))</f>
        <v>0</v>
      </c>
      <c r="Z163" s="8">
        <f>IF(G163="","",COUNTIFS('Recipe Ingredients'!$A$5:$A$1204,G163))</f>
        <v>0</v>
      </c>
      <c r="AA163" s="25"/>
      <c r="AB163" s="8">
        <f>IF(OR(B163="",Q163=""),"",COUNTIFS($B$5:$B$504,B163,$Q$5:$Q$504,"&gt;"&amp;Q163)+1)</f>
        <v>0</v>
      </c>
      <c r="AC163" s="8">
        <f>IF(OR(B163="",L163=""),"",COUNTIFS($B$5:$B$504,B163,$L$5:$L$504,"&gt;"&amp;L163)+1)</f>
        <v>0</v>
      </c>
      <c r="AD163" s="8">
        <f>IF(G163="","",IF(COUNTIFS($G$5:$G$504,G163)&gt;1,"Repeat","Once"))</f>
        <v>0</v>
      </c>
      <c r="AE163" s="8">
        <f>IF(G163="","",IF(IFERROR(INDEX(Recipes!$X$5:$X$204,MATCH(G163,Recipes!$A$5:$A$204,0)),"")="","",IFERROR(B163-IFERROR(INDEX(Recipes!$X$5:$X$204,MATCH(G163,Recipes!$A$5:$A$204,0)),""),"")))</f>
        <v>0</v>
      </c>
      <c r="AF163" s="8">
        <f>IF(G163="","",IF(AE163="","Yes",IF(AE163&gt;=Rotation_Gap_Days,"Yes","No")))</f>
        <v>0</v>
      </c>
      <c r="AG163" s="8">
        <f>IF(G163="","",IF(COUNTIFS('Recipe Ingredients'!$A$5:$A$1204,G163,'Recipe Ingredients'!$AC$5:$AC$1204,"Check")&gt;0,"Check","OK"))</f>
        <v>0</v>
      </c>
    </row>
    <row r="164" spans="1:33">
      <c r="A164" s="7"/>
      <c r="B164" s="30"/>
      <c r="C164" s="8">
        <f>IF(B164="","",B164-WEEKDAY(B164,2)+1)</f>
        <v>0</v>
      </c>
      <c r="D164" s="8">
        <f>IF(B164="","",TEXT(B164,"ddd"))</f>
        <v>0</v>
      </c>
      <c r="E164" s="8">
        <f>IF(B164="","",TEXT(B164,"mmm yyyy"))</f>
        <v>0</v>
      </c>
      <c r="F164" s="27"/>
      <c r="G164" s="7"/>
      <c r="H164" s="26"/>
      <c r="I164" s="8">
        <f>IF(G164="","",IFERROR(INDEX(Recipes!$D$5:$D$204,MATCH(G164,Recipes!$A$5:$A$204,0)),""))</f>
        <v>0</v>
      </c>
      <c r="J164" s="8">
        <f>IF(OR(G164="",H164="",I164="",I164=0),"",H164/I164)</f>
        <v>0</v>
      </c>
      <c r="K164" s="8">
        <f>IF(B164="","",Household_Size)</f>
        <v>0</v>
      </c>
      <c r="L164" s="8">
        <f>IF(OR(G164="",H164=""),"",IFERROR(IFERROR(INDEX(Recipes!$H$5:$H$204,MATCH(G164,Recipes!$A$5:$A$204,0)),"")*H164,""))</f>
        <v>0</v>
      </c>
      <c r="M164" s="8">
        <f>IF(OR(G164="",H164=""),"",IFERROR(IFERROR(INDEX(Recipes!$I$5:$I$204,MATCH(G164,Recipes!$A$5:$A$204,0)),"")*H164,""))</f>
        <v>0</v>
      </c>
      <c r="N164" s="8">
        <f>IF(OR(G164="",H164=""),"",IFERROR(IFERROR(INDEX(Recipes!$J$5:$J$204,MATCH(G164,Recipes!$A$5:$A$204,0)),"")*H164,""))</f>
        <v>0</v>
      </c>
      <c r="O164" s="8">
        <f>IF(OR(G164="",H164=""),"",IFERROR(IFERROR(INDEX(Recipes!$K$5:$K$204,MATCH(G164,Recipes!$A$5:$A$204,0)),"")*H164,""))</f>
        <v>0</v>
      </c>
      <c r="P164" s="8">
        <f>IF(OR(G164="",H164=""),"",IFERROR(IFERROR(INDEX(Recipes!$L$5:$L$204,MATCH(G164,Recipes!$A$5:$A$204,0)),"")*H164,""))</f>
        <v>0</v>
      </c>
      <c r="Q164" s="8">
        <f>IF(OR(G164="",H164=""),"",IFERROR(IFERROR(INDEX(Recipes!$Q$5:$Q$204,MATCH(G164,Recipes!$A$5:$A$204,0)),"")*H164,""))</f>
        <v>0</v>
      </c>
      <c r="R164" s="8">
        <f>IF(F164="","",Weekly_Budget/21)</f>
        <v>0</v>
      </c>
      <c r="S164" s="27"/>
      <c r="T164" s="27"/>
      <c r="U164" s="26"/>
      <c r="V164" s="7"/>
      <c r="W164" s="7"/>
      <c r="X164" s="26"/>
      <c r="Y164" s="8">
        <f>IF(G164="","",IF(COUNTIFS('Meal Prep'!$D$5:$D$124,G164)&gt;0,"Yes","No"))</f>
        <v>0</v>
      </c>
      <c r="Z164" s="8">
        <f>IF(G164="","",COUNTIFS('Recipe Ingredients'!$A$5:$A$1204,G164))</f>
        <v>0</v>
      </c>
      <c r="AA164" s="25"/>
      <c r="AB164" s="8">
        <f>IF(OR(B164="",Q164=""),"",COUNTIFS($B$5:$B$504,B164,$Q$5:$Q$504,"&gt;"&amp;Q164)+1)</f>
        <v>0</v>
      </c>
      <c r="AC164" s="8">
        <f>IF(OR(B164="",L164=""),"",COUNTIFS($B$5:$B$504,B164,$L$5:$L$504,"&gt;"&amp;L164)+1)</f>
        <v>0</v>
      </c>
      <c r="AD164" s="8">
        <f>IF(G164="","",IF(COUNTIFS($G$5:$G$504,G164)&gt;1,"Repeat","Once"))</f>
        <v>0</v>
      </c>
      <c r="AE164" s="8">
        <f>IF(G164="","",IF(IFERROR(INDEX(Recipes!$X$5:$X$204,MATCH(G164,Recipes!$A$5:$A$204,0)),"")="","",IFERROR(B164-IFERROR(INDEX(Recipes!$X$5:$X$204,MATCH(G164,Recipes!$A$5:$A$204,0)),""),"")))</f>
        <v>0</v>
      </c>
      <c r="AF164" s="8">
        <f>IF(G164="","",IF(AE164="","Yes",IF(AE164&gt;=Rotation_Gap_Days,"Yes","No")))</f>
        <v>0</v>
      </c>
      <c r="AG164" s="8">
        <f>IF(G164="","",IF(COUNTIFS('Recipe Ingredients'!$A$5:$A$1204,G164,'Recipe Ingredients'!$AC$5:$AC$1204,"Check")&gt;0,"Check","OK"))</f>
        <v>0</v>
      </c>
    </row>
    <row r="165" spans="1:33">
      <c r="A165" s="7"/>
      <c r="B165" s="30"/>
      <c r="C165" s="8">
        <f>IF(B165="","",B165-WEEKDAY(B165,2)+1)</f>
        <v>0</v>
      </c>
      <c r="D165" s="8">
        <f>IF(B165="","",TEXT(B165,"ddd"))</f>
        <v>0</v>
      </c>
      <c r="E165" s="8">
        <f>IF(B165="","",TEXT(B165,"mmm yyyy"))</f>
        <v>0</v>
      </c>
      <c r="F165" s="27"/>
      <c r="G165" s="7"/>
      <c r="H165" s="26"/>
      <c r="I165" s="8">
        <f>IF(G165="","",IFERROR(INDEX(Recipes!$D$5:$D$204,MATCH(G165,Recipes!$A$5:$A$204,0)),""))</f>
        <v>0</v>
      </c>
      <c r="J165" s="8">
        <f>IF(OR(G165="",H165="",I165="",I165=0),"",H165/I165)</f>
        <v>0</v>
      </c>
      <c r="K165" s="8">
        <f>IF(B165="","",Household_Size)</f>
        <v>0</v>
      </c>
      <c r="L165" s="8">
        <f>IF(OR(G165="",H165=""),"",IFERROR(IFERROR(INDEX(Recipes!$H$5:$H$204,MATCH(G165,Recipes!$A$5:$A$204,0)),"")*H165,""))</f>
        <v>0</v>
      </c>
      <c r="M165" s="8">
        <f>IF(OR(G165="",H165=""),"",IFERROR(IFERROR(INDEX(Recipes!$I$5:$I$204,MATCH(G165,Recipes!$A$5:$A$204,0)),"")*H165,""))</f>
        <v>0</v>
      </c>
      <c r="N165" s="8">
        <f>IF(OR(G165="",H165=""),"",IFERROR(IFERROR(INDEX(Recipes!$J$5:$J$204,MATCH(G165,Recipes!$A$5:$A$204,0)),"")*H165,""))</f>
        <v>0</v>
      </c>
      <c r="O165" s="8">
        <f>IF(OR(G165="",H165=""),"",IFERROR(IFERROR(INDEX(Recipes!$K$5:$K$204,MATCH(G165,Recipes!$A$5:$A$204,0)),"")*H165,""))</f>
        <v>0</v>
      </c>
      <c r="P165" s="8">
        <f>IF(OR(G165="",H165=""),"",IFERROR(IFERROR(INDEX(Recipes!$L$5:$L$204,MATCH(G165,Recipes!$A$5:$A$204,0)),"")*H165,""))</f>
        <v>0</v>
      </c>
      <c r="Q165" s="8">
        <f>IF(OR(G165="",H165=""),"",IFERROR(IFERROR(INDEX(Recipes!$Q$5:$Q$204,MATCH(G165,Recipes!$A$5:$A$204,0)),"")*H165,""))</f>
        <v>0</v>
      </c>
      <c r="R165" s="8">
        <f>IF(F165="","",Weekly_Budget/21)</f>
        <v>0</v>
      </c>
      <c r="S165" s="27"/>
      <c r="T165" s="27"/>
      <c r="U165" s="26"/>
      <c r="V165" s="7"/>
      <c r="W165" s="7"/>
      <c r="X165" s="26"/>
      <c r="Y165" s="8">
        <f>IF(G165="","",IF(COUNTIFS('Meal Prep'!$D$5:$D$124,G165)&gt;0,"Yes","No"))</f>
        <v>0</v>
      </c>
      <c r="Z165" s="8">
        <f>IF(G165="","",COUNTIFS('Recipe Ingredients'!$A$5:$A$1204,G165))</f>
        <v>0</v>
      </c>
      <c r="AA165" s="25"/>
      <c r="AB165" s="8">
        <f>IF(OR(B165="",Q165=""),"",COUNTIFS($B$5:$B$504,B165,$Q$5:$Q$504,"&gt;"&amp;Q165)+1)</f>
        <v>0</v>
      </c>
      <c r="AC165" s="8">
        <f>IF(OR(B165="",L165=""),"",COUNTIFS($B$5:$B$504,B165,$L$5:$L$504,"&gt;"&amp;L165)+1)</f>
        <v>0</v>
      </c>
      <c r="AD165" s="8">
        <f>IF(G165="","",IF(COUNTIFS($G$5:$G$504,G165)&gt;1,"Repeat","Once"))</f>
        <v>0</v>
      </c>
      <c r="AE165" s="8">
        <f>IF(G165="","",IF(IFERROR(INDEX(Recipes!$X$5:$X$204,MATCH(G165,Recipes!$A$5:$A$204,0)),"")="","",IFERROR(B165-IFERROR(INDEX(Recipes!$X$5:$X$204,MATCH(G165,Recipes!$A$5:$A$204,0)),""),"")))</f>
        <v>0</v>
      </c>
      <c r="AF165" s="8">
        <f>IF(G165="","",IF(AE165="","Yes",IF(AE165&gt;=Rotation_Gap_Days,"Yes","No")))</f>
        <v>0</v>
      </c>
      <c r="AG165" s="8">
        <f>IF(G165="","",IF(COUNTIFS('Recipe Ingredients'!$A$5:$A$1204,G165,'Recipe Ingredients'!$AC$5:$AC$1204,"Check")&gt;0,"Check","OK"))</f>
        <v>0</v>
      </c>
    </row>
    <row r="166" spans="1:33">
      <c r="A166" s="7"/>
      <c r="B166" s="30"/>
      <c r="C166" s="8">
        <f>IF(B166="","",B166-WEEKDAY(B166,2)+1)</f>
        <v>0</v>
      </c>
      <c r="D166" s="8">
        <f>IF(B166="","",TEXT(B166,"ddd"))</f>
        <v>0</v>
      </c>
      <c r="E166" s="8">
        <f>IF(B166="","",TEXT(B166,"mmm yyyy"))</f>
        <v>0</v>
      </c>
      <c r="F166" s="27"/>
      <c r="G166" s="7"/>
      <c r="H166" s="26"/>
      <c r="I166" s="8">
        <f>IF(G166="","",IFERROR(INDEX(Recipes!$D$5:$D$204,MATCH(G166,Recipes!$A$5:$A$204,0)),""))</f>
        <v>0</v>
      </c>
      <c r="J166" s="8">
        <f>IF(OR(G166="",H166="",I166="",I166=0),"",H166/I166)</f>
        <v>0</v>
      </c>
      <c r="K166" s="8">
        <f>IF(B166="","",Household_Size)</f>
        <v>0</v>
      </c>
      <c r="L166" s="8">
        <f>IF(OR(G166="",H166=""),"",IFERROR(IFERROR(INDEX(Recipes!$H$5:$H$204,MATCH(G166,Recipes!$A$5:$A$204,0)),"")*H166,""))</f>
        <v>0</v>
      </c>
      <c r="M166" s="8">
        <f>IF(OR(G166="",H166=""),"",IFERROR(IFERROR(INDEX(Recipes!$I$5:$I$204,MATCH(G166,Recipes!$A$5:$A$204,0)),"")*H166,""))</f>
        <v>0</v>
      </c>
      <c r="N166" s="8">
        <f>IF(OR(G166="",H166=""),"",IFERROR(IFERROR(INDEX(Recipes!$J$5:$J$204,MATCH(G166,Recipes!$A$5:$A$204,0)),"")*H166,""))</f>
        <v>0</v>
      </c>
      <c r="O166" s="8">
        <f>IF(OR(G166="",H166=""),"",IFERROR(IFERROR(INDEX(Recipes!$K$5:$K$204,MATCH(G166,Recipes!$A$5:$A$204,0)),"")*H166,""))</f>
        <v>0</v>
      </c>
      <c r="P166" s="8">
        <f>IF(OR(G166="",H166=""),"",IFERROR(IFERROR(INDEX(Recipes!$L$5:$L$204,MATCH(G166,Recipes!$A$5:$A$204,0)),"")*H166,""))</f>
        <v>0</v>
      </c>
      <c r="Q166" s="8">
        <f>IF(OR(G166="",H166=""),"",IFERROR(IFERROR(INDEX(Recipes!$Q$5:$Q$204,MATCH(G166,Recipes!$A$5:$A$204,0)),"")*H166,""))</f>
        <v>0</v>
      </c>
      <c r="R166" s="8">
        <f>IF(F166="","",Weekly_Budget/21)</f>
        <v>0</v>
      </c>
      <c r="S166" s="27"/>
      <c r="T166" s="27"/>
      <c r="U166" s="26"/>
      <c r="V166" s="7"/>
      <c r="W166" s="7"/>
      <c r="X166" s="26"/>
      <c r="Y166" s="8">
        <f>IF(G166="","",IF(COUNTIFS('Meal Prep'!$D$5:$D$124,G166)&gt;0,"Yes","No"))</f>
        <v>0</v>
      </c>
      <c r="Z166" s="8">
        <f>IF(G166="","",COUNTIFS('Recipe Ingredients'!$A$5:$A$1204,G166))</f>
        <v>0</v>
      </c>
      <c r="AA166" s="25"/>
      <c r="AB166" s="8">
        <f>IF(OR(B166="",Q166=""),"",COUNTIFS($B$5:$B$504,B166,$Q$5:$Q$504,"&gt;"&amp;Q166)+1)</f>
        <v>0</v>
      </c>
      <c r="AC166" s="8">
        <f>IF(OR(B166="",L166=""),"",COUNTIFS($B$5:$B$504,B166,$L$5:$L$504,"&gt;"&amp;L166)+1)</f>
        <v>0</v>
      </c>
      <c r="AD166" s="8">
        <f>IF(G166="","",IF(COUNTIFS($G$5:$G$504,G166)&gt;1,"Repeat","Once"))</f>
        <v>0</v>
      </c>
      <c r="AE166" s="8">
        <f>IF(G166="","",IF(IFERROR(INDEX(Recipes!$X$5:$X$204,MATCH(G166,Recipes!$A$5:$A$204,0)),"")="","",IFERROR(B166-IFERROR(INDEX(Recipes!$X$5:$X$204,MATCH(G166,Recipes!$A$5:$A$204,0)),""),"")))</f>
        <v>0</v>
      </c>
      <c r="AF166" s="8">
        <f>IF(G166="","",IF(AE166="","Yes",IF(AE166&gt;=Rotation_Gap_Days,"Yes","No")))</f>
        <v>0</v>
      </c>
      <c r="AG166" s="8">
        <f>IF(G166="","",IF(COUNTIFS('Recipe Ingredients'!$A$5:$A$1204,G166,'Recipe Ingredients'!$AC$5:$AC$1204,"Check")&gt;0,"Check","OK"))</f>
        <v>0</v>
      </c>
    </row>
    <row r="167" spans="1:33">
      <c r="A167" s="7"/>
      <c r="B167" s="30"/>
      <c r="C167" s="8">
        <f>IF(B167="","",B167-WEEKDAY(B167,2)+1)</f>
        <v>0</v>
      </c>
      <c r="D167" s="8">
        <f>IF(B167="","",TEXT(B167,"ddd"))</f>
        <v>0</v>
      </c>
      <c r="E167" s="8">
        <f>IF(B167="","",TEXT(B167,"mmm yyyy"))</f>
        <v>0</v>
      </c>
      <c r="F167" s="27"/>
      <c r="G167" s="7"/>
      <c r="H167" s="26"/>
      <c r="I167" s="8">
        <f>IF(G167="","",IFERROR(INDEX(Recipes!$D$5:$D$204,MATCH(G167,Recipes!$A$5:$A$204,0)),""))</f>
        <v>0</v>
      </c>
      <c r="J167" s="8">
        <f>IF(OR(G167="",H167="",I167="",I167=0),"",H167/I167)</f>
        <v>0</v>
      </c>
      <c r="K167" s="8">
        <f>IF(B167="","",Household_Size)</f>
        <v>0</v>
      </c>
      <c r="L167" s="8">
        <f>IF(OR(G167="",H167=""),"",IFERROR(IFERROR(INDEX(Recipes!$H$5:$H$204,MATCH(G167,Recipes!$A$5:$A$204,0)),"")*H167,""))</f>
        <v>0</v>
      </c>
      <c r="M167" s="8">
        <f>IF(OR(G167="",H167=""),"",IFERROR(IFERROR(INDEX(Recipes!$I$5:$I$204,MATCH(G167,Recipes!$A$5:$A$204,0)),"")*H167,""))</f>
        <v>0</v>
      </c>
      <c r="N167" s="8">
        <f>IF(OR(G167="",H167=""),"",IFERROR(IFERROR(INDEX(Recipes!$J$5:$J$204,MATCH(G167,Recipes!$A$5:$A$204,0)),"")*H167,""))</f>
        <v>0</v>
      </c>
      <c r="O167" s="8">
        <f>IF(OR(G167="",H167=""),"",IFERROR(IFERROR(INDEX(Recipes!$K$5:$K$204,MATCH(G167,Recipes!$A$5:$A$204,0)),"")*H167,""))</f>
        <v>0</v>
      </c>
      <c r="P167" s="8">
        <f>IF(OR(G167="",H167=""),"",IFERROR(IFERROR(INDEX(Recipes!$L$5:$L$204,MATCH(G167,Recipes!$A$5:$A$204,0)),"")*H167,""))</f>
        <v>0</v>
      </c>
      <c r="Q167" s="8">
        <f>IF(OR(G167="",H167=""),"",IFERROR(IFERROR(INDEX(Recipes!$Q$5:$Q$204,MATCH(G167,Recipes!$A$5:$A$204,0)),"")*H167,""))</f>
        <v>0</v>
      </c>
      <c r="R167" s="8">
        <f>IF(F167="","",Weekly_Budget/21)</f>
        <v>0</v>
      </c>
      <c r="S167" s="27"/>
      <c r="T167" s="27"/>
      <c r="U167" s="26"/>
      <c r="V167" s="7"/>
      <c r="W167" s="7"/>
      <c r="X167" s="26"/>
      <c r="Y167" s="8">
        <f>IF(G167="","",IF(COUNTIFS('Meal Prep'!$D$5:$D$124,G167)&gt;0,"Yes","No"))</f>
        <v>0</v>
      </c>
      <c r="Z167" s="8">
        <f>IF(G167="","",COUNTIFS('Recipe Ingredients'!$A$5:$A$1204,G167))</f>
        <v>0</v>
      </c>
      <c r="AA167" s="25"/>
      <c r="AB167" s="8">
        <f>IF(OR(B167="",Q167=""),"",COUNTIFS($B$5:$B$504,B167,$Q$5:$Q$504,"&gt;"&amp;Q167)+1)</f>
        <v>0</v>
      </c>
      <c r="AC167" s="8">
        <f>IF(OR(B167="",L167=""),"",COUNTIFS($B$5:$B$504,B167,$L$5:$L$504,"&gt;"&amp;L167)+1)</f>
        <v>0</v>
      </c>
      <c r="AD167" s="8">
        <f>IF(G167="","",IF(COUNTIFS($G$5:$G$504,G167)&gt;1,"Repeat","Once"))</f>
        <v>0</v>
      </c>
      <c r="AE167" s="8">
        <f>IF(G167="","",IF(IFERROR(INDEX(Recipes!$X$5:$X$204,MATCH(G167,Recipes!$A$5:$A$204,0)),"")="","",IFERROR(B167-IFERROR(INDEX(Recipes!$X$5:$X$204,MATCH(G167,Recipes!$A$5:$A$204,0)),""),"")))</f>
        <v>0</v>
      </c>
      <c r="AF167" s="8">
        <f>IF(G167="","",IF(AE167="","Yes",IF(AE167&gt;=Rotation_Gap_Days,"Yes","No")))</f>
        <v>0</v>
      </c>
      <c r="AG167" s="8">
        <f>IF(G167="","",IF(COUNTIFS('Recipe Ingredients'!$A$5:$A$1204,G167,'Recipe Ingredients'!$AC$5:$AC$1204,"Check")&gt;0,"Check","OK"))</f>
        <v>0</v>
      </c>
    </row>
    <row r="168" spans="1:33">
      <c r="A168" s="7"/>
      <c r="B168" s="30"/>
      <c r="C168" s="8">
        <f>IF(B168="","",B168-WEEKDAY(B168,2)+1)</f>
        <v>0</v>
      </c>
      <c r="D168" s="8">
        <f>IF(B168="","",TEXT(B168,"ddd"))</f>
        <v>0</v>
      </c>
      <c r="E168" s="8">
        <f>IF(B168="","",TEXT(B168,"mmm yyyy"))</f>
        <v>0</v>
      </c>
      <c r="F168" s="27"/>
      <c r="G168" s="7"/>
      <c r="H168" s="26"/>
      <c r="I168" s="8">
        <f>IF(G168="","",IFERROR(INDEX(Recipes!$D$5:$D$204,MATCH(G168,Recipes!$A$5:$A$204,0)),""))</f>
        <v>0</v>
      </c>
      <c r="J168" s="8">
        <f>IF(OR(G168="",H168="",I168="",I168=0),"",H168/I168)</f>
        <v>0</v>
      </c>
      <c r="K168" s="8">
        <f>IF(B168="","",Household_Size)</f>
        <v>0</v>
      </c>
      <c r="L168" s="8">
        <f>IF(OR(G168="",H168=""),"",IFERROR(IFERROR(INDEX(Recipes!$H$5:$H$204,MATCH(G168,Recipes!$A$5:$A$204,0)),"")*H168,""))</f>
        <v>0</v>
      </c>
      <c r="M168" s="8">
        <f>IF(OR(G168="",H168=""),"",IFERROR(IFERROR(INDEX(Recipes!$I$5:$I$204,MATCH(G168,Recipes!$A$5:$A$204,0)),"")*H168,""))</f>
        <v>0</v>
      </c>
      <c r="N168" s="8">
        <f>IF(OR(G168="",H168=""),"",IFERROR(IFERROR(INDEX(Recipes!$J$5:$J$204,MATCH(G168,Recipes!$A$5:$A$204,0)),"")*H168,""))</f>
        <v>0</v>
      </c>
      <c r="O168" s="8">
        <f>IF(OR(G168="",H168=""),"",IFERROR(IFERROR(INDEX(Recipes!$K$5:$K$204,MATCH(G168,Recipes!$A$5:$A$204,0)),"")*H168,""))</f>
        <v>0</v>
      </c>
      <c r="P168" s="8">
        <f>IF(OR(G168="",H168=""),"",IFERROR(IFERROR(INDEX(Recipes!$L$5:$L$204,MATCH(G168,Recipes!$A$5:$A$204,0)),"")*H168,""))</f>
        <v>0</v>
      </c>
      <c r="Q168" s="8">
        <f>IF(OR(G168="",H168=""),"",IFERROR(IFERROR(INDEX(Recipes!$Q$5:$Q$204,MATCH(G168,Recipes!$A$5:$A$204,0)),"")*H168,""))</f>
        <v>0</v>
      </c>
      <c r="R168" s="8">
        <f>IF(F168="","",Weekly_Budget/21)</f>
        <v>0</v>
      </c>
      <c r="S168" s="27"/>
      <c r="T168" s="27"/>
      <c r="U168" s="26"/>
      <c r="V168" s="7"/>
      <c r="W168" s="7"/>
      <c r="X168" s="26"/>
      <c r="Y168" s="8">
        <f>IF(G168="","",IF(COUNTIFS('Meal Prep'!$D$5:$D$124,G168)&gt;0,"Yes","No"))</f>
        <v>0</v>
      </c>
      <c r="Z168" s="8">
        <f>IF(G168="","",COUNTIFS('Recipe Ingredients'!$A$5:$A$1204,G168))</f>
        <v>0</v>
      </c>
      <c r="AA168" s="25"/>
      <c r="AB168" s="8">
        <f>IF(OR(B168="",Q168=""),"",COUNTIFS($B$5:$B$504,B168,$Q$5:$Q$504,"&gt;"&amp;Q168)+1)</f>
        <v>0</v>
      </c>
      <c r="AC168" s="8">
        <f>IF(OR(B168="",L168=""),"",COUNTIFS($B$5:$B$504,B168,$L$5:$L$504,"&gt;"&amp;L168)+1)</f>
        <v>0</v>
      </c>
      <c r="AD168" s="8">
        <f>IF(G168="","",IF(COUNTIFS($G$5:$G$504,G168)&gt;1,"Repeat","Once"))</f>
        <v>0</v>
      </c>
      <c r="AE168" s="8">
        <f>IF(G168="","",IF(IFERROR(INDEX(Recipes!$X$5:$X$204,MATCH(G168,Recipes!$A$5:$A$204,0)),"")="","",IFERROR(B168-IFERROR(INDEX(Recipes!$X$5:$X$204,MATCH(G168,Recipes!$A$5:$A$204,0)),""),"")))</f>
        <v>0</v>
      </c>
      <c r="AF168" s="8">
        <f>IF(G168="","",IF(AE168="","Yes",IF(AE168&gt;=Rotation_Gap_Days,"Yes","No")))</f>
        <v>0</v>
      </c>
      <c r="AG168" s="8">
        <f>IF(G168="","",IF(COUNTIFS('Recipe Ingredients'!$A$5:$A$1204,G168,'Recipe Ingredients'!$AC$5:$AC$1204,"Check")&gt;0,"Check","OK"))</f>
        <v>0</v>
      </c>
    </row>
    <row r="169" spans="1:33">
      <c r="A169" s="7"/>
      <c r="B169" s="30"/>
      <c r="C169" s="8">
        <f>IF(B169="","",B169-WEEKDAY(B169,2)+1)</f>
        <v>0</v>
      </c>
      <c r="D169" s="8">
        <f>IF(B169="","",TEXT(B169,"ddd"))</f>
        <v>0</v>
      </c>
      <c r="E169" s="8">
        <f>IF(B169="","",TEXT(B169,"mmm yyyy"))</f>
        <v>0</v>
      </c>
      <c r="F169" s="27"/>
      <c r="G169" s="7"/>
      <c r="H169" s="26"/>
      <c r="I169" s="8">
        <f>IF(G169="","",IFERROR(INDEX(Recipes!$D$5:$D$204,MATCH(G169,Recipes!$A$5:$A$204,0)),""))</f>
        <v>0</v>
      </c>
      <c r="J169" s="8">
        <f>IF(OR(G169="",H169="",I169="",I169=0),"",H169/I169)</f>
        <v>0</v>
      </c>
      <c r="K169" s="8">
        <f>IF(B169="","",Household_Size)</f>
        <v>0</v>
      </c>
      <c r="L169" s="8">
        <f>IF(OR(G169="",H169=""),"",IFERROR(IFERROR(INDEX(Recipes!$H$5:$H$204,MATCH(G169,Recipes!$A$5:$A$204,0)),"")*H169,""))</f>
        <v>0</v>
      </c>
      <c r="M169" s="8">
        <f>IF(OR(G169="",H169=""),"",IFERROR(IFERROR(INDEX(Recipes!$I$5:$I$204,MATCH(G169,Recipes!$A$5:$A$204,0)),"")*H169,""))</f>
        <v>0</v>
      </c>
      <c r="N169" s="8">
        <f>IF(OR(G169="",H169=""),"",IFERROR(IFERROR(INDEX(Recipes!$J$5:$J$204,MATCH(G169,Recipes!$A$5:$A$204,0)),"")*H169,""))</f>
        <v>0</v>
      </c>
      <c r="O169" s="8">
        <f>IF(OR(G169="",H169=""),"",IFERROR(IFERROR(INDEX(Recipes!$K$5:$K$204,MATCH(G169,Recipes!$A$5:$A$204,0)),"")*H169,""))</f>
        <v>0</v>
      </c>
      <c r="P169" s="8">
        <f>IF(OR(G169="",H169=""),"",IFERROR(IFERROR(INDEX(Recipes!$L$5:$L$204,MATCH(G169,Recipes!$A$5:$A$204,0)),"")*H169,""))</f>
        <v>0</v>
      </c>
      <c r="Q169" s="8">
        <f>IF(OR(G169="",H169=""),"",IFERROR(IFERROR(INDEX(Recipes!$Q$5:$Q$204,MATCH(G169,Recipes!$A$5:$A$204,0)),"")*H169,""))</f>
        <v>0</v>
      </c>
      <c r="R169" s="8">
        <f>IF(F169="","",Weekly_Budget/21)</f>
        <v>0</v>
      </c>
      <c r="S169" s="27"/>
      <c r="T169" s="27"/>
      <c r="U169" s="26"/>
      <c r="V169" s="7"/>
      <c r="W169" s="7"/>
      <c r="X169" s="26"/>
      <c r="Y169" s="8">
        <f>IF(G169="","",IF(COUNTIFS('Meal Prep'!$D$5:$D$124,G169)&gt;0,"Yes","No"))</f>
        <v>0</v>
      </c>
      <c r="Z169" s="8">
        <f>IF(G169="","",COUNTIFS('Recipe Ingredients'!$A$5:$A$1204,G169))</f>
        <v>0</v>
      </c>
      <c r="AA169" s="25"/>
      <c r="AB169" s="8">
        <f>IF(OR(B169="",Q169=""),"",COUNTIFS($B$5:$B$504,B169,$Q$5:$Q$504,"&gt;"&amp;Q169)+1)</f>
        <v>0</v>
      </c>
      <c r="AC169" s="8">
        <f>IF(OR(B169="",L169=""),"",COUNTIFS($B$5:$B$504,B169,$L$5:$L$504,"&gt;"&amp;L169)+1)</f>
        <v>0</v>
      </c>
      <c r="AD169" s="8">
        <f>IF(G169="","",IF(COUNTIFS($G$5:$G$504,G169)&gt;1,"Repeat","Once"))</f>
        <v>0</v>
      </c>
      <c r="AE169" s="8">
        <f>IF(G169="","",IF(IFERROR(INDEX(Recipes!$X$5:$X$204,MATCH(G169,Recipes!$A$5:$A$204,0)),"")="","",IFERROR(B169-IFERROR(INDEX(Recipes!$X$5:$X$204,MATCH(G169,Recipes!$A$5:$A$204,0)),""),"")))</f>
        <v>0</v>
      </c>
      <c r="AF169" s="8">
        <f>IF(G169="","",IF(AE169="","Yes",IF(AE169&gt;=Rotation_Gap_Days,"Yes","No")))</f>
        <v>0</v>
      </c>
      <c r="AG169" s="8">
        <f>IF(G169="","",IF(COUNTIFS('Recipe Ingredients'!$A$5:$A$1204,G169,'Recipe Ingredients'!$AC$5:$AC$1204,"Check")&gt;0,"Check","OK"))</f>
        <v>0</v>
      </c>
    </row>
    <row r="170" spans="1:33">
      <c r="A170" s="7"/>
      <c r="B170" s="30"/>
      <c r="C170" s="8">
        <f>IF(B170="","",B170-WEEKDAY(B170,2)+1)</f>
        <v>0</v>
      </c>
      <c r="D170" s="8">
        <f>IF(B170="","",TEXT(B170,"ddd"))</f>
        <v>0</v>
      </c>
      <c r="E170" s="8">
        <f>IF(B170="","",TEXT(B170,"mmm yyyy"))</f>
        <v>0</v>
      </c>
      <c r="F170" s="27"/>
      <c r="G170" s="7"/>
      <c r="H170" s="26"/>
      <c r="I170" s="8">
        <f>IF(G170="","",IFERROR(INDEX(Recipes!$D$5:$D$204,MATCH(G170,Recipes!$A$5:$A$204,0)),""))</f>
        <v>0</v>
      </c>
      <c r="J170" s="8">
        <f>IF(OR(G170="",H170="",I170="",I170=0),"",H170/I170)</f>
        <v>0</v>
      </c>
      <c r="K170" s="8">
        <f>IF(B170="","",Household_Size)</f>
        <v>0</v>
      </c>
      <c r="L170" s="8">
        <f>IF(OR(G170="",H170=""),"",IFERROR(IFERROR(INDEX(Recipes!$H$5:$H$204,MATCH(G170,Recipes!$A$5:$A$204,0)),"")*H170,""))</f>
        <v>0</v>
      </c>
      <c r="M170" s="8">
        <f>IF(OR(G170="",H170=""),"",IFERROR(IFERROR(INDEX(Recipes!$I$5:$I$204,MATCH(G170,Recipes!$A$5:$A$204,0)),"")*H170,""))</f>
        <v>0</v>
      </c>
      <c r="N170" s="8">
        <f>IF(OR(G170="",H170=""),"",IFERROR(IFERROR(INDEX(Recipes!$J$5:$J$204,MATCH(G170,Recipes!$A$5:$A$204,0)),"")*H170,""))</f>
        <v>0</v>
      </c>
      <c r="O170" s="8">
        <f>IF(OR(G170="",H170=""),"",IFERROR(IFERROR(INDEX(Recipes!$K$5:$K$204,MATCH(G170,Recipes!$A$5:$A$204,0)),"")*H170,""))</f>
        <v>0</v>
      </c>
      <c r="P170" s="8">
        <f>IF(OR(G170="",H170=""),"",IFERROR(IFERROR(INDEX(Recipes!$L$5:$L$204,MATCH(G170,Recipes!$A$5:$A$204,0)),"")*H170,""))</f>
        <v>0</v>
      </c>
      <c r="Q170" s="8">
        <f>IF(OR(G170="",H170=""),"",IFERROR(IFERROR(INDEX(Recipes!$Q$5:$Q$204,MATCH(G170,Recipes!$A$5:$A$204,0)),"")*H170,""))</f>
        <v>0</v>
      </c>
      <c r="R170" s="8">
        <f>IF(F170="","",Weekly_Budget/21)</f>
        <v>0</v>
      </c>
      <c r="S170" s="27"/>
      <c r="T170" s="27"/>
      <c r="U170" s="26"/>
      <c r="V170" s="7"/>
      <c r="W170" s="7"/>
      <c r="X170" s="26"/>
      <c r="Y170" s="8">
        <f>IF(G170="","",IF(COUNTIFS('Meal Prep'!$D$5:$D$124,G170)&gt;0,"Yes","No"))</f>
        <v>0</v>
      </c>
      <c r="Z170" s="8">
        <f>IF(G170="","",COUNTIFS('Recipe Ingredients'!$A$5:$A$1204,G170))</f>
        <v>0</v>
      </c>
      <c r="AA170" s="25"/>
      <c r="AB170" s="8">
        <f>IF(OR(B170="",Q170=""),"",COUNTIFS($B$5:$B$504,B170,$Q$5:$Q$504,"&gt;"&amp;Q170)+1)</f>
        <v>0</v>
      </c>
      <c r="AC170" s="8">
        <f>IF(OR(B170="",L170=""),"",COUNTIFS($B$5:$B$504,B170,$L$5:$L$504,"&gt;"&amp;L170)+1)</f>
        <v>0</v>
      </c>
      <c r="AD170" s="8">
        <f>IF(G170="","",IF(COUNTIFS($G$5:$G$504,G170)&gt;1,"Repeat","Once"))</f>
        <v>0</v>
      </c>
      <c r="AE170" s="8">
        <f>IF(G170="","",IF(IFERROR(INDEX(Recipes!$X$5:$X$204,MATCH(G170,Recipes!$A$5:$A$204,0)),"")="","",IFERROR(B170-IFERROR(INDEX(Recipes!$X$5:$X$204,MATCH(G170,Recipes!$A$5:$A$204,0)),""),"")))</f>
        <v>0</v>
      </c>
      <c r="AF170" s="8">
        <f>IF(G170="","",IF(AE170="","Yes",IF(AE170&gt;=Rotation_Gap_Days,"Yes","No")))</f>
        <v>0</v>
      </c>
      <c r="AG170" s="8">
        <f>IF(G170="","",IF(COUNTIFS('Recipe Ingredients'!$A$5:$A$1204,G170,'Recipe Ingredients'!$AC$5:$AC$1204,"Check")&gt;0,"Check","OK"))</f>
        <v>0</v>
      </c>
    </row>
    <row r="171" spans="1:33">
      <c r="A171" s="7"/>
      <c r="B171" s="30"/>
      <c r="C171" s="8">
        <f>IF(B171="","",B171-WEEKDAY(B171,2)+1)</f>
        <v>0</v>
      </c>
      <c r="D171" s="8">
        <f>IF(B171="","",TEXT(B171,"ddd"))</f>
        <v>0</v>
      </c>
      <c r="E171" s="8">
        <f>IF(B171="","",TEXT(B171,"mmm yyyy"))</f>
        <v>0</v>
      </c>
      <c r="F171" s="27"/>
      <c r="G171" s="7"/>
      <c r="H171" s="26"/>
      <c r="I171" s="8">
        <f>IF(G171="","",IFERROR(INDEX(Recipes!$D$5:$D$204,MATCH(G171,Recipes!$A$5:$A$204,0)),""))</f>
        <v>0</v>
      </c>
      <c r="J171" s="8">
        <f>IF(OR(G171="",H171="",I171="",I171=0),"",H171/I171)</f>
        <v>0</v>
      </c>
      <c r="K171" s="8">
        <f>IF(B171="","",Household_Size)</f>
        <v>0</v>
      </c>
      <c r="L171" s="8">
        <f>IF(OR(G171="",H171=""),"",IFERROR(IFERROR(INDEX(Recipes!$H$5:$H$204,MATCH(G171,Recipes!$A$5:$A$204,0)),"")*H171,""))</f>
        <v>0</v>
      </c>
      <c r="M171" s="8">
        <f>IF(OR(G171="",H171=""),"",IFERROR(IFERROR(INDEX(Recipes!$I$5:$I$204,MATCH(G171,Recipes!$A$5:$A$204,0)),"")*H171,""))</f>
        <v>0</v>
      </c>
      <c r="N171" s="8">
        <f>IF(OR(G171="",H171=""),"",IFERROR(IFERROR(INDEX(Recipes!$J$5:$J$204,MATCH(G171,Recipes!$A$5:$A$204,0)),"")*H171,""))</f>
        <v>0</v>
      </c>
      <c r="O171" s="8">
        <f>IF(OR(G171="",H171=""),"",IFERROR(IFERROR(INDEX(Recipes!$K$5:$K$204,MATCH(G171,Recipes!$A$5:$A$204,0)),"")*H171,""))</f>
        <v>0</v>
      </c>
      <c r="P171" s="8">
        <f>IF(OR(G171="",H171=""),"",IFERROR(IFERROR(INDEX(Recipes!$L$5:$L$204,MATCH(G171,Recipes!$A$5:$A$204,0)),"")*H171,""))</f>
        <v>0</v>
      </c>
      <c r="Q171" s="8">
        <f>IF(OR(G171="",H171=""),"",IFERROR(IFERROR(INDEX(Recipes!$Q$5:$Q$204,MATCH(G171,Recipes!$A$5:$A$204,0)),"")*H171,""))</f>
        <v>0</v>
      </c>
      <c r="R171" s="8">
        <f>IF(F171="","",Weekly_Budget/21)</f>
        <v>0</v>
      </c>
      <c r="S171" s="27"/>
      <c r="T171" s="27"/>
      <c r="U171" s="26"/>
      <c r="V171" s="7"/>
      <c r="W171" s="7"/>
      <c r="X171" s="26"/>
      <c r="Y171" s="8">
        <f>IF(G171="","",IF(COUNTIFS('Meal Prep'!$D$5:$D$124,G171)&gt;0,"Yes","No"))</f>
        <v>0</v>
      </c>
      <c r="Z171" s="8">
        <f>IF(G171="","",COUNTIFS('Recipe Ingredients'!$A$5:$A$1204,G171))</f>
        <v>0</v>
      </c>
      <c r="AA171" s="25"/>
      <c r="AB171" s="8">
        <f>IF(OR(B171="",Q171=""),"",COUNTIFS($B$5:$B$504,B171,$Q$5:$Q$504,"&gt;"&amp;Q171)+1)</f>
        <v>0</v>
      </c>
      <c r="AC171" s="8">
        <f>IF(OR(B171="",L171=""),"",COUNTIFS($B$5:$B$504,B171,$L$5:$L$504,"&gt;"&amp;L171)+1)</f>
        <v>0</v>
      </c>
      <c r="AD171" s="8">
        <f>IF(G171="","",IF(COUNTIFS($G$5:$G$504,G171)&gt;1,"Repeat","Once"))</f>
        <v>0</v>
      </c>
      <c r="AE171" s="8">
        <f>IF(G171="","",IF(IFERROR(INDEX(Recipes!$X$5:$X$204,MATCH(G171,Recipes!$A$5:$A$204,0)),"")="","",IFERROR(B171-IFERROR(INDEX(Recipes!$X$5:$X$204,MATCH(G171,Recipes!$A$5:$A$204,0)),""),"")))</f>
        <v>0</v>
      </c>
      <c r="AF171" s="8">
        <f>IF(G171="","",IF(AE171="","Yes",IF(AE171&gt;=Rotation_Gap_Days,"Yes","No")))</f>
        <v>0</v>
      </c>
      <c r="AG171" s="8">
        <f>IF(G171="","",IF(COUNTIFS('Recipe Ingredients'!$A$5:$A$1204,G171,'Recipe Ingredients'!$AC$5:$AC$1204,"Check")&gt;0,"Check","OK"))</f>
        <v>0</v>
      </c>
    </row>
    <row r="172" spans="1:33">
      <c r="A172" s="7"/>
      <c r="B172" s="30"/>
      <c r="C172" s="8">
        <f>IF(B172="","",B172-WEEKDAY(B172,2)+1)</f>
        <v>0</v>
      </c>
      <c r="D172" s="8">
        <f>IF(B172="","",TEXT(B172,"ddd"))</f>
        <v>0</v>
      </c>
      <c r="E172" s="8">
        <f>IF(B172="","",TEXT(B172,"mmm yyyy"))</f>
        <v>0</v>
      </c>
      <c r="F172" s="27"/>
      <c r="G172" s="7"/>
      <c r="H172" s="26"/>
      <c r="I172" s="8">
        <f>IF(G172="","",IFERROR(INDEX(Recipes!$D$5:$D$204,MATCH(G172,Recipes!$A$5:$A$204,0)),""))</f>
        <v>0</v>
      </c>
      <c r="J172" s="8">
        <f>IF(OR(G172="",H172="",I172="",I172=0),"",H172/I172)</f>
        <v>0</v>
      </c>
      <c r="K172" s="8">
        <f>IF(B172="","",Household_Size)</f>
        <v>0</v>
      </c>
      <c r="L172" s="8">
        <f>IF(OR(G172="",H172=""),"",IFERROR(IFERROR(INDEX(Recipes!$H$5:$H$204,MATCH(G172,Recipes!$A$5:$A$204,0)),"")*H172,""))</f>
        <v>0</v>
      </c>
      <c r="M172" s="8">
        <f>IF(OR(G172="",H172=""),"",IFERROR(IFERROR(INDEX(Recipes!$I$5:$I$204,MATCH(G172,Recipes!$A$5:$A$204,0)),"")*H172,""))</f>
        <v>0</v>
      </c>
      <c r="N172" s="8">
        <f>IF(OR(G172="",H172=""),"",IFERROR(IFERROR(INDEX(Recipes!$J$5:$J$204,MATCH(G172,Recipes!$A$5:$A$204,0)),"")*H172,""))</f>
        <v>0</v>
      </c>
      <c r="O172" s="8">
        <f>IF(OR(G172="",H172=""),"",IFERROR(IFERROR(INDEX(Recipes!$K$5:$K$204,MATCH(G172,Recipes!$A$5:$A$204,0)),"")*H172,""))</f>
        <v>0</v>
      </c>
      <c r="P172" s="8">
        <f>IF(OR(G172="",H172=""),"",IFERROR(IFERROR(INDEX(Recipes!$L$5:$L$204,MATCH(G172,Recipes!$A$5:$A$204,0)),"")*H172,""))</f>
        <v>0</v>
      </c>
      <c r="Q172" s="8">
        <f>IF(OR(G172="",H172=""),"",IFERROR(IFERROR(INDEX(Recipes!$Q$5:$Q$204,MATCH(G172,Recipes!$A$5:$A$204,0)),"")*H172,""))</f>
        <v>0</v>
      </c>
      <c r="R172" s="8">
        <f>IF(F172="","",Weekly_Budget/21)</f>
        <v>0</v>
      </c>
      <c r="S172" s="27"/>
      <c r="T172" s="27"/>
      <c r="U172" s="26"/>
      <c r="V172" s="7"/>
      <c r="W172" s="7"/>
      <c r="X172" s="26"/>
      <c r="Y172" s="8">
        <f>IF(G172="","",IF(COUNTIFS('Meal Prep'!$D$5:$D$124,G172)&gt;0,"Yes","No"))</f>
        <v>0</v>
      </c>
      <c r="Z172" s="8">
        <f>IF(G172="","",COUNTIFS('Recipe Ingredients'!$A$5:$A$1204,G172))</f>
        <v>0</v>
      </c>
      <c r="AA172" s="25"/>
      <c r="AB172" s="8">
        <f>IF(OR(B172="",Q172=""),"",COUNTIFS($B$5:$B$504,B172,$Q$5:$Q$504,"&gt;"&amp;Q172)+1)</f>
        <v>0</v>
      </c>
      <c r="AC172" s="8">
        <f>IF(OR(B172="",L172=""),"",COUNTIFS($B$5:$B$504,B172,$L$5:$L$504,"&gt;"&amp;L172)+1)</f>
        <v>0</v>
      </c>
      <c r="AD172" s="8">
        <f>IF(G172="","",IF(COUNTIFS($G$5:$G$504,G172)&gt;1,"Repeat","Once"))</f>
        <v>0</v>
      </c>
      <c r="AE172" s="8">
        <f>IF(G172="","",IF(IFERROR(INDEX(Recipes!$X$5:$X$204,MATCH(G172,Recipes!$A$5:$A$204,0)),"")="","",IFERROR(B172-IFERROR(INDEX(Recipes!$X$5:$X$204,MATCH(G172,Recipes!$A$5:$A$204,0)),""),"")))</f>
        <v>0</v>
      </c>
      <c r="AF172" s="8">
        <f>IF(G172="","",IF(AE172="","Yes",IF(AE172&gt;=Rotation_Gap_Days,"Yes","No")))</f>
        <v>0</v>
      </c>
      <c r="AG172" s="8">
        <f>IF(G172="","",IF(COUNTIFS('Recipe Ingredients'!$A$5:$A$1204,G172,'Recipe Ingredients'!$AC$5:$AC$1204,"Check")&gt;0,"Check","OK"))</f>
        <v>0</v>
      </c>
    </row>
    <row r="173" spans="1:33">
      <c r="A173" s="7"/>
      <c r="B173" s="30"/>
      <c r="C173" s="8">
        <f>IF(B173="","",B173-WEEKDAY(B173,2)+1)</f>
        <v>0</v>
      </c>
      <c r="D173" s="8">
        <f>IF(B173="","",TEXT(B173,"ddd"))</f>
        <v>0</v>
      </c>
      <c r="E173" s="8">
        <f>IF(B173="","",TEXT(B173,"mmm yyyy"))</f>
        <v>0</v>
      </c>
      <c r="F173" s="27"/>
      <c r="G173" s="7"/>
      <c r="H173" s="26"/>
      <c r="I173" s="8">
        <f>IF(G173="","",IFERROR(INDEX(Recipes!$D$5:$D$204,MATCH(G173,Recipes!$A$5:$A$204,0)),""))</f>
        <v>0</v>
      </c>
      <c r="J173" s="8">
        <f>IF(OR(G173="",H173="",I173="",I173=0),"",H173/I173)</f>
        <v>0</v>
      </c>
      <c r="K173" s="8">
        <f>IF(B173="","",Household_Size)</f>
        <v>0</v>
      </c>
      <c r="L173" s="8">
        <f>IF(OR(G173="",H173=""),"",IFERROR(IFERROR(INDEX(Recipes!$H$5:$H$204,MATCH(G173,Recipes!$A$5:$A$204,0)),"")*H173,""))</f>
        <v>0</v>
      </c>
      <c r="M173" s="8">
        <f>IF(OR(G173="",H173=""),"",IFERROR(IFERROR(INDEX(Recipes!$I$5:$I$204,MATCH(G173,Recipes!$A$5:$A$204,0)),"")*H173,""))</f>
        <v>0</v>
      </c>
      <c r="N173" s="8">
        <f>IF(OR(G173="",H173=""),"",IFERROR(IFERROR(INDEX(Recipes!$J$5:$J$204,MATCH(G173,Recipes!$A$5:$A$204,0)),"")*H173,""))</f>
        <v>0</v>
      </c>
      <c r="O173" s="8">
        <f>IF(OR(G173="",H173=""),"",IFERROR(IFERROR(INDEX(Recipes!$K$5:$K$204,MATCH(G173,Recipes!$A$5:$A$204,0)),"")*H173,""))</f>
        <v>0</v>
      </c>
      <c r="P173" s="8">
        <f>IF(OR(G173="",H173=""),"",IFERROR(IFERROR(INDEX(Recipes!$L$5:$L$204,MATCH(G173,Recipes!$A$5:$A$204,0)),"")*H173,""))</f>
        <v>0</v>
      </c>
      <c r="Q173" s="8">
        <f>IF(OR(G173="",H173=""),"",IFERROR(IFERROR(INDEX(Recipes!$Q$5:$Q$204,MATCH(G173,Recipes!$A$5:$A$204,0)),"")*H173,""))</f>
        <v>0</v>
      </c>
      <c r="R173" s="8">
        <f>IF(F173="","",Weekly_Budget/21)</f>
        <v>0</v>
      </c>
      <c r="S173" s="27"/>
      <c r="T173" s="27"/>
      <c r="U173" s="26"/>
      <c r="V173" s="7"/>
      <c r="W173" s="7"/>
      <c r="X173" s="26"/>
      <c r="Y173" s="8">
        <f>IF(G173="","",IF(COUNTIFS('Meal Prep'!$D$5:$D$124,G173)&gt;0,"Yes","No"))</f>
        <v>0</v>
      </c>
      <c r="Z173" s="8">
        <f>IF(G173="","",COUNTIFS('Recipe Ingredients'!$A$5:$A$1204,G173))</f>
        <v>0</v>
      </c>
      <c r="AA173" s="25"/>
      <c r="AB173" s="8">
        <f>IF(OR(B173="",Q173=""),"",COUNTIFS($B$5:$B$504,B173,$Q$5:$Q$504,"&gt;"&amp;Q173)+1)</f>
        <v>0</v>
      </c>
      <c r="AC173" s="8">
        <f>IF(OR(B173="",L173=""),"",COUNTIFS($B$5:$B$504,B173,$L$5:$L$504,"&gt;"&amp;L173)+1)</f>
        <v>0</v>
      </c>
      <c r="AD173" s="8">
        <f>IF(G173="","",IF(COUNTIFS($G$5:$G$504,G173)&gt;1,"Repeat","Once"))</f>
        <v>0</v>
      </c>
      <c r="AE173" s="8">
        <f>IF(G173="","",IF(IFERROR(INDEX(Recipes!$X$5:$X$204,MATCH(G173,Recipes!$A$5:$A$204,0)),"")="","",IFERROR(B173-IFERROR(INDEX(Recipes!$X$5:$X$204,MATCH(G173,Recipes!$A$5:$A$204,0)),""),"")))</f>
        <v>0</v>
      </c>
      <c r="AF173" s="8">
        <f>IF(G173="","",IF(AE173="","Yes",IF(AE173&gt;=Rotation_Gap_Days,"Yes","No")))</f>
        <v>0</v>
      </c>
      <c r="AG173" s="8">
        <f>IF(G173="","",IF(COUNTIFS('Recipe Ingredients'!$A$5:$A$1204,G173,'Recipe Ingredients'!$AC$5:$AC$1204,"Check")&gt;0,"Check","OK"))</f>
        <v>0</v>
      </c>
    </row>
    <row r="174" spans="1:33">
      <c r="A174" s="7"/>
      <c r="B174" s="30"/>
      <c r="C174" s="8">
        <f>IF(B174="","",B174-WEEKDAY(B174,2)+1)</f>
        <v>0</v>
      </c>
      <c r="D174" s="8">
        <f>IF(B174="","",TEXT(B174,"ddd"))</f>
        <v>0</v>
      </c>
      <c r="E174" s="8">
        <f>IF(B174="","",TEXT(B174,"mmm yyyy"))</f>
        <v>0</v>
      </c>
      <c r="F174" s="27"/>
      <c r="G174" s="7"/>
      <c r="H174" s="26"/>
      <c r="I174" s="8">
        <f>IF(G174="","",IFERROR(INDEX(Recipes!$D$5:$D$204,MATCH(G174,Recipes!$A$5:$A$204,0)),""))</f>
        <v>0</v>
      </c>
      <c r="J174" s="8">
        <f>IF(OR(G174="",H174="",I174="",I174=0),"",H174/I174)</f>
        <v>0</v>
      </c>
      <c r="K174" s="8">
        <f>IF(B174="","",Household_Size)</f>
        <v>0</v>
      </c>
      <c r="L174" s="8">
        <f>IF(OR(G174="",H174=""),"",IFERROR(IFERROR(INDEX(Recipes!$H$5:$H$204,MATCH(G174,Recipes!$A$5:$A$204,0)),"")*H174,""))</f>
        <v>0</v>
      </c>
      <c r="M174" s="8">
        <f>IF(OR(G174="",H174=""),"",IFERROR(IFERROR(INDEX(Recipes!$I$5:$I$204,MATCH(G174,Recipes!$A$5:$A$204,0)),"")*H174,""))</f>
        <v>0</v>
      </c>
      <c r="N174" s="8">
        <f>IF(OR(G174="",H174=""),"",IFERROR(IFERROR(INDEX(Recipes!$J$5:$J$204,MATCH(G174,Recipes!$A$5:$A$204,0)),"")*H174,""))</f>
        <v>0</v>
      </c>
      <c r="O174" s="8">
        <f>IF(OR(G174="",H174=""),"",IFERROR(IFERROR(INDEX(Recipes!$K$5:$K$204,MATCH(G174,Recipes!$A$5:$A$204,0)),"")*H174,""))</f>
        <v>0</v>
      </c>
      <c r="P174" s="8">
        <f>IF(OR(G174="",H174=""),"",IFERROR(IFERROR(INDEX(Recipes!$L$5:$L$204,MATCH(G174,Recipes!$A$5:$A$204,0)),"")*H174,""))</f>
        <v>0</v>
      </c>
      <c r="Q174" s="8">
        <f>IF(OR(G174="",H174=""),"",IFERROR(IFERROR(INDEX(Recipes!$Q$5:$Q$204,MATCH(G174,Recipes!$A$5:$A$204,0)),"")*H174,""))</f>
        <v>0</v>
      </c>
      <c r="R174" s="8">
        <f>IF(F174="","",Weekly_Budget/21)</f>
        <v>0</v>
      </c>
      <c r="S174" s="27"/>
      <c r="T174" s="27"/>
      <c r="U174" s="26"/>
      <c r="V174" s="7"/>
      <c r="W174" s="7"/>
      <c r="X174" s="26"/>
      <c r="Y174" s="8">
        <f>IF(G174="","",IF(COUNTIFS('Meal Prep'!$D$5:$D$124,G174)&gt;0,"Yes","No"))</f>
        <v>0</v>
      </c>
      <c r="Z174" s="8">
        <f>IF(G174="","",COUNTIFS('Recipe Ingredients'!$A$5:$A$1204,G174))</f>
        <v>0</v>
      </c>
      <c r="AA174" s="25"/>
      <c r="AB174" s="8">
        <f>IF(OR(B174="",Q174=""),"",COUNTIFS($B$5:$B$504,B174,$Q$5:$Q$504,"&gt;"&amp;Q174)+1)</f>
        <v>0</v>
      </c>
      <c r="AC174" s="8">
        <f>IF(OR(B174="",L174=""),"",COUNTIFS($B$5:$B$504,B174,$L$5:$L$504,"&gt;"&amp;L174)+1)</f>
        <v>0</v>
      </c>
      <c r="AD174" s="8">
        <f>IF(G174="","",IF(COUNTIFS($G$5:$G$504,G174)&gt;1,"Repeat","Once"))</f>
        <v>0</v>
      </c>
      <c r="AE174" s="8">
        <f>IF(G174="","",IF(IFERROR(INDEX(Recipes!$X$5:$X$204,MATCH(G174,Recipes!$A$5:$A$204,0)),"")="","",IFERROR(B174-IFERROR(INDEX(Recipes!$X$5:$X$204,MATCH(G174,Recipes!$A$5:$A$204,0)),""),"")))</f>
        <v>0</v>
      </c>
      <c r="AF174" s="8">
        <f>IF(G174="","",IF(AE174="","Yes",IF(AE174&gt;=Rotation_Gap_Days,"Yes","No")))</f>
        <v>0</v>
      </c>
      <c r="AG174" s="8">
        <f>IF(G174="","",IF(COUNTIFS('Recipe Ingredients'!$A$5:$A$1204,G174,'Recipe Ingredients'!$AC$5:$AC$1204,"Check")&gt;0,"Check","OK"))</f>
        <v>0</v>
      </c>
    </row>
    <row r="175" spans="1:33">
      <c r="A175" s="7"/>
      <c r="B175" s="30"/>
      <c r="C175" s="8">
        <f>IF(B175="","",B175-WEEKDAY(B175,2)+1)</f>
        <v>0</v>
      </c>
      <c r="D175" s="8">
        <f>IF(B175="","",TEXT(B175,"ddd"))</f>
        <v>0</v>
      </c>
      <c r="E175" s="8">
        <f>IF(B175="","",TEXT(B175,"mmm yyyy"))</f>
        <v>0</v>
      </c>
      <c r="F175" s="27"/>
      <c r="G175" s="7"/>
      <c r="H175" s="26"/>
      <c r="I175" s="8">
        <f>IF(G175="","",IFERROR(INDEX(Recipes!$D$5:$D$204,MATCH(G175,Recipes!$A$5:$A$204,0)),""))</f>
        <v>0</v>
      </c>
      <c r="J175" s="8">
        <f>IF(OR(G175="",H175="",I175="",I175=0),"",H175/I175)</f>
        <v>0</v>
      </c>
      <c r="K175" s="8">
        <f>IF(B175="","",Household_Size)</f>
        <v>0</v>
      </c>
      <c r="L175" s="8">
        <f>IF(OR(G175="",H175=""),"",IFERROR(IFERROR(INDEX(Recipes!$H$5:$H$204,MATCH(G175,Recipes!$A$5:$A$204,0)),"")*H175,""))</f>
        <v>0</v>
      </c>
      <c r="M175" s="8">
        <f>IF(OR(G175="",H175=""),"",IFERROR(IFERROR(INDEX(Recipes!$I$5:$I$204,MATCH(G175,Recipes!$A$5:$A$204,0)),"")*H175,""))</f>
        <v>0</v>
      </c>
      <c r="N175" s="8">
        <f>IF(OR(G175="",H175=""),"",IFERROR(IFERROR(INDEX(Recipes!$J$5:$J$204,MATCH(G175,Recipes!$A$5:$A$204,0)),"")*H175,""))</f>
        <v>0</v>
      </c>
      <c r="O175" s="8">
        <f>IF(OR(G175="",H175=""),"",IFERROR(IFERROR(INDEX(Recipes!$K$5:$K$204,MATCH(G175,Recipes!$A$5:$A$204,0)),"")*H175,""))</f>
        <v>0</v>
      </c>
      <c r="P175" s="8">
        <f>IF(OR(G175="",H175=""),"",IFERROR(IFERROR(INDEX(Recipes!$L$5:$L$204,MATCH(G175,Recipes!$A$5:$A$204,0)),"")*H175,""))</f>
        <v>0</v>
      </c>
      <c r="Q175" s="8">
        <f>IF(OR(G175="",H175=""),"",IFERROR(IFERROR(INDEX(Recipes!$Q$5:$Q$204,MATCH(G175,Recipes!$A$5:$A$204,0)),"")*H175,""))</f>
        <v>0</v>
      </c>
      <c r="R175" s="8">
        <f>IF(F175="","",Weekly_Budget/21)</f>
        <v>0</v>
      </c>
      <c r="S175" s="27"/>
      <c r="T175" s="27"/>
      <c r="U175" s="26"/>
      <c r="V175" s="7"/>
      <c r="W175" s="7"/>
      <c r="X175" s="26"/>
      <c r="Y175" s="8">
        <f>IF(G175="","",IF(COUNTIFS('Meal Prep'!$D$5:$D$124,G175)&gt;0,"Yes","No"))</f>
        <v>0</v>
      </c>
      <c r="Z175" s="8">
        <f>IF(G175="","",COUNTIFS('Recipe Ingredients'!$A$5:$A$1204,G175))</f>
        <v>0</v>
      </c>
      <c r="AA175" s="25"/>
      <c r="AB175" s="8">
        <f>IF(OR(B175="",Q175=""),"",COUNTIFS($B$5:$B$504,B175,$Q$5:$Q$504,"&gt;"&amp;Q175)+1)</f>
        <v>0</v>
      </c>
      <c r="AC175" s="8">
        <f>IF(OR(B175="",L175=""),"",COUNTIFS($B$5:$B$504,B175,$L$5:$L$504,"&gt;"&amp;L175)+1)</f>
        <v>0</v>
      </c>
      <c r="AD175" s="8">
        <f>IF(G175="","",IF(COUNTIFS($G$5:$G$504,G175)&gt;1,"Repeat","Once"))</f>
        <v>0</v>
      </c>
      <c r="AE175" s="8">
        <f>IF(G175="","",IF(IFERROR(INDEX(Recipes!$X$5:$X$204,MATCH(G175,Recipes!$A$5:$A$204,0)),"")="","",IFERROR(B175-IFERROR(INDEX(Recipes!$X$5:$X$204,MATCH(G175,Recipes!$A$5:$A$204,0)),""),"")))</f>
        <v>0</v>
      </c>
      <c r="AF175" s="8">
        <f>IF(G175="","",IF(AE175="","Yes",IF(AE175&gt;=Rotation_Gap_Days,"Yes","No")))</f>
        <v>0</v>
      </c>
      <c r="AG175" s="8">
        <f>IF(G175="","",IF(COUNTIFS('Recipe Ingredients'!$A$5:$A$1204,G175,'Recipe Ingredients'!$AC$5:$AC$1204,"Check")&gt;0,"Check","OK"))</f>
        <v>0</v>
      </c>
    </row>
    <row r="176" spans="1:33">
      <c r="A176" s="7"/>
      <c r="B176" s="30"/>
      <c r="C176" s="8">
        <f>IF(B176="","",B176-WEEKDAY(B176,2)+1)</f>
        <v>0</v>
      </c>
      <c r="D176" s="8">
        <f>IF(B176="","",TEXT(B176,"ddd"))</f>
        <v>0</v>
      </c>
      <c r="E176" s="8">
        <f>IF(B176="","",TEXT(B176,"mmm yyyy"))</f>
        <v>0</v>
      </c>
      <c r="F176" s="27"/>
      <c r="G176" s="7"/>
      <c r="H176" s="26"/>
      <c r="I176" s="8">
        <f>IF(G176="","",IFERROR(INDEX(Recipes!$D$5:$D$204,MATCH(G176,Recipes!$A$5:$A$204,0)),""))</f>
        <v>0</v>
      </c>
      <c r="J176" s="8">
        <f>IF(OR(G176="",H176="",I176="",I176=0),"",H176/I176)</f>
        <v>0</v>
      </c>
      <c r="K176" s="8">
        <f>IF(B176="","",Household_Size)</f>
        <v>0</v>
      </c>
      <c r="L176" s="8">
        <f>IF(OR(G176="",H176=""),"",IFERROR(IFERROR(INDEX(Recipes!$H$5:$H$204,MATCH(G176,Recipes!$A$5:$A$204,0)),"")*H176,""))</f>
        <v>0</v>
      </c>
      <c r="M176" s="8">
        <f>IF(OR(G176="",H176=""),"",IFERROR(IFERROR(INDEX(Recipes!$I$5:$I$204,MATCH(G176,Recipes!$A$5:$A$204,0)),"")*H176,""))</f>
        <v>0</v>
      </c>
      <c r="N176" s="8">
        <f>IF(OR(G176="",H176=""),"",IFERROR(IFERROR(INDEX(Recipes!$J$5:$J$204,MATCH(G176,Recipes!$A$5:$A$204,0)),"")*H176,""))</f>
        <v>0</v>
      </c>
      <c r="O176" s="8">
        <f>IF(OR(G176="",H176=""),"",IFERROR(IFERROR(INDEX(Recipes!$K$5:$K$204,MATCH(G176,Recipes!$A$5:$A$204,0)),"")*H176,""))</f>
        <v>0</v>
      </c>
      <c r="P176" s="8">
        <f>IF(OR(G176="",H176=""),"",IFERROR(IFERROR(INDEX(Recipes!$L$5:$L$204,MATCH(G176,Recipes!$A$5:$A$204,0)),"")*H176,""))</f>
        <v>0</v>
      </c>
      <c r="Q176" s="8">
        <f>IF(OR(G176="",H176=""),"",IFERROR(IFERROR(INDEX(Recipes!$Q$5:$Q$204,MATCH(G176,Recipes!$A$5:$A$204,0)),"")*H176,""))</f>
        <v>0</v>
      </c>
      <c r="R176" s="8">
        <f>IF(F176="","",Weekly_Budget/21)</f>
        <v>0</v>
      </c>
      <c r="S176" s="27"/>
      <c r="T176" s="27"/>
      <c r="U176" s="26"/>
      <c r="V176" s="7"/>
      <c r="W176" s="7"/>
      <c r="X176" s="26"/>
      <c r="Y176" s="8">
        <f>IF(G176="","",IF(COUNTIFS('Meal Prep'!$D$5:$D$124,G176)&gt;0,"Yes","No"))</f>
        <v>0</v>
      </c>
      <c r="Z176" s="8">
        <f>IF(G176="","",COUNTIFS('Recipe Ingredients'!$A$5:$A$1204,G176))</f>
        <v>0</v>
      </c>
      <c r="AA176" s="25"/>
      <c r="AB176" s="8">
        <f>IF(OR(B176="",Q176=""),"",COUNTIFS($B$5:$B$504,B176,$Q$5:$Q$504,"&gt;"&amp;Q176)+1)</f>
        <v>0</v>
      </c>
      <c r="AC176" s="8">
        <f>IF(OR(B176="",L176=""),"",COUNTIFS($B$5:$B$504,B176,$L$5:$L$504,"&gt;"&amp;L176)+1)</f>
        <v>0</v>
      </c>
      <c r="AD176" s="8">
        <f>IF(G176="","",IF(COUNTIFS($G$5:$G$504,G176)&gt;1,"Repeat","Once"))</f>
        <v>0</v>
      </c>
      <c r="AE176" s="8">
        <f>IF(G176="","",IF(IFERROR(INDEX(Recipes!$X$5:$X$204,MATCH(G176,Recipes!$A$5:$A$204,0)),"")="","",IFERROR(B176-IFERROR(INDEX(Recipes!$X$5:$X$204,MATCH(G176,Recipes!$A$5:$A$204,0)),""),"")))</f>
        <v>0</v>
      </c>
      <c r="AF176" s="8">
        <f>IF(G176="","",IF(AE176="","Yes",IF(AE176&gt;=Rotation_Gap_Days,"Yes","No")))</f>
        <v>0</v>
      </c>
      <c r="AG176" s="8">
        <f>IF(G176="","",IF(COUNTIFS('Recipe Ingredients'!$A$5:$A$1204,G176,'Recipe Ingredients'!$AC$5:$AC$1204,"Check")&gt;0,"Check","OK"))</f>
        <v>0</v>
      </c>
    </row>
    <row r="177" spans="1:33">
      <c r="A177" s="7"/>
      <c r="B177" s="30"/>
      <c r="C177" s="8">
        <f>IF(B177="","",B177-WEEKDAY(B177,2)+1)</f>
        <v>0</v>
      </c>
      <c r="D177" s="8">
        <f>IF(B177="","",TEXT(B177,"ddd"))</f>
        <v>0</v>
      </c>
      <c r="E177" s="8">
        <f>IF(B177="","",TEXT(B177,"mmm yyyy"))</f>
        <v>0</v>
      </c>
      <c r="F177" s="27"/>
      <c r="G177" s="7"/>
      <c r="H177" s="26"/>
      <c r="I177" s="8">
        <f>IF(G177="","",IFERROR(INDEX(Recipes!$D$5:$D$204,MATCH(G177,Recipes!$A$5:$A$204,0)),""))</f>
        <v>0</v>
      </c>
      <c r="J177" s="8">
        <f>IF(OR(G177="",H177="",I177="",I177=0),"",H177/I177)</f>
        <v>0</v>
      </c>
      <c r="K177" s="8">
        <f>IF(B177="","",Household_Size)</f>
        <v>0</v>
      </c>
      <c r="L177" s="8">
        <f>IF(OR(G177="",H177=""),"",IFERROR(IFERROR(INDEX(Recipes!$H$5:$H$204,MATCH(G177,Recipes!$A$5:$A$204,0)),"")*H177,""))</f>
        <v>0</v>
      </c>
      <c r="M177" s="8">
        <f>IF(OR(G177="",H177=""),"",IFERROR(IFERROR(INDEX(Recipes!$I$5:$I$204,MATCH(G177,Recipes!$A$5:$A$204,0)),"")*H177,""))</f>
        <v>0</v>
      </c>
      <c r="N177" s="8">
        <f>IF(OR(G177="",H177=""),"",IFERROR(IFERROR(INDEX(Recipes!$J$5:$J$204,MATCH(G177,Recipes!$A$5:$A$204,0)),"")*H177,""))</f>
        <v>0</v>
      </c>
      <c r="O177" s="8">
        <f>IF(OR(G177="",H177=""),"",IFERROR(IFERROR(INDEX(Recipes!$K$5:$K$204,MATCH(G177,Recipes!$A$5:$A$204,0)),"")*H177,""))</f>
        <v>0</v>
      </c>
      <c r="P177" s="8">
        <f>IF(OR(G177="",H177=""),"",IFERROR(IFERROR(INDEX(Recipes!$L$5:$L$204,MATCH(G177,Recipes!$A$5:$A$204,0)),"")*H177,""))</f>
        <v>0</v>
      </c>
      <c r="Q177" s="8">
        <f>IF(OR(G177="",H177=""),"",IFERROR(IFERROR(INDEX(Recipes!$Q$5:$Q$204,MATCH(G177,Recipes!$A$5:$A$204,0)),"")*H177,""))</f>
        <v>0</v>
      </c>
      <c r="R177" s="8">
        <f>IF(F177="","",Weekly_Budget/21)</f>
        <v>0</v>
      </c>
      <c r="S177" s="27"/>
      <c r="T177" s="27"/>
      <c r="U177" s="26"/>
      <c r="V177" s="7"/>
      <c r="W177" s="7"/>
      <c r="X177" s="26"/>
      <c r="Y177" s="8">
        <f>IF(G177="","",IF(COUNTIFS('Meal Prep'!$D$5:$D$124,G177)&gt;0,"Yes","No"))</f>
        <v>0</v>
      </c>
      <c r="Z177" s="8">
        <f>IF(G177="","",COUNTIFS('Recipe Ingredients'!$A$5:$A$1204,G177))</f>
        <v>0</v>
      </c>
      <c r="AA177" s="25"/>
      <c r="AB177" s="8">
        <f>IF(OR(B177="",Q177=""),"",COUNTIFS($B$5:$B$504,B177,$Q$5:$Q$504,"&gt;"&amp;Q177)+1)</f>
        <v>0</v>
      </c>
      <c r="AC177" s="8">
        <f>IF(OR(B177="",L177=""),"",COUNTIFS($B$5:$B$504,B177,$L$5:$L$504,"&gt;"&amp;L177)+1)</f>
        <v>0</v>
      </c>
      <c r="AD177" s="8">
        <f>IF(G177="","",IF(COUNTIFS($G$5:$G$504,G177)&gt;1,"Repeat","Once"))</f>
        <v>0</v>
      </c>
      <c r="AE177" s="8">
        <f>IF(G177="","",IF(IFERROR(INDEX(Recipes!$X$5:$X$204,MATCH(G177,Recipes!$A$5:$A$204,0)),"")="","",IFERROR(B177-IFERROR(INDEX(Recipes!$X$5:$X$204,MATCH(G177,Recipes!$A$5:$A$204,0)),""),"")))</f>
        <v>0</v>
      </c>
      <c r="AF177" s="8">
        <f>IF(G177="","",IF(AE177="","Yes",IF(AE177&gt;=Rotation_Gap_Days,"Yes","No")))</f>
        <v>0</v>
      </c>
      <c r="AG177" s="8">
        <f>IF(G177="","",IF(COUNTIFS('Recipe Ingredients'!$A$5:$A$1204,G177,'Recipe Ingredients'!$AC$5:$AC$1204,"Check")&gt;0,"Check","OK"))</f>
        <v>0</v>
      </c>
    </row>
    <row r="178" spans="1:33">
      <c r="A178" s="7"/>
      <c r="B178" s="30"/>
      <c r="C178" s="8">
        <f>IF(B178="","",B178-WEEKDAY(B178,2)+1)</f>
        <v>0</v>
      </c>
      <c r="D178" s="8">
        <f>IF(B178="","",TEXT(B178,"ddd"))</f>
        <v>0</v>
      </c>
      <c r="E178" s="8">
        <f>IF(B178="","",TEXT(B178,"mmm yyyy"))</f>
        <v>0</v>
      </c>
      <c r="F178" s="27"/>
      <c r="G178" s="7"/>
      <c r="H178" s="26"/>
      <c r="I178" s="8">
        <f>IF(G178="","",IFERROR(INDEX(Recipes!$D$5:$D$204,MATCH(G178,Recipes!$A$5:$A$204,0)),""))</f>
        <v>0</v>
      </c>
      <c r="J178" s="8">
        <f>IF(OR(G178="",H178="",I178="",I178=0),"",H178/I178)</f>
        <v>0</v>
      </c>
      <c r="K178" s="8">
        <f>IF(B178="","",Household_Size)</f>
        <v>0</v>
      </c>
      <c r="L178" s="8">
        <f>IF(OR(G178="",H178=""),"",IFERROR(IFERROR(INDEX(Recipes!$H$5:$H$204,MATCH(G178,Recipes!$A$5:$A$204,0)),"")*H178,""))</f>
        <v>0</v>
      </c>
      <c r="M178" s="8">
        <f>IF(OR(G178="",H178=""),"",IFERROR(IFERROR(INDEX(Recipes!$I$5:$I$204,MATCH(G178,Recipes!$A$5:$A$204,0)),"")*H178,""))</f>
        <v>0</v>
      </c>
      <c r="N178" s="8">
        <f>IF(OR(G178="",H178=""),"",IFERROR(IFERROR(INDEX(Recipes!$J$5:$J$204,MATCH(G178,Recipes!$A$5:$A$204,0)),"")*H178,""))</f>
        <v>0</v>
      </c>
      <c r="O178" s="8">
        <f>IF(OR(G178="",H178=""),"",IFERROR(IFERROR(INDEX(Recipes!$K$5:$K$204,MATCH(G178,Recipes!$A$5:$A$204,0)),"")*H178,""))</f>
        <v>0</v>
      </c>
      <c r="P178" s="8">
        <f>IF(OR(G178="",H178=""),"",IFERROR(IFERROR(INDEX(Recipes!$L$5:$L$204,MATCH(G178,Recipes!$A$5:$A$204,0)),"")*H178,""))</f>
        <v>0</v>
      </c>
      <c r="Q178" s="8">
        <f>IF(OR(G178="",H178=""),"",IFERROR(IFERROR(INDEX(Recipes!$Q$5:$Q$204,MATCH(G178,Recipes!$A$5:$A$204,0)),"")*H178,""))</f>
        <v>0</v>
      </c>
      <c r="R178" s="8">
        <f>IF(F178="","",Weekly_Budget/21)</f>
        <v>0</v>
      </c>
      <c r="S178" s="27"/>
      <c r="T178" s="27"/>
      <c r="U178" s="26"/>
      <c r="V178" s="7"/>
      <c r="W178" s="7"/>
      <c r="X178" s="26"/>
      <c r="Y178" s="8">
        <f>IF(G178="","",IF(COUNTIFS('Meal Prep'!$D$5:$D$124,G178)&gt;0,"Yes","No"))</f>
        <v>0</v>
      </c>
      <c r="Z178" s="8">
        <f>IF(G178="","",COUNTIFS('Recipe Ingredients'!$A$5:$A$1204,G178))</f>
        <v>0</v>
      </c>
      <c r="AA178" s="25"/>
      <c r="AB178" s="8">
        <f>IF(OR(B178="",Q178=""),"",COUNTIFS($B$5:$B$504,B178,$Q$5:$Q$504,"&gt;"&amp;Q178)+1)</f>
        <v>0</v>
      </c>
      <c r="AC178" s="8">
        <f>IF(OR(B178="",L178=""),"",COUNTIFS($B$5:$B$504,B178,$L$5:$L$504,"&gt;"&amp;L178)+1)</f>
        <v>0</v>
      </c>
      <c r="AD178" s="8">
        <f>IF(G178="","",IF(COUNTIFS($G$5:$G$504,G178)&gt;1,"Repeat","Once"))</f>
        <v>0</v>
      </c>
      <c r="AE178" s="8">
        <f>IF(G178="","",IF(IFERROR(INDEX(Recipes!$X$5:$X$204,MATCH(G178,Recipes!$A$5:$A$204,0)),"")="","",IFERROR(B178-IFERROR(INDEX(Recipes!$X$5:$X$204,MATCH(G178,Recipes!$A$5:$A$204,0)),""),"")))</f>
        <v>0</v>
      </c>
      <c r="AF178" s="8">
        <f>IF(G178="","",IF(AE178="","Yes",IF(AE178&gt;=Rotation_Gap_Days,"Yes","No")))</f>
        <v>0</v>
      </c>
      <c r="AG178" s="8">
        <f>IF(G178="","",IF(COUNTIFS('Recipe Ingredients'!$A$5:$A$1204,G178,'Recipe Ingredients'!$AC$5:$AC$1204,"Check")&gt;0,"Check","OK"))</f>
        <v>0</v>
      </c>
    </row>
    <row r="179" spans="1:33">
      <c r="A179" s="7"/>
      <c r="B179" s="30"/>
      <c r="C179" s="8">
        <f>IF(B179="","",B179-WEEKDAY(B179,2)+1)</f>
        <v>0</v>
      </c>
      <c r="D179" s="8">
        <f>IF(B179="","",TEXT(B179,"ddd"))</f>
        <v>0</v>
      </c>
      <c r="E179" s="8">
        <f>IF(B179="","",TEXT(B179,"mmm yyyy"))</f>
        <v>0</v>
      </c>
      <c r="F179" s="27"/>
      <c r="G179" s="7"/>
      <c r="H179" s="26"/>
      <c r="I179" s="8">
        <f>IF(G179="","",IFERROR(INDEX(Recipes!$D$5:$D$204,MATCH(G179,Recipes!$A$5:$A$204,0)),""))</f>
        <v>0</v>
      </c>
      <c r="J179" s="8">
        <f>IF(OR(G179="",H179="",I179="",I179=0),"",H179/I179)</f>
        <v>0</v>
      </c>
      <c r="K179" s="8">
        <f>IF(B179="","",Household_Size)</f>
        <v>0</v>
      </c>
      <c r="L179" s="8">
        <f>IF(OR(G179="",H179=""),"",IFERROR(IFERROR(INDEX(Recipes!$H$5:$H$204,MATCH(G179,Recipes!$A$5:$A$204,0)),"")*H179,""))</f>
        <v>0</v>
      </c>
      <c r="M179" s="8">
        <f>IF(OR(G179="",H179=""),"",IFERROR(IFERROR(INDEX(Recipes!$I$5:$I$204,MATCH(G179,Recipes!$A$5:$A$204,0)),"")*H179,""))</f>
        <v>0</v>
      </c>
      <c r="N179" s="8">
        <f>IF(OR(G179="",H179=""),"",IFERROR(IFERROR(INDEX(Recipes!$J$5:$J$204,MATCH(G179,Recipes!$A$5:$A$204,0)),"")*H179,""))</f>
        <v>0</v>
      </c>
      <c r="O179" s="8">
        <f>IF(OR(G179="",H179=""),"",IFERROR(IFERROR(INDEX(Recipes!$K$5:$K$204,MATCH(G179,Recipes!$A$5:$A$204,0)),"")*H179,""))</f>
        <v>0</v>
      </c>
      <c r="P179" s="8">
        <f>IF(OR(G179="",H179=""),"",IFERROR(IFERROR(INDEX(Recipes!$L$5:$L$204,MATCH(G179,Recipes!$A$5:$A$204,0)),"")*H179,""))</f>
        <v>0</v>
      </c>
      <c r="Q179" s="8">
        <f>IF(OR(G179="",H179=""),"",IFERROR(IFERROR(INDEX(Recipes!$Q$5:$Q$204,MATCH(G179,Recipes!$A$5:$A$204,0)),"")*H179,""))</f>
        <v>0</v>
      </c>
      <c r="R179" s="8">
        <f>IF(F179="","",Weekly_Budget/21)</f>
        <v>0</v>
      </c>
      <c r="S179" s="27"/>
      <c r="T179" s="27"/>
      <c r="U179" s="26"/>
      <c r="V179" s="7"/>
      <c r="W179" s="7"/>
      <c r="X179" s="26"/>
      <c r="Y179" s="8">
        <f>IF(G179="","",IF(COUNTIFS('Meal Prep'!$D$5:$D$124,G179)&gt;0,"Yes","No"))</f>
        <v>0</v>
      </c>
      <c r="Z179" s="8">
        <f>IF(G179="","",COUNTIFS('Recipe Ingredients'!$A$5:$A$1204,G179))</f>
        <v>0</v>
      </c>
      <c r="AA179" s="25"/>
      <c r="AB179" s="8">
        <f>IF(OR(B179="",Q179=""),"",COUNTIFS($B$5:$B$504,B179,$Q$5:$Q$504,"&gt;"&amp;Q179)+1)</f>
        <v>0</v>
      </c>
      <c r="AC179" s="8">
        <f>IF(OR(B179="",L179=""),"",COUNTIFS($B$5:$B$504,B179,$L$5:$L$504,"&gt;"&amp;L179)+1)</f>
        <v>0</v>
      </c>
      <c r="AD179" s="8">
        <f>IF(G179="","",IF(COUNTIFS($G$5:$G$504,G179)&gt;1,"Repeat","Once"))</f>
        <v>0</v>
      </c>
      <c r="AE179" s="8">
        <f>IF(G179="","",IF(IFERROR(INDEX(Recipes!$X$5:$X$204,MATCH(G179,Recipes!$A$5:$A$204,0)),"")="","",IFERROR(B179-IFERROR(INDEX(Recipes!$X$5:$X$204,MATCH(G179,Recipes!$A$5:$A$204,0)),""),"")))</f>
        <v>0</v>
      </c>
      <c r="AF179" s="8">
        <f>IF(G179="","",IF(AE179="","Yes",IF(AE179&gt;=Rotation_Gap_Days,"Yes","No")))</f>
        <v>0</v>
      </c>
      <c r="AG179" s="8">
        <f>IF(G179="","",IF(COUNTIFS('Recipe Ingredients'!$A$5:$A$1204,G179,'Recipe Ingredients'!$AC$5:$AC$1204,"Check")&gt;0,"Check","OK"))</f>
        <v>0</v>
      </c>
    </row>
    <row r="180" spans="1:33">
      <c r="A180" s="7"/>
      <c r="B180" s="30"/>
      <c r="C180" s="8">
        <f>IF(B180="","",B180-WEEKDAY(B180,2)+1)</f>
        <v>0</v>
      </c>
      <c r="D180" s="8">
        <f>IF(B180="","",TEXT(B180,"ddd"))</f>
        <v>0</v>
      </c>
      <c r="E180" s="8">
        <f>IF(B180="","",TEXT(B180,"mmm yyyy"))</f>
        <v>0</v>
      </c>
      <c r="F180" s="27"/>
      <c r="G180" s="7"/>
      <c r="H180" s="26"/>
      <c r="I180" s="8">
        <f>IF(G180="","",IFERROR(INDEX(Recipes!$D$5:$D$204,MATCH(G180,Recipes!$A$5:$A$204,0)),""))</f>
        <v>0</v>
      </c>
      <c r="J180" s="8">
        <f>IF(OR(G180="",H180="",I180="",I180=0),"",H180/I180)</f>
        <v>0</v>
      </c>
      <c r="K180" s="8">
        <f>IF(B180="","",Household_Size)</f>
        <v>0</v>
      </c>
      <c r="L180" s="8">
        <f>IF(OR(G180="",H180=""),"",IFERROR(IFERROR(INDEX(Recipes!$H$5:$H$204,MATCH(G180,Recipes!$A$5:$A$204,0)),"")*H180,""))</f>
        <v>0</v>
      </c>
      <c r="M180" s="8">
        <f>IF(OR(G180="",H180=""),"",IFERROR(IFERROR(INDEX(Recipes!$I$5:$I$204,MATCH(G180,Recipes!$A$5:$A$204,0)),"")*H180,""))</f>
        <v>0</v>
      </c>
      <c r="N180" s="8">
        <f>IF(OR(G180="",H180=""),"",IFERROR(IFERROR(INDEX(Recipes!$J$5:$J$204,MATCH(G180,Recipes!$A$5:$A$204,0)),"")*H180,""))</f>
        <v>0</v>
      </c>
      <c r="O180" s="8">
        <f>IF(OR(G180="",H180=""),"",IFERROR(IFERROR(INDEX(Recipes!$K$5:$K$204,MATCH(G180,Recipes!$A$5:$A$204,0)),"")*H180,""))</f>
        <v>0</v>
      </c>
      <c r="P180" s="8">
        <f>IF(OR(G180="",H180=""),"",IFERROR(IFERROR(INDEX(Recipes!$L$5:$L$204,MATCH(G180,Recipes!$A$5:$A$204,0)),"")*H180,""))</f>
        <v>0</v>
      </c>
      <c r="Q180" s="8">
        <f>IF(OR(G180="",H180=""),"",IFERROR(IFERROR(INDEX(Recipes!$Q$5:$Q$204,MATCH(G180,Recipes!$A$5:$A$204,0)),"")*H180,""))</f>
        <v>0</v>
      </c>
      <c r="R180" s="8">
        <f>IF(F180="","",Weekly_Budget/21)</f>
        <v>0</v>
      </c>
      <c r="S180" s="27"/>
      <c r="T180" s="27"/>
      <c r="U180" s="26"/>
      <c r="V180" s="7"/>
      <c r="W180" s="7"/>
      <c r="X180" s="26"/>
      <c r="Y180" s="8">
        <f>IF(G180="","",IF(COUNTIFS('Meal Prep'!$D$5:$D$124,G180)&gt;0,"Yes","No"))</f>
        <v>0</v>
      </c>
      <c r="Z180" s="8">
        <f>IF(G180="","",COUNTIFS('Recipe Ingredients'!$A$5:$A$1204,G180))</f>
        <v>0</v>
      </c>
      <c r="AA180" s="25"/>
      <c r="AB180" s="8">
        <f>IF(OR(B180="",Q180=""),"",COUNTIFS($B$5:$B$504,B180,$Q$5:$Q$504,"&gt;"&amp;Q180)+1)</f>
        <v>0</v>
      </c>
      <c r="AC180" s="8">
        <f>IF(OR(B180="",L180=""),"",COUNTIFS($B$5:$B$504,B180,$L$5:$L$504,"&gt;"&amp;L180)+1)</f>
        <v>0</v>
      </c>
      <c r="AD180" s="8">
        <f>IF(G180="","",IF(COUNTIFS($G$5:$G$504,G180)&gt;1,"Repeat","Once"))</f>
        <v>0</v>
      </c>
      <c r="AE180" s="8">
        <f>IF(G180="","",IF(IFERROR(INDEX(Recipes!$X$5:$X$204,MATCH(G180,Recipes!$A$5:$A$204,0)),"")="","",IFERROR(B180-IFERROR(INDEX(Recipes!$X$5:$X$204,MATCH(G180,Recipes!$A$5:$A$204,0)),""),"")))</f>
        <v>0</v>
      </c>
      <c r="AF180" s="8">
        <f>IF(G180="","",IF(AE180="","Yes",IF(AE180&gt;=Rotation_Gap_Days,"Yes","No")))</f>
        <v>0</v>
      </c>
      <c r="AG180" s="8">
        <f>IF(G180="","",IF(COUNTIFS('Recipe Ingredients'!$A$5:$A$1204,G180,'Recipe Ingredients'!$AC$5:$AC$1204,"Check")&gt;0,"Check","OK"))</f>
        <v>0</v>
      </c>
    </row>
    <row r="181" spans="1:33">
      <c r="A181" s="7"/>
      <c r="B181" s="30"/>
      <c r="C181" s="8">
        <f>IF(B181="","",B181-WEEKDAY(B181,2)+1)</f>
        <v>0</v>
      </c>
      <c r="D181" s="8">
        <f>IF(B181="","",TEXT(B181,"ddd"))</f>
        <v>0</v>
      </c>
      <c r="E181" s="8">
        <f>IF(B181="","",TEXT(B181,"mmm yyyy"))</f>
        <v>0</v>
      </c>
      <c r="F181" s="27"/>
      <c r="G181" s="7"/>
      <c r="H181" s="26"/>
      <c r="I181" s="8">
        <f>IF(G181="","",IFERROR(INDEX(Recipes!$D$5:$D$204,MATCH(G181,Recipes!$A$5:$A$204,0)),""))</f>
        <v>0</v>
      </c>
      <c r="J181" s="8">
        <f>IF(OR(G181="",H181="",I181="",I181=0),"",H181/I181)</f>
        <v>0</v>
      </c>
      <c r="K181" s="8">
        <f>IF(B181="","",Household_Size)</f>
        <v>0</v>
      </c>
      <c r="L181" s="8">
        <f>IF(OR(G181="",H181=""),"",IFERROR(IFERROR(INDEX(Recipes!$H$5:$H$204,MATCH(G181,Recipes!$A$5:$A$204,0)),"")*H181,""))</f>
        <v>0</v>
      </c>
      <c r="M181" s="8">
        <f>IF(OR(G181="",H181=""),"",IFERROR(IFERROR(INDEX(Recipes!$I$5:$I$204,MATCH(G181,Recipes!$A$5:$A$204,0)),"")*H181,""))</f>
        <v>0</v>
      </c>
      <c r="N181" s="8">
        <f>IF(OR(G181="",H181=""),"",IFERROR(IFERROR(INDEX(Recipes!$J$5:$J$204,MATCH(G181,Recipes!$A$5:$A$204,0)),"")*H181,""))</f>
        <v>0</v>
      </c>
      <c r="O181" s="8">
        <f>IF(OR(G181="",H181=""),"",IFERROR(IFERROR(INDEX(Recipes!$K$5:$K$204,MATCH(G181,Recipes!$A$5:$A$204,0)),"")*H181,""))</f>
        <v>0</v>
      </c>
      <c r="P181" s="8">
        <f>IF(OR(G181="",H181=""),"",IFERROR(IFERROR(INDEX(Recipes!$L$5:$L$204,MATCH(G181,Recipes!$A$5:$A$204,0)),"")*H181,""))</f>
        <v>0</v>
      </c>
      <c r="Q181" s="8">
        <f>IF(OR(G181="",H181=""),"",IFERROR(IFERROR(INDEX(Recipes!$Q$5:$Q$204,MATCH(G181,Recipes!$A$5:$A$204,0)),"")*H181,""))</f>
        <v>0</v>
      </c>
      <c r="R181" s="8">
        <f>IF(F181="","",Weekly_Budget/21)</f>
        <v>0</v>
      </c>
      <c r="S181" s="27"/>
      <c r="T181" s="27"/>
      <c r="U181" s="26"/>
      <c r="V181" s="7"/>
      <c r="W181" s="7"/>
      <c r="X181" s="26"/>
      <c r="Y181" s="8">
        <f>IF(G181="","",IF(COUNTIFS('Meal Prep'!$D$5:$D$124,G181)&gt;0,"Yes","No"))</f>
        <v>0</v>
      </c>
      <c r="Z181" s="8">
        <f>IF(G181="","",COUNTIFS('Recipe Ingredients'!$A$5:$A$1204,G181))</f>
        <v>0</v>
      </c>
      <c r="AA181" s="25"/>
      <c r="AB181" s="8">
        <f>IF(OR(B181="",Q181=""),"",COUNTIFS($B$5:$B$504,B181,$Q$5:$Q$504,"&gt;"&amp;Q181)+1)</f>
        <v>0</v>
      </c>
      <c r="AC181" s="8">
        <f>IF(OR(B181="",L181=""),"",COUNTIFS($B$5:$B$504,B181,$L$5:$L$504,"&gt;"&amp;L181)+1)</f>
        <v>0</v>
      </c>
      <c r="AD181" s="8">
        <f>IF(G181="","",IF(COUNTIFS($G$5:$G$504,G181)&gt;1,"Repeat","Once"))</f>
        <v>0</v>
      </c>
      <c r="AE181" s="8">
        <f>IF(G181="","",IF(IFERROR(INDEX(Recipes!$X$5:$X$204,MATCH(G181,Recipes!$A$5:$A$204,0)),"")="","",IFERROR(B181-IFERROR(INDEX(Recipes!$X$5:$X$204,MATCH(G181,Recipes!$A$5:$A$204,0)),""),"")))</f>
        <v>0</v>
      </c>
      <c r="AF181" s="8">
        <f>IF(G181="","",IF(AE181="","Yes",IF(AE181&gt;=Rotation_Gap_Days,"Yes","No")))</f>
        <v>0</v>
      </c>
      <c r="AG181" s="8">
        <f>IF(G181="","",IF(COUNTIFS('Recipe Ingredients'!$A$5:$A$1204,G181,'Recipe Ingredients'!$AC$5:$AC$1204,"Check")&gt;0,"Check","OK"))</f>
        <v>0</v>
      </c>
    </row>
    <row r="182" spans="1:33">
      <c r="A182" s="7"/>
      <c r="B182" s="30"/>
      <c r="C182" s="8">
        <f>IF(B182="","",B182-WEEKDAY(B182,2)+1)</f>
        <v>0</v>
      </c>
      <c r="D182" s="8">
        <f>IF(B182="","",TEXT(B182,"ddd"))</f>
        <v>0</v>
      </c>
      <c r="E182" s="8">
        <f>IF(B182="","",TEXT(B182,"mmm yyyy"))</f>
        <v>0</v>
      </c>
      <c r="F182" s="27"/>
      <c r="G182" s="7"/>
      <c r="H182" s="26"/>
      <c r="I182" s="8">
        <f>IF(G182="","",IFERROR(INDEX(Recipes!$D$5:$D$204,MATCH(G182,Recipes!$A$5:$A$204,0)),""))</f>
        <v>0</v>
      </c>
      <c r="J182" s="8">
        <f>IF(OR(G182="",H182="",I182="",I182=0),"",H182/I182)</f>
        <v>0</v>
      </c>
      <c r="K182" s="8">
        <f>IF(B182="","",Household_Size)</f>
        <v>0</v>
      </c>
      <c r="L182" s="8">
        <f>IF(OR(G182="",H182=""),"",IFERROR(IFERROR(INDEX(Recipes!$H$5:$H$204,MATCH(G182,Recipes!$A$5:$A$204,0)),"")*H182,""))</f>
        <v>0</v>
      </c>
      <c r="M182" s="8">
        <f>IF(OR(G182="",H182=""),"",IFERROR(IFERROR(INDEX(Recipes!$I$5:$I$204,MATCH(G182,Recipes!$A$5:$A$204,0)),"")*H182,""))</f>
        <v>0</v>
      </c>
      <c r="N182" s="8">
        <f>IF(OR(G182="",H182=""),"",IFERROR(IFERROR(INDEX(Recipes!$J$5:$J$204,MATCH(G182,Recipes!$A$5:$A$204,0)),"")*H182,""))</f>
        <v>0</v>
      </c>
      <c r="O182" s="8">
        <f>IF(OR(G182="",H182=""),"",IFERROR(IFERROR(INDEX(Recipes!$K$5:$K$204,MATCH(G182,Recipes!$A$5:$A$204,0)),"")*H182,""))</f>
        <v>0</v>
      </c>
      <c r="P182" s="8">
        <f>IF(OR(G182="",H182=""),"",IFERROR(IFERROR(INDEX(Recipes!$L$5:$L$204,MATCH(G182,Recipes!$A$5:$A$204,0)),"")*H182,""))</f>
        <v>0</v>
      </c>
      <c r="Q182" s="8">
        <f>IF(OR(G182="",H182=""),"",IFERROR(IFERROR(INDEX(Recipes!$Q$5:$Q$204,MATCH(G182,Recipes!$A$5:$A$204,0)),"")*H182,""))</f>
        <v>0</v>
      </c>
      <c r="R182" s="8">
        <f>IF(F182="","",Weekly_Budget/21)</f>
        <v>0</v>
      </c>
      <c r="S182" s="27"/>
      <c r="T182" s="27"/>
      <c r="U182" s="26"/>
      <c r="V182" s="7"/>
      <c r="W182" s="7"/>
      <c r="X182" s="26"/>
      <c r="Y182" s="8">
        <f>IF(G182="","",IF(COUNTIFS('Meal Prep'!$D$5:$D$124,G182)&gt;0,"Yes","No"))</f>
        <v>0</v>
      </c>
      <c r="Z182" s="8">
        <f>IF(G182="","",COUNTIFS('Recipe Ingredients'!$A$5:$A$1204,G182))</f>
        <v>0</v>
      </c>
      <c r="AA182" s="25"/>
      <c r="AB182" s="8">
        <f>IF(OR(B182="",Q182=""),"",COUNTIFS($B$5:$B$504,B182,$Q$5:$Q$504,"&gt;"&amp;Q182)+1)</f>
        <v>0</v>
      </c>
      <c r="AC182" s="8">
        <f>IF(OR(B182="",L182=""),"",COUNTIFS($B$5:$B$504,B182,$L$5:$L$504,"&gt;"&amp;L182)+1)</f>
        <v>0</v>
      </c>
      <c r="AD182" s="8">
        <f>IF(G182="","",IF(COUNTIFS($G$5:$G$504,G182)&gt;1,"Repeat","Once"))</f>
        <v>0</v>
      </c>
      <c r="AE182" s="8">
        <f>IF(G182="","",IF(IFERROR(INDEX(Recipes!$X$5:$X$204,MATCH(G182,Recipes!$A$5:$A$204,0)),"")="","",IFERROR(B182-IFERROR(INDEX(Recipes!$X$5:$X$204,MATCH(G182,Recipes!$A$5:$A$204,0)),""),"")))</f>
        <v>0</v>
      </c>
      <c r="AF182" s="8">
        <f>IF(G182="","",IF(AE182="","Yes",IF(AE182&gt;=Rotation_Gap_Days,"Yes","No")))</f>
        <v>0</v>
      </c>
      <c r="AG182" s="8">
        <f>IF(G182="","",IF(COUNTIFS('Recipe Ingredients'!$A$5:$A$1204,G182,'Recipe Ingredients'!$AC$5:$AC$1204,"Check")&gt;0,"Check","OK"))</f>
        <v>0</v>
      </c>
    </row>
    <row r="183" spans="1:33">
      <c r="A183" s="7"/>
      <c r="B183" s="30"/>
      <c r="C183" s="8">
        <f>IF(B183="","",B183-WEEKDAY(B183,2)+1)</f>
        <v>0</v>
      </c>
      <c r="D183" s="8">
        <f>IF(B183="","",TEXT(B183,"ddd"))</f>
        <v>0</v>
      </c>
      <c r="E183" s="8">
        <f>IF(B183="","",TEXT(B183,"mmm yyyy"))</f>
        <v>0</v>
      </c>
      <c r="F183" s="27"/>
      <c r="G183" s="7"/>
      <c r="H183" s="26"/>
      <c r="I183" s="8">
        <f>IF(G183="","",IFERROR(INDEX(Recipes!$D$5:$D$204,MATCH(G183,Recipes!$A$5:$A$204,0)),""))</f>
        <v>0</v>
      </c>
      <c r="J183" s="8">
        <f>IF(OR(G183="",H183="",I183="",I183=0),"",H183/I183)</f>
        <v>0</v>
      </c>
      <c r="K183" s="8">
        <f>IF(B183="","",Household_Size)</f>
        <v>0</v>
      </c>
      <c r="L183" s="8">
        <f>IF(OR(G183="",H183=""),"",IFERROR(IFERROR(INDEX(Recipes!$H$5:$H$204,MATCH(G183,Recipes!$A$5:$A$204,0)),"")*H183,""))</f>
        <v>0</v>
      </c>
      <c r="M183" s="8">
        <f>IF(OR(G183="",H183=""),"",IFERROR(IFERROR(INDEX(Recipes!$I$5:$I$204,MATCH(G183,Recipes!$A$5:$A$204,0)),"")*H183,""))</f>
        <v>0</v>
      </c>
      <c r="N183" s="8">
        <f>IF(OR(G183="",H183=""),"",IFERROR(IFERROR(INDEX(Recipes!$J$5:$J$204,MATCH(G183,Recipes!$A$5:$A$204,0)),"")*H183,""))</f>
        <v>0</v>
      </c>
      <c r="O183" s="8">
        <f>IF(OR(G183="",H183=""),"",IFERROR(IFERROR(INDEX(Recipes!$K$5:$K$204,MATCH(G183,Recipes!$A$5:$A$204,0)),"")*H183,""))</f>
        <v>0</v>
      </c>
      <c r="P183" s="8">
        <f>IF(OR(G183="",H183=""),"",IFERROR(IFERROR(INDEX(Recipes!$L$5:$L$204,MATCH(G183,Recipes!$A$5:$A$204,0)),"")*H183,""))</f>
        <v>0</v>
      </c>
      <c r="Q183" s="8">
        <f>IF(OR(G183="",H183=""),"",IFERROR(IFERROR(INDEX(Recipes!$Q$5:$Q$204,MATCH(G183,Recipes!$A$5:$A$204,0)),"")*H183,""))</f>
        <v>0</v>
      </c>
      <c r="R183" s="8">
        <f>IF(F183="","",Weekly_Budget/21)</f>
        <v>0</v>
      </c>
      <c r="S183" s="27"/>
      <c r="T183" s="27"/>
      <c r="U183" s="26"/>
      <c r="V183" s="7"/>
      <c r="W183" s="7"/>
      <c r="X183" s="26"/>
      <c r="Y183" s="8">
        <f>IF(G183="","",IF(COUNTIFS('Meal Prep'!$D$5:$D$124,G183)&gt;0,"Yes","No"))</f>
        <v>0</v>
      </c>
      <c r="Z183" s="8">
        <f>IF(G183="","",COUNTIFS('Recipe Ingredients'!$A$5:$A$1204,G183))</f>
        <v>0</v>
      </c>
      <c r="AA183" s="25"/>
      <c r="AB183" s="8">
        <f>IF(OR(B183="",Q183=""),"",COUNTIFS($B$5:$B$504,B183,$Q$5:$Q$504,"&gt;"&amp;Q183)+1)</f>
        <v>0</v>
      </c>
      <c r="AC183" s="8">
        <f>IF(OR(B183="",L183=""),"",COUNTIFS($B$5:$B$504,B183,$L$5:$L$504,"&gt;"&amp;L183)+1)</f>
        <v>0</v>
      </c>
      <c r="AD183" s="8">
        <f>IF(G183="","",IF(COUNTIFS($G$5:$G$504,G183)&gt;1,"Repeat","Once"))</f>
        <v>0</v>
      </c>
      <c r="AE183" s="8">
        <f>IF(G183="","",IF(IFERROR(INDEX(Recipes!$X$5:$X$204,MATCH(G183,Recipes!$A$5:$A$204,0)),"")="","",IFERROR(B183-IFERROR(INDEX(Recipes!$X$5:$X$204,MATCH(G183,Recipes!$A$5:$A$204,0)),""),"")))</f>
        <v>0</v>
      </c>
      <c r="AF183" s="8">
        <f>IF(G183="","",IF(AE183="","Yes",IF(AE183&gt;=Rotation_Gap_Days,"Yes","No")))</f>
        <v>0</v>
      </c>
      <c r="AG183" s="8">
        <f>IF(G183="","",IF(COUNTIFS('Recipe Ingredients'!$A$5:$A$1204,G183,'Recipe Ingredients'!$AC$5:$AC$1204,"Check")&gt;0,"Check","OK"))</f>
        <v>0</v>
      </c>
    </row>
    <row r="184" spans="1:33">
      <c r="A184" s="7"/>
      <c r="B184" s="30"/>
      <c r="C184" s="8">
        <f>IF(B184="","",B184-WEEKDAY(B184,2)+1)</f>
        <v>0</v>
      </c>
      <c r="D184" s="8">
        <f>IF(B184="","",TEXT(B184,"ddd"))</f>
        <v>0</v>
      </c>
      <c r="E184" s="8">
        <f>IF(B184="","",TEXT(B184,"mmm yyyy"))</f>
        <v>0</v>
      </c>
      <c r="F184" s="27"/>
      <c r="G184" s="7"/>
      <c r="H184" s="26"/>
      <c r="I184" s="8">
        <f>IF(G184="","",IFERROR(INDEX(Recipes!$D$5:$D$204,MATCH(G184,Recipes!$A$5:$A$204,0)),""))</f>
        <v>0</v>
      </c>
      <c r="J184" s="8">
        <f>IF(OR(G184="",H184="",I184="",I184=0),"",H184/I184)</f>
        <v>0</v>
      </c>
      <c r="K184" s="8">
        <f>IF(B184="","",Household_Size)</f>
        <v>0</v>
      </c>
      <c r="L184" s="8">
        <f>IF(OR(G184="",H184=""),"",IFERROR(IFERROR(INDEX(Recipes!$H$5:$H$204,MATCH(G184,Recipes!$A$5:$A$204,0)),"")*H184,""))</f>
        <v>0</v>
      </c>
      <c r="M184" s="8">
        <f>IF(OR(G184="",H184=""),"",IFERROR(IFERROR(INDEX(Recipes!$I$5:$I$204,MATCH(G184,Recipes!$A$5:$A$204,0)),"")*H184,""))</f>
        <v>0</v>
      </c>
      <c r="N184" s="8">
        <f>IF(OR(G184="",H184=""),"",IFERROR(IFERROR(INDEX(Recipes!$J$5:$J$204,MATCH(G184,Recipes!$A$5:$A$204,0)),"")*H184,""))</f>
        <v>0</v>
      </c>
      <c r="O184" s="8">
        <f>IF(OR(G184="",H184=""),"",IFERROR(IFERROR(INDEX(Recipes!$K$5:$K$204,MATCH(G184,Recipes!$A$5:$A$204,0)),"")*H184,""))</f>
        <v>0</v>
      </c>
      <c r="P184" s="8">
        <f>IF(OR(G184="",H184=""),"",IFERROR(IFERROR(INDEX(Recipes!$L$5:$L$204,MATCH(G184,Recipes!$A$5:$A$204,0)),"")*H184,""))</f>
        <v>0</v>
      </c>
      <c r="Q184" s="8">
        <f>IF(OR(G184="",H184=""),"",IFERROR(IFERROR(INDEX(Recipes!$Q$5:$Q$204,MATCH(G184,Recipes!$A$5:$A$204,0)),"")*H184,""))</f>
        <v>0</v>
      </c>
      <c r="R184" s="8">
        <f>IF(F184="","",Weekly_Budget/21)</f>
        <v>0</v>
      </c>
      <c r="S184" s="27"/>
      <c r="T184" s="27"/>
      <c r="U184" s="26"/>
      <c r="V184" s="7"/>
      <c r="W184" s="7"/>
      <c r="X184" s="26"/>
      <c r="Y184" s="8">
        <f>IF(G184="","",IF(COUNTIFS('Meal Prep'!$D$5:$D$124,G184)&gt;0,"Yes","No"))</f>
        <v>0</v>
      </c>
      <c r="Z184" s="8">
        <f>IF(G184="","",COUNTIFS('Recipe Ingredients'!$A$5:$A$1204,G184))</f>
        <v>0</v>
      </c>
      <c r="AA184" s="25"/>
      <c r="AB184" s="8">
        <f>IF(OR(B184="",Q184=""),"",COUNTIFS($B$5:$B$504,B184,$Q$5:$Q$504,"&gt;"&amp;Q184)+1)</f>
        <v>0</v>
      </c>
      <c r="AC184" s="8">
        <f>IF(OR(B184="",L184=""),"",COUNTIFS($B$5:$B$504,B184,$L$5:$L$504,"&gt;"&amp;L184)+1)</f>
        <v>0</v>
      </c>
      <c r="AD184" s="8">
        <f>IF(G184="","",IF(COUNTIFS($G$5:$G$504,G184)&gt;1,"Repeat","Once"))</f>
        <v>0</v>
      </c>
      <c r="AE184" s="8">
        <f>IF(G184="","",IF(IFERROR(INDEX(Recipes!$X$5:$X$204,MATCH(G184,Recipes!$A$5:$A$204,0)),"")="","",IFERROR(B184-IFERROR(INDEX(Recipes!$X$5:$X$204,MATCH(G184,Recipes!$A$5:$A$204,0)),""),"")))</f>
        <v>0</v>
      </c>
      <c r="AF184" s="8">
        <f>IF(G184="","",IF(AE184="","Yes",IF(AE184&gt;=Rotation_Gap_Days,"Yes","No")))</f>
        <v>0</v>
      </c>
      <c r="AG184" s="8">
        <f>IF(G184="","",IF(COUNTIFS('Recipe Ingredients'!$A$5:$A$1204,G184,'Recipe Ingredients'!$AC$5:$AC$1204,"Check")&gt;0,"Check","OK"))</f>
        <v>0</v>
      </c>
    </row>
    <row r="185" spans="1:33">
      <c r="A185" s="7"/>
      <c r="B185" s="30"/>
      <c r="C185" s="8">
        <f>IF(B185="","",B185-WEEKDAY(B185,2)+1)</f>
        <v>0</v>
      </c>
      <c r="D185" s="8">
        <f>IF(B185="","",TEXT(B185,"ddd"))</f>
        <v>0</v>
      </c>
      <c r="E185" s="8">
        <f>IF(B185="","",TEXT(B185,"mmm yyyy"))</f>
        <v>0</v>
      </c>
      <c r="F185" s="27"/>
      <c r="G185" s="7"/>
      <c r="H185" s="26"/>
      <c r="I185" s="8">
        <f>IF(G185="","",IFERROR(INDEX(Recipes!$D$5:$D$204,MATCH(G185,Recipes!$A$5:$A$204,0)),""))</f>
        <v>0</v>
      </c>
      <c r="J185" s="8">
        <f>IF(OR(G185="",H185="",I185="",I185=0),"",H185/I185)</f>
        <v>0</v>
      </c>
      <c r="K185" s="8">
        <f>IF(B185="","",Household_Size)</f>
        <v>0</v>
      </c>
      <c r="L185" s="8">
        <f>IF(OR(G185="",H185=""),"",IFERROR(IFERROR(INDEX(Recipes!$H$5:$H$204,MATCH(G185,Recipes!$A$5:$A$204,0)),"")*H185,""))</f>
        <v>0</v>
      </c>
      <c r="M185" s="8">
        <f>IF(OR(G185="",H185=""),"",IFERROR(IFERROR(INDEX(Recipes!$I$5:$I$204,MATCH(G185,Recipes!$A$5:$A$204,0)),"")*H185,""))</f>
        <v>0</v>
      </c>
      <c r="N185" s="8">
        <f>IF(OR(G185="",H185=""),"",IFERROR(IFERROR(INDEX(Recipes!$J$5:$J$204,MATCH(G185,Recipes!$A$5:$A$204,0)),"")*H185,""))</f>
        <v>0</v>
      </c>
      <c r="O185" s="8">
        <f>IF(OR(G185="",H185=""),"",IFERROR(IFERROR(INDEX(Recipes!$K$5:$K$204,MATCH(G185,Recipes!$A$5:$A$204,0)),"")*H185,""))</f>
        <v>0</v>
      </c>
      <c r="P185" s="8">
        <f>IF(OR(G185="",H185=""),"",IFERROR(IFERROR(INDEX(Recipes!$L$5:$L$204,MATCH(G185,Recipes!$A$5:$A$204,0)),"")*H185,""))</f>
        <v>0</v>
      </c>
      <c r="Q185" s="8">
        <f>IF(OR(G185="",H185=""),"",IFERROR(IFERROR(INDEX(Recipes!$Q$5:$Q$204,MATCH(G185,Recipes!$A$5:$A$204,0)),"")*H185,""))</f>
        <v>0</v>
      </c>
      <c r="R185" s="8">
        <f>IF(F185="","",Weekly_Budget/21)</f>
        <v>0</v>
      </c>
      <c r="S185" s="27"/>
      <c r="T185" s="27"/>
      <c r="U185" s="26"/>
      <c r="V185" s="7"/>
      <c r="W185" s="7"/>
      <c r="X185" s="26"/>
      <c r="Y185" s="8">
        <f>IF(G185="","",IF(COUNTIFS('Meal Prep'!$D$5:$D$124,G185)&gt;0,"Yes","No"))</f>
        <v>0</v>
      </c>
      <c r="Z185" s="8">
        <f>IF(G185="","",COUNTIFS('Recipe Ingredients'!$A$5:$A$1204,G185))</f>
        <v>0</v>
      </c>
      <c r="AA185" s="25"/>
      <c r="AB185" s="8">
        <f>IF(OR(B185="",Q185=""),"",COUNTIFS($B$5:$B$504,B185,$Q$5:$Q$504,"&gt;"&amp;Q185)+1)</f>
        <v>0</v>
      </c>
      <c r="AC185" s="8">
        <f>IF(OR(B185="",L185=""),"",COUNTIFS($B$5:$B$504,B185,$L$5:$L$504,"&gt;"&amp;L185)+1)</f>
        <v>0</v>
      </c>
      <c r="AD185" s="8">
        <f>IF(G185="","",IF(COUNTIFS($G$5:$G$504,G185)&gt;1,"Repeat","Once"))</f>
        <v>0</v>
      </c>
      <c r="AE185" s="8">
        <f>IF(G185="","",IF(IFERROR(INDEX(Recipes!$X$5:$X$204,MATCH(G185,Recipes!$A$5:$A$204,0)),"")="","",IFERROR(B185-IFERROR(INDEX(Recipes!$X$5:$X$204,MATCH(G185,Recipes!$A$5:$A$204,0)),""),"")))</f>
        <v>0</v>
      </c>
      <c r="AF185" s="8">
        <f>IF(G185="","",IF(AE185="","Yes",IF(AE185&gt;=Rotation_Gap_Days,"Yes","No")))</f>
        <v>0</v>
      </c>
      <c r="AG185" s="8">
        <f>IF(G185="","",IF(COUNTIFS('Recipe Ingredients'!$A$5:$A$1204,G185,'Recipe Ingredients'!$AC$5:$AC$1204,"Check")&gt;0,"Check","OK"))</f>
        <v>0</v>
      </c>
    </row>
    <row r="186" spans="1:33">
      <c r="A186" s="7"/>
      <c r="B186" s="30"/>
      <c r="C186" s="8">
        <f>IF(B186="","",B186-WEEKDAY(B186,2)+1)</f>
        <v>0</v>
      </c>
      <c r="D186" s="8">
        <f>IF(B186="","",TEXT(B186,"ddd"))</f>
        <v>0</v>
      </c>
      <c r="E186" s="8">
        <f>IF(B186="","",TEXT(B186,"mmm yyyy"))</f>
        <v>0</v>
      </c>
      <c r="F186" s="27"/>
      <c r="G186" s="7"/>
      <c r="H186" s="26"/>
      <c r="I186" s="8">
        <f>IF(G186="","",IFERROR(INDEX(Recipes!$D$5:$D$204,MATCH(G186,Recipes!$A$5:$A$204,0)),""))</f>
        <v>0</v>
      </c>
      <c r="J186" s="8">
        <f>IF(OR(G186="",H186="",I186="",I186=0),"",H186/I186)</f>
        <v>0</v>
      </c>
      <c r="K186" s="8">
        <f>IF(B186="","",Household_Size)</f>
        <v>0</v>
      </c>
      <c r="L186" s="8">
        <f>IF(OR(G186="",H186=""),"",IFERROR(IFERROR(INDEX(Recipes!$H$5:$H$204,MATCH(G186,Recipes!$A$5:$A$204,0)),"")*H186,""))</f>
        <v>0</v>
      </c>
      <c r="M186" s="8">
        <f>IF(OR(G186="",H186=""),"",IFERROR(IFERROR(INDEX(Recipes!$I$5:$I$204,MATCH(G186,Recipes!$A$5:$A$204,0)),"")*H186,""))</f>
        <v>0</v>
      </c>
      <c r="N186" s="8">
        <f>IF(OR(G186="",H186=""),"",IFERROR(IFERROR(INDEX(Recipes!$J$5:$J$204,MATCH(G186,Recipes!$A$5:$A$204,0)),"")*H186,""))</f>
        <v>0</v>
      </c>
      <c r="O186" s="8">
        <f>IF(OR(G186="",H186=""),"",IFERROR(IFERROR(INDEX(Recipes!$K$5:$K$204,MATCH(G186,Recipes!$A$5:$A$204,0)),"")*H186,""))</f>
        <v>0</v>
      </c>
      <c r="P186" s="8">
        <f>IF(OR(G186="",H186=""),"",IFERROR(IFERROR(INDEX(Recipes!$L$5:$L$204,MATCH(G186,Recipes!$A$5:$A$204,0)),"")*H186,""))</f>
        <v>0</v>
      </c>
      <c r="Q186" s="8">
        <f>IF(OR(G186="",H186=""),"",IFERROR(IFERROR(INDEX(Recipes!$Q$5:$Q$204,MATCH(G186,Recipes!$A$5:$A$204,0)),"")*H186,""))</f>
        <v>0</v>
      </c>
      <c r="R186" s="8">
        <f>IF(F186="","",Weekly_Budget/21)</f>
        <v>0</v>
      </c>
      <c r="S186" s="27"/>
      <c r="T186" s="27"/>
      <c r="U186" s="26"/>
      <c r="V186" s="7"/>
      <c r="W186" s="7"/>
      <c r="X186" s="26"/>
      <c r="Y186" s="8">
        <f>IF(G186="","",IF(COUNTIFS('Meal Prep'!$D$5:$D$124,G186)&gt;0,"Yes","No"))</f>
        <v>0</v>
      </c>
      <c r="Z186" s="8">
        <f>IF(G186="","",COUNTIFS('Recipe Ingredients'!$A$5:$A$1204,G186))</f>
        <v>0</v>
      </c>
      <c r="AA186" s="25"/>
      <c r="AB186" s="8">
        <f>IF(OR(B186="",Q186=""),"",COUNTIFS($B$5:$B$504,B186,$Q$5:$Q$504,"&gt;"&amp;Q186)+1)</f>
        <v>0</v>
      </c>
      <c r="AC186" s="8">
        <f>IF(OR(B186="",L186=""),"",COUNTIFS($B$5:$B$504,B186,$L$5:$L$504,"&gt;"&amp;L186)+1)</f>
        <v>0</v>
      </c>
      <c r="AD186" s="8">
        <f>IF(G186="","",IF(COUNTIFS($G$5:$G$504,G186)&gt;1,"Repeat","Once"))</f>
        <v>0</v>
      </c>
      <c r="AE186" s="8">
        <f>IF(G186="","",IF(IFERROR(INDEX(Recipes!$X$5:$X$204,MATCH(G186,Recipes!$A$5:$A$204,0)),"")="","",IFERROR(B186-IFERROR(INDEX(Recipes!$X$5:$X$204,MATCH(G186,Recipes!$A$5:$A$204,0)),""),"")))</f>
        <v>0</v>
      </c>
      <c r="AF186" s="8">
        <f>IF(G186="","",IF(AE186="","Yes",IF(AE186&gt;=Rotation_Gap_Days,"Yes","No")))</f>
        <v>0</v>
      </c>
      <c r="AG186" s="8">
        <f>IF(G186="","",IF(COUNTIFS('Recipe Ingredients'!$A$5:$A$1204,G186,'Recipe Ingredients'!$AC$5:$AC$1204,"Check")&gt;0,"Check","OK"))</f>
        <v>0</v>
      </c>
    </row>
    <row r="187" spans="1:33">
      <c r="A187" s="7"/>
      <c r="B187" s="30"/>
      <c r="C187" s="8">
        <f>IF(B187="","",B187-WEEKDAY(B187,2)+1)</f>
        <v>0</v>
      </c>
      <c r="D187" s="8">
        <f>IF(B187="","",TEXT(B187,"ddd"))</f>
        <v>0</v>
      </c>
      <c r="E187" s="8">
        <f>IF(B187="","",TEXT(B187,"mmm yyyy"))</f>
        <v>0</v>
      </c>
      <c r="F187" s="27"/>
      <c r="G187" s="7"/>
      <c r="H187" s="26"/>
      <c r="I187" s="8">
        <f>IF(G187="","",IFERROR(INDEX(Recipes!$D$5:$D$204,MATCH(G187,Recipes!$A$5:$A$204,0)),""))</f>
        <v>0</v>
      </c>
      <c r="J187" s="8">
        <f>IF(OR(G187="",H187="",I187="",I187=0),"",H187/I187)</f>
        <v>0</v>
      </c>
      <c r="K187" s="8">
        <f>IF(B187="","",Household_Size)</f>
        <v>0</v>
      </c>
      <c r="L187" s="8">
        <f>IF(OR(G187="",H187=""),"",IFERROR(IFERROR(INDEX(Recipes!$H$5:$H$204,MATCH(G187,Recipes!$A$5:$A$204,0)),"")*H187,""))</f>
        <v>0</v>
      </c>
      <c r="M187" s="8">
        <f>IF(OR(G187="",H187=""),"",IFERROR(IFERROR(INDEX(Recipes!$I$5:$I$204,MATCH(G187,Recipes!$A$5:$A$204,0)),"")*H187,""))</f>
        <v>0</v>
      </c>
      <c r="N187" s="8">
        <f>IF(OR(G187="",H187=""),"",IFERROR(IFERROR(INDEX(Recipes!$J$5:$J$204,MATCH(G187,Recipes!$A$5:$A$204,0)),"")*H187,""))</f>
        <v>0</v>
      </c>
      <c r="O187" s="8">
        <f>IF(OR(G187="",H187=""),"",IFERROR(IFERROR(INDEX(Recipes!$K$5:$K$204,MATCH(G187,Recipes!$A$5:$A$204,0)),"")*H187,""))</f>
        <v>0</v>
      </c>
      <c r="P187" s="8">
        <f>IF(OR(G187="",H187=""),"",IFERROR(IFERROR(INDEX(Recipes!$L$5:$L$204,MATCH(G187,Recipes!$A$5:$A$204,0)),"")*H187,""))</f>
        <v>0</v>
      </c>
      <c r="Q187" s="8">
        <f>IF(OR(G187="",H187=""),"",IFERROR(IFERROR(INDEX(Recipes!$Q$5:$Q$204,MATCH(G187,Recipes!$A$5:$A$204,0)),"")*H187,""))</f>
        <v>0</v>
      </c>
      <c r="R187" s="8">
        <f>IF(F187="","",Weekly_Budget/21)</f>
        <v>0</v>
      </c>
      <c r="S187" s="27"/>
      <c r="T187" s="27"/>
      <c r="U187" s="26"/>
      <c r="V187" s="7"/>
      <c r="W187" s="7"/>
      <c r="X187" s="26"/>
      <c r="Y187" s="8">
        <f>IF(G187="","",IF(COUNTIFS('Meal Prep'!$D$5:$D$124,G187)&gt;0,"Yes","No"))</f>
        <v>0</v>
      </c>
      <c r="Z187" s="8">
        <f>IF(G187="","",COUNTIFS('Recipe Ingredients'!$A$5:$A$1204,G187))</f>
        <v>0</v>
      </c>
      <c r="AA187" s="25"/>
      <c r="AB187" s="8">
        <f>IF(OR(B187="",Q187=""),"",COUNTIFS($B$5:$B$504,B187,$Q$5:$Q$504,"&gt;"&amp;Q187)+1)</f>
        <v>0</v>
      </c>
      <c r="AC187" s="8">
        <f>IF(OR(B187="",L187=""),"",COUNTIFS($B$5:$B$504,B187,$L$5:$L$504,"&gt;"&amp;L187)+1)</f>
        <v>0</v>
      </c>
      <c r="AD187" s="8">
        <f>IF(G187="","",IF(COUNTIFS($G$5:$G$504,G187)&gt;1,"Repeat","Once"))</f>
        <v>0</v>
      </c>
      <c r="AE187" s="8">
        <f>IF(G187="","",IF(IFERROR(INDEX(Recipes!$X$5:$X$204,MATCH(G187,Recipes!$A$5:$A$204,0)),"")="","",IFERROR(B187-IFERROR(INDEX(Recipes!$X$5:$X$204,MATCH(G187,Recipes!$A$5:$A$204,0)),""),"")))</f>
        <v>0</v>
      </c>
      <c r="AF187" s="8">
        <f>IF(G187="","",IF(AE187="","Yes",IF(AE187&gt;=Rotation_Gap_Days,"Yes","No")))</f>
        <v>0</v>
      </c>
      <c r="AG187" s="8">
        <f>IF(G187="","",IF(COUNTIFS('Recipe Ingredients'!$A$5:$A$1204,G187,'Recipe Ingredients'!$AC$5:$AC$1204,"Check")&gt;0,"Check","OK"))</f>
        <v>0</v>
      </c>
    </row>
    <row r="188" spans="1:33">
      <c r="A188" s="7"/>
      <c r="B188" s="30"/>
      <c r="C188" s="8">
        <f>IF(B188="","",B188-WEEKDAY(B188,2)+1)</f>
        <v>0</v>
      </c>
      <c r="D188" s="8">
        <f>IF(B188="","",TEXT(B188,"ddd"))</f>
        <v>0</v>
      </c>
      <c r="E188" s="8">
        <f>IF(B188="","",TEXT(B188,"mmm yyyy"))</f>
        <v>0</v>
      </c>
      <c r="F188" s="27"/>
      <c r="G188" s="7"/>
      <c r="H188" s="26"/>
      <c r="I188" s="8">
        <f>IF(G188="","",IFERROR(INDEX(Recipes!$D$5:$D$204,MATCH(G188,Recipes!$A$5:$A$204,0)),""))</f>
        <v>0</v>
      </c>
      <c r="J188" s="8">
        <f>IF(OR(G188="",H188="",I188="",I188=0),"",H188/I188)</f>
        <v>0</v>
      </c>
      <c r="K188" s="8">
        <f>IF(B188="","",Household_Size)</f>
        <v>0</v>
      </c>
      <c r="L188" s="8">
        <f>IF(OR(G188="",H188=""),"",IFERROR(IFERROR(INDEX(Recipes!$H$5:$H$204,MATCH(G188,Recipes!$A$5:$A$204,0)),"")*H188,""))</f>
        <v>0</v>
      </c>
      <c r="M188" s="8">
        <f>IF(OR(G188="",H188=""),"",IFERROR(IFERROR(INDEX(Recipes!$I$5:$I$204,MATCH(G188,Recipes!$A$5:$A$204,0)),"")*H188,""))</f>
        <v>0</v>
      </c>
      <c r="N188" s="8">
        <f>IF(OR(G188="",H188=""),"",IFERROR(IFERROR(INDEX(Recipes!$J$5:$J$204,MATCH(G188,Recipes!$A$5:$A$204,0)),"")*H188,""))</f>
        <v>0</v>
      </c>
      <c r="O188" s="8">
        <f>IF(OR(G188="",H188=""),"",IFERROR(IFERROR(INDEX(Recipes!$K$5:$K$204,MATCH(G188,Recipes!$A$5:$A$204,0)),"")*H188,""))</f>
        <v>0</v>
      </c>
      <c r="P188" s="8">
        <f>IF(OR(G188="",H188=""),"",IFERROR(IFERROR(INDEX(Recipes!$L$5:$L$204,MATCH(G188,Recipes!$A$5:$A$204,0)),"")*H188,""))</f>
        <v>0</v>
      </c>
      <c r="Q188" s="8">
        <f>IF(OR(G188="",H188=""),"",IFERROR(IFERROR(INDEX(Recipes!$Q$5:$Q$204,MATCH(G188,Recipes!$A$5:$A$204,0)),"")*H188,""))</f>
        <v>0</v>
      </c>
      <c r="R188" s="8">
        <f>IF(F188="","",Weekly_Budget/21)</f>
        <v>0</v>
      </c>
      <c r="S188" s="27"/>
      <c r="T188" s="27"/>
      <c r="U188" s="26"/>
      <c r="V188" s="7"/>
      <c r="W188" s="7"/>
      <c r="X188" s="26"/>
      <c r="Y188" s="8">
        <f>IF(G188="","",IF(COUNTIFS('Meal Prep'!$D$5:$D$124,G188)&gt;0,"Yes","No"))</f>
        <v>0</v>
      </c>
      <c r="Z188" s="8">
        <f>IF(G188="","",COUNTIFS('Recipe Ingredients'!$A$5:$A$1204,G188))</f>
        <v>0</v>
      </c>
      <c r="AA188" s="25"/>
      <c r="AB188" s="8">
        <f>IF(OR(B188="",Q188=""),"",COUNTIFS($B$5:$B$504,B188,$Q$5:$Q$504,"&gt;"&amp;Q188)+1)</f>
        <v>0</v>
      </c>
      <c r="AC188" s="8">
        <f>IF(OR(B188="",L188=""),"",COUNTIFS($B$5:$B$504,B188,$L$5:$L$504,"&gt;"&amp;L188)+1)</f>
        <v>0</v>
      </c>
      <c r="AD188" s="8">
        <f>IF(G188="","",IF(COUNTIFS($G$5:$G$504,G188)&gt;1,"Repeat","Once"))</f>
        <v>0</v>
      </c>
      <c r="AE188" s="8">
        <f>IF(G188="","",IF(IFERROR(INDEX(Recipes!$X$5:$X$204,MATCH(G188,Recipes!$A$5:$A$204,0)),"")="","",IFERROR(B188-IFERROR(INDEX(Recipes!$X$5:$X$204,MATCH(G188,Recipes!$A$5:$A$204,0)),""),"")))</f>
        <v>0</v>
      </c>
      <c r="AF188" s="8">
        <f>IF(G188="","",IF(AE188="","Yes",IF(AE188&gt;=Rotation_Gap_Days,"Yes","No")))</f>
        <v>0</v>
      </c>
      <c r="AG188" s="8">
        <f>IF(G188="","",IF(COUNTIFS('Recipe Ingredients'!$A$5:$A$1204,G188,'Recipe Ingredients'!$AC$5:$AC$1204,"Check")&gt;0,"Check","OK"))</f>
        <v>0</v>
      </c>
    </row>
    <row r="189" spans="1:33">
      <c r="A189" s="7"/>
      <c r="B189" s="30"/>
      <c r="C189" s="8">
        <f>IF(B189="","",B189-WEEKDAY(B189,2)+1)</f>
        <v>0</v>
      </c>
      <c r="D189" s="8">
        <f>IF(B189="","",TEXT(B189,"ddd"))</f>
        <v>0</v>
      </c>
      <c r="E189" s="8">
        <f>IF(B189="","",TEXT(B189,"mmm yyyy"))</f>
        <v>0</v>
      </c>
      <c r="F189" s="27"/>
      <c r="G189" s="7"/>
      <c r="H189" s="26"/>
      <c r="I189" s="8">
        <f>IF(G189="","",IFERROR(INDEX(Recipes!$D$5:$D$204,MATCH(G189,Recipes!$A$5:$A$204,0)),""))</f>
        <v>0</v>
      </c>
      <c r="J189" s="8">
        <f>IF(OR(G189="",H189="",I189="",I189=0),"",H189/I189)</f>
        <v>0</v>
      </c>
      <c r="K189" s="8">
        <f>IF(B189="","",Household_Size)</f>
        <v>0</v>
      </c>
      <c r="L189" s="8">
        <f>IF(OR(G189="",H189=""),"",IFERROR(IFERROR(INDEX(Recipes!$H$5:$H$204,MATCH(G189,Recipes!$A$5:$A$204,0)),"")*H189,""))</f>
        <v>0</v>
      </c>
      <c r="M189" s="8">
        <f>IF(OR(G189="",H189=""),"",IFERROR(IFERROR(INDEX(Recipes!$I$5:$I$204,MATCH(G189,Recipes!$A$5:$A$204,0)),"")*H189,""))</f>
        <v>0</v>
      </c>
      <c r="N189" s="8">
        <f>IF(OR(G189="",H189=""),"",IFERROR(IFERROR(INDEX(Recipes!$J$5:$J$204,MATCH(G189,Recipes!$A$5:$A$204,0)),"")*H189,""))</f>
        <v>0</v>
      </c>
      <c r="O189" s="8">
        <f>IF(OR(G189="",H189=""),"",IFERROR(IFERROR(INDEX(Recipes!$K$5:$K$204,MATCH(G189,Recipes!$A$5:$A$204,0)),"")*H189,""))</f>
        <v>0</v>
      </c>
      <c r="P189" s="8">
        <f>IF(OR(G189="",H189=""),"",IFERROR(IFERROR(INDEX(Recipes!$L$5:$L$204,MATCH(G189,Recipes!$A$5:$A$204,0)),"")*H189,""))</f>
        <v>0</v>
      </c>
      <c r="Q189" s="8">
        <f>IF(OR(G189="",H189=""),"",IFERROR(IFERROR(INDEX(Recipes!$Q$5:$Q$204,MATCH(G189,Recipes!$A$5:$A$204,0)),"")*H189,""))</f>
        <v>0</v>
      </c>
      <c r="R189" s="8">
        <f>IF(F189="","",Weekly_Budget/21)</f>
        <v>0</v>
      </c>
      <c r="S189" s="27"/>
      <c r="T189" s="27"/>
      <c r="U189" s="26"/>
      <c r="V189" s="7"/>
      <c r="W189" s="7"/>
      <c r="X189" s="26"/>
      <c r="Y189" s="8">
        <f>IF(G189="","",IF(COUNTIFS('Meal Prep'!$D$5:$D$124,G189)&gt;0,"Yes","No"))</f>
        <v>0</v>
      </c>
      <c r="Z189" s="8">
        <f>IF(G189="","",COUNTIFS('Recipe Ingredients'!$A$5:$A$1204,G189))</f>
        <v>0</v>
      </c>
      <c r="AA189" s="25"/>
      <c r="AB189" s="8">
        <f>IF(OR(B189="",Q189=""),"",COUNTIFS($B$5:$B$504,B189,$Q$5:$Q$504,"&gt;"&amp;Q189)+1)</f>
        <v>0</v>
      </c>
      <c r="AC189" s="8">
        <f>IF(OR(B189="",L189=""),"",COUNTIFS($B$5:$B$504,B189,$L$5:$L$504,"&gt;"&amp;L189)+1)</f>
        <v>0</v>
      </c>
      <c r="AD189" s="8">
        <f>IF(G189="","",IF(COUNTIFS($G$5:$G$504,G189)&gt;1,"Repeat","Once"))</f>
        <v>0</v>
      </c>
      <c r="AE189" s="8">
        <f>IF(G189="","",IF(IFERROR(INDEX(Recipes!$X$5:$X$204,MATCH(G189,Recipes!$A$5:$A$204,0)),"")="","",IFERROR(B189-IFERROR(INDEX(Recipes!$X$5:$X$204,MATCH(G189,Recipes!$A$5:$A$204,0)),""),"")))</f>
        <v>0</v>
      </c>
      <c r="AF189" s="8">
        <f>IF(G189="","",IF(AE189="","Yes",IF(AE189&gt;=Rotation_Gap_Days,"Yes","No")))</f>
        <v>0</v>
      </c>
      <c r="AG189" s="8">
        <f>IF(G189="","",IF(COUNTIFS('Recipe Ingredients'!$A$5:$A$1204,G189,'Recipe Ingredients'!$AC$5:$AC$1204,"Check")&gt;0,"Check","OK"))</f>
        <v>0</v>
      </c>
    </row>
    <row r="190" spans="1:33">
      <c r="A190" s="7"/>
      <c r="B190" s="30"/>
      <c r="C190" s="8">
        <f>IF(B190="","",B190-WEEKDAY(B190,2)+1)</f>
        <v>0</v>
      </c>
      <c r="D190" s="8">
        <f>IF(B190="","",TEXT(B190,"ddd"))</f>
        <v>0</v>
      </c>
      <c r="E190" s="8">
        <f>IF(B190="","",TEXT(B190,"mmm yyyy"))</f>
        <v>0</v>
      </c>
      <c r="F190" s="27"/>
      <c r="G190" s="7"/>
      <c r="H190" s="26"/>
      <c r="I190" s="8">
        <f>IF(G190="","",IFERROR(INDEX(Recipes!$D$5:$D$204,MATCH(G190,Recipes!$A$5:$A$204,0)),""))</f>
        <v>0</v>
      </c>
      <c r="J190" s="8">
        <f>IF(OR(G190="",H190="",I190="",I190=0),"",H190/I190)</f>
        <v>0</v>
      </c>
      <c r="K190" s="8">
        <f>IF(B190="","",Household_Size)</f>
        <v>0</v>
      </c>
      <c r="L190" s="8">
        <f>IF(OR(G190="",H190=""),"",IFERROR(IFERROR(INDEX(Recipes!$H$5:$H$204,MATCH(G190,Recipes!$A$5:$A$204,0)),"")*H190,""))</f>
        <v>0</v>
      </c>
      <c r="M190" s="8">
        <f>IF(OR(G190="",H190=""),"",IFERROR(IFERROR(INDEX(Recipes!$I$5:$I$204,MATCH(G190,Recipes!$A$5:$A$204,0)),"")*H190,""))</f>
        <v>0</v>
      </c>
      <c r="N190" s="8">
        <f>IF(OR(G190="",H190=""),"",IFERROR(IFERROR(INDEX(Recipes!$J$5:$J$204,MATCH(G190,Recipes!$A$5:$A$204,0)),"")*H190,""))</f>
        <v>0</v>
      </c>
      <c r="O190" s="8">
        <f>IF(OR(G190="",H190=""),"",IFERROR(IFERROR(INDEX(Recipes!$K$5:$K$204,MATCH(G190,Recipes!$A$5:$A$204,0)),"")*H190,""))</f>
        <v>0</v>
      </c>
      <c r="P190" s="8">
        <f>IF(OR(G190="",H190=""),"",IFERROR(IFERROR(INDEX(Recipes!$L$5:$L$204,MATCH(G190,Recipes!$A$5:$A$204,0)),"")*H190,""))</f>
        <v>0</v>
      </c>
      <c r="Q190" s="8">
        <f>IF(OR(G190="",H190=""),"",IFERROR(IFERROR(INDEX(Recipes!$Q$5:$Q$204,MATCH(G190,Recipes!$A$5:$A$204,0)),"")*H190,""))</f>
        <v>0</v>
      </c>
      <c r="R190" s="8">
        <f>IF(F190="","",Weekly_Budget/21)</f>
        <v>0</v>
      </c>
      <c r="S190" s="27"/>
      <c r="T190" s="27"/>
      <c r="U190" s="26"/>
      <c r="V190" s="7"/>
      <c r="W190" s="7"/>
      <c r="X190" s="26"/>
      <c r="Y190" s="8">
        <f>IF(G190="","",IF(COUNTIFS('Meal Prep'!$D$5:$D$124,G190)&gt;0,"Yes","No"))</f>
        <v>0</v>
      </c>
      <c r="Z190" s="8">
        <f>IF(G190="","",COUNTIFS('Recipe Ingredients'!$A$5:$A$1204,G190))</f>
        <v>0</v>
      </c>
      <c r="AA190" s="25"/>
      <c r="AB190" s="8">
        <f>IF(OR(B190="",Q190=""),"",COUNTIFS($B$5:$B$504,B190,$Q$5:$Q$504,"&gt;"&amp;Q190)+1)</f>
        <v>0</v>
      </c>
      <c r="AC190" s="8">
        <f>IF(OR(B190="",L190=""),"",COUNTIFS($B$5:$B$504,B190,$L$5:$L$504,"&gt;"&amp;L190)+1)</f>
        <v>0</v>
      </c>
      <c r="AD190" s="8">
        <f>IF(G190="","",IF(COUNTIFS($G$5:$G$504,G190)&gt;1,"Repeat","Once"))</f>
        <v>0</v>
      </c>
      <c r="AE190" s="8">
        <f>IF(G190="","",IF(IFERROR(INDEX(Recipes!$X$5:$X$204,MATCH(G190,Recipes!$A$5:$A$204,0)),"")="","",IFERROR(B190-IFERROR(INDEX(Recipes!$X$5:$X$204,MATCH(G190,Recipes!$A$5:$A$204,0)),""),"")))</f>
        <v>0</v>
      </c>
      <c r="AF190" s="8">
        <f>IF(G190="","",IF(AE190="","Yes",IF(AE190&gt;=Rotation_Gap_Days,"Yes","No")))</f>
        <v>0</v>
      </c>
      <c r="AG190" s="8">
        <f>IF(G190="","",IF(COUNTIFS('Recipe Ingredients'!$A$5:$A$1204,G190,'Recipe Ingredients'!$AC$5:$AC$1204,"Check")&gt;0,"Check","OK"))</f>
        <v>0</v>
      </c>
    </row>
    <row r="191" spans="1:33">
      <c r="A191" s="7"/>
      <c r="B191" s="30"/>
      <c r="C191" s="8">
        <f>IF(B191="","",B191-WEEKDAY(B191,2)+1)</f>
        <v>0</v>
      </c>
      <c r="D191" s="8">
        <f>IF(B191="","",TEXT(B191,"ddd"))</f>
        <v>0</v>
      </c>
      <c r="E191" s="8">
        <f>IF(B191="","",TEXT(B191,"mmm yyyy"))</f>
        <v>0</v>
      </c>
      <c r="F191" s="27"/>
      <c r="G191" s="7"/>
      <c r="H191" s="26"/>
      <c r="I191" s="8">
        <f>IF(G191="","",IFERROR(INDEX(Recipes!$D$5:$D$204,MATCH(G191,Recipes!$A$5:$A$204,0)),""))</f>
        <v>0</v>
      </c>
      <c r="J191" s="8">
        <f>IF(OR(G191="",H191="",I191="",I191=0),"",H191/I191)</f>
        <v>0</v>
      </c>
      <c r="K191" s="8">
        <f>IF(B191="","",Household_Size)</f>
        <v>0</v>
      </c>
      <c r="L191" s="8">
        <f>IF(OR(G191="",H191=""),"",IFERROR(IFERROR(INDEX(Recipes!$H$5:$H$204,MATCH(G191,Recipes!$A$5:$A$204,0)),"")*H191,""))</f>
        <v>0</v>
      </c>
      <c r="M191" s="8">
        <f>IF(OR(G191="",H191=""),"",IFERROR(IFERROR(INDEX(Recipes!$I$5:$I$204,MATCH(G191,Recipes!$A$5:$A$204,0)),"")*H191,""))</f>
        <v>0</v>
      </c>
      <c r="N191" s="8">
        <f>IF(OR(G191="",H191=""),"",IFERROR(IFERROR(INDEX(Recipes!$J$5:$J$204,MATCH(G191,Recipes!$A$5:$A$204,0)),"")*H191,""))</f>
        <v>0</v>
      </c>
      <c r="O191" s="8">
        <f>IF(OR(G191="",H191=""),"",IFERROR(IFERROR(INDEX(Recipes!$K$5:$K$204,MATCH(G191,Recipes!$A$5:$A$204,0)),"")*H191,""))</f>
        <v>0</v>
      </c>
      <c r="P191" s="8">
        <f>IF(OR(G191="",H191=""),"",IFERROR(IFERROR(INDEX(Recipes!$L$5:$L$204,MATCH(G191,Recipes!$A$5:$A$204,0)),"")*H191,""))</f>
        <v>0</v>
      </c>
      <c r="Q191" s="8">
        <f>IF(OR(G191="",H191=""),"",IFERROR(IFERROR(INDEX(Recipes!$Q$5:$Q$204,MATCH(G191,Recipes!$A$5:$A$204,0)),"")*H191,""))</f>
        <v>0</v>
      </c>
      <c r="R191" s="8">
        <f>IF(F191="","",Weekly_Budget/21)</f>
        <v>0</v>
      </c>
      <c r="S191" s="27"/>
      <c r="T191" s="27"/>
      <c r="U191" s="26"/>
      <c r="V191" s="7"/>
      <c r="W191" s="7"/>
      <c r="X191" s="26"/>
      <c r="Y191" s="8">
        <f>IF(G191="","",IF(COUNTIFS('Meal Prep'!$D$5:$D$124,G191)&gt;0,"Yes","No"))</f>
        <v>0</v>
      </c>
      <c r="Z191" s="8">
        <f>IF(G191="","",COUNTIFS('Recipe Ingredients'!$A$5:$A$1204,G191))</f>
        <v>0</v>
      </c>
      <c r="AA191" s="25"/>
      <c r="AB191" s="8">
        <f>IF(OR(B191="",Q191=""),"",COUNTIFS($B$5:$B$504,B191,$Q$5:$Q$504,"&gt;"&amp;Q191)+1)</f>
        <v>0</v>
      </c>
      <c r="AC191" s="8">
        <f>IF(OR(B191="",L191=""),"",COUNTIFS($B$5:$B$504,B191,$L$5:$L$504,"&gt;"&amp;L191)+1)</f>
        <v>0</v>
      </c>
      <c r="AD191" s="8">
        <f>IF(G191="","",IF(COUNTIFS($G$5:$G$504,G191)&gt;1,"Repeat","Once"))</f>
        <v>0</v>
      </c>
      <c r="AE191" s="8">
        <f>IF(G191="","",IF(IFERROR(INDEX(Recipes!$X$5:$X$204,MATCH(G191,Recipes!$A$5:$A$204,0)),"")="","",IFERROR(B191-IFERROR(INDEX(Recipes!$X$5:$X$204,MATCH(G191,Recipes!$A$5:$A$204,0)),""),"")))</f>
        <v>0</v>
      </c>
      <c r="AF191" s="8">
        <f>IF(G191="","",IF(AE191="","Yes",IF(AE191&gt;=Rotation_Gap_Days,"Yes","No")))</f>
        <v>0</v>
      </c>
      <c r="AG191" s="8">
        <f>IF(G191="","",IF(COUNTIFS('Recipe Ingredients'!$A$5:$A$1204,G191,'Recipe Ingredients'!$AC$5:$AC$1204,"Check")&gt;0,"Check","OK"))</f>
        <v>0</v>
      </c>
    </row>
    <row r="192" spans="1:33">
      <c r="A192" s="7"/>
      <c r="B192" s="30"/>
      <c r="C192" s="8">
        <f>IF(B192="","",B192-WEEKDAY(B192,2)+1)</f>
        <v>0</v>
      </c>
      <c r="D192" s="8">
        <f>IF(B192="","",TEXT(B192,"ddd"))</f>
        <v>0</v>
      </c>
      <c r="E192" s="8">
        <f>IF(B192="","",TEXT(B192,"mmm yyyy"))</f>
        <v>0</v>
      </c>
      <c r="F192" s="27"/>
      <c r="G192" s="7"/>
      <c r="H192" s="26"/>
      <c r="I192" s="8">
        <f>IF(G192="","",IFERROR(INDEX(Recipes!$D$5:$D$204,MATCH(G192,Recipes!$A$5:$A$204,0)),""))</f>
        <v>0</v>
      </c>
      <c r="J192" s="8">
        <f>IF(OR(G192="",H192="",I192="",I192=0),"",H192/I192)</f>
        <v>0</v>
      </c>
      <c r="K192" s="8">
        <f>IF(B192="","",Household_Size)</f>
        <v>0</v>
      </c>
      <c r="L192" s="8">
        <f>IF(OR(G192="",H192=""),"",IFERROR(IFERROR(INDEX(Recipes!$H$5:$H$204,MATCH(G192,Recipes!$A$5:$A$204,0)),"")*H192,""))</f>
        <v>0</v>
      </c>
      <c r="M192" s="8">
        <f>IF(OR(G192="",H192=""),"",IFERROR(IFERROR(INDEX(Recipes!$I$5:$I$204,MATCH(G192,Recipes!$A$5:$A$204,0)),"")*H192,""))</f>
        <v>0</v>
      </c>
      <c r="N192" s="8">
        <f>IF(OR(G192="",H192=""),"",IFERROR(IFERROR(INDEX(Recipes!$J$5:$J$204,MATCH(G192,Recipes!$A$5:$A$204,0)),"")*H192,""))</f>
        <v>0</v>
      </c>
      <c r="O192" s="8">
        <f>IF(OR(G192="",H192=""),"",IFERROR(IFERROR(INDEX(Recipes!$K$5:$K$204,MATCH(G192,Recipes!$A$5:$A$204,0)),"")*H192,""))</f>
        <v>0</v>
      </c>
      <c r="P192" s="8">
        <f>IF(OR(G192="",H192=""),"",IFERROR(IFERROR(INDEX(Recipes!$L$5:$L$204,MATCH(G192,Recipes!$A$5:$A$204,0)),"")*H192,""))</f>
        <v>0</v>
      </c>
      <c r="Q192" s="8">
        <f>IF(OR(G192="",H192=""),"",IFERROR(IFERROR(INDEX(Recipes!$Q$5:$Q$204,MATCH(G192,Recipes!$A$5:$A$204,0)),"")*H192,""))</f>
        <v>0</v>
      </c>
      <c r="R192" s="8">
        <f>IF(F192="","",Weekly_Budget/21)</f>
        <v>0</v>
      </c>
      <c r="S192" s="27"/>
      <c r="T192" s="27"/>
      <c r="U192" s="26"/>
      <c r="V192" s="7"/>
      <c r="W192" s="7"/>
      <c r="X192" s="26"/>
      <c r="Y192" s="8">
        <f>IF(G192="","",IF(COUNTIFS('Meal Prep'!$D$5:$D$124,G192)&gt;0,"Yes","No"))</f>
        <v>0</v>
      </c>
      <c r="Z192" s="8">
        <f>IF(G192="","",COUNTIFS('Recipe Ingredients'!$A$5:$A$1204,G192))</f>
        <v>0</v>
      </c>
      <c r="AA192" s="25"/>
      <c r="AB192" s="8">
        <f>IF(OR(B192="",Q192=""),"",COUNTIFS($B$5:$B$504,B192,$Q$5:$Q$504,"&gt;"&amp;Q192)+1)</f>
        <v>0</v>
      </c>
      <c r="AC192" s="8">
        <f>IF(OR(B192="",L192=""),"",COUNTIFS($B$5:$B$504,B192,$L$5:$L$504,"&gt;"&amp;L192)+1)</f>
        <v>0</v>
      </c>
      <c r="AD192" s="8">
        <f>IF(G192="","",IF(COUNTIFS($G$5:$G$504,G192)&gt;1,"Repeat","Once"))</f>
        <v>0</v>
      </c>
      <c r="AE192" s="8">
        <f>IF(G192="","",IF(IFERROR(INDEX(Recipes!$X$5:$X$204,MATCH(G192,Recipes!$A$5:$A$204,0)),"")="","",IFERROR(B192-IFERROR(INDEX(Recipes!$X$5:$X$204,MATCH(G192,Recipes!$A$5:$A$204,0)),""),"")))</f>
        <v>0</v>
      </c>
      <c r="AF192" s="8">
        <f>IF(G192="","",IF(AE192="","Yes",IF(AE192&gt;=Rotation_Gap_Days,"Yes","No")))</f>
        <v>0</v>
      </c>
      <c r="AG192" s="8">
        <f>IF(G192="","",IF(COUNTIFS('Recipe Ingredients'!$A$5:$A$1204,G192,'Recipe Ingredients'!$AC$5:$AC$1204,"Check")&gt;0,"Check","OK"))</f>
        <v>0</v>
      </c>
    </row>
    <row r="193" spans="1:33">
      <c r="A193" s="7"/>
      <c r="B193" s="30"/>
      <c r="C193" s="8">
        <f>IF(B193="","",B193-WEEKDAY(B193,2)+1)</f>
        <v>0</v>
      </c>
      <c r="D193" s="8">
        <f>IF(B193="","",TEXT(B193,"ddd"))</f>
        <v>0</v>
      </c>
      <c r="E193" s="8">
        <f>IF(B193="","",TEXT(B193,"mmm yyyy"))</f>
        <v>0</v>
      </c>
      <c r="F193" s="27"/>
      <c r="G193" s="7"/>
      <c r="H193" s="26"/>
      <c r="I193" s="8">
        <f>IF(G193="","",IFERROR(INDEX(Recipes!$D$5:$D$204,MATCH(G193,Recipes!$A$5:$A$204,0)),""))</f>
        <v>0</v>
      </c>
      <c r="J193" s="8">
        <f>IF(OR(G193="",H193="",I193="",I193=0),"",H193/I193)</f>
        <v>0</v>
      </c>
      <c r="K193" s="8">
        <f>IF(B193="","",Household_Size)</f>
        <v>0</v>
      </c>
      <c r="L193" s="8">
        <f>IF(OR(G193="",H193=""),"",IFERROR(IFERROR(INDEX(Recipes!$H$5:$H$204,MATCH(G193,Recipes!$A$5:$A$204,0)),"")*H193,""))</f>
        <v>0</v>
      </c>
      <c r="M193" s="8">
        <f>IF(OR(G193="",H193=""),"",IFERROR(IFERROR(INDEX(Recipes!$I$5:$I$204,MATCH(G193,Recipes!$A$5:$A$204,0)),"")*H193,""))</f>
        <v>0</v>
      </c>
      <c r="N193" s="8">
        <f>IF(OR(G193="",H193=""),"",IFERROR(IFERROR(INDEX(Recipes!$J$5:$J$204,MATCH(G193,Recipes!$A$5:$A$204,0)),"")*H193,""))</f>
        <v>0</v>
      </c>
      <c r="O193" s="8">
        <f>IF(OR(G193="",H193=""),"",IFERROR(IFERROR(INDEX(Recipes!$K$5:$K$204,MATCH(G193,Recipes!$A$5:$A$204,0)),"")*H193,""))</f>
        <v>0</v>
      </c>
      <c r="P193" s="8">
        <f>IF(OR(G193="",H193=""),"",IFERROR(IFERROR(INDEX(Recipes!$L$5:$L$204,MATCH(G193,Recipes!$A$5:$A$204,0)),"")*H193,""))</f>
        <v>0</v>
      </c>
      <c r="Q193" s="8">
        <f>IF(OR(G193="",H193=""),"",IFERROR(IFERROR(INDEX(Recipes!$Q$5:$Q$204,MATCH(G193,Recipes!$A$5:$A$204,0)),"")*H193,""))</f>
        <v>0</v>
      </c>
      <c r="R193" s="8">
        <f>IF(F193="","",Weekly_Budget/21)</f>
        <v>0</v>
      </c>
      <c r="S193" s="27"/>
      <c r="T193" s="27"/>
      <c r="U193" s="26"/>
      <c r="V193" s="7"/>
      <c r="W193" s="7"/>
      <c r="X193" s="26"/>
      <c r="Y193" s="8">
        <f>IF(G193="","",IF(COUNTIFS('Meal Prep'!$D$5:$D$124,G193)&gt;0,"Yes","No"))</f>
        <v>0</v>
      </c>
      <c r="Z193" s="8">
        <f>IF(G193="","",COUNTIFS('Recipe Ingredients'!$A$5:$A$1204,G193))</f>
        <v>0</v>
      </c>
      <c r="AA193" s="25"/>
      <c r="AB193" s="8">
        <f>IF(OR(B193="",Q193=""),"",COUNTIFS($B$5:$B$504,B193,$Q$5:$Q$504,"&gt;"&amp;Q193)+1)</f>
        <v>0</v>
      </c>
      <c r="AC193" s="8">
        <f>IF(OR(B193="",L193=""),"",COUNTIFS($B$5:$B$504,B193,$L$5:$L$504,"&gt;"&amp;L193)+1)</f>
        <v>0</v>
      </c>
      <c r="AD193" s="8">
        <f>IF(G193="","",IF(COUNTIFS($G$5:$G$504,G193)&gt;1,"Repeat","Once"))</f>
        <v>0</v>
      </c>
      <c r="AE193" s="8">
        <f>IF(G193="","",IF(IFERROR(INDEX(Recipes!$X$5:$X$204,MATCH(G193,Recipes!$A$5:$A$204,0)),"")="","",IFERROR(B193-IFERROR(INDEX(Recipes!$X$5:$X$204,MATCH(G193,Recipes!$A$5:$A$204,0)),""),"")))</f>
        <v>0</v>
      </c>
      <c r="AF193" s="8">
        <f>IF(G193="","",IF(AE193="","Yes",IF(AE193&gt;=Rotation_Gap_Days,"Yes","No")))</f>
        <v>0</v>
      </c>
      <c r="AG193" s="8">
        <f>IF(G193="","",IF(COUNTIFS('Recipe Ingredients'!$A$5:$A$1204,G193,'Recipe Ingredients'!$AC$5:$AC$1204,"Check")&gt;0,"Check","OK"))</f>
        <v>0</v>
      </c>
    </row>
    <row r="194" spans="1:33">
      <c r="A194" s="7"/>
      <c r="B194" s="30"/>
      <c r="C194" s="8">
        <f>IF(B194="","",B194-WEEKDAY(B194,2)+1)</f>
        <v>0</v>
      </c>
      <c r="D194" s="8">
        <f>IF(B194="","",TEXT(B194,"ddd"))</f>
        <v>0</v>
      </c>
      <c r="E194" s="8">
        <f>IF(B194="","",TEXT(B194,"mmm yyyy"))</f>
        <v>0</v>
      </c>
      <c r="F194" s="27"/>
      <c r="G194" s="7"/>
      <c r="H194" s="26"/>
      <c r="I194" s="8">
        <f>IF(G194="","",IFERROR(INDEX(Recipes!$D$5:$D$204,MATCH(G194,Recipes!$A$5:$A$204,0)),""))</f>
        <v>0</v>
      </c>
      <c r="J194" s="8">
        <f>IF(OR(G194="",H194="",I194="",I194=0),"",H194/I194)</f>
        <v>0</v>
      </c>
      <c r="K194" s="8">
        <f>IF(B194="","",Household_Size)</f>
        <v>0</v>
      </c>
      <c r="L194" s="8">
        <f>IF(OR(G194="",H194=""),"",IFERROR(IFERROR(INDEX(Recipes!$H$5:$H$204,MATCH(G194,Recipes!$A$5:$A$204,0)),"")*H194,""))</f>
        <v>0</v>
      </c>
      <c r="M194" s="8">
        <f>IF(OR(G194="",H194=""),"",IFERROR(IFERROR(INDEX(Recipes!$I$5:$I$204,MATCH(G194,Recipes!$A$5:$A$204,0)),"")*H194,""))</f>
        <v>0</v>
      </c>
      <c r="N194" s="8">
        <f>IF(OR(G194="",H194=""),"",IFERROR(IFERROR(INDEX(Recipes!$J$5:$J$204,MATCH(G194,Recipes!$A$5:$A$204,0)),"")*H194,""))</f>
        <v>0</v>
      </c>
      <c r="O194" s="8">
        <f>IF(OR(G194="",H194=""),"",IFERROR(IFERROR(INDEX(Recipes!$K$5:$K$204,MATCH(G194,Recipes!$A$5:$A$204,0)),"")*H194,""))</f>
        <v>0</v>
      </c>
      <c r="P194" s="8">
        <f>IF(OR(G194="",H194=""),"",IFERROR(IFERROR(INDEX(Recipes!$L$5:$L$204,MATCH(G194,Recipes!$A$5:$A$204,0)),"")*H194,""))</f>
        <v>0</v>
      </c>
      <c r="Q194" s="8">
        <f>IF(OR(G194="",H194=""),"",IFERROR(IFERROR(INDEX(Recipes!$Q$5:$Q$204,MATCH(G194,Recipes!$A$5:$A$204,0)),"")*H194,""))</f>
        <v>0</v>
      </c>
      <c r="R194" s="8">
        <f>IF(F194="","",Weekly_Budget/21)</f>
        <v>0</v>
      </c>
      <c r="S194" s="27"/>
      <c r="T194" s="27"/>
      <c r="U194" s="26"/>
      <c r="V194" s="7"/>
      <c r="W194" s="7"/>
      <c r="X194" s="26"/>
      <c r="Y194" s="8">
        <f>IF(G194="","",IF(COUNTIFS('Meal Prep'!$D$5:$D$124,G194)&gt;0,"Yes","No"))</f>
        <v>0</v>
      </c>
      <c r="Z194" s="8">
        <f>IF(G194="","",COUNTIFS('Recipe Ingredients'!$A$5:$A$1204,G194))</f>
        <v>0</v>
      </c>
      <c r="AA194" s="25"/>
      <c r="AB194" s="8">
        <f>IF(OR(B194="",Q194=""),"",COUNTIFS($B$5:$B$504,B194,$Q$5:$Q$504,"&gt;"&amp;Q194)+1)</f>
        <v>0</v>
      </c>
      <c r="AC194" s="8">
        <f>IF(OR(B194="",L194=""),"",COUNTIFS($B$5:$B$504,B194,$L$5:$L$504,"&gt;"&amp;L194)+1)</f>
        <v>0</v>
      </c>
      <c r="AD194" s="8">
        <f>IF(G194="","",IF(COUNTIFS($G$5:$G$504,G194)&gt;1,"Repeat","Once"))</f>
        <v>0</v>
      </c>
      <c r="AE194" s="8">
        <f>IF(G194="","",IF(IFERROR(INDEX(Recipes!$X$5:$X$204,MATCH(G194,Recipes!$A$5:$A$204,0)),"")="","",IFERROR(B194-IFERROR(INDEX(Recipes!$X$5:$X$204,MATCH(G194,Recipes!$A$5:$A$204,0)),""),"")))</f>
        <v>0</v>
      </c>
      <c r="AF194" s="8">
        <f>IF(G194="","",IF(AE194="","Yes",IF(AE194&gt;=Rotation_Gap_Days,"Yes","No")))</f>
        <v>0</v>
      </c>
      <c r="AG194" s="8">
        <f>IF(G194="","",IF(COUNTIFS('Recipe Ingredients'!$A$5:$A$1204,G194,'Recipe Ingredients'!$AC$5:$AC$1204,"Check")&gt;0,"Check","OK"))</f>
        <v>0</v>
      </c>
    </row>
    <row r="195" spans="1:33">
      <c r="A195" s="7"/>
      <c r="B195" s="30"/>
      <c r="C195" s="8">
        <f>IF(B195="","",B195-WEEKDAY(B195,2)+1)</f>
        <v>0</v>
      </c>
      <c r="D195" s="8">
        <f>IF(B195="","",TEXT(B195,"ddd"))</f>
        <v>0</v>
      </c>
      <c r="E195" s="8">
        <f>IF(B195="","",TEXT(B195,"mmm yyyy"))</f>
        <v>0</v>
      </c>
      <c r="F195" s="27"/>
      <c r="G195" s="7"/>
      <c r="H195" s="26"/>
      <c r="I195" s="8">
        <f>IF(G195="","",IFERROR(INDEX(Recipes!$D$5:$D$204,MATCH(G195,Recipes!$A$5:$A$204,0)),""))</f>
        <v>0</v>
      </c>
      <c r="J195" s="8">
        <f>IF(OR(G195="",H195="",I195="",I195=0),"",H195/I195)</f>
        <v>0</v>
      </c>
      <c r="K195" s="8">
        <f>IF(B195="","",Household_Size)</f>
        <v>0</v>
      </c>
      <c r="L195" s="8">
        <f>IF(OR(G195="",H195=""),"",IFERROR(IFERROR(INDEX(Recipes!$H$5:$H$204,MATCH(G195,Recipes!$A$5:$A$204,0)),"")*H195,""))</f>
        <v>0</v>
      </c>
      <c r="M195" s="8">
        <f>IF(OR(G195="",H195=""),"",IFERROR(IFERROR(INDEX(Recipes!$I$5:$I$204,MATCH(G195,Recipes!$A$5:$A$204,0)),"")*H195,""))</f>
        <v>0</v>
      </c>
      <c r="N195" s="8">
        <f>IF(OR(G195="",H195=""),"",IFERROR(IFERROR(INDEX(Recipes!$J$5:$J$204,MATCH(G195,Recipes!$A$5:$A$204,0)),"")*H195,""))</f>
        <v>0</v>
      </c>
      <c r="O195" s="8">
        <f>IF(OR(G195="",H195=""),"",IFERROR(IFERROR(INDEX(Recipes!$K$5:$K$204,MATCH(G195,Recipes!$A$5:$A$204,0)),"")*H195,""))</f>
        <v>0</v>
      </c>
      <c r="P195" s="8">
        <f>IF(OR(G195="",H195=""),"",IFERROR(IFERROR(INDEX(Recipes!$L$5:$L$204,MATCH(G195,Recipes!$A$5:$A$204,0)),"")*H195,""))</f>
        <v>0</v>
      </c>
      <c r="Q195" s="8">
        <f>IF(OR(G195="",H195=""),"",IFERROR(IFERROR(INDEX(Recipes!$Q$5:$Q$204,MATCH(G195,Recipes!$A$5:$A$204,0)),"")*H195,""))</f>
        <v>0</v>
      </c>
      <c r="R195" s="8">
        <f>IF(F195="","",Weekly_Budget/21)</f>
        <v>0</v>
      </c>
      <c r="S195" s="27"/>
      <c r="T195" s="27"/>
      <c r="U195" s="26"/>
      <c r="V195" s="7"/>
      <c r="W195" s="7"/>
      <c r="X195" s="26"/>
      <c r="Y195" s="8">
        <f>IF(G195="","",IF(COUNTIFS('Meal Prep'!$D$5:$D$124,G195)&gt;0,"Yes","No"))</f>
        <v>0</v>
      </c>
      <c r="Z195" s="8">
        <f>IF(G195="","",COUNTIFS('Recipe Ingredients'!$A$5:$A$1204,G195))</f>
        <v>0</v>
      </c>
      <c r="AA195" s="25"/>
      <c r="AB195" s="8">
        <f>IF(OR(B195="",Q195=""),"",COUNTIFS($B$5:$B$504,B195,$Q$5:$Q$504,"&gt;"&amp;Q195)+1)</f>
        <v>0</v>
      </c>
      <c r="AC195" s="8">
        <f>IF(OR(B195="",L195=""),"",COUNTIFS($B$5:$B$504,B195,$L$5:$L$504,"&gt;"&amp;L195)+1)</f>
        <v>0</v>
      </c>
      <c r="AD195" s="8">
        <f>IF(G195="","",IF(COUNTIFS($G$5:$G$504,G195)&gt;1,"Repeat","Once"))</f>
        <v>0</v>
      </c>
      <c r="AE195" s="8">
        <f>IF(G195="","",IF(IFERROR(INDEX(Recipes!$X$5:$X$204,MATCH(G195,Recipes!$A$5:$A$204,0)),"")="","",IFERROR(B195-IFERROR(INDEX(Recipes!$X$5:$X$204,MATCH(G195,Recipes!$A$5:$A$204,0)),""),"")))</f>
        <v>0</v>
      </c>
      <c r="AF195" s="8">
        <f>IF(G195="","",IF(AE195="","Yes",IF(AE195&gt;=Rotation_Gap_Days,"Yes","No")))</f>
        <v>0</v>
      </c>
      <c r="AG195" s="8">
        <f>IF(G195="","",IF(COUNTIFS('Recipe Ingredients'!$A$5:$A$1204,G195,'Recipe Ingredients'!$AC$5:$AC$1204,"Check")&gt;0,"Check","OK"))</f>
        <v>0</v>
      </c>
    </row>
    <row r="196" spans="1:33">
      <c r="A196" s="7"/>
      <c r="B196" s="30"/>
      <c r="C196" s="8">
        <f>IF(B196="","",B196-WEEKDAY(B196,2)+1)</f>
        <v>0</v>
      </c>
      <c r="D196" s="8">
        <f>IF(B196="","",TEXT(B196,"ddd"))</f>
        <v>0</v>
      </c>
      <c r="E196" s="8">
        <f>IF(B196="","",TEXT(B196,"mmm yyyy"))</f>
        <v>0</v>
      </c>
      <c r="F196" s="27"/>
      <c r="G196" s="7"/>
      <c r="H196" s="26"/>
      <c r="I196" s="8">
        <f>IF(G196="","",IFERROR(INDEX(Recipes!$D$5:$D$204,MATCH(G196,Recipes!$A$5:$A$204,0)),""))</f>
        <v>0</v>
      </c>
      <c r="J196" s="8">
        <f>IF(OR(G196="",H196="",I196="",I196=0),"",H196/I196)</f>
        <v>0</v>
      </c>
      <c r="K196" s="8">
        <f>IF(B196="","",Household_Size)</f>
        <v>0</v>
      </c>
      <c r="L196" s="8">
        <f>IF(OR(G196="",H196=""),"",IFERROR(IFERROR(INDEX(Recipes!$H$5:$H$204,MATCH(G196,Recipes!$A$5:$A$204,0)),"")*H196,""))</f>
        <v>0</v>
      </c>
      <c r="M196" s="8">
        <f>IF(OR(G196="",H196=""),"",IFERROR(IFERROR(INDEX(Recipes!$I$5:$I$204,MATCH(G196,Recipes!$A$5:$A$204,0)),"")*H196,""))</f>
        <v>0</v>
      </c>
      <c r="N196" s="8">
        <f>IF(OR(G196="",H196=""),"",IFERROR(IFERROR(INDEX(Recipes!$J$5:$J$204,MATCH(G196,Recipes!$A$5:$A$204,0)),"")*H196,""))</f>
        <v>0</v>
      </c>
      <c r="O196" s="8">
        <f>IF(OR(G196="",H196=""),"",IFERROR(IFERROR(INDEX(Recipes!$K$5:$K$204,MATCH(G196,Recipes!$A$5:$A$204,0)),"")*H196,""))</f>
        <v>0</v>
      </c>
      <c r="P196" s="8">
        <f>IF(OR(G196="",H196=""),"",IFERROR(IFERROR(INDEX(Recipes!$L$5:$L$204,MATCH(G196,Recipes!$A$5:$A$204,0)),"")*H196,""))</f>
        <v>0</v>
      </c>
      <c r="Q196" s="8">
        <f>IF(OR(G196="",H196=""),"",IFERROR(IFERROR(INDEX(Recipes!$Q$5:$Q$204,MATCH(G196,Recipes!$A$5:$A$204,0)),"")*H196,""))</f>
        <v>0</v>
      </c>
      <c r="R196" s="8">
        <f>IF(F196="","",Weekly_Budget/21)</f>
        <v>0</v>
      </c>
      <c r="S196" s="27"/>
      <c r="T196" s="27"/>
      <c r="U196" s="26"/>
      <c r="V196" s="7"/>
      <c r="W196" s="7"/>
      <c r="X196" s="26"/>
      <c r="Y196" s="8">
        <f>IF(G196="","",IF(COUNTIFS('Meal Prep'!$D$5:$D$124,G196)&gt;0,"Yes","No"))</f>
        <v>0</v>
      </c>
      <c r="Z196" s="8">
        <f>IF(G196="","",COUNTIFS('Recipe Ingredients'!$A$5:$A$1204,G196))</f>
        <v>0</v>
      </c>
      <c r="AA196" s="25"/>
      <c r="AB196" s="8">
        <f>IF(OR(B196="",Q196=""),"",COUNTIFS($B$5:$B$504,B196,$Q$5:$Q$504,"&gt;"&amp;Q196)+1)</f>
        <v>0</v>
      </c>
      <c r="AC196" s="8">
        <f>IF(OR(B196="",L196=""),"",COUNTIFS($B$5:$B$504,B196,$L$5:$L$504,"&gt;"&amp;L196)+1)</f>
        <v>0</v>
      </c>
      <c r="AD196" s="8">
        <f>IF(G196="","",IF(COUNTIFS($G$5:$G$504,G196)&gt;1,"Repeat","Once"))</f>
        <v>0</v>
      </c>
      <c r="AE196" s="8">
        <f>IF(G196="","",IF(IFERROR(INDEX(Recipes!$X$5:$X$204,MATCH(G196,Recipes!$A$5:$A$204,0)),"")="","",IFERROR(B196-IFERROR(INDEX(Recipes!$X$5:$X$204,MATCH(G196,Recipes!$A$5:$A$204,0)),""),"")))</f>
        <v>0</v>
      </c>
      <c r="AF196" s="8">
        <f>IF(G196="","",IF(AE196="","Yes",IF(AE196&gt;=Rotation_Gap_Days,"Yes","No")))</f>
        <v>0</v>
      </c>
      <c r="AG196" s="8">
        <f>IF(G196="","",IF(COUNTIFS('Recipe Ingredients'!$A$5:$A$1204,G196,'Recipe Ingredients'!$AC$5:$AC$1204,"Check")&gt;0,"Check","OK"))</f>
        <v>0</v>
      </c>
    </row>
    <row r="197" spans="1:33">
      <c r="A197" s="7"/>
      <c r="B197" s="30"/>
      <c r="C197" s="8">
        <f>IF(B197="","",B197-WEEKDAY(B197,2)+1)</f>
        <v>0</v>
      </c>
      <c r="D197" s="8">
        <f>IF(B197="","",TEXT(B197,"ddd"))</f>
        <v>0</v>
      </c>
      <c r="E197" s="8">
        <f>IF(B197="","",TEXT(B197,"mmm yyyy"))</f>
        <v>0</v>
      </c>
      <c r="F197" s="27"/>
      <c r="G197" s="7"/>
      <c r="H197" s="26"/>
      <c r="I197" s="8">
        <f>IF(G197="","",IFERROR(INDEX(Recipes!$D$5:$D$204,MATCH(G197,Recipes!$A$5:$A$204,0)),""))</f>
        <v>0</v>
      </c>
      <c r="J197" s="8">
        <f>IF(OR(G197="",H197="",I197="",I197=0),"",H197/I197)</f>
        <v>0</v>
      </c>
      <c r="K197" s="8">
        <f>IF(B197="","",Household_Size)</f>
        <v>0</v>
      </c>
      <c r="L197" s="8">
        <f>IF(OR(G197="",H197=""),"",IFERROR(IFERROR(INDEX(Recipes!$H$5:$H$204,MATCH(G197,Recipes!$A$5:$A$204,0)),"")*H197,""))</f>
        <v>0</v>
      </c>
      <c r="M197" s="8">
        <f>IF(OR(G197="",H197=""),"",IFERROR(IFERROR(INDEX(Recipes!$I$5:$I$204,MATCH(G197,Recipes!$A$5:$A$204,0)),"")*H197,""))</f>
        <v>0</v>
      </c>
      <c r="N197" s="8">
        <f>IF(OR(G197="",H197=""),"",IFERROR(IFERROR(INDEX(Recipes!$J$5:$J$204,MATCH(G197,Recipes!$A$5:$A$204,0)),"")*H197,""))</f>
        <v>0</v>
      </c>
      <c r="O197" s="8">
        <f>IF(OR(G197="",H197=""),"",IFERROR(IFERROR(INDEX(Recipes!$K$5:$K$204,MATCH(G197,Recipes!$A$5:$A$204,0)),"")*H197,""))</f>
        <v>0</v>
      </c>
      <c r="P197" s="8">
        <f>IF(OR(G197="",H197=""),"",IFERROR(IFERROR(INDEX(Recipes!$L$5:$L$204,MATCH(G197,Recipes!$A$5:$A$204,0)),"")*H197,""))</f>
        <v>0</v>
      </c>
      <c r="Q197" s="8">
        <f>IF(OR(G197="",H197=""),"",IFERROR(IFERROR(INDEX(Recipes!$Q$5:$Q$204,MATCH(G197,Recipes!$A$5:$A$204,0)),"")*H197,""))</f>
        <v>0</v>
      </c>
      <c r="R197" s="8">
        <f>IF(F197="","",Weekly_Budget/21)</f>
        <v>0</v>
      </c>
      <c r="S197" s="27"/>
      <c r="T197" s="27"/>
      <c r="U197" s="26"/>
      <c r="V197" s="7"/>
      <c r="W197" s="7"/>
      <c r="X197" s="26"/>
      <c r="Y197" s="8">
        <f>IF(G197="","",IF(COUNTIFS('Meal Prep'!$D$5:$D$124,G197)&gt;0,"Yes","No"))</f>
        <v>0</v>
      </c>
      <c r="Z197" s="8">
        <f>IF(G197="","",COUNTIFS('Recipe Ingredients'!$A$5:$A$1204,G197))</f>
        <v>0</v>
      </c>
      <c r="AA197" s="25"/>
      <c r="AB197" s="8">
        <f>IF(OR(B197="",Q197=""),"",COUNTIFS($B$5:$B$504,B197,$Q$5:$Q$504,"&gt;"&amp;Q197)+1)</f>
        <v>0</v>
      </c>
      <c r="AC197" s="8">
        <f>IF(OR(B197="",L197=""),"",COUNTIFS($B$5:$B$504,B197,$L$5:$L$504,"&gt;"&amp;L197)+1)</f>
        <v>0</v>
      </c>
      <c r="AD197" s="8">
        <f>IF(G197="","",IF(COUNTIFS($G$5:$G$504,G197)&gt;1,"Repeat","Once"))</f>
        <v>0</v>
      </c>
      <c r="AE197" s="8">
        <f>IF(G197="","",IF(IFERROR(INDEX(Recipes!$X$5:$X$204,MATCH(G197,Recipes!$A$5:$A$204,0)),"")="","",IFERROR(B197-IFERROR(INDEX(Recipes!$X$5:$X$204,MATCH(G197,Recipes!$A$5:$A$204,0)),""),"")))</f>
        <v>0</v>
      </c>
      <c r="AF197" s="8">
        <f>IF(G197="","",IF(AE197="","Yes",IF(AE197&gt;=Rotation_Gap_Days,"Yes","No")))</f>
        <v>0</v>
      </c>
      <c r="AG197" s="8">
        <f>IF(G197="","",IF(COUNTIFS('Recipe Ingredients'!$A$5:$A$1204,G197,'Recipe Ingredients'!$AC$5:$AC$1204,"Check")&gt;0,"Check","OK"))</f>
        <v>0</v>
      </c>
    </row>
    <row r="198" spans="1:33">
      <c r="A198" s="7"/>
      <c r="B198" s="30"/>
      <c r="C198" s="8">
        <f>IF(B198="","",B198-WEEKDAY(B198,2)+1)</f>
        <v>0</v>
      </c>
      <c r="D198" s="8">
        <f>IF(B198="","",TEXT(B198,"ddd"))</f>
        <v>0</v>
      </c>
      <c r="E198" s="8">
        <f>IF(B198="","",TEXT(B198,"mmm yyyy"))</f>
        <v>0</v>
      </c>
      <c r="F198" s="27"/>
      <c r="G198" s="7"/>
      <c r="H198" s="26"/>
      <c r="I198" s="8">
        <f>IF(G198="","",IFERROR(INDEX(Recipes!$D$5:$D$204,MATCH(G198,Recipes!$A$5:$A$204,0)),""))</f>
        <v>0</v>
      </c>
      <c r="J198" s="8">
        <f>IF(OR(G198="",H198="",I198="",I198=0),"",H198/I198)</f>
        <v>0</v>
      </c>
      <c r="K198" s="8">
        <f>IF(B198="","",Household_Size)</f>
        <v>0</v>
      </c>
      <c r="L198" s="8">
        <f>IF(OR(G198="",H198=""),"",IFERROR(IFERROR(INDEX(Recipes!$H$5:$H$204,MATCH(G198,Recipes!$A$5:$A$204,0)),"")*H198,""))</f>
        <v>0</v>
      </c>
      <c r="M198" s="8">
        <f>IF(OR(G198="",H198=""),"",IFERROR(IFERROR(INDEX(Recipes!$I$5:$I$204,MATCH(G198,Recipes!$A$5:$A$204,0)),"")*H198,""))</f>
        <v>0</v>
      </c>
      <c r="N198" s="8">
        <f>IF(OR(G198="",H198=""),"",IFERROR(IFERROR(INDEX(Recipes!$J$5:$J$204,MATCH(G198,Recipes!$A$5:$A$204,0)),"")*H198,""))</f>
        <v>0</v>
      </c>
      <c r="O198" s="8">
        <f>IF(OR(G198="",H198=""),"",IFERROR(IFERROR(INDEX(Recipes!$K$5:$K$204,MATCH(G198,Recipes!$A$5:$A$204,0)),"")*H198,""))</f>
        <v>0</v>
      </c>
      <c r="P198" s="8">
        <f>IF(OR(G198="",H198=""),"",IFERROR(IFERROR(INDEX(Recipes!$L$5:$L$204,MATCH(G198,Recipes!$A$5:$A$204,0)),"")*H198,""))</f>
        <v>0</v>
      </c>
      <c r="Q198" s="8">
        <f>IF(OR(G198="",H198=""),"",IFERROR(IFERROR(INDEX(Recipes!$Q$5:$Q$204,MATCH(G198,Recipes!$A$5:$A$204,0)),"")*H198,""))</f>
        <v>0</v>
      </c>
      <c r="R198" s="8">
        <f>IF(F198="","",Weekly_Budget/21)</f>
        <v>0</v>
      </c>
      <c r="S198" s="27"/>
      <c r="T198" s="27"/>
      <c r="U198" s="26"/>
      <c r="V198" s="7"/>
      <c r="W198" s="7"/>
      <c r="X198" s="26"/>
      <c r="Y198" s="8">
        <f>IF(G198="","",IF(COUNTIFS('Meal Prep'!$D$5:$D$124,G198)&gt;0,"Yes","No"))</f>
        <v>0</v>
      </c>
      <c r="Z198" s="8">
        <f>IF(G198="","",COUNTIFS('Recipe Ingredients'!$A$5:$A$1204,G198))</f>
        <v>0</v>
      </c>
      <c r="AA198" s="25"/>
      <c r="AB198" s="8">
        <f>IF(OR(B198="",Q198=""),"",COUNTIFS($B$5:$B$504,B198,$Q$5:$Q$504,"&gt;"&amp;Q198)+1)</f>
        <v>0</v>
      </c>
      <c r="AC198" s="8">
        <f>IF(OR(B198="",L198=""),"",COUNTIFS($B$5:$B$504,B198,$L$5:$L$504,"&gt;"&amp;L198)+1)</f>
        <v>0</v>
      </c>
      <c r="AD198" s="8">
        <f>IF(G198="","",IF(COUNTIFS($G$5:$G$504,G198)&gt;1,"Repeat","Once"))</f>
        <v>0</v>
      </c>
      <c r="AE198" s="8">
        <f>IF(G198="","",IF(IFERROR(INDEX(Recipes!$X$5:$X$204,MATCH(G198,Recipes!$A$5:$A$204,0)),"")="","",IFERROR(B198-IFERROR(INDEX(Recipes!$X$5:$X$204,MATCH(G198,Recipes!$A$5:$A$204,0)),""),"")))</f>
        <v>0</v>
      </c>
      <c r="AF198" s="8">
        <f>IF(G198="","",IF(AE198="","Yes",IF(AE198&gt;=Rotation_Gap_Days,"Yes","No")))</f>
        <v>0</v>
      </c>
      <c r="AG198" s="8">
        <f>IF(G198="","",IF(COUNTIFS('Recipe Ingredients'!$A$5:$A$1204,G198,'Recipe Ingredients'!$AC$5:$AC$1204,"Check")&gt;0,"Check","OK"))</f>
        <v>0</v>
      </c>
    </row>
    <row r="199" spans="1:33">
      <c r="A199" s="7"/>
      <c r="B199" s="30"/>
      <c r="C199" s="8">
        <f>IF(B199="","",B199-WEEKDAY(B199,2)+1)</f>
        <v>0</v>
      </c>
      <c r="D199" s="8">
        <f>IF(B199="","",TEXT(B199,"ddd"))</f>
        <v>0</v>
      </c>
      <c r="E199" s="8">
        <f>IF(B199="","",TEXT(B199,"mmm yyyy"))</f>
        <v>0</v>
      </c>
      <c r="F199" s="27"/>
      <c r="G199" s="7"/>
      <c r="H199" s="26"/>
      <c r="I199" s="8">
        <f>IF(G199="","",IFERROR(INDEX(Recipes!$D$5:$D$204,MATCH(G199,Recipes!$A$5:$A$204,0)),""))</f>
        <v>0</v>
      </c>
      <c r="J199" s="8">
        <f>IF(OR(G199="",H199="",I199="",I199=0),"",H199/I199)</f>
        <v>0</v>
      </c>
      <c r="K199" s="8">
        <f>IF(B199="","",Household_Size)</f>
        <v>0</v>
      </c>
      <c r="L199" s="8">
        <f>IF(OR(G199="",H199=""),"",IFERROR(IFERROR(INDEX(Recipes!$H$5:$H$204,MATCH(G199,Recipes!$A$5:$A$204,0)),"")*H199,""))</f>
        <v>0</v>
      </c>
      <c r="M199" s="8">
        <f>IF(OR(G199="",H199=""),"",IFERROR(IFERROR(INDEX(Recipes!$I$5:$I$204,MATCH(G199,Recipes!$A$5:$A$204,0)),"")*H199,""))</f>
        <v>0</v>
      </c>
      <c r="N199" s="8">
        <f>IF(OR(G199="",H199=""),"",IFERROR(IFERROR(INDEX(Recipes!$J$5:$J$204,MATCH(G199,Recipes!$A$5:$A$204,0)),"")*H199,""))</f>
        <v>0</v>
      </c>
      <c r="O199" s="8">
        <f>IF(OR(G199="",H199=""),"",IFERROR(IFERROR(INDEX(Recipes!$K$5:$K$204,MATCH(G199,Recipes!$A$5:$A$204,0)),"")*H199,""))</f>
        <v>0</v>
      </c>
      <c r="P199" s="8">
        <f>IF(OR(G199="",H199=""),"",IFERROR(IFERROR(INDEX(Recipes!$L$5:$L$204,MATCH(G199,Recipes!$A$5:$A$204,0)),"")*H199,""))</f>
        <v>0</v>
      </c>
      <c r="Q199" s="8">
        <f>IF(OR(G199="",H199=""),"",IFERROR(IFERROR(INDEX(Recipes!$Q$5:$Q$204,MATCH(G199,Recipes!$A$5:$A$204,0)),"")*H199,""))</f>
        <v>0</v>
      </c>
      <c r="R199" s="8">
        <f>IF(F199="","",Weekly_Budget/21)</f>
        <v>0</v>
      </c>
      <c r="S199" s="27"/>
      <c r="T199" s="27"/>
      <c r="U199" s="26"/>
      <c r="V199" s="7"/>
      <c r="W199" s="7"/>
      <c r="X199" s="26"/>
      <c r="Y199" s="8">
        <f>IF(G199="","",IF(COUNTIFS('Meal Prep'!$D$5:$D$124,G199)&gt;0,"Yes","No"))</f>
        <v>0</v>
      </c>
      <c r="Z199" s="8">
        <f>IF(G199="","",COUNTIFS('Recipe Ingredients'!$A$5:$A$1204,G199))</f>
        <v>0</v>
      </c>
      <c r="AA199" s="25"/>
      <c r="AB199" s="8">
        <f>IF(OR(B199="",Q199=""),"",COUNTIFS($B$5:$B$504,B199,$Q$5:$Q$504,"&gt;"&amp;Q199)+1)</f>
        <v>0</v>
      </c>
      <c r="AC199" s="8">
        <f>IF(OR(B199="",L199=""),"",COUNTIFS($B$5:$B$504,B199,$L$5:$L$504,"&gt;"&amp;L199)+1)</f>
        <v>0</v>
      </c>
      <c r="AD199" s="8">
        <f>IF(G199="","",IF(COUNTIFS($G$5:$G$504,G199)&gt;1,"Repeat","Once"))</f>
        <v>0</v>
      </c>
      <c r="AE199" s="8">
        <f>IF(G199="","",IF(IFERROR(INDEX(Recipes!$X$5:$X$204,MATCH(G199,Recipes!$A$5:$A$204,0)),"")="","",IFERROR(B199-IFERROR(INDEX(Recipes!$X$5:$X$204,MATCH(G199,Recipes!$A$5:$A$204,0)),""),"")))</f>
        <v>0</v>
      </c>
      <c r="AF199" s="8">
        <f>IF(G199="","",IF(AE199="","Yes",IF(AE199&gt;=Rotation_Gap_Days,"Yes","No")))</f>
        <v>0</v>
      </c>
      <c r="AG199" s="8">
        <f>IF(G199="","",IF(COUNTIFS('Recipe Ingredients'!$A$5:$A$1204,G199,'Recipe Ingredients'!$AC$5:$AC$1204,"Check")&gt;0,"Check","OK"))</f>
        <v>0</v>
      </c>
    </row>
    <row r="200" spans="1:33">
      <c r="A200" s="7"/>
      <c r="B200" s="30"/>
      <c r="C200" s="8">
        <f>IF(B200="","",B200-WEEKDAY(B200,2)+1)</f>
        <v>0</v>
      </c>
      <c r="D200" s="8">
        <f>IF(B200="","",TEXT(B200,"ddd"))</f>
        <v>0</v>
      </c>
      <c r="E200" s="8">
        <f>IF(B200="","",TEXT(B200,"mmm yyyy"))</f>
        <v>0</v>
      </c>
      <c r="F200" s="27"/>
      <c r="G200" s="7"/>
      <c r="H200" s="26"/>
      <c r="I200" s="8">
        <f>IF(G200="","",IFERROR(INDEX(Recipes!$D$5:$D$204,MATCH(G200,Recipes!$A$5:$A$204,0)),""))</f>
        <v>0</v>
      </c>
      <c r="J200" s="8">
        <f>IF(OR(G200="",H200="",I200="",I200=0),"",H200/I200)</f>
        <v>0</v>
      </c>
      <c r="K200" s="8">
        <f>IF(B200="","",Household_Size)</f>
        <v>0</v>
      </c>
      <c r="L200" s="8">
        <f>IF(OR(G200="",H200=""),"",IFERROR(IFERROR(INDEX(Recipes!$H$5:$H$204,MATCH(G200,Recipes!$A$5:$A$204,0)),"")*H200,""))</f>
        <v>0</v>
      </c>
      <c r="M200" s="8">
        <f>IF(OR(G200="",H200=""),"",IFERROR(IFERROR(INDEX(Recipes!$I$5:$I$204,MATCH(G200,Recipes!$A$5:$A$204,0)),"")*H200,""))</f>
        <v>0</v>
      </c>
      <c r="N200" s="8">
        <f>IF(OR(G200="",H200=""),"",IFERROR(IFERROR(INDEX(Recipes!$J$5:$J$204,MATCH(G200,Recipes!$A$5:$A$204,0)),"")*H200,""))</f>
        <v>0</v>
      </c>
      <c r="O200" s="8">
        <f>IF(OR(G200="",H200=""),"",IFERROR(IFERROR(INDEX(Recipes!$K$5:$K$204,MATCH(G200,Recipes!$A$5:$A$204,0)),"")*H200,""))</f>
        <v>0</v>
      </c>
      <c r="P200" s="8">
        <f>IF(OR(G200="",H200=""),"",IFERROR(IFERROR(INDEX(Recipes!$L$5:$L$204,MATCH(G200,Recipes!$A$5:$A$204,0)),"")*H200,""))</f>
        <v>0</v>
      </c>
      <c r="Q200" s="8">
        <f>IF(OR(G200="",H200=""),"",IFERROR(IFERROR(INDEX(Recipes!$Q$5:$Q$204,MATCH(G200,Recipes!$A$5:$A$204,0)),"")*H200,""))</f>
        <v>0</v>
      </c>
      <c r="R200" s="8">
        <f>IF(F200="","",Weekly_Budget/21)</f>
        <v>0</v>
      </c>
      <c r="S200" s="27"/>
      <c r="T200" s="27"/>
      <c r="U200" s="26"/>
      <c r="V200" s="7"/>
      <c r="W200" s="7"/>
      <c r="X200" s="26"/>
      <c r="Y200" s="8">
        <f>IF(G200="","",IF(COUNTIFS('Meal Prep'!$D$5:$D$124,G200)&gt;0,"Yes","No"))</f>
        <v>0</v>
      </c>
      <c r="Z200" s="8">
        <f>IF(G200="","",COUNTIFS('Recipe Ingredients'!$A$5:$A$1204,G200))</f>
        <v>0</v>
      </c>
      <c r="AA200" s="25"/>
      <c r="AB200" s="8">
        <f>IF(OR(B200="",Q200=""),"",COUNTIFS($B$5:$B$504,B200,$Q$5:$Q$504,"&gt;"&amp;Q200)+1)</f>
        <v>0</v>
      </c>
      <c r="AC200" s="8">
        <f>IF(OR(B200="",L200=""),"",COUNTIFS($B$5:$B$504,B200,$L$5:$L$504,"&gt;"&amp;L200)+1)</f>
        <v>0</v>
      </c>
      <c r="AD200" s="8">
        <f>IF(G200="","",IF(COUNTIFS($G$5:$G$504,G200)&gt;1,"Repeat","Once"))</f>
        <v>0</v>
      </c>
      <c r="AE200" s="8">
        <f>IF(G200="","",IF(IFERROR(INDEX(Recipes!$X$5:$X$204,MATCH(G200,Recipes!$A$5:$A$204,0)),"")="","",IFERROR(B200-IFERROR(INDEX(Recipes!$X$5:$X$204,MATCH(G200,Recipes!$A$5:$A$204,0)),""),"")))</f>
        <v>0</v>
      </c>
      <c r="AF200" s="8">
        <f>IF(G200="","",IF(AE200="","Yes",IF(AE200&gt;=Rotation_Gap_Days,"Yes","No")))</f>
        <v>0</v>
      </c>
      <c r="AG200" s="8">
        <f>IF(G200="","",IF(COUNTIFS('Recipe Ingredients'!$A$5:$A$1204,G200,'Recipe Ingredients'!$AC$5:$AC$1204,"Check")&gt;0,"Check","OK"))</f>
        <v>0</v>
      </c>
    </row>
    <row r="201" spans="1:33">
      <c r="A201" s="7"/>
      <c r="B201" s="30"/>
      <c r="C201" s="8">
        <f>IF(B201="","",B201-WEEKDAY(B201,2)+1)</f>
        <v>0</v>
      </c>
      <c r="D201" s="8">
        <f>IF(B201="","",TEXT(B201,"ddd"))</f>
        <v>0</v>
      </c>
      <c r="E201" s="8">
        <f>IF(B201="","",TEXT(B201,"mmm yyyy"))</f>
        <v>0</v>
      </c>
      <c r="F201" s="27"/>
      <c r="G201" s="7"/>
      <c r="H201" s="26"/>
      <c r="I201" s="8">
        <f>IF(G201="","",IFERROR(INDEX(Recipes!$D$5:$D$204,MATCH(G201,Recipes!$A$5:$A$204,0)),""))</f>
        <v>0</v>
      </c>
      <c r="J201" s="8">
        <f>IF(OR(G201="",H201="",I201="",I201=0),"",H201/I201)</f>
        <v>0</v>
      </c>
      <c r="K201" s="8">
        <f>IF(B201="","",Household_Size)</f>
        <v>0</v>
      </c>
      <c r="L201" s="8">
        <f>IF(OR(G201="",H201=""),"",IFERROR(IFERROR(INDEX(Recipes!$H$5:$H$204,MATCH(G201,Recipes!$A$5:$A$204,0)),"")*H201,""))</f>
        <v>0</v>
      </c>
      <c r="M201" s="8">
        <f>IF(OR(G201="",H201=""),"",IFERROR(IFERROR(INDEX(Recipes!$I$5:$I$204,MATCH(G201,Recipes!$A$5:$A$204,0)),"")*H201,""))</f>
        <v>0</v>
      </c>
      <c r="N201" s="8">
        <f>IF(OR(G201="",H201=""),"",IFERROR(IFERROR(INDEX(Recipes!$J$5:$J$204,MATCH(G201,Recipes!$A$5:$A$204,0)),"")*H201,""))</f>
        <v>0</v>
      </c>
      <c r="O201" s="8">
        <f>IF(OR(G201="",H201=""),"",IFERROR(IFERROR(INDEX(Recipes!$K$5:$K$204,MATCH(G201,Recipes!$A$5:$A$204,0)),"")*H201,""))</f>
        <v>0</v>
      </c>
      <c r="P201" s="8">
        <f>IF(OR(G201="",H201=""),"",IFERROR(IFERROR(INDEX(Recipes!$L$5:$L$204,MATCH(G201,Recipes!$A$5:$A$204,0)),"")*H201,""))</f>
        <v>0</v>
      </c>
      <c r="Q201" s="8">
        <f>IF(OR(G201="",H201=""),"",IFERROR(IFERROR(INDEX(Recipes!$Q$5:$Q$204,MATCH(G201,Recipes!$A$5:$A$204,0)),"")*H201,""))</f>
        <v>0</v>
      </c>
      <c r="R201" s="8">
        <f>IF(F201="","",Weekly_Budget/21)</f>
        <v>0</v>
      </c>
      <c r="S201" s="27"/>
      <c r="T201" s="27"/>
      <c r="U201" s="26"/>
      <c r="V201" s="7"/>
      <c r="W201" s="7"/>
      <c r="X201" s="26"/>
      <c r="Y201" s="8">
        <f>IF(G201="","",IF(COUNTIFS('Meal Prep'!$D$5:$D$124,G201)&gt;0,"Yes","No"))</f>
        <v>0</v>
      </c>
      <c r="Z201" s="8">
        <f>IF(G201="","",COUNTIFS('Recipe Ingredients'!$A$5:$A$1204,G201))</f>
        <v>0</v>
      </c>
      <c r="AA201" s="25"/>
      <c r="AB201" s="8">
        <f>IF(OR(B201="",Q201=""),"",COUNTIFS($B$5:$B$504,B201,$Q$5:$Q$504,"&gt;"&amp;Q201)+1)</f>
        <v>0</v>
      </c>
      <c r="AC201" s="8">
        <f>IF(OR(B201="",L201=""),"",COUNTIFS($B$5:$B$504,B201,$L$5:$L$504,"&gt;"&amp;L201)+1)</f>
        <v>0</v>
      </c>
      <c r="AD201" s="8">
        <f>IF(G201="","",IF(COUNTIFS($G$5:$G$504,G201)&gt;1,"Repeat","Once"))</f>
        <v>0</v>
      </c>
      <c r="AE201" s="8">
        <f>IF(G201="","",IF(IFERROR(INDEX(Recipes!$X$5:$X$204,MATCH(G201,Recipes!$A$5:$A$204,0)),"")="","",IFERROR(B201-IFERROR(INDEX(Recipes!$X$5:$X$204,MATCH(G201,Recipes!$A$5:$A$204,0)),""),"")))</f>
        <v>0</v>
      </c>
      <c r="AF201" s="8">
        <f>IF(G201="","",IF(AE201="","Yes",IF(AE201&gt;=Rotation_Gap_Days,"Yes","No")))</f>
        <v>0</v>
      </c>
      <c r="AG201" s="8">
        <f>IF(G201="","",IF(COUNTIFS('Recipe Ingredients'!$A$5:$A$1204,G201,'Recipe Ingredients'!$AC$5:$AC$1204,"Check")&gt;0,"Check","OK"))</f>
        <v>0</v>
      </c>
    </row>
    <row r="202" spans="1:33">
      <c r="A202" s="7"/>
      <c r="B202" s="30"/>
      <c r="C202" s="8">
        <f>IF(B202="","",B202-WEEKDAY(B202,2)+1)</f>
        <v>0</v>
      </c>
      <c r="D202" s="8">
        <f>IF(B202="","",TEXT(B202,"ddd"))</f>
        <v>0</v>
      </c>
      <c r="E202" s="8">
        <f>IF(B202="","",TEXT(B202,"mmm yyyy"))</f>
        <v>0</v>
      </c>
      <c r="F202" s="27"/>
      <c r="G202" s="7"/>
      <c r="H202" s="26"/>
      <c r="I202" s="8">
        <f>IF(G202="","",IFERROR(INDEX(Recipes!$D$5:$D$204,MATCH(G202,Recipes!$A$5:$A$204,0)),""))</f>
        <v>0</v>
      </c>
      <c r="J202" s="8">
        <f>IF(OR(G202="",H202="",I202="",I202=0),"",H202/I202)</f>
        <v>0</v>
      </c>
      <c r="K202" s="8">
        <f>IF(B202="","",Household_Size)</f>
        <v>0</v>
      </c>
      <c r="L202" s="8">
        <f>IF(OR(G202="",H202=""),"",IFERROR(IFERROR(INDEX(Recipes!$H$5:$H$204,MATCH(G202,Recipes!$A$5:$A$204,0)),"")*H202,""))</f>
        <v>0</v>
      </c>
      <c r="M202" s="8">
        <f>IF(OR(G202="",H202=""),"",IFERROR(IFERROR(INDEX(Recipes!$I$5:$I$204,MATCH(G202,Recipes!$A$5:$A$204,0)),"")*H202,""))</f>
        <v>0</v>
      </c>
      <c r="N202" s="8">
        <f>IF(OR(G202="",H202=""),"",IFERROR(IFERROR(INDEX(Recipes!$J$5:$J$204,MATCH(G202,Recipes!$A$5:$A$204,0)),"")*H202,""))</f>
        <v>0</v>
      </c>
      <c r="O202" s="8">
        <f>IF(OR(G202="",H202=""),"",IFERROR(IFERROR(INDEX(Recipes!$K$5:$K$204,MATCH(G202,Recipes!$A$5:$A$204,0)),"")*H202,""))</f>
        <v>0</v>
      </c>
      <c r="P202" s="8">
        <f>IF(OR(G202="",H202=""),"",IFERROR(IFERROR(INDEX(Recipes!$L$5:$L$204,MATCH(G202,Recipes!$A$5:$A$204,0)),"")*H202,""))</f>
        <v>0</v>
      </c>
      <c r="Q202" s="8">
        <f>IF(OR(G202="",H202=""),"",IFERROR(IFERROR(INDEX(Recipes!$Q$5:$Q$204,MATCH(G202,Recipes!$A$5:$A$204,0)),"")*H202,""))</f>
        <v>0</v>
      </c>
      <c r="R202" s="8">
        <f>IF(F202="","",Weekly_Budget/21)</f>
        <v>0</v>
      </c>
      <c r="S202" s="27"/>
      <c r="T202" s="27"/>
      <c r="U202" s="26"/>
      <c r="V202" s="7"/>
      <c r="W202" s="7"/>
      <c r="X202" s="26"/>
      <c r="Y202" s="8">
        <f>IF(G202="","",IF(COUNTIFS('Meal Prep'!$D$5:$D$124,G202)&gt;0,"Yes","No"))</f>
        <v>0</v>
      </c>
      <c r="Z202" s="8">
        <f>IF(G202="","",COUNTIFS('Recipe Ingredients'!$A$5:$A$1204,G202))</f>
        <v>0</v>
      </c>
      <c r="AA202" s="25"/>
      <c r="AB202" s="8">
        <f>IF(OR(B202="",Q202=""),"",COUNTIFS($B$5:$B$504,B202,$Q$5:$Q$504,"&gt;"&amp;Q202)+1)</f>
        <v>0</v>
      </c>
      <c r="AC202" s="8">
        <f>IF(OR(B202="",L202=""),"",COUNTIFS($B$5:$B$504,B202,$L$5:$L$504,"&gt;"&amp;L202)+1)</f>
        <v>0</v>
      </c>
      <c r="AD202" s="8">
        <f>IF(G202="","",IF(COUNTIFS($G$5:$G$504,G202)&gt;1,"Repeat","Once"))</f>
        <v>0</v>
      </c>
      <c r="AE202" s="8">
        <f>IF(G202="","",IF(IFERROR(INDEX(Recipes!$X$5:$X$204,MATCH(G202,Recipes!$A$5:$A$204,0)),"")="","",IFERROR(B202-IFERROR(INDEX(Recipes!$X$5:$X$204,MATCH(G202,Recipes!$A$5:$A$204,0)),""),"")))</f>
        <v>0</v>
      </c>
      <c r="AF202" s="8">
        <f>IF(G202="","",IF(AE202="","Yes",IF(AE202&gt;=Rotation_Gap_Days,"Yes","No")))</f>
        <v>0</v>
      </c>
      <c r="AG202" s="8">
        <f>IF(G202="","",IF(COUNTIFS('Recipe Ingredients'!$A$5:$A$1204,G202,'Recipe Ingredients'!$AC$5:$AC$1204,"Check")&gt;0,"Check","OK"))</f>
        <v>0</v>
      </c>
    </row>
    <row r="203" spans="1:33">
      <c r="A203" s="7"/>
      <c r="B203" s="30"/>
      <c r="C203" s="8">
        <f>IF(B203="","",B203-WEEKDAY(B203,2)+1)</f>
        <v>0</v>
      </c>
      <c r="D203" s="8">
        <f>IF(B203="","",TEXT(B203,"ddd"))</f>
        <v>0</v>
      </c>
      <c r="E203" s="8">
        <f>IF(B203="","",TEXT(B203,"mmm yyyy"))</f>
        <v>0</v>
      </c>
      <c r="F203" s="27"/>
      <c r="G203" s="7"/>
      <c r="H203" s="26"/>
      <c r="I203" s="8">
        <f>IF(G203="","",IFERROR(INDEX(Recipes!$D$5:$D$204,MATCH(G203,Recipes!$A$5:$A$204,0)),""))</f>
        <v>0</v>
      </c>
      <c r="J203" s="8">
        <f>IF(OR(G203="",H203="",I203="",I203=0),"",H203/I203)</f>
        <v>0</v>
      </c>
      <c r="K203" s="8">
        <f>IF(B203="","",Household_Size)</f>
        <v>0</v>
      </c>
      <c r="L203" s="8">
        <f>IF(OR(G203="",H203=""),"",IFERROR(IFERROR(INDEX(Recipes!$H$5:$H$204,MATCH(G203,Recipes!$A$5:$A$204,0)),"")*H203,""))</f>
        <v>0</v>
      </c>
      <c r="M203" s="8">
        <f>IF(OR(G203="",H203=""),"",IFERROR(IFERROR(INDEX(Recipes!$I$5:$I$204,MATCH(G203,Recipes!$A$5:$A$204,0)),"")*H203,""))</f>
        <v>0</v>
      </c>
      <c r="N203" s="8">
        <f>IF(OR(G203="",H203=""),"",IFERROR(IFERROR(INDEX(Recipes!$J$5:$J$204,MATCH(G203,Recipes!$A$5:$A$204,0)),"")*H203,""))</f>
        <v>0</v>
      </c>
      <c r="O203" s="8">
        <f>IF(OR(G203="",H203=""),"",IFERROR(IFERROR(INDEX(Recipes!$K$5:$K$204,MATCH(G203,Recipes!$A$5:$A$204,0)),"")*H203,""))</f>
        <v>0</v>
      </c>
      <c r="P203" s="8">
        <f>IF(OR(G203="",H203=""),"",IFERROR(IFERROR(INDEX(Recipes!$L$5:$L$204,MATCH(G203,Recipes!$A$5:$A$204,0)),"")*H203,""))</f>
        <v>0</v>
      </c>
      <c r="Q203" s="8">
        <f>IF(OR(G203="",H203=""),"",IFERROR(IFERROR(INDEX(Recipes!$Q$5:$Q$204,MATCH(G203,Recipes!$A$5:$A$204,0)),"")*H203,""))</f>
        <v>0</v>
      </c>
      <c r="R203" s="8">
        <f>IF(F203="","",Weekly_Budget/21)</f>
        <v>0</v>
      </c>
      <c r="S203" s="27"/>
      <c r="T203" s="27"/>
      <c r="U203" s="26"/>
      <c r="V203" s="7"/>
      <c r="W203" s="7"/>
      <c r="X203" s="26"/>
      <c r="Y203" s="8">
        <f>IF(G203="","",IF(COUNTIFS('Meal Prep'!$D$5:$D$124,G203)&gt;0,"Yes","No"))</f>
        <v>0</v>
      </c>
      <c r="Z203" s="8">
        <f>IF(G203="","",COUNTIFS('Recipe Ingredients'!$A$5:$A$1204,G203))</f>
        <v>0</v>
      </c>
      <c r="AA203" s="25"/>
      <c r="AB203" s="8">
        <f>IF(OR(B203="",Q203=""),"",COUNTIFS($B$5:$B$504,B203,$Q$5:$Q$504,"&gt;"&amp;Q203)+1)</f>
        <v>0</v>
      </c>
      <c r="AC203" s="8">
        <f>IF(OR(B203="",L203=""),"",COUNTIFS($B$5:$B$504,B203,$L$5:$L$504,"&gt;"&amp;L203)+1)</f>
        <v>0</v>
      </c>
      <c r="AD203" s="8">
        <f>IF(G203="","",IF(COUNTIFS($G$5:$G$504,G203)&gt;1,"Repeat","Once"))</f>
        <v>0</v>
      </c>
      <c r="AE203" s="8">
        <f>IF(G203="","",IF(IFERROR(INDEX(Recipes!$X$5:$X$204,MATCH(G203,Recipes!$A$5:$A$204,0)),"")="","",IFERROR(B203-IFERROR(INDEX(Recipes!$X$5:$X$204,MATCH(G203,Recipes!$A$5:$A$204,0)),""),"")))</f>
        <v>0</v>
      </c>
      <c r="AF203" s="8">
        <f>IF(G203="","",IF(AE203="","Yes",IF(AE203&gt;=Rotation_Gap_Days,"Yes","No")))</f>
        <v>0</v>
      </c>
      <c r="AG203" s="8">
        <f>IF(G203="","",IF(COUNTIFS('Recipe Ingredients'!$A$5:$A$1204,G203,'Recipe Ingredients'!$AC$5:$AC$1204,"Check")&gt;0,"Check","OK"))</f>
        <v>0</v>
      </c>
    </row>
    <row r="204" spans="1:33">
      <c r="A204" s="7"/>
      <c r="B204" s="30"/>
      <c r="C204" s="8">
        <f>IF(B204="","",B204-WEEKDAY(B204,2)+1)</f>
        <v>0</v>
      </c>
      <c r="D204" s="8">
        <f>IF(B204="","",TEXT(B204,"ddd"))</f>
        <v>0</v>
      </c>
      <c r="E204" s="8">
        <f>IF(B204="","",TEXT(B204,"mmm yyyy"))</f>
        <v>0</v>
      </c>
      <c r="F204" s="27"/>
      <c r="G204" s="7"/>
      <c r="H204" s="26"/>
      <c r="I204" s="8">
        <f>IF(G204="","",IFERROR(INDEX(Recipes!$D$5:$D$204,MATCH(G204,Recipes!$A$5:$A$204,0)),""))</f>
        <v>0</v>
      </c>
      <c r="J204" s="8">
        <f>IF(OR(G204="",H204="",I204="",I204=0),"",H204/I204)</f>
        <v>0</v>
      </c>
      <c r="K204" s="8">
        <f>IF(B204="","",Household_Size)</f>
        <v>0</v>
      </c>
      <c r="L204" s="8">
        <f>IF(OR(G204="",H204=""),"",IFERROR(IFERROR(INDEX(Recipes!$H$5:$H$204,MATCH(G204,Recipes!$A$5:$A$204,0)),"")*H204,""))</f>
        <v>0</v>
      </c>
      <c r="M204" s="8">
        <f>IF(OR(G204="",H204=""),"",IFERROR(IFERROR(INDEX(Recipes!$I$5:$I$204,MATCH(G204,Recipes!$A$5:$A$204,0)),"")*H204,""))</f>
        <v>0</v>
      </c>
      <c r="N204" s="8">
        <f>IF(OR(G204="",H204=""),"",IFERROR(IFERROR(INDEX(Recipes!$J$5:$J$204,MATCH(G204,Recipes!$A$5:$A$204,0)),"")*H204,""))</f>
        <v>0</v>
      </c>
      <c r="O204" s="8">
        <f>IF(OR(G204="",H204=""),"",IFERROR(IFERROR(INDEX(Recipes!$K$5:$K$204,MATCH(G204,Recipes!$A$5:$A$204,0)),"")*H204,""))</f>
        <v>0</v>
      </c>
      <c r="P204" s="8">
        <f>IF(OR(G204="",H204=""),"",IFERROR(IFERROR(INDEX(Recipes!$L$5:$L$204,MATCH(G204,Recipes!$A$5:$A$204,0)),"")*H204,""))</f>
        <v>0</v>
      </c>
      <c r="Q204" s="8">
        <f>IF(OR(G204="",H204=""),"",IFERROR(IFERROR(INDEX(Recipes!$Q$5:$Q$204,MATCH(G204,Recipes!$A$5:$A$204,0)),"")*H204,""))</f>
        <v>0</v>
      </c>
      <c r="R204" s="8">
        <f>IF(F204="","",Weekly_Budget/21)</f>
        <v>0</v>
      </c>
      <c r="S204" s="27"/>
      <c r="T204" s="27"/>
      <c r="U204" s="26"/>
      <c r="V204" s="7"/>
      <c r="W204" s="7"/>
      <c r="X204" s="26"/>
      <c r="Y204" s="8">
        <f>IF(G204="","",IF(COUNTIFS('Meal Prep'!$D$5:$D$124,G204)&gt;0,"Yes","No"))</f>
        <v>0</v>
      </c>
      <c r="Z204" s="8">
        <f>IF(G204="","",COUNTIFS('Recipe Ingredients'!$A$5:$A$1204,G204))</f>
        <v>0</v>
      </c>
      <c r="AA204" s="25"/>
      <c r="AB204" s="8">
        <f>IF(OR(B204="",Q204=""),"",COUNTIFS($B$5:$B$504,B204,$Q$5:$Q$504,"&gt;"&amp;Q204)+1)</f>
        <v>0</v>
      </c>
      <c r="AC204" s="8">
        <f>IF(OR(B204="",L204=""),"",COUNTIFS($B$5:$B$504,B204,$L$5:$L$504,"&gt;"&amp;L204)+1)</f>
        <v>0</v>
      </c>
      <c r="AD204" s="8">
        <f>IF(G204="","",IF(COUNTIFS($G$5:$G$504,G204)&gt;1,"Repeat","Once"))</f>
        <v>0</v>
      </c>
      <c r="AE204" s="8">
        <f>IF(G204="","",IF(IFERROR(INDEX(Recipes!$X$5:$X$204,MATCH(G204,Recipes!$A$5:$A$204,0)),"")="","",IFERROR(B204-IFERROR(INDEX(Recipes!$X$5:$X$204,MATCH(G204,Recipes!$A$5:$A$204,0)),""),"")))</f>
        <v>0</v>
      </c>
      <c r="AF204" s="8">
        <f>IF(G204="","",IF(AE204="","Yes",IF(AE204&gt;=Rotation_Gap_Days,"Yes","No")))</f>
        <v>0</v>
      </c>
      <c r="AG204" s="8">
        <f>IF(G204="","",IF(COUNTIFS('Recipe Ingredients'!$A$5:$A$1204,G204,'Recipe Ingredients'!$AC$5:$AC$1204,"Check")&gt;0,"Check","OK"))</f>
        <v>0</v>
      </c>
    </row>
    <row r="205" spans="1:33">
      <c r="A205" s="7"/>
      <c r="B205" s="30"/>
      <c r="C205" s="8">
        <f>IF(B205="","",B205-WEEKDAY(B205,2)+1)</f>
        <v>0</v>
      </c>
      <c r="D205" s="8">
        <f>IF(B205="","",TEXT(B205,"ddd"))</f>
        <v>0</v>
      </c>
      <c r="E205" s="8">
        <f>IF(B205="","",TEXT(B205,"mmm yyyy"))</f>
        <v>0</v>
      </c>
      <c r="F205" s="27"/>
      <c r="G205" s="7"/>
      <c r="H205" s="26"/>
      <c r="I205" s="8">
        <f>IF(G205="","",IFERROR(INDEX(Recipes!$D$5:$D$204,MATCH(G205,Recipes!$A$5:$A$204,0)),""))</f>
        <v>0</v>
      </c>
      <c r="J205" s="8">
        <f>IF(OR(G205="",H205="",I205="",I205=0),"",H205/I205)</f>
        <v>0</v>
      </c>
      <c r="K205" s="8">
        <f>IF(B205="","",Household_Size)</f>
        <v>0</v>
      </c>
      <c r="L205" s="8">
        <f>IF(OR(G205="",H205=""),"",IFERROR(IFERROR(INDEX(Recipes!$H$5:$H$204,MATCH(G205,Recipes!$A$5:$A$204,0)),"")*H205,""))</f>
        <v>0</v>
      </c>
      <c r="M205" s="8">
        <f>IF(OR(G205="",H205=""),"",IFERROR(IFERROR(INDEX(Recipes!$I$5:$I$204,MATCH(G205,Recipes!$A$5:$A$204,0)),"")*H205,""))</f>
        <v>0</v>
      </c>
      <c r="N205" s="8">
        <f>IF(OR(G205="",H205=""),"",IFERROR(IFERROR(INDEX(Recipes!$J$5:$J$204,MATCH(G205,Recipes!$A$5:$A$204,0)),"")*H205,""))</f>
        <v>0</v>
      </c>
      <c r="O205" s="8">
        <f>IF(OR(G205="",H205=""),"",IFERROR(IFERROR(INDEX(Recipes!$K$5:$K$204,MATCH(G205,Recipes!$A$5:$A$204,0)),"")*H205,""))</f>
        <v>0</v>
      </c>
      <c r="P205" s="8">
        <f>IF(OR(G205="",H205=""),"",IFERROR(IFERROR(INDEX(Recipes!$L$5:$L$204,MATCH(G205,Recipes!$A$5:$A$204,0)),"")*H205,""))</f>
        <v>0</v>
      </c>
      <c r="Q205" s="8">
        <f>IF(OR(G205="",H205=""),"",IFERROR(IFERROR(INDEX(Recipes!$Q$5:$Q$204,MATCH(G205,Recipes!$A$5:$A$204,0)),"")*H205,""))</f>
        <v>0</v>
      </c>
      <c r="R205" s="8">
        <f>IF(F205="","",Weekly_Budget/21)</f>
        <v>0</v>
      </c>
      <c r="S205" s="27"/>
      <c r="T205" s="27"/>
      <c r="U205" s="26"/>
      <c r="V205" s="7"/>
      <c r="W205" s="7"/>
      <c r="X205" s="26"/>
      <c r="Y205" s="8">
        <f>IF(G205="","",IF(COUNTIFS('Meal Prep'!$D$5:$D$124,G205)&gt;0,"Yes","No"))</f>
        <v>0</v>
      </c>
      <c r="Z205" s="8">
        <f>IF(G205="","",COUNTIFS('Recipe Ingredients'!$A$5:$A$1204,G205))</f>
        <v>0</v>
      </c>
      <c r="AA205" s="25"/>
      <c r="AB205" s="8">
        <f>IF(OR(B205="",Q205=""),"",COUNTIFS($B$5:$B$504,B205,$Q$5:$Q$504,"&gt;"&amp;Q205)+1)</f>
        <v>0</v>
      </c>
      <c r="AC205" s="8">
        <f>IF(OR(B205="",L205=""),"",COUNTIFS($B$5:$B$504,B205,$L$5:$L$504,"&gt;"&amp;L205)+1)</f>
        <v>0</v>
      </c>
      <c r="AD205" s="8">
        <f>IF(G205="","",IF(COUNTIFS($G$5:$G$504,G205)&gt;1,"Repeat","Once"))</f>
        <v>0</v>
      </c>
      <c r="AE205" s="8">
        <f>IF(G205="","",IF(IFERROR(INDEX(Recipes!$X$5:$X$204,MATCH(G205,Recipes!$A$5:$A$204,0)),"")="","",IFERROR(B205-IFERROR(INDEX(Recipes!$X$5:$X$204,MATCH(G205,Recipes!$A$5:$A$204,0)),""),"")))</f>
        <v>0</v>
      </c>
      <c r="AF205" s="8">
        <f>IF(G205="","",IF(AE205="","Yes",IF(AE205&gt;=Rotation_Gap_Days,"Yes","No")))</f>
        <v>0</v>
      </c>
      <c r="AG205" s="8">
        <f>IF(G205="","",IF(COUNTIFS('Recipe Ingredients'!$A$5:$A$1204,G205,'Recipe Ingredients'!$AC$5:$AC$1204,"Check")&gt;0,"Check","OK"))</f>
        <v>0</v>
      </c>
    </row>
    <row r="206" spans="1:33">
      <c r="A206" s="7"/>
      <c r="B206" s="30"/>
      <c r="C206" s="8">
        <f>IF(B206="","",B206-WEEKDAY(B206,2)+1)</f>
        <v>0</v>
      </c>
      <c r="D206" s="8">
        <f>IF(B206="","",TEXT(B206,"ddd"))</f>
        <v>0</v>
      </c>
      <c r="E206" s="8">
        <f>IF(B206="","",TEXT(B206,"mmm yyyy"))</f>
        <v>0</v>
      </c>
      <c r="F206" s="27"/>
      <c r="G206" s="7"/>
      <c r="H206" s="26"/>
      <c r="I206" s="8">
        <f>IF(G206="","",IFERROR(INDEX(Recipes!$D$5:$D$204,MATCH(G206,Recipes!$A$5:$A$204,0)),""))</f>
        <v>0</v>
      </c>
      <c r="J206" s="8">
        <f>IF(OR(G206="",H206="",I206="",I206=0),"",H206/I206)</f>
        <v>0</v>
      </c>
      <c r="K206" s="8">
        <f>IF(B206="","",Household_Size)</f>
        <v>0</v>
      </c>
      <c r="L206" s="8">
        <f>IF(OR(G206="",H206=""),"",IFERROR(IFERROR(INDEX(Recipes!$H$5:$H$204,MATCH(G206,Recipes!$A$5:$A$204,0)),"")*H206,""))</f>
        <v>0</v>
      </c>
      <c r="M206" s="8">
        <f>IF(OR(G206="",H206=""),"",IFERROR(IFERROR(INDEX(Recipes!$I$5:$I$204,MATCH(G206,Recipes!$A$5:$A$204,0)),"")*H206,""))</f>
        <v>0</v>
      </c>
      <c r="N206" s="8">
        <f>IF(OR(G206="",H206=""),"",IFERROR(IFERROR(INDEX(Recipes!$J$5:$J$204,MATCH(G206,Recipes!$A$5:$A$204,0)),"")*H206,""))</f>
        <v>0</v>
      </c>
      <c r="O206" s="8">
        <f>IF(OR(G206="",H206=""),"",IFERROR(IFERROR(INDEX(Recipes!$K$5:$K$204,MATCH(G206,Recipes!$A$5:$A$204,0)),"")*H206,""))</f>
        <v>0</v>
      </c>
      <c r="P206" s="8">
        <f>IF(OR(G206="",H206=""),"",IFERROR(IFERROR(INDEX(Recipes!$L$5:$L$204,MATCH(G206,Recipes!$A$5:$A$204,0)),"")*H206,""))</f>
        <v>0</v>
      </c>
      <c r="Q206" s="8">
        <f>IF(OR(G206="",H206=""),"",IFERROR(IFERROR(INDEX(Recipes!$Q$5:$Q$204,MATCH(G206,Recipes!$A$5:$A$204,0)),"")*H206,""))</f>
        <v>0</v>
      </c>
      <c r="R206" s="8">
        <f>IF(F206="","",Weekly_Budget/21)</f>
        <v>0</v>
      </c>
      <c r="S206" s="27"/>
      <c r="T206" s="27"/>
      <c r="U206" s="26"/>
      <c r="V206" s="7"/>
      <c r="W206" s="7"/>
      <c r="X206" s="26"/>
      <c r="Y206" s="8">
        <f>IF(G206="","",IF(COUNTIFS('Meal Prep'!$D$5:$D$124,G206)&gt;0,"Yes","No"))</f>
        <v>0</v>
      </c>
      <c r="Z206" s="8">
        <f>IF(G206="","",COUNTIFS('Recipe Ingredients'!$A$5:$A$1204,G206))</f>
        <v>0</v>
      </c>
      <c r="AA206" s="25"/>
      <c r="AB206" s="8">
        <f>IF(OR(B206="",Q206=""),"",COUNTIFS($B$5:$B$504,B206,$Q$5:$Q$504,"&gt;"&amp;Q206)+1)</f>
        <v>0</v>
      </c>
      <c r="AC206" s="8">
        <f>IF(OR(B206="",L206=""),"",COUNTIFS($B$5:$B$504,B206,$L$5:$L$504,"&gt;"&amp;L206)+1)</f>
        <v>0</v>
      </c>
      <c r="AD206" s="8">
        <f>IF(G206="","",IF(COUNTIFS($G$5:$G$504,G206)&gt;1,"Repeat","Once"))</f>
        <v>0</v>
      </c>
      <c r="AE206" s="8">
        <f>IF(G206="","",IF(IFERROR(INDEX(Recipes!$X$5:$X$204,MATCH(G206,Recipes!$A$5:$A$204,0)),"")="","",IFERROR(B206-IFERROR(INDEX(Recipes!$X$5:$X$204,MATCH(G206,Recipes!$A$5:$A$204,0)),""),"")))</f>
        <v>0</v>
      </c>
      <c r="AF206" s="8">
        <f>IF(G206="","",IF(AE206="","Yes",IF(AE206&gt;=Rotation_Gap_Days,"Yes","No")))</f>
        <v>0</v>
      </c>
      <c r="AG206" s="8">
        <f>IF(G206="","",IF(COUNTIFS('Recipe Ingredients'!$A$5:$A$1204,G206,'Recipe Ingredients'!$AC$5:$AC$1204,"Check")&gt;0,"Check","OK"))</f>
        <v>0</v>
      </c>
    </row>
    <row r="207" spans="1:33">
      <c r="A207" s="7"/>
      <c r="B207" s="30"/>
      <c r="C207" s="8">
        <f>IF(B207="","",B207-WEEKDAY(B207,2)+1)</f>
        <v>0</v>
      </c>
      <c r="D207" s="8">
        <f>IF(B207="","",TEXT(B207,"ddd"))</f>
        <v>0</v>
      </c>
      <c r="E207" s="8">
        <f>IF(B207="","",TEXT(B207,"mmm yyyy"))</f>
        <v>0</v>
      </c>
      <c r="F207" s="27"/>
      <c r="G207" s="7"/>
      <c r="H207" s="26"/>
      <c r="I207" s="8">
        <f>IF(G207="","",IFERROR(INDEX(Recipes!$D$5:$D$204,MATCH(G207,Recipes!$A$5:$A$204,0)),""))</f>
        <v>0</v>
      </c>
      <c r="J207" s="8">
        <f>IF(OR(G207="",H207="",I207="",I207=0),"",H207/I207)</f>
        <v>0</v>
      </c>
      <c r="K207" s="8">
        <f>IF(B207="","",Household_Size)</f>
        <v>0</v>
      </c>
      <c r="L207" s="8">
        <f>IF(OR(G207="",H207=""),"",IFERROR(IFERROR(INDEX(Recipes!$H$5:$H$204,MATCH(G207,Recipes!$A$5:$A$204,0)),"")*H207,""))</f>
        <v>0</v>
      </c>
      <c r="M207" s="8">
        <f>IF(OR(G207="",H207=""),"",IFERROR(IFERROR(INDEX(Recipes!$I$5:$I$204,MATCH(G207,Recipes!$A$5:$A$204,0)),"")*H207,""))</f>
        <v>0</v>
      </c>
      <c r="N207" s="8">
        <f>IF(OR(G207="",H207=""),"",IFERROR(IFERROR(INDEX(Recipes!$J$5:$J$204,MATCH(G207,Recipes!$A$5:$A$204,0)),"")*H207,""))</f>
        <v>0</v>
      </c>
      <c r="O207" s="8">
        <f>IF(OR(G207="",H207=""),"",IFERROR(IFERROR(INDEX(Recipes!$K$5:$K$204,MATCH(G207,Recipes!$A$5:$A$204,0)),"")*H207,""))</f>
        <v>0</v>
      </c>
      <c r="P207" s="8">
        <f>IF(OR(G207="",H207=""),"",IFERROR(IFERROR(INDEX(Recipes!$L$5:$L$204,MATCH(G207,Recipes!$A$5:$A$204,0)),"")*H207,""))</f>
        <v>0</v>
      </c>
      <c r="Q207" s="8">
        <f>IF(OR(G207="",H207=""),"",IFERROR(IFERROR(INDEX(Recipes!$Q$5:$Q$204,MATCH(G207,Recipes!$A$5:$A$204,0)),"")*H207,""))</f>
        <v>0</v>
      </c>
      <c r="R207" s="8">
        <f>IF(F207="","",Weekly_Budget/21)</f>
        <v>0</v>
      </c>
      <c r="S207" s="27"/>
      <c r="T207" s="27"/>
      <c r="U207" s="26"/>
      <c r="V207" s="7"/>
      <c r="W207" s="7"/>
      <c r="X207" s="26"/>
      <c r="Y207" s="8">
        <f>IF(G207="","",IF(COUNTIFS('Meal Prep'!$D$5:$D$124,G207)&gt;0,"Yes","No"))</f>
        <v>0</v>
      </c>
      <c r="Z207" s="8">
        <f>IF(G207="","",COUNTIFS('Recipe Ingredients'!$A$5:$A$1204,G207))</f>
        <v>0</v>
      </c>
      <c r="AA207" s="25"/>
      <c r="AB207" s="8">
        <f>IF(OR(B207="",Q207=""),"",COUNTIFS($B$5:$B$504,B207,$Q$5:$Q$504,"&gt;"&amp;Q207)+1)</f>
        <v>0</v>
      </c>
      <c r="AC207" s="8">
        <f>IF(OR(B207="",L207=""),"",COUNTIFS($B$5:$B$504,B207,$L$5:$L$504,"&gt;"&amp;L207)+1)</f>
        <v>0</v>
      </c>
      <c r="AD207" s="8">
        <f>IF(G207="","",IF(COUNTIFS($G$5:$G$504,G207)&gt;1,"Repeat","Once"))</f>
        <v>0</v>
      </c>
      <c r="AE207" s="8">
        <f>IF(G207="","",IF(IFERROR(INDEX(Recipes!$X$5:$X$204,MATCH(G207,Recipes!$A$5:$A$204,0)),"")="","",IFERROR(B207-IFERROR(INDEX(Recipes!$X$5:$X$204,MATCH(G207,Recipes!$A$5:$A$204,0)),""),"")))</f>
        <v>0</v>
      </c>
      <c r="AF207" s="8">
        <f>IF(G207="","",IF(AE207="","Yes",IF(AE207&gt;=Rotation_Gap_Days,"Yes","No")))</f>
        <v>0</v>
      </c>
      <c r="AG207" s="8">
        <f>IF(G207="","",IF(COUNTIFS('Recipe Ingredients'!$A$5:$A$1204,G207,'Recipe Ingredients'!$AC$5:$AC$1204,"Check")&gt;0,"Check","OK"))</f>
        <v>0</v>
      </c>
    </row>
    <row r="208" spans="1:33">
      <c r="A208" s="7"/>
      <c r="B208" s="30"/>
      <c r="C208" s="8">
        <f>IF(B208="","",B208-WEEKDAY(B208,2)+1)</f>
        <v>0</v>
      </c>
      <c r="D208" s="8">
        <f>IF(B208="","",TEXT(B208,"ddd"))</f>
        <v>0</v>
      </c>
      <c r="E208" s="8">
        <f>IF(B208="","",TEXT(B208,"mmm yyyy"))</f>
        <v>0</v>
      </c>
      <c r="F208" s="27"/>
      <c r="G208" s="7"/>
      <c r="H208" s="26"/>
      <c r="I208" s="8">
        <f>IF(G208="","",IFERROR(INDEX(Recipes!$D$5:$D$204,MATCH(G208,Recipes!$A$5:$A$204,0)),""))</f>
        <v>0</v>
      </c>
      <c r="J208" s="8">
        <f>IF(OR(G208="",H208="",I208="",I208=0),"",H208/I208)</f>
        <v>0</v>
      </c>
      <c r="K208" s="8">
        <f>IF(B208="","",Household_Size)</f>
        <v>0</v>
      </c>
      <c r="L208" s="8">
        <f>IF(OR(G208="",H208=""),"",IFERROR(IFERROR(INDEX(Recipes!$H$5:$H$204,MATCH(G208,Recipes!$A$5:$A$204,0)),"")*H208,""))</f>
        <v>0</v>
      </c>
      <c r="M208" s="8">
        <f>IF(OR(G208="",H208=""),"",IFERROR(IFERROR(INDEX(Recipes!$I$5:$I$204,MATCH(G208,Recipes!$A$5:$A$204,0)),"")*H208,""))</f>
        <v>0</v>
      </c>
      <c r="N208" s="8">
        <f>IF(OR(G208="",H208=""),"",IFERROR(IFERROR(INDEX(Recipes!$J$5:$J$204,MATCH(G208,Recipes!$A$5:$A$204,0)),"")*H208,""))</f>
        <v>0</v>
      </c>
      <c r="O208" s="8">
        <f>IF(OR(G208="",H208=""),"",IFERROR(IFERROR(INDEX(Recipes!$K$5:$K$204,MATCH(G208,Recipes!$A$5:$A$204,0)),"")*H208,""))</f>
        <v>0</v>
      </c>
      <c r="P208" s="8">
        <f>IF(OR(G208="",H208=""),"",IFERROR(IFERROR(INDEX(Recipes!$L$5:$L$204,MATCH(G208,Recipes!$A$5:$A$204,0)),"")*H208,""))</f>
        <v>0</v>
      </c>
      <c r="Q208" s="8">
        <f>IF(OR(G208="",H208=""),"",IFERROR(IFERROR(INDEX(Recipes!$Q$5:$Q$204,MATCH(G208,Recipes!$A$5:$A$204,0)),"")*H208,""))</f>
        <v>0</v>
      </c>
      <c r="R208" s="8">
        <f>IF(F208="","",Weekly_Budget/21)</f>
        <v>0</v>
      </c>
      <c r="S208" s="27"/>
      <c r="T208" s="27"/>
      <c r="U208" s="26"/>
      <c r="V208" s="7"/>
      <c r="W208" s="7"/>
      <c r="X208" s="26"/>
      <c r="Y208" s="8">
        <f>IF(G208="","",IF(COUNTIFS('Meal Prep'!$D$5:$D$124,G208)&gt;0,"Yes","No"))</f>
        <v>0</v>
      </c>
      <c r="Z208" s="8">
        <f>IF(G208="","",COUNTIFS('Recipe Ingredients'!$A$5:$A$1204,G208))</f>
        <v>0</v>
      </c>
      <c r="AA208" s="25"/>
      <c r="AB208" s="8">
        <f>IF(OR(B208="",Q208=""),"",COUNTIFS($B$5:$B$504,B208,$Q$5:$Q$504,"&gt;"&amp;Q208)+1)</f>
        <v>0</v>
      </c>
      <c r="AC208" s="8">
        <f>IF(OR(B208="",L208=""),"",COUNTIFS($B$5:$B$504,B208,$L$5:$L$504,"&gt;"&amp;L208)+1)</f>
        <v>0</v>
      </c>
      <c r="AD208" s="8">
        <f>IF(G208="","",IF(COUNTIFS($G$5:$G$504,G208)&gt;1,"Repeat","Once"))</f>
        <v>0</v>
      </c>
      <c r="AE208" s="8">
        <f>IF(G208="","",IF(IFERROR(INDEX(Recipes!$X$5:$X$204,MATCH(G208,Recipes!$A$5:$A$204,0)),"")="","",IFERROR(B208-IFERROR(INDEX(Recipes!$X$5:$X$204,MATCH(G208,Recipes!$A$5:$A$204,0)),""),"")))</f>
        <v>0</v>
      </c>
      <c r="AF208" s="8">
        <f>IF(G208="","",IF(AE208="","Yes",IF(AE208&gt;=Rotation_Gap_Days,"Yes","No")))</f>
        <v>0</v>
      </c>
      <c r="AG208" s="8">
        <f>IF(G208="","",IF(COUNTIFS('Recipe Ingredients'!$A$5:$A$1204,G208,'Recipe Ingredients'!$AC$5:$AC$1204,"Check")&gt;0,"Check","OK"))</f>
        <v>0</v>
      </c>
    </row>
    <row r="209" spans="1:33">
      <c r="A209" s="7"/>
      <c r="B209" s="30"/>
      <c r="C209" s="8">
        <f>IF(B209="","",B209-WEEKDAY(B209,2)+1)</f>
        <v>0</v>
      </c>
      <c r="D209" s="8">
        <f>IF(B209="","",TEXT(B209,"ddd"))</f>
        <v>0</v>
      </c>
      <c r="E209" s="8">
        <f>IF(B209="","",TEXT(B209,"mmm yyyy"))</f>
        <v>0</v>
      </c>
      <c r="F209" s="27"/>
      <c r="G209" s="7"/>
      <c r="H209" s="26"/>
      <c r="I209" s="8">
        <f>IF(G209="","",IFERROR(INDEX(Recipes!$D$5:$D$204,MATCH(G209,Recipes!$A$5:$A$204,0)),""))</f>
        <v>0</v>
      </c>
      <c r="J209" s="8">
        <f>IF(OR(G209="",H209="",I209="",I209=0),"",H209/I209)</f>
        <v>0</v>
      </c>
      <c r="K209" s="8">
        <f>IF(B209="","",Household_Size)</f>
        <v>0</v>
      </c>
      <c r="L209" s="8">
        <f>IF(OR(G209="",H209=""),"",IFERROR(IFERROR(INDEX(Recipes!$H$5:$H$204,MATCH(G209,Recipes!$A$5:$A$204,0)),"")*H209,""))</f>
        <v>0</v>
      </c>
      <c r="M209" s="8">
        <f>IF(OR(G209="",H209=""),"",IFERROR(IFERROR(INDEX(Recipes!$I$5:$I$204,MATCH(G209,Recipes!$A$5:$A$204,0)),"")*H209,""))</f>
        <v>0</v>
      </c>
      <c r="N209" s="8">
        <f>IF(OR(G209="",H209=""),"",IFERROR(IFERROR(INDEX(Recipes!$J$5:$J$204,MATCH(G209,Recipes!$A$5:$A$204,0)),"")*H209,""))</f>
        <v>0</v>
      </c>
      <c r="O209" s="8">
        <f>IF(OR(G209="",H209=""),"",IFERROR(IFERROR(INDEX(Recipes!$K$5:$K$204,MATCH(G209,Recipes!$A$5:$A$204,0)),"")*H209,""))</f>
        <v>0</v>
      </c>
      <c r="P209" s="8">
        <f>IF(OR(G209="",H209=""),"",IFERROR(IFERROR(INDEX(Recipes!$L$5:$L$204,MATCH(G209,Recipes!$A$5:$A$204,0)),"")*H209,""))</f>
        <v>0</v>
      </c>
      <c r="Q209" s="8">
        <f>IF(OR(G209="",H209=""),"",IFERROR(IFERROR(INDEX(Recipes!$Q$5:$Q$204,MATCH(G209,Recipes!$A$5:$A$204,0)),"")*H209,""))</f>
        <v>0</v>
      </c>
      <c r="R209" s="8">
        <f>IF(F209="","",Weekly_Budget/21)</f>
        <v>0</v>
      </c>
      <c r="S209" s="27"/>
      <c r="T209" s="27"/>
      <c r="U209" s="26"/>
      <c r="V209" s="7"/>
      <c r="W209" s="7"/>
      <c r="X209" s="26"/>
      <c r="Y209" s="8">
        <f>IF(G209="","",IF(COUNTIFS('Meal Prep'!$D$5:$D$124,G209)&gt;0,"Yes","No"))</f>
        <v>0</v>
      </c>
      <c r="Z209" s="8">
        <f>IF(G209="","",COUNTIFS('Recipe Ingredients'!$A$5:$A$1204,G209))</f>
        <v>0</v>
      </c>
      <c r="AA209" s="25"/>
      <c r="AB209" s="8">
        <f>IF(OR(B209="",Q209=""),"",COUNTIFS($B$5:$B$504,B209,$Q$5:$Q$504,"&gt;"&amp;Q209)+1)</f>
        <v>0</v>
      </c>
      <c r="AC209" s="8">
        <f>IF(OR(B209="",L209=""),"",COUNTIFS($B$5:$B$504,B209,$L$5:$L$504,"&gt;"&amp;L209)+1)</f>
        <v>0</v>
      </c>
      <c r="AD209" s="8">
        <f>IF(G209="","",IF(COUNTIFS($G$5:$G$504,G209)&gt;1,"Repeat","Once"))</f>
        <v>0</v>
      </c>
      <c r="AE209" s="8">
        <f>IF(G209="","",IF(IFERROR(INDEX(Recipes!$X$5:$X$204,MATCH(G209,Recipes!$A$5:$A$204,0)),"")="","",IFERROR(B209-IFERROR(INDEX(Recipes!$X$5:$X$204,MATCH(G209,Recipes!$A$5:$A$204,0)),""),"")))</f>
        <v>0</v>
      </c>
      <c r="AF209" s="8">
        <f>IF(G209="","",IF(AE209="","Yes",IF(AE209&gt;=Rotation_Gap_Days,"Yes","No")))</f>
        <v>0</v>
      </c>
      <c r="AG209" s="8">
        <f>IF(G209="","",IF(COUNTIFS('Recipe Ingredients'!$A$5:$A$1204,G209,'Recipe Ingredients'!$AC$5:$AC$1204,"Check")&gt;0,"Check","OK"))</f>
        <v>0</v>
      </c>
    </row>
    <row r="210" spans="1:33">
      <c r="A210" s="7"/>
      <c r="B210" s="30"/>
      <c r="C210" s="8">
        <f>IF(B210="","",B210-WEEKDAY(B210,2)+1)</f>
        <v>0</v>
      </c>
      <c r="D210" s="8">
        <f>IF(B210="","",TEXT(B210,"ddd"))</f>
        <v>0</v>
      </c>
      <c r="E210" s="8">
        <f>IF(B210="","",TEXT(B210,"mmm yyyy"))</f>
        <v>0</v>
      </c>
      <c r="F210" s="27"/>
      <c r="G210" s="7"/>
      <c r="H210" s="26"/>
      <c r="I210" s="8">
        <f>IF(G210="","",IFERROR(INDEX(Recipes!$D$5:$D$204,MATCH(G210,Recipes!$A$5:$A$204,0)),""))</f>
        <v>0</v>
      </c>
      <c r="J210" s="8">
        <f>IF(OR(G210="",H210="",I210="",I210=0),"",H210/I210)</f>
        <v>0</v>
      </c>
      <c r="K210" s="8">
        <f>IF(B210="","",Household_Size)</f>
        <v>0</v>
      </c>
      <c r="L210" s="8">
        <f>IF(OR(G210="",H210=""),"",IFERROR(IFERROR(INDEX(Recipes!$H$5:$H$204,MATCH(G210,Recipes!$A$5:$A$204,0)),"")*H210,""))</f>
        <v>0</v>
      </c>
      <c r="M210" s="8">
        <f>IF(OR(G210="",H210=""),"",IFERROR(IFERROR(INDEX(Recipes!$I$5:$I$204,MATCH(G210,Recipes!$A$5:$A$204,0)),"")*H210,""))</f>
        <v>0</v>
      </c>
      <c r="N210" s="8">
        <f>IF(OR(G210="",H210=""),"",IFERROR(IFERROR(INDEX(Recipes!$J$5:$J$204,MATCH(G210,Recipes!$A$5:$A$204,0)),"")*H210,""))</f>
        <v>0</v>
      </c>
      <c r="O210" s="8">
        <f>IF(OR(G210="",H210=""),"",IFERROR(IFERROR(INDEX(Recipes!$K$5:$K$204,MATCH(G210,Recipes!$A$5:$A$204,0)),"")*H210,""))</f>
        <v>0</v>
      </c>
      <c r="P210" s="8">
        <f>IF(OR(G210="",H210=""),"",IFERROR(IFERROR(INDEX(Recipes!$L$5:$L$204,MATCH(G210,Recipes!$A$5:$A$204,0)),"")*H210,""))</f>
        <v>0</v>
      </c>
      <c r="Q210" s="8">
        <f>IF(OR(G210="",H210=""),"",IFERROR(IFERROR(INDEX(Recipes!$Q$5:$Q$204,MATCH(G210,Recipes!$A$5:$A$204,0)),"")*H210,""))</f>
        <v>0</v>
      </c>
      <c r="R210" s="8">
        <f>IF(F210="","",Weekly_Budget/21)</f>
        <v>0</v>
      </c>
      <c r="S210" s="27"/>
      <c r="T210" s="27"/>
      <c r="U210" s="26"/>
      <c r="V210" s="7"/>
      <c r="W210" s="7"/>
      <c r="X210" s="26"/>
      <c r="Y210" s="8">
        <f>IF(G210="","",IF(COUNTIFS('Meal Prep'!$D$5:$D$124,G210)&gt;0,"Yes","No"))</f>
        <v>0</v>
      </c>
      <c r="Z210" s="8">
        <f>IF(G210="","",COUNTIFS('Recipe Ingredients'!$A$5:$A$1204,G210))</f>
        <v>0</v>
      </c>
      <c r="AA210" s="25"/>
      <c r="AB210" s="8">
        <f>IF(OR(B210="",Q210=""),"",COUNTIFS($B$5:$B$504,B210,$Q$5:$Q$504,"&gt;"&amp;Q210)+1)</f>
        <v>0</v>
      </c>
      <c r="AC210" s="8">
        <f>IF(OR(B210="",L210=""),"",COUNTIFS($B$5:$B$504,B210,$L$5:$L$504,"&gt;"&amp;L210)+1)</f>
        <v>0</v>
      </c>
      <c r="AD210" s="8">
        <f>IF(G210="","",IF(COUNTIFS($G$5:$G$504,G210)&gt;1,"Repeat","Once"))</f>
        <v>0</v>
      </c>
      <c r="AE210" s="8">
        <f>IF(G210="","",IF(IFERROR(INDEX(Recipes!$X$5:$X$204,MATCH(G210,Recipes!$A$5:$A$204,0)),"")="","",IFERROR(B210-IFERROR(INDEX(Recipes!$X$5:$X$204,MATCH(G210,Recipes!$A$5:$A$204,0)),""),"")))</f>
        <v>0</v>
      </c>
      <c r="AF210" s="8">
        <f>IF(G210="","",IF(AE210="","Yes",IF(AE210&gt;=Rotation_Gap_Days,"Yes","No")))</f>
        <v>0</v>
      </c>
      <c r="AG210" s="8">
        <f>IF(G210="","",IF(COUNTIFS('Recipe Ingredients'!$A$5:$A$1204,G210,'Recipe Ingredients'!$AC$5:$AC$1204,"Check")&gt;0,"Check","OK"))</f>
        <v>0</v>
      </c>
    </row>
    <row r="211" spans="1:33">
      <c r="A211" s="7"/>
      <c r="B211" s="30"/>
      <c r="C211" s="8">
        <f>IF(B211="","",B211-WEEKDAY(B211,2)+1)</f>
        <v>0</v>
      </c>
      <c r="D211" s="8">
        <f>IF(B211="","",TEXT(B211,"ddd"))</f>
        <v>0</v>
      </c>
      <c r="E211" s="8">
        <f>IF(B211="","",TEXT(B211,"mmm yyyy"))</f>
        <v>0</v>
      </c>
      <c r="F211" s="27"/>
      <c r="G211" s="7"/>
      <c r="H211" s="26"/>
      <c r="I211" s="8">
        <f>IF(G211="","",IFERROR(INDEX(Recipes!$D$5:$D$204,MATCH(G211,Recipes!$A$5:$A$204,0)),""))</f>
        <v>0</v>
      </c>
      <c r="J211" s="8">
        <f>IF(OR(G211="",H211="",I211="",I211=0),"",H211/I211)</f>
        <v>0</v>
      </c>
      <c r="K211" s="8">
        <f>IF(B211="","",Household_Size)</f>
        <v>0</v>
      </c>
      <c r="L211" s="8">
        <f>IF(OR(G211="",H211=""),"",IFERROR(IFERROR(INDEX(Recipes!$H$5:$H$204,MATCH(G211,Recipes!$A$5:$A$204,0)),"")*H211,""))</f>
        <v>0</v>
      </c>
      <c r="M211" s="8">
        <f>IF(OR(G211="",H211=""),"",IFERROR(IFERROR(INDEX(Recipes!$I$5:$I$204,MATCH(G211,Recipes!$A$5:$A$204,0)),"")*H211,""))</f>
        <v>0</v>
      </c>
      <c r="N211" s="8">
        <f>IF(OR(G211="",H211=""),"",IFERROR(IFERROR(INDEX(Recipes!$J$5:$J$204,MATCH(G211,Recipes!$A$5:$A$204,0)),"")*H211,""))</f>
        <v>0</v>
      </c>
      <c r="O211" s="8">
        <f>IF(OR(G211="",H211=""),"",IFERROR(IFERROR(INDEX(Recipes!$K$5:$K$204,MATCH(G211,Recipes!$A$5:$A$204,0)),"")*H211,""))</f>
        <v>0</v>
      </c>
      <c r="P211" s="8">
        <f>IF(OR(G211="",H211=""),"",IFERROR(IFERROR(INDEX(Recipes!$L$5:$L$204,MATCH(G211,Recipes!$A$5:$A$204,0)),"")*H211,""))</f>
        <v>0</v>
      </c>
      <c r="Q211" s="8">
        <f>IF(OR(G211="",H211=""),"",IFERROR(IFERROR(INDEX(Recipes!$Q$5:$Q$204,MATCH(G211,Recipes!$A$5:$A$204,0)),"")*H211,""))</f>
        <v>0</v>
      </c>
      <c r="R211" s="8">
        <f>IF(F211="","",Weekly_Budget/21)</f>
        <v>0</v>
      </c>
      <c r="S211" s="27"/>
      <c r="T211" s="27"/>
      <c r="U211" s="26"/>
      <c r="V211" s="7"/>
      <c r="W211" s="7"/>
      <c r="X211" s="26"/>
      <c r="Y211" s="8">
        <f>IF(G211="","",IF(COUNTIFS('Meal Prep'!$D$5:$D$124,G211)&gt;0,"Yes","No"))</f>
        <v>0</v>
      </c>
      <c r="Z211" s="8">
        <f>IF(G211="","",COUNTIFS('Recipe Ingredients'!$A$5:$A$1204,G211))</f>
        <v>0</v>
      </c>
      <c r="AA211" s="25"/>
      <c r="AB211" s="8">
        <f>IF(OR(B211="",Q211=""),"",COUNTIFS($B$5:$B$504,B211,$Q$5:$Q$504,"&gt;"&amp;Q211)+1)</f>
        <v>0</v>
      </c>
      <c r="AC211" s="8">
        <f>IF(OR(B211="",L211=""),"",COUNTIFS($B$5:$B$504,B211,$L$5:$L$504,"&gt;"&amp;L211)+1)</f>
        <v>0</v>
      </c>
      <c r="AD211" s="8">
        <f>IF(G211="","",IF(COUNTIFS($G$5:$G$504,G211)&gt;1,"Repeat","Once"))</f>
        <v>0</v>
      </c>
      <c r="AE211" s="8">
        <f>IF(G211="","",IF(IFERROR(INDEX(Recipes!$X$5:$X$204,MATCH(G211,Recipes!$A$5:$A$204,0)),"")="","",IFERROR(B211-IFERROR(INDEX(Recipes!$X$5:$X$204,MATCH(G211,Recipes!$A$5:$A$204,0)),""),"")))</f>
        <v>0</v>
      </c>
      <c r="AF211" s="8">
        <f>IF(G211="","",IF(AE211="","Yes",IF(AE211&gt;=Rotation_Gap_Days,"Yes","No")))</f>
        <v>0</v>
      </c>
      <c r="AG211" s="8">
        <f>IF(G211="","",IF(COUNTIFS('Recipe Ingredients'!$A$5:$A$1204,G211,'Recipe Ingredients'!$AC$5:$AC$1204,"Check")&gt;0,"Check","OK"))</f>
        <v>0</v>
      </c>
    </row>
    <row r="212" spans="1:33">
      <c r="A212" s="7"/>
      <c r="B212" s="30"/>
      <c r="C212" s="8">
        <f>IF(B212="","",B212-WEEKDAY(B212,2)+1)</f>
        <v>0</v>
      </c>
      <c r="D212" s="8">
        <f>IF(B212="","",TEXT(B212,"ddd"))</f>
        <v>0</v>
      </c>
      <c r="E212" s="8">
        <f>IF(B212="","",TEXT(B212,"mmm yyyy"))</f>
        <v>0</v>
      </c>
      <c r="F212" s="27"/>
      <c r="G212" s="7"/>
      <c r="H212" s="26"/>
      <c r="I212" s="8">
        <f>IF(G212="","",IFERROR(INDEX(Recipes!$D$5:$D$204,MATCH(G212,Recipes!$A$5:$A$204,0)),""))</f>
        <v>0</v>
      </c>
      <c r="J212" s="8">
        <f>IF(OR(G212="",H212="",I212="",I212=0),"",H212/I212)</f>
        <v>0</v>
      </c>
      <c r="K212" s="8">
        <f>IF(B212="","",Household_Size)</f>
        <v>0</v>
      </c>
      <c r="L212" s="8">
        <f>IF(OR(G212="",H212=""),"",IFERROR(IFERROR(INDEX(Recipes!$H$5:$H$204,MATCH(G212,Recipes!$A$5:$A$204,0)),"")*H212,""))</f>
        <v>0</v>
      </c>
      <c r="M212" s="8">
        <f>IF(OR(G212="",H212=""),"",IFERROR(IFERROR(INDEX(Recipes!$I$5:$I$204,MATCH(G212,Recipes!$A$5:$A$204,0)),"")*H212,""))</f>
        <v>0</v>
      </c>
      <c r="N212" s="8">
        <f>IF(OR(G212="",H212=""),"",IFERROR(IFERROR(INDEX(Recipes!$J$5:$J$204,MATCH(G212,Recipes!$A$5:$A$204,0)),"")*H212,""))</f>
        <v>0</v>
      </c>
      <c r="O212" s="8">
        <f>IF(OR(G212="",H212=""),"",IFERROR(IFERROR(INDEX(Recipes!$K$5:$K$204,MATCH(G212,Recipes!$A$5:$A$204,0)),"")*H212,""))</f>
        <v>0</v>
      </c>
      <c r="P212" s="8">
        <f>IF(OR(G212="",H212=""),"",IFERROR(IFERROR(INDEX(Recipes!$L$5:$L$204,MATCH(G212,Recipes!$A$5:$A$204,0)),"")*H212,""))</f>
        <v>0</v>
      </c>
      <c r="Q212" s="8">
        <f>IF(OR(G212="",H212=""),"",IFERROR(IFERROR(INDEX(Recipes!$Q$5:$Q$204,MATCH(G212,Recipes!$A$5:$A$204,0)),"")*H212,""))</f>
        <v>0</v>
      </c>
      <c r="R212" s="8">
        <f>IF(F212="","",Weekly_Budget/21)</f>
        <v>0</v>
      </c>
      <c r="S212" s="27"/>
      <c r="T212" s="27"/>
      <c r="U212" s="26"/>
      <c r="V212" s="7"/>
      <c r="W212" s="7"/>
      <c r="X212" s="26"/>
      <c r="Y212" s="8">
        <f>IF(G212="","",IF(COUNTIFS('Meal Prep'!$D$5:$D$124,G212)&gt;0,"Yes","No"))</f>
        <v>0</v>
      </c>
      <c r="Z212" s="8">
        <f>IF(G212="","",COUNTIFS('Recipe Ingredients'!$A$5:$A$1204,G212))</f>
        <v>0</v>
      </c>
      <c r="AA212" s="25"/>
      <c r="AB212" s="8">
        <f>IF(OR(B212="",Q212=""),"",COUNTIFS($B$5:$B$504,B212,$Q$5:$Q$504,"&gt;"&amp;Q212)+1)</f>
        <v>0</v>
      </c>
      <c r="AC212" s="8">
        <f>IF(OR(B212="",L212=""),"",COUNTIFS($B$5:$B$504,B212,$L$5:$L$504,"&gt;"&amp;L212)+1)</f>
        <v>0</v>
      </c>
      <c r="AD212" s="8">
        <f>IF(G212="","",IF(COUNTIFS($G$5:$G$504,G212)&gt;1,"Repeat","Once"))</f>
        <v>0</v>
      </c>
      <c r="AE212" s="8">
        <f>IF(G212="","",IF(IFERROR(INDEX(Recipes!$X$5:$X$204,MATCH(G212,Recipes!$A$5:$A$204,0)),"")="","",IFERROR(B212-IFERROR(INDEX(Recipes!$X$5:$X$204,MATCH(G212,Recipes!$A$5:$A$204,0)),""),"")))</f>
        <v>0</v>
      </c>
      <c r="AF212" s="8">
        <f>IF(G212="","",IF(AE212="","Yes",IF(AE212&gt;=Rotation_Gap_Days,"Yes","No")))</f>
        <v>0</v>
      </c>
      <c r="AG212" s="8">
        <f>IF(G212="","",IF(COUNTIFS('Recipe Ingredients'!$A$5:$A$1204,G212,'Recipe Ingredients'!$AC$5:$AC$1204,"Check")&gt;0,"Check","OK"))</f>
        <v>0</v>
      </c>
    </row>
    <row r="213" spans="1:33">
      <c r="A213" s="7"/>
      <c r="B213" s="30"/>
      <c r="C213" s="8">
        <f>IF(B213="","",B213-WEEKDAY(B213,2)+1)</f>
        <v>0</v>
      </c>
      <c r="D213" s="8">
        <f>IF(B213="","",TEXT(B213,"ddd"))</f>
        <v>0</v>
      </c>
      <c r="E213" s="8">
        <f>IF(B213="","",TEXT(B213,"mmm yyyy"))</f>
        <v>0</v>
      </c>
      <c r="F213" s="27"/>
      <c r="G213" s="7"/>
      <c r="H213" s="26"/>
      <c r="I213" s="8">
        <f>IF(G213="","",IFERROR(INDEX(Recipes!$D$5:$D$204,MATCH(G213,Recipes!$A$5:$A$204,0)),""))</f>
        <v>0</v>
      </c>
      <c r="J213" s="8">
        <f>IF(OR(G213="",H213="",I213="",I213=0),"",H213/I213)</f>
        <v>0</v>
      </c>
      <c r="K213" s="8">
        <f>IF(B213="","",Household_Size)</f>
        <v>0</v>
      </c>
      <c r="L213" s="8">
        <f>IF(OR(G213="",H213=""),"",IFERROR(IFERROR(INDEX(Recipes!$H$5:$H$204,MATCH(G213,Recipes!$A$5:$A$204,0)),"")*H213,""))</f>
        <v>0</v>
      </c>
      <c r="M213" s="8">
        <f>IF(OR(G213="",H213=""),"",IFERROR(IFERROR(INDEX(Recipes!$I$5:$I$204,MATCH(G213,Recipes!$A$5:$A$204,0)),"")*H213,""))</f>
        <v>0</v>
      </c>
      <c r="N213" s="8">
        <f>IF(OR(G213="",H213=""),"",IFERROR(IFERROR(INDEX(Recipes!$J$5:$J$204,MATCH(G213,Recipes!$A$5:$A$204,0)),"")*H213,""))</f>
        <v>0</v>
      </c>
      <c r="O213" s="8">
        <f>IF(OR(G213="",H213=""),"",IFERROR(IFERROR(INDEX(Recipes!$K$5:$K$204,MATCH(G213,Recipes!$A$5:$A$204,0)),"")*H213,""))</f>
        <v>0</v>
      </c>
      <c r="P213" s="8">
        <f>IF(OR(G213="",H213=""),"",IFERROR(IFERROR(INDEX(Recipes!$L$5:$L$204,MATCH(G213,Recipes!$A$5:$A$204,0)),"")*H213,""))</f>
        <v>0</v>
      </c>
      <c r="Q213" s="8">
        <f>IF(OR(G213="",H213=""),"",IFERROR(IFERROR(INDEX(Recipes!$Q$5:$Q$204,MATCH(G213,Recipes!$A$5:$A$204,0)),"")*H213,""))</f>
        <v>0</v>
      </c>
      <c r="R213" s="8">
        <f>IF(F213="","",Weekly_Budget/21)</f>
        <v>0</v>
      </c>
      <c r="S213" s="27"/>
      <c r="T213" s="27"/>
      <c r="U213" s="26"/>
      <c r="V213" s="7"/>
      <c r="W213" s="7"/>
      <c r="X213" s="26"/>
      <c r="Y213" s="8">
        <f>IF(G213="","",IF(COUNTIFS('Meal Prep'!$D$5:$D$124,G213)&gt;0,"Yes","No"))</f>
        <v>0</v>
      </c>
      <c r="Z213" s="8">
        <f>IF(G213="","",COUNTIFS('Recipe Ingredients'!$A$5:$A$1204,G213))</f>
        <v>0</v>
      </c>
      <c r="AA213" s="25"/>
      <c r="AB213" s="8">
        <f>IF(OR(B213="",Q213=""),"",COUNTIFS($B$5:$B$504,B213,$Q$5:$Q$504,"&gt;"&amp;Q213)+1)</f>
        <v>0</v>
      </c>
      <c r="AC213" s="8">
        <f>IF(OR(B213="",L213=""),"",COUNTIFS($B$5:$B$504,B213,$L$5:$L$504,"&gt;"&amp;L213)+1)</f>
        <v>0</v>
      </c>
      <c r="AD213" s="8">
        <f>IF(G213="","",IF(COUNTIFS($G$5:$G$504,G213)&gt;1,"Repeat","Once"))</f>
        <v>0</v>
      </c>
      <c r="AE213" s="8">
        <f>IF(G213="","",IF(IFERROR(INDEX(Recipes!$X$5:$X$204,MATCH(G213,Recipes!$A$5:$A$204,0)),"")="","",IFERROR(B213-IFERROR(INDEX(Recipes!$X$5:$X$204,MATCH(G213,Recipes!$A$5:$A$204,0)),""),"")))</f>
        <v>0</v>
      </c>
      <c r="AF213" s="8">
        <f>IF(G213="","",IF(AE213="","Yes",IF(AE213&gt;=Rotation_Gap_Days,"Yes","No")))</f>
        <v>0</v>
      </c>
      <c r="AG213" s="8">
        <f>IF(G213="","",IF(COUNTIFS('Recipe Ingredients'!$A$5:$A$1204,G213,'Recipe Ingredients'!$AC$5:$AC$1204,"Check")&gt;0,"Check","OK"))</f>
        <v>0</v>
      </c>
    </row>
    <row r="214" spans="1:33">
      <c r="A214" s="7"/>
      <c r="B214" s="30"/>
      <c r="C214" s="8">
        <f>IF(B214="","",B214-WEEKDAY(B214,2)+1)</f>
        <v>0</v>
      </c>
      <c r="D214" s="8">
        <f>IF(B214="","",TEXT(B214,"ddd"))</f>
        <v>0</v>
      </c>
      <c r="E214" s="8">
        <f>IF(B214="","",TEXT(B214,"mmm yyyy"))</f>
        <v>0</v>
      </c>
      <c r="F214" s="27"/>
      <c r="G214" s="7"/>
      <c r="H214" s="26"/>
      <c r="I214" s="8">
        <f>IF(G214="","",IFERROR(INDEX(Recipes!$D$5:$D$204,MATCH(G214,Recipes!$A$5:$A$204,0)),""))</f>
        <v>0</v>
      </c>
      <c r="J214" s="8">
        <f>IF(OR(G214="",H214="",I214="",I214=0),"",H214/I214)</f>
        <v>0</v>
      </c>
      <c r="K214" s="8">
        <f>IF(B214="","",Household_Size)</f>
        <v>0</v>
      </c>
      <c r="L214" s="8">
        <f>IF(OR(G214="",H214=""),"",IFERROR(IFERROR(INDEX(Recipes!$H$5:$H$204,MATCH(G214,Recipes!$A$5:$A$204,0)),"")*H214,""))</f>
        <v>0</v>
      </c>
      <c r="M214" s="8">
        <f>IF(OR(G214="",H214=""),"",IFERROR(IFERROR(INDEX(Recipes!$I$5:$I$204,MATCH(G214,Recipes!$A$5:$A$204,0)),"")*H214,""))</f>
        <v>0</v>
      </c>
      <c r="N214" s="8">
        <f>IF(OR(G214="",H214=""),"",IFERROR(IFERROR(INDEX(Recipes!$J$5:$J$204,MATCH(G214,Recipes!$A$5:$A$204,0)),"")*H214,""))</f>
        <v>0</v>
      </c>
      <c r="O214" s="8">
        <f>IF(OR(G214="",H214=""),"",IFERROR(IFERROR(INDEX(Recipes!$K$5:$K$204,MATCH(G214,Recipes!$A$5:$A$204,0)),"")*H214,""))</f>
        <v>0</v>
      </c>
      <c r="P214" s="8">
        <f>IF(OR(G214="",H214=""),"",IFERROR(IFERROR(INDEX(Recipes!$L$5:$L$204,MATCH(G214,Recipes!$A$5:$A$204,0)),"")*H214,""))</f>
        <v>0</v>
      </c>
      <c r="Q214" s="8">
        <f>IF(OR(G214="",H214=""),"",IFERROR(IFERROR(INDEX(Recipes!$Q$5:$Q$204,MATCH(G214,Recipes!$A$5:$A$204,0)),"")*H214,""))</f>
        <v>0</v>
      </c>
      <c r="R214" s="8">
        <f>IF(F214="","",Weekly_Budget/21)</f>
        <v>0</v>
      </c>
      <c r="S214" s="27"/>
      <c r="T214" s="27"/>
      <c r="U214" s="26"/>
      <c r="V214" s="7"/>
      <c r="W214" s="7"/>
      <c r="X214" s="26"/>
      <c r="Y214" s="8">
        <f>IF(G214="","",IF(COUNTIFS('Meal Prep'!$D$5:$D$124,G214)&gt;0,"Yes","No"))</f>
        <v>0</v>
      </c>
      <c r="Z214" s="8">
        <f>IF(G214="","",COUNTIFS('Recipe Ingredients'!$A$5:$A$1204,G214))</f>
        <v>0</v>
      </c>
      <c r="AA214" s="25"/>
      <c r="AB214" s="8">
        <f>IF(OR(B214="",Q214=""),"",COUNTIFS($B$5:$B$504,B214,$Q$5:$Q$504,"&gt;"&amp;Q214)+1)</f>
        <v>0</v>
      </c>
      <c r="AC214" s="8">
        <f>IF(OR(B214="",L214=""),"",COUNTIFS($B$5:$B$504,B214,$L$5:$L$504,"&gt;"&amp;L214)+1)</f>
        <v>0</v>
      </c>
      <c r="AD214" s="8">
        <f>IF(G214="","",IF(COUNTIFS($G$5:$G$504,G214)&gt;1,"Repeat","Once"))</f>
        <v>0</v>
      </c>
      <c r="AE214" s="8">
        <f>IF(G214="","",IF(IFERROR(INDEX(Recipes!$X$5:$X$204,MATCH(G214,Recipes!$A$5:$A$204,0)),"")="","",IFERROR(B214-IFERROR(INDEX(Recipes!$X$5:$X$204,MATCH(G214,Recipes!$A$5:$A$204,0)),""),"")))</f>
        <v>0</v>
      </c>
      <c r="AF214" s="8">
        <f>IF(G214="","",IF(AE214="","Yes",IF(AE214&gt;=Rotation_Gap_Days,"Yes","No")))</f>
        <v>0</v>
      </c>
      <c r="AG214" s="8">
        <f>IF(G214="","",IF(COUNTIFS('Recipe Ingredients'!$A$5:$A$1204,G214,'Recipe Ingredients'!$AC$5:$AC$1204,"Check")&gt;0,"Check","OK"))</f>
        <v>0</v>
      </c>
    </row>
    <row r="215" spans="1:33">
      <c r="A215" s="7"/>
      <c r="B215" s="30"/>
      <c r="C215" s="8">
        <f>IF(B215="","",B215-WEEKDAY(B215,2)+1)</f>
        <v>0</v>
      </c>
      <c r="D215" s="8">
        <f>IF(B215="","",TEXT(B215,"ddd"))</f>
        <v>0</v>
      </c>
      <c r="E215" s="8">
        <f>IF(B215="","",TEXT(B215,"mmm yyyy"))</f>
        <v>0</v>
      </c>
      <c r="F215" s="27"/>
      <c r="G215" s="7"/>
      <c r="H215" s="26"/>
      <c r="I215" s="8">
        <f>IF(G215="","",IFERROR(INDEX(Recipes!$D$5:$D$204,MATCH(G215,Recipes!$A$5:$A$204,0)),""))</f>
        <v>0</v>
      </c>
      <c r="J215" s="8">
        <f>IF(OR(G215="",H215="",I215="",I215=0),"",H215/I215)</f>
        <v>0</v>
      </c>
      <c r="K215" s="8">
        <f>IF(B215="","",Household_Size)</f>
        <v>0</v>
      </c>
      <c r="L215" s="8">
        <f>IF(OR(G215="",H215=""),"",IFERROR(IFERROR(INDEX(Recipes!$H$5:$H$204,MATCH(G215,Recipes!$A$5:$A$204,0)),"")*H215,""))</f>
        <v>0</v>
      </c>
      <c r="M215" s="8">
        <f>IF(OR(G215="",H215=""),"",IFERROR(IFERROR(INDEX(Recipes!$I$5:$I$204,MATCH(G215,Recipes!$A$5:$A$204,0)),"")*H215,""))</f>
        <v>0</v>
      </c>
      <c r="N215" s="8">
        <f>IF(OR(G215="",H215=""),"",IFERROR(IFERROR(INDEX(Recipes!$J$5:$J$204,MATCH(G215,Recipes!$A$5:$A$204,0)),"")*H215,""))</f>
        <v>0</v>
      </c>
      <c r="O215" s="8">
        <f>IF(OR(G215="",H215=""),"",IFERROR(IFERROR(INDEX(Recipes!$K$5:$K$204,MATCH(G215,Recipes!$A$5:$A$204,0)),"")*H215,""))</f>
        <v>0</v>
      </c>
      <c r="P215" s="8">
        <f>IF(OR(G215="",H215=""),"",IFERROR(IFERROR(INDEX(Recipes!$L$5:$L$204,MATCH(G215,Recipes!$A$5:$A$204,0)),"")*H215,""))</f>
        <v>0</v>
      </c>
      <c r="Q215" s="8">
        <f>IF(OR(G215="",H215=""),"",IFERROR(IFERROR(INDEX(Recipes!$Q$5:$Q$204,MATCH(G215,Recipes!$A$5:$A$204,0)),"")*H215,""))</f>
        <v>0</v>
      </c>
      <c r="R215" s="8">
        <f>IF(F215="","",Weekly_Budget/21)</f>
        <v>0</v>
      </c>
      <c r="S215" s="27"/>
      <c r="T215" s="27"/>
      <c r="U215" s="26"/>
      <c r="V215" s="7"/>
      <c r="W215" s="7"/>
      <c r="X215" s="26"/>
      <c r="Y215" s="8">
        <f>IF(G215="","",IF(COUNTIFS('Meal Prep'!$D$5:$D$124,G215)&gt;0,"Yes","No"))</f>
        <v>0</v>
      </c>
      <c r="Z215" s="8">
        <f>IF(G215="","",COUNTIFS('Recipe Ingredients'!$A$5:$A$1204,G215))</f>
        <v>0</v>
      </c>
      <c r="AA215" s="25"/>
      <c r="AB215" s="8">
        <f>IF(OR(B215="",Q215=""),"",COUNTIFS($B$5:$B$504,B215,$Q$5:$Q$504,"&gt;"&amp;Q215)+1)</f>
        <v>0</v>
      </c>
      <c r="AC215" s="8">
        <f>IF(OR(B215="",L215=""),"",COUNTIFS($B$5:$B$504,B215,$L$5:$L$504,"&gt;"&amp;L215)+1)</f>
        <v>0</v>
      </c>
      <c r="AD215" s="8">
        <f>IF(G215="","",IF(COUNTIFS($G$5:$G$504,G215)&gt;1,"Repeat","Once"))</f>
        <v>0</v>
      </c>
      <c r="AE215" s="8">
        <f>IF(G215="","",IF(IFERROR(INDEX(Recipes!$X$5:$X$204,MATCH(G215,Recipes!$A$5:$A$204,0)),"")="","",IFERROR(B215-IFERROR(INDEX(Recipes!$X$5:$X$204,MATCH(G215,Recipes!$A$5:$A$204,0)),""),"")))</f>
        <v>0</v>
      </c>
      <c r="AF215" s="8">
        <f>IF(G215="","",IF(AE215="","Yes",IF(AE215&gt;=Rotation_Gap_Days,"Yes","No")))</f>
        <v>0</v>
      </c>
      <c r="AG215" s="8">
        <f>IF(G215="","",IF(COUNTIFS('Recipe Ingredients'!$A$5:$A$1204,G215,'Recipe Ingredients'!$AC$5:$AC$1204,"Check")&gt;0,"Check","OK"))</f>
        <v>0</v>
      </c>
    </row>
    <row r="216" spans="1:33">
      <c r="A216" s="7"/>
      <c r="B216" s="30"/>
      <c r="C216" s="8">
        <f>IF(B216="","",B216-WEEKDAY(B216,2)+1)</f>
        <v>0</v>
      </c>
      <c r="D216" s="8">
        <f>IF(B216="","",TEXT(B216,"ddd"))</f>
        <v>0</v>
      </c>
      <c r="E216" s="8">
        <f>IF(B216="","",TEXT(B216,"mmm yyyy"))</f>
        <v>0</v>
      </c>
      <c r="F216" s="27"/>
      <c r="G216" s="7"/>
      <c r="H216" s="26"/>
      <c r="I216" s="8">
        <f>IF(G216="","",IFERROR(INDEX(Recipes!$D$5:$D$204,MATCH(G216,Recipes!$A$5:$A$204,0)),""))</f>
        <v>0</v>
      </c>
      <c r="J216" s="8">
        <f>IF(OR(G216="",H216="",I216="",I216=0),"",H216/I216)</f>
        <v>0</v>
      </c>
      <c r="K216" s="8">
        <f>IF(B216="","",Household_Size)</f>
        <v>0</v>
      </c>
      <c r="L216" s="8">
        <f>IF(OR(G216="",H216=""),"",IFERROR(IFERROR(INDEX(Recipes!$H$5:$H$204,MATCH(G216,Recipes!$A$5:$A$204,0)),"")*H216,""))</f>
        <v>0</v>
      </c>
      <c r="M216" s="8">
        <f>IF(OR(G216="",H216=""),"",IFERROR(IFERROR(INDEX(Recipes!$I$5:$I$204,MATCH(G216,Recipes!$A$5:$A$204,0)),"")*H216,""))</f>
        <v>0</v>
      </c>
      <c r="N216" s="8">
        <f>IF(OR(G216="",H216=""),"",IFERROR(IFERROR(INDEX(Recipes!$J$5:$J$204,MATCH(G216,Recipes!$A$5:$A$204,0)),"")*H216,""))</f>
        <v>0</v>
      </c>
      <c r="O216" s="8">
        <f>IF(OR(G216="",H216=""),"",IFERROR(IFERROR(INDEX(Recipes!$K$5:$K$204,MATCH(G216,Recipes!$A$5:$A$204,0)),"")*H216,""))</f>
        <v>0</v>
      </c>
      <c r="P216" s="8">
        <f>IF(OR(G216="",H216=""),"",IFERROR(IFERROR(INDEX(Recipes!$L$5:$L$204,MATCH(G216,Recipes!$A$5:$A$204,0)),"")*H216,""))</f>
        <v>0</v>
      </c>
      <c r="Q216" s="8">
        <f>IF(OR(G216="",H216=""),"",IFERROR(IFERROR(INDEX(Recipes!$Q$5:$Q$204,MATCH(G216,Recipes!$A$5:$A$204,0)),"")*H216,""))</f>
        <v>0</v>
      </c>
      <c r="R216" s="8">
        <f>IF(F216="","",Weekly_Budget/21)</f>
        <v>0</v>
      </c>
      <c r="S216" s="27"/>
      <c r="T216" s="27"/>
      <c r="U216" s="26"/>
      <c r="V216" s="7"/>
      <c r="W216" s="7"/>
      <c r="X216" s="26"/>
      <c r="Y216" s="8">
        <f>IF(G216="","",IF(COUNTIFS('Meal Prep'!$D$5:$D$124,G216)&gt;0,"Yes","No"))</f>
        <v>0</v>
      </c>
      <c r="Z216" s="8">
        <f>IF(G216="","",COUNTIFS('Recipe Ingredients'!$A$5:$A$1204,G216))</f>
        <v>0</v>
      </c>
      <c r="AA216" s="25"/>
      <c r="AB216" s="8">
        <f>IF(OR(B216="",Q216=""),"",COUNTIFS($B$5:$B$504,B216,$Q$5:$Q$504,"&gt;"&amp;Q216)+1)</f>
        <v>0</v>
      </c>
      <c r="AC216" s="8">
        <f>IF(OR(B216="",L216=""),"",COUNTIFS($B$5:$B$504,B216,$L$5:$L$504,"&gt;"&amp;L216)+1)</f>
        <v>0</v>
      </c>
      <c r="AD216" s="8">
        <f>IF(G216="","",IF(COUNTIFS($G$5:$G$504,G216)&gt;1,"Repeat","Once"))</f>
        <v>0</v>
      </c>
      <c r="AE216" s="8">
        <f>IF(G216="","",IF(IFERROR(INDEX(Recipes!$X$5:$X$204,MATCH(G216,Recipes!$A$5:$A$204,0)),"")="","",IFERROR(B216-IFERROR(INDEX(Recipes!$X$5:$X$204,MATCH(G216,Recipes!$A$5:$A$204,0)),""),"")))</f>
        <v>0</v>
      </c>
      <c r="AF216" s="8">
        <f>IF(G216="","",IF(AE216="","Yes",IF(AE216&gt;=Rotation_Gap_Days,"Yes","No")))</f>
        <v>0</v>
      </c>
      <c r="AG216" s="8">
        <f>IF(G216="","",IF(COUNTIFS('Recipe Ingredients'!$A$5:$A$1204,G216,'Recipe Ingredients'!$AC$5:$AC$1204,"Check")&gt;0,"Check","OK"))</f>
        <v>0</v>
      </c>
    </row>
    <row r="217" spans="1:33">
      <c r="A217" s="7"/>
      <c r="B217" s="30"/>
      <c r="C217" s="8">
        <f>IF(B217="","",B217-WEEKDAY(B217,2)+1)</f>
        <v>0</v>
      </c>
      <c r="D217" s="8">
        <f>IF(B217="","",TEXT(B217,"ddd"))</f>
        <v>0</v>
      </c>
      <c r="E217" s="8">
        <f>IF(B217="","",TEXT(B217,"mmm yyyy"))</f>
        <v>0</v>
      </c>
      <c r="F217" s="27"/>
      <c r="G217" s="7"/>
      <c r="H217" s="26"/>
      <c r="I217" s="8">
        <f>IF(G217="","",IFERROR(INDEX(Recipes!$D$5:$D$204,MATCH(G217,Recipes!$A$5:$A$204,0)),""))</f>
        <v>0</v>
      </c>
      <c r="J217" s="8">
        <f>IF(OR(G217="",H217="",I217="",I217=0),"",H217/I217)</f>
        <v>0</v>
      </c>
      <c r="K217" s="8">
        <f>IF(B217="","",Household_Size)</f>
        <v>0</v>
      </c>
      <c r="L217" s="8">
        <f>IF(OR(G217="",H217=""),"",IFERROR(IFERROR(INDEX(Recipes!$H$5:$H$204,MATCH(G217,Recipes!$A$5:$A$204,0)),"")*H217,""))</f>
        <v>0</v>
      </c>
      <c r="M217" s="8">
        <f>IF(OR(G217="",H217=""),"",IFERROR(IFERROR(INDEX(Recipes!$I$5:$I$204,MATCH(G217,Recipes!$A$5:$A$204,0)),"")*H217,""))</f>
        <v>0</v>
      </c>
      <c r="N217" s="8">
        <f>IF(OR(G217="",H217=""),"",IFERROR(IFERROR(INDEX(Recipes!$J$5:$J$204,MATCH(G217,Recipes!$A$5:$A$204,0)),"")*H217,""))</f>
        <v>0</v>
      </c>
      <c r="O217" s="8">
        <f>IF(OR(G217="",H217=""),"",IFERROR(IFERROR(INDEX(Recipes!$K$5:$K$204,MATCH(G217,Recipes!$A$5:$A$204,0)),"")*H217,""))</f>
        <v>0</v>
      </c>
      <c r="P217" s="8">
        <f>IF(OR(G217="",H217=""),"",IFERROR(IFERROR(INDEX(Recipes!$L$5:$L$204,MATCH(G217,Recipes!$A$5:$A$204,0)),"")*H217,""))</f>
        <v>0</v>
      </c>
      <c r="Q217" s="8">
        <f>IF(OR(G217="",H217=""),"",IFERROR(IFERROR(INDEX(Recipes!$Q$5:$Q$204,MATCH(G217,Recipes!$A$5:$A$204,0)),"")*H217,""))</f>
        <v>0</v>
      </c>
      <c r="R217" s="8">
        <f>IF(F217="","",Weekly_Budget/21)</f>
        <v>0</v>
      </c>
      <c r="S217" s="27"/>
      <c r="T217" s="27"/>
      <c r="U217" s="26"/>
      <c r="V217" s="7"/>
      <c r="W217" s="7"/>
      <c r="X217" s="26"/>
      <c r="Y217" s="8">
        <f>IF(G217="","",IF(COUNTIFS('Meal Prep'!$D$5:$D$124,G217)&gt;0,"Yes","No"))</f>
        <v>0</v>
      </c>
      <c r="Z217" s="8">
        <f>IF(G217="","",COUNTIFS('Recipe Ingredients'!$A$5:$A$1204,G217))</f>
        <v>0</v>
      </c>
      <c r="AA217" s="25"/>
      <c r="AB217" s="8">
        <f>IF(OR(B217="",Q217=""),"",COUNTIFS($B$5:$B$504,B217,$Q$5:$Q$504,"&gt;"&amp;Q217)+1)</f>
        <v>0</v>
      </c>
      <c r="AC217" s="8">
        <f>IF(OR(B217="",L217=""),"",COUNTIFS($B$5:$B$504,B217,$L$5:$L$504,"&gt;"&amp;L217)+1)</f>
        <v>0</v>
      </c>
      <c r="AD217" s="8">
        <f>IF(G217="","",IF(COUNTIFS($G$5:$G$504,G217)&gt;1,"Repeat","Once"))</f>
        <v>0</v>
      </c>
      <c r="AE217" s="8">
        <f>IF(G217="","",IF(IFERROR(INDEX(Recipes!$X$5:$X$204,MATCH(G217,Recipes!$A$5:$A$204,0)),"")="","",IFERROR(B217-IFERROR(INDEX(Recipes!$X$5:$X$204,MATCH(G217,Recipes!$A$5:$A$204,0)),""),"")))</f>
        <v>0</v>
      </c>
      <c r="AF217" s="8">
        <f>IF(G217="","",IF(AE217="","Yes",IF(AE217&gt;=Rotation_Gap_Days,"Yes","No")))</f>
        <v>0</v>
      </c>
      <c r="AG217" s="8">
        <f>IF(G217="","",IF(COUNTIFS('Recipe Ingredients'!$A$5:$A$1204,G217,'Recipe Ingredients'!$AC$5:$AC$1204,"Check")&gt;0,"Check","OK"))</f>
        <v>0</v>
      </c>
    </row>
    <row r="218" spans="1:33">
      <c r="A218" s="7"/>
      <c r="B218" s="30"/>
      <c r="C218" s="8">
        <f>IF(B218="","",B218-WEEKDAY(B218,2)+1)</f>
        <v>0</v>
      </c>
      <c r="D218" s="8">
        <f>IF(B218="","",TEXT(B218,"ddd"))</f>
        <v>0</v>
      </c>
      <c r="E218" s="8">
        <f>IF(B218="","",TEXT(B218,"mmm yyyy"))</f>
        <v>0</v>
      </c>
      <c r="F218" s="27"/>
      <c r="G218" s="7"/>
      <c r="H218" s="26"/>
      <c r="I218" s="8">
        <f>IF(G218="","",IFERROR(INDEX(Recipes!$D$5:$D$204,MATCH(G218,Recipes!$A$5:$A$204,0)),""))</f>
        <v>0</v>
      </c>
      <c r="J218" s="8">
        <f>IF(OR(G218="",H218="",I218="",I218=0),"",H218/I218)</f>
        <v>0</v>
      </c>
      <c r="K218" s="8">
        <f>IF(B218="","",Household_Size)</f>
        <v>0</v>
      </c>
      <c r="L218" s="8">
        <f>IF(OR(G218="",H218=""),"",IFERROR(IFERROR(INDEX(Recipes!$H$5:$H$204,MATCH(G218,Recipes!$A$5:$A$204,0)),"")*H218,""))</f>
        <v>0</v>
      </c>
      <c r="M218" s="8">
        <f>IF(OR(G218="",H218=""),"",IFERROR(IFERROR(INDEX(Recipes!$I$5:$I$204,MATCH(G218,Recipes!$A$5:$A$204,0)),"")*H218,""))</f>
        <v>0</v>
      </c>
      <c r="N218" s="8">
        <f>IF(OR(G218="",H218=""),"",IFERROR(IFERROR(INDEX(Recipes!$J$5:$J$204,MATCH(G218,Recipes!$A$5:$A$204,0)),"")*H218,""))</f>
        <v>0</v>
      </c>
      <c r="O218" s="8">
        <f>IF(OR(G218="",H218=""),"",IFERROR(IFERROR(INDEX(Recipes!$K$5:$K$204,MATCH(G218,Recipes!$A$5:$A$204,0)),"")*H218,""))</f>
        <v>0</v>
      </c>
      <c r="P218" s="8">
        <f>IF(OR(G218="",H218=""),"",IFERROR(IFERROR(INDEX(Recipes!$L$5:$L$204,MATCH(G218,Recipes!$A$5:$A$204,0)),"")*H218,""))</f>
        <v>0</v>
      </c>
      <c r="Q218" s="8">
        <f>IF(OR(G218="",H218=""),"",IFERROR(IFERROR(INDEX(Recipes!$Q$5:$Q$204,MATCH(G218,Recipes!$A$5:$A$204,0)),"")*H218,""))</f>
        <v>0</v>
      </c>
      <c r="R218" s="8">
        <f>IF(F218="","",Weekly_Budget/21)</f>
        <v>0</v>
      </c>
      <c r="S218" s="27"/>
      <c r="T218" s="27"/>
      <c r="U218" s="26"/>
      <c r="V218" s="7"/>
      <c r="W218" s="7"/>
      <c r="X218" s="26"/>
      <c r="Y218" s="8">
        <f>IF(G218="","",IF(COUNTIFS('Meal Prep'!$D$5:$D$124,G218)&gt;0,"Yes","No"))</f>
        <v>0</v>
      </c>
      <c r="Z218" s="8">
        <f>IF(G218="","",COUNTIFS('Recipe Ingredients'!$A$5:$A$1204,G218))</f>
        <v>0</v>
      </c>
      <c r="AA218" s="25"/>
      <c r="AB218" s="8">
        <f>IF(OR(B218="",Q218=""),"",COUNTIFS($B$5:$B$504,B218,$Q$5:$Q$504,"&gt;"&amp;Q218)+1)</f>
        <v>0</v>
      </c>
      <c r="AC218" s="8">
        <f>IF(OR(B218="",L218=""),"",COUNTIFS($B$5:$B$504,B218,$L$5:$L$504,"&gt;"&amp;L218)+1)</f>
        <v>0</v>
      </c>
      <c r="AD218" s="8">
        <f>IF(G218="","",IF(COUNTIFS($G$5:$G$504,G218)&gt;1,"Repeat","Once"))</f>
        <v>0</v>
      </c>
      <c r="AE218" s="8">
        <f>IF(G218="","",IF(IFERROR(INDEX(Recipes!$X$5:$X$204,MATCH(G218,Recipes!$A$5:$A$204,0)),"")="","",IFERROR(B218-IFERROR(INDEX(Recipes!$X$5:$X$204,MATCH(G218,Recipes!$A$5:$A$204,0)),""),"")))</f>
        <v>0</v>
      </c>
      <c r="AF218" s="8">
        <f>IF(G218="","",IF(AE218="","Yes",IF(AE218&gt;=Rotation_Gap_Days,"Yes","No")))</f>
        <v>0</v>
      </c>
      <c r="AG218" s="8">
        <f>IF(G218="","",IF(COUNTIFS('Recipe Ingredients'!$A$5:$A$1204,G218,'Recipe Ingredients'!$AC$5:$AC$1204,"Check")&gt;0,"Check","OK"))</f>
        <v>0</v>
      </c>
    </row>
    <row r="219" spans="1:33">
      <c r="A219" s="7"/>
      <c r="B219" s="30"/>
      <c r="C219" s="8">
        <f>IF(B219="","",B219-WEEKDAY(B219,2)+1)</f>
        <v>0</v>
      </c>
      <c r="D219" s="8">
        <f>IF(B219="","",TEXT(B219,"ddd"))</f>
        <v>0</v>
      </c>
      <c r="E219" s="8">
        <f>IF(B219="","",TEXT(B219,"mmm yyyy"))</f>
        <v>0</v>
      </c>
      <c r="F219" s="27"/>
      <c r="G219" s="7"/>
      <c r="H219" s="26"/>
      <c r="I219" s="8">
        <f>IF(G219="","",IFERROR(INDEX(Recipes!$D$5:$D$204,MATCH(G219,Recipes!$A$5:$A$204,0)),""))</f>
        <v>0</v>
      </c>
      <c r="J219" s="8">
        <f>IF(OR(G219="",H219="",I219="",I219=0),"",H219/I219)</f>
        <v>0</v>
      </c>
      <c r="K219" s="8">
        <f>IF(B219="","",Household_Size)</f>
        <v>0</v>
      </c>
      <c r="L219" s="8">
        <f>IF(OR(G219="",H219=""),"",IFERROR(IFERROR(INDEX(Recipes!$H$5:$H$204,MATCH(G219,Recipes!$A$5:$A$204,0)),"")*H219,""))</f>
        <v>0</v>
      </c>
      <c r="M219" s="8">
        <f>IF(OR(G219="",H219=""),"",IFERROR(IFERROR(INDEX(Recipes!$I$5:$I$204,MATCH(G219,Recipes!$A$5:$A$204,0)),"")*H219,""))</f>
        <v>0</v>
      </c>
      <c r="N219" s="8">
        <f>IF(OR(G219="",H219=""),"",IFERROR(IFERROR(INDEX(Recipes!$J$5:$J$204,MATCH(G219,Recipes!$A$5:$A$204,0)),"")*H219,""))</f>
        <v>0</v>
      </c>
      <c r="O219" s="8">
        <f>IF(OR(G219="",H219=""),"",IFERROR(IFERROR(INDEX(Recipes!$K$5:$K$204,MATCH(G219,Recipes!$A$5:$A$204,0)),"")*H219,""))</f>
        <v>0</v>
      </c>
      <c r="P219" s="8">
        <f>IF(OR(G219="",H219=""),"",IFERROR(IFERROR(INDEX(Recipes!$L$5:$L$204,MATCH(G219,Recipes!$A$5:$A$204,0)),"")*H219,""))</f>
        <v>0</v>
      </c>
      <c r="Q219" s="8">
        <f>IF(OR(G219="",H219=""),"",IFERROR(IFERROR(INDEX(Recipes!$Q$5:$Q$204,MATCH(G219,Recipes!$A$5:$A$204,0)),"")*H219,""))</f>
        <v>0</v>
      </c>
      <c r="R219" s="8">
        <f>IF(F219="","",Weekly_Budget/21)</f>
        <v>0</v>
      </c>
      <c r="S219" s="27"/>
      <c r="T219" s="27"/>
      <c r="U219" s="26"/>
      <c r="V219" s="7"/>
      <c r="W219" s="7"/>
      <c r="X219" s="26"/>
      <c r="Y219" s="8">
        <f>IF(G219="","",IF(COUNTIFS('Meal Prep'!$D$5:$D$124,G219)&gt;0,"Yes","No"))</f>
        <v>0</v>
      </c>
      <c r="Z219" s="8">
        <f>IF(G219="","",COUNTIFS('Recipe Ingredients'!$A$5:$A$1204,G219))</f>
        <v>0</v>
      </c>
      <c r="AA219" s="25"/>
      <c r="AB219" s="8">
        <f>IF(OR(B219="",Q219=""),"",COUNTIFS($B$5:$B$504,B219,$Q$5:$Q$504,"&gt;"&amp;Q219)+1)</f>
        <v>0</v>
      </c>
      <c r="AC219" s="8">
        <f>IF(OR(B219="",L219=""),"",COUNTIFS($B$5:$B$504,B219,$L$5:$L$504,"&gt;"&amp;L219)+1)</f>
        <v>0</v>
      </c>
      <c r="AD219" s="8">
        <f>IF(G219="","",IF(COUNTIFS($G$5:$G$504,G219)&gt;1,"Repeat","Once"))</f>
        <v>0</v>
      </c>
      <c r="AE219" s="8">
        <f>IF(G219="","",IF(IFERROR(INDEX(Recipes!$X$5:$X$204,MATCH(G219,Recipes!$A$5:$A$204,0)),"")="","",IFERROR(B219-IFERROR(INDEX(Recipes!$X$5:$X$204,MATCH(G219,Recipes!$A$5:$A$204,0)),""),"")))</f>
        <v>0</v>
      </c>
      <c r="AF219" s="8">
        <f>IF(G219="","",IF(AE219="","Yes",IF(AE219&gt;=Rotation_Gap_Days,"Yes","No")))</f>
        <v>0</v>
      </c>
      <c r="AG219" s="8">
        <f>IF(G219="","",IF(COUNTIFS('Recipe Ingredients'!$A$5:$A$1204,G219,'Recipe Ingredients'!$AC$5:$AC$1204,"Check")&gt;0,"Check","OK"))</f>
        <v>0</v>
      </c>
    </row>
    <row r="220" spans="1:33">
      <c r="A220" s="7"/>
      <c r="B220" s="30"/>
      <c r="C220" s="8">
        <f>IF(B220="","",B220-WEEKDAY(B220,2)+1)</f>
        <v>0</v>
      </c>
      <c r="D220" s="8">
        <f>IF(B220="","",TEXT(B220,"ddd"))</f>
        <v>0</v>
      </c>
      <c r="E220" s="8">
        <f>IF(B220="","",TEXT(B220,"mmm yyyy"))</f>
        <v>0</v>
      </c>
      <c r="F220" s="27"/>
      <c r="G220" s="7"/>
      <c r="H220" s="26"/>
      <c r="I220" s="8">
        <f>IF(G220="","",IFERROR(INDEX(Recipes!$D$5:$D$204,MATCH(G220,Recipes!$A$5:$A$204,0)),""))</f>
        <v>0</v>
      </c>
      <c r="J220" s="8">
        <f>IF(OR(G220="",H220="",I220="",I220=0),"",H220/I220)</f>
        <v>0</v>
      </c>
      <c r="K220" s="8">
        <f>IF(B220="","",Household_Size)</f>
        <v>0</v>
      </c>
      <c r="L220" s="8">
        <f>IF(OR(G220="",H220=""),"",IFERROR(IFERROR(INDEX(Recipes!$H$5:$H$204,MATCH(G220,Recipes!$A$5:$A$204,0)),"")*H220,""))</f>
        <v>0</v>
      </c>
      <c r="M220" s="8">
        <f>IF(OR(G220="",H220=""),"",IFERROR(IFERROR(INDEX(Recipes!$I$5:$I$204,MATCH(G220,Recipes!$A$5:$A$204,0)),"")*H220,""))</f>
        <v>0</v>
      </c>
      <c r="N220" s="8">
        <f>IF(OR(G220="",H220=""),"",IFERROR(IFERROR(INDEX(Recipes!$J$5:$J$204,MATCH(G220,Recipes!$A$5:$A$204,0)),"")*H220,""))</f>
        <v>0</v>
      </c>
      <c r="O220" s="8">
        <f>IF(OR(G220="",H220=""),"",IFERROR(IFERROR(INDEX(Recipes!$K$5:$K$204,MATCH(G220,Recipes!$A$5:$A$204,0)),"")*H220,""))</f>
        <v>0</v>
      </c>
      <c r="P220" s="8">
        <f>IF(OR(G220="",H220=""),"",IFERROR(IFERROR(INDEX(Recipes!$L$5:$L$204,MATCH(G220,Recipes!$A$5:$A$204,0)),"")*H220,""))</f>
        <v>0</v>
      </c>
      <c r="Q220" s="8">
        <f>IF(OR(G220="",H220=""),"",IFERROR(IFERROR(INDEX(Recipes!$Q$5:$Q$204,MATCH(G220,Recipes!$A$5:$A$204,0)),"")*H220,""))</f>
        <v>0</v>
      </c>
      <c r="R220" s="8">
        <f>IF(F220="","",Weekly_Budget/21)</f>
        <v>0</v>
      </c>
      <c r="S220" s="27"/>
      <c r="T220" s="27"/>
      <c r="U220" s="26"/>
      <c r="V220" s="7"/>
      <c r="W220" s="7"/>
      <c r="X220" s="26"/>
      <c r="Y220" s="8">
        <f>IF(G220="","",IF(COUNTIFS('Meal Prep'!$D$5:$D$124,G220)&gt;0,"Yes","No"))</f>
        <v>0</v>
      </c>
      <c r="Z220" s="8">
        <f>IF(G220="","",COUNTIFS('Recipe Ingredients'!$A$5:$A$1204,G220))</f>
        <v>0</v>
      </c>
      <c r="AA220" s="25"/>
      <c r="AB220" s="8">
        <f>IF(OR(B220="",Q220=""),"",COUNTIFS($B$5:$B$504,B220,$Q$5:$Q$504,"&gt;"&amp;Q220)+1)</f>
        <v>0</v>
      </c>
      <c r="AC220" s="8">
        <f>IF(OR(B220="",L220=""),"",COUNTIFS($B$5:$B$504,B220,$L$5:$L$504,"&gt;"&amp;L220)+1)</f>
        <v>0</v>
      </c>
      <c r="AD220" s="8">
        <f>IF(G220="","",IF(COUNTIFS($G$5:$G$504,G220)&gt;1,"Repeat","Once"))</f>
        <v>0</v>
      </c>
      <c r="AE220" s="8">
        <f>IF(G220="","",IF(IFERROR(INDEX(Recipes!$X$5:$X$204,MATCH(G220,Recipes!$A$5:$A$204,0)),"")="","",IFERROR(B220-IFERROR(INDEX(Recipes!$X$5:$X$204,MATCH(G220,Recipes!$A$5:$A$204,0)),""),"")))</f>
        <v>0</v>
      </c>
      <c r="AF220" s="8">
        <f>IF(G220="","",IF(AE220="","Yes",IF(AE220&gt;=Rotation_Gap_Days,"Yes","No")))</f>
        <v>0</v>
      </c>
      <c r="AG220" s="8">
        <f>IF(G220="","",IF(COUNTIFS('Recipe Ingredients'!$A$5:$A$1204,G220,'Recipe Ingredients'!$AC$5:$AC$1204,"Check")&gt;0,"Check","OK"))</f>
        <v>0</v>
      </c>
    </row>
    <row r="221" spans="1:33">
      <c r="A221" s="7"/>
      <c r="B221" s="30"/>
      <c r="C221" s="8">
        <f>IF(B221="","",B221-WEEKDAY(B221,2)+1)</f>
        <v>0</v>
      </c>
      <c r="D221" s="8">
        <f>IF(B221="","",TEXT(B221,"ddd"))</f>
        <v>0</v>
      </c>
      <c r="E221" s="8">
        <f>IF(B221="","",TEXT(B221,"mmm yyyy"))</f>
        <v>0</v>
      </c>
      <c r="F221" s="27"/>
      <c r="G221" s="7"/>
      <c r="H221" s="26"/>
      <c r="I221" s="8">
        <f>IF(G221="","",IFERROR(INDEX(Recipes!$D$5:$D$204,MATCH(G221,Recipes!$A$5:$A$204,0)),""))</f>
        <v>0</v>
      </c>
      <c r="J221" s="8">
        <f>IF(OR(G221="",H221="",I221="",I221=0),"",H221/I221)</f>
        <v>0</v>
      </c>
      <c r="K221" s="8">
        <f>IF(B221="","",Household_Size)</f>
        <v>0</v>
      </c>
      <c r="L221" s="8">
        <f>IF(OR(G221="",H221=""),"",IFERROR(IFERROR(INDEX(Recipes!$H$5:$H$204,MATCH(G221,Recipes!$A$5:$A$204,0)),"")*H221,""))</f>
        <v>0</v>
      </c>
      <c r="M221" s="8">
        <f>IF(OR(G221="",H221=""),"",IFERROR(IFERROR(INDEX(Recipes!$I$5:$I$204,MATCH(G221,Recipes!$A$5:$A$204,0)),"")*H221,""))</f>
        <v>0</v>
      </c>
      <c r="N221" s="8">
        <f>IF(OR(G221="",H221=""),"",IFERROR(IFERROR(INDEX(Recipes!$J$5:$J$204,MATCH(G221,Recipes!$A$5:$A$204,0)),"")*H221,""))</f>
        <v>0</v>
      </c>
      <c r="O221" s="8">
        <f>IF(OR(G221="",H221=""),"",IFERROR(IFERROR(INDEX(Recipes!$K$5:$K$204,MATCH(G221,Recipes!$A$5:$A$204,0)),"")*H221,""))</f>
        <v>0</v>
      </c>
      <c r="P221" s="8">
        <f>IF(OR(G221="",H221=""),"",IFERROR(IFERROR(INDEX(Recipes!$L$5:$L$204,MATCH(G221,Recipes!$A$5:$A$204,0)),"")*H221,""))</f>
        <v>0</v>
      </c>
      <c r="Q221" s="8">
        <f>IF(OR(G221="",H221=""),"",IFERROR(IFERROR(INDEX(Recipes!$Q$5:$Q$204,MATCH(G221,Recipes!$A$5:$A$204,0)),"")*H221,""))</f>
        <v>0</v>
      </c>
      <c r="R221" s="8">
        <f>IF(F221="","",Weekly_Budget/21)</f>
        <v>0</v>
      </c>
      <c r="S221" s="27"/>
      <c r="T221" s="27"/>
      <c r="U221" s="26"/>
      <c r="V221" s="7"/>
      <c r="W221" s="7"/>
      <c r="X221" s="26"/>
      <c r="Y221" s="8">
        <f>IF(G221="","",IF(COUNTIFS('Meal Prep'!$D$5:$D$124,G221)&gt;0,"Yes","No"))</f>
        <v>0</v>
      </c>
      <c r="Z221" s="8">
        <f>IF(G221="","",COUNTIFS('Recipe Ingredients'!$A$5:$A$1204,G221))</f>
        <v>0</v>
      </c>
      <c r="AA221" s="25"/>
      <c r="AB221" s="8">
        <f>IF(OR(B221="",Q221=""),"",COUNTIFS($B$5:$B$504,B221,$Q$5:$Q$504,"&gt;"&amp;Q221)+1)</f>
        <v>0</v>
      </c>
      <c r="AC221" s="8">
        <f>IF(OR(B221="",L221=""),"",COUNTIFS($B$5:$B$504,B221,$L$5:$L$504,"&gt;"&amp;L221)+1)</f>
        <v>0</v>
      </c>
      <c r="AD221" s="8">
        <f>IF(G221="","",IF(COUNTIFS($G$5:$G$504,G221)&gt;1,"Repeat","Once"))</f>
        <v>0</v>
      </c>
      <c r="AE221" s="8">
        <f>IF(G221="","",IF(IFERROR(INDEX(Recipes!$X$5:$X$204,MATCH(G221,Recipes!$A$5:$A$204,0)),"")="","",IFERROR(B221-IFERROR(INDEX(Recipes!$X$5:$X$204,MATCH(G221,Recipes!$A$5:$A$204,0)),""),"")))</f>
        <v>0</v>
      </c>
      <c r="AF221" s="8">
        <f>IF(G221="","",IF(AE221="","Yes",IF(AE221&gt;=Rotation_Gap_Days,"Yes","No")))</f>
        <v>0</v>
      </c>
      <c r="AG221" s="8">
        <f>IF(G221="","",IF(COUNTIFS('Recipe Ingredients'!$A$5:$A$1204,G221,'Recipe Ingredients'!$AC$5:$AC$1204,"Check")&gt;0,"Check","OK"))</f>
        <v>0</v>
      </c>
    </row>
    <row r="222" spans="1:33">
      <c r="A222" s="7"/>
      <c r="B222" s="30"/>
      <c r="C222" s="8">
        <f>IF(B222="","",B222-WEEKDAY(B222,2)+1)</f>
        <v>0</v>
      </c>
      <c r="D222" s="8">
        <f>IF(B222="","",TEXT(B222,"ddd"))</f>
        <v>0</v>
      </c>
      <c r="E222" s="8">
        <f>IF(B222="","",TEXT(B222,"mmm yyyy"))</f>
        <v>0</v>
      </c>
      <c r="F222" s="27"/>
      <c r="G222" s="7"/>
      <c r="H222" s="26"/>
      <c r="I222" s="8">
        <f>IF(G222="","",IFERROR(INDEX(Recipes!$D$5:$D$204,MATCH(G222,Recipes!$A$5:$A$204,0)),""))</f>
        <v>0</v>
      </c>
      <c r="J222" s="8">
        <f>IF(OR(G222="",H222="",I222="",I222=0),"",H222/I222)</f>
        <v>0</v>
      </c>
      <c r="K222" s="8">
        <f>IF(B222="","",Household_Size)</f>
        <v>0</v>
      </c>
      <c r="L222" s="8">
        <f>IF(OR(G222="",H222=""),"",IFERROR(IFERROR(INDEX(Recipes!$H$5:$H$204,MATCH(G222,Recipes!$A$5:$A$204,0)),"")*H222,""))</f>
        <v>0</v>
      </c>
      <c r="M222" s="8">
        <f>IF(OR(G222="",H222=""),"",IFERROR(IFERROR(INDEX(Recipes!$I$5:$I$204,MATCH(G222,Recipes!$A$5:$A$204,0)),"")*H222,""))</f>
        <v>0</v>
      </c>
      <c r="N222" s="8">
        <f>IF(OR(G222="",H222=""),"",IFERROR(IFERROR(INDEX(Recipes!$J$5:$J$204,MATCH(G222,Recipes!$A$5:$A$204,0)),"")*H222,""))</f>
        <v>0</v>
      </c>
      <c r="O222" s="8">
        <f>IF(OR(G222="",H222=""),"",IFERROR(IFERROR(INDEX(Recipes!$K$5:$K$204,MATCH(G222,Recipes!$A$5:$A$204,0)),"")*H222,""))</f>
        <v>0</v>
      </c>
      <c r="P222" s="8">
        <f>IF(OR(G222="",H222=""),"",IFERROR(IFERROR(INDEX(Recipes!$L$5:$L$204,MATCH(G222,Recipes!$A$5:$A$204,0)),"")*H222,""))</f>
        <v>0</v>
      </c>
      <c r="Q222" s="8">
        <f>IF(OR(G222="",H222=""),"",IFERROR(IFERROR(INDEX(Recipes!$Q$5:$Q$204,MATCH(G222,Recipes!$A$5:$A$204,0)),"")*H222,""))</f>
        <v>0</v>
      </c>
      <c r="R222" s="8">
        <f>IF(F222="","",Weekly_Budget/21)</f>
        <v>0</v>
      </c>
      <c r="S222" s="27"/>
      <c r="T222" s="27"/>
      <c r="U222" s="26"/>
      <c r="V222" s="7"/>
      <c r="W222" s="7"/>
      <c r="X222" s="26"/>
      <c r="Y222" s="8">
        <f>IF(G222="","",IF(COUNTIFS('Meal Prep'!$D$5:$D$124,G222)&gt;0,"Yes","No"))</f>
        <v>0</v>
      </c>
      <c r="Z222" s="8">
        <f>IF(G222="","",COUNTIFS('Recipe Ingredients'!$A$5:$A$1204,G222))</f>
        <v>0</v>
      </c>
      <c r="AA222" s="25"/>
      <c r="AB222" s="8">
        <f>IF(OR(B222="",Q222=""),"",COUNTIFS($B$5:$B$504,B222,$Q$5:$Q$504,"&gt;"&amp;Q222)+1)</f>
        <v>0</v>
      </c>
      <c r="AC222" s="8">
        <f>IF(OR(B222="",L222=""),"",COUNTIFS($B$5:$B$504,B222,$L$5:$L$504,"&gt;"&amp;L222)+1)</f>
        <v>0</v>
      </c>
      <c r="AD222" s="8">
        <f>IF(G222="","",IF(COUNTIFS($G$5:$G$504,G222)&gt;1,"Repeat","Once"))</f>
        <v>0</v>
      </c>
      <c r="AE222" s="8">
        <f>IF(G222="","",IF(IFERROR(INDEX(Recipes!$X$5:$X$204,MATCH(G222,Recipes!$A$5:$A$204,0)),"")="","",IFERROR(B222-IFERROR(INDEX(Recipes!$X$5:$X$204,MATCH(G222,Recipes!$A$5:$A$204,0)),""),"")))</f>
        <v>0</v>
      </c>
      <c r="AF222" s="8">
        <f>IF(G222="","",IF(AE222="","Yes",IF(AE222&gt;=Rotation_Gap_Days,"Yes","No")))</f>
        <v>0</v>
      </c>
      <c r="AG222" s="8">
        <f>IF(G222="","",IF(COUNTIFS('Recipe Ingredients'!$A$5:$A$1204,G222,'Recipe Ingredients'!$AC$5:$AC$1204,"Check")&gt;0,"Check","OK"))</f>
        <v>0</v>
      </c>
    </row>
    <row r="223" spans="1:33">
      <c r="A223" s="7"/>
      <c r="B223" s="30"/>
      <c r="C223" s="8">
        <f>IF(B223="","",B223-WEEKDAY(B223,2)+1)</f>
        <v>0</v>
      </c>
      <c r="D223" s="8">
        <f>IF(B223="","",TEXT(B223,"ddd"))</f>
        <v>0</v>
      </c>
      <c r="E223" s="8">
        <f>IF(B223="","",TEXT(B223,"mmm yyyy"))</f>
        <v>0</v>
      </c>
      <c r="F223" s="27"/>
      <c r="G223" s="7"/>
      <c r="H223" s="26"/>
      <c r="I223" s="8">
        <f>IF(G223="","",IFERROR(INDEX(Recipes!$D$5:$D$204,MATCH(G223,Recipes!$A$5:$A$204,0)),""))</f>
        <v>0</v>
      </c>
      <c r="J223" s="8">
        <f>IF(OR(G223="",H223="",I223="",I223=0),"",H223/I223)</f>
        <v>0</v>
      </c>
      <c r="K223" s="8">
        <f>IF(B223="","",Household_Size)</f>
        <v>0</v>
      </c>
      <c r="L223" s="8">
        <f>IF(OR(G223="",H223=""),"",IFERROR(IFERROR(INDEX(Recipes!$H$5:$H$204,MATCH(G223,Recipes!$A$5:$A$204,0)),"")*H223,""))</f>
        <v>0</v>
      </c>
      <c r="M223" s="8">
        <f>IF(OR(G223="",H223=""),"",IFERROR(IFERROR(INDEX(Recipes!$I$5:$I$204,MATCH(G223,Recipes!$A$5:$A$204,0)),"")*H223,""))</f>
        <v>0</v>
      </c>
      <c r="N223" s="8">
        <f>IF(OR(G223="",H223=""),"",IFERROR(IFERROR(INDEX(Recipes!$J$5:$J$204,MATCH(G223,Recipes!$A$5:$A$204,0)),"")*H223,""))</f>
        <v>0</v>
      </c>
      <c r="O223" s="8">
        <f>IF(OR(G223="",H223=""),"",IFERROR(IFERROR(INDEX(Recipes!$K$5:$K$204,MATCH(G223,Recipes!$A$5:$A$204,0)),"")*H223,""))</f>
        <v>0</v>
      </c>
      <c r="P223" s="8">
        <f>IF(OR(G223="",H223=""),"",IFERROR(IFERROR(INDEX(Recipes!$L$5:$L$204,MATCH(G223,Recipes!$A$5:$A$204,0)),"")*H223,""))</f>
        <v>0</v>
      </c>
      <c r="Q223" s="8">
        <f>IF(OR(G223="",H223=""),"",IFERROR(IFERROR(INDEX(Recipes!$Q$5:$Q$204,MATCH(G223,Recipes!$A$5:$A$204,0)),"")*H223,""))</f>
        <v>0</v>
      </c>
      <c r="R223" s="8">
        <f>IF(F223="","",Weekly_Budget/21)</f>
        <v>0</v>
      </c>
      <c r="S223" s="27"/>
      <c r="T223" s="27"/>
      <c r="U223" s="26"/>
      <c r="V223" s="7"/>
      <c r="W223" s="7"/>
      <c r="X223" s="26"/>
      <c r="Y223" s="8">
        <f>IF(G223="","",IF(COUNTIFS('Meal Prep'!$D$5:$D$124,G223)&gt;0,"Yes","No"))</f>
        <v>0</v>
      </c>
      <c r="Z223" s="8">
        <f>IF(G223="","",COUNTIFS('Recipe Ingredients'!$A$5:$A$1204,G223))</f>
        <v>0</v>
      </c>
      <c r="AA223" s="25"/>
      <c r="AB223" s="8">
        <f>IF(OR(B223="",Q223=""),"",COUNTIFS($B$5:$B$504,B223,$Q$5:$Q$504,"&gt;"&amp;Q223)+1)</f>
        <v>0</v>
      </c>
      <c r="AC223" s="8">
        <f>IF(OR(B223="",L223=""),"",COUNTIFS($B$5:$B$504,B223,$L$5:$L$504,"&gt;"&amp;L223)+1)</f>
        <v>0</v>
      </c>
      <c r="AD223" s="8">
        <f>IF(G223="","",IF(COUNTIFS($G$5:$G$504,G223)&gt;1,"Repeat","Once"))</f>
        <v>0</v>
      </c>
      <c r="AE223" s="8">
        <f>IF(G223="","",IF(IFERROR(INDEX(Recipes!$X$5:$X$204,MATCH(G223,Recipes!$A$5:$A$204,0)),"")="","",IFERROR(B223-IFERROR(INDEX(Recipes!$X$5:$X$204,MATCH(G223,Recipes!$A$5:$A$204,0)),""),"")))</f>
        <v>0</v>
      </c>
      <c r="AF223" s="8">
        <f>IF(G223="","",IF(AE223="","Yes",IF(AE223&gt;=Rotation_Gap_Days,"Yes","No")))</f>
        <v>0</v>
      </c>
      <c r="AG223" s="8">
        <f>IF(G223="","",IF(COUNTIFS('Recipe Ingredients'!$A$5:$A$1204,G223,'Recipe Ingredients'!$AC$5:$AC$1204,"Check")&gt;0,"Check","OK"))</f>
        <v>0</v>
      </c>
    </row>
    <row r="224" spans="1:33">
      <c r="A224" s="7"/>
      <c r="B224" s="30"/>
      <c r="C224" s="8">
        <f>IF(B224="","",B224-WEEKDAY(B224,2)+1)</f>
        <v>0</v>
      </c>
      <c r="D224" s="8">
        <f>IF(B224="","",TEXT(B224,"ddd"))</f>
        <v>0</v>
      </c>
      <c r="E224" s="8">
        <f>IF(B224="","",TEXT(B224,"mmm yyyy"))</f>
        <v>0</v>
      </c>
      <c r="F224" s="27"/>
      <c r="G224" s="7"/>
      <c r="H224" s="26"/>
      <c r="I224" s="8">
        <f>IF(G224="","",IFERROR(INDEX(Recipes!$D$5:$D$204,MATCH(G224,Recipes!$A$5:$A$204,0)),""))</f>
        <v>0</v>
      </c>
      <c r="J224" s="8">
        <f>IF(OR(G224="",H224="",I224="",I224=0),"",H224/I224)</f>
        <v>0</v>
      </c>
      <c r="K224" s="8">
        <f>IF(B224="","",Household_Size)</f>
        <v>0</v>
      </c>
      <c r="L224" s="8">
        <f>IF(OR(G224="",H224=""),"",IFERROR(IFERROR(INDEX(Recipes!$H$5:$H$204,MATCH(G224,Recipes!$A$5:$A$204,0)),"")*H224,""))</f>
        <v>0</v>
      </c>
      <c r="M224" s="8">
        <f>IF(OR(G224="",H224=""),"",IFERROR(IFERROR(INDEX(Recipes!$I$5:$I$204,MATCH(G224,Recipes!$A$5:$A$204,0)),"")*H224,""))</f>
        <v>0</v>
      </c>
      <c r="N224" s="8">
        <f>IF(OR(G224="",H224=""),"",IFERROR(IFERROR(INDEX(Recipes!$J$5:$J$204,MATCH(G224,Recipes!$A$5:$A$204,0)),"")*H224,""))</f>
        <v>0</v>
      </c>
      <c r="O224" s="8">
        <f>IF(OR(G224="",H224=""),"",IFERROR(IFERROR(INDEX(Recipes!$K$5:$K$204,MATCH(G224,Recipes!$A$5:$A$204,0)),"")*H224,""))</f>
        <v>0</v>
      </c>
      <c r="P224" s="8">
        <f>IF(OR(G224="",H224=""),"",IFERROR(IFERROR(INDEX(Recipes!$L$5:$L$204,MATCH(G224,Recipes!$A$5:$A$204,0)),"")*H224,""))</f>
        <v>0</v>
      </c>
      <c r="Q224" s="8">
        <f>IF(OR(G224="",H224=""),"",IFERROR(IFERROR(INDEX(Recipes!$Q$5:$Q$204,MATCH(G224,Recipes!$A$5:$A$204,0)),"")*H224,""))</f>
        <v>0</v>
      </c>
      <c r="R224" s="8">
        <f>IF(F224="","",Weekly_Budget/21)</f>
        <v>0</v>
      </c>
      <c r="S224" s="27"/>
      <c r="T224" s="27"/>
      <c r="U224" s="26"/>
      <c r="V224" s="7"/>
      <c r="W224" s="7"/>
      <c r="X224" s="26"/>
      <c r="Y224" s="8">
        <f>IF(G224="","",IF(COUNTIFS('Meal Prep'!$D$5:$D$124,G224)&gt;0,"Yes","No"))</f>
        <v>0</v>
      </c>
      <c r="Z224" s="8">
        <f>IF(G224="","",COUNTIFS('Recipe Ingredients'!$A$5:$A$1204,G224))</f>
        <v>0</v>
      </c>
      <c r="AA224" s="25"/>
      <c r="AB224" s="8">
        <f>IF(OR(B224="",Q224=""),"",COUNTIFS($B$5:$B$504,B224,$Q$5:$Q$504,"&gt;"&amp;Q224)+1)</f>
        <v>0</v>
      </c>
      <c r="AC224" s="8">
        <f>IF(OR(B224="",L224=""),"",COUNTIFS($B$5:$B$504,B224,$L$5:$L$504,"&gt;"&amp;L224)+1)</f>
        <v>0</v>
      </c>
      <c r="AD224" s="8">
        <f>IF(G224="","",IF(COUNTIFS($G$5:$G$504,G224)&gt;1,"Repeat","Once"))</f>
        <v>0</v>
      </c>
      <c r="AE224" s="8">
        <f>IF(G224="","",IF(IFERROR(INDEX(Recipes!$X$5:$X$204,MATCH(G224,Recipes!$A$5:$A$204,0)),"")="","",IFERROR(B224-IFERROR(INDEX(Recipes!$X$5:$X$204,MATCH(G224,Recipes!$A$5:$A$204,0)),""),"")))</f>
        <v>0</v>
      </c>
      <c r="AF224" s="8">
        <f>IF(G224="","",IF(AE224="","Yes",IF(AE224&gt;=Rotation_Gap_Days,"Yes","No")))</f>
        <v>0</v>
      </c>
      <c r="AG224" s="8">
        <f>IF(G224="","",IF(COUNTIFS('Recipe Ingredients'!$A$5:$A$1204,G224,'Recipe Ingredients'!$AC$5:$AC$1204,"Check")&gt;0,"Check","OK"))</f>
        <v>0</v>
      </c>
    </row>
    <row r="225" spans="1:33">
      <c r="A225" s="7"/>
      <c r="B225" s="30"/>
      <c r="C225" s="8">
        <f>IF(B225="","",B225-WEEKDAY(B225,2)+1)</f>
        <v>0</v>
      </c>
      <c r="D225" s="8">
        <f>IF(B225="","",TEXT(B225,"ddd"))</f>
        <v>0</v>
      </c>
      <c r="E225" s="8">
        <f>IF(B225="","",TEXT(B225,"mmm yyyy"))</f>
        <v>0</v>
      </c>
      <c r="F225" s="27"/>
      <c r="G225" s="7"/>
      <c r="H225" s="26"/>
      <c r="I225" s="8">
        <f>IF(G225="","",IFERROR(INDEX(Recipes!$D$5:$D$204,MATCH(G225,Recipes!$A$5:$A$204,0)),""))</f>
        <v>0</v>
      </c>
      <c r="J225" s="8">
        <f>IF(OR(G225="",H225="",I225="",I225=0),"",H225/I225)</f>
        <v>0</v>
      </c>
      <c r="K225" s="8">
        <f>IF(B225="","",Household_Size)</f>
        <v>0</v>
      </c>
      <c r="L225" s="8">
        <f>IF(OR(G225="",H225=""),"",IFERROR(IFERROR(INDEX(Recipes!$H$5:$H$204,MATCH(G225,Recipes!$A$5:$A$204,0)),"")*H225,""))</f>
        <v>0</v>
      </c>
      <c r="M225" s="8">
        <f>IF(OR(G225="",H225=""),"",IFERROR(IFERROR(INDEX(Recipes!$I$5:$I$204,MATCH(G225,Recipes!$A$5:$A$204,0)),"")*H225,""))</f>
        <v>0</v>
      </c>
      <c r="N225" s="8">
        <f>IF(OR(G225="",H225=""),"",IFERROR(IFERROR(INDEX(Recipes!$J$5:$J$204,MATCH(G225,Recipes!$A$5:$A$204,0)),"")*H225,""))</f>
        <v>0</v>
      </c>
      <c r="O225" s="8">
        <f>IF(OR(G225="",H225=""),"",IFERROR(IFERROR(INDEX(Recipes!$K$5:$K$204,MATCH(G225,Recipes!$A$5:$A$204,0)),"")*H225,""))</f>
        <v>0</v>
      </c>
      <c r="P225" s="8">
        <f>IF(OR(G225="",H225=""),"",IFERROR(IFERROR(INDEX(Recipes!$L$5:$L$204,MATCH(G225,Recipes!$A$5:$A$204,0)),"")*H225,""))</f>
        <v>0</v>
      </c>
      <c r="Q225" s="8">
        <f>IF(OR(G225="",H225=""),"",IFERROR(IFERROR(INDEX(Recipes!$Q$5:$Q$204,MATCH(G225,Recipes!$A$5:$A$204,0)),"")*H225,""))</f>
        <v>0</v>
      </c>
      <c r="R225" s="8">
        <f>IF(F225="","",Weekly_Budget/21)</f>
        <v>0</v>
      </c>
      <c r="S225" s="27"/>
      <c r="T225" s="27"/>
      <c r="U225" s="26"/>
      <c r="V225" s="7"/>
      <c r="W225" s="7"/>
      <c r="X225" s="26"/>
      <c r="Y225" s="8">
        <f>IF(G225="","",IF(COUNTIFS('Meal Prep'!$D$5:$D$124,G225)&gt;0,"Yes","No"))</f>
        <v>0</v>
      </c>
      <c r="Z225" s="8">
        <f>IF(G225="","",COUNTIFS('Recipe Ingredients'!$A$5:$A$1204,G225))</f>
        <v>0</v>
      </c>
      <c r="AA225" s="25"/>
      <c r="AB225" s="8">
        <f>IF(OR(B225="",Q225=""),"",COUNTIFS($B$5:$B$504,B225,$Q$5:$Q$504,"&gt;"&amp;Q225)+1)</f>
        <v>0</v>
      </c>
      <c r="AC225" s="8">
        <f>IF(OR(B225="",L225=""),"",COUNTIFS($B$5:$B$504,B225,$L$5:$L$504,"&gt;"&amp;L225)+1)</f>
        <v>0</v>
      </c>
      <c r="AD225" s="8">
        <f>IF(G225="","",IF(COUNTIFS($G$5:$G$504,G225)&gt;1,"Repeat","Once"))</f>
        <v>0</v>
      </c>
      <c r="AE225" s="8">
        <f>IF(G225="","",IF(IFERROR(INDEX(Recipes!$X$5:$X$204,MATCH(G225,Recipes!$A$5:$A$204,0)),"")="","",IFERROR(B225-IFERROR(INDEX(Recipes!$X$5:$X$204,MATCH(G225,Recipes!$A$5:$A$204,0)),""),"")))</f>
        <v>0</v>
      </c>
      <c r="AF225" s="8">
        <f>IF(G225="","",IF(AE225="","Yes",IF(AE225&gt;=Rotation_Gap_Days,"Yes","No")))</f>
        <v>0</v>
      </c>
      <c r="AG225" s="8">
        <f>IF(G225="","",IF(COUNTIFS('Recipe Ingredients'!$A$5:$A$1204,G225,'Recipe Ingredients'!$AC$5:$AC$1204,"Check")&gt;0,"Check","OK"))</f>
        <v>0</v>
      </c>
    </row>
    <row r="226" spans="1:33">
      <c r="A226" s="7"/>
      <c r="B226" s="30"/>
      <c r="C226" s="8">
        <f>IF(B226="","",B226-WEEKDAY(B226,2)+1)</f>
        <v>0</v>
      </c>
      <c r="D226" s="8">
        <f>IF(B226="","",TEXT(B226,"ddd"))</f>
        <v>0</v>
      </c>
      <c r="E226" s="8">
        <f>IF(B226="","",TEXT(B226,"mmm yyyy"))</f>
        <v>0</v>
      </c>
      <c r="F226" s="27"/>
      <c r="G226" s="7"/>
      <c r="H226" s="26"/>
      <c r="I226" s="8">
        <f>IF(G226="","",IFERROR(INDEX(Recipes!$D$5:$D$204,MATCH(G226,Recipes!$A$5:$A$204,0)),""))</f>
        <v>0</v>
      </c>
      <c r="J226" s="8">
        <f>IF(OR(G226="",H226="",I226="",I226=0),"",H226/I226)</f>
        <v>0</v>
      </c>
      <c r="K226" s="8">
        <f>IF(B226="","",Household_Size)</f>
        <v>0</v>
      </c>
      <c r="L226" s="8">
        <f>IF(OR(G226="",H226=""),"",IFERROR(IFERROR(INDEX(Recipes!$H$5:$H$204,MATCH(G226,Recipes!$A$5:$A$204,0)),"")*H226,""))</f>
        <v>0</v>
      </c>
      <c r="M226" s="8">
        <f>IF(OR(G226="",H226=""),"",IFERROR(IFERROR(INDEX(Recipes!$I$5:$I$204,MATCH(G226,Recipes!$A$5:$A$204,0)),"")*H226,""))</f>
        <v>0</v>
      </c>
      <c r="N226" s="8">
        <f>IF(OR(G226="",H226=""),"",IFERROR(IFERROR(INDEX(Recipes!$J$5:$J$204,MATCH(G226,Recipes!$A$5:$A$204,0)),"")*H226,""))</f>
        <v>0</v>
      </c>
      <c r="O226" s="8">
        <f>IF(OR(G226="",H226=""),"",IFERROR(IFERROR(INDEX(Recipes!$K$5:$K$204,MATCH(G226,Recipes!$A$5:$A$204,0)),"")*H226,""))</f>
        <v>0</v>
      </c>
      <c r="P226" s="8">
        <f>IF(OR(G226="",H226=""),"",IFERROR(IFERROR(INDEX(Recipes!$L$5:$L$204,MATCH(G226,Recipes!$A$5:$A$204,0)),"")*H226,""))</f>
        <v>0</v>
      </c>
      <c r="Q226" s="8">
        <f>IF(OR(G226="",H226=""),"",IFERROR(IFERROR(INDEX(Recipes!$Q$5:$Q$204,MATCH(G226,Recipes!$A$5:$A$204,0)),"")*H226,""))</f>
        <v>0</v>
      </c>
      <c r="R226" s="8">
        <f>IF(F226="","",Weekly_Budget/21)</f>
        <v>0</v>
      </c>
      <c r="S226" s="27"/>
      <c r="T226" s="27"/>
      <c r="U226" s="26"/>
      <c r="V226" s="7"/>
      <c r="W226" s="7"/>
      <c r="X226" s="26"/>
      <c r="Y226" s="8">
        <f>IF(G226="","",IF(COUNTIFS('Meal Prep'!$D$5:$D$124,G226)&gt;0,"Yes","No"))</f>
        <v>0</v>
      </c>
      <c r="Z226" s="8">
        <f>IF(G226="","",COUNTIFS('Recipe Ingredients'!$A$5:$A$1204,G226))</f>
        <v>0</v>
      </c>
      <c r="AA226" s="25"/>
      <c r="AB226" s="8">
        <f>IF(OR(B226="",Q226=""),"",COUNTIFS($B$5:$B$504,B226,$Q$5:$Q$504,"&gt;"&amp;Q226)+1)</f>
        <v>0</v>
      </c>
      <c r="AC226" s="8">
        <f>IF(OR(B226="",L226=""),"",COUNTIFS($B$5:$B$504,B226,$L$5:$L$504,"&gt;"&amp;L226)+1)</f>
        <v>0</v>
      </c>
      <c r="AD226" s="8">
        <f>IF(G226="","",IF(COUNTIFS($G$5:$G$504,G226)&gt;1,"Repeat","Once"))</f>
        <v>0</v>
      </c>
      <c r="AE226" s="8">
        <f>IF(G226="","",IF(IFERROR(INDEX(Recipes!$X$5:$X$204,MATCH(G226,Recipes!$A$5:$A$204,0)),"")="","",IFERROR(B226-IFERROR(INDEX(Recipes!$X$5:$X$204,MATCH(G226,Recipes!$A$5:$A$204,0)),""),"")))</f>
        <v>0</v>
      </c>
      <c r="AF226" s="8">
        <f>IF(G226="","",IF(AE226="","Yes",IF(AE226&gt;=Rotation_Gap_Days,"Yes","No")))</f>
        <v>0</v>
      </c>
      <c r="AG226" s="8">
        <f>IF(G226="","",IF(COUNTIFS('Recipe Ingredients'!$A$5:$A$1204,G226,'Recipe Ingredients'!$AC$5:$AC$1204,"Check")&gt;0,"Check","OK"))</f>
        <v>0</v>
      </c>
    </row>
    <row r="227" spans="1:33">
      <c r="A227" s="7"/>
      <c r="B227" s="30"/>
      <c r="C227" s="8">
        <f>IF(B227="","",B227-WEEKDAY(B227,2)+1)</f>
        <v>0</v>
      </c>
      <c r="D227" s="8">
        <f>IF(B227="","",TEXT(B227,"ddd"))</f>
        <v>0</v>
      </c>
      <c r="E227" s="8">
        <f>IF(B227="","",TEXT(B227,"mmm yyyy"))</f>
        <v>0</v>
      </c>
      <c r="F227" s="27"/>
      <c r="G227" s="7"/>
      <c r="H227" s="26"/>
      <c r="I227" s="8">
        <f>IF(G227="","",IFERROR(INDEX(Recipes!$D$5:$D$204,MATCH(G227,Recipes!$A$5:$A$204,0)),""))</f>
        <v>0</v>
      </c>
      <c r="J227" s="8">
        <f>IF(OR(G227="",H227="",I227="",I227=0),"",H227/I227)</f>
        <v>0</v>
      </c>
      <c r="K227" s="8">
        <f>IF(B227="","",Household_Size)</f>
        <v>0</v>
      </c>
      <c r="L227" s="8">
        <f>IF(OR(G227="",H227=""),"",IFERROR(IFERROR(INDEX(Recipes!$H$5:$H$204,MATCH(G227,Recipes!$A$5:$A$204,0)),"")*H227,""))</f>
        <v>0</v>
      </c>
      <c r="M227" s="8">
        <f>IF(OR(G227="",H227=""),"",IFERROR(IFERROR(INDEX(Recipes!$I$5:$I$204,MATCH(G227,Recipes!$A$5:$A$204,0)),"")*H227,""))</f>
        <v>0</v>
      </c>
      <c r="N227" s="8">
        <f>IF(OR(G227="",H227=""),"",IFERROR(IFERROR(INDEX(Recipes!$J$5:$J$204,MATCH(G227,Recipes!$A$5:$A$204,0)),"")*H227,""))</f>
        <v>0</v>
      </c>
      <c r="O227" s="8">
        <f>IF(OR(G227="",H227=""),"",IFERROR(IFERROR(INDEX(Recipes!$K$5:$K$204,MATCH(G227,Recipes!$A$5:$A$204,0)),"")*H227,""))</f>
        <v>0</v>
      </c>
      <c r="P227" s="8">
        <f>IF(OR(G227="",H227=""),"",IFERROR(IFERROR(INDEX(Recipes!$L$5:$L$204,MATCH(G227,Recipes!$A$5:$A$204,0)),"")*H227,""))</f>
        <v>0</v>
      </c>
      <c r="Q227" s="8">
        <f>IF(OR(G227="",H227=""),"",IFERROR(IFERROR(INDEX(Recipes!$Q$5:$Q$204,MATCH(G227,Recipes!$A$5:$A$204,0)),"")*H227,""))</f>
        <v>0</v>
      </c>
      <c r="R227" s="8">
        <f>IF(F227="","",Weekly_Budget/21)</f>
        <v>0</v>
      </c>
      <c r="S227" s="27"/>
      <c r="T227" s="27"/>
      <c r="U227" s="26"/>
      <c r="V227" s="7"/>
      <c r="W227" s="7"/>
      <c r="X227" s="26"/>
      <c r="Y227" s="8">
        <f>IF(G227="","",IF(COUNTIFS('Meal Prep'!$D$5:$D$124,G227)&gt;0,"Yes","No"))</f>
        <v>0</v>
      </c>
      <c r="Z227" s="8">
        <f>IF(G227="","",COUNTIFS('Recipe Ingredients'!$A$5:$A$1204,G227))</f>
        <v>0</v>
      </c>
      <c r="AA227" s="25"/>
      <c r="AB227" s="8">
        <f>IF(OR(B227="",Q227=""),"",COUNTIFS($B$5:$B$504,B227,$Q$5:$Q$504,"&gt;"&amp;Q227)+1)</f>
        <v>0</v>
      </c>
      <c r="AC227" s="8">
        <f>IF(OR(B227="",L227=""),"",COUNTIFS($B$5:$B$504,B227,$L$5:$L$504,"&gt;"&amp;L227)+1)</f>
        <v>0</v>
      </c>
      <c r="AD227" s="8">
        <f>IF(G227="","",IF(COUNTIFS($G$5:$G$504,G227)&gt;1,"Repeat","Once"))</f>
        <v>0</v>
      </c>
      <c r="AE227" s="8">
        <f>IF(G227="","",IF(IFERROR(INDEX(Recipes!$X$5:$X$204,MATCH(G227,Recipes!$A$5:$A$204,0)),"")="","",IFERROR(B227-IFERROR(INDEX(Recipes!$X$5:$X$204,MATCH(G227,Recipes!$A$5:$A$204,0)),""),"")))</f>
        <v>0</v>
      </c>
      <c r="AF227" s="8">
        <f>IF(G227="","",IF(AE227="","Yes",IF(AE227&gt;=Rotation_Gap_Days,"Yes","No")))</f>
        <v>0</v>
      </c>
      <c r="AG227" s="8">
        <f>IF(G227="","",IF(COUNTIFS('Recipe Ingredients'!$A$5:$A$1204,G227,'Recipe Ingredients'!$AC$5:$AC$1204,"Check")&gt;0,"Check","OK"))</f>
        <v>0</v>
      </c>
    </row>
    <row r="228" spans="1:33">
      <c r="A228" s="7"/>
      <c r="B228" s="30"/>
      <c r="C228" s="8">
        <f>IF(B228="","",B228-WEEKDAY(B228,2)+1)</f>
        <v>0</v>
      </c>
      <c r="D228" s="8">
        <f>IF(B228="","",TEXT(B228,"ddd"))</f>
        <v>0</v>
      </c>
      <c r="E228" s="8">
        <f>IF(B228="","",TEXT(B228,"mmm yyyy"))</f>
        <v>0</v>
      </c>
      <c r="F228" s="27"/>
      <c r="G228" s="7"/>
      <c r="H228" s="26"/>
      <c r="I228" s="8">
        <f>IF(G228="","",IFERROR(INDEX(Recipes!$D$5:$D$204,MATCH(G228,Recipes!$A$5:$A$204,0)),""))</f>
        <v>0</v>
      </c>
      <c r="J228" s="8">
        <f>IF(OR(G228="",H228="",I228="",I228=0),"",H228/I228)</f>
        <v>0</v>
      </c>
      <c r="K228" s="8">
        <f>IF(B228="","",Household_Size)</f>
        <v>0</v>
      </c>
      <c r="L228" s="8">
        <f>IF(OR(G228="",H228=""),"",IFERROR(IFERROR(INDEX(Recipes!$H$5:$H$204,MATCH(G228,Recipes!$A$5:$A$204,0)),"")*H228,""))</f>
        <v>0</v>
      </c>
      <c r="M228" s="8">
        <f>IF(OR(G228="",H228=""),"",IFERROR(IFERROR(INDEX(Recipes!$I$5:$I$204,MATCH(G228,Recipes!$A$5:$A$204,0)),"")*H228,""))</f>
        <v>0</v>
      </c>
      <c r="N228" s="8">
        <f>IF(OR(G228="",H228=""),"",IFERROR(IFERROR(INDEX(Recipes!$J$5:$J$204,MATCH(G228,Recipes!$A$5:$A$204,0)),"")*H228,""))</f>
        <v>0</v>
      </c>
      <c r="O228" s="8">
        <f>IF(OR(G228="",H228=""),"",IFERROR(IFERROR(INDEX(Recipes!$K$5:$K$204,MATCH(G228,Recipes!$A$5:$A$204,0)),"")*H228,""))</f>
        <v>0</v>
      </c>
      <c r="P228" s="8">
        <f>IF(OR(G228="",H228=""),"",IFERROR(IFERROR(INDEX(Recipes!$L$5:$L$204,MATCH(G228,Recipes!$A$5:$A$204,0)),"")*H228,""))</f>
        <v>0</v>
      </c>
      <c r="Q228" s="8">
        <f>IF(OR(G228="",H228=""),"",IFERROR(IFERROR(INDEX(Recipes!$Q$5:$Q$204,MATCH(G228,Recipes!$A$5:$A$204,0)),"")*H228,""))</f>
        <v>0</v>
      </c>
      <c r="R228" s="8">
        <f>IF(F228="","",Weekly_Budget/21)</f>
        <v>0</v>
      </c>
      <c r="S228" s="27"/>
      <c r="T228" s="27"/>
      <c r="U228" s="26"/>
      <c r="V228" s="7"/>
      <c r="W228" s="7"/>
      <c r="X228" s="26"/>
      <c r="Y228" s="8">
        <f>IF(G228="","",IF(COUNTIFS('Meal Prep'!$D$5:$D$124,G228)&gt;0,"Yes","No"))</f>
        <v>0</v>
      </c>
      <c r="Z228" s="8">
        <f>IF(G228="","",COUNTIFS('Recipe Ingredients'!$A$5:$A$1204,G228))</f>
        <v>0</v>
      </c>
      <c r="AA228" s="25"/>
      <c r="AB228" s="8">
        <f>IF(OR(B228="",Q228=""),"",COUNTIFS($B$5:$B$504,B228,$Q$5:$Q$504,"&gt;"&amp;Q228)+1)</f>
        <v>0</v>
      </c>
      <c r="AC228" s="8">
        <f>IF(OR(B228="",L228=""),"",COUNTIFS($B$5:$B$504,B228,$L$5:$L$504,"&gt;"&amp;L228)+1)</f>
        <v>0</v>
      </c>
      <c r="AD228" s="8">
        <f>IF(G228="","",IF(COUNTIFS($G$5:$G$504,G228)&gt;1,"Repeat","Once"))</f>
        <v>0</v>
      </c>
      <c r="AE228" s="8">
        <f>IF(G228="","",IF(IFERROR(INDEX(Recipes!$X$5:$X$204,MATCH(G228,Recipes!$A$5:$A$204,0)),"")="","",IFERROR(B228-IFERROR(INDEX(Recipes!$X$5:$X$204,MATCH(G228,Recipes!$A$5:$A$204,0)),""),"")))</f>
        <v>0</v>
      </c>
      <c r="AF228" s="8">
        <f>IF(G228="","",IF(AE228="","Yes",IF(AE228&gt;=Rotation_Gap_Days,"Yes","No")))</f>
        <v>0</v>
      </c>
      <c r="AG228" s="8">
        <f>IF(G228="","",IF(COUNTIFS('Recipe Ingredients'!$A$5:$A$1204,G228,'Recipe Ingredients'!$AC$5:$AC$1204,"Check")&gt;0,"Check","OK"))</f>
        <v>0</v>
      </c>
    </row>
    <row r="229" spans="1:33">
      <c r="A229" s="7"/>
      <c r="B229" s="30"/>
      <c r="C229" s="8">
        <f>IF(B229="","",B229-WEEKDAY(B229,2)+1)</f>
        <v>0</v>
      </c>
      <c r="D229" s="8">
        <f>IF(B229="","",TEXT(B229,"ddd"))</f>
        <v>0</v>
      </c>
      <c r="E229" s="8">
        <f>IF(B229="","",TEXT(B229,"mmm yyyy"))</f>
        <v>0</v>
      </c>
      <c r="F229" s="27"/>
      <c r="G229" s="7"/>
      <c r="H229" s="26"/>
      <c r="I229" s="8">
        <f>IF(G229="","",IFERROR(INDEX(Recipes!$D$5:$D$204,MATCH(G229,Recipes!$A$5:$A$204,0)),""))</f>
        <v>0</v>
      </c>
      <c r="J229" s="8">
        <f>IF(OR(G229="",H229="",I229="",I229=0),"",H229/I229)</f>
        <v>0</v>
      </c>
      <c r="K229" s="8">
        <f>IF(B229="","",Household_Size)</f>
        <v>0</v>
      </c>
      <c r="L229" s="8">
        <f>IF(OR(G229="",H229=""),"",IFERROR(IFERROR(INDEX(Recipes!$H$5:$H$204,MATCH(G229,Recipes!$A$5:$A$204,0)),"")*H229,""))</f>
        <v>0</v>
      </c>
      <c r="M229" s="8">
        <f>IF(OR(G229="",H229=""),"",IFERROR(IFERROR(INDEX(Recipes!$I$5:$I$204,MATCH(G229,Recipes!$A$5:$A$204,0)),"")*H229,""))</f>
        <v>0</v>
      </c>
      <c r="N229" s="8">
        <f>IF(OR(G229="",H229=""),"",IFERROR(IFERROR(INDEX(Recipes!$J$5:$J$204,MATCH(G229,Recipes!$A$5:$A$204,0)),"")*H229,""))</f>
        <v>0</v>
      </c>
      <c r="O229" s="8">
        <f>IF(OR(G229="",H229=""),"",IFERROR(IFERROR(INDEX(Recipes!$K$5:$K$204,MATCH(G229,Recipes!$A$5:$A$204,0)),"")*H229,""))</f>
        <v>0</v>
      </c>
      <c r="P229" s="8">
        <f>IF(OR(G229="",H229=""),"",IFERROR(IFERROR(INDEX(Recipes!$L$5:$L$204,MATCH(G229,Recipes!$A$5:$A$204,0)),"")*H229,""))</f>
        <v>0</v>
      </c>
      <c r="Q229" s="8">
        <f>IF(OR(G229="",H229=""),"",IFERROR(IFERROR(INDEX(Recipes!$Q$5:$Q$204,MATCH(G229,Recipes!$A$5:$A$204,0)),"")*H229,""))</f>
        <v>0</v>
      </c>
      <c r="R229" s="8">
        <f>IF(F229="","",Weekly_Budget/21)</f>
        <v>0</v>
      </c>
      <c r="S229" s="27"/>
      <c r="T229" s="27"/>
      <c r="U229" s="26"/>
      <c r="V229" s="7"/>
      <c r="W229" s="7"/>
      <c r="X229" s="26"/>
      <c r="Y229" s="8">
        <f>IF(G229="","",IF(COUNTIFS('Meal Prep'!$D$5:$D$124,G229)&gt;0,"Yes","No"))</f>
        <v>0</v>
      </c>
      <c r="Z229" s="8">
        <f>IF(G229="","",COUNTIFS('Recipe Ingredients'!$A$5:$A$1204,G229))</f>
        <v>0</v>
      </c>
      <c r="AA229" s="25"/>
      <c r="AB229" s="8">
        <f>IF(OR(B229="",Q229=""),"",COUNTIFS($B$5:$B$504,B229,$Q$5:$Q$504,"&gt;"&amp;Q229)+1)</f>
        <v>0</v>
      </c>
      <c r="AC229" s="8">
        <f>IF(OR(B229="",L229=""),"",COUNTIFS($B$5:$B$504,B229,$L$5:$L$504,"&gt;"&amp;L229)+1)</f>
        <v>0</v>
      </c>
      <c r="AD229" s="8">
        <f>IF(G229="","",IF(COUNTIFS($G$5:$G$504,G229)&gt;1,"Repeat","Once"))</f>
        <v>0</v>
      </c>
      <c r="AE229" s="8">
        <f>IF(G229="","",IF(IFERROR(INDEX(Recipes!$X$5:$X$204,MATCH(G229,Recipes!$A$5:$A$204,0)),"")="","",IFERROR(B229-IFERROR(INDEX(Recipes!$X$5:$X$204,MATCH(G229,Recipes!$A$5:$A$204,0)),""),"")))</f>
        <v>0</v>
      </c>
      <c r="AF229" s="8">
        <f>IF(G229="","",IF(AE229="","Yes",IF(AE229&gt;=Rotation_Gap_Days,"Yes","No")))</f>
        <v>0</v>
      </c>
      <c r="AG229" s="8">
        <f>IF(G229="","",IF(COUNTIFS('Recipe Ingredients'!$A$5:$A$1204,G229,'Recipe Ingredients'!$AC$5:$AC$1204,"Check")&gt;0,"Check","OK"))</f>
        <v>0</v>
      </c>
    </row>
    <row r="230" spans="1:33">
      <c r="A230" s="7"/>
      <c r="B230" s="30"/>
      <c r="C230" s="8">
        <f>IF(B230="","",B230-WEEKDAY(B230,2)+1)</f>
        <v>0</v>
      </c>
      <c r="D230" s="8">
        <f>IF(B230="","",TEXT(B230,"ddd"))</f>
        <v>0</v>
      </c>
      <c r="E230" s="8">
        <f>IF(B230="","",TEXT(B230,"mmm yyyy"))</f>
        <v>0</v>
      </c>
      <c r="F230" s="27"/>
      <c r="G230" s="7"/>
      <c r="H230" s="26"/>
      <c r="I230" s="8">
        <f>IF(G230="","",IFERROR(INDEX(Recipes!$D$5:$D$204,MATCH(G230,Recipes!$A$5:$A$204,0)),""))</f>
        <v>0</v>
      </c>
      <c r="J230" s="8">
        <f>IF(OR(G230="",H230="",I230="",I230=0),"",H230/I230)</f>
        <v>0</v>
      </c>
      <c r="K230" s="8">
        <f>IF(B230="","",Household_Size)</f>
        <v>0</v>
      </c>
      <c r="L230" s="8">
        <f>IF(OR(G230="",H230=""),"",IFERROR(IFERROR(INDEX(Recipes!$H$5:$H$204,MATCH(G230,Recipes!$A$5:$A$204,0)),"")*H230,""))</f>
        <v>0</v>
      </c>
      <c r="M230" s="8">
        <f>IF(OR(G230="",H230=""),"",IFERROR(IFERROR(INDEX(Recipes!$I$5:$I$204,MATCH(G230,Recipes!$A$5:$A$204,0)),"")*H230,""))</f>
        <v>0</v>
      </c>
      <c r="N230" s="8">
        <f>IF(OR(G230="",H230=""),"",IFERROR(IFERROR(INDEX(Recipes!$J$5:$J$204,MATCH(G230,Recipes!$A$5:$A$204,0)),"")*H230,""))</f>
        <v>0</v>
      </c>
      <c r="O230" s="8">
        <f>IF(OR(G230="",H230=""),"",IFERROR(IFERROR(INDEX(Recipes!$K$5:$K$204,MATCH(G230,Recipes!$A$5:$A$204,0)),"")*H230,""))</f>
        <v>0</v>
      </c>
      <c r="P230" s="8">
        <f>IF(OR(G230="",H230=""),"",IFERROR(IFERROR(INDEX(Recipes!$L$5:$L$204,MATCH(G230,Recipes!$A$5:$A$204,0)),"")*H230,""))</f>
        <v>0</v>
      </c>
      <c r="Q230" s="8">
        <f>IF(OR(G230="",H230=""),"",IFERROR(IFERROR(INDEX(Recipes!$Q$5:$Q$204,MATCH(G230,Recipes!$A$5:$A$204,0)),"")*H230,""))</f>
        <v>0</v>
      </c>
      <c r="R230" s="8">
        <f>IF(F230="","",Weekly_Budget/21)</f>
        <v>0</v>
      </c>
      <c r="S230" s="27"/>
      <c r="T230" s="27"/>
      <c r="U230" s="26"/>
      <c r="V230" s="7"/>
      <c r="W230" s="7"/>
      <c r="X230" s="26"/>
      <c r="Y230" s="8">
        <f>IF(G230="","",IF(COUNTIFS('Meal Prep'!$D$5:$D$124,G230)&gt;0,"Yes","No"))</f>
        <v>0</v>
      </c>
      <c r="Z230" s="8">
        <f>IF(G230="","",COUNTIFS('Recipe Ingredients'!$A$5:$A$1204,G230))</f>
        <v>0</v>
      </c>
      <c r="AA230" s="25"/>
      <c r="AB230" s="8">
        <f>IF(OR(B230="",Q230=""),"",COUNTIFS($B$5:$B$504,B230,$Q$5:$Q$504,"&gt;"&amp;Q230)+1)</f>
        <v>0</v>
      </c>
      <c r="AC230" s="8">
        <f>IF(OR(B230="",L230=""),"",COUNTIFS($B$5:$B$504,B230,$L$5:$L$504,"&gt;"&amp;L230)+1)</f>
        <v>0</v>
      </c>
      <c r="AD230" s="8">
        <f>IF(G230="","",IF(COUNTIFS($G$5:$G$504,G230)&gt;1,"Repeat","Once"))</f>
        <v>0</v>
      </c>
      <c r="AE230" s="8">
        <f>IF(G230="","",IF(IFERROR(INDEX(Recipes!$X$5:$X$204,MATCH(G230,Recipes!$A$5:$A$204,0)),"")="","",IFERROR(B230-IFERROR(INDEX(Recipes!$X$5:$X$204,MATCH(G230,Recipes!$A$5:$A$204,0)),""),"")))</f>
        <v>0</v>
      </c>
      <c r="AF230" s="8">
        <f>IF(G230="","",IF(AE230="","Yes",IF(AE230&gt;=Rotation_Gap_Days,"Yes","No")))</f>
        <v>0</v>
      </c>
      <c r="AG230" s="8">
        <f>IF(G230="","",IF(COUNTIFS('Recipe Ingredients'!$A$5:$A$1204,G230,'Recipe Ingredients'!$AC$5:$AC$1204,"Check")&gt;0,"Check","OK"))</f>
        <v>0</v>
      </c>
    </row>
    <row r="231" spans="1:33">
      <c r="A231" s="7"/>
      <c r="B231" s="30"/>
      <c r="C231" s="8">
        <f>IF(B231="","",B231-WEEKDAY(B231,2)+1)</f>
        <v>0</v>
      </c>
      <c r="D231" s="8">
        <f>IF(B231="","",TEXT(B231,"ddd"))</f>
        <v>0</v>
      </c>
      <c r="E231" s="8">
        <f>IF(B231="","",TEXT(B231,"mmm yyyy"))</f>
        <v>0</v>
      </c>
      <c r="F231" s="27"/>
      <c r="G231" s="7"/>
      <c r="H231" s="26"/>
      <c r="I231" s="8">
        <f>IF(G231="","",IFERROR(INDEX(Recipes!$D$5:$D$204,MATCH(G231,Recipes!$A$5:$A$204,0)),""))</f>
        <v>0</v>
      </c>
      <c r="J231" s="8">
        <f>IF(OR(G231="",H231="",I231="",I231=0),"",H231/I231)</f>
        <v>0</v>
      </c>
      <c r="K231" s="8">
        <f>IF(B231="","",Household_Size)</f>
        <v>0</v>
      </c>
      <c r="L231" s="8">
        <f>IF(OR(G231="",H231=""),"",IFERROR(IFERROR(INDEX(Recipes!$H$5:$H$204,MATCH(G231,Recipes!$A$5:$A$204,0)),"")*H231,""))</f>
        <v>0</v>
      </c>
      <c r="M231" s="8">
        <f>IF(OR(G231="",H231=""),"",IFERROR(IFERROR(INDEX(Recipes!$I$5:$I$204,MATCH(G231,Recipes!$A$5:$A$204,0)),"")*H231,""))</f>
        <v>0</v>
      </c>
      <c r="N231" s="8">
        <f>IF(OR(G231="",H231=""),"",IFERROR(IFERROR(INDEX(Recipes!$J$5:$J$204,MATCH(G231,Recipes!$A$5:$A$204,0)),"")*H231,""))</f>
        <v>0</v>
      </c>
      <c r="O231" s="8">
        <f>IF(OR(G231="",H231=""),"",IFERROR(IFERROR(INDEX(Recipes!$K$5:$K$204,MATCH(G231,Recipes!$A$5:$A$204,0)),"")*H231,""))</f>
        <v>0</v>
      </c>
      <c r="P231" s="8">
        <f>IF(OR(G231="",H231=""),"",IFERROR(IFERROR(INDEX(Recipes!$L$5:$L$204,MATCH(G231,Recipes!$A$5:$A$204,0)),"")*H231,""))</f>
        <v>0</v>
      </c>
      <c r="Q231" s="8">
        <f>IF(OR(G231="",H231=""),"",IFERROR(IFERROR(INDEX(Recipes!$Q$5:$Q$204,MATCH(G231,Recipes!$A$5:$A$204,0)),"")*H231,""))</f>
        <v>0</v>
      </c>
      <c r="R231" s="8">
        <f>IF(F231="","",Weekly_Budget/21)</f>
        <v>0</v>
      </c>
      <c r="S231" s="27"/>
      <c r="T231" s="27"/>
      <c r="U231" s="26"/>
      <c r="V231" s="7"/>
      <c r="W231" s="7"/>
      <c r="X231" s="26"/>
      <c r="Y231" s="8">
        <f>IF(G231="","",IF(COUNTIFS('Meal Prep'!$D$5:$D$124,G231)&gt;0,"Yes","No"))</f>
        <v>0</v>
      </c>
      <c r="Z231" s="8">
        <f>IF(G231="","",COUNTIFS('Recipe Ingredients'!$A$5:$A$1204,G231))</f>
        <v>0</v>
      </c>
      <c r="AA231" s="25"/>
      <c r="AB231" s="8">
        <f>IF(OR(B231="",Q231=""),"",COUNTIFS($B$5:$B$504,B231,$Q$5:$Q$504,"&gt;"&amp;Q231)+1)</f>
        <v>0</v>
      </c>
      <c r="AC231" s="8">
        <f>IF(OR(B231="",L231=""),"",COUNTIFS($B$5:$B$504,B231,$L$5:$L$504,"&gt;"&amp;L231)+1)</f>
        <v>0</v>
      </c>
      <c r="AD231" s="8">
        <f>IF(G231="","",IF(COUNTIFS($G$5:$G$504,G231)&gt;1,"Repeat","Once"))</f>
        <v>0</v>
      </c>
      <c r="AE231" s="8">
        <f>IF(G231="","",IF(IFERROR(INDEX(Recipes!$X$5:$X$204,MATCH(G231,Recipes!$A$5:$A$204,0)),"")="","",IFERROR(B231-IFERROR(INDEX(Recipes!$X$5:$X$204,MATCH(G231,Recipes!$A$5:$A$204,0)),""),"")))</f>
        <v>0</v>
      </c>
      <c r="AF231" s="8">
        <f>IF(G231="","",IF(AE231="","Yes",IF(AE231&gt;=Rotation_Gap_Days,"Yes","No")))</f>
        <v>0</v>
      </c>
      <c r="AG231" s="8">
        <f>IF(G231="","",IF(COUNTIFS('Recipe Ingredients'!$A$5:$A$1204,G231,'Recipe Ingredients'!$AC$5:$AC$1204,"Check")&gt;0,"Check","OK"))</f>
        <v>0</v>
      </c>
    </row>
    <row r="232" spans="1:33">
      <c r="A232" s="7"/>
      <c r="B232" s="30"/>
      <c r="C232" s="8">
        <f>IF(B232="","",B232-WEEKDAY(B232,2)+1)</f>
        <v>0</v>
      </c>
      <c r="D232" s="8">
        <f>IF(B232="","",TEXT(B232,"ddd"))</f>
        <v>0</v>
      </c>
      <c r="E232" s="8">
        <f>IF(B232="","",TEXT(B232,"mmm yyyy"))</f>
        <v>0</v>
      </c>
      <c r="F232" s="27"/>
      <c r="G232" s="7"/>
      <c r="H232" s="26"/>
      <c r="I232" s="8">
        <f>IF(G232="","",IFERROR(INDEX(Recipes!$D$5:$D$204,MATCH(G232,Recipes!$A$5:$A$204,0)),""))</f>
        <v>0</v>
      </c>
      <c r="J232" s="8">
        <f>IF(OR(G232="",H232="",I232="",I232=0),"",H232/I232)</f>
        <v>0</v>
      </c>
      <c r="K232" s="8">
        <f>IF(B232="","",Household_Size)</f>
        <v>0</v>
      </c>
      <c r="L232" s="8">
        <f>IF(OR(G232="",H232=""),"",IFERROR(IFERROR(INDEX(Recipes!$H$5:$H$204,MATCH(G232,Recipes!$A$5:$A$204,0)),"")*H232,""))</f>
        <v>0</v>
      </c>
      <c r="M232" s="8">
        <f>IF(OR(G232="",H232=""),"",IFERROR(IFERROR(INDEX(Recipes!$I$5:$I$204,MATCH(G232,Recipes!$A$5:$A$204,0)),"")*H232,""))</f>
        <v>0</v>
      </c>
      <c r="N232" s="8">
        <f>IF(OR(G232="",H232=""),"",IFERROR(IFERROR(INDEX(Recipes!$J$5:$J$204,MATCH(G232,Recipes!$A$5:$A$204,0)),"")*H232,""))</f>
        <v>0</v>
      </c>
      <c r="O232" s="8">
        <f>IF(OR(G232="",H232=""),"",IFERROR(IFERROR(INDEX(Recipes!$K$5:$K$204,MATCH(G232,Recipes!$A$5:$A$204,0)),"")*H232,""))</f>
        <v>0</v>
      </c>
      <c r="P232" s="8">
        <f>IF(OR(G232="",H232=""),"",IFERROR(IFERROR(INDEX(Recipes!$L$5:$L$204,MATCH(G232,Recipes!$A$5:$A$204,0)),"")*H232,""))</f>
        <v>0</v>
      </c>
      <c r="Q232" s="8">
        <f>IF(OR(G232="",H232=""),"",IFERROR(IFERROR(INDEX(Recipes!$Q$5:$Q$204,MATCH(G232,Recipes!$A$5:$A$204,0)),"")*H232,""))</f>
        <v>0</v>
      </c>
      <c r="R232" s="8">
        <f>IF(F232="","",Weekly_Budget/21)</f>
        <v>0</v>
      </c>
      <c r="S232" s="27"/>
      <c r="T232" s="27"/>
      <c r="U232" s="26"/>
      <c r="V232" s="7"/>
      <c r="W232" s="7"/>
      <c r="X232" s="26"/>
      <c r="Y232" s="8">
        <f>IF(G232="","",IF(COUNTIFS('Meal Prep'!$D$5:$D$124,G232)&gt;0,"Yes","No"))</f>
        <v>0</v>
      </c>
      <c r="Z232" s="8">
        <f>IF(G232="","",COUNTIFS('Recipe Ingredients'!$A$5:$A$1204,G232))</f>
        <v>0</v>
      </c>
      <c r="AA232" s="25"/>
      <c r="AB232" s="8">
        <f>IF(OR(B232="",Q232=""),"",COUNTIFS($B$5:$B$504,B232,$Q$5:$Q$504,"&gt;"&amp;Q232)+1)</f>
        <v>0</v>
      </c>
      <c r="AC232" s="8">
        <f>IF(OR(B232="",L232=""),"",COUNTIFS($B$5:$B$504,B232,$L$5:$L$504,"&gt;"&amp;L232)+1)</f>
        <v>0</v>
      </c>
      <c r="AD232" s="8">
        <f>IF(G232="","",IF(COUNTIFS($G$5:$G$504,G232)&gt;1,"Repeat","Once"))</f>
        <v>0</v>
      </c>
      <c r="AE232" s="8">
        <f>IF(G232="","",IF(IFERROR(INDEX(Recipes!$X$5:$X$204,MATCH(G232,Recipes!$A$5:$A$204,0)),"")="","",IFERROR(B232-IFERROR(INDEX(Recipes!$X$5:$X$204,MATCH(G232,Recipes!$A$5:$A$204,0)),""),"")))</f>
        <v>0</v>
      </c>
      <c r="AF232" s="8">
        <f>IF(G232="","",IF(AE232="","Yes",IF(AE232&gt;=Rotation_Gap_Days,"Yes","No")))</f>
        <v>0</v>
      </c>
      <c r="AG232" s="8">
        <f>IF(G232="","",IF(COUNTIFS('Recipe Ingredients'!$A$5:$A$1204,G232,'Recipe Ingredients'!$AC$5:$AC$1204,"Check")&gt;0,"Check","OK"))</f>
        <v>0</v>
      </c>
    </row>
    <row r="233" spans="1:33">
      <c r="A233" s="7"/>
      <c r="B233" s="30"/>
      <c r="C233" s="8">
        <f>IF(B233="","",B233-WEEKDAY(B233,2)+1)</f>
        <v>0</v>
      </c>
      <c r="D233" s="8">
        <f>IF(B233="","",TEXT(B233,"ddd"))</f>
        <v>0</v>
      </c>
      <c r="E233" s="8">
        <f>IF(B233="","",TEXT(B233,"mmm yyyy"))</f>
        <v>0</v>
      </c>
      <c r="F233" s="27"/>
      <c r="G233" s="7"/>
      <c r="H233" s="26"/>
      <c r="I233" s="8">
        <f>IF(G233="","",IFERROR(INDEX(Recipes!$D$5:$D$204,MATCH(G233,Recipes!$A$5:$A$204,0)),""))</f>
        <v>0</v>
      </c>
      <c r="J233" s="8">
        <f>IF(OR(G233="",H233="",I233="",I233=0),"",H233/I233)</f>
        <v>0</v>
      </c>
      <c r="K233" s="8">
        <f>IF(B233="","",Household_Size)</f>
        <v>0</v>
      </c>
      <c r="L233" s="8">
        <f>IF(OR(G233="",H233=""),"",IFERROR(IFERROR(INDEX(Recipes!$H$5:$H$204,MATCH(G233,Recipes!$A$5:$A$204,0)),"")*H233,""))</f>
        <v>0</v>
      </c>
      <c r="M233" s="8">
        <f>IF(OR(G233="",H233=""),"",IFERROR(IFERROR(INDEX(Recipes!$I$5:$I$204,MATCH(G233,Recipes!$A$5:$A$204,0)),"")*H233,""))</f>
        <v>0</v>
      </c>
      <c r="N233" s="8">
        <f>IF(OR(G233="",H233=""),"",IFERROR(IFERROR(INDEX(Recipes!$J$5:$J$204,MATCH(G233,Recipes!$A$5:$A$204,0)),"")*H233,""))</f>
        <v>0</v>
      </c>
      <c r="O233" s="8">
        <f>IF(OR(G233="",H233=""),"",IFERROR(IFERROR(INDEX(Recipes!$K$5:$K$204,MATCH(G233,Recipes!$A$5:$A$204,0)),"")*H233,""))</f>
        <v>0</v>
      </c>
      <c r="P233" s="8">
        <f>IF(OR(G233="",H233=""),"",IFERROR(IFERROR(INDEX(Recipes!$L$5:$L$204,MATCH(G233,Recipes!$A$5:$A$204,0)),"")*H233,""))</f>
        <v>0</v>
      </c>
      <c r="Q233" s="8">
        <f>IF(OR(G233="",H233=""),"",IFERROR(IFERROR(INDEX(Recipes!$Q$5:$Q$204,MATCH(G233,Recipes!$A$5:$A$204,0)),"")*H233,""))</f>
        <v>0</v>
      </c>
      <c r="R233" s="8">
        <f>IF(F233="","",Weekly_Budget/21)</f>
        <v>0</v>
      </c>
      <c r="S233" s="27"/>
      <c r="T233" s="27"/>
      <c r="U233" s="26"/>
      <c r="V233" s="7"/>
      <c r="W233" s="7"/>
      <c r="X233" s="26"/>
      <c r="Y233" s="8">
        <f>IF(G233="","",IF(COUNTIFS('Meal Prep'!$D$5:$D$124,G233)&gt;0,"Yes","No"))</f>
        <v>0</v>
      </c>
      <c r="Z233" s="8">
        <f>IF(G233="","",COUNTIFS('Recipe Ingredients'!$A$5:$A$1204,G233))</f>
        <v>0</v>
      </c>
      <c r="AA233" s="25"/>
      <c r="AB233" s="8">
        <f>IF(OR(B233="",Q233=""),"",COUNTIFS($B$5:$B$504,B233,$Q$5:$Q$504,"&gt;"&amp;Q233)+1)</f>
        <v>0</v>
      </c>
      <c r="AC233" s="8">
        <f>IF(OR(B233="",L233=""),"",COUNTIFS($B$5:$B$504,B233,$L$5:$L$504,"&gt;"&amp;L233)+1)</f>
        <v>0</v>
      </c>
      <c r="AD233" s="8">
        <f>IF(G233="","",IF(COUNTIFS($G$5:$G$504,G233)&gt;1,"Repeat","Once"))</f>
        <v>0</v>
      </c>
      <c r="AE233" s="8">
        <f>IF(G233="","",IF(IFERROR(INDEX(Recipes!$X$5:$X$204,MATCH(G233,Recipes!$A$5:$A$204,0)),"")="","",IFERROR(B233-IFERROR(INDEX(Recipes!$X$5:$X$204,MATCH(G233,Recipes!$A$5:$A$204,0)),""),"")))</f>
        <v>0</v>
      </c>
      <c r="AF233" s="8">
        <f>IF(G233="","",IF(AE233="","Yes",IF(AE233&gt;=Rotation_Gap_Days,"Yes","No")))</f>
        <v>0</v>
      </c>
      <c r="AG233" s="8">
        <f>IF(G233="","",IF(COUNTIFS('Recipe Ingredients'!$A$5:$A$1204,G233,'Recipe Ingredients'!$AC$5:$AC$1204,"Check")&gt;0,"Check","OK"))</f>
        <v>0</v>
      </c>
    </row>
    <row r="234" spans="1:33">
      <c r="A234" s="7"/>
      <c r="B234" s="30"/>
      <c r="C234" s="8">
        <f>IF(B234="","",B234-WEEKDAY(B234,2)+1)</f>
        <v>0</v>
      </c>
      <c r="D234" s="8">
        <f>IF(B234="","",TEXT(B234,"ddd"))</f>
        <v>0</v>
      </c>
      <c r="E234" s="8">
        <f>IF(B234="","",TEXT(B234,"mmm yyyy"))</f>
        <v>0</v>
      </c>
      <c r="F234" s="27"/>
      <c r="G234" s="7"/>
      <c r="H234" s="26"/>
      <c r="I234" s="8">
        <f>IF(G234="","",IFERROR(INDEX(Recipes!$D$5:$D$204,MATCH(G234,Recipes!$A$5:$A$204,0)),""))</f>
        <v>0</v>
      </c>
      <c r="J234" s="8">
        <f>IF(OR(G234="",H234="",I234="",I234=0),"",H234/I234)</f>
        <v>0</v>
      </c>
      <c r="K234" s="8">
        <f>IF(B234="","",Household_Size)</f>
        <v>0</v>
      </c>
      <c r="L234" s="8">
        <f>IF(OR(G234="",H234=""),"",IFERROR(IFERROR(INDEX(Recipes!$H$5:$H$204,MATCH(G234,Recipes!$A$5:$A$204,0)),"")*H234,""))</f>
        <v>0</v>
      </c>
      <c r="M234" s="8">
        <f>IF(OR(G234="",H234=""),"",IFERROR(IFERROR(INDEX(Recipes!$I$5:$I$204,MATCH(G234,Recipes!$A$5:$A$204,0)),"")*H234,""))</f>
        <v>0</v>
      </c>
      <c r="N234" s="8">
        <f>IF(OR(G234="",H234=""),"",IFERROR(IFERROR(INDEX(Recipes!$J$5:$J$204,MATCH(G234,Recipes!$A$5:$A$204,0)),"")*H234,""))</f>
        <v>0</v>
      </c>
      <c r="O234" s="8">
        <f>IF(OR(G234="",H234=""),"",IFERROR(IFERROR(INDEX(Recipes!$K$5:$K$204,MATCH(G234,Recipes!$A$5:$A$204,0)),"")*H234,""))</f>
        <v>0</v>
      </c>
      <c r="P234" s="8">
        <f>IF(OR(G234="",H234=""),"",IFERROR(IFERROR(INDEX(Recipes!$L$5:$L$204,MATCH(G234,Recipes!$A$5:$A$204,0)),"")*H234,""))</f>
        <v>0</v>
      </c>
      <c r="Q234" s="8">
        <f>IF(OR(G234="",H234=""),"",IFERROR(IFERROR(INDEX(Recipes!$Q$5:$Q$204,MATCH(G234,Recipes!$A$5:$A$204,0)),"")*H234,""))</f>
        <v>0</v>
      </c>
      <c r="R234" s="8">
        <f>IF(F234="","",Weekly_Budget/21)</f>
        <v>0</v>
      </c>
      <c r="S234" s="27"/>
      <c r="T234" s="27"/>
      <c r="U234" s="26"/>
      <c r="V234" s="7"/>
      <c r="W234" s="7"/>
      <c r="X234" s="26"/>
      <c r="Y234" s="8">
        <f>IF(G234="","",IF(COUNTIFS('Meal Prep'!$D$5:$D$124,G234)&gt;0,"Yes","No"))</f>
        <v>0</v>
      </c>
      <c r="Z234" s="8">
        <f>IF(G234="","",COUNTIFS('Recipe Ingredients'!$A$5:$A$1204,G234))</f>
        <v>0</v>
      </c>
      <c r="AA234" s="25"/>
      <c r="AB234" s="8">
        <f>IF(OR(B234="",Q234=""),"",COUNTIFS($B$5:$B$504,B234,$Q$5:$Q$504,"&gt;"&amp;Q234)+1)</f>
        <v>0</v>
      </c>
      <c r="AC234" s="8">
        <f>IF(OR(B234="",L234=""),"",COUNTIFS($B$5:$B$504,B234,$L$5:$L$504,"&gt;"&amp;L234)+1)</f>
        <v>0</v>
      </c>
      <c r="AD234" s="8">
        <f>IF(G234="","",IF(COUNTIFS($G$5:$G$504,G234)&gt;1,"Repeat","Once"))</f>
        <v>0</v>
      </c>
      <c r="AE234" s="8">
        <f>IF(G234="","",IF(IFERROR(INDEX(Recipes!$X$5:$X$204,MATCH(G234,Recipes!$A$5:$A$204,0)),"")="","",IFERROR(B234-IFERROR(INDEX(Recipes!$X$5:$X$204,MATCH(G234,Recipes!$A$5:$A$204,0)),""),"")))</f>
        <v>0</v>
      </c>
      <c r="AF234" s="8">
        <f>IF(G234="","",IF(AE234="","Yes",IF(AE234&gt;=Rotation_Gap_Days,"Yes","No")))</f>
        <v>0</v>
      </c>
      <c r="AG234" s="8">
        <f>IF(G234="","",IF(COUNTIFS('Recipe Ingredients'!$A$5:$A$1204,G234,'Recipe Ingredients'!$AC$5:$AC$1204,"Check")&gt;0,"Check","OK"))</f>
        <v>0</v>
      </c>
    </row>
    <row r="235" spans="1:33">
      <c r="A235" s="7"/>
      <c r="B235" s="30"/>
      <c r="C235" s="8">
        <f>IF(B235="","",B235-WEEKDAY(B235,2)+1)</f>
        <v>0</v>
      </c>
      <c r="D235" s="8">
        <f>IF(B235="","",TEXT(B235,"ddd"))</f>
        <v>0</v>
      </c>
      <c r="E235" s="8">
        <f>IF(B235="","",TEXT(B235,"mmm yyyy"))</f>
        <v>0</v>
      </c>
      <c r="F235" s="27"/>
      <c r="G235" s="7"/>
      <c r="H235" s="26"/>
      <c r="I235" s="8">
        <f>IF(G235="","",IFERROR(INDEX(Recipes!$D$5:$D$204,MATCH(G235,Recipes!$A$5:$A$204,0)),""))</f>
        <v>0</v>
      </c>
      <c r="J235" s="8">
        <f>IF(OR(G235="",H235="",I235="",I235=0),"",H235/I235)</f>
        <v>0</v>
      </c>
      <c r="K235" s="8">
        <f>IF(B235="","",Household_Size)</f>
        <v>0</v>
      </c>
      <c r="L235" s="8">
        <f>IF(OR(G235="",H235=""),"",IFERROR(IFERROR(INDEX(Recipes!$H$5:$H$204,MATCH(G235,Recipes!$A$5:$A$204,0)),"")*H235,""))</f>
        <v>0</v>
      </c>
      <c r="M235" s="8">
        <f>IF(OR(G235="",H235=""),"",IFERROR(IFERROR(INDEX(Recipes!$I$5:$I$204,MATCH(G235,Recipes!$A$5:$A$204,0)),"")*H235,""))</f>
        <v>0</v>
      </c>
      <c r="N235" s="8">
        <f>IF(OR(G235="",H235=""),"",IFERROR(IFERROR(INDEX(Recipes!$J$5:$J$204,MATCH(G235,Recipes!$A$5:$A$204,0)),"")*H235,""))</f>
        <v>0</v>
      </c>
      <c r="O235" s="8">
        <f>IF(OR(G235="",H235=""),"",IFERROR(IFERROR(INDEX(Recipes!$K$5:$K$204,MATCH(G235,Recipes!$A$5:$A$204,0)),"")*H235,""))</f>
        <v>0</v>
      </c>
      <c r="P235" s="8">
        <f>IF(OR(G235="",H235=""),"",IFERROR(IFERROR(INDEX(Recipes!$L$5:$L$204,MATCH(G235,Recipes!$A$5:$A$204,0)),"")*H235,""))</f>
        <v>0</v>
      </c>
      <c r="Q235" s="8">
        <f>IF(OR(G235="",H235=""),"",IFERROR(IFERROR(INDEX(Recipes!$Q$5:$Q$204,MATCH(G235,Recipes!$A$5:$A$204,0)),"")*H235,""))</f>
        <v>0</v>
      </c>
      <c r="R235" s="8">
        <f>IF(F235="","",Weekly_Budget/21)</f>
        <v>0</v>
      </c>
      <c r="S235" s="27"/>
      <c r="T235" s="27"/>
      <c r="U235" s="26"/>
      <c r="V235" s="7"/>
      <c r="W235" s="7"/>
      <c r="X235" s="26"/>
      <c r="Y235" s="8">
        <f>IF(G235="","",IF(COUNTIFS('Meal Prep'!$D$5:$D$124,G235)&gt;0,"Yes","No"))</f>
        <v>0</v>
      </c>
      <c r="Z235" s="8">
        <f>IF(G235="","",COUNTIFS('Recipe Ingredients'!$A$5:$A$1204,G235))</f>
        <v>0</v>
      </c>
      <c r="AA235" s="25"/>
      <c r="AB235" s="8">
        <f>IF(OR(B235="",Q235=""),"",COUNTIFS($B$5:$B$504,B235,$Q$5:$Q$504,"&gt;"&amp;Q235)+1)</f>
        <v>0</v>
      </c>
      <c r="AC235" s="8">
        <f>IF(OR(B235="",L235=""),"",COUNTIFS($B$5:$B$504,B235,$L$5:$L$504,"&gt;"&amp;L235)+1)</f>
        <v>0</v>
      </c>
      <c r="AD235" s="8">
        <f>IF(G235="","",IF(COUNTIFS($G$5:$G$504,G235)&gt;1,"Repeat","Once"))</f>
        <v>0</v>
      </c>
      <c r="AE235" s="8">
        <f>IF(G235="","",IF(IFERROR(INDEX(Recipes!$X$5:$X$204,MATCH(G235,Recipes!$A$5:$A$204,0)),"")="","",IFERROR(B235-IFERROR(INDEX(Recipes!$X$5:$X$204,MATCH(G235,Recipes!$A$5:$A$204,0)),""),"")))</f>
        <v>0</v>
      </c>
      <c r="AF235" s="8">
        <f>IF(G235="","",IF(AE235="","Yes",IF(AE235&gt;=Rotation_Gap_Days,"Yes","No")))</f>
        <v>0</v>
      </c>
      <c r="AG235" s="8">
        <f>IF(G235="","",IF(COUNTIFS('Recipe Ingredients'!$A$5:$A$1204,G235,'Recipe Ingredients'!$AC$5:$AC$1204,"Check")&gt;0,"Check","OK"))</f>
        <v>0</v>
      </c>
    </row>
    <row r="236" spans="1:33">
      <c r="A236" s="7"/>
      <c r="B236" s="30"/>
      <c r="C236" s="8">
        <f>IF(B236="","",B236-WEEKDAY(B236,2)+1)</f>
        <v>0</v>
      </c>
      <c r="D236" s="8">
        <f>IF(B236="","",TEXT(B236,"ddd"))</f>
        <v>0</v>
      </c>
      <c r="E236" s="8">
        <f>IF(B236="","",TEXT(B236,"mmm yyyy"))</f>
        <v>0</v>
      </c>
      <c r="F236" s="27"/>
      <c r="G236" s="7"/>
      <c r="H236" s="26"/>
      <c r="I236" s="8">
        <f>IF(G236="","",IFERROR(INDEX(Recipes!$D$5:$D$204,MATCH(G236,Recipes!$A$5:$A$204,0)),""))</f>
        <v>0</v>
      </c>
      <c r="J236" s="8">
        <f>IF(OR(G236="",H236="",I236="",I236=0),"",H236/I236)</f>
        <v>0</v>
      </c>
      <c r="K236" s="8">
        <f>IF(B236="","",Household_Size)</f>
        <v>0</v>
      </c>
      <c r="L236" s="8">
        <f>IF(OR(G236="",H236=""),"",IFERROR(IFERROR(INDEX(Recipes!$H$5:$H$204,MATCH(G236,Recipes!$A$5:$A$204,0)),"")*H236,""))</f>
        <v>0</v>
      </c>
      <c r="M236" s="8">
        <f>IF(OR(G236="",H236=""),"",IFERROR(IFERROR(INDEX(Recipes!$I$5:$I$204,MATCH(G236,Recipes!$A$5:$A$204,0)),"")*H236,""))</f>
        <v>0</v>
      </c>
      <c r="N236" s="8">
        <f>IF(OR(G236="",H236=""),"",IFERROR(IFERROR(INDEX(Recipes!$J$5:$J$204,MATCH(G236,Recipes!$A$5:$A$204,0)),"")*H236,""))</f>
        <v>0</v>
      </c>
      <c r="O236" s="8">
        <f>IF(OR(G236="",H236=""),"",IFERROR(IFERROR(INDEX(Recipes!$K$5:$K$204,MATCH(G236,Recipes!$A$5:$A$204,0)),"")*H236,""))</f>
        <v>0</v>
      </c>
      <c r="P236" s="8">
        <f>IF(OR(G236="",H236=""),"",IFERROR(IFERROR(INDEX(Recipes!$L$5:$L$204,MATCH(G236,Recipes!$A$5:$A$204,0)),"")*H236,""))</f>
        <v>0</v>
      </c>
      <c r="Q236" s="8">
        <f>IF(OR(G236="",H236=""),"",IFERROR(IFERROR(INDEX(Recipes!$Q$5:$Q$204,MATCH(G236,Recipes!$A$5:$A$204,0)),"")*H236,""))</f>
        <v>0</v>
      </c>
      <c r="R236" s="8">
        <f>IF(F236="","",Weekly_Budget/21)</f>
        <v>0</v>
      </c>
      <c r="S236" s="27"/>
      <c r="T236" s="27"/>
      <c r="U236" s="26"/>
      <c r="V236" s="7"/>
      <c r="W236" s="7"/>
      <c r="X236" s="26"/>
      <c r="Y236" s="8">
        <f>IF(G236="","",IF(COUNTIFS('Meal Prep'!$D$5:$D$124,G236)&gt;0,"Yes","No"))</f>
        <v>0</v>
      </c>
      <c r="Z236" s="8">
        <f>IF(G236="","",COUNTIFS('Recipe Ingredients'!$A$5:$A$1204,G236))</f>
        <v>0</v>
      </c>
      <c r="AA236" s="25"/>
      <c r="AB236" s="8">
        <f>IF(OR(B236="",Q236=""),"",COUNTIFS($B$5:$B$504,B236,$Q$5:$Q$504,"&gt;"&amp;Q236)+1)</f>
        <v>0</v>
      </c>
      <c r="AC236" s="8">
        <f>IF(OR(B236="",L236=""),"",COUNTIFS($B$5:$B$504,B236,$L$5:$L$504,"&gt;"&amp;L236)+1)</f>
        <v>0</v>
      </c>
      <c r="AD236" s="8">
        <f>IF(G236="","",IF(COUNTIFS($G$5:$G$504,G236)&gt;1,"Repeat","Once"))</f>
        <v>0</v>
      </c>
      <c r="AE236" s="8">
        <f>IF(G236="","",IF(IFERROR(INDEX(Recipes!$X$5:$X$204,MATCH(G236,Recipes!$A$5:$A$204,0)),"")="","",IFERROR(B236-IFERROR(INDEX(Recipes!$X$5:$X$204,MATCH(G236,Recipes!$A$5:$A$204,0)),""),"")))</f>
        <v>0</v>
      </c>
      <c r="AF236" s="8">
        <f>IF(G236="","",IF(AE236="","Yes",IF(AE236&gt;=Rotation_Gap_Days,"Yes","No")))</f>
        <v>0</v>
      </c>
      <c r="AG236" s="8">
        <f>IF(G236="","",IF(COUNTIFS('Recipe Ingredients'!$A$5:$A$1204,G236,'Recipe Ingredients'!$AC$5:$AC$1204,"Check")&gt;0,"Check","OK"))</f>
        <v>0</v>
      </c>
    </row>
    <row r="237" spans="1:33">
      <c r="A237" s="7"/>
      <c r="B237" s="30"/>
      <c r="C237" s="8">
        <f>IF(B237="","",B237-WEEKDAY(B237,2)+1)</f>
        <v>0</v>
      </c>
      <c r="D237" s="8">
        <f>IF(B237="","",TEXT(B237,"ddd"))</f>
        <v>0</v>
      </c>
      <c r="E237" s="8">
        <f>IF(B237="","",TEXT(B237,"mmm yyyy"))</f>
        <v>0</v>
      </c>
      <c r="F237" s="27"/>
      <c r="G237" s="7"/>
      <c r="H237" s="26"/>
      <c r="I237" s="8">
        <f>IF(G237="","",IFERROR(INDEX(Recipes!$D$5:$D$204,MATCH(G237,Recipes!$A$5:$A$204,0)),""))</f>
        <v>0</v>
      </c>
      <c r="J237" s="8">
        <f>IF(OR(G237="",H237="",I237="",I237=0),"",H237/I237)</f>
        <v>0</v>
      </c>
      <c r="K237" s="8">
        <f>IF(B237="","",Household_Size)</f>
        <v>0</v>
      </c>
      <c r="L237" s="8">
        <f>IF(OR(G237="",H237=""),"",IFERROR(IFERROR(INDEX(Recipes!$H$5:$H$204,MATCH(G237,Recipes!$A$5:$A$204,0)),"")*H237,""))</f>
        <v>0</v>
      </c>
      <c r="M237" s="8">
        <f>IF(OR(G237="",H237=""),"",IFERROR(IFERROR(INDEX(Recipes!$I$5:$I$204,MATCH(G237,Recipes!$A$5:$A$204,0)),"")*H237,""))</f>
        <v>0</v>
      </c>
      <c r="N237" s="8">
        <f>IF(OR(G237="",H237=""),"",IFERROR(IFERROR(INDEX(Recipes!$J$5:$J$204,MATCH(G237,Recipes!$A$5:$A$204,0)),"")*H237,""))</f>
        <v>0</v>
      </c>
      <c r="O237" s="8">
        <f>IF(OR(G237="",H237=""),"",IFERROR(IFERROR(INDEX(Recipes!$K$5:$K$204,MATCH(G237,Recipes!$A$5:$A$204,0)),"")*H237,""))</f>
        <v>0</v>
      </c>
      <c r="P237" s="8">
        <f>IF(OR(G237="",H237=""),"",IFERROR(IFERROR(INDEX(Recipes!$L$5:$L$204,MATCH(G237,Recipes!$A$5:$A$204,0)),"")*H237,""))</f>
        <v>0</v>
      </c>
      <c r="Q237" s="8">
        <f>IF(OR(G237="",H237=""),"",IFERROR(IFERROR(INDEX(Recipes!$Q$5:$Q$204,MATCH(G237,Recipes!$A$5:$A$204,0)),"")*H237,""))</f>
        <v>0</v>
      </c>
      <c r="R237" s="8">
        <f>IF(F237="","",Weekly_Budget/21)</f>
        <v>0</v>
      </c>
      <c r="S237" s="27"/>
      <c r="T237" s="27"/>
      <c r="U237" s="26"/>
      <c r="V237" s="7"/>
      <c r="W237" s="7"/>
      <c r="X237" s="26"/>
      <c r="Y237" s="8">
        <f>IF(G237="","",IF(COUNTIFS('Meal Prep'!$D$5:$D$124,G237)&gt;0,"Yes","No"))</f>
        <v>0</v>
      </c>
      <c r="Z237" s="8">
        <f>IF(G237="","",COUNTIFS('Recipe Ingredients'!$A$5:$A$1204,G237))</f>
        <v>0</v>
      </c>
      <c r="AA237" s="25"/>
      <c r="AB237" s="8">
        <f>IF(OR(B237="",Q237=""),"",COUNTIFS($B$5:$B$504,B237,$Q$5:$Q$504,"&gt;"&amp;Q237)+1)</f>
        <v>0</v>
      </c>
      <c r="AC237" s="8">
        <f>IF(OR(B237="",L237=""),"",COUNTIFS($B$5:$B$504,B237,$L$5:$L$504,"&gt;"&amp;L237)+1)</f>
        <v>0</v>
      </c>
      <c r="AD237" s="8">
        <f>IF(G237="","",IF(COUNTIFS($G$5:$G$504,G237)&gt;1,"Repeat","Once"))</f>
        <v>0</v>
      </c>
      <c r="AE237" s="8">
        <f>IF(G237="","",IF(IFERROR(INDEX(Recipes!$X$5:$X$204,MATCH(G237,Recipes!$A$5:$A$204,0)),"")="","",IFERROR(B237-IFERROR(INDEX(Recipes!$X$5:$X$204,MATCH(G237,Recipes!$A$5:$A$204,0)),""),"")))</f>
        <v>0</v>
      </c>
      <c r="AF237" s="8">
        <f>IF(G237="","",IF(AE237="","Yes",IF(AE237&gt;=Rotation_Gap_Days,"Yes","No")))</f>
        <v>0</v>
      </c>
      <c r="AG237" s="8">
        <f>IF(G237="","",IF(COUNTIFS('Recipe Ingredients'!$A$5:$A$1204,G237,'Recipe Ingredients'!$AC$5:$AC$1204,"Check")&gt;0,"Check","OK"))</f>
        <v>0</v>
      </c>
    </row>
    <row r="238" spans="1:33">
      <c r="A238" s="7"/>
      <c r="B238" s="30"/>
      <c r="C238" s="8">
        <f>IF(B238="","",B238-WEEKDAY(B238,2)+1)</f>
        <v>0</v>
      </c>
      <c r="D238" s="8">
        <f>IF(B238="","",TEXT(B238,"ddd"))</f>
        <v>0</v>
      </c>
      <c r="E238" s="8">
        <f>IF(B238="","",TEXT(B238,"mmm yyyy"))</f>
        <v>0</v>
      </c>
      <c r="F238" s="27"/>
      <c r="G238" s="7"/>
      <c r="H238" s="26"/>
      <c r="I238" s="8">
        <f>IF(G238="","",IFERROR(INDEX(Recipes!$D$5:$D$204,MATCH(G238,Recipes!$A$5:$A$204,0)),""))</f>
        <v>0</v>
      </c>
      <c r="J238" s="8">
        <f>IF(OR(G238="",H238="",I238="",I238=0),"",H238/I238)</f>
        <v>0</v>
      </c>
      <c r="K238" s="8">
        <f>IF(B238="","",Household_Size)</f>
        <v>0</v>
      </c>
      <c r="L238" s="8">
        <f>IF(OR(G238="",H238=""),"",IFERROR(IFERROR(INDEX(Recipes!$H$5:$H$204,MATCH(G238,Recipes!$A$5:$A$204,0)),"")*H238,""))</f>
        <v>0</v>
      </c>
      <c r="M238" s="8">
        <f>IF(OR(G238="",H238=""),"",IFERROR(IFERROR(INDEX(Recipes!$I$5:$I$204,MATCH(G238,Recipes!$A$5:$A$204,0)),"")*H238,""))</f>
        <v>0</v>
      </c>
      <c r="N238" s="8">
        <f>IF(OR(G238="",H238=""),"",IFERROR(IFERROR(INDEX(Recipes!$J$5:$J$204,MATCH(G238,Recipes!$A$5:$A$204,0)),"")*H238,""))</f>
        <v>0</v>
      </c>
      <c r="O238" s="8">
        <f>IF(OR(G238="",H238=""),"",IFERROR(IFERROR(INDEX(Recipes!$K$5:$K$204,MATCH(G238,Recipes!$A$5:$A$204,0)),"")*H238,""))</f>
        <v>0</v>
      </c>
      <c r="P238" s="8">
        <f>IF(OR(G238="",H238=""),"",IFERROR(IFERROR(INDEX(Recipes!$L$5:$L$204,MATCH(G238,Recipes!$A$5:$A$204,0)),"")*H238,""))</f>
        <v>0</v>
      </c>
      <c r="Q238" s="8">
        <f>IF(OR(G238="",H238=""),"",IFERROR(IFERROR(INDEX(Recipes!$Q$5:$Q$204,MATCH(G238,Recipes!$A$5:$A$204,0)),"")*H238,""))</f>
        <v>0</v>
      </c>
      <c r="R238" s="8">
        <f>IF(F238="","",Weekly_Budget/21)</f>
        <v>0</v>
      </c>
      <c r="S238" s="27"/>
      <c r="T238" s="27"/>
      <c r="U238" s="26"/>
      <c r="V238" s="7"/>
      <c r="W238" s="7"/>
      <c r="X238" s="26"/>
      <c r="Y238" s="8">
        <f>IF(G238="","",IF(COUNTIFS('Meal Prep'!$D$5:$D$124,G238)&gt;0,"Yes","No"))</f>
        <v>0</v>
      </c>
      <c r="Z238" s="8">
        <f>IF(G238="","",COUNTIFS('Recipe Ingredients'!$A$5:$A$1204,G238))</f>
        <v>0</v>
      </c>
      <c r="AA238" s="25"/>
      <c r="AB238" s="8">
        <f>IF(OR(B238="",Q238=""),"",COUNTIFS($B$5:$B$504,B238,$Q$5:$Q$504,"&gt;"&amp;Q238)+1)</f>
        <v>0</v>
      </c>
      <c r="AC238" s="8">
        <f>IF(OR(B238="",L238=""),"",COUNTIFS($B$5:$B$504,B238,$L$5:$L$504,"&gt;"&amp;L238)+1)</f>
        <v>0</v>
      </c>
      <c r="AD238" s="8">
        <f>IF(G238="","",IF(COUNTIFS($G$5:$G$504,G238)&gt;1,"Repeat","Once"))</f>
        <v>0</v>
      </c>
      <c r="AE238" s="8">
        <f>IF(G238="","",IF(IFERROR(INDEX(Recipes!$X$5:$X$204,MATCH(G238,Recipes!$A$5:$A$204,0)),"")="","",IFERROR(B238-IFERROR(INDEX(Recipes!$X$5:$X$204,MATCH(G238,Recipes!$A$5:$A$204,0)),""),"")))</f>
        <v>0</v>
      </c>
      <c r="AF238" s="8">
        <f>IF(G238="","",IF(AE238="","Yes",IF(AE238&gt;=Rotation_Gap_Days,"Yes","No")))</f>
        <v>0</v>
      </c>
      <c r="AG238" s="8">
        <f>IF(G238="","",IF(COUNTIFS('Recipe Ingredients'!$A$5:$A$1204,G238,'Recipe Ingredients'!$AC$5:$AC$1204,"Check")&gt;0,"Check","OK"))</f>
        <v>0</v>
      </c>
    </row>
    <row r="239" spans="1:33">
      <c r="A239" s="7"/>
      <c r="B239" s="30"/>
      <c r="C239" s="8">
        <f>IF(B239="","",B239-WEEKDAY(B239,2)+1)</f>
        <v>0</v>
      </c>
      <c r="D239" s="8">
        <f>IF(B239="","",TEXT(B239,"ddd"))</f>
        <v>0</v>
      </c>
      <c r="E239" s="8">
        <f>IF(B239="","",TEXT(B239,"mmm yyyy"))</f>
        <v>0</v>
      </c>
      <c r="F239" s="27"/>
      <c r="G239" s="7"/>
      <c r="H239" s="26"/>
      <c r="I239" s="8">
        <f>IF(G239="","",IFERROR(INDEX(Recipes!$D$5:$D$204,MATCH(G239,Recipes!$A$5:$A$204,0)),""))</f>
        <v>0</v>
      </c>
      <c r="J239" s="8">
        <f>IF(OR(G239="",H239="",I239="",I239=0),"",H239/I239)</f>
        <v>0</v>
      </c>
      <c r="K239" s="8">
        <f>IF(B239="","",Household_Size)</f>
        <v>0</v>
      </c>
      <c r="L239" s="8">
        <f>IF(OR(G239="",H239=""),"",IFERROR(IFERROR(INDEX(Recipes!$H$5:$H$204,MATCH(G239,Recipes!$A$5:$A$204,0)),"")*H239,""))</f>
        <v>0</v>
      </c>
      <c r="M239" s="8">
        <f>IF(OR(G239="",H239=""),"",IFERROR(IFERROR(INDEX(Recipes!$I$5:$I$204,MATCH(G239,Recipes!$A$5:$A$204,0)),"")*H239,""))</f>
        <v>0</v>
      </c>
      <c r="N239" s="8">
        <f>IF(OR(G239="",H239=""),"",IFERROR(IFERROR(INDEX(Recipes!$J$5:$J$204,MATCH(G239,Recipes!$A$5:$A$204,0)),"")*H239,""))</f>
        <v>0</v>
      </c>
      <c r="O239" s="8">
        <f>IF(OR(G239="",H239=""),"",IFERROR(IFERROR(INDEX(Recipes!$K$5:$K$204,MATCH(G239,Recipes!$A$5:$A$204,0)),"")*H239,""))</f>
        <v>0</v>
      </c>
      <c r="P239" s="8">
        <f>IF(OR(G239="",H239=""),"",IFERROR(IFERROR(INDEX(Recipes!$L$5:$L$204,MATCH(G239,Recipes!$A$5:$A$204,0)),"")*H239,""))</f>
        <v>0</v>
      </c>
      <c r="Q239" s="8">
        <f>IF(OR(G239="",H239=""),"",IFERROR(IFERROR(INDEX(Recipes!$Q$5:$Q$204,MATCH(G239,Recipes!$A$5:$A$204,0)),"")*H239,""))</f>
        <v>0</v>
      </c>
      <c r="R239" s="8">
        <f>IF(F239="","",Weekly_Budget/21)</f>
        <v>0</v>
      </c>
      <c r="S239" s="27"/>
      <c r="T239" s="27"/>
      <c r="U239" s="26"/>
      <c r="V239" s="7"/>
      <c r="W239" s="7"/>
      <c r="X239" s="26"/>
      <c r="Y239" s="8">
        <f>IF(G239="","",IF(COUNTIFS('Meal Prep'!$D$5:$D$124,G239)&gt;0,"Yes","No"))</f>
        <v>0</v>
      </c>
      <c r="Z239" s="8">
        <f>IF(G239="","",COUNTIFS('Recipe Ingredients'!$A$5:$A$1204,G239))</f>
        <v>0</v>
      </c>
      <c r="AA239" s="25"/>
      <c r="AB239" s="8">
        <f>IF(OR(B239="",Q239=""),"",COUNTIFS($B$5:$B$504,B239,$Q$5:$Q$504,"&gt;"&amp;Q239)+1)</f>
        <v>0</v>
      </c>
      <c r="AC239" s="8">
        <f>IF(OR(B239="",L239=""),"",COUNTIFS($B$5:$B$504,B239,$L$5:$L$504,"&gt;"&amp;L239)+1)</f>
        <v>0</v>
      </c>
      <c r="AD239" s="8">
        <f>IF(G239="","",IF(COUNTIFS($G$5:$G$504,G239)&gt;1,"Repeat","Once"))</f>
        <v>0</v>
      </c>
      <c r="AE239" s="8">
        <f>IF(G239="","",IF(IFERROR(INDEX(Recipes!$X$5:$X$204,MATCH(G239,Recipes!$A$5:$A$204,0)),"")="","",IFERROR(B239-IFERROR(INDEX(Recipes!$X$5:$X$204,MATCH(G239,Recipes!$A$5:$A$204,0)),""),"")))</f>
        <v>0</v>
      </c>
      <c r="AF239" s="8">
        <f>IF(G239="","",IF(AE239="","Yes",IF(AE239&gt;=Rotation_Gap_Days,"Yes","No")))</f>
        <v>0</v>
      </c>
      <c r="AG239" s="8">
        <f>IF(G239="","",IF(COUNTIFS('Recipe Ingredients'!$A$5:$A$1204,G239,'Recipe Ingredients'!$AC$5:$AC$1204,"Check")&gt;0,"Check","OK"))</f>
        <v>0</v>
      </c>
    </row>
    <row r="240" spans="1:33">
      <c r="A240" s="7"/>
      <c r="B240" s="30"/>
      <c r="C240" s="8">
        <f>IF(B240="","",B240-WEEKDAY(B240,2)+1)</f>
        <v>0</v>
      </c>
      <c r="D240" s="8">
        <f>IF(B240="","",TEXT(B240,"ddd"))</f>
        <v>0</v>
      </c>
      <c r="E240" s="8">
        <f>IF(B240="","",TEXT(B240,"mmm yyyy"))</f>
        <v>0</v>
      </c>
      <c r="F240" s="27"/>
      <c r="G240" s="7"/>
      <c r="H240" s="26"/>
      <c r="I240" s="8">
        <f>IF(G240="","",IFERROR(INDEX(Recipes!$D$5:$D$204,MATCH(G240,Recipes!$A$5:$A$204,0)),""))</f>
        <v>0</v>
      </c>
      <c r="J240" s="8">
        <f>IF(OR(G240="",H240="",I240="",I240=0),"",H240/I240)</f>
        <v>0</v>
      </c>
      <c r="K240" s="8">
        <f>IF(B240="","",Household_Size)</f>
        <v>0</v>
      </c>
      <c r="L240" s="8">
        <f>IF(OR(G240="",H240=""),"",IFERROR(IFERROR(INDEX(Recipes!$H$5:$H$204,MATCH(G240,Recipes!$A$5:$A$204,0)),"")*H240,""))</f>
        <v>0</v>
      </c>
      <c r="M240" s="8">
        <f>IF(OR(G240="",H240=""),"",IFERROR(IFERROR(INDEX(Recipes!$I$5:$I$204,MATCH(G240,Recipes!$A$5:$A$204,0)),"")*H240,""))</f>
        <v>0</v>
      </c>
      <c r="N240" s="8">
        <f>IF(OR(G240="",H240=""),"",IFERROR(IFERROR(INDEX(Recipes!$J$5:$J$204,MATCH(G240,Recipes!$A$5:$A$204,0)),"")*H240,""))</f>
        <v>0</v>
      </c>
      <c r="O240" s="8">
        <f>IF(OR(G240="",H240=""),"",IFERROR(IFERROR(INDEX(Recipes!$K$5:$K$204,MATCH(G240,Recipes!$A$5:$A$204,0)),"")*H240,""))</f>
        <v>0</v>
      </c>
      <c r="P240" s="8">
        <f>IF(OR(G240="",H240=""),"",IFERROR(IFERROR(INDEX(Recipes!$L$5:$L$204,MATCH(G240,Recipes!$A$5:$A$204,0)),"")*H240,""))</f>
        <v>0</v>
      </c>
      <c r="Q240" s="8">
        <f>IF(OR(G240="",H240=""),"",IFERROR(IFERROR(INDEX(Recipes!$Q$5:$Q$204,MATCH(G240,Recipes!$A$5:$A$204,0)),"")*H240,""))</f>
        <v>0</v>
      </c>
      <c r="R240" s="8">
        <f>IF(F240="","",Weekly_Budget/21)</f>
        <v>0</v>
      </c>
      <c r="S240" s="27"/>
      <c r="T240" s="27"/>
      <c r="U240" s="26"/>
      <c r="V240" s="7"/>
      <c r="W240" s="7"/>
      <c r="X240" s="26"/>
      <c r="Y240" s="8">
        <f>IF(G240="","",IF(COUNTIFS('Meal Prep'!$D$5:$D$124,G240)&gt;0,"Yes","No"))</f>
        <v>0</v>
      </c>
      <c r="Z240" s="8">
        <f>IF(G240="","",COUNTIFS('Recipe Ingredients'!$A$5:$A$1204,G240))</f>
        <v>0</v>
      </c>
      <c r="AA240" s="25"/>
      <c r="AB240" s="8">
        <f>IF(OR(B240="",Q240=""),"",COUNTIFS($B$5:$B$504,B240,$Q$5:$Q$504,"&gt;"&amp;Q240)+1)</f>
        <v>0</v>
      </c>
      <c r="AC240" s="8">
        <f>IF(OR(B240="",L240=""),"",COUNTIFS($B$5:$B$504,B240,$L$5:$L$504,"&gt;"&amp;L240)+1)</f>
        <v>0</v>
      </c>
      <c r="AD240" s="8">
        <f>IF(G240="","",IF(COUNTIFS($G$5:$G$504,G240)&gt;1,"Repeat","Once"))</f>
        <v>0</v>
      </c>
      <c r="AE240" s="8">
        <f>IF(G240="","",IF(IFERROR(INDEX(Recipes!$X$5:$X$204,MATCH(G240,Recipes!$A$5:$A$204,0)),"")="","",IFERROR(B240-IFERROR(INDEX(Recipes!$X$5:$X$204,MATCH(G240,Recipes!$A$5:$A$204,0)),""),"")))</f>
        <v>0</v>
      </c>
      <c r="AF240" s="8">
        <f>IF(G240="","",IF(AE240="","Yes",IF(AE240&gt;=Rotation_Gap_Days,"Yes","No")))</f>
        <v>0</v>
      </c>
      <c r="AG240" s="8">
        <f>IF(G240="","",IF(COUNTIFS('Recipe Ingredients'!$A$5:$A$1204,G240,'Recipe Ingredients'!$AC$5:$AC$1204,"Check")&gt;0,"Check","OK"))</f>
        <v>0</v>
      </c>
    </row>
    <row r="241" spans="1:33">
      <c r="A241" s="7"/>
      <c r="B241" s="30"/>
      <c r="C241" s="8">
        <f>IF(B241="","",B241-WEEKDAY(B241,2)+1)</f>
        <v>0</v>
      </c>
      <c r="D241" s="8">
        <f>IF(B241="","",TEXT(B241,"ddd"))</f>
        <v>0</v>
      </c>
      <c r="E241" s="8">
        <f>IF(B241="","",TEXT(B241,"mmm yyyy"))</f>
        <v>0</v>
      </c>
      <c r="F241" s="27"/>
      <c r="G241" s="7"/>
      <c r="H241" s="26"/>
      <c r="I241" s="8">
        <f>IF(G241="","",IFERROR(INDEX(Recipes!$D$5:$D$204,MATCH(G241,Recipes!$A$5:$A$204,0)),""))</f>
        <v>0</v>
      </c>
      <c r="J241" s="8">
        <f>IF(OR(G241="",H241="",I241="",I241=0),"",H241/I241)</f>
        <v>0</v>
      </c>
      <c r="K241" s="8">
        <f>IF(B241="","",Household_Size)</f>
        <v>0</v>
      </c>
      <c r="L241" s="8">
        <f>IF(OR(G241="",H241=""),"",IFERROR(IFERROR(INDEX(Recipes!$H$5:$H$204,MATCH(G241,Recipes!$A$5:$A$204,0)),"")*H241,""))</f>
        <v>0</v>
      </c>
      <c r="M241" s="8">
        <f>IF(OR(G241="",H241=""),"",IFERROR(IFERROR(INDEX(Recipes!$I$5:$I$204,MATCH(G241,Recipes!$A$5:$A$204,0)),"")*H241,""))</f>
        <v>0</v>
      </c>
      <c r="N241" s="8">
        <f>IF(OR(G241="",H241=""),"",IFERROR(IFERROR(INDEX(Recipes!$J$5:$J$204,MATCH(G241,Recipes!$A$5:$A$204,0)),"")*H241,""))</f>
        <v>0</v>
      </c>
      <c r="O241" s="8">
        <f>IF(OR(G241="",H241=""),"",IFERROR(IFERROR(INDEX(Recipes!$K$5:$K$204,MATCH(G241,Recipes!$A$5:$A$204,0)),"")*H241,""))</f>
        <v>0</v>
      </c>
      <c r="P241" s="8">
        <f>IF(OR(G241="",H241=""),"",IFERROR(IFERROR(INDEX(Recipes!$L$5:$L$204,MATCH(G241,Recipes!$A$5:$A$204,0)),"")*H241,""))</f>
        <v>0</v>
      </c>
      <c r="Q241" s="8">
        <f>IF(OR(G241="",H241=""),"",IFERROR(IFERROR(INDEX(Recipes!$Q$5:$Q$204,MATCH(G241,Recipes!$A$5:$A$204,0)),"")*H241,""))</f>
        <v>0</v>
      </c>
      <c r="R241" s="8">
        <f>IF(F241="","",Weekly_Budget/21)</f>
        <v>0</v>
      </c>
      <c r="S241" s="27"/>
      <c r="T241" s="27"/>
      <c r="U241" s="26"/>
      <c r="V241" s="7"/>
      <c r="W241" s="7"/>
      <c r="X241" s="26"/>
      <c r="Y241" s="8">
        <f>IF(G241="","",IF(COUNTIFS('Meal Prep'!$D$5:$D$124,G241)&gt;0,"Yes","No"))</f>
        <v>0</v>
      </c>
      <c r="Z241" s="8">
        <f>IF(G241="","",COUNTIFS('Recipe Ingredients'!$A$5:$A$1204,G241))</f>
        <v>0</v>
      </c>
      <c r="AA241" s="25"/>
      <c r="AB241" s="8">
        <f>IF(OR(B241="",Q241=""),"",COUNTIFS($B$5:$B$504,B241,$Q$5:$Q$504,"&gt;"&amp;Q241)+1)</f>
        <v>0</v>
      </c>
      <c r="AC241" s="8">
        <f>IF(OR(B241="",L241=""),"",COUNTIFS($B$5:$B$504,B241,$L$5:$L$504,"&gt;"&amp;L241)+1)</f>
        <v>0</v>
      </c>
      <c r="AD241" s="8">
        <f>IF(G241="","",IF(COUNTIFS($G$5:$G$504,G241)&gt;1,"Repeat","Once"))</f>
        <v>0</v>
      </c>
      <c r="AE241" s="8">
        <f>IF(G241="","",IF(IFERROR(INDEX(Recipes!$X$5:$X$204,MATCH(G241,Recipes!$A$5:$A$204,0)),"")="","",IFERROR(B241-IFERROR(INDEX(Recipes!$X$5:$X$204,MATCH(G241,Recipes!$A$5:$A$204,0)),""),"")))</f>
        <v>0</v>
      </c>
      <c r="AF241" s="8">
        <f>IF(G241="","",IF(AE241="","Yes",IF(AE241&gt;=Rotation_Gap_Days,"Yes","No")))</f>
        <v>0</v>
      </c>
      <c r="AG241" s="8">
        <f>IF(G241="","",IF(COUNTIFS('Recipe Ingredients'!$A$5:$A$1204,G241,'Recipe Ingredients'!$AC$5:$AC$1204,"Check")&gt;0,"Check","OK"))</f>
        <v>0</v>
      </c>
    </row>
    <row r="242" spans="1:33">
      <c r="A242" s="7"/>
      <c r="B242" s="30"/>
      <c r="C242" s="8">
        <f>IF(B242="","",B242-WEEKDAY(B242,2)+1)</f>
        <v>0</v>
      </c>
      <c r="D242" s="8">
        <f>IF(B242="","",TEXT(B242,"ddd"))</f>
        <v>0</v>
      </c>
      <c r="E242" s="8">
        <f>IF(B242="","",TEXT(B242,"mmm yyyy"))</f>
        <v>0</v>
      </c>
      <c r="F242" s="27"/>
      <c r="G242" s="7"/>
      <c r="H242" s="26"/>
      <c r="I242" s="8">
        <f>IF(G242="","",IFERROR(INDEX(Recipes!$D$5:$D$204,MATCH(G242,Recipes!$A$5:$A$204,0)),""))</f>
        <v>0</v>
      </c>
      <c r="J242" s="8">
        <f>IF(OR(G242="",H242="",I242="",I242=0),"",H242/I242)</f>
        <v>0</v>
      </c>
      <c r="K242" s="8">
        <f>IF(B242="","",Household_Size)</f>
        <v>0</v>
      </c>
      <c r="L242" s="8">
        <f>IF(OR(G242="",H242=""),"",IFERROR(IFERROR(INDEX(Recipes!$H$5:$H$204,MATCH(G242,Recipes!$A$5:$A$204,0)),"")*H242,""))</f>
        <v>0</v>
      </c>
      <c r="M242" s="8">
        <f>IF(OR(G242="",H242=""),"",IFERROR(IFERROR(INDEX(Recipes!$I$5:$I$204,MATCH(G242,Recipes!$A$5:$A$204,0)),"")*H242,""))</f>
        <v>0</v>
      </c>
      <c r="N242" s="8">
        <f>IF(OR(G242="",H242=""),"",IFERROR(IFERROR(INDEX(Recipes!$J$5:$J$204,MATCH(G242,Recipes!$A$5:$A$204,0)),"")*H242,""))</f>
        <v>0</v>
      </c>
      <c r="O242" s="8">
        <f>IF(OR(G242="",H242=""),"",IFERROR(IFERROR(INDEX(Recipes!$K$5:$K$204,MATCH(G242,Recipes!$A$5:$A$204,0)),"")*H242,""))</f>
        <v>0</v>
      </c>
      <c r="P242" s="8">
        <f>IF(OR(G242="",H242=""),"",IFERROR(IFERROR(INDEX(Recipes!$L$5:$L$204,MATCH(G242,Recipes!$A$5:$A$204,0)),"")*H242,""))</f>
        <v>0</v>
      </c>
      <c r="Q242" s="8">
        <f>IF(OR(G242="",H242=""),"",IFERROR(IFERROR(INDEX(Recipes!$Q$5:$Q$204,MATCH(G242,Recipes!$A$5:$A$204,0)),"")*H242,""))</f>
        <v>0</v>
      </c>
      <c r="R242" s="8">
        <f>IF(F242="","",Weekly_Budget/21)</f>
        <v>0</v>
      </c>
      <c r="S242" s="27"/>
      <c r="T242" s="27"/>
      <c r="U242" s="26"/>
      <c r="V242" s="7"/>
      <c r="W242" s="7"/>
      <c r="X242" s="26"/>
      <c r="Y242" s="8">
        <f>IF(G242="","",IF(COUNTIFS('Meal Prep'!$D$5:$D$124,G242)&gt;0,"Yes","No"))</f>
        <v>0</v>
      </c>
      <c r="Z242" s="8">
        <f>IF(G242="","",COUNTIFS('Recipe Ingredients'!$A$5:$A$1204,G242))</f>
        <v>0</v>
      </c>
      <c r="AA242" s="25"/>
      <c r="AB242" s="8">
        <f>IF(OR(B242="",Q242=""),"",COUNTIFS($B$5:$B$504,B242,$Q$5:$Q$504,"&gt;"&amp;Q242)+1)</f>
        <v>0</v>
      </c>
      <c r="AC242" s="8">
        <f>IF(OR(B242="",L242=""),"",COUNTIFS($B$5:$B$504,B242,$L$5:$L$504,"&gt;"&amp;L242)+1)</f>
        <v>0</v>
      </c>
      <c r="AD242" s="8">
        <f>IF(G242="","",IF(COUNTIFS($G$5:$G$504,G242)&gt;1,"Repeat","Once"))</f>
        <v>0</v>
      </c>
      <c r="AE242" s="8">
        <f>IF(G242="","",IF(IFERROR(INDEX(Recipes!$X$5:$X$204,MATCH(G242,Recipes!$A$5:$A$204,0)),"")="","",IFERROR(B242-IFERROR(INDEX(Recipes!$X$5:$X$204,MATCH(G242,Recipes!$A$5:$A$204,0)),""),"")))</f>
        <v>0</v>
      </c>
      <c r="AF242" s="8">
        <f>IF(G242="","",IF(AE242="","Yes",IF(AE242&gt;=Rotation_Gap_Days,"Yes","No")))</f>
        <v>0</v>
      </c>
      <c r="AG242" s="8">
        <f>IF(G242="","",IF(COUNTIFS('Recipe Ingredients'!$A$5:$A$1204,G242,'Recipe Ingredients'!$AC$5:$AC$1204,"Check")&gt;0,"Check","OK"))</f>
        <v>0</v>
      </c>
    </row>
    <row r="243" spans="1:33">
      <c r="A243" s="7"/>
      <c r="B243" s="30"/>
      <c r="C243" s="8">
        <f>IF(B243="","",B243-WEEKDAY(B243,2)+1)</f>
        <v>0</v>
      </c>
      <c r="D243" s="8">
        <f>IF(B243="","",TEXT(B243,"ddd"))</f>
        <v>0</v>
      </c>
      <c r="E243" s="8">
        <f>IF(B243="","",TEXT(B243,"mmm yyyy"))</f>
        <v>0</v>
      </c>
      <c r="F243" s="27"/>
      <c r="G243" s="7"/>
      <c r="H243" s="26"/>
      <c r="I243" s="8">
        <f>IF(G243="","",IFERROR(INDEX(Recipes!$D$5:$D$204,MATCH(G243,Recipes!$A$5:$A$204,0)),""))</f>
        <v>0</v>
      </c>
      <c r="J243" s="8">
        <f>IF(OR(G243="",H243="",I243="",I243=0),"",H243/I243)</f>
        <v>0</v>
      </c>
      <c r="K243" s="8">
        <f>IF(B243="","",Household_Size)</f>
        <v>0</v>
      </c>
      <c r="L243" s="8">
        <f>IF(OR(G243="",H243=""),"",IFERROR(IFERROR(INDEX(Recipes!$H$5:$H$204,MATCH(G243,Recipes!$A$5:$A$204,0)),"")*H243,""))</f>
        <v>0</v>
      </c>
      <c r="M243" s="8">
        <f>IF(OR(G243="",H243=""),"",IFERROR(IFERROR(INDEX(Recipes!$I$5:$I$204,MATCH(G243,Recipes!$A$5:$A$204,0)),"")*H243,""))</f>
        <v>0</v>
      </c>
      <c r="N243" s="8">
        <f>IF(OR(G243="",H243=""),"",IFERROR(IFERROR(INDEX(Recipes!$J$5:$J$204,MATCH(G243,Recipes!$A$5:$A$204,0)),"")*H243,""))</f>
        <v>0</v>
      </c>
      <c r="O243" s="8">
        <f>IF(OR(G243="",H243=""),"",IFERROR(IFERROR(INDEX(Recipes!$K$5:$K$204,MATCH(G243,Recipes!$A$5:$A$204,0)),"")*H243,""))</f>
        <v>0</v>
      </c>
      <c r="P243" s="8">
        <f>IF(OR(G243="",H243=""),"",IFERROR(IFERROR(INDEX(Recipes!$L$5:$L$204,MATCH(G243,Recipes!$A$5:$A$204,0)),"")*H243,""))</f>
        <v>0</v>
      </c>
      <c r="Q243" s="8">
        <f>IF(OR(G243="",H243=""),"",IFERROR(IFERROR(INDEX(Recipes!$Q$5:$Q$204,MATCH(G243,Recipes!$A$5:$A$204,0)),"")*H243,""))</f>
        <v>0</v>
      </c>
      <c r="R243" s="8">
        <f>IF(F243="","",Weekly_Budget/21)</f>
        <v>0</v>
      </c>
      <c r="S243" s="27"/>
      <c r="T243" s="27"/>
      <c r="U243" s="26"/>
      <c r="V243" s="7"/>
      <c r="W243" s="7"/>
      <c r="X243" s="26"/>
      <c r="Y243" s="8">
        <f>IF(G243="","",IF(COUNTIFS('Meal Prep'!$D$5:$D$124,G243)&gt;0,"Yes","No"))</f>
        <v>0</v>
      </c>
      <c r="Z243" s="8">
        <f>IF(G243="","",COUNTIFS('Recipe Ingredients'!$A$5:$A$1204,G243))</f>
        <v>0</v>
      </c>
      <c r="AA243" s="25"/>
      <c r="AB243" s="8">
        <f>IF(OR(B243="",Q243=""),"",COUNTIFS($B$5:$B$504,B243,$Q$5:$Q$504,"&gt;"&amp;Q243)+1)</f>
        <v>0</v>
      </c>
      <c r="AC243" s="8">
        <f>IF(OR(B243="",L243=""),"",COUNTIFS($B$5:$B$504,B243,$L$5:$L$504,"&gt;"&amp;L243)+1)</f>
        <v>0</v>
      </c>
      <c r="AD243" s="8">
        <f>IF(G243="","",IF(COUNTIFS($G$5:$G$504,G243)&gt;1,"Repeat","Once"))</f>
        <v>0</v>
      </c>
      <c r="AE243" s="8">
        <f>IF(G243="","",IF(IFERROR(INDEX(Recipes!$X$5:$X$204,MATCH(G243,Recipes!$A$5:$A$204,0)),"")="","",IFERROR(B243-IFERROR(INDEX(Recipes!$X$5:$X$204,MATCH(G243,Recipes!$A$5:$A$204,0)),""),"")))</f>
        <v>0</v>
      </c>
      <c r="AF243" s="8">
        <f>IF(G243="","",IF(AE243="","Yes",IF(AE243&gt;=Rotation_Gap_Days,"Yes","No")))</f>
        <v>0</v>
      </c>
      <c r="AG243" s="8">
        <f>IF(G243="","",IF(COUNTIFS('Recipe Ingredients'!$A$5:$A$1204,G243,'Recipe Ingredients'!$AC$5:$AC$1204,"Check")&gt;0,"Check","OK"))</f>
        <v>0</v>
      </c>
    </row>
    <row r="244" spans="1:33">
      <c r="A244" s="7"/>
      <c r="B244" s="30"/>
      <c r="C244" s="8">
        <f>IF(B244="","",B244-WEEKDAY(B244,2)+1)</f>
        <v>0</v>
      </c>
      <c r="D244" s="8">
        <f>IF(B244="","",TEXT(B244,"ddd"))</f>
        <v>0</v>
      </c>
      <c r="E244" s="8">
        <f>IF(B244="","",TEXT(B244,"mmm yyyy"))</f>
        <v>0</v>
      </c>
      <c r="F244" s="27"/>
      <c r="G244" s="7"/>
      <c r="H244" s="26"/>
      <c r="I244" s="8">
        <f>IF(G244="","",IFERROR(INDEX(Recipes!$D$5:$D$204,MATCH(G244,Recipes!$A$5:$A$204,0)),""))</f>
        <v>0</v>
      </c>
      <c r="J244" s="8">
        <f>IF(OR(G244="",H244="",I244="",I244=0),"",H244/I244)</f>
        <v>0</v>
      </c>
      <c r="K244" s="8">
        <f>IF(B244="","",Household_Size)</f>
        <v>0</v>
      </c>
      <c r="L244" s="8">
        <f>IF(OR(G244="",H244=""),"",IFERROR(IFERROR(INDEX(Recipes!$H$5:$H$204,MATCH(G244,Recipes!$A$5:$A$204,0)),"")*H244,""))</f>
        <v>0</v>
      </c>
      <c r="M244" s="8">
        <f>IF(OR(G244="",H244=""),"",IFERROR(IFERROR(INDEX(Recipes!$I$5:$I$204,MATCH(G244,Recipes!$A$5:$A$204,0)),"")*H244,""))</f>
        <v>0</v>
      </c>
      <c r="N244" s="8">
        <f>IF(OR(G244="",H244=""),"",IFERROR(IFERROR(INDEX(Recipes!$J$5:$J$204,MATCH(G244,Recipes!$A$5:$A$204,0)),"")*H244,""))</f>
        <v>0</v>
      </c>
      <c r="O244" s="8">
        <f>IF(OR(G244="",H244=""),"",IFERROR(IFERROR(INDEX(Recipes!$K$5:$K$204,MATCH(G244,Recipes!$A$5:$A$204,0)),"")*H244,""))</f>
        <v>0</v>
      </c>
      <c r="P244" s="8">
        <f>IF(OR(G244="",H244=""),"",IFERROR(IFERROR(INDEX(Recipes!$L$5:$L$204,MATCH(G244,Recipes!$A$5:$A$204,0)),"")*H244,""))</f>
        <v>0</v>
      </c>
      <c r="Q244" s="8">
        <f>IF(OR(G244="",H244=""),"",IFERROR(IFERROR(INDEX(Recipes!$Q$5:$Q$204,MATCH(G244,Recipes!$A$5:$A$204,0)),"")*H244,""))</f>
        <v>0</v>
      </c>
      <c r="R244" s="8">
        <f>IF(F244="","",Weekly_Budget/21)</f>
        <v>0</v>
      </c>
      <c r="S244" s="27"/>
      <c r="T244" s="27"/>
      <c r="U244" s="26"/>
      <c r="V244" s="7"/>
      <c r="W244" s="7"/>
      <c r="X244" s="26"/>
      <c r="Y244" s="8">
        <f>IF(G244="","",IF(COUNTIFS('Meal Prep'!$D$5:$D$124,G244)&gt;0,"Yes","No"))</f>
        <v>0</v>
      </c>
      <c r="Z244" s="8">
        <f>IF(G244="","",COUNTIFS('Recipe Ingredients'!$A$5:$A$1204,G244))</f>
        <v>0</v>
      </c>
      <c r="AA244" s="25"/>
      <c r="AB244" s="8">
        <f>IF(OR(B244="",Q244=""),"",COUNTIFS($B$5:$B$504,B244,$Q$5:$Q$504,"&gt;"&amp;Q244)+1)</f>
        <v>0</v>
      </c>
      <c r="AC244" s="8">
        <f>IF(OR(B244="",L244=""),"",COUNTIFS($B$5:$B$504,B244,$L$5:$L$504,"&gt;"&amp;L244)+1)</f>
        <v>0</v>
      </c>
      <c r="AD244" s="8">
        <f>IF(G244="","",IF(COUNTIFS($G$5:$G$504,G244)&gt;1,"Repeat","Once"))</f>
        <v>0</v>
      </c>
      <c r="AE244" s="8">
        <f>IF(G244="","",IF(IFERROR(INDEX(Recipes!$X$5:$X$204,MATCH(G244,Recipes!$A$5:$A$204,0)),"")="","",IFERROR(B244-IFERROR(INDEX(Recipes!$X$5:$X$204,MATCH(G244,Recipes!$A$5:$A$204,0)),""),"")))</f>
        <v>0</v>
      </c>
      <c r="AF244" s="8">
        <f>IF(G244="","",IF(AE244="","Yes",IF(AE244&gt;=Rotation_Gap_Days,"Yes","No")))</f>
        <v>0</v>
      </c>
      <c r="AG244" s="8">
        <f>IF(G244="","",IF(COUNTIFS('Recipe Ingredients'!$A$5:$A$1204,G244,'Recipe Ingredients'!$AC$5:$AC$1204,"Check")&gt;0,"Check","OK"))</f>
        <v>0</v>
      </c>
    </row>
    <row r="245" spans="1:33">
      <c r="A245" s="7"/>
      <c r="B245" s="30"/>
      <c r="C245" s="8">
        <f>IF(B245="","",B245-WEEKDAY(B245,2)+1)</f>
        <v>0</v>
      </c>
      <c r="D245" s="8">
        <f>IF(B245="","",TEXT(B245,"ddd"))</f>
        <v>0</v>
      </c>
      <c r="E245" s="8">
        <f>IF(B245="","",TEXT(B245,"mmm yyyy"))</f>
        <v>0</v>
      </c>
      <c r="F245" s="27"/>
      <c r="G245" s="7"/>
      <c r="H245" s="26"/>
      <c r="I245" s="8">
        <f>IF(G245="","",IFERROR(INDEX(Recipes!$D$5:$D$204,MATCH(G245,Recipes!$A$5:$A$204,0)),""))</f>
        <v>0</v>
      </c>
      <c r="J245" s="8">
        <f>IF(OR(G245="",H245="",I245="",I245=0),"",H245/I245)</f>
        <v>0</v>
      </c>
      <c r="K245" s="8">
        <f>IF(B245="","",Household_Size)</f>
        <v>0</v>
      </c>
      <c r="L245" s="8">
        <f>IF(OR(G245="",H245=""),"",IFERROR(IFERROR(INDEX(Recipes!$H$5:$H$204,MATCH(G245,Recipes!$A$5:$A$204,0)),"")*H245,""))</f>
        <v>0</v>
      </c>
      <c r="M245" s="8">
        <f>IF(OR(G245="",H245=""),"",IFERROR(IFERROR(INDEX(Recipes!$I$5:$I$204,MATCH(G245,Recipes!$A$5:$A$204,0)),"")*H245,""))</f>
        <v>0</v>
      </c>
      <c r="N245" s="8">
        <f>IF(OR(G245="",H245=""),"",IFERROR(IFERROR(INDEX(Recipes!$J$5:$J$204,MATCH(G245,Recipes!$A$5:$A$204,0)),"")*H245,""))</f>
        <v>0</v>
      </c>
      <c r="O245" s="8">
        <f>IF(OR(G245="",H245=""),"",IFERROR(IFERROR(INDEX(Recipes!$K$5:$K$204,MATCH(G245,Recipes!$A$5:$A$204,0)),"")*H245,""))</f>
        <v>0</v>
      </c>
      <c r="P245" s="8">
        <f>IF(OR(G245="",H245=""),"",IFERROR(IFERROR(INDEX(Recipes!$L$5:$L$204,MATCH(G245,Recipes!$A$5:$A$204,0)),"")*H245,""))</f>
        <v>0</v>
      </c>
      <c r="Q245" s="8">
        <f>IF(OR(G245="",H245=""),"",IFERROR(IFERROR(INDEX(Recipes!$Q$5:$Q$204,MATCH(G245,Recipes!$A$5:$A$204,0)),"")*H245,""))</f>
        <v>0</v>
      </c>
      <c r="R245" s="8">
        <f>IF(F245="","",Weekly_Budget/21)</f>
        <v>0</v>
      </c>
      <c r="S245" s="27"/>
      <c r="T245" s="27"/>
      <c r="U245" s="26"/>
      <c r="V245" s="7"/>
      <c r="W245" s="7"/>
      <c r="X245" s="26"/>
      <c r="Y245" s="8">
        <f>IF(G245="","",IF(COUNTIFS('Meal Prep'!$D$5:$D$124,G245)&gt;0,"Yes","No"))</f>
        <v>0</v>
      </c>
      <c r="Z245" s="8">
        <f>IF(G245="","",COUNTIFS('Recipe Ingredients'!$A$5:$A$1204,G245))</f>
        <v>0</v>
      </c>
      <c r="AA245" s="25"/>
      <c r="AB245" s="8">
        <f>IF(OR(B245="",Q245=""),"",COUNTIFS($B$5:$B$504,B245,$Q$5:$Q$504,"&gt;"&amp;Q245)+1)</f>
        <v>0</v>
      </c>
      <c r="AC245" s="8">
        <f>IF(OR(B245="",L245=""),"",COUNTIFS($B$5:$B$504,B245,$L$5:$L$504,"&gt;"&amp;L245)+1)</f>
        <v>0</v>
      </c>
      <c r="AD245" s="8">
        <f>IF(G245="","",IF(COUNTIFS($G$5:$G$504,G245)&gt;1,"Repeat","Once"))</f>
        <v>0</v>
      </c>
      <c r="AE245" s="8">
        <f>IF(G245="","",IF(IFERROR(INDEX(Recipes!$X$5:$X$204,MATCH(G245,Recipes!$A$5:$A$204,0)),"")="","",IFERROR(B245-IFERROR(INDEX(Recipes!$X$5:$X$204,MATCH(G245,Recipes!$A$5:$A$204,0)),""),"")))</f>
        <v>0</v>
      </c>
      <c r="AF245" s="8">
        <f>IF(G245="","",IF(AE245="","Yes",IF(AE245&gt;=Rotation_Gap_Days,"Yes","No")))</f>
        <v>0</v>
      </c>
      <c r="AG245" s="8">
        <f>IF(G245="","",IF(COUNTIFS('Recipe Ingredients'!$A$5:$A$1204,G245,'Recipe Ingredients'!$AC$5:$AC$1204,"Check")&gt;0,"Check","OK"))</f>
        <v>0</v>
      </c>
    </row>
    <row r="246" spans="1:33">
      <c r="A246" s="7"/>
      <c r="B246" s="30"/>
      <c r="C246" s="8">
        <f>IF(B246="","",B246-WEEKDAY(B246,2)+1)</f>
        <v>0</v>
      </c>
      <c r="D246" s="8">
        <f>IF(B246="","",TEXT(B246,"ddd"))</f>
        <v>0</v>
      </c>
      <c r="E246" s="8">
        <f>IF(B246="","",TEXT(B246,"mmm yyyy"))</f>
        <v>0</v>
      </c>
      <c r="F246" s="27"/>
      <c r="G246" s="7"/>
      <c r="H246" s="26"/>
      <c r="I246" s="8">
        <f>IF(G246="","",IFERROR(INDEX(Recipes!$D$5:$D$204,MATCH(G246,Recipes!$A$5:$A$204,0)),""))</f>
        <v>0</v>
      </c>
      <c r="J246" s="8">
        <f>IF(OR(G246="",H246="",I246="",I246=0),"",H246/I246)</f>
        <v>0</v>
      </c>
      <c r="K246" s="8">
        <f>IF(B246="","",Household_Size)</f>
        <v>0</v>
      </c>
      <c r="L246" s="8">
        <f>IF(OR(G246="",H246=""),"",IFERROR(IFERROR(INDEX(Recipes!$H$5:$H$204,MATCH(G246,Recipes!$A$5:$A$204,0)),"")*H246,""))</f>
        <v>0</v>
      </c>
      <c r="M246" s="8">
        <f>IF(OR(G246="",H246=""),"",IFERROR(IFERROR(INDEX(Recipes!$I$5:$I$204,MATCH(G246,Recipes!$A$5:$A$204,0)),"")*H246,""))</f>
        <v>0</v>
      </c>
      <c r="N246" s="8">
        <f>IF(OR(G246="",H246=""),"",IFERROR(IFERROR(INDEX(Recipes!$J$5:$J$204,MATCH(G246,Recipes!$A$5:$A$204,0)),"")*H246,""))</f>
        <v>0</v>
      </c>
      <c r="O246" s="8">
        <f>IF(OR(G246="",H246=""),"",IFERROR(IFERROR(INDEX(Recipes!$K$5:$K$204,MATCH(G246,Recipes!$A$5:$A$204,0)),"")*H246,""))</f>
        <v>0</v>
      </c>
      <c r="P246" s="8">
        <f>IF(OR(G246="",H246=""),"",IFERROR(IFERROR(INDEX(Recipes!$L$5:$L$204,MATCH(G246,Recipes!$A$5:$A$204,0)),"")*H246,""))</f>
        <v>0</v>
      </c>
      <c r="Q246" s="8">
        <f>IF(OR(G246="",H246=""),"",IFERROR(IFERROR(INDEX(Recipes!$Q$5:$Q$204,MATCH(G246,Recipes!$A$5:$A$204,0)),"")*H246,""))</f>
        <v>0</v>
      </c>
      <c r="R246" s="8">
        <f>IF(F246="","",Weekly_Budget/21)</f>
        <v>0</v>
      </c>
      <c r="S246" s="27"/>
      <c r="T246" s="27"/>
      <c r="U246" s="26"/>
      <c r="V246" s="7"/>
      <c r="W246" s="7"/>
      <c r="X246" s="26"/>
      <c r="Y246" s="8">
        <f>IF(G246="","",IF(COUNTIFS('Meal Prep'!$D$5:$D$124,G246)&gt;0,"Yes","No"))</f>
        <v>0</v>
      </c>
      <c r="Z246" s="8">
        <f>IF(G246="","",COUNTIFS('Recipe Ingredients'!$A$5:$A$1204,G246))</f>
        <v>0</v>
      </c>
      <c r="AA246" s="25"/>
      <c r="AB246" s="8">
        <f>IF(OR(B246="",Q246=""),"",COUNTIFS($B$5:$B$504,B246,$Q$5:$Q$504,"&gt;"&amp;Q246)+1)</f>
        <v>0</v>
      </c>
      <c r="AC246" s="8">
        <f>IF(OR(B246="",L246=""),"",COUNTIFS($B$5:$B$504,B246,$L$5:$L$504,"&gt;"&amp;L246)+1)</f>
        <v>0</v>
      </c>
      <c r="AD246" s="8">
        <f>IF(G246="","",IF(COUNTIFS($G$5:$G$504,G246)&gt;1,"Repeat","Once"))</f>
        <v>0</v>
      </c>
      <c r="AE246" s="8">
        <f>IF(G246="","",IF(IFERROR(INDEX(Recipes!$X$5:$X$204,MATCH(G246,Recipes!$A$5:$A$204,0)),"")="","",IFERROR(B246-IFERROR(INDEX(Recipes!$X$5:$X$204,MATCH(G246,Recipes!$A$5:$A$204,0)),""),"")))</f>
        <v>0</v>
      </c>
      <c r="AF246" s="8">
        <f>IF(G246="","",IF(AE246="","Yes",IF(AE246&gt;=Rotation_Gap_Days,"Yes","No")))</f>
        <v>0</v>
      </c>
      <c r="AG246" s="8">
        <f>IF(G246="","",IF(COUNTIFS('Recipe Ingredients'!$A$5:$A$1204,G246,'Recipe Ingredients'!$AC$5:$AC$1204,"Check")&gt;0,"Check","OK"))</f>
        <v>0</v>
      </c>
    </row>
    <row r="247" spans="1:33">
      <c r="A247" s="7"/>
      <c r="B247" s="30"/>
      <c r="C247" s="8">
        <f>IF(B247="","",B247-WEEKDAY(B247,2)+1)</f>
        <v>0</v>
      </c>
      <c r="D247" s="8">
        <f>IF(B247="","",TEXT(B247,"ddd"))</f>
        <v>0</v>
      </c>
      <c r="E247" s="8">
        <f>IF(B247="","",TEXT(B247,"mmm yyyy"))</f>
        <v>0</v>
      </c>
      <c r="F247" s="27"/>
      <c r="G247" s="7"/>
      <c r="H247" s="26"/>
      <c r="I247" s="8">
        <f>IF(G247="","",IFERROR(INDEX(Recipes!$D$5:$D$204,MATCH(G247,Recipes!$A$5:$A$204,0)),""))</f>
        <v>0</v>
      </c>
      <c r="J247" s="8">
        <f>IF(OR(G247="",H247="",I247="",I247=0),"",H247/I247)</f>
        <v>0</v>
      </c>
      <c r="K247" s="8">
        <f>IF(B247="","",Household_Size)</f>
        <v>0</v>
      </c>
      <c r="L247" s="8">
        <f>IF(OR(G247="",H247=""),"",IFERROR(IFERROR(INDEX(Recipes!$H$5:$H$204,MATCH(G247,Recipes!$A$5:$A$204,0)),"")*H247,""))</f>
        <v>0</v>
      </c>
      <c r="M247" s="8">
        <f>IF(OR(G247="",H247=""),"",IFERROR(IFERROR(INDEX(Recipes!$I$5:$I$204,MATCH(G247,Recipes!$A$5:$A$204,0)),"")*H247,""))</f>
        <v>0</v>
      </c>
      <c r="N247" s="8">
        <f>IF(OR(G247="",H247=""),"",IFERROR(IFERROR(INDEX(Recipes!$J$5:$J$204,MATCH(G247,Recipes!$A$5:$A$204,0)),"")*H247,""))</f>
        <v>0</v>
      </c>
      <c r="O247" s="8">
        <f>IF(OR(G247="",H247=""),"",IFERROR(IFERROR(INDEX(Recipes!$K$5:$K$204,MATCH(G247,Recipes!$A$5:$A$204,0)),"")*H247,""))</f>
        <v>0</v>
      </c>
      <c r="P247" s="8">
        <f>IF(OR(G247="",H247=""),"",IFERROR(IFERROR(INDEX(Recipes!$L$5:$L$204,MATCH(G247,Recipes!$A$5:$A$204,0)),"")*H247,""))</f>
        <v>0</v>
      </c>
      <c r="Q247" s="8">
        <f>IF(OR(G247="",H247=""),"",IFERROR(IFERROR(INDEX(Recipes!$Q$5:$Q$204,MATCH(G247,Recipes!$A$5:$A$204,0)),"")*H247,""))</f>
        <v>0</v>
      </c>
      <c r="R247" s="8">
        <f>IF(F247="","",Weekly_Budget/21)</f>
        <v>0</v>
      </c>
      <c r="S247" s="27"/>
      <c r="T247" s="27"/>
      <c r="U247" s="26"/>
      <c r="V247" s="7"/>
      <c r="W247" s="7"/>
      <c r="X247" s="26"/>
      <c r="Y247" s="8">
        <f>IF(G247="","",IF(COUNTIFS('Meal Prep'!$D$5:$D$124,G247)&gt;0,"Yes","No"))</f>
        <v>0</v>
      </c>
      <c r="Z247" s="8">
        <f>IF(G247="","",COUNTIFS('Recipe Ingredients'!$A$5:$A$1204,G247))</f>
        <v>0</v>
      </c>
      <c r="AA247" s="25"/>
      <c r="AB247" s="8">
        <f>IF(OR(B247="",Q247=""),"",COUNTIFS($B$5:$B$504,B247,$Q$5:$Q$504,"&gt;"&amp;Q247)+1)</f>
        <v>0</v>
      </c>
      <c r="AC247" s="8">
        <f>IF(OR(B247="",L247=""),"",COUNTIFS($B$5:$B$504,B247,$L$5:$L$504,"&gt;"&amp;L247)+1)</f>
        <v>0</v>
      </c>
      <c r="AD247" s="8">
        <f>IF(G247="","",IF(COUNTIFS($G$5:$G$504,G247)&gt;1,"Repeat","Once"))</f>
        <v>0</v>
      </c>
      <c r="AE247" s="8">
        <f>IF(G247="","",IF(IFERROR(INDEX(Recipes!$X$5:$X$204,MATCH(G247,Recipes!$A$5:$A$204,0)),"")="","",IFERROR(B247-IFERROR(INDEX(Recipes!$X$5:$X$204,MATCH(G247,Recipes!$A$5:$A$204,0)),""),"")))</f>
        <v>0</v>
      </c>
      <c r="AF247" s="8">
        <f>IF(G247="","",IF(AE247="","Yes",IF(AE247&gt;=Rotation_Gap_Days,"Yes","No")))</f>
        <v>0</v>
      </c>
      <c r="AG247" s="8">
        <f>IF(G247="","",IF(COUNTIFS('Recipe Ingredients'!$A$5:$A$1204,G247,'Recipe Ingredients'!$AC$5:$AC$1204,"Check")&gt;0,"Check","OK"))</f>
        <v>0</v>
      </c>
    </row>
    <row r="248" spans="1:33">
      <c r="A248" s="7"/>
      <c r="B248" s="30"/>
      <c r="C248" s="8">
        <f>IF(B248="","",B248-WEEKDAY(B248,2)+1)</f>
        <v>0</v>
      </c>
      <c r="D248" s="8">
        <f>IF(B248="","",TEXT(B248,"ddd"))</f>
        <v>0</v>
      </c>
      <c r="E248" s="8">
        <f>IF(B248="","",TEXT(B248,"mmm yyyy"))</f>
        <v>0</v>
      </c>
      <c r="F248" s="27"/>
      <c r="G248" s="7"/>
      <c r="H248" s="26"/>
      <c r="I248" s="8">
        <f>IF(G248="","",IFERROR(INDEX(Recipes!$D$5:$D$204,MATCH(G248,Recipes!$A$5:$A$204,0)),""))</f>
        <v>0</v>
      </c>
      <c r="J248" s="8">
        <f>IF(OR(G248="",H248="",I248="",I248=0),"",H248/I248)</f>
        <v>0</v>
      </c>
      <c r="K248" s="8">
        <f>IF(B248="","",Household_Size)</f>
        <v>0</v>
      </c>
      <c r="L248" s="8">
        <f>IF(OR(G248="",H248=""),"",IFERROR(IFERROR(INDEX(Recipes!$H$5:$H$204,MATCH(G248,Recipes!$A$5:$A$204,0)),"")*H248,""))</f>
        <v>0</v>
      </c>
      <c r="M248" s="8">
        <f>IF(OR(G248="",H248=""),"",IFERROR(IFERROR(INDEX(Recipes!$I$5:$I$204,MATCH(G248,Recipes!$A$5:$A$204,0)),"")*H248,""))</f>
        <v>0</v>
      </c>
      <c r="N248" s="8">
        <f>IF(OR(G248="",H248=""),"",IFERROR(IFERROR(INDEX(Recipes!$J$5:$J$204,MATCH(G248,Recipes!$A$5:$A$204,0)),"")*H248,""))</f>
        <v>0</v>
      </c>
      <c r="O248" s="8">
        <f>IF(OR(G248="",H248=""),"",IFERROR(IFERROR(INDEX(Recipes!$K$5:$K$204,MATCH(G248,Recipes!$A$5:$A$204,0)),"")*H248,""))</f>
        <v>0</v>
      </c>
      <c r="P248" s="8">
        <f>IF(OR(G248="",H248=""),"",IFERROR(IFERROR(INDEX(Recipes!$L$5:$L$204,MATCH(G248,Recipes!$A$5:$A$204,0)),"")*H248,""))</f>
        <v>0</v>
      </c>
      <c r="Q248" s="8">
        <f>IF(OR(G248="",H248=""),"",IFERROR(IFERROR(INDEX(Recipes!$Q$5:$Q$204,MATCH(G248,Recipes!$A$5:$A$204,0)),"")*H248,""))</f>
        <v>0</v>
      </c>
      <c r="R248" s="8">
        <f>IF(F248="","",Weekly_Budget/21)</f>
        <v>0</v>
      </c>
      <c r="S248" s="27"/>
      <c r="T248" s="27"/>
      <c r="U248" s="26"/>
      <c r="V248" s="7"/>
      <c r="W248" s="7"/>
      <c r="X248" s="26"/>
      <c r="Y248" s="8">
        <f>IF(G248="","",IF(COUNTIFS('Meal Prep'!$D$5:$D$124,G248)&gt;0,"Yes","No"))</f>
        <v>0</v>
      </c>
      <c r="Z248" s="8">
        <f>IF(G248="","",COUNTIFS('Recipe Ingredients'!$A$5:$A$1204,G248))</f>
        <v>0</v>
      </c>
      <c r="AA248" s="25"/>
      <c r="AB248" s="8">
        <f>IF(OR(B248="",Q248=""),"",COUNTIFS($B$5:$B$504,B248,$Q$5:$Q$504,"&gt;"&amp;Q248)+1)</f>
        <v>0</v>
      </c>
      <c r="AC248" s="8">
        <f>IF(OR(B248="",L248=""),"",COUNTIFS($B$5:$B$504,B248,$L$5:$L$504,"&gt;"&amp;L248)+1)</f>
        <v>0</v>
      </c>
      <c r="AD248" s="8">
        <f>IF(G248="","",IF(COUNTIFS($G$5:$G$504,G248)&gt;1,"Repeat","Once"))</f>
        <v>0</v>
      </c>
      <c r="AE248" s="8">
        <f>IF(G248="","",IF(IFERROR(INDEX(Recipes!$X$5:$X$204,MATCH(G248,Recipes!$A$5:$A$204,0)),"")="","",IFERROR(B248-IFERROR(INDEX(Recipes!$X$5:$X$204,MATCH(G248,Recipes!$A$5:$A$204,0)),""),"")))</f>
        <v>0</v>
      </c>
      <c r="AF248" s="8">
        <f>IF(G248="","",IF(AE248="","Yes",IF(AE248&gt;=Rotation_Gap_Days,"Yes","No")))</f>
        <v>0</v>
      </c>
      <c r="AG248" s="8">
        <f>IF(G248="","",IF(COUNTIFS('Recipe Ingredients'!$A$5:$A$1204,G248,'Recipe Ingredients'!$AC$5:$AC$1204,"Check")&gt;0,"Check","OK"))</f>
        <v>0</v>
      </c>
    </row>
    <row r="249" spans="1:33">
      <c r="A249" s="7"/>
      <c r="B249" s="30"/>
      <c r="C249" s="8">
        <f>IF(B249="","",B249-WEEKDAY(B249,2)+1)</f>
        <v>0</v>
      </c>
      <c r="D249" s="8">
        <f>IF(B249="","",TEXT(B249,"ddd"))</f>
        <v>0</v>
      </c>
      <c r="E249" s="8">
        <f>IF(B249="","",TEXT(B249,"mmm yyyy"))</f>
        <v>0</v>
      </c>
      <c r="F249" s="27"/>
      <c r="G249" s="7"/>
      <c r="H249" s="26"/>
      <c r="I249" s="8">
        <f>IF(G249="","",IFERROR(INDEX(Recipes!$D$5:$D$204,MATCH(G249,Recipes!$A$5:$A$204,0)),""))</f>
        <v>0</v>
      </c>
      <c r="J249" s="8">
        <f>IF(OR(G249="",H249="",I249="",I249=0),"",H249/I249)</f>
        <v>0</v>
      </c>
      <c r="K249" s="8">
        <f>IF(B249="","",Household_Size)</f>
        <v>0</v>
      </c>
      <c r="L249" s="8">
        <f>IF(OR(G249="",H249=""),"",IFERROR(IFERROR(INDEX(Recipes!$H$5:$H$204,MATCH(G249,Recipes!$A$5:$A$204,0)),"")*H249,""))</f>
        <v>0</v>
      </c>
      <c r="M249" s="8">
        <f>IF(OR(G249="",H249=""),"",IFERROR(IFERROR(INDEX(Recipes!$I$5:$I$204,MATCH(G249,Recipes!$A$5:$A$204,0)),"")*H249,""))</f>
        <v>0</v>
      </c>
      <c r="N249" s="8">
        <f>IF(OR(G249="",H249=""),"",IFERROR(IFERROR(INDEX(Recipes!$J$5:$J$204,MATCH(G249,Recipes!$A$5:$A$204,0)),"")*H249,""))</f>
        <v>0</v>
      </c>
      <c r="O249" s="8">
        <f>IF(OR(G249="",H249=""),"",IFERROR(IFERROR(INDEX(Recipes!$K$5:$K$204,MATCH(G249,Recipes!$A$5:$A$204,0)),"")*H249,""))</f>
        <v>0</v>
      </c>
      <c r="P249" s="8">
        <f>IF(OR(G249="",H249=""),"",IFERROR(IFERROR(INDEX(Recipes!$L$5:$L$204,MATCH(G249,Recipes!$A$5:$A$204,0)),"")*H249,""))</f>
        <v>0</v>
      </c>
      <c r="Q249" s="8">
        <f>IF(OR(G249="",H249=""),"",IFERROR(IFERROR(INDEX(Recipes!$Q$5:$Q$204,MATCH(G249,Recipes!$A$5:$A$204,0)),"")*H249,""))</f>
        <v>0</v>
      </c>
      <c r="R249" s="8">
        <f>IF(F249="","",Weekly_Budget/21)</f>
        <v>0</v>
      </c>
      <c r="S249" s="27"/>
      <c r="T249" s="27"/>
      <c r="U249" s="26"/>
      <c r="V249" s="7"/>
      <c r="W249" s="7"/>
      <c r="X249" s="26"/>
      <c r="Y249" s="8">
        <f>IF(G249="","",IF(COUNTIFS('Meal Prep'!$D$5:$D$124,G249)&gt;0,"Yes","No"))</f>
        <v>0</v>
      </c>
      <c r="Z249" s="8">
        <f>IF(G249="","",COUNTIFS('Recipe Ingredients'!$A$5:$A$1204,G249))</f>
        <v>0</v>
      </c>
      <c r="AA249" s="25"/>
      <c r="AB249" s="8">
        <f>IF(OR(B249="",Q249=""),"",COUNTIFS($B$5:$B$504,B249,$Q$5:$Q$504,"&gt;"&amp;Q249)+1)</f>
        <v>0</v>
      </c>
      <c r="AC249" s="8">
        <f>IF(OR(B249="",L249=""),"",COUNTIFS($B$5:$B$504,B249,$L$5:$L$504,"&gt;"&amp;L249)+1)</f>
        <v>0</v>
      </c>
      <c r="AD249" s="8">
        <f>IF(G249="","",IF(COUNTIFS($G$5:$G$504,G249)&gt;1,"Repeat","Once"))</f>
        <v>0</v>
      </c>
      <c r="AE249" s="8">
        <f>IF(G249="","",IF(IFERROR(INDEX(Recipes!$X$5:$X$204,MATCH(G249,Recipes!$A$5:$A$204,0)),"")="","",IFERROR(B249-IFERROR(INDEX(Recipes!$X$5:$X$204,MATCH(G249,Recipes!$A$5:$A$204,0)),""),"")))</f>
        <v>0</v>
      </c>
      <c r="AF249" s="8">
        <f>IF(G249="","",IF(AE249="","Yes",IF(AE249&gt;=Rotation_Gap_Days,"Yes","No")))</f>
        <v>0</v>
      </c>
      <c r="AG249" s="8">
        <f>IF(G249="","",IF(COUNTIFS('Recipe Ingredients'!$A$5:$A$1204,G249,'Recipe Ingredients'!$AC$5:$AC$1204,"Check")&gt;0,"Check","OK"))</f>
        <v>0</v>
      </c>
    </row>
    <row r="250" spans="1:33">
      <c r="A250" s="7"/>
      <c r="B250" s="30"/>
      <c r="C250" s="8">
        <f>IF(B250="","",B250-WEEKDAY(B250,2)+1)</f>
        <v>0</v>
      </c>
      <c r="D250" s="8">
        <f>IF(B250="","",TEXT(B250,"ddd"))</f>
        <v>0</v>
      </c>
      <c r="E250" s="8">
        <f>IF(B250="","",TEXT(B250,"mmm yyyy"))</f>
        <v>0</v>
      </c>
      <c r="F250" s="27"/>
      <c r="G250" s="7"/>
      <c r="H250" s="26"/>
      <c r="I250" s="8">
        <f>IF(G250="","",IFERROR(INDEX(Recipes!$D$5:$D$204,MATCH(G250,Recipes!$A$5:$A$204,0)),""))</f>
        <v>0</v>
      </c>
      <c r="J250" s="8">
        <f>IF(OR(G250="",H250="",I250="",I250=0),"",H250/I250)</f>
        <v>0</v>
      </c>
      <c r="K250" s="8">
        <f>IF(B250="","",Household_Size)</f>
        <v>0</v>
      </c>
      <c r="L250" s="8">
        <f>IF(OR(G250="",H250=""),"",IFERROR(IFERROR(INDEX(Recipes!$H$5:$H$204,MATCH(G250,Recipes!$A$5:$A$204,0)),"")*H250,""))</f>
        <v>0</v>
      </c>
      <c r="M250" s="8">
        <f>IF(OR(G250="",H250=""),"",IFERROR(IFERROR(INDEX(Recipes!$I$5:$I$204,MATCH(G250,Recipes!$A$5:$A$204,0)),"")*H250,""))</f>
        <v>0</v>
      </c>
      <c r="N250" s="8">
        <f>IF(OR(G250="",H250=""),"",IFERROR(IFERROR(INDEX(Recipes!$J$5:$J$204,MATCH(G250,Recipes!$A$5:$A$204,0)),"")*H250,""))</f>
        <v>0</v>
      </c>
      <c r="O250" s="8">
        <f>IF(OR(G250="",H250=""),"",IFERROR(IFERROR(INDEX(Recipes!$K$5:$K$204,MATCH(G250,Recipes!$A$5:$A$204,0)),"")*H250,""))</f>
        <v>0</v>
      </c>
      <c r="P250" s="8">
        <f>IF(OR(G250="",H250=""),"",IFERROR(IFERROR(INDEX(Recipes!$L$5:$L$204,MATCH(G250,Recipes!$A$5:$A$204,0)),"")*H250,""))</f>
        <v>0</v>
      </c>
      <c r="Q250" s="8">
        <f>IF(OR(G250="",H250=""),"",IFERROR(IFERROR(INDEX(Recipes!$Q$5:$Q$204,MATCH(G250,Recipes!$A$5:$A$204,0)),"")*H250,""))</f>
        <v>0</v>
      </c>
      <c r="R250" s="8">
        <f>IF(F250="","",Weekly_Budget/21)</f>
        <v>0</v>
      </c>
      <c r="S250" s="27"/>
      <c r="T250" s="27"/>
      <c r="U250" s="26"/>
      <c r="V250" s="7"/>
      <c r="W250" s="7"/>
      <c r="X250" s="26"/>
      <c r="Y250" s="8">
        <f>IF(G250="","",IF(COUNTIFS('Meal Prep'!$D$5:$D$124,G250)&gt;0,"Yes","No"))</f>
        <v>0</v>
      </c>
      <c r="Z250" s="8">
        <f>IF(G250="","",COUNTIFS('Recipe Ingredients'!$A$5:$A$1204,G250))</f>
        <v>0</v>
      </c>
      <c r="AA250" s="25"/>
      <c r="AB250" s="8">
        <f>IF(OR(B250="",Q250=""),"",COUNTIFS($B$5:$B$504,B250,$Q$5:$Q$504,"&gt;"&amp;Q250)+1)</f>
        <v>0</v>
      </c>
      <c r="AC250" s="8">
        <f>IF(OR(B250="",L250=""),"",COUNTIFS($B$5:$B$504,B250,$L$5:$L$504,"&gt;"&amp;L250)+1)</f>
        <v>0</v>
      </c>
      <c r="AD250" s="8">
        <f>IF(G250="","",IF(COUNTIFS($G$5:$G$504,G250)&gt;1,"Repeat","Once"))</f>
        <v>0</v>
      </c>
      <c r="AE250" s="8">
        <f>IF(G250="","",IF(IFERROR(INDEX(Recipes!$X$5:$X$204,MATCH(G250,Recipes!$A$5:$A$204,0)),"")="","",IFERROR(B250-IFERROR(INDEX(Recipes!$X$5:$X$204,MATCH(G250,Recipes!$A$5:$A$204,0)),""),"")))</f>
        <v>0</v>
      </c>
      <c r="AF250" s="8">
        <f>IF(G250="","",IF(AE250="","Yes",IF(AE250&gt;=Rotation_Gap_Days,"Yes","No")))</f>
        <v>0</v>
      </c>
      <c r="AG250" s="8">
        <f>IF(G250="","",IF(COUNTIFS('Recipe Ingredients'!$A$5:$A$1204,G250,'Recipe Ingredients'!$AC$5:$AC$1204,"Check")&gt;0,"Check","OK"))</f>
        <v>0</v>
      </c>
    </row>
    <row r="251" spans="1:33">
      <c r="A251" s="7"/>
      <c r="B251" s="30"/>
      <c r="C251" s="8">
        <f>IF(B251="","",B251-WEEKDAY(B251,2)+1)</f>
        <v>0</v>
      </c>
      <c r="D251" s="8">
        <f>IF(B251="","",TEXT(B251,"ddd"))</f>
        <v>0</v>
      </c>
      <c r="E251" s="8">
        <f>IF(B251="","",TEXT(B251,"mmm yyyy"))</f>
        <v>0</v>
      </c>
      <c r="F251" s="27"/>
      <c r="G251" s="7"/>
      <c r="H251" s="26"/>
      <c r="I251" s="8">
        <f>IF(G251="","",IFERROR(INDEX(Recipes!$D$5:$D$204,MATCH(G251,Recipes!$A$5:$A$204,0)),""))</f>
        <v>0</v>
      </c>
      <c r="J251" s="8">
        <f>IF(OR(G251="",H251="",I251="",I251=0),"",H251/I251)</f>
        <v>0</v>
      </c>
      <c r="K251" s="8">
        <f>IF(B251="","",Household_Size)</f>
        <v>0</v>
      </c>
      <c r="L251" s="8">
        <f>IF(OR(G251="",H251=""),"",IFERROR(IFERROR(INDEX(Recipes!$H$5:$H$204,MATCH(G251,Recipes!$A$5:$A$204,0)),"")*H251,""))</f>
        <v>0</v>
      </c>
      <c r="M251" s="8">
        <f>IF(OR(G251="",H251=""),"",IFERROR(IFERROR(INDEX(Recipes!$I$5:$I$204,MATCH(G251,Recipes!$A$5:$A$204,0)),"")*H251,""))</f>
        <v>0</v>
      </c>
      <c r="N251" s="8">
        <f>IF(OR(G251="",H251=""),"",IFERROR(IFERROR(INDEX(Recipes!$J$5:$J$204,MATCH(G251,Recipes!$A$5:$A$204,0)),"")*H251,""))</f>
        <v>0</v>
      </c>
      <c r="O251" s="8">
        <f>IF(OR(G251="",H251=""),"",IFERROR(IFERROR(INDEX(Recipes!$K$5:$K$204,MATCH(G251,Recipes!$A$5:$A$204,0)),"")*H251,""))</f>
        <v>0</v>
      </c>
      <c r="P251" s="8">
        <f>IF(OR(G251="",H251=""),"",IFERROR(IFERROR(INDEX(Recipes!$L$5:$L$204,MATCH(G251,Recipes!$A$5:$A$204,0)),"")*H251,""))</f>
        <v>0</v>
      </c>
      <c r="Q251" s="8">
        <f>IF(OR(G251="",H251=""),"",IFERROR(IFERROR(INDEX(Recipes!$Q$5:$Q$204,MATCH(G251,Recipes!$A$5:$A$204,0)),"")*H251,""))</f>
        <v>0</v>
      </c>
      <c r="R251" s="8">
        <f>IF(F251="","",Weekly_Budget/21)</f>
        <v>0</v>
      </c>
      <c r="S251" s="27"/>
      <c r="T251" s="27"/>
      <c r="U251" s="26"/>
      <c r="V251" s="7"/>
      <c r="W251" s="7"/>
      <c r="X251" s="26"/>
      <c r="Y251" s="8">
        <f>IF(G251="","",IF(COUNTIFS('Meal Prep'!$D$5:$D$124,G251)&gt;0,"Yes","No"))</f>
        <v>0</v>
      </c>
      <c r="Z251" s="8">
        <f>IF(G251="","",COUNTIFS('Recipe Ingredients'!$A$5:$A$1204,G251))</f>
        <v>0</v>
      </c>
      <c r="AA251" s="25"/>
      <c r="AB251" s="8">
        <f>IF(OR(B251="",Q251=""),"",COUNTIFS($B$5:$B$504,B251,$Q$5:$Q$504,"&gt;"&amp;Q251)+1)</f>
        <v>0</v>
      </c>
      <c r="AC251" s="8">
        <f>IF(OR(B251="",L251=""),"",COUNTIFS($B$5:$B$504,B251,$L$5:$L$504,"&gt;"&amp;L251)+1)</f>
        <v>0</v>
      </c>
      <c r="AD251" s="8">
        <f>IF(G251="","",IF(COUNTIFS($G$5:$G$504,G251)&gt;1,"Repeat","Once"))</f>
        <v>0</v>
      </c>
      <c r="AE251" s="8">
        <f>IF(G251="","",IF(IFERROR(INDEX(Recipes!$X$5:$X$204,MATCH(G251,Recipes!$A$5:$A$204,0)),"")="","",IFERROR(B251-IFERROR(INDEX(Recipes!$X$5:$X$204,MATCH(G251,Recipes!$A$5:$A$204,0)),""),"")))</f>
        <v>0</v>
      </c>
      <c r="AF251" s="8">
        <f>IF(G251="","",IF(AE251="","Yes",IF(AE251&gt;=Rotation_Gap_Days,"Yes","No")))</f>
        <v>0</v>
      </c>
      <c r="AG251" s="8">
        <f>IF(G251="","",IF(COUNTIFS('Recipe Ingredients'!$A$5:$A$1204,G251,'Recipe Ingredients'!$AC$5:$AC$1204,"Check")&gt;0,"Check","OK"))</f>
        <v>0</v>
      </c>
    </row>
    <row r="252" spans="1:33">
      <c r="A252" s="7"/>
      <c r="B252" s="30"/>
      <c r="C252" s="8">
        <f>IF(B252="","",B252-WEEKDAY(B252,2)+1)</f>
        <v>0</v>
      </c>
      <c r="D252" s="8">
        <f>IF(B252="","",TEXT(B252,"ddd"))</f>
        <v>0</v>
      </c>
      <c r="E252" s="8">
        <f>IF(B252="","",TEXT(B252,"mmm yyyy"))</f>
        <v>0</v>
      </c>
      <c r="F252" s="27"/>
      <c r="G252" s="7"/>
      <c r="H252" s="26"/>
      <c r="I252" s="8">
        <f>IF(G252="","",IFERROR(INDEX(Recipes!$D$5:$D$204,MATCH(G252,Recipes!$A$5:$A$204,0)),""))</f>
        <v>0</v>
      </c>
      <c r="J252" s="8">
        <f>IF(OR(G252="",H252="",I252="",I252=0),"",H252/I252)</f>
        <v>0</v>
      </c>
      <c r="K252" s="8">
        <f>IF(B252="","",Household_Size)</f>
        <v>0</v>
      </c>
      <c r="L252" s="8">
        <f>IF(OR(G252="",H252=""),"",IFERROR(IFERROR(INDEX(Recipes!$H$5:$H$204,MATCH(G252,Recipes!$A$5:$A$204,0)),"")*H252,""))</f>
        <v>0</v>
      </c>
      <c r="M252" s="8">
        <f>IF(OR(G252="",H252=""),"",IFERROR(IFERROR(INDEX(Recipes!$I$5:$I$204,MATCH(G252,Recipes!$A$5:$A$204,0)),"")*H252,""))</f>
        <v>0</v>
      </c>
      <c r="N252" s="8">
        <f>IF(OR(G252="",H252=""),"",IFERROR(IFERROR(INDEX(Recipes!$J$5:$J$204,MATCH(G252,Recipes!$A$5:$A$204,0)),"")*H252,""))</f>
        <v>0</v>
      </c>
      <c r="O252" s="8">
        <f>IF(OR(G252="",H252=""),"",IFERROR(IFERROR(INDEX(Recipes!$K$5:$K$204,MATCH(G252,Recipes!$A$5:$A$204,0)),"")*H252,""))</f>
        <v>0</v>
      </c>
      <c r="P252" s="8">
        <f>IF(OR(G252="",H252=""),"",IFERROR(IFERROR(INDEX(Recipes!$L$5:$L$204,MATCH(G252,Recipes!$A$5:$A$204,0)),"")*H252,""))</f>
        <v>0</v>
      </c>
      <c r="Q252" s="8">
        <f>IF(OR(G252="",H252=""),"",IFERROR(IFERROR(INDEX(Recipes!$Q$5:$Q$204,MATCH(G252,Recipes!$A$5:$A$204,0)),"")*H252,""))</f>
        <v>0</v>
      </c>
      <c r="R252" s="8">
        <f>IF(F252="","",Weekly_Budget/21)</f>
        <v>0</v>
      </c>
      <c r="S252" s="27"/>
      <c r="T252" s="27"/>
      <c r="U252" s="26"/>
      <c r="V252" s="7"/>
      <c r="W252" s="7"/>
      <c r="X252" s="26"/>
      <c r="Y252" s="8">
        <f>IF(G252="","",IF(COUNTIFS('Meal Prep'!$D$5:$D$124,G252)&gt;0,"Yes","No"))</f>
        <v>0</v>
      </c>
      <c r="Z252" s="8">
        <f>IF(G252="","",COUNTIFS('Recipe Ingredients'!$A$5:$A$1204,G252))</f>
        <v>0</v>
      </c>
      <c r="AA252" s="25"/>
      <c r="AB252" s="8">
        <f>IF(OR(B252="",Q252=""),"",COUNTIFS($B$5:$B$504,B252,$Q$5:$Q$504,"&gt;"&amp;Q252)+1)</f>
        <v>0</v>
      </c>
      <c r="AC252" s="8">
        <f>IF(OR(B252="",L252=""),"",COUNTIFS($B$5:$B$504,B252,$L$5:$L$504,"&gt;"&amp;L252)+1)</f>
        <v>0</v>
      </c>
      <c r="AD252" s="8">
        <f>IF(G252="","",IF(COUNTIFS($G$5:$G$504,G252)&gt;1,"Repeat","Once"))</f>
        <v>0</v>
      </c>
      <c r="AE252" s="8">
        <f>IF(G252="","",IF(IFERROR(INDEX(Recipes!$X$5:$X$204,MATCH(G252,Recipes!$A$5:$A$204,0)),"")="","",IFERROR(B252-IFERROR(INDEX(Recipes!$X$5:$X$204,MATCH(G252,Recipes!$A$5:$A$204,0)),""),"")))</f>
        <v>0</v>
      </c>
      <c r="AF252" s="8">
        <f>IF(G252="","",IF(AE252="","Yes",IF(AE252&gt;=Rotation_Gap_Days,"Yes","No")))</f>
        <v>0</v>
      </c>
      <c r="AG252" s="8">
        <f>IF(G252="","",IF(COUNTIFS('Recipe Ingredients'!$A$5:$A$1204,G252,'Recipe Ingredients'!$AC$5:$AC$1204,"Check")&gt;0,"Check","OK"))</f>
        <v>0</v>
      </c>
    </row>
    <row r="253" spans="1:33">
      <c r="A253" s="7"/>
      <c r="B253" s="30"/>
      <c r="C253" s="8">
        <f>IF(B253="","",B253-WEEKDAY(B253,2)+1)</f>
        <v>0</v>
      </c>
      <c r="D253" s="8">
        <f>IF(B253="","",TEXT(B253,"ddd"))</f>
        <v>0</v>
      </c>
      <c r="E253" s="8">
        <f>IF(B253="","",TEXT(B253,"mmm yyyy"))</f>
        <v>0</v>
      </c>
      <c r="F253" s="27"/>
      <c r="G253" s="7"/>
      <c r="H253" s="26"/>
      <c r="I253" s="8">
        <f>IF(G253="","",IFERROR(INDEX(Recipes!$D$5:$D$204,MATCH(G253,Recipes!$A$5:$A$204,0)),""))</f>
        <v>0</v>
      </c>
      <c r="J253" s="8">
        <f>IF(OR(G253="",H253="",I253="",I253=0),"",H253/I253)</f>
        <v>0</v>
      </c>
      <c r="K253" s="8">
        <f>IF(B253="","",Household_Size)</f>
        <v>0</v>
      </c>
      <c r="L253" s="8">
        <f>IF(OR(G253="",H253=""),"",IFERROR(IFERROR(INDEX(Recipes!$H$5:$H$204,MATCH(G253,Recipes!$A$5:$A$204,0)),"")*H253,""))</f>
        <v>0</v>
      </c>
      <c r="M253" s="8">
        <f>IF(OR(G253="",H253=""),"",IFERROR(IFERROR(INDEX(Recipes!$I$5:$I$204,MATCH(G253,Recipes!$A$5:$A$204,0)),"")*H253,""))</f>
        <v>0</v>
      </c>
      <c r="N253" s="8">
        <f>IF(OR(G253="",H253=""),"",IFERROR(IFERROR(INDEX(Recipes!$J$5:$J$204,MATCH(G253,Recipes!$A$5:$A$204,0)),"")*H253,""))</f>
        <v>0</v>
      </c>
      <c r="O253" s="8">
        <f>IF(OR(G253="",H253=""),"",IFERROR(IFERROR(INDEX(Recipes!$K$5:$K$204,MATCH(G253,Recipes!$A$5:$A$204,0)),"")*H253,""))</f>
        <v>0</v>
      </c>
      <c r="P253" s="8">
        <f>IF(OR(G253="",H253=""),"",IFERROR(IFERROR(INDEX(Recipes!$L$5:$L$204,MATCH(G253,Recipes!$A$5:$A$204,0)),"")*H253,""))</f>
        <v>0</v>
      </c>
      <c r="Q253" s="8">
        <f>IF(OR(G253="",H253=""),"",IFERROR(IFERROR(INDEX(Recipes!$Q$5:$Q$204,MATCH(G253,Recipes!$A$5:$A$204,0)),"")*H253,""))</f>
        <v>0</v>
      </c>
      <c r="R253" s="8">
        <f>IF(F253="","",Weekly_Budget/21)</f>
        <v>0</v>
      </c>
      <c r="S253" s="27"/>
      <c r="T253" s="27"/>
      <c r="U253" s="26"/>
      <c r="V253" s="7"/>
      <c r="W253" s="7"/>
      <c r="X253" s="26"/>
      <c r="Y253" s="8">
        <f>IF(G253="","",IF(COUNTIFS('Meal Prep'!$D$5:$D$124,G253)&gt;0,"Yes","No"))</f>
        <v>0</v>
      </c>
      <c r="Z253" s="8">
        <f>IF(G253="","",COUNTIFS('Recipe Ingredients'!$A$5:$A$1204,G253))</f>
        <v>0</v>
      </c>
      <c r="AA253" s="25"/>
      <c r="AB253" s="8">
        <f>IF(OR(B253="",Q253=""),"",COUNTIFS($B$5:$B$504,B253,$Q$5:$Q$504,"&gt;"&amp;Q253)+1)</f>
        <v>0</v>
      </c>
      <c r="AC253" s="8">
        <f>IF(OR(B253="",L253=""),"",COUNTIFS($B$5:$B$504,B253,$L$5:$L$504,"&gt;"&amp;L253)+1)</f>
        <v>0</v>
      </c>
      <c r="AD253" s="8">
        <f>IF(G253="","",IF(COUNTIFS($G$5:$G$504,G253)&gt;1,"Repeat","Once"))</f>
        <v>0</v>
      </c>
      <c r="AE253" s="8">
        <f>IF(G253="","",IF(IFERROR(INDEX(Recipes!$X$5:$X$204,MATCH(G253,Recipes!$A$5:$A$204,0)),"")="","",IFERROR(B253-IFERROR(INDEX(Recipes!$X$5:$X$204,MATCH(G253,Recipes!$A$5:$A$204,0)),""),"")))</f>
        <v>0</v>
      </c>
      <c r="AF253" s="8">
        <f>IF(G253="","",IF(AE253="","Yes",IF(AE253&gt;=Rotation_Gap_Days,"Yes","No")))</f>
        <v>0</v>
      </c>
      <c r="AG253" s="8">
        <f>IF(G253="","",IF(COUNTIFS('Recipe Ingredients'!$A$5:$A$1204,G253,'Recipe Ingredients'!$AC$5:$AC$1204,"Check")&gt;0,"Check","OK"))</f>
        <v>0</v>
      </c>
    </row>
    <row r="254" spans="1:33">
      <c r="A254" s="7"/>
      <c r="B254" s="30"/>
      <c r="C254" s="8">
        <f>IF(B254="","",B254-WEEKDAY(B254,2)+1)</f>
        <v>0</v>
      </c>
      <c r="D254" s="8">
        <f>IF(B254="","",TEXT(B254,"ddd"))</f>
        <v>0</v>
      </c>
      <c r="E254" s="8">
        <f>IF(B254="","",TEXT(B254,"mmm yyyy"))</f>
        <v>0</v>
      </c>
      <c r="F254" s="27"/>
      <c r="G254" s="7"/>
      <c r="H254" s="26"/>
      <c r="I254" s="8">
        <f>IF(G254="","",IFERROR(INDEX(Recipes!$D$5:$D$204,MATCH(G254,Recipes!$A$5:$A$204,0)),""))</f>
        <v>0</v>
      </c>
      <c r="J254" s="8">
        <f>IF(OR(G254="",H254="",I254="",I254=0),"",H254/I254)</f>
        <v>0</v>
      </c>
      <c r="K254" s="8">
        <f>IF(B254="","",Household_Size)</f>
        <v>0</v>
      </c>
      <c r="L254" s="8">
        <f>IF(OR(G254="",H254=""),"",IFERROR(IFERROR(INDEX(Recipes!$H$5:$H$204,MATCH(G254,Recipes!$A$5:$A$204,0)),"")*H254,""))</f>
        <v>0</v>
      </c>
      <c r="M254" s="8">
        <f>IF(OR(G254="",H254=""),"",IFERROR(IFERROR(INDEX(Recipes!$I$5:$I$204,MATCH(G254,Recipes!$A$5:$A$204,0)),"")*H254,""))</f>
        <v>0</v>
      </c>
      <c r="N254" s="8">
        <f>IF(OR(G254="",H254=""),"",IFERROR(IFERROR(INDEX(Recipes!$J$5:$J$204,MATCH(G254,Recipes!$A$5:$A$204,0)),"")*H254,""))</f>
        <v>0</v>
      </c>
      <c r="O254" s="8">
        <f>IF(OR(G254="",H254=""),"",IFERROR(IFERROR(INDEX(Recipes!$K$5:$K$204,MATCH(G254,Recipes!$A$5:$A$204,0)),"")*H254,""))</f>
        <v>0</v>
      </c>
      <c r="P254" s="8">
        <f>IF(OR(G254="",H254=""),"",IFERROR(IFERROR(INDEX(Recipes!$L$5:$L$204,MATCH(G254,Recipes!$A$5:$A$204,0)),"")*H254,""))</f>
        <v>0</v>
      </c>
      <c r="Q254" s="8">
        <f>IF(OR(G254="",H254=""),"",IFERROR(IFERROR(INDEX(Recipes!$Q$5:$Q$204,MATCH(G254,Recipes!$A$5:$A$204,0)),"")*H254,""))</f>
        <v>0</v>
      </c>
      <c r="R254" s="8">
        <f>IF(F254="","",Weekly_Budget/21)</f>
        <v>0</v>
      </c>
      <c r="S254" s="27"/>
      <c r="T254" s="27"/>
      <c r="U254" s="26"/>
      <c r="V254" s="7"/>
      <c r="W254" s="7"/>
      <c r="X254" s="26"/>
      <c r="Y254" s="8">
        <f>IF(G254="","",IF(COUNTIFS('Meal Prep'!$D$5:$D$124,G254)&gt;0,"Yes","No"))</f>
        <v>0</v>
      </c>
      <c r="Z254" s="8">
        <f>IF(G254="","",COUNTIFS('Recipe Ingredients'!$A$5:$A$1204,G254))</f>
        <v>0</v>
      </c>
      <c r="AA254" s="25"/>
      <c r="AB254" s="8">
        <f>IF(OR(B254="",Q254=""),"",COUNTIFS($B$5:$B$504,B254,$Q$5:$Q$504,"&gt;"&amp;Q254)+1)</f>
        <v>0</v>
      </c>
      <c r="AC254" s="8">
        <f>IF(OR(B254="",L254=""),"",COUNTIFS($B$5:$B$504,B254,$L$5:$L$504,"&gt;"&amp;L254)+1)</f>
        <v>0</v>
      </c>
      <c r="AD254" s="8">
        <f>IF(G254="","",IF(COUNTIFS($G$5:$G$504,G254)&gt;1,"Repeat","Once"))</f>
        <v>0</v>
      </c>
      <c r="AE254" s="8">
        <f>IF(G254="","",IF(IFERROR(INDEX(Recipes!$X$5:$X$204,MATCH(G254,Recipes!$A$5:$A$204,0)),"")="","",IFERROR(B254-IFERROR(INDEX(Recipes!$X$5:$X$204,MATCH(G254,Recipes!$A$5:$A$204,0)),""),"")))</f>
        <v>0</v>
      </c>
      <c r="AF254" s="8">
        <f>IF(G254="","",IF(AE254="","Yes",IF(AE254&gt;=Rotation_Gap_Days,"Yes","No")))</f>
        <v>0</v>
      </c>
      <c r="AG254" s="8">
        <f>IF(G254="","",IF(COUNTIFS('Recipe Ingredients'!$A$5:$A$1204,G254,'Recipe Ingredients'!$AC$5:$AC$1204,"Check")&gt;0,"Check","OK"))</f>
        <v>0</v>
      </c>
    </row>
    <row r="255" spans="1:33">
      <c r="A255" s="7"/>
      <c r="B255" s="30"/>
      <c r="C255" s="8">
        <f>IF(B255="","",B255-WEEKDAY(B255,2)+1)</f>
        <v>0</v>
      </c>
      <c r="D255" s="8">
        <f>IF(B255="","",TEXT(B255,"ddd"))</f>
        <v>0</v>
      </c>
      <c r="E255" s="8">
        <f>IF(B255="","",TEXT(B255,"mmm yyyy"))</f>
        <v>0</v>
      </c>
      <c r="F255" s="27"/>
      <c r="G255" s="7"/>
      <c r="H255" s="26"/>
      <c r="I255" s="8">
        <f>IF(G255="","",IFERROR(INDEX(Recipes!$D$5:$D$204,MATCH(G255,Recipes!$A$5:$A$204,0)),""))</f>
        <v>0</v>
      </c>
      <c r="J255" s="8">
        <f>IF(OR(G255="",H255="",I255="",I255=0),"",H255/I255)</f>
        <v>0</v>
      </c>
      <c r="K255" s="8">
        <f>IF(B255="","",Household_Size)</f>
        <v>0</v>
      </c>
      <c r="L255" s="8">
        <f>IF(OR(G255="",H255=""),"",IFERROR(IFERROR(INDEX(Recipes!$H$5:$H$204,MATCH(G255,Recipes!$A$5:$A$204,0)),"")*H255,""))</f>
        <v>0</v>
      </c>
      <c r="M255" s="8">
        <f>IF(OR(G255="",H255=""),"",IFERROR(IFERROR(INDEX(Recipes!$I$5:$I$204,MATCH(G255,Recipes!$A$5:$A$204,0)),"")*H255,""))</f>
        <v>0</v>
      </c>
      <c r="N255" s="8">
        <f>IF(OR(G255="",H255=""),"",IFERROR(IFERROR(INDEX(Recipes!$J$5:$J$204,MATCH(G255,Recipes!$A$5:$A$204,0)),"")*H255,""))</f>
        <v>0</v>
      </c>
      <c r="O255" s="8">
        <f>IF(OR(G255="",H255=""),"",IFERROR(IFERROR(INDEX(Recipes!$K$5:$K$204,MATCH(G255,Recipes!$A$5:$A$204,0)),"")*H255,""))</f>
        <v>0</v>
      </c>
      <c r="P255" s="8">
        <f>IF(OR(G255="",H255=""),"",IFERROR(IFERROR(INDEX(Recipes!$L$5:$L$204,MATCH(G255,Recipes!$A$5:$A$204,0)),"")*H255,""))</f>
        <v>0</v>
      </c>
      <c r="Q255" s="8">
        <f>IF(OR(G255="",H255=""),"",IFERROR(IFERROR(INDEX(Recipes!$Q$5:$Q$204,MATCH(G255,Recipes!$A$5:$A$204,0)),"")*H255,""))</f>
        <v>0</v>
      </c>
      <c r="R255" s="8">
        <f>IF(F255="","",Weekly_Budget/21)</f>
        <v>0</v>
      </c>
      <c r="S255" s="27"/>
      <c r="T255" s="27"/>
      <c r="U255" s="26"/>
      <c r="V255" s="7"/>
      <c r="W255" s="7"/>
      <c r="X255" s="26"/>
      <c r="Y255" s="8">
        <f>IF(G255="","",IF(COUNTIFS('Meal Prep'!$D$5:$D$124,G255)&gt;0,"Yes","No"))</f>
        <v>0</v>
      </c>
      <c r="Z255" s="8">
        <f>IF(G255="","",COUNTIFS('Recipe Ingredients'!$A$5:$A$1204,G255))</f>
        <v>0</v>
      </c>
      <c r="AA255" s="25"/>
      <c r="AB255" s="8">
        <f>IF(OR(B255="",Q255=""),"",COUNTIFS($B$5:$B$504,B255,$Q$5:$Q$504,"&gt;"&amp;Q255)+1)</f>
        <v>0</v>
      </c>
      <c r="AC255" s="8">
        <f>IF(OR(B255="",L255=""),"",COUNTIFS($B$5:$B$504,B255,$L$5:$L$504,"&gt;"&amp;L255)+1)</f>
        <v>0</v>
      </c>
      <c r="AD255" s="8">
        <f>IF(G255="","",IF(COUNTIFS($G$5:$G$504,G255)&gt;1,"Repeat","Once"))</f>
        <v>0</v>
      </c>
      <c r="AE255" s="8">
        <f>IF(G255="","",IF(IFERROR(INDEX(Recipes!$X$5:$X$204,MATCH(G255,Recipes!$A$5:$A$204,0)),"")="","",IFERROR(B255-IFERROR(INDEX(Recipes!$X$5:$X$204,MATCH(G255,Recipes!$A$5:$A$204,0)),""),"")))</f>
        <v>0</v>
      </c>
      <c r="AF255" s="8">
        <f>IF(G255="","",IF(AE255="","Yes",IF(AE255&gt;=Rotation_Gap_Days,"Yes","No")))</f>
        <v>0</v>
      </c>
      <c r="AG255" s="8">
        <f>IF(G255="","",IF(COUNTIFS('Recipe Ingredients'!$A$5:$A$1204,G255,'Recipe Ingredients'!$AC$5:$AC$1204,"Check")&gt;0,"Check","OK"))</f>
        <v>0</v>
      </c>
    </row>
    <row r="256" spans="1:33">
      <c r="A256" s="7"/>
      <c r="B256" s="30"/>
      <c r="C256" s="8">
        <f>IF(B256="","",B256-WEEKDAY(B256,2)+1)</f>
        <v>0</v>
      </c>
      <c r="D256" s="8">
        <f>IF(B256="","",TEXT(B256,"ddd"))</f>
        <v>0</v>
      </c>
      <c r="E256" s="8">
        <f>IF(B256="","",TEXT(B256,"mmm yyyy"))</f>
        <v>0</v>
      </c>
      <c r="F256" s="27"/>
      <c r="G256" s="7"/>
      <c r="H256" s="26"/>
      <c r="I256" s="8">
        <f>IF(G256="","",IFERROR(INDEX(Recipes!$D$5:$D$204,MATCH(G256,Recipes!$A$5:$A$204,0)),""))</f>
        <v>0</v>
      </c>
      <c r="J256" s="8">
        <f>IF(OR(G256="",H256="",I256="",I256=0),"",H256/I256)</f>
        <v>0</v>
      </c>
      <c r="K256" s="8">
        <f>IF(B256="","",Household_Size)</f>
        <v>0</v>
      </c>
      <c r="L256" s="8">
        <f>IF(OR(G256="",H256=""),"",IFERROR(IFERROR(INDEX(Recipes!$H$5:$H$204,MATCH(G256,Recipes!$A$5:$A$204,0)),"")*H256,""))</f>
        <v>0</v>
      </c>
      <c r="M256" s="8">
        <f>IF(OR(G256="",H256=""),"",IFERROR(IFERROR(INDEX(Recipes!$I$5:$I$204,MATCH(G256,Recipes!$A$5:$A$204,0)),"")*H256,""))</f>
        <v>0</v>
      </c>
      <c r="N256" s="8">
        <f>IF(OR(G256="",H256=""),"",IFERROR(IFERROR(INDEX(Recipes!$J$5:$J$204,MATCH(G256,Recipes!$A$5:$A$204,0)),"")*H256,""))</f>
        <v>0</v>
      </c>
      <c r="O256" s="8">
        <f>IF(OR(G256="",H256=""),"",IFERROR(IFERROR(INDEX(Recipes!$K$5:$K$204,MATCH(G256,Recipes!$A$5:$A$204,0)),"")*H256,""))</f>
        <v>0</v>
      </c>
      <c r="P256" s="8">
        <f>IF(OR(G256="",H256=""),"",IFERROR(IFERROR(INDEX(Recipes!$L$5:$L$204,MATCH(G256,Recipes!$A$5:$A$204,0)),"")*H256,""))</f>
        <v>0</v>
      </c>
      <c r="Q256" s="8">
        <f>IF(OR(G256="",H256=""),"",IFERROR(IFERROR(INDEX(Recipes!$Q$5:$Q$204,MATCH(G256,Recipes!$A$5:$A$204,0)),"")*H256,""))</f>
        <v>0</v>
      </c>
      <c r="R256" s="8">
        <f>IF(F256="","",Weekly_Budget/21)</f>
        <v>0</v>
      </c>
      <c r="S256" s="27"/>
      <c r="T256" s="27"/>
      <c r="U256" s="26"/>
      <c r="V256" s="7"/>
      <c r="W256" s="7"/>
      <c r="X256" s="26"/>
      <c r="Y256" s="8">
        <f>IF(G256="","",IF(COUNTIFS('Meal Prep'!$D$5:$D$124,G256)&gt;0,"Yes","No"))</f>
        <v>0</v>
      </c>
      <c r="Z256" s="8">
        <f>IF(G256="","",COUNTIFS('Recipe Ingredients'!$A$5:$A$1204,G256))</f>
        <v>0</v>
      </c>
      <c r="AA256" s="25"/>
      <c r="AB256" s="8">
        <f>IF(OR(B256="",Q256=""),"",COUNTIFS($B$5:$B$504,B256,$Q$5:$Q$504,"&gt;"&amp;Q256)+1)</f>
        <v>0</v>
      </c>
      <c r="AC256" s="8">
        <f>IF(OR(B256="",L256=""),"",COUNTIFS($B$5:$B$504,B256,$L$5:$L$504,"&gt;"&amp;L256)+1)</f>
        <v>0</v>
      </c>
      <c r="AD256" s="8">
        <f>IF(G256="","",IF(COUNTIFS($G$5:$G$504,G256)&gt;1,"Repeat","Once"))</f>
        <v>0</v>
      </c>
      <c r="AE256" s="8">
        <f>IF(G256="","",IF(IFERROR(INDEX(Recipes!$X$5:$X$204,MATCH(G256,Recipes!$A$5:$A$204,0)),"")="","",IFERROR(B256-IFERROR(INDEX(Recipes!$X$5:$X$204,MATCH(G256,Recipes!$A$5:$A$204,0)),""),"")))</f>
        <v>0</v>
      </c>
      <c r="AF256" s="8">
        <f>IF(G256="","",IF(AE256="","Yes",IF(AE256&gt;=Rotation_Gap_Days,"Yes","No")))</f>
        <v>0</v>
      </c>
      <c r="AG256" s="8">
        <f>IF(G256="","",IF(COUNTIFS('Recipe Ingredients'!$A$5:$A$1204,G256,'Recipe Ingredients'!$AC$5:$AC$1204,"Check")&gt;0,"Check","OK"))</f>
        <v>0</v>
      </c>
    </row>
    <row r="257" spans="1:33">
      <c r="A257" s="7"/>
      <c r="B257" s="30"/>
      <c r="C257" s="8">
        <f>IF(B257="","",B257-WEEKDAY(B257,2)+1)</f>
        <v>0</v>
      </c>
      <c r="D257" s="8">
        <f>IF(B257="","",TEXT(B257,"ddd"))</f>
        <v>0</v>
      </c>
      <c r="E257" s="8">
        <f>IF(B257="","",TEXT(B257,"mmm yyyy"))</f>
        <v>0</v>
      </c>
      <c r="F257" s="27"/>
      <c r="G257" s="7"/>
      <c r="H257" s="26"/>
      <c r="I257" s="8">
        <f>IF(G257="","",IFERROR(INDEX(Recipes!$D$5:$D$204,MATCH(G257,Recipes!$A$5:$A$204,0)),""))</f>
        <v>0</v>
      </c>
      <c r="J257" s="8">
        <f>IF(OR(G257="",H257="",I257="",I257=0),"",H257/I257)</f>
        <v>0</v>
      </c>
      <c r="K257" s="8">
        <f>IF(B257="","",Household_Size)</f>
        <v>0</v>
      </c>
      <c r="L257" s="8">
        <f>IF(OR(G257="",H257=""),"",IFERROR(IFERROR(INDEX(Recipes!$H$5:$H$204,MATCH(G257,Recipes!$A$5:$A$204,0)),"")*H257,""))</f>
        <v>0</v>
      </c>
      <c r="M257" s="8">
        <f>IF(OR(G257="",H257=""),"",IFERROR(IFERROR(INDEX(Recipes!$I$5:$I$204,MATCH(G257,Recipes!$A$5:$A$204,0)),"")*H257,""))</f>
        <v>0</v>
      </c>
      <c r="N257" s="8">
        <f>IF(OR(G257="",H257=""),"",IFERROR(IFERROR(INDEX(Recipes!$J$5:$J$204,MATCH(G257,Recipes!$A$5:$A$204,0)),"")*H257,""))</f>
        <v>0</v>
      </c>
      <c r="O257" s="8">
        <f>IF(OR(G257="",H257=""),"",IFERROR(IFERROR(INDEX(Recipes!$K$5:$K$204,MATCH(G257,Recipes!$A$5:$A$204,0)),"")*H257,""))</f>
        <v>0</v>
      </c>
      <c r="P257" s="8">
        <f>IF(OR(G257="",H257=""),"",IFERROR(IFERROR(INDEX(Recipes!$L$5:$L$204,MATCH(G257,Recipes!$A$5:$A$204,0)),"")*H257,""))</f>
        <v>0</v>
      </c>
      <c r="Q257" s="8">
        <f>IF(OR(G257="",H257=""),"",IFERROR(IFERROR(INDEX(Recipes!$Q$5:$Q$204,MATCH(G257,Recipes!$A$5:$A$204,0)),"")*H257,""))</f>
        <v>0</v>
      </c>
      <c r="R257" s="8">
        <f>IF(F257="","",Weekly_Budget/21)</f>
        <v>0</v>
      </c>
      <c r="S257" s="27"/>
      <c r="T257" s="27"/>
      <c r="U257" s="26"/>
      <c r="V257" s="7"/>
      <c r="W257" s="7"/>
      <c r="X257" s="26"/>
      <c r="Y257" s="8">
        <f>IF(G257="","",IF(COUNTIFS('Meal Prep'!$D$5:$D$124,G257)&gt;0,"Yes","No"))</f>
        <v>0</v>
      </c>
      <c r="Z257" s="8">
        <f>IF(G257="","",COUNTIFS('Recipe Ingredients'!$A$5:$A$1204,G257))</f>
        <v>0</v>
      </c>
      <c r="AA257" s="25"/>
      <c r="AB257" s="8">
        <f>IF(OR(B257="",Q257=""),"",COUNTIFS($B$5:$B$504,B257,$Q$5:$Q$504,"&gt;"&amp;Q257)+1)</f>
        <v>0</v>
      </c>
      <c r="AC257" s="8">
        <f>IF(OR(B257="",L257=""),"",COUNTIFS($B$5:$B$504,B257,$L$5:$L$504,"&gt;"&amp;L257)+1)</f>
        <v>0</v>
      </c>
      <c r="AD257" s="8">
        <f>IF(G257="","",IF(COUNTIFS($G$5:$G$504,G257)&gt;1,"Repeat","Once"))</f>
        <v>0</v>
      </c>
      <c r="AE257" s="8">
        <f>IF(G257="","",IF(IFERROR(INDEX(Recipes!$X$5:$X$204,MATCH(G257,Recipes!$A$5:$A$204,0)),"")="","",IFERROR(B257-IFERROR(INDEX(Recipes!$X$5:$X$204,MATCH(G257,Recipes!$A$5:$A$204,0)),""),"")))</f>
        <v>0</v>
      </c>
      <c r="AF257" s="8">
        <f>IF(G257="","",IF(AE257="","Yes",IF(AE257&gt;=Rotation_Gap_Days,"Yes","No")))</f>
        <v>0</v>
      </c>
      <c r="AG257" s="8">
        <f>IF(G257="","",IF(COUNTIFS('Recipe Ingredients'!$A$5:$A$1204,G257,'Recipe Ingredients'!$AC$5:$AC$1204,"Check")&gt;0,"Check","OK"))</f>
        <v>0</v>
      </c>
    </row>
    <row r="258" spans="1:33">
      <c r="A258" s="7"/>
      <c r="B258" s="30"/>
      <c r="C258" s="8">
        <f>IF(B258="","",B258-WEEKDAY(B258,2)+1)</f>
        <v>0</v>
      </c>
      <c r="D258" s="8">
        <f>IF(B258="","",TEXT(B258,"ddd"))</f>
        <v>0</v>
      </c>
      <c r="E258" s="8">
        <f>IF(B258="","",TEXT(B258,"mmm yyyy"))</f>
        <v>0</v>
      </c>
      <c r="F258" s="27"/>
      <c r="G258" s="7"/>
      <c r="H258" s="26"/>
      <c r="I258" s="8">
        <f>IF(G258="","",IFERROR(INDEX(Recipes!$D$5:$D$204,MATCH(G258,Recipes!$A$5:$A$204,0)),""))</f>
        <v>0</v>
      </c>
      <c r="J258" s="8">
        <f>IF(OR(G258="",H258="",I258="",I258=0),"",H258/I258)</f>
        <v>0</v>
      </c>
      <c r="K258" s="8">
        <f>IF(B258="","",Household_Size)</f>
        <v>0</v>
      </c>
      <c r="L258" s="8">
        <f>IF(OR(G258="",H258=""),"",IFERROR(IFERROR(INDEX(Recipes!$H$5:$H$204,MATCH(G258,Recipes!$A$5:$A$204,0)),"")*H258,""))</f>
        <v>0</v>
      </c>
      <c r="M258" s="8">
        <f>IF(OR(G258="",H258=""),"",IFERROR(IFERROR(INDEX(Recipes!$I$5:$I$204,MATCH(G258,Recipes!$A$5:$A$204,0)),"")*H258,""))</f>
        <v>0</v>
      </c>
      <c r="N258" s="8">
        <f>IF(OR(G258="",H258=""),"",IFERROR(IFERROR(INDEX(Recipes!$J$5:$J$204,MATCH(G258,Recipes!$A$5:$A$204,0)),"")*H258,""))</f>
        <v>0</v>
      </c>
      <c r="O258" s="8">
        <f>IF(OR(G258="",H258=""),"",IFERROR(IFERROR(INDEX(Recipes!$K$5:$K$204,MATCH(G258,Recipes!$A$5:$A$204,0)),"")*H258,""))</f>
        <v>0</v>
      </c>
      <c r="P258" s="8">
        <f>IF(OR(G258="",H258=""),"",IFERROR(IFERROR(INDEX(Recipes!$L$5:$L$204,MATCH(G258,Recipes!$A$5:$A$204,0)),"")*H258,""))</f>
        <v>0</v>
      </c>
      <c r="Q258" s="8">
        <f>IF(OR(G258="",H258=""),"",IFERROR(IFERROR(INDEX(Recipes!$Q$5:$Q$204,MATCH(G258,Recipes!$A$5:$A$204,0)),"")*H258,""))</f>
        <v>0</v>
      </c>
      <c r="R258" s="8">
        <f>IF(F258="","",Weekly_Budget/21)</f>
        <v>0</v>
      </c>
      <c r="S258" s="27"/>
      <c r="T258" s="27"/>
      <c r="U258" s="26"/>
      <c r="V258" s="7"/>
      <c r="W258" s="7"/>
      <c r="X258" s="26"/>
      <c r="Y258" s="8">
        <f>IF(G258="","",IF(COUNTIFS('Meal Prep'!$D$5:$D$124,G258)&gt;0,"Yes","No"))</f>
        <v>0</v>
      </c>
      <c r="Z258" s="8">
        <f>IF(G258="","",COUNTIFS('Recipe Ingredients'!$A$5:$A$1204,G258))</f>
        <v>0</v>
      </c>
      <c r="AA258" s="25"/>
      <c r="AB258" s="8">
        <f>IF(OR(B258="",Q258=""),"",COUNTIFS($B$5:$B$504,B258,$Q$5:$Q$504,"&gt;"&amp;Q258)+1)</f>
        <v>0</v>
      </c>
      <c r="AC258" s="8">
        <f>IF(OR(B258="",L258=""),"",COUNTIFS($B$5:$B$504,B258,$L$5:$L$504,"&gt;"&amp;L258)+1)</f>
        <v>0</v>
      </c>
      <c r="AD258" s="8">
        <f>IF(G258="","",IF(COUNTIFS($G$5:$G$504,G258)&gt;1,"Repeat","Once"))</f>
        <v>0</v>
      </c>
      <c r="AE258" s="8">
        <f>IF(G258="","",IF(IFERROR(INDEX(Recipes!$X$5:$X$204,MATCH(G258,Recipes!$A$5:$A$204,0)),"")="","",IFERROR(B258-IFERROR(INDEX(Recipes!$X$5:$X$204,MATCH(G258,Recipes!$A$5:$A$204,0)),""),"")))</f>
        <v>0</v>
      </c>
      <c r="AF258" s="8">
        <f>IF(G258="","",IF(AE258="","Yes",IF(AE258&gt;=Rotation_Gap_Days,"Yes","No")))</f>
        <v>0</v>
      </c>
      <c r="AG258" s="8">
        <f>IF(G258="","",IF(COUNTIFS('Recipe Ingredients'!$A$5:$A$1204,G258,'Recipe Ingredients'!$AC$5:$AC$1204,"Check")&gt;0,"Check","OK"))</f>
        <v>0</v>
      </c>
    </row>
    <row r="259" spans="1:33">
      <c r="A259" s="7"/>
      <c r="B259" s="30"/>
      <c r="C259" s="8">
        <f>IF(B259="","",B259-WEEKDAY(B259,2)+1)</f>
        <v>0</v>
      </c>
      <c r="D259" s="8">
        <f>IF(B259="","",TEXT(B259,"ddd"))</f>
        <v>0</v>
      </c>
      <c r="E259" s="8">
        <f>IF(B259="","",TEXT(B259,"mmm yyyy"))</f>
        <v>0</v>
      </c>
      <c r="F259" s="27"/>
      <c r="G259" s="7"/>
      <c r="H259" s="26"/>
      <c r="I259" s="8">
        <f>IF(G259="","",IFERROR(INDEX(Recipes!$D$5:$D$204,MATCH(G259,Recipes!$A$5:$A$204,0)),""))</f>
        <v>0</v>
      </c>
      <c r="J259" s="8">
        <f>IF(OR(G259="",H259="",I259="",I259=0),"",H259/I259)</f>
        <v>0</v>
      </c>
      <c r="K259" s="8">
        <f>IF(B259="","",Household_Size)</f>
        <v>0</v>
      </c>
      <c r="L259" s="8">
        <f>IF(OR(G259="",H259=""),"",IFERROR(IFERROR(INDEX(Recipes!$H$5:$H$204,MATCH(G259,Recipes!$A$5:$A$204,0)),"")*H259,""))</f>
        <v>0</v>
      </c>
      <c r="M259" s="8">
        <f>IF(OR(G259="",H259=""),"",IFERROR(IFERROR(INDEX(Recipes!$I$5:$I$204,MATCH(G259,Recipes!$A$5:$A$204,0)),"")*H259,""))</f>
        <v>0</v>
      </c>
      <c r="N259" s="8">
        <f>IF(OR(G259="",H259=""),"",IFERROR(IFERROR(INDEX(Recipes!$J$5:$J$204,MATCH(G259,Recipes!$A$5:$A$204,0)),"")*H259,""))</f>
        <v>0</v>
      </c>
      <c r="O259" s="8">
        <f>IF(OR(G259="",H259=""),"",IFERROR(IFERROR(INDEX(Recipes!$K$5:$K$204,MATCH(G259,Recipes!$A$5:$A$204,0)),"")*H259,""))</f>
        <v>0</v>
      </c>
      <c r="P259" s="8">
        <f>IF(OR(G259="",H259=""),"",IFERROR(IFERROR(INDEX(Recipes!$L$5:$L$204,MATCH(G259,Recipes!$A$5:$A$204,0)),"")*H259,""))</f>
        <v>0</v>
      </c>
      <c r="Q259" s="8">
        <f>IF(OR(G259="",H259=""),"",IFERROR(IFERROR(INDEX(Recipes!$Q$5:$Q$204,MATCH(G259,Recipes!$A$5:$A$204,0)),"")*H259,""))</f>
        <v>0</v>
      </c>
      <c r="R259" s="8">
        <f>IF(F259="","",Weekly_Budget/21)</f>
        <v>0</v>
      </c>
      <c r="S259" s="27"/>
      <c r="T259" s="27"/>
      <c r="U259" s="26"/>
      <c r="V259" s="7"/>
      <c r="W259" s="7"/>
      <c r="X259" s="26"/>
      <c r="Y259" s="8">
        <f>IF(G259="","",IF(COUNTIFS('Meal Prep'!$D$5:$D$124,G259)&gt;0,"Yes","No"))</f>
        <v>0</v>
      </c>
      <c r="Z259" s="8">
        <f>IF(G259="","",COUNTIFS('Recipe Ingredients'!$A$5:$A$1204,G259))</f>
        <v>0</v>
      </c>
      <c r="AA259" s="25"/>
      <c r="AB259" s="8">
        <f>IF(OR(B259="",Q259=""),"",COUNTIFS($B$5:$B$504,B259,$Q$5:$Q$504,"&gt;"&amp;Q259)+1)</f>
        <v>0</v>
      </c>
      <c r="AC259" s="8">
        <f>IF(OR(B259="",L259=""),"",COUNTIFS($B$5:$B$504,B259,$L$5:$L$504,"&gt;"&amp;L259)+1)</f>
        <v>0</v>
      </c>
      <c r="AD259" s="8">
        <f>IF(G259="","",IF(COUNTIFS($G$5:$G$504,G259)&gt;1,"Repeat","Once"))</f>
        <v>0</v>
      </c>
      <c r="AE259" s="8">
        <f>IF(G259="","",IF(IFERROR(INDEX(Recipes!$X$5:$X$204,MATCH(G259,Recipes!$A$5:$A$204,0)),"")="","",IFERROR(B259-IFERROR(INDEX(Recipes!$X$5:$X$204,MATCH(G259,Recipes!$A$5:$A$204,0)),""),"")))</f>
        <v>0</v>
      </c>
      <c r="AF259" s="8">
        <f>IF(G259="","",IF(AE259="","Yes",IF(AE259&gt;=Rotation_Gap_Days,"Yes","No")))</f>
        <v>0</v>
      </c>
      <c r="AG259" s="8">
        <f>IF(G259="","",IF(COUNTIFS('Recipe Ingredients'!$A$5:$A$1204,G259,'Recipe Ingredients'!$AC$5:$AC$1204,"Check")&gt;0,"Check","OK"))</f>
        <v>0</v>
      </c>
    </row>
    <row r="260" spans="1:33">
      <c r="A260" s="7"/>
      <c r="B260" s="30"/>
      <c r="C260" s="8">
        <f>IF(B260="","",B260-WEEKDAY(B260,2)+1)</f>
        <v>0</v>
      </c>
      <c r="D260" s="8">
        <f>IF(B260="","",TEXT(B260,"ddd"))</f>
        <v>0</v>
      </c>
      <c r="E260" s="8">
        <f>IF(B260="","",TEXT(B260,"mmm yyyy"))</f>
        <v>0</v>
      </c>
      <c r="F260" s="27"/>
      <c r="G260" s="7"/>
      <c r="H260" s="26"/>
      <c r="I260" s="8">
        <f>IF(G260="","",IFERROR(INDEX(Recipes!$D$5:$D$204,MATCH(G260,Recipes!$A$5:$A$204,0)),""))</f>
        <v>0</v>
      </c>
      <c r="J260" s="8">
        <f>IF(OR(G260="",H260="",I260="",I260=0),"",H260/I260)</f>
        <v>0</v>
      </c>
      <c r="K260" s="8">
        <f>IF(B260="","",Household_Size)</f>
        <v>0</v>
      </c>
      <c r="L260" s="8">
        <f>IF(OR(G260="",H260=""),"",IFERROR(IFERROR(INDEX(Recipes!$H$5:$H$204,MATCH(G260,Recipes!$A$5:$A$204,0)),"")*H260,""))</f>
        <v>0</v>
      </c>
      <c r="M260" s="8">
        <f>IF(OR(G260="",H260=""),"",IFERROR(IFERROR(INDEX(Recipes!$I$5:$I$204,MATCH(G260,Recipes!$A$5:$A$204,0)),"")*H260,""))</f>
        <v>0</v>
      </c>
      <c r="N260" s="8">
        <f>IF(OR(G260="",H260=""),"",IFERROR(IFERROR(INDEX(Recipes!$J$5:$J$204,MATCH(G260,Recipes!$A$5:$A$204,0)),"")*H260,""))</f>
        <v>0</v>
      </c>
      <c r="O260" s="8">
        <f>IF(OR(G260="",H260=""),"",IFERROR(IFERROR(INDEX(Recipes!$K$5:$K$204,MATCH(G260,Recipes!$A$5:$A$204,0)),"")*H260,""))</f>
        <v>0</v>
      </c>
      <c r="P260" s="8">
        <f>IF(OR(G260="",H260=""),"",IFERROR(IFERROR(INDEX(Recipes!$L$5:$L$204,MATCH(G260,Recipes!$A$5:$A$204,0)),"")*H260,""))</f>
        <v>0</v>
      </c>
      <c r="Q260" s="8">
        <f>IF(OR(G260="",H260=""),"",IFERROR(IFERROR(INDEX(Recipes!$Q$5:$Q$204,MATCH(G260,Recipes!$A$5:$A$204,0)),"")*H260,""))</f>
        <v>0</v>
      </c>
      <c r="R260" s="8">
        <f>IF(F260="","",Weekly_Budget/21)</f>
        <v>0</v>
      </c>
      <c r="S260" s="27"/>
      <c r="T260" s="27"/>
      <c r="U260" s="26"/>
      <c r="V260" s="7"/>
      <c r="W260" s="7"/>
      <c r="X260" s="26"/>
      <c r="Y260" s="8">
        <f>IF(G260="","",IF(COUNTIFS('Meal Prep'!$D$5:$D$124,G260)&gt;0,"Yes","No"))</f>
        <v>0</v>
      </c>
      <c r="Z260" s="8">
        <f>IF(G260="","",COUNTIFS('Recipe Ingredients'!$A$5:$A$1204,G260))</f>
        <v>0</v>
      </c>
      <c r="AA260" s="25"/>
      <c r="AB260" s="8">
        <f>IF(OR(B260="",Q260=""),"",COUNTIFS($B$5:$B$504,B260,$Q$5:$Q$504,"&gt;"&amp;Q260)+1)</f>
        <v>0</v>
      </c>
      <c r="AC260" s="8">
        <f>IF(OR(B260="",L260=""),"",COUNTIFS($B$5:$B$504,B260,$L$5:$L$504,"&gt;"&amp;L260)+1)</f>
        <v>0</v>
      </c>
      <c r="AD260" s="8">
        <f>IF(G260="","",IF(COUNTIFS($G$5:$G$504,G260)&gt;1,"Repeat","Once"))</f>
        <v>0</v>
      </c>
      <c r="AE260" s="8">
        <f>IF(G260="","",IF(IFERROR(INDEX(Recipes!$X$5:$X$204,MATCH(G260,Recipes!$A$5:$A$204,0)),"")="","",IFERROR(B260-IFERROR(INDEX(Recipes!$X$5:$X$204,MATCH(G260,Recipes!$A$5:$A$204,0)),""),"")))</f>
        <v>0</v>
      </c>
      <c r="AF260" s="8">
        <f>IF(G260="","",IF(AE260="","Yes",IF(AE260&gt;=Rotation_Gap_Days,"Yes","No")))</f>
        <v>0</v>
      </c>
      <c r="AG260" s="8">
        <f>IF(G260="","",IF(COUNTIFS('Recipe Ingredients'!$A$5:$A$1204,G260,'Recipe Ingredients'!$AC$5:$AC$1204,"Check")&gt;0,"Check","OK"))</f>
        <v>0</v>
      </c>
    </row>
    <row r="261" spans="1:33">
      <c r="A261" s="7"/>
      <c r="B261" s="30"/>
      <c r="C261" s="8">
        <f>IF(B261="","",B261-WEEKDAY(B261,2)+1)</f>
        <v>0</v>
      </c>
      <c r="D261" s="8">
        <f>IF(B261="","",TEXT(B261,"ddd"))</f>
        <v>0</v>
      </c>
      <c r="E261" s="8">
        <f>IF(B261="","",TEXT(B261,"mmm yyyy"))</f>
        <v>0</v>
      </c>
      <c r="F261" s="27"/>
      <c r="G261" s="7"/>
      <c r="H261" s="26"/>
      <c r="I261" s="8">
        <f>IF(G261="","",IFERROR(INDEX(Recipes!$D$5:$D$204,MATCH(G261,Recipes!$A$5:$A$204,0)),""))</f>
        <v>0</v>
      </c>
      <c r="J261" s="8">
        <f>IF(OR(G261="",H261="",I261="",I261=0),"",H261/I261)</f>
        <v>0</v>
      </c>
      <c r="K261" s="8">
        <f>IF(B261="","",Household_Size)</f>
        <v>0</v>
      </c>
      <c r="L261" s="8">
        <f>IF(OR(G261="",H261=""),"",IFERROR(IFERROR(INDEX(Recipes!$H$5:$H$204,MATCH(G261,Recipes!$A$5:$A$204,0)),"")*H261,""))</f>
        <v>0</v>
      </c>
      <c r="M261" s="8">
        <f>IF(OR(G261="",H261=""),"",IFERROR(IFERROR(INDEX(Recipes!$I$5:$I$204,MATCH(G261,Recipes!$A$5:$A$204,0)),"")*H261,""))</f>
        <v>0</v>
      </c>
      <c r="N261" s="8">
        <f>IF(OR(G261="",H261=""),"",IFERROR(IFERROR(INDEX(Recipes!$J$5:$J$204,MATCH(G261,Recipes!$A$5:$A$204,0)),"")*H261,""))</f>
        <v>0</v>
      </c>
      <c r="O261" s="8">
        <f>IF(OR(G261="",H261=""),"",IFERROR(IFERROR(INDEX(Recipes!$K$5:$K$204,MATCH(G261,Recipes!$A$5:$A$204,0)),"")*H261,""))</f>
        <v>0</v>
      </c>
      <c r="P261" s="8">
        <f>IF(OR(G261="",H261=""),"",IFERROR(IFERROR(INDEX(Recipes!$L$5:$L$204,MATCH(G261,Recipes!$A$5:$A$204,0)),"")*H261,""))</f>
        <v>0</v>
      </c>
      <c r="Q261" s="8">
        <f>IF(OR(G261="",H261=""),"",IFERROR(IFERROR(INDEX(Recipes!$Q$5:$Q$204,MATCH(G261,Recipes!$A$5:$A$204,0)),"")*H261,""))</f>
        <v>0</v>
      </c>
      <c r="R261" s="8">
        <f>IF(F261="","",Weekly_Budget/21)</f>
        <v>0</v>
      </c>
      <c r="S261" s="27"/>
      <c r="T261" s="27"/>
      <c r="U261" s="26"/>
      <c r="V261" s="7"/>
      <c r="W261" s="7"/>
      <c r="X261" s="26"/>
      <c r="Y261" s="8">
        <f>IF(G261="","",IF(COUNTIFS('Meal Prep'!$D$5:$D$124,G261)&gt;0,"Yes","No"))</f>
        <v>0</v>
      </c>
      <c r="Z261" s="8">
        <f>IF(G261="","",COUNTIFS('Recipe Ingredients'!$A$5:$A$1204,G261))</f>
        <v>0</v>
      </c>
      <c r="AA261" s="25"/>
      <c r="AB261" s="8">
        <f>IF(OR(B261="",Q261=""),"",COUNTIFS($B$5:$B$504,B261,$Q$5:$Q$504,"&gt;"&amp;Q261)+1)</f>
        <v>0</v>
      </c>
      <c r="AC261" s="8">
        <f>IF(OR(B261="",L261=""),"",COUNTIFS($B$5:$B$504,B261,$L$5:$L$504,"&gt;"&amp;L261)+1)</f>
        <v>0</v>
      </c>
      <c r="AD261" s="8">
        <f>IF(G261="","",IF(COUNTIFS($G$5:$G$504,G261)&gt;1,"Repeat","Once"))</f>
        <v>0</v>
      </c>
      <c r="AE261" s="8">
        <f>IF(G261="","",IF(IFERROR(INDEX(Recipes!$X$5:$X$204,MATCH(G261,Recipes!$A$5:$A$204,0)),"")="","",IFERROR(B261-IFERROR(INDEX(Recipes!$X$5:$X$204,MATCH(G261,Recipes!$A$5:$A$204,0)),""),"")))</f>
        <v>0</v>
      </c>
      <c r="AF261" s="8">
        <f>IF(G261="","",IF(AE261="","Yes",IF(AE261&gt;=Rotation_Gap_Days,"Yes","No")))</f>
        <v>0</v>
      </c>
      <c r="AG261" s="8">
        <f>IF(G261="","",IF(COUNTIFS('Recipe Ingredients'!$A$5:$A$1204,G261,'Recipe Ingredients'!$AC$5:$AC$1204,"Check")&gt;0,"Check","OK"))</f>
        <v>0</v>
      </c>
    </row>
    <row r="262" spans="1:33">
      <c r="A262" s="7"/>
      <c r="B262" s="30"/>
      <c r="C262" s="8">
        <f>IF(B262="","",B262-WEEKDAY(B262,2)+1)</f>
        <v>0</v>
      </c>
      <c r="D262" s="8">
        <f>IF(B262="","",TEXT(B262,"ddd"))</f>
        <v>0</v>
      </c>
      <c r="E262" s="8">
        <f>IF(B262="","",TEXT(B262,"mmm yyyy"))</f>
        <v>0</v>
      </c>
      <c r="F262" s="27"/>
      <c r="G262" s="7"/>
      <c r="H262" s="26"/>
      <c r="I262" s="8">
        <f>IF(G262="","",IFERROR(INDEX(Recipes!$D$5:$D$204,MATCH(G262,Recipes!$A$5:$A$204,0)),""))</f>
        <v>0</v>
      </c>
      <c r="J262" s="8">
        <f>IF(OR(G262="",H262="",I262="",I262=0),"",H262/I262)</f>
        <v>0</v>
      </c>
      <c r="K262" s="8">
        <f>IF(B262="","",Household_Size)</f>
        <v>0</v>
      </c>
      <c r="L262" s="8">
        <f>IF(OR(G262="",H262=""),"",IFERROR(IFERROR(INDEX(Recipes!$H$5:$H$204,MATCH(G262,Recipes!$A$5:$A$204,0)),"")*H262,""))</f>
        <v>0</v>
      </c>
      <c r="M262" s="8">
        <f>IF(OR(G262="",H262=""),"",IFERROR(IFERROR(INDEX(Recipes!$I$5:$I$204,MATCH(G262,Recipes!$A$5:$A$204,0)),"")*H262,""))</f>
        <v>0</v>
      </c>
      <c r="N262" s="8">
        <f>IF(OR(G262="",H262=""),"",IFERROR(IFERROR(INDEX(Recipes!$J$5:$J$204,MATCH(G262,Recipes!$A$5:$A$204,0)),"")*H262,""))</f>
        <v>0</v>
      </c>
      <c r="O262" s="8">
        <f>IF(OR(G262="",H262=""),"",IFERROR(IFERROR(INDEX(Recipes!$K$5:$K$204,MATCH(G262,Recipes!$A$5:$A$204,0)),"")*H262,""))</f>
        <v>0</v>
      </c>
      <c r="P262" s="8">
        <f>IF(OR(G262="",H262=""),"",IFERROR(IFERROR(INDEX(Recipes!$L$5:$L$204,MATCH(G262,Recipes!$A$5:$A$204,0)),"")*H262,""))</f>
        <v>0</v>
      </c>
      <c r="Q262" s="8">
        <f>IF(OR(G262="",H262=""),"",IFERROR(IFERROR(INDEX(Recipes!$Q$5:$Q$204,MATCH(G262,Recipes!$A$5:$A$204,0)),"")*H262,""))</f>
        <v>0</v>
      </c>
      <c r="R262" s="8">
        <f>IF(F262="","",Weekly_Budget/21)</f>
        <v>0</v>
      </c>
      <c r="S262" s="27"/>
      <c r="T262" s="27"/>
      <c r="U262" s="26"/>
      <c r="V262" s="7"/>
      <c r="W262" s="7"/>
      <c r="X262" s="26"/>
      <c r="Y262" s="8">
        <f>IF(G262="","",IF(COUNTIFS('Meal Prep'!$D$5:$D$124,G262)&gt;0,"Yes","No"))</f>
        <v>0</v>
      </c>
      <c r="Z262" s="8">
        <f>IF(G262="","",COUNTIFS('Recipe Ingredients'!$A$5:$A$1204,G262))</f>
        <v>0</v>
      </c>
      <c r="AA262" s="25"/>
      <c r="AB262" s="8">
        <f>IF(OR(B262="",Q262=""),"",COUNTIFS($B$5:$B$504,B262,$Q$5:$Q$504,"&gt;"&amp;Q262)+1)</f>
        <v>0</v>
      </c>
      <c r="AC262" s="8">
        <f>IF(OR(B262="",L262=""),"",COUNTIFS($B$5:$B$504,B262,$L$5:$L$504,"&gt;"&amp;L262)+1)</f>
        <v>0</v>
      </c>
      <c r="AD262" s="8">
        <f>IF(G262="","",IF(COUNTIFS($G$5:$G$504,G262)&gt;1,"Repeat","Once"))</f>
        <v>0</v>
      </c>
      <c r="AE262" s="8">
        <f>IF(G262="","",IF(IFERROR(INDEX(Recipes!$X$5:$X$204,MATCH(G262,Recipes!$A$5:$A$204,0)),"")="","",IFERROR(B262-IFERROR(INDEX(Recipes!$X$5:$X$204,MATCH(G262,Recipes!$A$5:$A$204,0)),""),"")))</f>
        <v>0</v>
      </c>
      <c r="AF262" s="8">
        <f>IF(G262="","",IF(AE262="","Yes",IF(AE262&gt;=Rotation_Gap_Days,"Yes","No")))</f>
        <v>0</v>
      </c>
      <c r="AG262" s="8">
        <f>IF(G262="","",IF(COUNTIFS('Recipe Ingredients'!$A$5:$A$1204,G262,'Recipe Ingredients'!$AC$5:$AC$1204,"Check")&gt;0,"Check","OK"))</f>
        <v>0</v>
      </c>
    </row>
    <row r="263" spans="1:33">
      <c r="A263" s="7"/>
      <c r="B263" s="30"/>
      <c r="C263" s="8">
        <f>IF(B263="","",B263-WEEKDAY(B263,2)+1)</f>
        <v>0</v>
      </c>
      <c r="D263" s="8">
        <f>IF(B263="","",TEXT(B263,"ddd"))</f>
        <v>0</v>
      </c>
      <c r="E263" s="8">
        <f>IF(B263="","",TEXT(B263,"mmm yyyy"))</f>
        <v>0</v>
      </c>
      <c r="F263" s="27"/>
      <c r="G263" s="7"/>
      <c r="H263" s="26"/>
      <c r="I263" s="8">
        <f>IF(G263="","",IFERROR(INDEX(Recipes!$D$5:$D$204,MATCH(G263,Recipes!$A$5:$A$204,0)),""))</f>
        <v>0</v>
      </c>
      <c r="J263" s="8">
        <f>IF(OR(G263="",H263="",I263="",I263=0),"",H263/I263)</f>
        <v>0</v>
      </c>
      <c r="K263" s="8">
        <f>IF(B263="","",Household_Size)</f>
        <v>0</v>
      </c>
      <c r="L263" s="8">
        <f>IF(OR(G263="",H263=""),"",IFERROR(IFERROR(INDEX(Recipes!$H$5:$H$204,MATCH(G263,Recipes!$A$5:$A$204,0)),"")*H263,""))</f>
        <v>0</v>
      </c>
      <c r="M263" s="8">
        <f>IF(OR(G263="",H263=""),"",IFERROR(IFERROR(INDEX(Recipes!$I$5:$I$204,MATCH(G263,Recipes!$A$5:$A$204,0)),"")*H263,""))</f>
        <v>0</v>
      </c>
      <c r="N263" s="8">
        <f>IF(OR(G263="",H263=""),"",IFERROR(IFERROR(INDEX(Recipes!$J$5:$J$204,MATCH(G263,Recipes!$A$5:$A$204,0)),"")*H263,""))</f>
        <v>0</v>
      </c>
      <c r="O263" s="8">
        <f>IF(OR(G263="",H263=""),"",IFERROR(IFERROR(INDEX(Recipes!$K$5:$K$204,MATCH(G263,Recipes!$A$5:$A$204,0)),"")*H263,""))</f>
        <v>0</v>
      </c>
      <c r="P263" s="8">
        <f>IF(OR(G263="",H263=""),"",IFERROR(IFERROR(INDEX(Recipes!$L$5:$L$204,MATCH(G263,Recipes!$A$5:$A$204,0)),"")*H263,""))</f>
        <v>0</v>
      </c>
      <c r="Q263" s="8">
        <f>IF(OR(G263="",H263=""),"",IFERROR(IFERROR(INDEX(Recipes!$Q$5:$Q$204,MATCH(G263,Recipes!$A$5:$A$204,0)),"")*H263,""))</f>
        <v>0</v>
      </c>
      <c r="R263" s="8">
        <f>IF(F263="","",Weekly_Budget/21)</f>
        <v>0</v>
      </c>
      <c r="S263" s="27"/>
      <c r="T263" s="27"/>
      <c r="U263" s="26"/>
      <c r="V263" s="7"/>
      <c r="W263" s="7"/>
      <c r="X263" s="26"/>
      <c r="Y263" s="8">
        <f>IF(G263="","",IF(COUNTIFS('Meal Prep'!$D$5:$D$124,G263)&gt;0,"Yes","No"))</f>
        <v>0</v>
      </c>
      <c r="Z263" s="8">
        <f>IF(G263="","",COUNTIFS('Recipe Ingredients'!$A$5:$A$1204,G263))</f>
        <v>0</v>
      </c>
      <c r="AA263" s="25"/>
      <c r="AB263" s="8">
        <f>IF(OR(B263="",Q263=""),"",COUNTIFS($B$5:$B$504,B263,$Q$5:$Q$504,"&gt;"&amp;Q263)+1)</f>
        <v>0</v>
      </c>
      <c r="AC263" s="8">
        <f>IF(OR(B263="",L263=""),"",COUNTIFS($B$5:$B$504,B263,$L$5:$L$504,"&gt;"&amp;L263)+1)</f>
        <v>0</v>
      </c>
      <c r="AD263" s="8">
        <f>IF(G263="","",IF(COUNTIFS($G$5:$G$504,G263)&gt;1,"Repeat","Once"))</f>
        <v>0</v>
      </c>
      <c r="AE263" s="8">
        <f>IF(G263="","",IF(IFERROR(INDEX(Recipes!$X$5:$X$204,MATCH(G263,Recipes!$A$5:$A$204,0)),"")="","",IFERROR(B263-IFERROR(INDEX(Recipes!$X$5:$X$204,MATCH(G263,Recipes!$A$5:$A$204,0)),""),"")))</f>
        <v>0</v>
      </c>
      <c r="AF263" s="8">
        <f>IF(G263="","",IF(AE263="","Yes",IF(AE263&gt;=Rotation_Gap_Days,"Yes","No")))</f>
        <v>0</v>
      </c>
      <c r="AG263" s="8">
        <f>IF(G263="","",IF(COUNTIFS('Recipe Ingredients'!$A$5:$A$1204,G263,'Recipe Ingredients'!$AC$5:$AC$1204,"Check")&gt;0,"Check","OK"))</f>
        <v>0</v>
      </c>
    </row>
    <row r="264" spans="1:33">
      <c r="A264" s="7"/>
      <c r="B264" s="30"/>
      <c r="C264" s="8">
        <f>IF(B264="","",B264-WEEKDAY(B264,2)+1)</f>
        <v>0</v>
      </c>
      <c r="D264" s="8">
        <f>IF(B264="","",TEXT(B264,"ddd"))</f>
        <v>0</v>
      </c>
      <c r="E264" s="8">
        <f>IF(B264="","",TEXT(B264,"mmm yyyy"))</f>
        <v>0</v>
      </c>
      <c r="F264" s="27"/>
      <c r="G264" s="7"/>
      <c r="H264" s="26"/>
      <c r="I264" s="8">
        <f>IF(G264="","",IFERROR(INDEX(Recipes!$D$5:$D$204,MATCH(G264,Recipes!$A$5:$A$204,0)),""))</f>
        <v>0</v>
      </c>
      <c r="J264" s="8">
        <f>IF(OR(G264="",H264="",I264="",I264=0),"",H264/I264)</f>
        <v>0</v>
      </c>
      <c r="K264" s="8">
        <f>IF(B264="","",Household_Size)</f>
        <v>0</v>
      </c>
      <c r="L264" s="8">
        <f>IF(OR(G264="",H264=""),"",IFERROR(IFERROR(INDEX(Recipes!$H$5:$H$204,MATCH(G264,Recipes!$A$5:$A$204,0)),"")*H264,""))</f>
        <v>0</v>
      </c>
      <c r="M264" s="8">
        <f>IF(OR(G264="",H264=""),"",IFERROR(IFERROR(INDEX(Recipes!$I$5:$I$204,MATCH(G264,Recipes!$A$5:$A$204,0)),"")*H264,""))</f>
        <v>0</v>
      </c>
      <c r="N264" s="8">
        <f>IF(OR(G264="",H264=""),"",IFERROR(IFERROR(INDEX(Recipes!$J$5:$J$204,MATCH(G264,Recipes!$A$5:$A$204,0)),"")*H264,""))</f>
        <v>0</v>
      </c>
      <c r="O264" s="8">
        <f>IF(OR(G264="",H264=""),"",IFERROR(IFERROR(INDEX(Recipes!$K$5:$K$204,MATCH(G264,Recipes!$A$5:$A$204,0)),"")*H264,""))</f>
        <v>0</v>
      </c>
      <c r="P264" s="8">
        <f>IF(OR(G264="",H264=""),"",IFERROR(IFERROR(INDEX(Recipes!$L$5:$L$204,MATCH(G264,Recipes!$A$5:$A$204,0)),"")*H264,""))</f>
        <v>0</v>
      </c>
      <c r="Q264" s="8">
        <f>IF(OR(G264="",H264=""),"",IFERROR(IFERROR(INDEX(Recipes!$Q$5:$Q$204,MATCH(G264,Recipes!$A$5:$A$204,0)),"")*H264,""))</f>
        <v>0</v>
      </c>
      <c r="R264" s="8">
        <f>IF(F264="","",Weekly_Budget/21)</f>
        <v>0</v>
      </c>
      <c r="S264" s="27"/>
      <c r="T264" s="27"/>
      <c r="U264" s="26"/>
      <c r="V264" s="7"/>
      <c r="W264" s="7"/>
      <c r="X264" s="26"/>
      <c r="Y264" s="8">
        <f>IF(G264="","",IF(COUNTIFS('Meal Prep'!$D$5:$D$124,G264)&gt;0,"Yes","No"))</f>
        <v>0</v>
      </c>
      <c r="Z264" s="8">
        <f>IF(G264="","",COUNTIFS('Recipe Ingredients'!$A$5:$A$1204,G264))</f>
        <v>0</v>
      </c>
      <c r="AA264" s="25"/>
      <c r="AB264" s="8">
        <f>IF(OR(B264="",Q264=""),"",COUNTIFS($B$5:$B$504,B264,$Q$5:$Q$504,"&gt;"&amp;Q264)+1)</f>
        <v>0</v>
      </c>
      <c r="AC264" s="8">
        <f>IF(OR(B264="",L264=""),"",COUNTIFS($B$5:$B$504,B264,$L$5:$L$504,"&gt;"&amp;L264)+1)</f>
        <v>0</v>
      </c>
      <c r="AD264" s="8">
        <f>IF(G264="","",IF(COUNTIFS($G$5:$G$504,G264)&gt;1,"Repeat","Once"))</f>
        <v>0</v>
      </c>
      <c r="AE264" s="8">
        <f>IF(G264="","",IF(IFERROR(INDEX(Recipes!$X$5:$X$204,MATCH(G264,Recipes!$A$5:$A$204,0)),"")="","",IFERROR(B264-IFERROR(INDEX(Recipes!$X$5:$X$204,MATCH(G264,Recipes!$A$5:$A$204,0)),""),"")))</f>
        <v>0</v>
      </c>
      <c r="AF264" s="8">
        <f>IF(G264="","",IF(AE264="","Yes",IF(AE264&gt;=Rotation_Gap_Days,"Yes","No")))</f>
        <v>0</v>
      </c>
      <c r="AG264" s="8">
        <f>IF(G264="","",IF(COUNTIFS('Recipe Ingredients'!$A$5:$A$1204,G264,'Recipe Ingredients'!$AC$5:$AC$1204,"Check")&gt;0,"Check","OK"))</f>
        <v>0</v>
      </c>
    </row>
    <row r="265" spans="1:33">
      <c r="A265" s="7"/>
      <c r="B265" s="30"/>
      <c r="C265" s="8">
        <f>IF(B265="","",B265-WEEKDAY(B265,2)+1)</f>
        <v>0</v>
      </c>
      <c r="D265" s="8">
        <f>IF(B265="","",TEXT(B265,"ddd"))</f>
        <v>0</v>
      </c>
      <c r="E265" s="8">
        <f>IF(B265="","",TEXT(B265,"mmm yyyy"))</f>
        <v>0</v>
      </c>
      <c r="F265" s="27"/>
      <c r="G265" s="7"/>
      <c r="H265" s="26"/>
      <c r="I265" s="8">
        <f>IF(G265="","",IFERROR(INDEX(Recipes!$D$5:$D$204,MATCH(G265,Recipes!$A$5:$A$204,0)),""))</f>
        <v>0</v>
      </c>
      <c r="J265" s="8">
        <f>IF(OR(G265="",H265="",I265="",I265=0),"",H265/I265)</f>
        <v>0</v>
      </c>
      <c r="K265" s="8">
        <f>IF(B265="","",Household_Size)</f>
        <v>0</v>
      </c>
      <c r="L265" s="8">
        <f>IF(OR(G265="",H265=""),"",IFERROR(IFERROR(INDEX(Recipes!$H$5:$H$204,MATCH(G265,Recipes!$A$5:$A$204,0)),"")*H265,""))</f>
        <v>0</v>
      </c>
      <c r="M265" s="8">
        <f>IF(OR(G265="",H265=""),"",IFERROR(IFERROR(INDEX(Recipes!$I$5:$I$204,MATCH(G265,Recipes!$A$5:$A$204,0)),"")*H265,""))</f>
        <v>0</v>
      </c>
      <c r="N265" s="8">
        <f>IF(OR(G265="",H265=""),"",IFERROR(IFERROR(INDEX(Recipes!$J$5:$J$204,MATCH(G265,Recipes!$A$5:$A$204,0)),"")*H265,""))</f>
        <v>0</v>
      </c>
      <c r="O265" s="8">
        <f>IF(OR(G265="",H265=""),"",IFERROR(IFERROR(INDEX(Recipes!$K$5:$K$204,MATCH(G265,Recipes!$A$5:$A$204,0)),"")*H265,""))</f>
        <v>0</v>
      </c>
      <c r="P265" s="8">
        <f>IF(OR(G265="",H265=""),"",IFERROR(IFERROR(INDEX(Recipes!$L$5:$L$204,MATCH(G265,Recipes!$A$5:$A$204,0)),"")*H265,""))</f>
        <v>0</v>
      </c>
      <c r="Q265" s="8">
        <f>IF(OR(G265="",H265=""),"",IFERROR(IFERROR(INDEX(Recipes!$Q$5:$Q$204,MATCH(G265,Recipes!$A$5:$A$204,0)),"")*H265,""))</f>
        <v>0</v>
      </c>
      <c r="R265" s="8">
        <f>IF(F265="","",Weekly_Budget/21)</f>
        <v>0</v>
      </c>
      <c r="S265" s="27"/>
      <c r="T265" s="27"/>
      <c r="U265" s="26"/>
      <c r="V265" s="7"/>
      <c r="W265" s="7"/>
      <c r="X265" s="26"/>
      <c r="Y265" s="8">
        <f>IF(G265="","",IF(COUNTIFS('Meal Prep'!$D$5:$D$124,G265)&gt;0,"Yes","No"))</f>
        <v>0</v>
      </c>
      <c r="Z265" s="8">
        <f>IF(G265="","",COUNTIFS('Recipe Ingredients'!$A$5:$A$1204,G265))</f>
        <v>0</v>
      </c>
      <c r="AA265" s="25"/>
      <c r="AB265" s="8">
        <f>IF(OR(B265="",Q265=""),"",COUNTIFS($B$5:$B$504,B265,$Q$5:$Q$504,"&gt;"&amp;Q265)+1)</f>
        <v>0</v>
      </c>
      <c r="AC265" s="8">
        <f>IF(OR(B265="",L265=""),"",COUNTIFS($B$5:$B$504,B265,$L$5:$L$504,"&gt;"&amp;L265)+1)</f>
        <v>0</v>
      </c>
      <c r="AD265" s="8">
        <f>IF(G265="","",IF(COUNTIFS($G$5:$G$504,G265)&gt;1,"Repeat","Once"))</f>
        <v>0</v>
      </c>
      <c r="AE265" s="8">
        <f>IF(G265="","",IF(IFERROR(INDEX(Recipes!$X$5:$X$204,MATCH(G265,Recipes!$A$5:$A$204,0)),"")="","",IFERROR(B265-IFERROR(INDEX(Recipes!$X$5:$X$204,MATCH(G265,Recipes!$A$5:$A$204,0)),""),"")))</f>
        <v>0</v>
      </c>
      <c r="AF265" s="8">
        <f>IF(G265="","",IF(AE265="","Yes",IF(AE265&gt;=Rotation_Gap_Days,"Yes","No")))</f>
        <v>0</v>
      </c>
      <c r="AG265" s="8">
        <f>IF(G265="","",IF(COUNTIFS('Recipe Ingredients'!$A$5:$A$1204,G265,'Recipe Ingredients'!$AC$5:$AC$1204,"Check")&gt;0,"Check","OK"))</f>
        <v>0</v>
      </c>
    </row>
    <row r="266" spans="1:33">
      <c r="A266" s="7"/>
      <c r="B266" s="30"/>
      <c r="C266" s="8">
        <f>IF(B266="","",B266-WEEKDAY(B266,2)+1)</f>
        <v>0</v>
      </c>
      <c r="D266" s="8">
        <f>IF(B266="","",TEXT(B266,"ddd"))</f>
        <v>0</v>
      </c>
      <c r="E266" s="8">
        <f>IF(B266="","",TEXT(B266,"mmm yyyy"))</f>
        <v>0</v>
      </c>
      <c r="F266" s="27"/>
      <c r="G266" s="7"/>
      <c r="H266" s="26"/>
      <c r="I266" s="8">
        <f>IF(G266="","",IFERROR(INDEX(Recipes!$D$5:$D$204,MATCH(G266,Recipes!$A$5:$A$204,0)),""))</f>
        <v>0</v>
      </c>
      <c r="J266" s="8">
        <f>IF(OR(G266="",H266="",I266="",I266=0),"",H266/I266)</f>
        <v>0</v>
      </c>
      <c r="K266" s="8">
        <f>IF(B266="","",Household_Size)</f>
        <v>0</v>
      </c>
      <c r="L266" s="8">
        <f>IF(OR(G266="",H266=""),"",IFERROR(IFERROR(INDEX(Recipes!$H$5:$H$204,MATCH(G266,Recipes!$A$5:$A$204,0)),"")*H266,""))</f>
        <v>0</v>
      </c>
      <c r="M266" s="8">
        <f>IF(OR(G266="",H266=""),"",IFERROR(IFERROR(INDEX(Recipes!$I$5:$I$204,MATCH(G266,Recipes!$A$5:$A$204,0)),"")*H266,""))</f>
        <v>0</v>
      </c>
      <c r="N266" s="8">
        <f>IF(OR(G266="",H266=""),"",IFERROR(IFERROR(INDEX(Recipes!$J$5:$J$204,MATCH(G266,Recipes!$A$5:$A$204,0)),"")*H266,""))</f>
        <v>0</v>
      </c>
      <c r="O266" s="8">
        <f>IF(OR(G266="",H266=""),"",IFERROR(IFERROR(INDEX(Recipes!$K$5:$K$204,MATCH(G266,Recipes!$A$5:$A$204,0)),"")*H266,""))</f>
        <v>0</v>
      </c>
      <c r="P266" s="8">
        <f>IF(OR(G266="",H266=""),"",IFERROR(IFERROR(INDEX(Recipes!$L$5:$L$204,MATCH(G266,Recipes!$A$5:$A$204,0)),"")*H266,""))</f>
        <v>0</v>
      </c>
      <c r="Q266" s="8">
        <f>IF(OR(G266="",H266=""),"",IFERROR(IFERROR(INDEX(Recipes!$Q$5:$Q$204,MATCH(G266,Recipes!$A$5:$A$204,0)),"")*H266,""))</f>
        <v>0</v>
      </c>
      <c r="R266" s="8">
        <f>IF(F266="","",Weekly_Budget/21)</f>
        <v>0</v>
      </c>
      <c r="S266" s="27"/>
      <c r="T266" s="27"/>
      <c r="U266" s="26"/>
      <c r="V266" s="7"/>
      <c r="W266" s="7"/>
      <c r="X266" s="26"/>
      <c r="Y266" s="8">
        <f>IF(G266="","",IF(COUNTIFS('Meal Prep'!$D$5:$D$124,G266)&gt;0,"Yes","No"))</f>
        <v>0</v>
      </c>
      <c r="Z266" s="8">
        <f>IF(G266="","",COUNTIFS('Recipe Ingredients'!$A$5:$A$1204,G266))</f>
        <v>0</v>
      </c>
      <c r="AA266" s="25"/>
      <c r="AB266" s="8">
        <f>IF(OR(B266="",Q266=""),"",COUNTIFS($B$5:$B$504,B266,$Q$5:$Q$504,"&gt;"&amp;Q266)+1)</f>
        <v>0</v>
      </c>
      <c r="AC266" s="8">
        <f>IF(OR(B266="",L266=""),"",COUNTIFS($B$5:$B$504,B266,$L$5:$L$504,"&gt;"&amp;L266)+1)</f>
        <v>0</v>
      </c>
      <c r="AD266" s="8">
        <f>IF(G266="","",IF(COUNTIFS($G$5:$G$504,G266)&gt;1,"Repeat","Once"))</f>
        <v>0</v>
      </c>
      <c r="AE266" s="8">
        <f>IF(G266="","",IF(IFERROR(INDEX(Recipes!$X$5:$X$204,MATCH(G266,Recipes!$A$5:$A$204,0)),"")="","",IFERROR(B266-IFERROR(INDEX(Recipes!$X$5:$X$204,MATCH(G266,Recipes!$A$5:$A$204,0)),""),"")))</f>
        <v>0</v>
      </c>
      <c r="AF266" s="8">
        <f>IF(G266="","",IF(AE266="","Yes",IF(AE266&gt;=Rotation_Gap_Days,"Yes","No")))</f>
        <v>0</v>
      </c>
      <c r="AG266" s="8">
        <f>IF(G266="","",IF(COUNTIFS('Recipe Ingredients'!$A$5:$A$1204,G266,'Recipe Ingredients'!$AC$5:$AC$1204,"Check")&gt;0,"Check","OK"))</f>
        <v>0</v>
      </c>
    </row>
    <row r="267" spans="1:33">
      <c r="A267" s="7"/>
      <c r="B267" s="30"/>
      <c r="C267" s="8">
        <f>IF(B267="","",B267-WEEKDAY(B267,2)+1)</f>
        <v>0</v>
      </c>
      <c r="D267" s="8">
        <f>IF(B267="","",TEXT(B267,"ddd"))</f>
        <v>0</v>
      </c>
      <c r="E267" s="8">
        <f>IF(B267="","",TEXT(B267,"mmm yyyy"))</f>
        <v>0</v>
      </c>
      <c r="F267" s="27"/>
      <c r="G267" s="7"/>
      <c r="H267" s="26"/>
      <c r="I267" s="8">
        <f>IF(G267="","",IFERROR(INDEX(Recipes!$D$5:$D$204,MATCH(G267,Recipes!$A$5:$A$204,0)),""))</f>
        <v>0</v>
      </c>
      <c r="J267" s="8">
        <f>IF(OR(G267="",H267="",I267="",I267=0),"",H267/I267)</f>
        <v>0</v>
      </c>
      <c r="K267" s="8">
        <f>IF(B267="","",Household_Size)</f>
        <v>0</v>
      </c>
      <c r="L267" s="8">
        <f>IF(OR(G267="",H267=""),"",IFERROR(IFERROR(INDEX(Recipes!$H$5:$H$204,MATCH(G267,Recipes!$A$5:$A$204,0)),"")*H267,""))</f>
        <v>0</v>
      </c>
      <c r="M267" s="8">
        <f>IF(OR(G267="",H267=""),"",IFERROR(IFERROR(INDEX(Recipes!$I$5:$I$204,MATCH(G267,Recipes!$A$5:$A$204,0)),"")*H267,""))</f>
        <v>0</v>
      </c>
      <c r="N267" s="8">
        <f>IF(OR(G267="",H267=""),"",IFERROR(IFERROR(INDEX(Recipes!$J$5:$J$204,MATCH(G267,Recipes!$A$5:$A$204,0)),"")*H267,""))</f>
        <v>0</v>
      </c>
      <c r="O267" s="8">
        <f>IF(OR(G267="",H267=""),"",IFERROR(IFERROR(INDEX(Recipes!$K$5:$K$204,MATCH(G267,Recipes!$A$5:$A$204,0)),"")*H267,""))</f>
        <v>0</v>
      </c>
      <c r="P267" s="8">
        <f>IF(OR(G267="",H267=""),"",IFERROR(IFERROR(INDEX(Recipes!$L$5:$L$204,MATCH(G267,Recipes!$A$5:$A$204,0)),"")*H267,""))</f>
        <v>0</v>
      </c>
      <c r="Q267" s="8">
        <f>IF(OR(G267="",H267=""),"",IFERROR(IFERROR(INDEX(Recipes!$Q$5:$Q$204,MATCH(G267,Recipes!$A$5:$A$204,0)),"")*H267,""))</f>
        <v>0</v>
      </c>
      <c r="R267" s="8">
        <f>IF(F267="","",Weekly_Budget/21)</f>
        <v>0</v>
      </c>
      <c r="S267" s="27"/>
      <c r="T267" s="27"/>
      <c r="U267" s="26"/>
      <c r="V267" s="7"/>
      <c r="W267" s="7"/>
      <c r="X267" s="26"/>
      <c r="Y267" s="8">
        <f>IF(G267="","",IF(COUNTIFS('Meal Prep'!$D$5:$D$124,G267)&gt;0,"Yes","No"))</f>
        <v>0</v>
      </c>
      <c r="Z267" s="8">
        <f>IF(G267="","",COUNTIFS('Recipe Ingredients'!$A$5:$A$1204,G267))</f>
        <v>0</v>
      </c>
      <c r="AA267" s="25"/>
      <c r="AB267" s="8">
        <f>IF(OR(B267="",Q267=""),"",COUNTIFS($B$5:$B$504,B267,$Q$5:$Q$504,"&gt;"&amp;Q267)+1)</f>
        <v>0</v>
      </c>
      <c r="AC267" s="8">
        <f>IF(OR(B267="",L267=""),"",COUNTIFS($B$5:$B$504,B267,$L$5:$L$504,"&gt;"&amp;L267)+1)</f>
        <v>0</v>
      </c>
      <c r="AD267" s="8">
        <f>IF(G267="","",IF(COUNTIFS($G$5:$G$504,G267)&gt;1,"Repeat","Once"))</f>
        <v>0</v>
      </c>
      <c r="AE267" s="8">
        <f>IF(G267="","",IF(IFERROR(INDEX(Recipes!$X$5:$X$204,MATCH(G267,Recipes!$A$5:$A$204,0)),"")="","",IFERROR(B267-IFERROR(INDEX(Recipes!$X$5:$X$204,MATCH(G267,Recipes!$A$5:$A$204,0)),""),"")))</f>
        <v>0</v>
      </c>
      <c r="AF267" s="8">
        <f>IF(G267="","",IF(AE267="","Yes",IF(AE267&gt;=Rotation_Gap_Days,"Yes","No")))</f>
        <v>0</v>
      </c>
      <c r="AG267" s="8">
        <f>IF(G267="","",IF(COUNTIFS('Recipe Ingredients'!$A$5:$A$1204,G267,'Recipe Ingredients'!$AC$5:$AC$1204,"Check")&gt;0,"Check","OK"))</f>
        <v>0</v>
      </c>
    </row>
    <row r="268" spans="1:33">
      <c r="A268" s="7"/>
      <c r="B268" s="30"/>
      <c r="C268" s="8">
        <f>IF(B268="","",B268-WEEKDAY(B268,2)+1)</f>
        <v>0</v>
      </c>
      <c r="D268" s="8">
        <f>IF(B268="","",TEXT(B268,"ddd"))</f>
        <v>0</v>
      </c>
      <c r="E268" s="8">
        <f>IF(B268="","",TEXT(B268,"mmm yyyy"))</f>
        <v>0</v>
      </c>
      <c r="F268" s="27"/>
      <c r="G268" s="7"/>
      <c r="H268" s="26"/>
      <c r="I268" s="8">
        <f>IF(G268="","",IFERROR(INDEX(Recipes!$D$5:$D$204,MATCH(G268,Recipes!$A$5:$A$204,0)),""))</f>
        <v>0</v>
      </c>
      <c r="J268" s="8">
        <f>IF(OR(G268="",H268="",I268="",I268=0),"",H268/I268)</f>
        <v>0</v>
      </c>
      <c r="K268" s="8">
        <f>IF(B268="","",Household_Size)</f>
        <v>0</v>
      </c>
      <c r="L268" s="8">
        <f>IF(OR(G268="",H268=""),"",IFERROR(IFERROR(INDEX(Recipes!$H$5:$H$204,MATCH(G268,Recipes!$A$5:$A$204,0)),"")*H268,""))</f>
        <v>0</v>
      </c>
      <c r="M268" s="8">
        <f>IF(OR(G268="",H268=""),"",IFERROR(IFERROR(INDEX(Recipes!$I$5:$I$204,MATCH(G268,Recipes!$A$5:$A$204,0)),"")*H268,""))</f>
        <v>0</v>
      </c>
      <c r="N268" s="8">
        <f>IF(OR(G268="",H268=""),"",IFERROR(IFERROR(INDEX(Recipes!$J$5:$J$204,MATCH(G268,Recipes!$A$5:$A$204,0)),"")*H268,""))</f>
        <v>0</v>
      </c>
      <c r="O268" s="8">
        <f>IF(OR(G268="",H268=""),"",IFERROR(IFERROR(INDEX(Recipes!$K$5:$K$204,MATCH(G268,Recipes!$A$5:$A$204,0)),"")*H268,""))</f>
        <v>0</v>
      </c>
      <c r="P268" s="8">
        <f>IF(OR(G268="",H268=""),"",IFERROR(IFERROR(INDEX(Recipes!$L$5:$L$204,MATCH(G268,Recipes!$A$5:$A$204,0)),"")*H268,""))</f>
        <v>0</v>
      </c>
      <c r="Q268" s="8">
        <f>IF(OR(G268="",H268=""),"",IFERROR(IFERROR(INDEX(Recipes!$Q$5:$Q$204,MATCH(G268,Recipes!$A$5:$A$204,0)),"")*H268,""))</f>
        <v>0</v>
      </c>
      <c r="R268" s="8">
        <f>IF(F268="","",Weekly_Budget/21)</f>
        <v>0</v>
      </c>
      <c r="S268" s="27"/>
      <c r="T268" s="27"/>
      <c r="U268" s="26"/>
      <c r="V268" s="7"/>
      <c r="W268" s="7"/>
      <c r="X268" s="26"/>
      <c r="Y268" s="8">
        <f>IF(G268="","",IF(COUNTIFS('Meal Prep'!$D$5:$D$124,G268)&gt;0,"Yes","No"))</f>
        <v>0</v>
      </c>
      <c r="Z268" s="8">
        <f>IF(G268="","",COUNTIFS('Recipe Ingredients'!$A$5:$A$1204,G268))</f>
        <v>0</v>
      </c>
      <c r="AA268" s="25"/>
      <c r="AB268" s="8">
        <f>IF(OR(B268="",Q268=""),"",COUNTIFS($B$5:$B$504,B268,$Q$5:$Q$504,"&gt;"&amp;Q268)+1)</f>
        <v>0</v>
      </c>
      <c r="AC268" s="8">
        <f>IF(OR(B268="",L268=""),"",COUNTIFS($B$5:$B$504,B268,$L$5:$L$504,"&gt;"&amp;L268)+1)</f>
        <v>0</v>
      </c>
      <c r="AD268" s="8">
        <f>IF(G268="","",IF(COUNTIFS($G$5:$G$504,G268)&gt;1,"Repeat","Once"))</f>
        <v>0</v>
      </c>
      <c r="AE268" s="8">
        <f>IF(G268="","",IF(IFERROR(INDEX(Recipes!$X$5:$X$204,MATCH(G268,Recipes!$A$5:$A$204,0)),"")="","",IFERROR(B268-IFERROR(INDEX(Recipes!$X$5:$X$204,MATCH(G268,Recipes!$A$5:$A$204,0)),""),"")))</f>
        <v>0</v>
      </c>
      <c r="AF268" s="8">
        <f>IF(G268="","",IF(AE268="","Yes",IF(AE268&gt;=Rotation_Gap_Days,"Yes","No")))</f>
        <v>0</v>
      </c>
      <c r="AG268" s="8">
        <f>IF(G268="","",IF(COUNTIFS('Recipe Ingredients'!$A$5:$A$1204,G268,'Recipe Ingredients'!$AC$5:$AC$1204,"Check")&gt;0,"Check","OK"))</f>
        <v>0</v>
      </c>
    </row>
    <row r="269" spans="1:33">
      <c r="A269" s="7"/>
      <c r="B269" s="30"/>
      <c r="C269" s="8">
        <f>IF(B269="","",B269-WEEKDAY(B269,2)+1)</f>
        <v>0</v>
      </c>
      <c r="D269" s="8">
        <f>IF(B269="","",TEXT(B269,"ddd"))</f>
        <v>0</v>
      </c>
      <c r="E269" s="8">
        <f>IF(B269="","",TEXT(B269,"mmm yyyy"))</f>
        <v>0</v>
      </c>
      <c r="F269" s="27"/>
      <c r="G269" s="7"/>
      <c r="H269" s="26"/>
      <c r="I269" s="8">
        <f>IF(G269="","",IFERROR(INDEX(Recipes!$D$5:$D$204,MATCH(G269,Recipes!$A$5:$A$204,0)),""))</f>
        <v>0</v>
      </c>
      <c r="J269" s="8">
        <f>IF(OR(G269="",H269="",I269="",I269=0),"",H269/I269)</f>
        <v>0</v>
      </c>
      <c r="K269" s="8">
        <f>IF(B269="","",Household_Size)</f>
        <v>0</v>
      </c>
      <c r="L269" s="8">
        <f>IF(OR(G269="",H269=""),"",IFERROR(IFERROR(INDEX(Recipes!$H$5:$H$204,MATCH(G269,Recipes!$A$5:$A$204,0)),"")*H269,""))</f>
        <v>0</v>
      </c>
      <c r="M269" s="8">
        <f>IF(OR(G269="",H269=""),"",IFERROR(IFERROR(INDEX(Recipes!$I$5:$I$204,MATCH(G269,Recipes!$A$5:$A$204,0)),"")*H269,""))</f>
        <v>0</v>
      </c>
      <c r="N269" s="8">
        <f>IF(OR(G269="",H269=""),"",IFERROR(IFERROR(INDEX(Recipes!$J$5:$J$204,MATCH(G269,Recipes!$A$5:$A$204,0)),"")*H269,""))</f>
        <v>0</v>
      </c>
      <c r="O269" s="8">
        <f>IF(OR(G269="",H269=""),"",IFERROR(IFERROR(INDEX(Recipes!$K$5:$K$204,MATCH(G269,Recipes!$A$5:$A$204,0)),"")*H269,""))</f>
        <v>0</v>
      </c>
      <c r="P269" s="8">
        <f>IF(OR(G269="",H269=""),"",IFERROR(IFERROR(INDEX(Recipes!$L$5:$L$204,MATCH(G269,Recipes!$A$5:$A$204,0)),"")*H269,""))</f>
        <v>0</v>
      </c>
      <c r="Q269" s="8">
        <f>IF(OR(G269="",H269=""),"",IFERROR(IFERROR(INDEX(Recipes!$Q$5:$Q$204,MATCH(G269,Recipes!$A$5:$A$204,0)),"")*H269,""))</f>
        <v>0</v>
      </c>
      <c r="R269" s="8">
        <f>IF(F269="","",Weekly_Budget/21)</f>
        <v>0</v>
      </c>
      <c r="S269" s="27"/>
      <c r="T269" s="27"/>
      <c r="U269" s="26"/>
      <c r="V269" s="7"/>
      <c r="W269" s="7"/>
      <c r="X269" s="26"/>
      <c r="Y269" s="8">
        <f>IF(G269="","",IF(COUNTIFS('Meal Prep'!$D$5:$D$124,G269)&gt;0,"Yes","No"))</f>
        <v>0</v>
      </c>
      <c r="Z269" s="8">
        <f>IF(G269="","",COUNTIFS('Recipe Ingredients'!$A$5:$A$1204,G269))</f>
        <v>0</v>
      </c>
      <c r="AA269" s="25"/>
      <c r="AB269" s="8">
        <f>IF(OR(B269="",Q269=""),"",COUNTIFS($B$5:$B$504,B269,$Q$5:$Q$504,"&gt;"&amp;Q269)+1)</f>
        <v>0</v>
      </c>
      <c r="AC269" s="8">
        <f>IF(OR(B269="",L269=""),"",COUNTIFS($B$5:$B$504,B269,$L$5:$L$504,"&gt;"&amp;L269)+1)</f>
        <v>0</v>
      </c>
      <c r="AD269" s="8">
        <f>IF(G269="","",IF(COUNTIFS($G$5:$G$504,G269)&gt;1,"Repeat","Once"))</f>
        <v>0</v>
      </c>
      <c r="AE269" s="8">
        <f>IF(G269="","",IF(IFERROR(INDEX(Recipes!$X$5:$X$204,MATCH(G269,Recipes!$A$5:$A$204,0)),"")="","",IFERROR(B269-IFERROR(INDEX(Recipes!$X$5:$X$204,MATCH(G269,Recipes!$A$5:$A$204,0)),""),"")))</f>
        <v>0</v>
      </c>
      <c r="AF269" s="8">
        <f>IF(G269="","",IF(AE269="","Yes",IF(AE269&gt;=Rotation_Gap_Days,"Yes","No")))</f>
        <v>0</v>
      </c>
      <c r="AG269" s="8">
        <f>IF(G269="","",IF(COUNTIFS('Recipe Ingredients'!$A$5:$A$1204,G269,'Recipe Ingredients'!$AC$5:$AC$1204,"Check")&gt;0,"Check","OK"))</f>
        <v>0</v>
      </c>
    </row>
    <row r="270" spans="1:33">
      <c r="A270" s="7"/>
      <c r="B270" s="30"/>
      <c r="C270" s="8">
        <f>IF(B270="","",B270-WEEKDAY(B270,2)+1)</f>
        <v>0</v>
      </c>
      <c r="D270" s="8">
        <f>IF(B270="","",TEXT(B270,"ddd"))</f>
        <v>0</v>
      </c>
      <c r="E270" s="8">
        <f>IF(B270="","",TEXT(B270,"mmm yyyy"))</f>
        <v>0</v>
      </c>
      <c r="F270" s="27"/>
      <c r="G270" s="7"/>
      <c r="H270" s="26"/>
      <c r="I270" s="8">
        <f>IF(G270="","",IFERROR(INDEX(Recipes!$D$5:$D$204,MATCH(G270,Recipes!$A$5:$A$204,0)),""))</f>
        <v>0</v>
      </c>
      <c r="J270" s="8">
        <f>IF(OR(G270="",H270="",I270="",I270=0),"",H270/I270)</f>
        <v>0</v>
      </c>
      <c r="K270" s="8">
        <f>IF(B270="","",Household_Size)</f>
        <v>0</v>
      </c>
      <c r="L270" s="8">
        <f>IF(OR(G270="",H270=""),"",IFERROR(IFERROR(INDEX(Recipes!$H$5:$H$204,MATCH(G270,Recipes!$A$5:$A$204,0)),"")*H270,""))</f>
        <v>0</v>
      </c>
      <c r="M270" s="8">
        <f>IF(OR(G270="",H270=""),"",IFERROR(IFERROR(INDEX(Recipes!$I$5:$I$204,MATCH(G270,Recipes!$A$5:$A$204,0)),"")*H270,""))</f>
        <v>0</v>
      </c>
      <c r="N270" s="8">
        <f>IF(OR(G270="",H270=""),"",IFERROR(IFERROR(INDEX(Recipes!$J$5:$J$204,MATCH(G270,Recipes!$A$5:$A$204,0)),"")*H270,""))</f>
        <v>0</v>
      </c>
      <c r="O270" s="8">
        <f>IF(OR(G270="",H270=""),"",IFERROR(IFERROR(INDEX(Recipes!$K$5:$K$204,MATCH(G270,Recipes!$A$5:$A$204,0)),"")*H270,""))</f>
        <v>0</v>
      </c>
      <c r="P270" s="8">
        <f>IF(OR(G270="",H270=""),"",IFERROR(IFERROR(INDEX(Recipes!$L$5:$L$204,MATCH(G270,Recipes!$A$5:$A$204,0)),"")*H270,""))</f>
        <v>0</v>
      </c>
      <c r="Q270" s="8">
        <f>IF(OR(G270="",H270=""),"",IFERROR(IFERROR(INDEX(Recipes!$Q$5:$Q$204,MATCH(G270,Recipes!$A$5:$A$204,0)),"")*H270,""))</f>
        <v>0</v>
      </c>
      <c r="R270" s="8">
        <f>IF(F270="","",Weekly_Budget/21)</f>
        <v>0</v>
      </c>
      <c r="S270" s="27"/>
      <c r="T270" s="27"/>
      <c r="U270" s="26"/>
      <c r="V270" s="7"/>
      <c r="W270" s="7"/>
      <c r="X270" s="26"/>
      <c r="Y270" s="8">
        <f>IF(G270="","",IF(COUNTIFS('Meal Prep'!$D$5:$D$124,G270)&gt;0,"Yes","No"))</f>
        <v>0</v>
      </c>
      <c r="Z270" s="8">
        <f>IF(G270="","",COUNTIFS('Recipe Ingredients'!$A$5:$A$1204,G270))</f>
        <v>0</v>
      </c>
      <c r="AA270" s="25"/>
      <c r="AB270" s="8">
        <f>IF(OR(B270="",Q270=""),"",COUNTIFS($B$5:$B$504,B270,$Q$5:$Q$504,"&gt;"&amp;Q270)+1)</f>
        <v>0</v>
      </c>
      <c r="AC270" s="8">
        <f>IF(OR(B270="",L270=""),"",COUNTIFS($B$5:$B$504,B270,$L$5:$L$504,"&gt;"&amp;L270)+1)</f>
        <v>0</v>
      </c>
      <c r="AD270" s="8">
        <f>IF(G270="","",IF(COUNTIFS($G$5:$G$504,G270)&gt;1,"Repeat","Once"))</f>
        <v>0</v>
      </c>
      <c r="AE270" s="8">
        <f>IF(G270="","",IF(IFERROR(INDEX(Recipes!$X$5:$X$204,MATCH(G270,Recipes!$A$5:$A$204,0)),"")="","",IFERROR(B270-IFERROR(INDEX(Recipes!$X$5:$X$204,MATCH(G270,Recipes!$A$5:$A$204,0)),""),"")))</f>
        <v>0</v>
      </c>
      <c r="AF270" s="8">
        <f>IF(G270="","",IF(AE270="","Yes",IF(AE270&gt;=Rotation_Gap_Days,"Yes","No")))</f>
        <v>0</v>
      </c>
      <c r="AG270" s="8">
        <f>IF(G270="","",IF(COUNTIFS('Recipe Ingredients'!$A$5:$A$1204,G270,'Recipe Ingredients'!$AC$5:$AC$1204,"Check")&gt;0,"Check","OK"))</f>
        <v>0</v>
      </c>
    </row>
    <row r="271" spans="1:33">
      <c r="A271" s="7"/>
      <c r="B271" s="30"/>
      <c r="C271" s="8">
        <f>IF(B271="","",B271-WEEKDAY(B271,2)+1)</f>
        <v>0</v>
      </c>
      <c r="D271" s="8">
        <f>IF(B271="","",TEXT(B271,"ddd"))</f>
        <v>0</v>
      </c>
      <c r="E271" s="8">
        <f>IF(B271="","",TEXT(B271,"mmm yyyy"))</f>
        <v>0</v>
      </c>
      <c r="F271" s="27"/>
      <c r="G271" s="7"/>
      <c r="H271" s="26"/>
      <c r="I271" s="8">
        <f>IF(G271="","",IFERROR(INDEX(Recipes!$D$5:$D$204,MATCH(G271,Recipes!$A$5:$A$204,0)),""))</f>
        <v>0</v>
      </c>
      <c r="J271" s="8">
        <f>IF(OR(G271="",H271="",I271="",I271=0),"",H271/I271)</f>
        <v>0</v>
      </c>
      <c r="K271" s="8">
        <f>IF(B271="","",Household_Size)</f>
        <v>0</v>
      </c>
      <c r="L271" s="8">
        <f>IF(OR(G271="",H271=""),"",IFERROR(IFERROR(INDEX(Recipes!$H$5:$H$204,MATCH(G271,Recipes!$A$5:$A$204,0)),"")*H271,""))</f>
        <v>0</v>
      </c>
      <c r="M271" s="8">
        <f>IF(OR(G271="",H271=""),"",IFERROR(IFERROR(INDEX(Recipes!$I$5:$I$204,MATCH(G271,Recipes!$A$5:$A$204,0)),"")*H271,""))</f>
        <v>0</v>
      </c>
      <c r="N271" s="8">
        <f>IF(OR(G271="",H271=""),"",IFERROR(IFERROR(INDEX(Recipes!$J$5:$J$204,MATCH(G271,Recipes!$A$5:$A$204,0)),"")*H271,""))</f>
        <v>0</v>
      </c>
      <c r="O271" s="8">
        <f>IF(OR(G271="",H271=""),"",IFERROR(IFERROR(INDEX(Recipes!$K$5:$K$204,MATCH(G271,Recipes!$A$5:$A$204,0)),"")*H271,""))</f>
        <v>0</v>
      </c>
      <c r="P271" s="8">
        <f>IF(OR(G271="",H271=""),"",IFERROR(IFERROR(INDEX(Recipes!$L$5:$L$204,MATCH(G271,Recipes!$A$5:$A$204,0)),"")*H271,""))</f>
        <v>0</v>
      </c>
      <c r="Q271" s="8">
        <f>IF(OR(G271="",H271=""),"",IFERROR(IFERROR(INDEX(Recipes!$Q$5:$Q$204,MATCH(G271,Recipes!$A$5:$A$204,0)),"")*H271,""))</f>
        <v>0</v>
      </c>
      <c r="R271" s="8">
        <f>IF(F271="","",Weekly_Budget/21)</f>
        <v>0</v>
      </c>
      <c r="S271" s="27"/>
      <c r="T271" s="27"/>
      <c r="U271" s="26"/>
      <c r="V271" s="7"/>
      <c r="W271" s="7"/>
      <c r="X271" s="26"/>
      <c r="Y271" s="8">
        <f>IF(G271="","",IF(COUNTIFS('Meal Prep'!$D$5:$D$124,G271)&gt;0,"Yes","No"))</f>
        <v>0</v>
      </c>
      <c r="Z271" s="8">
        <f>IF(G271="","",COUNTIFS('Recipe Ingredients'!$A$5:$A$1204,G271))</f>
        <v>0</v>
      </c>
      <c r="AA271" s="25"/>
      <c r="AB271" s="8">
        <f>IF(OR(B271="",Q271=""),"",COUNTIFS($B$5:$B$504,B271,$Q$5:$Q$504,"&gt;"&amp;Q271)+1)</f>
        <v>0</v>
      </c>
      <c r="AC271" s="8">
        <f>IF(OR(B271="",L271=""),"",COUNTIFS($B$5:$B$504,B271,$L$5:$L$504,"&gt;"&amp;L271)+1)</f>
        <v>0</v>
      </c>
      <c r="AD271" s="8">
        <f>IF(G271="","",IF(COUNTIFS($G$5:$G$504,G271)&gt;1,"Repeat","Once"))</f>
        <v>0</v>
      </c>
      <c r="AE271" s="8">
        <f>IF(G271="","",IF(IFERROR(INDEX(Recipes!$X$5:$X$204,MATCH(G271,Recipes!$A$5:$A$204,0)),"")="","",IFERROR(B271-IFERROR(INDEX(Recipes!$X$5:$X$204,MATCH(G271,Recipes!$A$5:$A$204,0)),""),"")))</f>
        <v>0</v>
      </c>
      <c r="AF271" s="8">
        <f>IF(G271="","",IF(AE271="","Yes",IF(AE271&gt;=Rotation_Gap_Days,"Yes","No")))</f>
        <v>0</v>
      </c>
      <c r="AG271" s="8">
        <f>IF(G271="","",IF(COUNTIFS('Recipe Ingredients'!$A$5:$A$1204,G271,'Recipe Ingredients'!$AC$5:$AC$1204,"Check")&gt;0,"Check","OK"))</f>
        <v>0</v>
      </c>
    </row>
    <row r="272" spans="1:33">
      <c r="A272" s="7"/>
      <c r="B272" s="30"/>
      <c r="C272" s="8">
        <f>IF(B272="","",B272-WEEKDAY(B272,2)+1)</f>
        <v>0</v>
      </c>
      <c r="D272" s="8">
        <f>IF(B272="","",TEXT(B272,"ddd"))</f>
        <v>0</v>
      </c>
      <c r="E272" s="8">
        <f>IF(B272="","",TEXT(B272,"mmm yyyy"))</f>
        <v>0</v>
      </c>
      <c r="F272" s="27"/>
      <c r="G272" s="7"/>
      <c r="H272" s="26"/>
      <c r="I272" s="8">
        <f>IF(G272="","",IFERROR(INDEX(Recipes!$D$5:$D$204,MATCH(G272,Recipes!$A$5:$A$204,0)),""))</f>
        <v>0</v>
      </c>
      <c r="J272" s="8">
        <f>IF(OR(G272="",H272="",I272="",I272=0),"",H272/I272)</f>
        <v>0</v>
      </c>
      <c r="K272" s="8">
        <f>IF(B272="","",Household_Size)</f>
        <v>0</v>
      </c>
      <c r="L272" s="8">
        <f>IF(OR(G272="",H272=""),"",IFERROR(IFERROR(INDEX(Recipes!$H$5:$H$204,MATCH(G272,Recipes!$A$5:$A$204,0)),"")*H272,""))</f>
        <v>0</v>
      </c>
      <c r="M272" s="8">
        <f>IF(OR(G272="",H272=""),"",IFERROR(IFERROR(INDEX(Recipes!$I$5:$I$204,MATCH(G272,Recipes!$A$5:$A$204,0)),"")*H272,""))</f>
        <v>0</v>
      </c>
      <c r="N272" s="8">
        <f>IF(OR(G272="",H272=""),"",IFERROR(IFERROR(INDEX(Recipes!$J$5:$J$204,MATCH(G272,Recipes!$A$5:$A$204,0)),"")*H272,""))</f>
        <v>0</v>
      </c>
      <c r="O272" s="8">
        <f>IF(OR(G272="",H272=""),"",IFERROR(IFERROR(INDEX(Recipes!$K$5:$K$204,MATCH(G272,Recipes!$A$5:$A$204,0)),"")*H272,""))</f>
        <v>0</v>
      </c>
      <c r="P272" s="8">
        <f>IF(OR(G272="",H272=""),"",IFERROR(IFERROR(INDEX(Recipes!$L$5:$L$204,MATCH(G272,Recipes!$A$5:$A$204,0)),"")*H272,""))</f>
        <v>0</v>
      </c>
      <c r="Q272" s="8">
        <f>IF(OR(G272="",H272=""),"",IFERROR(IFERROR(INDEX(Recipes!$Q$5:$Q$204,MATCH(G272,Recipes!$A$5:$A$204,0)),"")*H272,""))</f>
        <v>0</v>
      </c>
      <c r="R272" s="8">
        <f>IF(F272="","",Weekly_Budget/21)</f>
        <v>0</v>
      </c>
      <c r="S272" s="27"/>
      <c r="T272" s="27"/>
      <c r="U272" s="26"/>
      <c r="V272" s="7"/>
      <c r="W272" s="7"/>
      <c r="X272" s="26"/>
      <c r="Y272" s="8">
        <f>IF(G272="","",IF(COUNTIFS('Meal Prep'!$D$5:$D$124,G272)&gt;0,"Yes","No"))</f>
        <v>0</v>
      </c>
      <c r="Z272" s="8">
        <f>IF(G272="","",COUNTIFS('Recipe Ingredients'!$A$5:$A$1204,G272))</f>
        <v>0</v>
      </c>
      <c r="AA272" s="25"/>
      <c r="AB272" s="8">
        <f>IF(OR(B272="",Q272=""),"",COUNTIFS($B$5:$B$504,B272,$Q$5:$Q$504,"&gt;"&amp;Q272)+1)</f>
        <v>0</v>
      </c>
      <c r="AC272" s="8">
        <f>IF(OR(B272="",L272=""),"",COUNTIFS($B$5:$B$504,B272,$L$5:$L$504,"&gt;"&amp;L272)+1)</f>
        <v>0</v>
      </c>
      <c r="AD272" s="8">
        <f>IF(G272="","",IF(COUNTIFS($G$5:$G$504,G272)&gt;1,"Repeat","Once"))</f>
        <v>0</v>
      </c>
      <c r="AE272" s="8">
        <f>IF(G272="","",IF(IFERROR(INDEX(Recipes!$X$5:$X$204,MATCH(G272,Recipes!$A$5:$A$204,0)),"")="","",IFERROR(B272-IFERROR(INDEX(Recipes!$X$5:$X$204,MATCH(G272,Recipes!$A$5:$A$204,0)),""),"")))</f>
        <v>0</v>
      </c>
      <c r="AF272" s="8">
        <f>IF(G272="","",IF(AE272="","Yes",IF(AE272&gt;=Rotation_Gap_Days,"Yes","No")))</f>
        <v>0</v>
      </c>
      <c r="AG272" s="8">
        <f>IF(G272="","",IF(COUNTIFS('Recipe Ingredients'!$A$5:$A$1204,G272,'Recipe Ingredients'!$AC$5:$AC$1204,"Check")&gt;0,"Check","OK"))</f>
        <v>0</v>
      </c>
    </row>
    <row r="273" spans="1:33">
      <c r="A273" s="7"/>
      <c r="B273" s="30"/>
      <c r="C273" s="8">
        <f>IF(B273="","",B273-WEEKDAY(B273,2)+1)</f>
        <v>0</v>
      </c>
      <c r="D273" s="8">
        <f>IF(B273="","",TEXT(B273,"ddd"))</f>
        <v>0</v>
      </c>
      <c r="E273" s="8">
        <f>IF(B273="","",TEXT(B273,"mmm yyyy"))</f>
        <v>0</v>
      </c>
      <c r="F273" s="27"/>
      <c r="G273" s="7"/>
      <c r="H273" s="26"/>
      <c r="I273" s="8">
        <f>IF(G273="","",IFERROR(INDEX(Recipes!$D$5:$D$204,MATCH(G273,Recipes!$A$5:$A$204,0)),""))</f>
        <v>0</v>
      </c>
      <c r="J273" s="8">
        <f>IF(OR(G273="",H273="",I273="",I273=0),"",H273/I273)</f>
        <v>0</v>
      </c>
      <c r="K273" s="8">
        <f>IF(B273="","",Household_Size)</f>
        <v>0</v>
      </c>
      <c r="L273" s="8">
        <f>IF(OR(G273="",H273=""),"",IFERROR(IFERROR(INDEX(Recipes!$H$5:$H$204,MATCH(G273,Recipes!$A$5:$A$204,0)),"")*H273,""))</f>
        <v>0</v>
      </c>
      <c r="M273" s="8">
        <f>IF(OR(G273="",H273=""),"",IFERROR(IFERROR(INDEX(Recipes!$I$5:$I$204,MATCH(G273,Recipes!$A$5:$A$204,0)),"")*H273,""))</f>
        <v>0</v>
      </c>
      <c r="N273" s="8">
        <f>IF(OR(G273="",H273=""),"",IFERROR(IFERROR(INDEX(Recipes!$J$5:$J$204,MATCH(G273,Recipes!$A$5:$A$204,0)),"")*H273,""))</f>
        <v>0</v>
      </c>
      <c r="O273" s="8">
        <f>IF(OR(G273="",H273=""),"",IFERROR(IFERROR(INDEX(Recipes!$K$5:$K$204,MATCH(G273,Recipes!$A$5:$A$204,0)),"")*H273,""))</f>
        <v>0</v>
      </c>
      <c r="P273" s="8">
        <f>IF(OR(G273="",H273=""),"",IFERROR(IFERROR(INDEX(Recipes!$L$5:$L$204,MATCH(G273,Recipes!$A$5:$A$204,0)),"")*H273,""))</f>
        <v>0</v>
      </c>
      <c r="Q273" s="8">
        <f>IF(OR(G273="",H273=""),"",IFERROR(IFERROR(INDEX(Recipes!$Q$5:$Q$204,MATCH(G273,Recipes!$A$5:$A$204,0)),"")*H273,""))</f>
        <v>0</v>
      </c>
      <c r="R273" s="8">
        <f>IF(F273="","",Weekly_Budget/21)</f>
        <v>0</v>
      </c>
      <c r="S273" s="27"/>
      <c r="T273" s="27"/>
      <c r="U273" s="26"/>
      <c r="V273" s="7"/>
      <c r="W273" s="7"/>
      <c r="X273" s="26"/>
      <c r="Y273" s="8">
        <f>IF(G273="","",IF(COUNTIFS('Meal Prep'!$D$5:$D$124,G273)&gt;0,"Yes","No"))</f>
        <v>0</v>
      </c>
      <c r="Z273" s="8">
        <f>IF(G273="","",COUNTIFS('Recipe Ingredients'!$A$5:$A$1204,G273))</f>
        <v>0</v>
      </c>
      <c r="AA273" s="25"/>
      <c r="AB273" s="8">
        <f>IF(OR(B273="",Q273=""),"",COUNTIFS($B$5:$B$504,B273,$Q$5:$Q$504,"&gt;"&amp;Q273)+1)</f>
        <v>0</v>
      </c>
      <c r="AC273" s="8">
        <f>IF(OR(B273="",L273=""),"",COUNTIFS($B$5:$B$504,B273,$L$5:$L$504,"&gt;"&amp;L273)+1)</f>
        <v>0</v>
      </c>
      <c r="AD273" s="8">
        <f>IF(G273="","",IF(COUNTIFS($G$5:$G$504,G273)&gt;1,"Repeat","Once"))</f>
        <v>0</v>
      </c>
      <c r="AE273" s="8">
        <f>IF(G273="","",IF(IFERROR(INDEX(Recipes!$X$5:$X$204,MATCH(G273,Recipes!$A$5:$A$204,0)),"")="","",IFERROR(B273-IFERROR(INDEX(Recipes!$X$5:$X$204,MATCH(G273,Recipes!$A$5:$A$204,0)),""),"")))</f>
        <v>0</v>
      </c>
      <c r="AF273" s="8">
        <f>IF(G273="","",IF(AE273="","Yes",IF(AE273&gt;=Rotation_Gap_Days,"Yes","No")))</f>
        <v>0</v>
      </c>
      <c r="AG273" s="8">
        <f>IF(G273="","",IF(COUNTIFS('Recipe Ingredients'!$A$5:$A$1204,G273,'Recipe Ingredients'!$AC$5:$AC$1204,"Check")&gt;0,"Check","OK"))</f>
        <v>0</v>
      </c>
    </row>
    <row r="274" spans="1:33">
      <c r="A274" s="7"/>
      <c r="B274" s="30"/>
      <c r="C274" s="8">
        <f>IF(B274="","",B274-WEEKDAY(B274,2)+1)</f>
        <v>0</v>
      </c>
      <c r="D274" s="8">
        <f>IF(B274="","",TEXT(B274,"ddd"))</f>
        <v>0</v>
      </c>
      <c r="E274" s="8">
        <f>IF(B274="","",TEXT(B274,"mmm yyyy"))</f>
        <v>0</v>
      </c>
      <c r="F274" s="27"/>
      <c r="G274" s="7"/>
      <c r="H274" s="26"/>
      <c r="I274" s="8">
        <f>IF(G274="","",IFERROR(INDEX(Recipes!$D$5:$D$204,MATCH(G274,Recipes!$A$5:$A$204,0)),""))</f>
        <v>0</v>
      </c>
      <c r="J274" s="8">
        <f>IF(OR(G274="",H274="",I274="",I274=0),"",H274/I274)</f>
        <v>0</v>
      </c>
      <c r="K274" s="8">
        <f>IF(B274="","",Household_Size)</f>
        <v>0</v>
      </c>
      <c r="L274" s="8">
        <f>IF(OR(G274="",H274=""),"",IFERROR(IFERROR(INDEX(Recipes!$H$5:$H$204,MATCH(G274,Recipes!$A$5:$A$204,0)),"")*H274,""))</f>
        <v>0</v>
      </c>
      <c r="M274" s="8">
        <f>IF(OR(G274="",H274=""),"",IFERROR(IFERROR(INDEX(Recipes!$I$5:$I$204,MATCH(G274,Recipes!$A$5:$A$204,0)),"")*H274,""))</f>
        <v>0</v>
      </c>
      <c r="N274" s="8">
        <f>IF(OR(G274="",H274=""),"",IFERROR(IFERROR(INDEX(Recipes!$J$5:$J$204,MATCH(G274,Recipes!$A$5:$A$204,0)),"")*H274,""))</f>
        <v>0</v>
      </c>
      <c r="O274" s="8">
        <f>IF(OR(G274="",H274=""),"",IFERROR(IFERROR(INDEX(Recipes!$K$5:$K$204,MATCH(G274,Recipes!$A$5:$A$204,0)),"")*H274,""))</f>
        <v>0</v>
      </c>
      <c r="P274" s="8">
        <f>IF(OR(G274="",H274=""),"",IFERROR(IFERROR(INDEX(Recipes!$L$5:$L$204,MATCH(G274,Recipes!$A$5:$A$204,0)),"")*H274,""))</f>
        <v>0</v>
      </c>
      <c r="Q274" s="8">
        <f>IF(OR(G274="",H274=""),"",IFERROR(IFERROR(INDEX(Recipes!$Q$5:$Q$204,MATCH(G274,Recipes!$A$5:$A$204,0)),"")*H274,""))</f>
        <v>0</v>
      </c>
      <c r="R274" s="8">
        <f>IF(F274="","",Weekly_Budget/21)</f>
        <v>0</v>
      </c>
      <c r="S274" s="27"/>
      <c r="T274" s="27"/>
      <c r="U274" s="26"/>
      <c r="V274" s="7"/>
      <c r="W274" s="7"/>
      <c r="X274" s="26"/>
      <c r="Y274" s="8">
        <f>IF(G274="","",IF(COUNTIFS('Meal Prep'!$D$5:$D$124,G274)&gt;0,"Yes","No"))</f>
        <v>0</v>
      </c>
      <c r="Z274" s="8">
        <f>IF(G274="","",COUNTIFS('Recipe Ingredients'!$A$5:$A$1204,G274))</f>
        <v>0</v>
      </c>
      <c r="AA274" s="25"/>
      <c r="AB274" s="8">
        <f>IF(OR(B274="",Q274=""),"",COUNTIFS($B$5:$B$504,B274,$Q$5:$Q$504,"&gt;"&amp;Q274)+1)</f>
        <v>0</v>
      </c>
      <c r="AC274" s="8">
        <f>IF(OR(B274="",L274=""),"",COUNTIFS($B$5:$B$504,B274,$L$5:$L$504,"&gt;"&amp;L274)+1)</f>
        <v>0</v>
      </c>
      <c r="AD274" s="8">
        <f>IF(G274="","",IF(COUNTIFS($G$5:$G$504,G274)&gt;1,"Repeat","Once"))</f>
        <v>0</v>
      </c>
      <c r="AE274" s="8">
        <f>IF(G274="","",IF(IFERROR(INDEX(Recipes!$X$5:$X$204,MATCH(G274,Recipes!$A$5:$A$204,0)),"")="","",IFERROR(B274-IFERROR(INDEX(Recipes!$X$5:$X$204,MATCH(G274,Recipes!$A$5:$A$204,0)),""),"")))</f>
        <v>0</v>
      </c>
      <c r="AF274" s="8">
        <f>IF(G274="","",IF(AE274="","Yes",IF(AE274&gt;=Rotation_Gap_Days,"Yes","No")))</f>
        <v>0</v>
      </c>
      <c r="AG274" s="8">
        <f>IF(G274="","",IF(COUNTIFS('Recipe Ingredients'!$A$5:$A$1204,G274,'Recipe Ingredients'!$AC$5:$AC$1204,"Check")&gt;0,"Check","OK"))</f>
        <v>0</v>
      </c>
    </row>
    <row r="275" spans="1:33">
      <c r="A275" s="7"/>
      <c r="B275" s="30"/>
      <c r="C275" s="8">
        <f>IF(B275="","",B275-WEEKDAY(B275,2)+1)</f>
        <v>0</v>
      </c>
      <c r="D275" s="8">
        <f>IF(B275="","",TEXT(B275,"ddd"))</f>
        <v>0</v>
      </c>
      <c r="E275" s="8">
        <f>IF(B275="","",TEXT(B275,"mmm yyyy"))</f>
        <v>0</v>
      </c>
      <c r="F275" s="27"/>
      <c r="G275" s="7"/>
      <c r="H275" s="26"/>
      <c r="I275" s="8">
        <f>IF(G275="","",IFERROR(INDEX(Recipes!$D$5:$D$204,MATCH(G275,Recipes!$A$5:$A$204,0)),""))</f>
        <v>0</v>
      </c>
      <c r="J275" s="8">
        <f>IF(OR(G275="",H275="",I275="",I275=0),"",H275/I275)</f>
        <v>0</v>
      </c>
      <c r="K275" s="8">
        <f>IF(B275="","",Household_Size)</f>
        <v>0</v>
      </c>
      <c r="L275" s="8">
        <f>IF(OR(G275="",H275=""),"",IFERROR(IFERROR(INDEX(Recipes!$H$5:$H$204,MATCH(G275,Recipes!$A$5:$A$204,0)),"")*H275,""))</f>
        <v>0</v>
      </c>
      <c r="M275" s="8">
        <f>IF(OR(G275="",H275=""),"",IFERROR(IFERROR(INDEX(Recipes!$I$5:$I$204,MATCH(G275,Recipes!$A$5:$A$204,0)),"")*H275,""))</f>
        <v>0</v>
      </c>
      <c r="N275" s="8">
        <f>IF(OR(G275="",H275=""),"",IFERROR(IFERROR(INDEX(Recipes!$J$5:$J$204,MATCH(G275,Recipes!$A$5:$A$204,0)),"")*H275,""))</f>
        <v>0</v>
      </c>
      <c r="O275" s="8">
        <f>IF(OR(G275="",H275=""),"",IFERROR(IFERROR(INDEX(Recipes!$K$5:$K$204,MATCH(G275,Recipes!$A$5:$A$204,0)),"")*H275,""))</f>
        <v>0</v>
      </c>
      <c r="P275" s="8">
        <f>IF(OR(G275="",H275=""),"",IFERROR(IFERROR(INDEX(Recipes!$L$5:$L$204,MATCH(G275,Recipes!$A$5:$A$204,0)),"")*H275,""))</f>
        <v>0</v>
      </c>
      <c r="Q275" s="8">
        <f>IF(OR(G275="",H275=""),"",IFERROR(IFERROR(INDEX(Recipes!$Q$5:$Q$204,MATCH(G275,Recipes!$A$5:$A$204,0)),"")*H275,""))</f>
        <v>0</v>
      </c>
      <c r="R275" s="8">
        <f>IF(F275="","",Weekly_Budget/21)</f>
        <v>0</v>
      </c>
      <c r="S275" s="27"/>
      <c r="T275" s="27"/>
      <c r="U275" s="26"/>
      <c r="V275" s="7"/>
      <c r="W275" s="7"/>
      <c r="X275" s="26"/>
      <c r="Y275" s="8">
        <f>IF(G275="","",IF(COUNTIFS('Meal Prep'!$D$5:$D$124,G275)&gt;0,"Yes","No"))</f>
        <v>0</v>
      </c>
      <c r="Z275" s="8">
        <f>IF(G275="","",COUNTIFS('Recipe Ingredients'!$A$5:$A$1204,G275))</f>
        <v>0</v>
      </c>
      <c r="AA275" s="25"/>
      <c r="AB275" s="8">
        <f>IF(OR(B275="",Q275=""),"",COUNTIFS($B$5:$B$504,B275,$Q$5:$Q$504,"&gt;"&amp;Q275)+1)</f>
        <v>0</v>
      </c>
      <c r="AC275" s="8">
        <f>IF(OR(B275="",L275=""),"",COUNTIFS($B$5:$B$504,B275,$L$5:$L$504,"&gt;"&amp;L275)+1)</f>
        <v>0</v>
      </c>
      <c r="AD275" s="8">
        <f>IF(G275="","",IF(COUNTIFS($G$5:$G$504,G275)&gt;1,"Repeat","Once"))</f>
        <v>0</v>
      </c>
      <c r="AE275" s="8">
        <f>IF(G275="","",IF(IFERROR(INDEX(Recipes!$X$5:$X$204,MATCH(G275,Recipes!$A$5:$A$204,0)),"")="","",IFERROR(B275-IFERROR(INDEX(Recipes!$X$5:$X$204,MATCH(G275,Recipes!$A$5:$A$204,0)),""),"")))</f>
        <v>0</v>
      </c>
      <c r="AF275" s="8">
        <f>IF(G275="","",IF(AE275="","Yes",IF(AE275&gt;=Rotation_Gap_Days,"Yes","No")))</f>
        <v>0</v>
      </c>
      <c r="AG275" s="8">
        <f>IF(G275="","",IF(COUNTIFS('Recipe Ingredients'!$A$5:$A$1204,G275,'Recipe Ingredients'!$AC$5:$AC$1204,"Check")&gt;0,"Check","OK"))</f>
        <v>0</v>
      </c>
    </row>
    <row r="276" spans="1:33">
      <c r="A276" s="7"/>
      <c r="B276" s="30"/>
      <c r="C276" s="8">
        <f>IF(B276="","",B276-WEEKDAY(B276,2)+1)</f>
        <v>0</v>
      </c>
      <c r="D276" s="8">
        <f>IF(B276="","",TEXT(B276,"ddd"))</f>
        <v>0</v>
      </c>
      <c r="E276" s="8">
        <f>IF(B276="","",TEXT(B276,"mmm yyyy"))</f>
        <v>0</v>
      </c>
      <c r="F276" s="27"/>
      <c r="G276" s="7"/>
      <c r="H276" s="26"/>
      <c r="I276" s="8">
        <f>IF(G276="","",IFERROR(INDEX(Recipes!$D$5:$D$204,MATCH(G276,Recipes!$A$5:$A$204,0)),""))</f>
        <v>0</v>
      </c>
      <c r="J276" s="8">
        <f>IF(OR(G276="",H276="",I276="",I276=0),"",H276/I276)</f>
        <v>0</v>
      </c>
      <c r="K276" s="8">
        <f>IF(B276="","",Household_Size)</f>
        <v>0</v>
      </c>
      <c r="L276" s="8">
        <f>IF(OR(G276="",H276=""),"",IFERROR(IFERROR(INDEX(Recipes!$H$5:$H$204,MATCH(G276,Recipes!$A$5:$A$204,0)),"")*H276,""))</f>
        <v>0</v>
      </c>
      <c r="M276" s="8">
        <f>IF(OR(G276="",H276=""),"",IFERROR(IFERROR(INDEX(Recipes!$I$5:$I$204,MATCH(G276,Recipes!$A$5:$A$204,0)),"")*H276,""))</f>
        <v>0</v>
      </c>
      <c r="N276" s="8">
        <f>IF(OR(G276="",H276=""),"",IFERROR(IFERROR(INDEX(Recipes!$J$5:$J$204,MATCH(G276,Recipes!$A$5:$A$204,0)),"")*H276,""))</f>
        <v>0</v>
      </c>
      <c r="O276" s="8">
        <f>IF(OR(G276="",H276=""),"",IFERROR(IFERROR(INDEX(Recipes!$K$5:$K$204,MATCH(G276,Recipes!$A$5:$A$204,0)),"")*H276,""))</f>
        <v>0</v>
      </c>
      <c r="P276" s="8">
        <f>IF(OR(G276="",H276=""),"",IFERROR(IFERROR(INDEX(Recipes!$L$5:$L$204,MATCH(G276,Recipes!$A$5:$A$204,0)),"")*H276,""))</f>
        <v>0</v>
      </c>
      <c r="Q276" s="8">
        <f>IF(OR(G276="",H276=""),"",IFERROR(IFERROR(INDEX(Recipes!$Q$5:$Q$204,MATCH(G276,Recipes!$A$5:$A$204,0)),"")*H276,""))</f>
        <v>0</v>
      </c>
      <c r="R276" s="8">
        <f>IF(F276="","",Weekly_Budget/21)</f>
        <v>0</v>
      </c>
      <c r="S276" s="27"/>
      <c r="T276" s="27"/>
      <c r="U276" s="26"/>
      <c r="V276" s="7"/>
      <c r="W276" s="7"/>
      <c r="X276" s="26"/>
      <c r="Y276" s="8">
        <f>IF(G276="","",IF(COUNTIFS('Meal Prep'!$D$5:$D$124,G276)&gt;0,"Yes","No"))</f>
        <v>0</v>
      </c>
      <c r="Z276" s="8">
        <f>IF(G276="","",COUNTIFS('Recipe Ingredients'!$A$5:$A$1204,G276))</f>
        <v>0</v>
      </c>
      <c r="AA276" s="25"/>
      <c r="AB276" s="8">
        <f>IF(OR(B276="",Q276=""),"",COUNTIFS($B$5:$B$504,B276,$Q$5:$Q$504,"&gt;"&amp;Q276)+1)</f>
        <v>0</v>
      </c>
      <c r="AC276" s="8">
        <f>IF(OR(B276="",L276=""),"",COUNTIFS($B$5:$B$504,B276,$L$5:$L$504,"&gt;"&amp;L276)+1)</f>
        <v>0</v>
      </c>
      <c r="AD276" s="8">
        <f>IF(G276="","",IF(COUNTIFS($G$5:$G$504,G276)&gt;1,"Repeat","Once"))</f>
        <v>0</v>
      </c>
      <c r="AE276" s="8">
        <f>IF(G276="","",IF(IFERROR(INDEX(Recipes!$X$5:$X$204,MATCH(G276,Recipes!$A$5:$A$204,0)),"")="","",IFERROR(B276-IFERROR(INDEX(Recipes!$X$5:$X$204,MATCH(G276,Recipes!$A$5:$A$204,0)),""),"")))</f>
        <v>0</v>
      </c>
      <c r="AF276" s="8">
        <f>IF(G276="","",IF(AE276="","Yes",IF(AE276&gt;=Rotation_Gap_Days,"Yes","No")))</f>
        <v>0</v>
      </c>
      <c r="AG276" s="8">
        <f>IF(G276="","",IF(COUNTIFS('Recipe Ingredients'!$A$5:$A$1204,G276,'Recipe Ingredients'!$AC$5:$AC$1204,"Check")&gt;0,"Check","OK"))</f>
        <v>0</v>
      </c>
    </row>
    <row r="277" spans="1:33">
      <c r="A277" s="7"/>
      <c r="B277" s="30"/>
      <c r="C277" s="8">
        <f>IF(B277="","",B277-WEEKDAY(B277,2)+1)</f>
        <v>0</v>
      </c>
      <c r="D277" s="8">
        <f>IF(B277="","",TEXT(B277,"ddd"))</f>
        <v>0</v>
      </c>
      <c r="E277" s="8">
        <f>IF(B277="","",TEXT(B277,"mmm yyyy"))</f>
        <v>0</v>
      </c>
      <c r="F277" s="27"/>
      <c r="G277" s="7"/>
      <c r="H277" s="26"/>
      <c r="I277" s="8">
        <f>IF(G277="","",IFERROR(INDEX(Recipes!$D$5:$D$204,MATCH(G277,Recipes!$A$5:$A$204,0)),""))</f>
        <v>0</v>
      </c>
      <c r="J277" s="8">
        <f>IF(OR(G277="",H277="",I277="",I277=0),"",H277/I277)</f>
        <v>0</v>
      </c>
      <c r="K277" s="8">
        <f>IF(B277="","",Household_Size)</f>
        <v>0</v>
      </c>
      <c r="L277" s="8">
        <f>IF(OR(G277="",H277=""),"",IFERROR(IFERROR(INDEX(Recipes!$H$5:$H$204,MATCH(G277,Recipes!$A$5:$A$204,0)),"")*H277,""))</f>
        <v>0</v>
      </c>
      <c r="M277" s="8">
        <f>IF(OR(G277="",H277=""),"",IFERROR(IFERROR(INDEX(Recipes!$I$5:$I$204,MATCH(G277,Recipes!$A$5:$A$204,0)),"")*H277,""))</f>
        <v>0</v>
      </c>
      <c r="N277" s="8">
        <f>IF(OR(G277="",H277=""),"",IFERROR(IFERROR(INDEX(Recipes!$J$5:$J$204,MATCH(G277,Recipes!$A$5:$A$204,0)),"")*H277,""))</f>
        <v>0</v>
      </c>
      <c r="O277" s="8">
        <f>IF(OR(G277="",H277=""),"",IFERROR(IFERROR(INDEX(Recipes!$K$5:$K$204,MATCH(G277,Recipes!$A$5:$A$204,0)),"")*H277,""))</f>
        <v>0</v>
      </c>
      <c r="P277" s="8">
        <f>IF(OR(G277="",H277=""),"",IFERROR(IFERROR(INDEX(Recipes!$L$5:$L$204,MATCH(G277,Recipes!$A$5:$A$204,0)),"")*H277,""))</f>
        <v>0</v>
      </c>
      <c r="Q277" s="8">
        <f>IF(OR(G277="",H277=""),"",IFERROR(IFERROR(INDEX(Recipes!$Q$5:$Q$204,MATCH(G277,Recipes!$A$5:$A$204,0)),"")*H277,""))</f>
        <v>0</v>
      </c>
      <c r="R277" s="8">
        <f>IF(F277="","",Weekly_Budget/21)</f>
        <v>0</v>
      </c>
      <c r="S277" s="27"/>
      <c r="T277" s="27"/>
      <c r="U277" s="26"/>
      <c r="V277" s="7"/>
      <c r="W277" s="7"/>
      <c r="X277" s="26"/>
      <c r="Y277" s="8">
        <f>IF(G277="","",IF(COUNTIFS('Meal Prep'!$D$5:$D$124,G277)&gt;0,"Yes","No"))</f>
        <v>0</v>
      </c>
      <c r="Z277" s="8">
        <f>IF(G277="","",COUNTIFS('Recipe Ingredients'!$A$5:$A$1204,G277))</f>
        <v>0</v>
      </c>
      <c r="AA277" s="25"/>
      <c r="AB277" s="8">
        <f>IF(OR(B277="",Q277=""),"",COUNTIFS($B$5:$B$504,B277,$Q$5:$Q$504,"&gt;"&amp;Q277)+1)</f>
        <v>0</v>
      </c>
      <c r="AC277" s="8">
        <f>IF(OR(B277="",L277=""),"",COUNTIFS($B$5:$B$504,B277,$L$5:$L$504,"&gt;"&amp;L277)+1)</f>
        <v>0</v>
      </c>
      <c r="AD277" s="8">
        <f>IF(G277="","",IF(COUNTIFS($G$5:$G$504,G277)&gt;1,"Repeat","Once"))</f>
        <v>0</v>
      </c>
      <c r="AE277" s="8">
        <f>IF(G277="","",IF(IFERROR(INDEX(Recipes!$X$5:$X$204,MATCH(G277,Recipes!$A$5:$A$204,0)),"")="","",IFERROR(B277-IFERROR(INDEX(Recipes!$X$5:$X$204,MATCH(G277,Recipes!$A$5:$A$204,0)),""),"")))</f>
        <v>0</v>
      </c>
      <c r="AF277" s="8">
        <f>IF(G277="","",IF(AE277="","Yes",IF(AE277&gt;=Rotation_Gap_Days,"Yes","No")))</f>
        <v>0</v>
      </c>
      <c r="AG277" s="8">
        <f>IF(G277="","",IF(COUNTIFS('Recipe Ingredients'!$A$5:$A$1204,G277,'Recipe Ingredients'!$AC$5:$AC$1204,"Check")&gt;0,"Check","OK"))</f>
        <v>0</v>
      </c>
    </row>
    <row r="278" spans="1:33">
      <c r="A278" s="7"/>
      <c r="B278" s="30"/>
      <c r="C278" s="8">
        <f>IF(B278="","",B278-WEEKDAY(B278,2)+1)</f>
        <v>0</v>
      </c>
      <c r="D278" s="8">
        <f>IF(B278="","",TEXT(B278,"ddd"))</f>
        <v>0</v>
      </c>
      <c r="E278" s="8">
        <f>IF(B278="","",TEXT(B278,"mmm yyyy"))</f>
        <v>0</v>
      </c>
      <c r="F278" s="27"/>
      <c r="G278" s="7"/>
      <c r="H278" s="26"/>
      <c r="I278" s="8">
        <f>IF(G278="","",IFERROR(INDEX(Recipes!$D$5:$D$204,MATCH(G278,Recipes!$A$5:$A$204,0)),""))</f>
        <v>0</v>
      </c>
      <c r="J278" s="8">
        <f>IF(OR(G278="",H278="",I278="",I278=0),"",H278/I278)</f>
        <v>0</v>
      </c>
      <c r="K278" s="8">
        <f>IF(B278="","",Household_Size)</f>
        <v>0</v>
      </c>
      <c r="L278" s="8">
        <f>IF(OR(G278="",H278=""),"",IFERROR(IFERROR(INDEX(Recipes!$H$5:$H$204,MATCH(G278,Recipes!$A$5:$A$204,0)),"")*H278,""))</f>
        <v>0</v>
      </c>
      <c r="M278" s="8">
        <f>IF(OR(G278="",H278=""),"",IFERROR(IFERROR(INDEX(Recipes!$I$5:$I$204,MATCH(G278,Recipes!$A$5:$A$204,0)),"")*H278,""))</f>
        <v>0</v>
      </c>
      <c r="N278" s="8">
        <f>IF(OR(G278="",H278=""),"",IFERROR(IFERROR(INDEX(Recipes!$J$5:$J$204,MATCH(G278,Recipes!$A$5:$A$204,0)),"")*H278,""))</f>
        <v>0</v>
      </c>
      <c r="O278" s="8">
        <f>IF(OR(G278="",H278=""),"",IFERROR(IFERROR(INDEX(Recipes!$K$5:$K$204,MATCH(G278,Recipes!$A$5:$A$204,0)),"")*H278,""))</f>
        <v>0</v>
      </c>
      <c r="P278" s="8">
        <f>IF(OR(G278="",H278=""),"",IFERROR(IFERROR(INDEX(Recipes!$L$5:$L$204,MATCH(G278,Recipes!$A$5:$A$204,0)),"")*H278,""))</f>
        <v>0</v>
      </c>
      <c r="Q278" s="8">
        <f>IF(OR(G278="",H278=""),"",IFERROR(IFERROR(INDEX(Recipes!$Q$5:$Q$204,MATCH(G278,Recipes!$A$5:$A$204,0)),"")*H278,""))</f>
        <v>0</v>
      </c>
      <c r="R278" s="8">
        <f>IF(F278="","",Weekly_Budget/21)</f>
        <v>0</v>
      </c>
      <c r="S278" s="27"/>
      <c r="T278" s="27"/>
      <c r="U278" s="26"/>
      <c r="V278" s="7"/>
      <c r="W278" s="7"/>
      <c r="X278" s="26"/>
      <c r="Y278" s="8">
        <f>IF(G278="","",IF(COUNTIFS('Meal Prep'!$D$5:$D$124,G278)&gt;0,"Yes","No"))</f>
        <v>0</v>
      </c>
      <c r="Z278" s="8">
        <f>IF(G278="","",COUNTIFS('Recipe Ingredients'!$A$5:$A$1204,G278))</f>
        <v>0</v>
      </c>
      <c r="AA278" s="25"/>
      <c r="AB278" s="8">
        <f>IF(OR(B278="",Q278=""),"",COUNTIFS($B$5:$B$504,B278,$Q$5:$Q$504,"&gt;"&amp;Q278)+1)</f>
        <v>0</v>
      </c>
      <c r="AC278" s="8">
        <f>IF(OR(B278="",L278=""),"",COUNTIFS($B$5:$B$504,B278,$L$5:$L$504,"&gt;"&amp;L278)+1)</f>
        <v>0</v>
      </c>
      <c r="AD278" s="8">
        <f>IF(G278="","",IF(COUNTIFS($G$5:$G$504,G278)&gt;1,"Repeat","Once"))</f>
        <v>0</v>
      </c>
      <c r="AE278" s="8">
        <f>IF(G278="","",IF(IFERROR(INDEX(Recipes!$X$5:$X$204,MATCH(G278,Recipes!$A$5:$A$204,0)),"")="","",IFERROR(B278-IFERROR(INDEX(Recipes!$X$5:$X$204,MATCH(G278,Recipes!$A$5:$A$204,0)),""),"")))</f>
        <v>0</v>
      </c>
      <c r="AF278" s="8">
        <f>IF(G278="","",IF(AE278="","Yes",IF(AE278&gt;=Rotation_Gap_Days,"Yes","No")))</f>
        <v>0</v>
      </c>
      <c r="AG278" s="8">
        <f>IF(G278="","",IF(COUNTIFS('Recipe Ingredients'!$A$5:$A$1204,G278,'Recipe Ingredients'!$AC$5:$AC$1204,"Check")&gt;0,"Check","OK"))</f>
        <v>0</v>
      </c>
    </row>
    <row r="279" spans="1:33">
      <c r="A279" s="7"/>
      <c r="B279" s="30"/>
      <c r="C279" s="8">
        <f>IF(B279="","",B279-WEEKDAY(B279,2)+1)</f>
        <v>0</v>
      </c>
      <c r="D279" s="8">
        <f>IF(B279="","",TEXT(B279,"ddd"))</f>
        <v>0</v>
      </c>
      <c r="E279" s="8">
        <f>IF(B279="","",TEXT(B279,"mmm yyyy"))</f>
        <v>0</v>
      </c>
      <c r="F279" s="27"/>
      <c r="G279" s="7"/>
      <c r="H279" s="26"/>
      <c r="I279" s="8">
        <f>IF(G279="","",IFERROR(INDEX(Recipes!$D$5:$D$204,MATCH(G279,Recipes!$A$5:$A$204,0)),""))</f>
        <v>0</v>
      </c>
      <c r="J279" s="8">
        <f>IF(OR(G279="",H279="",I279="",I279=0),"",H279/I279)</f>
        <v>0</v>
      </c>
      <c r="K279" s="8">
        <f>IF(B279="","",Household_Size)</f>
        <v>0</v>
      </c>
      <c r="L279" s="8">
        <f>IF(OR(G279="",H279=""),"",IFERROR(IFERROR(INDEX(Recipes!$H$5:$H$204,MATCH(G279,Recipes!$A$5:$A$204,0)),"")*H279,""))</f>
        <v>0</v>
      </c>
      <c r="M279" s="8">
        <f>IF(OR(G279="",H279=""),"",IFERROR(IFERROR(INDEX(Recipes!$I$5:$I$204,MATCH(G279,Recipes!$A$5:$A$204,0)),"")*H279,""))</f>
        <v>0</v>
      </c>
      <c r="N279" s="8">
        <f>IF(OR(G279="",H279=""),"",IFERROR(IFERROR(INDEX(Recipes!$J$5:$J$204,MATCH(G279,Recipes!$A$5:$A$204,0)),"")*H279,""))</f>
        <v>0</v>
      </c>
      <c r="O279" s="8">
        <f>IF(OR(G279="",H279=""),"",IFERROR(IFERROR(INDEX(Recipes!$K$5:$K$204,MATCH(G279,Recipes!$A$5:$A$204,0)),"")*H279,""))</f>
        <v>0</v>
      </c>
      <c r="P279" s="8">
        <f>IF(OR(G279="",H279=""),"",IFERROR(IFERROR(INDEX(Recipes!$L$5:$L$204,MATCH(G279,Recipes!$A$5:$A$204,0)),"")*H279,""))</f>
        <v>0</v>
      </c>
      <c r="Q279" s="8">
        <f>IF(OR(G279="",H279=""),"",IFERROR(IFERROR(INDEX(Recipes!$Q$5:$Q$204,MATCH(G279,Recipes!$A$5:$A$204,0)),"")*H279,""))</f>
        <v>0</v>
      </c>
      <c r="R279" s="8">
        <f>IF(F279="","",Weekly_Budget/21)</f>
        <v>0</v>
      </c>
      <c r="S279" s="27"/>
      <c r="T279" s="27"/>
      <c r="U279" s="26"/>
      <c r="V279" s="7"/>
      <c r="W279" s="7"/>
      <c r="X279" s="26"/>
      <c r="Y279" s="8">
        <f>IF(G279="","",IF(COUNTIFS('Meal Prep'!$D$5:$D$124,G279)&gt;0,"Yes","No"))</f>
        <v>0</v>
      </c>
      <c r="Z279" s="8">
        <f>IF(G279="","",COUNTIFS('Recipe Ingredients'!$A$5:$A$1204,G279))</f>
        <v>0</v>
      </c>
      <c r="AA279" s="25"/>
      <c r="AB279" s="8">
        <f>IF(OR(B279="",Q279=""),"",COUNTIFS($B$5:$B$504,B279,$Q$5:$Q$504,"&gt;"&amp;Q279)+1)</f>
        <v>0</v>
      </c>
      <c r="AC279" s="8">
        <f>IF(OR(B279="",L279=""),"",COUNTIFS($B$5:$B$504,B279,$L$5:$L$504,"&gt;"&amp;L279)+1)</f>
        <v>0</v>
      </c>
      <c r="AD279" s="8">
        <f>IF(G279="","",IF(COUNTIFS($G$5:$G$504,G279)&gt;1,"Repeat","Once"))</f>
        <v>0</v>
      </c>
      <c r="AE279" s="8">
        <f>IF(G279="","",IF(IFERROR(INDEX(Recipes!$X$5:$X$204,MATCH(G279,Recipes!$A$5:$A$204,0)),"")="","",IFERROR(B279-IFERROR(INDEX(Recipes!$X$5:$X$204,MATCH(G279,Recipes!$A$5:$A$204,0)),""),"")))</f>
        <v>0</v>
      </c>
      <c r="AF279" s="8">
        <f>IF(G279="","",IF(AE279="","Yes",IF(AE279&gt;=Rotation_Gap_Days,"Yes","No")))</f>
        <v>0</v>
      </c>
      <c r="AG279" s="8">
        <f>IF(G279="","",IF(COUNTIFS('Recipe Ingredients'!$A$5:$A$1204,G279,'Recipe Ingredients'!$AC$5:$AC$1204,"Check")&gt;0,"Check","OK"))</f>
        <v>0</v>
      </c>
    </row>
    <row r="280" spans="1:33">
      <c r="A280" s="7"/>
      <c r="B280" s="30"/>
      <c r="C280" s="8">
        <f>IF(B280="","",B280-WEEKDAY(B280,2)+1)</f>
        <v>0</v>
      </c>
      <c r="D280" s="8">
        <f>IF(B280="","",TEXT(B280,"ddd"))</f>
        <v>0</v>
      </c>
      <c r="E280" s="8">
        <f>IF(B280="","",TEXT(B280,"mmm yyyy"))</f>
        <v>0</v>
      </c>
      <c r="F280" s="27"/>
      <c r="G280" s="7"/>
      <c r="H280" s="26"/>
      <c r="I280" s="8">
        <f>IF(G280="","",IFERROR(INDEX(Recipes!$D$5:$D$204,MATCH(G280,Recipes!$A$5:$A$204,0)),""))</f>
        <v>0</v>
      </c>
      <c r="J280" s="8">
        <f>IF(OR(G280="",H280="",I280="",I280=0),"",H280/I280)</f>
        <v>0</v>
      </c>
      <c r="K280" s="8">
        <f>IF(B280="","",Household_Size)</f>
        <v>0</v>
      </c>
      <c r="L280" s="8">
        <f>IF(OR(G280="",H280=""),"",IFERROR(IFERROR(INDEX(Recipes!$H$5:$H$204,MATCH(G280,Recipes!$A$5:$A$204,0)),"")*H280,""))</f>
        <v>0</v>
      </c>
      <c r="M280" s="8">
        <f>IF(OR(G280="",H280=""),"",IFERROR(IFERROR(INDEX(Recipes!$I$5:$I$204,MATCH(G280,Recipes!$A$5:$A$204,0)),"")*H280,""))</f>
        <v>0</v>
      </c>
      <c r="N280" s="8">
        <f>IF(OR(G280="",H280=""),"",IFERROR(IFERROR(INDEX(Recipes!$J$5:$J$204,MATCH(G280,Recipes!$A$5:$A$204,0)),"")*H280,""))</f>
        <v>0</v>
      </c>
      <c r="O280" s="8">
        <f>IF(OR(G280="",H280=""),"",IFERROR(IFERROR(INDEX(Recipes!$K$5:$K$204,MATCH(G280,Recipes!$A$5:$A$204,0)),"")*H280,""))</f>
        <v>0</v>
      </c>
      <c r="P280" s="8">
        <f>IF(OR(G280="",H280=""),"",IFERROR(IFERROR(INDEX(Recipes!$L$5:$L$204,MATCH(G280,Recipes!$A$5:$A$204,0)),"")*H280,""))</f>
        <v>0</v>
      </c>
      <c r="Q280" s="8">
        <f>IF(OR(G280="",H280=""),"",IFERROR(IFERROR(INDEX(Recipes!$Q$5:$Q$204,MATCH(G280,Recipes!$A$5:$A$204,0)),"")*H280,""))</f>
        <v>0</v>
      </c>
      <c r="R280" s="8">
        <f>IF(F280="","",Weekly_Budget/21)</f>
        <v>0</v>
      </c>
      <c r="S280" s="27"/>
      <c r="T280" s="27"/>
      <c r="U280" s="26"/>
      <c r="V280" s="7"/>
      <c r="W280" s="7"/>
      <c r="X280" s="26"/>
      <c r="Y280" s="8">
        <f>IF(G280="","",IF(COUNTIFS('Meal Prep'!$D$5:$D$124,G280)&gt;0,"Yes","No"))</f>
        <v>0</v>
      </c>
      <c r="Z280" s="8">
        <f>IF(G280="","",COUNTIFS('Recipe Ingredients'!$A$5:$A$1204,G280))</f>
        <v>0</v>
      </c>
      <c r="AA280" s="25"/>
      <c r="AB280" s="8">
        <f>IF(OR(B280="",Q280=""),"",COUNTIFS($B$5:$B$504,B280,$Q$5:$Q$504,"&gt;"&amp;Q280)+1)</f>
        <v>0</v>
      </c>
      <c r="AC280" s="8">
        <f>IF(OR(B280="",L280=""),"",COUNTIFS($B$5:$B$504,B280,$L$5:$L$504,"&gt;"&amp;L280)+1)</f>
        <v>0</v>
      </c>
      <c r="AD280" s="8">
        <f>IF(G280="","",IF(COUNTIFS($G$5:$G$504,G280)&gt;1,"Repeat","Once"))</f>
        <v>0</v>
      </c>
      <c r="AE280" s="8">
        <f>IF(G280="","",IF(IFERROR(INDEX(Recipes!$X$5:$X$204,MATCH(G280,Recipes!$A$5:$A$204,0)),"")="","",IFERROR(B280-IFERROR(INDEX(Recipes!$X$5:$X$204,MATCH(G280,Recipes!$A$5:$A$204,0)),""),"")))</f>
        <v>0</v>
      </c>
      <c r="AF280" s="8">
        <f>IF(G280="","",IF(AE280="","Yes",IF(AE280&gt;=Rotation_Gap_Days,"Yes","No")))</f>
        <v>0</v>
      </c>
      <c r="AG280" s="8">
        <f>IF(G280="","",IF(COUNTIFS('Recipe Ingredients'!$A$5:$A$1204,G280,'Recipe Ingredients'!$AC$5:$AC$1204,"Check")&gt;0,"Check","OK"))</f>
        <v>0</v>
      </c>
    </row>
    <row r="281" spans="1:33">
      <c r="A281" s="7"/>
      <c r="B281" s="30"/>
      <c r="C281" s="8">
        <f>IF(B281="","",B281-WEEKDAY(B281,2)+1)</f>
        <v>0</v>
      </c>
      <c r="D281" s="8">
        <f>IF(B281="","",TEXT(B281,"ddd"))</f>
        <v>0</v>
      </c>
      <c r="E281" s="8">
        <f>IF(B281="","",TEXT(B281,"mmm yyyy"))</f>
        <v>0</v>
      </c>
      <c r="F281" s="27"/>
      <c r="G281" s="7"/>
      <c r="H281" s="26"/>
      <c r="I281" s="8">
        <f>IF(G281="","",IFERROR(INDEX(Recipes!$D$5:$D$204,MATCH(G281,Recipes!$A$5:$A$204,0)),""))</f>
        <v>0</v>
      </c>
      <c r="J281" s="8">
        <f>IF(OR(G281="",H281="",I281="",I281=0),"",H281/I281)</f>
        <v>0</v>
      </c>
      <c r="K281" s="8">
        <f>IF(B281="","",Household_Size)</f>
        <v>0</v>
      </c>
      <c r="L281" s="8">
        <f>IF(OR(G281="",H281=""),"",IFERROR(IFERROR(INDEX(Recipes!$H$5:$H$204,MATCH(G281,Recipes!$A$5:$A$204,0)),"")*H281,""))</f>
        <v>0</v>
      </c>
      <c r="M281" s="8">
        <f>IF(OR(G281="",H281=""),"",IFERROR(IFERROR(INDEX(Recipes!$I$5:$I$204,MATCH(G281,Recipes!$A$5:$A$204,0)),"")*H281,""))</f>
        <v>0</v>
      </c>
      <c r="N281" s="8">
        <f>IF(OR(G281="",H281=""),"",IFERROR(IFERROR(INDEX(Recipes!$J$5:$J$204,MATCH(G281,Recipes!$A$5:$A$204,0)),"")*H281,""))</f>
        <v>0</v>
      </c>
      <c r="O281" s="8">
        <f>IF(OR(G281="",H281=""),"",IFERROR(IFERROR(INDEX(Recipes!$K$5:$K$204,MATCH(G281,Recipes!$A$5:$A$204,0)),"")*H281,""))</f>
        <v>0</v>
      </c>
      <c r="P281" s="8">
        <f>IF(OR(G281="",H281=""),"",IFERROR(IFERROR(INDEX(Recipes!$L$5:$L$204,MATCH(G281,Recipes!$A$5:$A$204,0)),"")*H281,""))</f>
        <v>0</v>
      </c>
      <c r="Q281" s="8">
        <f>IF(OR(G281="",H281=""),"",IFERROR(IFERROR(INDEX(Recipes!$Q$5:$Q$204,MATCH(G281,Recipes!$A$5:$A$204,0)),"")*H281,""))</f>
        <v>0</v>
      </c>
      <c r="R281" s="8">
        <f>IF(F281="","",Weekly_Budget/21)</f>
        <v>0</v>
      </c>
      <c r="S281" s="27"/>
      <c r="T281" s="27"/>
      <c r="U281" s="26"/>
      <c r="V281" s="7"/>
      <c r="W281" s="7"/>
      <c r="X281" s="26"/>
      <c r="Y281" s="8">
        <f>IF(G281="","",IF(COUNTIFS('Meal Prep'!$D$5:$D$124,G281)&gt;0,"Yes","No"))</f>
        <v>0</v>
      </c>
      <c r="Z281" s="8">
        <f>IF(G281="","",COUNTIFS('Recipe Ingredients'!$A$5:$A$1204,G281))</f>
        <v>0</v>
      </c>
      <c r="AA281" s="25"/>
      <c r="AB281" s="8">
        <f>IF(OR(B281="",Q281=""),"",COUNTIFS($B$5:$B$504,B281,$Q$5:$Q$504,"&gt;"&amp;Q281)+1)</f>
        <v>0</v>
      </c>
      <c r="AC281" s="8">
        <f>IF(OR(B281="",L281=""),"",COUNTIFS($B$5:$B$504,B281,$L$5:$L$504,"&gt;"&amp;L281)+1)</f>
        <v>0</v>
      </c>
      <c r="AD281" s="8">
        <f>IF(G281="","",IF(COUNTIFS($G$5:$G$504,G281)&gt;1,"Repeat","Once"))</f>
        <v>0</v>
      </c>
      <c r="AE281" s="8">
        <f>IF(G281="","",IF(IFERROR(INDEX(Recipes!$X$5:$X$204,MATCH(G281,Recipes!$A$5:$A$204,0)),"")="","",IFERROR(B281-IFERROR(INDEX(Recipes!$X$5:$X$204,MATCH(G281,Recipes!$A$5:$A$204,0)),""),"")))</f>
        <v>0</v>
      </c>
      <c r="AF281" s="8">
        <f>IF(G281="","",IF(AE281="","Yes",IF(AE281&gt;=Rotation_Gap_Days,"Yes","No")))</f>
        <v>0</v>
      </c>
      <c r="AG281" s="8">
        <f>IF(G281="","",IF(COUNTIFS('Recipe Ingredients'!$A$5:$A$1204,G281,'Recipe Ingredients'!$AC$5:$AC$1204,"Check")&gt;0,"Check","OK"))</f>
        <v>0</v>
      </c>
    </row>
    <row r="282" spans="1:33">
      <c r="A282" s="7"/>
      <c r="B282" s="30"/>
      <c r="C282" s="8">
        <f>IF(B282="","",B282-WEEKDAY(B282,2)+1)</f>
        <v>0</v>
      </c>
      <c r="D282" s="8">
        <f>IF(B282="","",TEXT(B282,"ddd"))</f>
        <v>0</v>
      </c>
      <c r="E282" s="8">
        <f>IF(B282="","",TEXT(B282,"mmm yyyy"))</f>
        <v>0</v>
      </c>
      <c r="F282" s="27"/>
      <c r="G282" s="7"/>
      <c r="H282" s="26"/>
      <c r="I282" s="8">
        <f>IF(G282="","",IFERROR(INDEX(Recipes!$D$5:$D$204,MATCH(G282,Recipes!$A$5:$A$204,0)),""))</f>
        <v>0</v>
      </c>
      <c r="J282" s="8">
        <f>IF(OR(G282="",H282="",I282="",I282=0),"",H282/I282)</f>
        <v>0</v>
      </c>
      <c r="K282" s="8">
        <f>IF(B282="","",Household_Size)</f>
        <v>0</v>
      </c>
      <c r="L282" s="8">
        <f>IF(OR(G282="",H282=""),"",IFERROR(IFERROR(INDEX(Recipes!$H$5:$H$204,MATCH(G282,Recipes!$A$5:$A$204,0)),"")*H282,""))</f>
        <v>0</v>
      </c>
      <c r="M282" s="8">
        <f>IF(OR(G282="",H282=""),"",IFERROR(IFERROR(INDEX(Recipes!$I$5:$I$204,MATCH(G282,Recipes!$A$5:$A$204,0)),"")*H282,""))</f>
        <v>0</v>
      </c>
      <c r="N282" s="8">
        <f>IF(OR(G282="",H282=""),"",IFERROR(IFERROR(INDEX(Recipes!$J$5:$J$204,MATCH(G282,Recipes!$A$5:$A$204,0)),"")*H282,""))</f>
        <v>0</v>
      </c>
      <c r="O282" s="8">
        <f>IF(OR(G282="",H282=""),"",IFERROR(IFERROR(INDEX(Recipes!$K$5:$K$204,MATCH(G282,Recipes!$A$5:$A$204,0)),"")*H282,""))</f>
        <v>0</v>
      </c>
      <c r="P282" s="8">
        <f>IF(OR(G282="",H282=""),"",IFERROR(IFERROR(INDEX(Recipes!$L$5:$L$204,MATCH(G282,Recipes!$A$5:$A$204,0)),"")*H282,""))</f>
        <v>0</v>
      </c>
      <c r="Q282" s="8">
        <f>IF(OR(G282="",H282=""),"",IFERROR(IFERROR(INDEX(Recipes!$Q$5:$Q$204,MATCH(G282,Recipes!$A$5:$A$204,0)),"")*H282,""))</f>
        <v>0</v>
      </c>
      <c r="R282" s="8">
        <f>IF(F282="","",Weekly_Budget/21)</f>
        <v>0</v>
      </c>
      <c r="S282" s="27"/>
      <c r="T282" s="27"/>
      <c r="U282" s="26"/>
      <c r="V282" s="7"/>
      <c r="W282" s="7"/>
      <c r="X282" s="26"/>
      <c r="Y282" s="8">
        <f>IF(G282="","",IF(COUNTIFS('Meal Prep'!$D$5:$D$124,G282)&gt;0,"Yes","No"))</f>
        <v>0</v>
      </c>
      <c r="Z282" s="8">
        <f>IF(G282="","",COUNTIFS('Recipe Ingredients'!$A$5:$A$1204,G282))</f>
        <v>0</v>
      </c>
      <c r="AA282" s="25"/>
      <c r="AB282" s="8">
        <f>IF(OR(B282="",Q282=""),"",COUNTIFS($B$5:$B$504,B282,$Q$5:$Q$504,"&gt;"&amp;Q282)+1)</f>
        <v>0</v>
      </c>
      <c r="AC282" s="8">
        <f>IF(OR(B282="",L282=""),"",COUNTIFS($B$5:$B$504,B282,$L$5:$L$504,"&gt;"&amp;L282)+1)</f>
        <v>0</v>
      </c>
      <c r="AD282" s="8">
        <f>IF(G282="","",IF(COUNTIFS($G$5:$G$504,G282)&gt;1,"Repeat","Once"))</f>
        <v>0</v>
      </c>
      <c r="AE282" s="8">
        <f>IF(G282="","",IF(IFERROR(INDEX(Recipes!$X$5:$X$204,MATCH(G282,Recipes!$A$5:$A$204,0)),"")="","",IFERROR(B282-IFERROR(INDEX(Recipes!$X$5:$X$204,MATCH(G282,Recipes!$A$5:$A$204,0)),""),"")))</f>
        <v>0</v>
      </c>
      <c r="AF282" s="8">
        <f>IF(G282="","",IF(AE282="","Yes",IF(AE282&gt;=Rotation_Gap_Days,"Yes","No")))</f>
        <v>0</v>
      </c>
      <c r="AG282" s="8">
        <f>IF(G282="","",IF(COUNTIFS('Recipe Ingredients'!$A$5:$A$1204,G282,'Recipe Ingredients'!$AC$5:$AC$1204,"Check")&gt;0,"Check","OK"))</f>
        <v>0</v>
      </c>
    </row>
    <row r="283" spans="1:33">
      <c r="A283" s="7"/>
      <c r="B283" s="30"/>
      <c r="C283" s="8">
        <f>IF(B283="","",B283-WEEKDAY(B283,2)+1)</f>
        <v>0</v>
      </c>
      <c r="D283" s="8">
        <f>IF(B283="","",TEXT(B283,"ddd"))</f>
        <v>0</v>
      </c>
      <c r="E283" s="8">
        <f>IF(B283="","",TEXT(B283,"mmm yyyy"))</f>
        <v>0</v>
      </c>
      <c r="F283" s="27"/>
      <c r="G283" s="7"/>
      <c r="H283" s="26"/>
      <c r="I283" s="8">
        <f>IF(G283="","",IFERROR(INDEX(Recipes!$D$5:$D$204,MATCH(G283,Recipes!$A$5:$A$204,0)),""))</f>
        <v>0</v>
      </c>
      <c r="J283" s="8">
        <f>IF(OR(G283="",H283="",I283="",I283=0),"",H283/I283)</f>
        <v>0</v>
      </c>
      <c r="K283" s="8">
        <f>IF(B283="","",Household_Size)</f>
        <v>0</v>
      </c>
      <c r="L283" s="8">
        <f>IF(OR(G283="",H283=""),"",IFERROR(IFERROR(INDEX(Recipes!$H$5:$H$204,MATCH(G283,Recipes!$A$5:$A$204,0)),"")*H283,""))</f>
        <v>0</v>
      </c>
      <c r="M283" s="8">
        <f>IF(OR(G283="",H283=""),"",IFERROR(IFERROR(INDEX(Recipes!$I$5:$I$204,MATCH(G283,Recipes!$A$5:$A$204,0)),"")*H283,""))</f>
        <v>0</v>
      </c>
      <c r="N283" s="8">
        <f>IF(OR(G283="",H283=""),"",IFERROR(IFERROR(INDEX(Recipes!$J$5:$J$204,MATCH(G283,Recipes!$A$5:$A$204,0)),"")*H283,""))</f>
        <v>0</v>
      </c>
      <c r="O283" s="8">
        <f>IF(OR(G283="",H283=""),"",IFERROR(IFERROR(INDEX(Recipes!$K$5:$K$204,MATCH(G283,Recipes!$A$5:$A$204,0)),"")*H283,""))</f>
        <v>0</v>
      </c>
      <c r="P283" s="8">
        <f>IF(OR(G283="",H283=""),"",IFERROR(IFERROR(INDEX(Recipes!$L$5:$L$204,MATCH(G283,Recipes!$A$5:$A$204,0)),"")*H283,""))</f>
        <v>0</v>
      </c>
      <c r="Q283" s="8">
        <f>IF(OR(G283="",H283=""),"",IFERROR(IFERROR(INDEX(Recipes!$Q$5:$Q$204,MATCH(G283,Recipes!$A$5:$A$204,0)),"")*H283,""))</f>
        <v>0</v>
      </c>
      <c r="R283" s="8">
        <f>IF(F283="","",Weekly_Budget/21)</f>
        <v>0</v>
      </c>
      <c r="S283" s="27"/>
      <c r="T283" s="27"/>
      <c r="U283" s="26"/>
      <c r="V283" s="7"/>
      <c r="W283" s="7"/>
      <c r="X283" s="26"/>
      <c r="Y283" s="8">
        <f>IF(G283="","",IF(COUNTIFS('Meal Prep'!$D$5:$D$124,G283)&gt;0,"Yes","No"))</f>
        <v>0</v>
      </c>
      <c r="Z283" s="8">
        <f>IF(G283="","",COUNTIFS('Recipe Ingredients'!$A$5:$A$1204,G283))</f>
        <v>0</v>
      </c>
      <c r="AA283" s="25"/>
      <c r="AB283" s="8">
        <f>IF(OR(B283="",Q283=""),"",COUNTIFS($B$5:$B$504,B283,$Q$5:$Q$504,"&gt;"&amp;Q283)+1)</f>
        <v>0</v>
      </c>
      <c r="AC283" s="8">
        <f>IF(OR(B283="",L283=""),"",COUNTIFS($B$5:$B$504,B283,$L$5:$L$504,"&gt;"&amp;L283)+1)</f>
        <v>0</v>
      </c>
      <c r="AD283" s="8">
        <f>IF(G283="","",IF(COUNTIFS($G$5:$G$504,G283)&gt;1,"Repeat","Once"))</f>
        <v>0</v>
      </c>
      <c r="AE283" s="8">
        <f>IF(G283="","",IF(IFERROR(INDEX(Recipes!$X$5:$X$204,MATCH(G283,Recipes!$A$5:$A$204,0)),"")="","",IFERROR(B283-IFERROR(INDEX(Recipes!$X$5:$X$204,MATCH(G283,Recipes!$A$5:$A$204,0)),""),"")))</f>
        <v>0</v>
      </c>
      <c r="AF283" s="8">
        <f>IF(G283="","",IF(AE283="","Yes",IF(AE283&gt;=Rotation_Gap_Days,"Yes","No")))</f>
        <v>0</v>
      </c>
      <c r="AG283" s="8">
        <f>IF(G283="","",IF(COUNTIFS('Recipe Ingredients'!$A$5:$A$1204,G283,'Recipe Ingredients'!$AC$5:$AC$1204,"Check")&gt;0,"Check","OK"))</f>
        <v>0</v>
      </c>
    </row>
    <row r="284" spans="1:33">
      <c r="A284" s="7"/>
      <c r="B284" s="30"/>
      <c r="C284" s="8">
        <f>IF(B284="","",B284-WEEKDAY(B284,2)+1)</f>
        <v>0</v>
      </c>
      <c r="D284" s="8">
        <f>IF(B284="","",TEXT(B284,"ddd"))</f>
        <v>0</v>
      </c>
      <c r="E284" s="8">
        <f>IF(B284="","",TEXT(B284,"mmm yyyy"))</f>
        <v>0</v>
      </c>
      <c r="F284" s="27"/>
      <c r="G284" s="7"/>
      <c r="H284" s="26"/>
      <c r="I284" s="8">
        <f>IF(G284="","",IFERROR(INDEX(Recipes!$D$5:$D$204,MATCH(G284,Recipes!$A$5:$A$204,0)),""))</f>
        <v>0</v>
      </c>
      <c r="J284" s="8">
        <f>IF(OR(G284="",H284="",I284="",I284=0),"",H284/I284)</f>
        <v>0</v>
      </c>
      <c r="K284" s="8">
        <f>IF(B284="","",Household_Size)</f>
        <v>0</v>
      </c>
      <c r="L284" s="8">
        <f>IF(OR(G284="",H284=""),"",IFERROR(IFERROR(INDEX(Recipes!$H$5:$H$204,MATCH(G284,Recipes!$A$5:$A$204,0)),"")*H284,""))</f>
        <v>0</v>
      </c>
      <c r="M284" s="8">
        <f>IF(OR(G284="",H284=""),"",IFERROR(IFERROR(INDEX(Recipes!$I$5:$I$204,MATCH(G284,Recipes!$A$5:$A$204,0)),"")*H284,""))</f>
        <v>0</v>
      </c>
      <c r="N284" s="8">
        <f>IF(OR(G284="",H284=""),"",IFERROR(IFERROR(INDEX(Recipes!$J$5:$J$204,MATCH(G284,Recipes!$A$5:$A$204,0)),"")*H284,""))</f>
        <v>0</v>
      </c>
      <c r="O284" s="8">
        <f>IF(OR(G284="",H284=""),"",IFERROR(IFERROR(INDEX(Recipes!$K$5:$K$204,MATCH(G284,Recipes!$A$5:$A$204,0)),"")*H284,""))</f>
        <v>0</v>
      </c>
      <c r="P284" s="8">
        <f>IF(OR(G284="",H284=""),"",IFERROR(IFERROR(INDEX(Recipes!$L$5:$L$204,MATCH(G284,Recipes!$A$5:$A$204,0)),"")*H284,""))</f>
        <v>0</v>
      </c>
      <c r="Q284" s="8">
        <f>IF(OR(G284="",H284=""),"",IFERROR(IFERROR(INDEX(Recipes!$Q$5:$Q$204,MATCH(G284,Recipes!$A$5:$A$204,0)),"")*H284,""))</f>
        <v>0</v>
      </c>
      <c r="R284" s="8">
        <f>IF(F284="","",Weekly_Budget/21)</f>
        <v>0</v>
      </c>
      <c r="S284" s="27"/>
      <c r="T284" s="27"/>
      <c r="U284" s="26"/>
      <c r="V284" s="7"/>
      <c r="W284" s="7"/>
      <c r="X284" s="26"/>
      <c r="Y284" s="8">
        <f>IF(G284="","",IF(COUNTIFS('Meal Prep'!$D$5:$D$124,G284)&gt;0,"Yes","No"))</f>
        <v>0</v>
      </c>
      <c r="Z284" s="8">
        <f>IF(G284="","",COUNTIFS('Recipe Ingredients'!$A$5:$A$1204,G284))</f>
        <v>0</v>
      </c>
      <c r="AA284" s="25"/>
      <c r="AB284" s="8">
        <f>IF(OR(B284="",Q284=""),"",COUNTIFS($B$5:$B$504,B284,$Q$5:$Q$504,"&gt;"&amp;Q284)+1)</f>
        <v>0</v>
      </c>
      <c r="AC284" s="8">
        <f>IF(OR(B284="",L284=""),"",COUNTIFS($B$5:$B$504,B284,$L$5:$L$504,"&gt;"&amp;L284)+1)</f>
        <v>0</v>
      </c>
      <c r="AD284" s="8">
        <f>IF(G284="","",IF(COUNTIFS($G$5:$G$504,G284)&gt;1,"Repeat","Once"))</f>
        <v>0</v>
      </c>
      <c r="AE284" s="8">
        <f>IF(G284="","",IF(IFERROR(INDEX(Recipes!$X$5:$X$204,MATCH(G284,Recipes!$A$5:$A$204,0)),"")="","",IFERROR(B284-IFERROR(INDEX(Recipes!$X$5:$X$204,MATCH(G284,Recipes!$A$5:$A$204,0)),""),"")))</f>
        <v>0</v>
      </c>
      <c r="AF284" s="8">
        <f>IF(G284="","",IF(AE284="","Yes",IF(AE284&gt;=Rotation_Gap_Days,"Yes","No")))</f>
        <v>0</v>
      </c>
      <c r="AG284" s="8">
        <f>IF(G284="","",IF(COUNTIFS('Recipe Ingredients'!$A$5:$A$1204,G284,'Recipe Ingredients'!$AC$5:$AC$1204,"Check")&gt;0,"Check","OK"))</f>
        <v>0</v>
      </c>
    </row>
    <row r="285" spans="1:33">
      <c r="A285" s="7"/>
      <c r="B285" s="30"/>
      <c r="C285" s="8">
        <f>IF(B285="","",B285-WEEKDAY(B285,2)+1)</f>
        <v>0</v>
      </c>
      <c r="D285" s="8">
        <f>IF(B285="","",TEXT(B285,"ddd"))</f>
        <v>0</v>
      </c>
      <c r="E285" s="8">
        <f>IF(B285="","",TEXT(B285,"mmm yyyy"))</f>
        <v>0</v>
      </c>
      <c r="F285" s="27"/>
      <c r="G285" s="7"/>
      <c r="H285" s="26"/>
      <c r="I285" s="8">
        <f>IF(G285="","",IFERROR(INDEX(Recipes!$D$5:$D$204,MATCH(G285,Recipes!$A$5:$A$204,0)),""))</f>
        <v>0</v>
      </c>
      <c r="J285" s="8">
        <f>IF(OR(G285="",H285="",I285="",I285=0),"",H285/I285)</f>
        <v>0</v>
      </c>
      <c r="K285" s="8">
        <f>IF(B285="","",Household_Size)</f>
        <v>0</v>
      </c>
      <c r="L285" s="8">
        <f>IF(OR(G285="",H285=""),"",IFERROR(IFERROR(INDEX(Recipes!$H$5:$H$204,MATCH(G285,Recipes!$A$5:$A$204,0)),"")*H285,""))</f>
        <v>0</v>
      </c>
      <c r="M285" s="8">
        <f>IF(OR(G285="",H285=""),"",IFERROR(IFERROR(INDEX(Recipes!$I$5:$I$204,MATCH(G285,Recipes!$A$5:$A$204,0)),"")*H285,""))</f>
        <v>0</v>
      </c>
      <c r="N285" s="8">
        <f>IF(OR(G285="",H285=""),"",IFERROR(IFERROR(INDEX(Recipes!$J$5:$J$204,MATCH(G285,Recipes!$A$5:$A$204,0)),"")*H285,""))</f>
        <v>0</v>
      </c>
      <c r="O285" s="8">
        <f>IF(OR(G285="",H285=""),"",IFERROR(IFERROR(INDEX(Recipes!$K$5:$K$204,MATCH(G285,Recipes!$A$5:$A$204,0)),"")*H285,""))</f>
        <v>0</v>
      </c>
      <c r="P285" s="8">
        <f>IF(OR(G285="",H285=""),"",IFERROR(IFERROR(INDEX(Recipes!$L$5:$L$204,MATCH(G285,Recipes!$A$5:$A$204,0)),"")*H285,""))</f>
        <v>0</v>
      </c>
      <c r="Q285" s="8">
        <f>IF(OR(G285="",H285=""),"",IFERROR(IFERROR(INDEX(Recipes!$Q$5:$Q$204,MATCH(G285,Recipes!$A$5:$A$204,0)),"")*H285,""))</f>
        <v>0</v>
      </c>
      <c r="R285" s="8">
        <f>IF(F285="","",Weekly_Budget/21)</f>
        <v>0</v>
      </c>
      <c r="S285" s="27"/>
      <c r="T285" s="27"/>
      <c r="U285" s="26"/>
      <c r="V285" s="7"/>
      <c r="W285" s="7"/>
      <c r="X285" s="26"/>
      <c r="Y285" s="8">
        <f>IF(G285="","",IF(COUNTIFS('Meal Prep'!$D$5:$D$124,G285)&gt;0,"Yes","No"))</f>
        <v>0</v>
      </c>
      <c r="Z285" s="8">
        <f>IF(G285="","",COUNTIFS('Recipe Ingredients'!$A$5:$A$1204,G285))</f>
        <v>0</v>
      </c>
      <c r="AA285" s="25"/>
      <c r="AB285" s="8">
        <f>IF(OR(B285="",Q285=""),"",COUNTIFS($B$5:$B$504,B285,$Q$5:$Q$504,"&gt;"&amp;Q285)+1)</f>
        <v>0</v>
      </c>
      <c r="AC285" s="8">
        <f>IF(OR(B285="",L285=""),"",COUNTIFS($B$5:$B$504,B285,$L$5:$L$504,"&gt;"&amp;L285)+1)</f>
        <v>0</v>
      </c>
      <c r="AD285" s="8">
        <f>IF(G285="","",IF(COUNTIFS($G$5:$G$504,G285)&gt;1,"Repeat","Once"))</f>
        <v>0</v>
      </c>
      <c r="AE285" s="8">
        <f>IF(G285="","",IF(IFERROR(INDEX(Recipes!$X$5:$X$204,MATCH(G285,Recipes!$A$5:$A$204,0)),"")="","",IFERROR(B285-IFERROR(INDEX(Recipes!$X$5:$X$204,MATCH(G285,Recipes!$A$5:$A$204,0)),""),"")))</f>
        <v>0</v>
      </c>
      <c r="AF285" s="8">
        <f>IF(G285="","",IF(AE285="","Yes",IF(AE285&gt;=Rotation_Gap_Days,"Yes","No")))</f>
        <v>0</v>
      </c>
      <c r="AG285" s="8">
        <f>IF(G285="","",IF(COUNTIFS('Recipe Ingredients'!$A$5:$A$1204,G285,'Recipe Ingredients'!$AC$5:$AC$1204,"Check")&gt;0,"Check","OK"))</f>
        <v>0</v>
      </c>
    </row>
    <row r="286" spans="1:33">
      <c r="A286" s="7"/>
      <c r="B286" s="30"/>
      <c r="C286" s="8">
        <f>IF(B286="","",B286-WEEKDAY(B286,2)+1)</f>
        <v>0</v>
      </c>
      <c r="D286" s="8">
        <f>IF(B286="","",TEXT(B286,"ddd"))</f>
        <v>0</v>
      </c>
      <c r="E286" s="8">
        <f>IF(B286="","",TEXT(B286,"mmm yyyy"))</f>
        <v>0</v>
      </c>
      <c r="F286" s="27"/>
      <c r="G286" s="7"/>
      <c r="H286" s="26"/>
      <c r="I286" s="8">
        <f>IF(G286="","",IFERROR(INDEX(Recipes!$D$5:$D$204,MATCH(G286,Recipes!$A$5:$A$204,0)),""))</f>
        <v>0</v>
      </c>
      <c r="J286" s="8">
        <f>IF(OR(G286="",H286="",I286="",I286=0),"",H286/I286)</f>
        <v>0</v>
      </c>
      <c r="K286" s="8">
        <f>IF(B286="","",Household_Size)</f>
        <v>0</v>
      </c>
      <c r="L286" s="8">
        <f>IF(OR(G286="",H286=""),"",IFERROR(IFERROR(INDEX(Recipes!$H$5:$H$204,MATCH(G286,Recipes!$A$5:$A$204,0)),"")*H286,""))</f>
        <v>0</v>
      </c>
      <c r="M286" s="8">
        <f>IF(OR(G286="",H286=""),"",IFERROR(IFERROR(INDEX(Recipes!$I$5:$I$204,MATCH(G286,Recipes!$A$5:$A$204,0)),"")*H286,""))</f>
        <v>0</v>
      </c>
      <c r="N286" s="8">
        <f>IF(OR(G286="",H286=""),"",IFERROR(IFERROR(INDEX(Recipes!$J$5:$J$204,MATCH(G286,Recipes!$A$5:$A$204,0)),"")*H286,""))</f>
        <v>0</v>
      </c>
      <c r="O286" s="8">
        <f>IF(OR(G286="",H286=""),"",IFERROR(IFERROR(INDEX(Recipes!$K$5:$K$204,MATCH(G286,Recipes!$A$5:$A$204,0)),"")*H286,""))</f>
        <v>0</v>
      </c>
      <c r="P286" s="8">
        <f>IF(OR(G286="",H286=""),"",IFERROR(IFERROR(INDEX(Recipes!$L$5:$L$204,MATCH(G286,Recipes!$A$5:$A$204,0)),"")*H286,""))</f>
        <v>0</v>
      </c>
      <c r="Q286" s="8">
        <f>IF(OR(G286="",H286=""),"",IFERROR(IFERROR(INDEX(Recipes!$Q$5:$Q$204,MATCH(G286,Recipes!$A$5:$A$204,0)),"")*H286,""))</f>
        <v>0</v>
      </c>
      <c r="R286" s="8">
        <f>IF(F286="","",Weekly_Budget/21)</f>
        <v>0</v>
      </c>
      <c r="S286" s="27"/>
      <c r="T286" s="27"/>
      <c r="U286" s="26"/>
      <c r="V286" s="7"/>
      <c r="W286" s="7"/>
      <c r="X286" s="26"/>
      <c r="Y286" s="8">
        <f>IF(G286="","",IF(COUNTIFS('Meal Prep'!$D$5:$D$124,G286)&gt;0,"Yes","No"))</f>
        <v>0</v>
      </c>
      <c r="Z286" s="8">
        <f>IF(G286="","",COUNTIFS('Recipe Ingredients'!$A$5:$A$1204,G286))</f>
        <v>0</v>
      </c>
      <c r="AA286" s="25"/>
      <c r="AB286" s="8">
        <f>IF(OR(B286="",Q286=""),"",COUNTIFS($B$5:$B$504,B286,$Q$5:$Q$504,"&gt;"&amp;Q286)+1)</f>
        <v>0</v>
      </c>
      <c r="AC286" s="8">
        <f>IF(OR(B286="",L286=""),"",COUNTIFS($B$5:$B$504,B286,$L$5:$L$504,"&gt;"&amp;L286)+1)</f>
        <v>0</v>
      </c>
      <c r="AD286" s="8">
        <f>IF(G286="","",IF(COUNTIFS($G$5:$G$504,G286)&gt;1,"Repeat","Once"))</f>
        <v>0</v>
      </c>
      <c r="AE286" s="8">
        <f>IF(G286="","",IF(IFERROR(INDEX(Recipes!$X$5:$X$204,MATCH(G286,Recipes!$A$5:$A$204,0)),"")="","",IFERROR(B286-IFERROR(INDEX(Recipes!$X$5:$X$204,MATCH(G286,Recipes!$A$5:$A$204,0)),""),"")))</f>
        <v>0</v>
      </c>
      <c r="AF286" s="8">
        <f>IF(G286="","",IF(AE286="","Yes",IF(AE286&gt;=Rotation_Gap_Days,"Yes","No")))</f>
        <v>0</v>
      </c>
      <c r="AG286" s="8">
        <f>IF(G286="","",IF(COUNTIFS('Recipe Ingredients'!$A$5:$A$1204,G286,'Recipe Ingredients'!$AC$5:$AC$1204,"Check")&gt;0,"Check","OK"))</f>
        <v>0</v>
      </c>
    </row>
    <row r="287" spans="1:33">
      <c r="A287" s="7"/>
      <c r="B287" s="30"/>
      <c r="C287" s="8">
        <f>IF(B287="","",B287-WEEKDAY(B287,2)+1)</f>
        <v>0</v>
      </c>
      <c r="D287" s="8">
        <f>IF(B287="","",TEXT(B287,"ddd"))</f>
        <v>0</v>
      </c>
      <c r="E287" s="8">
        <f>IF(B287="","",TEXT(B287,"mmm yyyy"))</f>
        <v>0</v>
      </c>
      <c r="F287" s="27"/>
      <c r="G287" s="7"/>
      <c r="H287" s="26"/>
      <c r="I287" s="8">
        <f>IF(G287="","",IFERROR(INDEX(Recipes!$D$5:$D$204,MATCH(G287,Recipes!$A$5:$A$204,0)),""))</f>
        <v>0</v>
      </c>
      <c r="J287" s="8">
        <f>IF(OR(G287="",H287="",I287="",I287=0),"",H287/I287)</f>
        <v>0</v>
      </c>
      <c r="K287" s="8">
        <f>IF(B287="","",Household_Size)</f>
        <v>0</v>
      </c>
      <c r="L287" s="8">
        <f>IF(OR(G287="",H287=""),"",IFERROR(IFERROR(INDEX(Recipes!$H$5:$H$204,MATCH(G287,Recipes!$A$5:$A$204,0)),"")*H287,""))</f>
        <v>0</v>
      </c>
      <c r="M287" s="8">
        <f>IF(OR(G287="",H287=""),"",IFERROR(IFERROR(INDEX(Recipes!$I$5:$I$204,MATCH(G287,Recipes!$A$5:$A$204,0)),"")*H287,""))</f>
        <v>0</v>
      </c>
      <c r="N287" s="8">
        <f>IF(OR(G287="",H287=""),"",IFERROR(IFERROR(INDEX(Recipes!$J$5:$J$204,MATCH(G287,Recipes!$A$5:$A$204,0)),"")*H287,""))</f>
        <v>0</v>
      </c>
      <c r="O287" s="8">
        <f>IF(OR(G287="",H287=""),"",IFERROR(IFERROR(INDEX(Recipes!$K$5:$K$204,MATCH(G287,Recipes!$A$5:$A$204,0)),"")*H287,""))</f>
        <v>0</v>
      </c>
      <c r="P287" s="8">
        <f>IF(OR(G287="",H287=""),"",IFERROR(IFERROR(INDEX(Recipes!$L$5:$L$204,MATCH(G287,Recipes!$A$5:$A$204,0)),"")*H287,""))</f>
        <v>0</v>
      </c>
      <c r="Q287" s="8">
        <f>IF(OR(G287="",H287=""),"",IFERROR(IFERROR(INDEX(Recipes!$Q$5:$Q$204,MATCH(G287,Recipes!$A$5:$A$204,0)),"")*H287,""))</f>
        <v>0</v>
      </c>
      <c r="R287" s="8">
        <f>IF(F287="","",Weekly_Budget/21)</f>
        <v>0</v>
      </c>
      <c r="S287" s="27"/>
      <c r="T287" s="27"/>
      <c r="U287" s="26"/>
      <c r="V287" s="7"/>
      <c r="W287" s="7"/>
      <c r="X287" s="26"/>
      <c r="Y287" s="8">
        <f>IF(G287="","",IF(COUNTIFS('Meal Prep'!$D$5:$D$124,G287)&gt;0,"Yes","No"))</f>
        <v>0</v>
      </c>
      <c r="Z287" s="8">
        <f>IF(G287="","",COUNTIFS('Recipe Ingredients'!$A$5:$A$1204,G287))</f>
        <v>0</v>
      </c>
      <c r="AA287" s="25"/>
      <c r="AB287" s="8">
        <f>IF(OR(B287="",Q287=""),"",COUNTIFS($B$5:$B$504,B287,$Q$5:$Q$504,"&gt;"&amp;Q287)+1)</f>
        <v>0</v>
      </c>
      <c r="AC287" s="8">
        <f>IF(OR(B287="",L287=""),"",COUNTIFS($B$5:$B$504,B287,$L$5:$L$504,"&gt;"&amp;L287)+1)</f>
        <v>0</v>
      </c>
      <c r="AD287" s="8">
        <f>IF(G287="","",IF(COUNTIFS($G$5:$G$504,G287)&gt;1,"Repeat","Once"))</f>
        <v>0</v>
      </c>
      <c r="AE287" s="8">
        <f>IF(G287="","",IF(IFERROR(INDEX(Recipes!$X$5:$X$204,MATCH(G287,Recipes!$A$5:$A$204,0)),"")="","",IFERROR(B287-IFERROR(INDEX(Recipes!$X$5:$X$204,MATCH(G287,Recipes!$A$5:$A$204,0)),""),"")))</f>
        <v>0</v>
      </c>
      <c r="AF287" s="8">
        <f>IF(G287="","",IF(AE287="","Yes",IF(AE287&gt;=Rotation_Gap_Days,"Yes","No")))</f>
        <v>0</v>
      </c>
      <c r="AG287" s="8">
        <f>IF(G287="","",IF(COUNTIFS('Recipe Ingredients'!$A$5:$A$1204,G287,'Recipe Ingredients'!$AC$5:$AC$1204,"Check")&gt;0,"Check","OK"))</f>
        <v>0</v>
      </c>
    </row>
    <row r="288" spans="1:33">
      <c r="A288" s="7"/>
      <c r="B288" s="30"/>
      <c r="C288" s="8">
        <f>IF(B288="","",B288-WEEKDAY(B288,2)+1)</f>
        <v>0</v>
      </c>
      <c r="D288" s="8">
        <f>IF(B288="","",TEXT(B288,"ddd"))</f>
        <v>0</v>
      </c>
      <c r="E288" s="8">
        <f>IF(B288="","",TEXT(B288,"mmm yyyy"))</f>
        <v>0</v>
      </c>
      <c r="F288" s="27"/>
      <c r="G288" s="7"/>
      <c r="H288" s="26"/>
      <c r="I288" s="8">
        <f>IF(G288="","",IFERROR(INDEX(Recipes!$D$5:$D$204,MATCH(G288,Recipes!$A$5:$A$204,0)),""))</f>
        <v>0</v>
      </c>
      <c r="J288" s="8">
        <f>IF(OR(G288="",H288="",I288="",I288=0),"",H288/I288)</f>
        <v>0</v>
      </c>
      <c r="K288" s="8">
        <f>IF(B288="","",Household_Size)</f>
        <v>0</v>
      </c>
      <c r="L288" s="8">
        <f>IF(OR(G288="",H288=""),"",IFERROR(IFERROR(INDEX(Recipes!$H$5:$H$204,MATCH(G288,Recipes!$A$5:$A$204,0)),"")*H288,""))</f>
        <v>0</v>
      </c>
      <c r="M288" s="8">
        <f>IF(OR(G288="",H288=""),"",IFERROR(IFERROR(INDEX(Recipes!$I$5:$I$204,MATCH(G288,Recipes!$A$5:$A$204,0)),"")*H288,""))</f>
        <v>0</v>
      </c>
      <c r="N288" s="8">
        <f>IF(OR(G288="",H288=""),"",IFERROR(IFERROR(INDEX(Recipes!$J$5:$J$204,MATCH(G288,Recipes!$A$5:$A$204,0)),"")*H288,""))</f>
        <v>0</v>
      </c>
      <c r="O288" s="8">
        <f>IF(OR(G288="",H288=""),"",IFERROR(IFERROR(INDEX(Recipes!$K$5:$K$204,MATCH(G288,Recipes!$A$5:$A$204,0)),"")*H288,""))</f>
        <v>0</v>
      </c>
      <c r="P288" s="8">
        <f>IF(OR(G288="",H288=""),"",IFERROR(IFERROR(INDEX(Recipes!$L$5:$L$204,MATCH(G288,Recipes!$A$5:$A$204,0)),"")*H288,""))</f>
        <v>0</v>
      </c>
      <c r="Q288" s="8">
        <f>IF(OR(G288="",H288=""),"",IFERROR(IFERROR(INDEX(Recipes!$Q$5:$Q$204,MATCH(G288,Recipes!$A$5:$A$204,0)),"")*H288,""))</f>
        <v>0</v>
      </c>
      <c r="R288" s="8">
        <f>IF(F288="","",Weekly_Budget/21)</f>
        <v>0</v>
      </c>
      <c r="S288" s="27"/>
      <c r="T288" s="27"/>
      <c r="U288" s="26"/>
      <c r="V288" s="7"/>
      <c r="W288" s="7"/>
      <c r="X288" s="26"/>
      <c r="Y288" s="8">
        <f>IF(G288="","",IF(COUNTIFS('Meal Prep'!$D$5:$D$124,G288)&gt;0,"Yes","No"))</f>
        <v>0</v>
      </c>
      <c r="Z288" s="8">
        <f>IF(G288="","",COUNTIFS('Recipe Ingredients'!$A$5:$A$1204,G288))</f>
        <v>0</v>
      </c>
      <c r="AA288" s="25"/>
      <c r="AB288" s="8">
        <f>IF(OR(B288="",Q288=""),"",COUNTIFS($B$5:$B$504,B288,$Q$5:$Q$504,"&gt;"&amp;Q288)+1)</f>
        <v>0</v>
      </c>
      <c r="AC288" s="8">
        <f>IF(OR(B288="",L288=""),"",COUNTIFS($B$5:$B$504,B288,$L$5:$L$504,"&gt;"&amp;L288)+1)</f>
        <v>0</v>
      </c>
      <c r="AD288" s="8">
        <f>IF(G288="","",IF(COUNTIFS($G$5:$G$504,G288)&gt;1,"Repeat","Once"))</f>
        <v>0</v>
      </c>
      <c r="AE288" s="8">
        <f>IF(G288="","",IF(IFERROR(INDEX(Recipes!$X$5:$X$204,MATCH(G288,Recipes!$A$5:$A$204,0)),"")="","",IFERROR(B288-IFERROR(INDEX(Recipes!$X$5:$X$204,MATCH(G288,Recipes!$A$5:$A$204,0)),""),"")))</f>
        <v>0</v>
      </c>
      <c r="AF288" s="8">
        <f>IF(G288="","",IF(AE288="","Yes",IF(AE288&gt;=Rotation_Gap_Days,"Yes","No")))</f>
        <v>0</v>
      </c>
      <c r="AG288" s="8">
        <f>IF(G288="","",IF(COUNTIFS('Recipe Ingredients'!$A$5:$A$1204,G288,'Recipe Ingredients'!$AC$5:$AC$1204,"Check")&gt;0,"Check","OK"))</f>
        <v>0</v>
      </c>
    </row>
    <row r="289" spans="1:33">
      <c r="A289" s="7"/>
      <c r="B289" s="30"/>
      <c r="C289" s="8">
        <f>IF(B289="","",B289-WEEKDAY(B289,2)+1)</f>
        <v>0</v>
      </c>
      <c r="D289" s="8">
        <f>IF(B289="","",TEXT(B289,"ddd"))</f>
        <v>0</v>
      </c>
      <c r="E289" s="8">
        <f>IF(B289="","",TEXT(B289,"mmm yyyy"))</f>
        <v>0</v>
      </c>
      <c r="F289" s="27"/>
      <c r="G289" s="7"/>
      <c r="H289" s="26"/>
      <c r="I289" s="8">
        <f>IF(G289="","",IFERROR(INDEX(Recipes!$D$5:$D$204,MATCH(G289,Recipes!$A$5:$A$204,0)),""))</f>
        <v>0</v>
      </c>
      <c r="J289" s="8">
        <f>IF(OR(G289="",H289="",I289="",I289=0),"",H289/I289)</f>
        <v>0</v>
      </c>
      <c r="K289" s="8">
        <f>IF(B289="","",Household_Size)</f>
        <v>0</v>
      </c>
      <c r="L289" s="8">
        <f>IF(OR(G289="",H289=""),"",IFERROR(IFERROR(INDEX(Recipes!$H$5:$H$204,MATCH(G289,Recipes!$A$5:$A$204,0)),"")*H289,""))</f>
        <v>0</v>
      </c>
      <c r="M289" s="8">
        <f>IF(OR(G289="",H289=""),"",IFERROR(IFERROR(INDEX(Recipes!$I$5:$I$204,MATCH(G289,Recipes!$A$5:$A$204,0)),"")*H289,""))</f>
        <v>0</v>
      </c>
      <c r="N289" s="8">
        <f>IF(OR(G289="",H289=""),"",IFERROR(IFERROR(INDEX(Recipes!$J$5:$J$204,MATCH(G289,Recipes!$A$5:$A$204,0)),"")*H289,""))</f>
        <v>0</v>
      </c>
      <c r="O289" s="8">
        <f>IF(OR(G289="",H289=""),"",IFERROR(IFERROR(INDEX(Recipes!$K$5:$K$204,MATCH(G289,Recipes!$A$5:$A$204,0)),"")*H289,""))</f>
        <v>0</v>
      </c>
      <c r="P289" s="8">
        <f>IF(OR(G289="",H289=""),"",IFERROR(IFERROR(INDEX(Recipes!$L$5:$L$204,MATCH(G289,Recipes!$A$5:$A$204,0)),"")*H289,""))</f>
        <v>0</v>
      </c>
      <c r="Q289" s="8">
        <f>IF(OR(G289="",H289=""),"",IFERROR(IFERROR(INDEX(Recipes!$Q$5:$Q$204,MATCH(G289,Recipes!$A$5:$A$204,0)),"")*H289,""))</f>
        <v>0</v>
      </c>
      <c r="R289" s="8">
        <f>IF(F289="","",Weekly_Budget/21)</f>
        <v>0</v>
      </c>
      <c r="S289" s="27"/>
      <c r="T289" s="27"/>
      <c r="U289" s="26"/>
      <c r="V289" s="7"/>
      <c r="W289" s="7"/>
      <c r="X289" s="26"/>
      <c r="Y289" s="8">
        <f>IF(G289="","",IF(COUNTIFS('Meal Prep'!$D$5:$D$124,G289)&gt;0,"Yes","No"))</f>
        <v>0</v>
      </c>
      <c r="Z289" s="8">
        <f>IF(G289="","",COUNTIFS('Recipe Ingredients'!$A$5:$A$1204,G289))</f>
        <v>0</v>
      </c>
      <c r="AA289" s="25"/>
      <c r="AB289" s="8">
        <f>IF(OR(B289="",Q289=""),"",COUNTIFS($B$5:$B$504,B289,$Q$5:$Q$504,"&gt;"&amp;Q289)+1)</f>
        <v>0</v>
      </c>
      <c r="AC289" s="8">
        <f>IF(OR(B289="",L289=""),"",COUNTIFS($B$5:$B$504,B289,$L$5:$L$504,"&gt;"&amp;L289)+1)</f>
        <v>0</v>
      </c>
      <c r="AD289" s="8">
        <f>IF(G289="","",IF(COUNTIFS($G$5:$G$504,G289)&gt;1,"Repeat","Once"))</f>
        <v>0</v>
      </c>
      <c r="AE289" s="8">
        <f>IF(G289="","",IF(IFERROR(INDEX(Recipes!$X$5:$X$204,MATCH(G289,Recipes!$A$5:$A$204,0)),"")="","",IFERROR(B289-IFERROR(INDEX(Recipes!$X$5:$X$204,MATCH(G289,Recipes!$A$5:$A$204,0)),""),"")))</f>
        <v>0</v>
      </c>
      <c r="AF289" s="8">
        <f>IF(G289="","",IF(AE289="","Yes",IF(AE289&gt;=Rotation_Gap_Days,"Yes","No")))</f>
        <v>0</v>
      </c>
      <c r="AG289" s="8">
        <f>IF(G289="","",IF(COUNTIFS('Recipe Ingredients'!$A$5:$A$1204,G289,'Recipe Ingredients'!$AC$5:$AC$1204,"Check")&gt;0,"Check","OK"))</f>
        <v>0</v>
      </c>
    </row>
    <row r="290" spans="1:33">
      <c r="A290" s="7"/>
      <c r="B290" s="30"/>
      <c r="C290" s="8">
        <f>IF(B290="","",B290-WEEKDAY(B290,2)+1)</f>
        <v>0</v>
      </c>
      <c r="D290" s="8">
        <f>IF(B290="","",TEXT(B290,"ddd"))</f>
        <v>0</v>
      </c>
      <c r="E290" s="8">
        <f>IF(B290="","",TEXT(B290,"mmm yyyy"))</f>
        <v>0</v>
      </c>
      <c r="F290" s="27"/>
      <c r="G290" s="7"/>
      <c r="H290" s="26"/>
      <c r="I290" s="8">
        <f>IF(G290="","",IFERROR(INDEX(Recipes!$D$5:$D$204,MATCH(G290,Recipes!$A$5:$A$204,0)),""))</f>
        <v>0</v>
      </c>
      <c r="J290" s="8">
        <f>IF(OR(G290="",H290="",I290="",I290=0),"",H290/I290)</f>
        <v>0</v>
      </c>
      <c r="K290" s="8">
        <f>IF(B290="","",Household_Size)</f>
        <v>0</v>
      </c>
      <c r="L290" s="8">
        <f>IF(OR(G290="",H290=""),"",IFERROR(IFERROR(INDEX(Recipes!$H$5:$H$204,MATCH(G290,Recipes!$A$5:$A$204,0)),"")*H290,""))</f>
        <v>0</v>
      </c>
      <c r="M290" s="8">
        <f>IF(OR(G290="",H290=""),"",IFERROR(IFERROR(INDEX(Recipes!$I$5:$I$204,MATCH(G290,Recipes!$A$5:$A$204,0)),"")*H290,""))</f>
        <v>0</v>
      </c>
      <c r="N290" s="8">
        <f>IF(OR(G290="",H290=""),"",IFERROR(IFERROR(INDEX(Recipes!$J$5:$J$204,MATCH(G290,Recipes!$A$5:$A$204,0)),"")*H290,""))</f>
        <v>0</v>
      </c>
      <c r="O290" s="8">
        <f>IF(OR(G290="",H290=""),"",IFERROR(IFERROR(INDEX(Recipes!$K$5:$K$204,MATCH(G290,Recipes!$A$5:$A$204,0)),"")*H290,""))</f>
        <v>0</v>
      </c>
      <c r="P290" s="8">
        <f>IF(OR(G290="",H290=""),"",IFERROR(IFERROR(INDEX(Recipes!$L$5:$L$204,MATCH(G290,Recipes!$A$5:$A$204,0)),"")*H290,""))</f>
        <v>0</v>
      </c>
      <c r="Q290" s="8">
        <f>IF(OR(G290="",H290=""),"",IFERROR(IFERROR(INDEX(Recipes!$Q$5:$Q$204,MATCH(G290,Recipes!$A$5:$A$204,0)),"")*H290,""))</f>
        <v>0</v>
      </c>
      <c r="R290" s="8">
        <f>IF(F290="","",Weekly_Budget/21)</f>
        <v>0</v>
      </c>
      <c r="S290" s="27"/>
      <c r="T290" s="27"/>
      <c r="U290" s="26"/>
      <c r="V290" s="7"/>
      <c r="W290" s="7"/>
      <c r="X290" s="26"/>
      <c r="Y290" s="8">
        <f>IF(G290="","",IF(COUNTIFS('Meal Prep'!$D$5:$D$124,G290)&gt;0,"Yes","No"))</f>
        <v>0</v>
      </c>
      <c r="Z290" s="8">
        <f>IF(G290="","",COUNTIFS('Recipe Ingredients'!$A$5:$A$1204,G290))</f>
        <v>0</v>
      </c>
      <c r="AA290" s="25"/>
      <c r="AB290" s="8">
        <f>IF(OR(B290="",Q290=""),"",COUNTIFS($B$5:$B$504,B290,$Q$5:$Q$504,"&gt;"&amp;Q290)+1)</f>
        <v>0</v>
      </c>
      <c r="AC290" s="8">
        <f>IF(OR(B290="",L290=""),"",COUNTIFS($B$5:$B$504,B290,$L$5:$L$504,"&gt;"&amp;L290)+1)</f>
        <v>0</v>
      </c>
      <c r="AD290" s="8">
        <f>IF(G290="","",IF(COUNTIFS($G$5:$G$504,G290)&gt;1,"Repeat","Once"))</f>
        <v>0</v>
      </c>
      <c r="AE290" s="8">
        <f>IF(G290="","",IF(IFERROR(INDEX(Recipes!$X$5:$X$204,MATCH(G290,Recipes!$A$5:$A$204,0)),"")="","",IFERROR(B290-IFERROR(INDEX(Recipes!$X$5:$X$204,MATCH(G290,Recipes!$A$5:$A$204,0)),""),"")))</f>
        <v>0</v>
      </c>
      <c r="AF290" s="8">
        <f>IF(G290="","",IF(AE290="","Yes",IF(AE290&gt;=Rotation_Gap_Days,"Yes","No")))</f>
        <v>0</v>
      </c>
      <c r="AG290" s="8">
        <f>IF(G290="","",IF(COUNTIFS('Recipe Ingredients'!$A$5:$A$1204,G290,'Recipe Ingredients'!$AC$5:$AC$1204,"Check")&gt;0,"Check","OK"))</f>
        <v>0</v>
      </c>
    </row>
    <row r="291" spans="1:33">
      <c r="A291" s="7"/>
      <c r="B291" s="30"/>
      <c r="C291" s="8">
        <f>IF(B291="","",B291-WEEKDAY(B291,2)+1)</f>
        <v>0</v>
      </c>
      <c r="D291" s="8">
        <f>IF(B291="","",TEXT(B291,"ddd"))</f>
        <v>0</v>
      </c>
      <c r="E291" s="8">
        <f>IF(B291="","",TEXT(B291,"mmm yyyy"))</f>
        <v>0</v>
      </c>
      <c r="F291" s="27"/>
      <c r="G291" s="7"/>
      <c r="H291" s="26"/>
      <c r="I291" s="8">
        <f>IF(G291="","",IFERROR(INDEX(Recipes!$D$5:$D$204,MATCH(G291,Recipes!$A$5:$A$204,0)),""))</f>
        <v>0</v>
      </c>
      <c r="J291" s="8">
        <f>IF(OR(G291="",H291="",I291="",I291=0),"",H291/I291)</f>
        <v>0</v>
      </c>
      <c r="K291" s="8">
        <f>IF(B291="","",Household_Size)</f>
        <v>0</v>
      </c>
      <c r="L291" s="8">
        <f>IF(OR(G291="",H291=""),"",IFERROR(IFERROR(INDEX(Recipes!$H$5:$H$204,MATCH(G291,Recipes!$A$5:$A$204,0)),"")*H291,""))</f>
        <v>0</v>
      </c>
      <c r="M291" s="8">
        <f>IF(OR(G291="",H291=""),"",IFERROR(IFERROR(INDEX(Recipes!$I$5:$I$204,MATCH(G291,Recipes!$A$5:$A$204,0)),"")*H291,""))</f>
        <v>0</v>
      </c>
      <c r="N291" s="8">
        <f>IF(OR(G291="",H291=""),"",IFERROR(IFERROR(INDEX(Recipes!$J$5:$J$204,MATCH(G291,Recipes!$A$5:$A$204,0)),"")*H291,""))</f>
        <v>0</v>
      </c>
      <c r="O291" s="8">
        <f>IF(OR(G291="",H291=""),"",IFERROR(IFERROR(INDEX(Recipes!$K$5:$K$204,MATCH(G291,Recipes!$A$5:$A$204,0)),"")*H291,""))</f>
        <v>0</v>
      </c>
      <c r="P291" s="8">
        <f>IF(OR(G291="",H291=""),"",IFERROR(IFERROR(INDEX(Recipes!$L$5:$L$204,MATCH(G291,Recipes!$A$5:$A$204,0)),"")*H291,""))</f>
        <v>0</v>
      </c>
      <c r="Q291" s="8">
        <f>IF(OR(G291="",H291=""),"",IFERROR(IFERROR(INDEX(Recipes!$Q$5:$Q$204,MATCH(G291,Recipes!$A$5:$A$204,0)),"")*H291,""))</f>
        <v>0</v>
      </c>
      <c r="R291" s="8">
        <f>IF(F291="","",Weekly_Budget/21)</f>
        <v>0</v>
      </c>
      <c r="S291" s="27"/>
      <c r="T291" s="27"/>
      <c r="U291" s="26"/>
      <c r="V291" s="7"/>
      <c r="W291" s="7"/>
      <c r="X291" s="26"/>
      <c r="Y291" s="8">
        <f>IF(G291="","",IF(COUNTIFS('Meal Prep'!$D$5:$D$124,G291)&gt;0,"Yes","No"))</f>
        <v>0</v>
      </c>
      <c r="Z291" s="8">
        <f>IF(G291="","",COUNTIFS('Recipe Ingredients'!$A$5:$A$1204,G291))</f>
        <v>0</v>
      </c>
      <c r="AA291" s="25"/>
      <c r="AB291" s="8">
        <f>IF(OR(B291="",Q291=""),"",COUNTIFS($B$5:$B$504,B291,$Q$5:$Q$504,"&gt;"&amp;Q291)+1)</f>
        <v>0</v>
      </c>
      <c r="AC291" s="8">
        <f>IF(OR(B291="",L291=""),"",COUNTIFS($B$5:$B$504,B291,$L$5:$L$504,"&gt;"&amp;L291)+1)</f>
        <v>0</v>
      </c>
      <c r="AD291" s="8">
        <f>IF(G291="","",IF(COUNTIFS($G$5:$G$504,G291)&gt;1,"Repeat","Once"))</f>
        <v>0</v>
      </c>
      <c r="AE291" s="8">
        <f>IF(G291="","",IF(IFERROR(INDEX(Recipes!$X$5:$X$204,MATCH(G291,Recipes!$A$5:$A$204,0)),"")="","",IFERROR(B291-IFERROR(INDEX(Recipes!$X$5:$X$204,MATCH(G291,Recipes!$A$5:$A$204,0)),""),"")))</f>
        <v>0</v>
      </c>
      <c r="AF291" s="8">
        <f>IF(G291="","",IF(AE291="","Yes",IF(AE291&gt;=Rotation_Gap_Days,"Yes","No")))</f>
        <v>0</v>
      </c>
      <c r="AG291" s="8">
        <f>IF(G291="","",IF(COUNTIFS('Recipe Ingredients'!$A$5:$A$1204,G291,'Recipe Ingredients'!$AC$5:$AC$1204,"Check")&gt;0,"Check","OK"))</f>
        <v>0</v>
      </c>
    </row>
    <row r="292" spans="1:33">
      <c r="A292" s="7"/>
      <c r="B292" s="30"/>
      <c r="C292" s="8">
        <f>IF(B292="","",B292-WEEKDAY(B292,2)+1)</f>
        <v>0</v>
      </c>
      <c r="D292" s="8">
        <f>IF(B292="","",TEXT(B292,"ddd"))</f>
        <v>0</v>
      </c>
      <c r="E292" s="8">
        <f>IF(B292="","",TEXT(B292,"mmm yyyy"))</f>
        <v>0</v>
      </c>
      <c r="F292" s="27"/>
      <c r="G292" s="7"/>
      <c r="H292" s="26"/>
      <c r="I292" s="8">
        <f>IF(G292="","",IFERROR(INDEX(Recipes!$D$5:$D$204,MATCH(G292,Recipes!$A$5:$A$204,0)),""))</f>
        <v>0</v>
      </c>
      <c r="J292" s="8">
        <f>IF(OR(G292="",H292="",I292="",I292=0),"",H292/I292)</f>
        <v>0</v>
      </c>
      <c r="K292" s="8">
        <f>IF(B292="","",Household_Size)</f>
        <v>0</v>
      </c>
      <c r="L292" s="8">
        <f>IF(OR(G292="",H292=""),"",IFERROR(IFERROR(INDEX(Recipes!$H$5:$H$204,MATCH(G292,Recipes!$A$5:$A$204,0)),"")*H292,""))</f>
        <v>0</v>
      </c>
      <c r="M292" s="8">
        <f>IF(OR(G292="",H292=""),"",IFERROR(IFERROR(INDEX(Recipes!$I$5:$I$204,MATCH(G292,Recipes!$A$5:$A$204,0)),"")*H292,""))</f>
        <v>0</v>
      </c>
      <c r="N292" s="8">
        <f>IF(OR(G292="",H292=""),"",IFERROR(IFERROR(INDEX(Recipes!$J$5:$J$204,MATCH(G292,Recipes!$A$5:$A$204,0)),"")*H292,""))</f>
        <v>0</v>
      </c>
      <c r="O292" s="8">
        <f>IF(OR(G292="",H292=""),"",IFERROR(IFERROR(INDEX(Recipes!$K$5:$K$204,MATCH(G292,Recipes!$A$5:$A$204,0)),"")*H292,""))</f>
        <v>0</v>
      </c>
      <c r="P292" s="8">
        <f>IF(OR(G292="",H292=""),"",IFERROR(IFERROR(INDEX(Recipes!$L$5:$L$204,MATCH(G292,Recipes!$A$5:$A$204,0)),"")*H292,""))</f>
        <v>0</v>
      </c>
      <c r="Q292" s="8">
        <f>IF(OR(G292="",H292=""),"",IFERROR(IFERROR(INDEX(Recipes!$Q$5:$Q$204,MATCH(G292,Recipes!$A$5:$A$204,0)),"")*H292,""))</f>
        <v>0</v>
      </c>
      <c r="R292" s="8">
        <f>IF(F292="","",Weekly_Budget/21)</f>
        <v>0</v>
      </c>
      <c r="S292" s="27"/>
      <c r="T292" s="27"/>
      <c r="U292" s="26"/>
      <c r="V292" s="7"/>
      <c r="W292" s="7"/>
      <c r="X292" s="26"/>
      <c r="Y292" s="8">
        <f>IF(G292="","",IF(COUNTIFS('Meal Prep'!$D$5:$D$124,G292)&gt;0,"Yes","No"))</f>
        <v>0</v>
      </c>
      <c r="Z292" s="8">
        <f>IF(G292="","",COUNTIFS('Recipe Ingredients'!$A$5:$A$1204,G292))</f>
        <v>0</v>
      </c>
      <c r="AA292" s="25"/>
      <c r="AB292" s="8">
        <f>IF(OR(B292="",Q292=""),"",COUNTIFS($B$5:$B$504,B292,$Q$5:$Q$504,"&gt;"&amp;Q292)+1)</f>
        <v>0</v>
      </c>
      <c r="AC292" s="8">
        <f>IF(OR(B292="",L292=""),"",COUNTIFS($B$5:$B$504,B292,$L$5:$L$504,"&gt;"&amp;L292)+1)</f>
        <v>0</v>
      </c>
      <c r="AD292" s="8">
        <f>IF(G292="","",IF(COUNTIFS($G$5:$G$504,G292)&gt;1,"Repeat","Once"))</f>
        <v>0</v>
      </c>
      <c r="AE292" s="8">
        <f>IF(G292="","",IF(IFERROR(INDEX(Recipes!$X$5:$X$204,MATCH(G292,Recipes!$A$5:$A$204,0)),"")="","",IFERROR(B292-IFERROR(INDEX(Recipes!$X$5:$X$204,MATCH(G292,Recipes!$A$5:$A$204,0)),""),"")))</f>
        <v>0</v>
      </c>
      <c r="AF292" s="8">
        <f>IF(G292="","",IF(AE292="","Yes",IF(AE292&gt;=Rotation_Gap_Days,"Yes","No")))</f>
        <v>0</v>
      </c>
      <c r="AG292" s="8">
        <f>IF(G292="","",IF(COUNTIFS('Recipe Ingredients'!$A$5:$A$1204,G292,'Recipe Ingredients'!$AC$5:$AC$1204,"Check")&gt;0,"Check","OK"))</f>
        <v>0</v>
      </c>
    </row>
    <row r="293" spans="1:33">
      <c r="A293" s="7"/>
      <c r="B293" s="30"/>
      <c r="C293" s="8">
        <f>IF(B293="","",B293-WEEKDAY(B293,2)+1)</f>
        <v>0</v>
      </c>
      <c r="D293" s="8">
        <f>IF(B293="","",TEXT(B293,"ddd"))</f>
        <v>0</v>
      </c>
      <c r="E293" s="8">
        <f>IF(B293="","",TEXT(B293,"mmm yyyy"))</f>
        <v>0</v>
      </c>
      <c r="F293" s="27"/>
      <c r="G293" s="7"/>
      <c r="H293" s="26"/>
      <c r="I293" s="8">
        <f>IF(G293="","",IFERROR(INDEX(Recipes!$D$5:$D$204,MATCH(G293,Recipes!$A$5:$A$204,0)),""))</f>
        <v>0</v>
      </c>
      <c r="J293" s="8">
        <f>IF(OR(G293="",H293="",I293="",I293=0),"",H293/I293)</f>
        <v>0</v>
      </c>
      <c r="K293" s="8">
        <f>IF(B293="","",Household_Size)</f>
        <v>0</v>
      </c>
      <c r="L293" s="8">
        <f>IF(OR(G293="",H293=""),"",IFERROR(IFERROR(INDEX(Recipes!$H$5:$H$204,MATCH(G293,Recipes!$A$5:$A$204,0)),"")*H293,""))</f>
        <v>0</v>
      </c>
      <c r="M293" s="8">
        <f>IF(OR(G293="",H293=""),"",IFERROR(IFERROR(INDEX(Recipes!$I$5:$I$204,MATCH(G293,Recipes!$A$5:$A$204,0)),"")*H293,""))</f>
        <v>0</v>
      </c>
      <c r="N293" s="8">
        <f>IF(OR(G293="",H293=""),"",IFERROR(IFERROR(INDEX(Recipes!$J$5:$J$204,MATCH(G293,Recipes!$A$5:$A$204,0)),"")*H293,""))</f>
        <v>0</v>
      </c>
      <c r="O293" s="8">
        <f>IF(OR(G293="",H293=""),"",IFERROR(IFERROR(INDEX(Recipes!$K$5:$K$204,MATCH(G293,Recipes!$A$5:$A$204,0)),"")*H293,""))</f>
        <v>0</v>
      </c>
      <c r="P293" s="8">
        <f>IF(OR(G293="",H293=""),"",IFERROR(IFERROR(INDEX(Recipes!$L$5:$L$204,MATCH(G293,Recipes!$A$5:$A$204,0)),"")*H293,""))</f>
        <v>0</v>
      </c>
      <c r="Q293" s="8">
        <f>IF(OR(G293="",H293=""),"",IFERROR(IFERROR(INDEX(Recipes!$Q$5:$Q$204,MATCH(G293,Recipes!$A$5:$A$204,0)),"")*H293,""))</f>
        <v>0</v>
      </c>
      <c r="R293" s="8">
        <f>IF(F293="","",Weekly_Budget/21)</f>
        <v>0</v>
      </c>
      <c r="S293" s="27"/>
      <c r="T293" s="27"/>
      <c r="U293" s="26"/>
      <c r="V293" s="7"/>
      <c r="W293" s="7"/>
      <c r="X293" s="26"/>
      <c r="Y293" s="8">
        <f>IF(G293="","",IF(COUNTIFS('Meal Prep'!$D$5:$D$124,G293)&gt;0,"Yes","No"))</f>
        <v>0</v>
      </c>
      <c r="Z293" s="8">
        <f>IF(G293="","",COUNTIFS('Recipe Ingredients'!$A$5:$A$1204,G293))</f>
        <v>0</v>
      </c>
      <c r="AA293" s="25"/>
      <c r="AB293" s="8">
        <f>IF(OR(B293="",Q293=""),"",COUNTIFS($B$5:$B$504,B293,$Q$5:$Q$504,"&gt;"&amp;Q293)+1)</f>
        <v>0</v>
      </c>
      <c r="AC293" s="8">
        <f>IF(OR(B293="",L293=""),"",COUNTIFS($B$5:$B$504,B293,$L$5:$L$504,"&gt;"&amp;L293)+1)</f>
        <v>0</v>
      </c>
      <c r="AD293" s="8">
        <f>IF(G293="","",IF(COUNTIFS($G$5:$G$504,G293)&gt;1,"Repeat","Once"))</f>
        <v>0</v>
      </c>
      <c r="AE293" s="8">
        <f>IF(G293="","",IF(IFERROR(INDEX(Recipes!$X$5:$X$204,MATCH(G293,Recipes!$A$5:$A$204,0)),"")="","",IFERROR(B293-IFERROR(INDEX(Recipes!$X$5:$X$204,MATCH(G293,Recipes!$A$5:$A$204,0)),""),"")))</f>
        <v>0</v>
      </c>
      <c r="AF293" s="8">
        <f>IF(G293="","",IF(AE293="","Yes",IF(AE293&gt;=Rotation_Gap_Days,"Yes","No")))</f>
        <v>0</v>
      </c>
      <c r="AG293" s="8">
        <f>IF(G293="","",IF(COUNTIFS('Recipe Ingredients'!$A$5:$A$1204,G293,'Recipe Ingredients'!$AC$5:$AC$1204,"Check")&gt;0,"Check","OK"))</f>
        <v>0</v>
      </c>
    </row>
    <row r="294" spans="1:33">
      <c r="A294" s="7"/>
      <c r="B294" s="30"/>
      <c r="C294" s="8">
        <f>IF(B294="","",B294-WEEKDAY(B294,2)+1)</f>
        <v>0</v>
      </c>
      <c r="D294" s="8">
        <f>IF(B294="","",TEXT(B294,"ddd"))</f>
        <v>0</v>
      </c>
      <c r="E294" s="8">
        <f>IF(B294="","",TEXT(B294,"mmm yyyy"))</f>
        <v>0</v>
      </c>
      <c r="F294" s="27"/>
      <c r="G294" s="7"/>
      <c r="H294" s="26"/>
      <c r="I294" s="8">
        <f>IF(G294="","",IFERROR(INDEX(Recipes!$D$5:$D$204,MATCH(G294,Recipes!$A$5:$A$204,0)),""))</f>
        <v>0</v>
      </c>
      <c r="J294" s="8">
        <f>IF(OR(G294="",H294="",I294="",I294=0),"",H294/I294)</f>
        <v>0</v>
      </c>
      <c r="K294" s="8">
        <f>IF(B294="","",Household_Size)</f>
        <v>0</v>
      </c>
      <c r="L294" s="8">
        <f>IF(OR(G294="",H294=""),"",IFERROR(IFERROR(INDEX(Recipes!$H$5:$H$204,MATCH(G294,Recipes!$A$5:$A$204,0)),"")*H294,""))</f>
        <v>0</v>
      </c>
      <c r="M294" s="8">
        <f>IF(OR(G294="",H294=""),"",IFERROR(IFERROR(INDEX(Recipes!$I$5:$I$204,MATCH(G294,Recipes!$A$5:$A$204,0)),"")*H294,""))</f>
        <v>0</v>
      </c>
      <c r="N294" s="8">
        <f>IF(OR(G294="",H294=""),"",IFERROR(IFERROR(INDEX(Recipes!$J$5:$J$204,MATCH(G294,Recipes!$A$5:$A$204,0)),"")*H294,""))</f>
        <v>0</v>
      </c>
      <c r="O294" s="8">
        <f>IF(OR(G294="",H294=""),"",IFERROR(IFERROR(INDEX(Recipes!$K$5:$K$204,MATCH(G294,Recipes!$A$5:$A$204,0)),"")*H294,""))</f>
        <v>0</v>
      </c>
      <c r="P294" s="8">
        <f>IF(OR(G294="",H294=""),"",IFERROR(IFERROR(INDEX(Recipes!$L$5:$L$204,MATCH(G294,Recipes!$A$5:$A$204,0)),"")*H294,""))</f>
        <v>0</v>
      </c>
      <c r="Q294" s="8">
        <f>IF(OR(G294="",H294=""),"",IFERROR(IFERROR(INDEX(Recipes!$Q$5:$Q$204,MATCH(G294,Recipes!$A$5:$A$204,0)),"")*H294,""))</f>
        <v>0</v>
      </c>
      <c r="R294" s="8">
        <f>IF(F294="","",Weekly_Budget/21)</f>
        <v>0</v>
      </c>
      <c r="S294" s="27"/>
      <c r="T294" s="27"/>
      <c r="U294" s="26"/>
      <c r="V294" s="7"/>
      <c r="W294" s="7"/>
      <c r="X294" s="26"/>
      <c r="Y294" s="8">
        <f>IF(G294="","",IF(COUNTIFS('Meal Prep'!$D$5:$D$124,G294)&gt;0,"Yes","No"))</f>
        <v>0</v>
      </c>
      <c r="Z294" s="8">
        <f>IF(G294="","",COUNTIFS('Recipe Ingredients'!$A$5:$A$1204,G294))</f>
        <v>0</v>
      </c>
      <c r="AA294" s="25"/>
      <c r="AB294" s="8">
        <f>IF(OR(B294="",Q294=""),"",COUNTIFS($B$5:$B$504,B294,$Q$5:$Q$504,"&gt;"&amp;Q294)+1)</f>
        <v>0</v>
      </c>
      <c r="AC294" s="8">
        <f>IF(OR(B294="",L294=""),"",COUNTIFS($B$5:$B$504,B294,$L$5:$L$504,"&gt;"&amp;L294)+1)</f>
        <v>0</v>
      </c>
      <c r="AD294" s="8">
        <f>IF(G294="","",IF(COUNTIFS($G$5:$G$504,G294)&gt;1,"Repeat","Once"))</f>
        <v>0</v>
      </c>
      <c r="AE294" s="8">
        <f>IF(G294="","",IF(IFERROR(INDEX(Recipes!$X$5:$X$204,MATCH(G294,Recipes!$A$5:$A$204,0)),"")="","",IFERROR(B294-IFERROR(INDEX(Recipes!$X$5:$X$204,MATCH(G294,Recipes!$A$5:$A$204,0)),""),"")))</f>
        <v>0</v>
      </c>
      <c r="AF294" s="8">
        <f>IF(G294="","",IF(AE294="","Yes",IF(AE294&gt;=Rotation_Gap_Days,"Yes","No")))</f>
        <v>0</v>
      </c>
      <c r="AG294" s="8">
        <f>IF(G294="","",IF(COUNTIFS('Recipe Ingredients'!$A$5:$A$1204,G294,'Recipe Ingredients'!$AC$5:$AC$1204,"Check")&gt;0,"Check","OK"))</f>
        <v>0</v>
      </c>
    </row>
    <row r="295" spans="1:33">
      <c r="A295" s="7"/>
      <c r="B295" s="30"/>
      <c r="C295" s="8">
        <f>IF(B295="","",B295-WEEKDAY(B295,2)+1)</f>
        <v>0</v>
      </c>
      <c r="D295" s="8">
        <f>IF(B295="","",TEXT(B295,"ddd"))</f>
        <v>0</v>
      </c>
      <c r="E295" s="8">
        <f>IF(B295="","",TEXT(B295,"mmm yyyy"))</f>
        <v>0</v>
      </c>
      <c r="F295" s="27"/>
      <c r="G295" s="7"/>
      <c r="H295" s="26"/>
      <c r="I295" s="8">
        <f>IF(G295="","",IFERROR(INDEX(Recipes!$D$5:$D$204,MATCH(G295,Recipes!$A$5:$A$204,0)),""))</f>
        <v>0</v>
      </c>
      <c r="J295" s="8">
        <f>IF(OR(G295="",H295="",I295="",I295=0),"",H295/I295)</f>
        <v>0</v>
      </c>
      <c r="K295" s="8">
        <f>IF(B295="","",Household_Size)</f>
        <v>0</v>
      </c>
      <c r="L295" s="8">
        <f>IF(OR(G295="",H295=""),"",IFERROR(IFERROR(INDEX(Recipes!$H$5:$H$204,MATCH(G295,Recipes!$A$5:$A$204,0)),"")*H295,""))</f>
        <v>0</v>
      </c>
      <c r="M295" s="8">
        <f>IF(OR(G295="",H295=""),"",IFERROR(IFERROR(INDEX(Recipes!$I$5:$I$204,MATCH(G295,Recipes!$A$5:$A$204,0)),"")*H295,""))</f>
        <v>0</v>
      </c>
      <c r="N295" s="8">
        <f>IF(OR(G295="",H295=""),"",IFERROR(IFERROR(INDEX(Recipes!$J$5:$J$204,MATCH(G295,Recipes!$A$5:$A$204,0)),"")*H295,""))</f>
        <v>0</v>
      </c>
      <c r="O295" s="8">
        <f>IF(OR(G295="",H295=""),"",IFERROR(IFERROR(INDEX(Recipes!$K$5:$K$204,MATCH(G295,Recipes!$A$5:$A$204,0)),"")*H295,""))</f>
        <v>0</v>
      </c>
      <c r="P295" s="8">
        <f>IF(OR(G295="",H295=""),"",IFERROR(IFERROR(INDEX(Recipes!$L$5:$L$204,MATCH(G295,Recipes!$A$5:$A$204,0)),"")*H295,""))</f>
        <v>0</v>
      </c>
      <c r="Q295" s="8">
        <f>IF(OR(G295="",H295=""),"",IFERROR(IFERROR(INDEX(Recipes!$Q$5:$Q$204,MATCH(G295,Recipes!$A$5:$A$204,0)),"")*H295,""))</f>
        <v>0</v>
      </c>
      <c r="R295" s="8">
        <f>IF(F295="","",Weekly_Budget/21)</f>
        <v>0</v>
      </c>
      <c r="S295" s="27"/>
      <c r="T295" s="27"/>
      <c r="U295" s="26"/>
      <c r="V295" s="7"/>
      <c r="W295" s="7"/>
      <c r="X295" s="26"/>
      <c r="Y295" s="8">
        <f>IF(G295="","",IF(COUNTIFS('Meal Prep'!$D$5:$D$124,G295)&gt;0,"Yes","No"))</f>
        <v>0</v>
      </c>
      <c r="Z295" s="8">
        <f>IF(G295="","",COUNTIFS('Recipe Ingredients'!$A$5:$A$1204,G295))</f>
        <v>0</v>
      </c>
      <c r="AA295" s="25"/>
      <c r="AB295" s="8">
        <f>IF(OR(B295="",Q295=""),"",COUNTIFS($B$5:$B$504,B295,$Q$5:$Q$504,"&gt;"&amp;Q295)+1)</f>
        <v>0</v>
      </c>
      <c r="AC295" s="8">
        <f>IF(OR(B295="",L295=""),"",COUNTIFS($B$5:$B$504,B295,$L$5:$L$504,"&gt;"&amp;L295)+1)</f>
        <v>0</v>
      </c>
      <c r="AD295" s="8">
        <f>IF(G295="","",IF(COUNTIFS($G$5:$G$504,G295)&gt;1,"Repeat","Once"))</f>
        <v>0</v>
      </c>
      <c r="AE295" s="8">
        <f>IF(G295="","",IF(IFERROR(INDEX(Recipes!$X$5:$X$204,MATCH(G295,Recipes!$A$5:$A$204,0)),"")="","",IFERROR(B295-IFERROR(INDEX(Recipes!$X$5:$X$204,MATCH(G295,Recipes!$A$5:$A$204,0)),""),"")))</f>
        <v>0</v>
      </c>
      <c r="AF295" s="8">
        <f>IF(G295="","",IF(AE295="","Yes",IF(AE295&gt;=Rotation_Gap_Days,"Yes","No")))</f>
        <v>0</v>
      </c>
      <c r="AG295" s="8">
        <f>IF(G295="","",IF(COUNTIFS('Recipe Ingredients'!$A$5:$A$1204,G295,'Recipe Ingredients'!$AC$5:$AC$1204,"Check")&gt;0,"Check","OK"))</f>
        <v>0</v>
      </c>
    </row>
    <row r="296" spans="1:33">
      <c r="A296" s="7"/>
      <c r="B296" s="30"/>
      <c r="C296" s="8">
        <f>IF(B296="","",B296-WEEKDAY(B296,2)+1)</f>
        <v>0</v>
      </c>
      <c r="D296" s="8">
        <f>IF(B296="","",TEXT(B296,"ddd"))</f>
        <v>0</v>
      </c>
      <c r="E296" s="8">
        <f>IF(B296="","",TEXT(B296,"mmm yyyy"))</f>
        <v>0</v>
      </c>
      <c r="F296" s="27"/>
      <c r="G296" s="7"/>
      <c r="H296" s="26"/>
      <c r="I296" s="8">
        <f>IF(G296="","",IFERROR(INDEX(Recipes!$D$5:$D$204,MATCH(G296,Recipes!$A$5:$A$204,0)),""))</f>
        <v>0</v>
      </c>
      <c r="J296" s="8">
        <f>IF(OR(G296="",H296="",I296="",I296=0),"",H296/I296)</f>
        <v>0</v>
      </c>
      <c r="K296" s="8">
        <f>IF(B296="","",Household_Size)</f>
        <v>0</v>
      </c>
      <c r="L296" s="8">
        <f>IF(OR(G296="",H296=""),"",IFERROR(IFERROR(INDEX(Recipes!$H$5:$H$204,MATCH(G296,Recipes!$A$5:$A$204,0)),"")*H296,""))</f>
        <v>0</v>
      </c>
      <c r="M296" s="8">
        <f>IF(OR(G296="",H296=""),"",IFERROR(IFERROR(INDEX(Recipes!$I$5:$I$204,MATCH(G296,Recipes!$A$5:$A$204,0)),"")*H296,""))</f>
        <v>0</v>
      </c>
      <c r="N296" s="8">
        <f>IF(OR(G296="",H296=""),"",IFERROR(IFERROR(INDEX(Recipes!$J$5:$J$204,MATCH(G296,Recipes!$A$5:$A$204,0)),"")*H296,""))</f>
        <v>0</v>
      </c>
      <c r="O296" s="8">
        <f>IF(OR(G296="",H296=""),"",IFERROR(IFERROR(INDEX(Recipes!$K$5:$K$204,MATCH(G296,Recipes!$A$5:$A$204,0)),"")*H296,""))</f>
        <v>0</v>
      </c>
      <c r="P296" s="8">
        <f>IF(OR(G296="",H296=""),"",IFERROR(IFERROR(INDEX(Recipes!$L$5:$L$204,MATCH(G296,Recipes!$A$5:$A$204,0)),"")*H296,""))</f>
        <v>0</v>
      </c>
      <c r="Q296" s="8">
        <f>IF(OR(G296="",H296=""),"",IFERROR(IFERROR(INDEX(Recipes!$Q$5:$Q$204,MATCH(G296,Recipes!$A$5:$A$204,0)),"")*H296,""))</f>
        <v>0</v>
      </c>
      <c r="R296" s="8">
        <f>IF(F296="","",Weekly_Budget/21)</f>
        <v>0</v>
      </c>
      <c r="S296" s="27"/>
      <c r="T296" s="27"/>
      <c r="U296" s="26"/>
      <c r="V296" s="7"/>
      <c r="W296" s="7"/>
      <c r="X296" s="26"/>
      <c r="Y296" s="8">
        <f>IF(G296="","",IF(COUNTIFS('Meal Prep'!$D$5:$D$124,G296)&gt;0,"Yes","No"))</f>
        <v>0</v>
      </c>
      <c r="Z296" s="8">
        <f>IF(G296="","",COUNTIFS('Recipe Ingredients'!$A$5:$A$1204,G296))</f>
        <v>0</v>
      </c>
      <c r="AA296" s="25"/>
      <c r="AB296" s="8">
        <f>IF(OR(B296="",Q296=""),"",COUNTIFS($B$5:$B$504,B296,$Q$5:$Q$504,"&gt;"&amp;Q296)+1)</f>
        <v>0</v>
      </c>
      <c r="AC296" s="8">
        <f>IF(OR(B296="",L296=""),"",COUNTIFS($B$5:$B$504,B296,$L$5:$L$504,"&gt;"&amp;L296)+1)</f>
        <v>0</v>
      </c>
      <c r="AD296" s="8">
        <f>IF(G296="","",IF(COUNTIFS($G$5:$G$504,G296)&gt;1,"Repeat","Once"))</f>
        <v>0</v>
      </c>
      <c r="AE296" s="8">
        <f>IF(G296="","",IF(IFERROR(INDEX(Recipes!$X$5:$X$204,MATCH(G296,Recipes!$A$5:$A$204,0)),"")="","",IFERROR(B296-IFERROR(INDEX(Recipes!$X$5:$X$204,MATCH(G296,Recipes!$A$5:$A$204,0)),""),"")))</f>
        <v>0</v>
      </c>
      <c r="AF296" s="8">
        <f>IF(G296="","",IF(AE296="","Yes",IF(AE296&gt;=Rotation_Gap_Days,"Yes","No")))</f>
        <v>0</v>
      </c>
      <c r="AG296" s="8">
        <f>IF(G296="","",IF(COUNTIFS('Recipe Ingredients'!$A$5:$A$1204,G296,'Recipe Ingredients'!$AC$5:$AC$1204,"Check")&gt;0,"Check","OK"))</f>
        <v>0</v>
      </c>
    </row>
    <row r="297" spans="1:33">
      <c r="A297" s="7"/>
      <c r="B297" s="30"/>
      <c r="C297" s="8">
        <f>IF(B297="","",B297-WEEKDAY(B297,2)+1)</f>
        <v>0</v>
      </c>
      <c r="D297" s="8">
        <f>IF(B297="","",TEXT(B297,"ddd"))</f>
        <v>0</v>
      </c>
      <c r="E297" s="8">
        <f>IF(B297="","",TEXT(B297,"mmm yyyy"))</f>
        <v>0</v>
      </c>
      <c r="F297" s="27"/>
      <c r="G297" s="7"/>
      <c r="H297" s="26"/>
      <c r="I297" s="8">
        <f>IF(G297="","",IFERROR(INDEX(Recipes!$D$5:$D$204,MATCH(G297,Recipes!$A$5:$A$204,0)),""))</f>
        <v>0</v>
      </c>
      <c r="J297" s="8">
        <f>IF(OR(G297="",H297="",I297="",I297=0),"",H297/I297)</f>
        <v>0</v>
      </c>
      <c r="K297" s="8">
        <f>IF(B297="","",Household_Size)</f>
        <v>0</v>
      </c>
      <c r="L297" s="8">
        <f>IF(OR(G297="",H297=""),"",IFERROR(IFERROR(INDEX(Recipes!$H$5:$H$204,MATCH(G297,Recipes!$A$5:$A$204,0)),"")*H297,""))</f>
        <v>0</v>
      </c>
      <c r="M297" s="8">
        <f>IF(OR(G297="",H297=""),"",IFERROR(IFERROR(INDEX(Recipes!$I$5:$I$204,MATCH(G297,Recipes!$A$5:$A$204,0)),"")*H297,""))</f>
        <v>0</v>
      </c>
      <c r="N297" s="8">
        <f>IF(OR(G297="",H297=""),"",IFERROR(IFERROR(INDEX(Recipes!$J$5:$J$204,MATCH(G297,Recipes!$A$5:$A$204,0)),"")*H297,""))</f>
        <v>0</v>
      </c>
      <c r="O297" s="8">
        <f>IF(OR(G297="",H297=""),"",IFERROR(IFERROR(INDEX(Recipes!$K$5:$K$204,MATCH(G297,Recipes!$A$5:$A$204,0)),"")*H297,""))</f>
        <v>0</v>
      </c>
      <c r="P297" s="8">
        <f>IF(OR(G297="",H297=""),"",IFERROR(IFERROR(INDEX(Recipes!$L$5:$L$204,MATCH(G297,Recipes!$A$5:$A$204,0)),"")*H297,""))</f>
        <v>0</v>
      </c>
      <c r="Q297" s="8">
        <f>IF(OR(G297="",H297=""),"",IFERROR(IFERROR(INDEX(Recipes!$Q$5:$Q$204,MATCH(G297,Recipes!$A$5:$A$204,0)),"")*H297,""))</f>
        <v>0</v>
      </c>
      <c r="R297" s="8">
        <f>IF(F297="","",Weekly_Budget/21)</f>
        <v>0</v>
      </c>
      <c r="S297" s="27"/>
      <c r="T297" s="27"/>
      <c r="U297" s="26"/>
      <c r="V297" s="7"/>
      <c r="W297" s="7"/>
      <c r="X297" s="26"/>
      <c r="Y297" s="8">
        <f>IF(G297="","",IF(COUNTIFS('Meal Prep'!$D$5:$D$124,G297)&gt;0,"Yes","No"))</f>
        <v>0</v>
      </c>
      <c r="Z297" s="8">
        <f>IF(G297="","",COUNTIFS('Recipe Ingredients'!$A$5:$A$1204,G297))</f>
        <v>0</v>
      </c>
      <c r="AA297" s="25"/>
      <c r="AB297" s="8">
        <f>IF(OR(B297="",Q297=""),"",COUNTIFS($B$5:$B$504,B297,$Q$5:$Q$504,"&gt;"&amp;Q297)+1)</f>
        <v>0</v>
      </c>
      <c r="AC297" s="8">
        <f>IF(OR(B297="",L297=""),"",COUNTIFS($B$5:$B$504,B297,$L$5:$L$504,"&gt;"&amp;L297)+1)</f>
        <v>0</v>
      </c>
      <c r="AD297" s="8">
        <f>IF(G297="","",IF(COUNTIFS($G$5:$G$504,G297)&gt;1,"Repeat","Once"))</f>
        <v>0</v>
      </c>
      <c r="AE297" s="8">
        <f>IF(G297="","",IF(IFERROR(INDEX(Recipes!$X$5:$X$204,MATCH(G297,Recipes!$A$5:$A$204,0)),"")="","",IFERROR(B297-IFERROR(INDEX(Recipes!$X$5:$X$204,MATCH(G297,Recipes!$A$5:$A$204,0)),""),"")))</f>
        <v>0</v>
      </c>
      <c r="AF297" s="8">
        <f>IF(G297="","",IF(AE297="","Yes",IF(AE297&gt;=Rotation_Gap_Days,"Yes","No")))</f>
        <v>0</v>
      </c>
      <c r="AG297" s="8">
        <f>IF(G297="","",IF(COUNTIFS('Recipe Ingredients'!$A$5:$A$1204,G297,'Recipe Ingredients'!$AC$5:$AC$1204,"Check")&gt;0,"Check","OK"))</f>
        <v>0</v>
      </c>
    </row>
    <row r="298" spans="1:33">
      <c r="A298" s="7"/>
      <c r="B298" s="30"/>
      <c r="C298" s="8">
        <f>IF(B298="","",B298-WEEKDAY(B298,2)+1)</f>
        <v>0</v>
      </c>
      <c r="D298" s="8">
        <f>IF(B298="","",TEXT(B298,"ddd"))</f>
        <v>0</v>
      </c>
      <c r="E298" s="8">
        <f>IF(B298="","",TEXT(B298,"mmm yyyy"))</f>
        <v>0</v>
      </c>
      <c r="F298" s="27"/>
      <c r="G298" s="7"/>
      <c r="H298" s="26"/>
      <c r="I298" s="8">
        <f>IF(G298="","",IFERROR(INDEX(Recipes!$D$5:$D$204,MATCH(G298,Recipes!$A$5:$A$204,0)),""))</f>
        <v>0</v>
      </c>
      <c r="J298" s="8">
        <f>IF(OR(G298="",H298="",I298="",I298=0),"",H298/I298)</f>
        <v>0</v>
      </c>
      <c r="K298" s="8">
        <f>IF(B298="","",Household_Size)</f>
        <v>0</v>
      </c>
      <c r="L298" s="8">
        <f>IF(OR(G298="",H298=""),"",IFERROR(IFERROR(INDEX(Recipes!$H$5:$H$204,MATCH(G298,Recipes!$A$5:$A$204,0)),"")*H298,""))</f>
        <v>0</v>
      </c>
      <c r="M298" s="8">
        <f>IF(OR(G298="",H298=""),"",IFERROR(IFERROR(INDEX(Recipes!$I$5:$I$204,MATCH(G298,Recipes!$A$5:$A$204,0)),"")*H298,""))</f>
        <v>0</v>
      </c>
      <c r="N298" s="8">
        <f>IF(OR(G298="",H298=""),"",IFERROR(IFERROR(INDEX(Recipes!$J$5:$J$204,MATCH(G298,Recipes!$A$5:$A$204,0)),"")*H298,""))</f>
        <v>0</v>
      </c>
      <c r="O298" s="8">
        <f>IF(OR(G298="",H298=""),"",IFERROR(IFERROR(INDEX(Recipes!$K$5:$K$204,MATCH(G298,Recipes!$A$5:$A$204,0)),"")*H298,""))</f>
        <v>0</v>
      </c>
      <c r="P298" s="8">
        <f>IF(OR(G298="",H298=""),"",IFERROR(IFERROR(INDEX(Recipes!$L$5:$L$204,MATCH(G298,Recipes!$A$5:$A$204,0)),"")*H298,""))</f>
        <v>0</v>
      </c>
      <c r="Q298" s="8">
        <f>IF(OR(G298="",H298=""),"",IFERROR(IFERROR(INDEX(Recipes!$Q$5:$Q$204,MATCH(G298,Recipes!$A$5:$A$204,0)),"")*H298,""))</f>
        <v>0</v>
      </c>
      <c r="R298" s="8">
        <f>IF(F298="","",Weekly_Budget/21)</f>
        <v>0</v>
      </c>
      <c r="S298" s="27"/>
      <c r="T298" s="27"/>
      <c r="U298" s="26"/>
      <c r="V298" s="7"/>
      <c r="W298" s="7"/>
      <c r="X298" s="26"/>
      <c r="Y298" s="8">
        <f>IF(G298="","",IF(COUNTIFS('Meal Prep'!$D$5:$D$124,G298)&gt;0,"Yes","No"))</f>
        <v>0</v>
      </c>
      <c r="Z298" s="8">
        <f>IF(G298="","",COUNTIFS('Recipe Ingredients'!$A$5:$A$1204,G298))</f>
        <v>0</v>
      </c>
      <c r="AA298" s="25"/>
      <c r="AB298" s="8">
        <f>IF(OR(B298="",Q298=""),"",COUNTIFS($B$5:$B$504,B298,$Q$5:$Q$504,"&gt;"&amp;Q298)+1)</f>
        <v>0</v>
      </c>
      <c r="AC298" s="8">
        <f>IF(OR(B298="",L298=""),"",COUNTIFS($B$5:$B$504,B298,$L$5:$L$504,"&gt;"&amp;L298)+1)</f>
        <v>0</v>
      </c>
      <c r="AD298" s="8">
        <f>IF(G298="","",IF(COUNTIFS($G$5:$G$504,G298)&gt;1,"Repeat","Once"))</f>
        <v>0</v>
      </c>
      <c r="AE298" s="8">
        <f>IF(G298="","",IF(IFERROR(INDEX(Recipes!$X$5:$X$204,MATCH(G298,Recipes!$A$5:$A$204,0)),"")="","",IFERROR(B298-IFERROR(INDEX(Recipes!$X$5:$X$204,MATCH(G298,Recipes!$A$5:$A$204,0)),""),"")))</f>
        <v>0</v>
      </c>
      <c r="AF298" s="8">
        <f>IF(G298="","",IF(AE298="","Yes",IF(AE298&gt;=Rotation_Gap_Days,"Yes","No")))</f>
        <v>0</v>
      </c>
      <c r="AG298" s="8">
        <f>IF(G298="","",IF(COUNTIFS('Recipe Ingredients'!$A$5:$A$1204,G298,'Recipe Ingredients'!$AC$5:$AC$1204,"Check")&gt;0,"Check","OK"))</f>
        <v>0</v>
      </c>
    </row>
    <row r="299" spans="1:33">
      <c r="A299" s="7"/>
      <c r="B299" s="30"/>
      <c r="C299" s="8">
        <f>IF(B299="","",B299-WEEKDAY(B299,2)+1)</f>
        <v>0</v>
      </c>
      <c r="D299" s="8">
        <f>IF(B299="","",TEXT(B299,"ddd"))</f>
        <v>0</v>
      </c>
      <c r="E299" s="8">
        <f>IF(B299="","",TEXT(B299,"mmm yyyy"))</f>
        <v>0</v>
      </c>
      <c r="F299" s="27"/>
      <c r="G299" s="7"/>
      <c r="H299" s="26"/>
      <c r="I299" s="8">
        <f>IF(G299="","",IFERROR(INDEX(Recipes!$D$5:$D$204,MATCH(G299,Recipes!$A$5:$A$204,0)),""))</f>
        <v>0</v>
      </c>
      <c r="J299" s="8">
        <f>IF(OR(G299="",H299="",I299="",I299=0),"",H299/I299)</f>
        <v>0</v>
      </c>
      <c r="K299" s="8">
        <f>IF(B299="","",Household_Size)</f>
        <v>0</v>
      </c>
      <c r="L299" s="8">
        <f>IF(OR(G299="",H299=""),"",IFERROR(IFERROR(INDEX(Recipes!$H$5:$H$204,MATCH(G299,Recipes!$A$5:$A$204,0)),"")*H299,""))</f>
        <v>0</v>
      </c>
      <c r="M299" s="8">
        <f>IF(OR(G299="",H299=""),"",IFERROR(IFERROR(INDEX(Recipes!$I$5:$I$204,MATCH(G299,Recipes!$A$5:$A$204,0)),"")*H299,""))</f>
        <v>0</v>
      </c>
      <c r="N299" s="8">
        <f>IF(OR(G299="",H299=""),"",IFERROR(IFERROR(INDEX(Recipes!$J$5:$J$204,MATCH(G299,Recipes!$A$5:$A$204,0)),"")*H299,""))</f>
        <v>0</v>
      </c>
      <c r="O299" s="8">
        <f>IF(OR(G299="",H299=""),"",IFERROR(IFERROR(INDEX(Recipes!$K$5:$K$204,MATCH(G299,Recipes!$A$5:$A$204,0)),"")*H299,""))</f>
        <v>0</v>
      </c>
      <c r="P299" s="8">
        <f>IF(OR(G299="",H299=""),"",IFERROR(IFERROR(INDEX(Recipes!$L$5:$L$204,MATCH(G299,Recipes!$A$5:$A$204,0)),"")*H299,""))</f>
        <v>0</v>
      </c>
      <c r="Q299" s="8">
        <f>IF(OR(G299="",H299=""),"",IFERROR(IFERROR(INDEX(Recipes!$Q$5:$Q$204,MATCH(G299,Recipes!$A$5:$A$204,0)),"")*H299,""))</f>
        <v>0</v>
      </c>
      <c r="R299" s="8">
        <f>IF(F299="","",Weekly_Budget/21)</f>
        <v>0</v>
      </c>
      <c r="S299" s="27"/>
      <c r="T299" s="27"/>
      <c r="U299" s="26"/>
      <c r="V299" s="7"/>
      <c r="W299" s="7"/>
      <c r="X299" s="26"/>
      <c r="Y299" s="8">
        <f>IF(G299="","",IF(COUNTIFS('Meal Prep'!$D$5:$D$124,G299)&gt;0,"Yes","No"))</f>
        <v>0</v>
      </c>
      <c r="Z299" s="8">
        <f>IF(G299="","",COUNTIFS('Recipe Ingredients'!$A$5:$A$1204,G299))</f>
        <v>0</v>
      </c>
      <c r="AA299" s="25"/>
      <c r="AB299" s="8">
        <f>IF(OR(B299="",Q299=""),"",COUNTIFS($B$5:$B$504,B299,$Q$5:$Q$504,"&gt;"&amp;Q299)+1)</f>
        <v>0</v>
      </c>
      <c r="AC299" s="8">
        <f>IF(OR(B299="",L299=""),"",COUNTIFS($B$5:$B$504,B299,$L$5:$L$504,"&gt;"&amp;L299)+1)</f>
        <v>0</v>
      </c>
      <c r="AD299" s="8">
        <f>IF(G299="","",IF(COUNTIFS($G$5:$G$504,G299)&gt;1,"Repeat","Once"))</f>
        <v>0</v>
      </c>
      <c r="AE299" s="8">
        <f>IF(G299="","",IF(IFERROR(INDEX(Recipes!$X$5:$X$204,MATCH(G299,Recipes!$A$5:$A$204,0)),"")="","",IFERROR(B299-IFERROR(INDEX(Recipes!$X$5:$X$204,MATCH(G299,Recipes!$A$5:$A$204,0)),""),"")))</f>
        <v>0</v>
      </c>
      <c r="AF299" s="8">
        <f>IF(G299="","",IF(AE299="","Yes",IF(AE299&gt;=Rotation_Gap_Days,"Yes","No")))</f>
        <v>0</v>
      </c>
      <c r="AG299" s="8">
        <f>IF(G299="","",IF(COUNTIFS('Recipe Ingredients'!$A$5:$A$1204,G299,'Recipe Ingredients'!$AC$5:$AC$1204,"Check")&gt;0,"Check","OK"))</f>
        <v>0</v>
      </c>
    </row>
    <row r="300" spans="1:33">
      <c r="A300" s="7"/>
      <c r="B300" s="30"/>
      <c r="C300" s="8">
        <f>IF(B300="","",B300-WEEKDAY(B300,2)+1)</f>
        <v>0</v>
      </c>
      <c r="D300" s="8">
        <f>IF(B300="","",TEXT(B300,"ddd"))</f>
        <v>0</v>
      </c>
      <c r="E300" s="8">
        <f>IF(B300="","",TEXT(B300,"mmm yyyy"))</f>
        <v>0</v>
      </c>
      <c r="F300" s="27"/>
      <c r="G300" s="7"/>
      <c r="H300" s="26"/>
      <c r="I300" s="8">
        <f>IF(G300="","",IFERROR(INDEX(Recipes!$D$5:$D$204,MATCH(G300,Recipes!$A$5:$A$204,0)),""))</f>
        <v>0</v>
      </c>
      <c r="J300" s="8">
        <f>IF(OR(G300="",H300="",I300="",I300=0),"",H300/I300)</f>
        <v>0</v>
      </c>
      <c r="K300" s="8">
        <f>IF(B300="","",Household_Size)</f>
        <v>0</v>
      </c>
      <c r="L300" s="8">
        <f>IF(OR(G300="",H300=""),"",IFERROR(IFERROR(INDEX(Recipes!$H$5:$H$204,MATCH(G300,Recipes!$A$5:$A$204,0)),"")*H300,""))</f>
        <v>0</v>
      </c>
      <c r="M300" s="8">
        <f>IF(OR(G300="",H300=""),"",IFERROR(IFERROR(INDEX(Recipes!$I$5:$I$204,MATCH(G300,Recipes!$A$5:$A$204,0)),"")*H300,""))</f>
        <v>0</v>
      </c>
      <c r="N300" s="8">
        <f>IF(OR(G300="",H300=""),"",IFERROR(IFERROR(INDEX(Recipes!$J$5:$J$204,MATCH(G300,Recipes!$A$5:$A$204,0)),"")*H300,""))</f>
        <v>0</v>
      </c>
      <c r="O300" s="8">
        <f>IF(OR(G300="",H300=""),"",IFERROR(IFERROR(INDEX(Recipes!$K$5:$K$204,MATCH(G300,Recipes!$A$5:$A$204,0)),"")*H300,""))</f>
        <v>0</v>
      </c>
      <c r="P300" s="8">
        <f>IF(OR(G300="",H300=""),"",IFERROR(IFERROR(INDEX(Recipes!$L$5:$L$204,MATCH(G300,Recipes!$A$5:$A$204,0)),"")*H300,""))</f>
        <v>0</v>
      </c>
      <c r="Q300" s="8">
        <f>IF(OR(G300="",H300=""),"",IFERROR(IFERROR(INDEX(Recipes!$Q$5:$Q$204,MATCH(G300,Recipes!$A$5:$A$204,0)),"")*H300,""))</f>
        <v>0</v>
      </c>
      <c r="R300" s="8">
        <f>IF(F300="","",Weekly_Budget/21)</f>
        <v>0</v>
      </c>
      <c r="S300" s="27"/>
      <c r="T300" s="27"/>
      <c r="U300" s="26"/>
      <c r="V300" s="7"/>
      <c r="W300" s="7"/>
      <c r="X300" s="26"/>
      <c r="Y300" s="8">
        <f>IF(G300="","",IF(COUNTIFS('Meal Prep'!$D$5:$D$124,G300)&gt;0,"Yes","No"))</f>
        <v>0</v>
      </c>
      <c r="Z300" s="8">
        <f>IF(G300="","",COUNTIFS('Recipe Ingredients'!$A$5:$A$1204,G300))</f>
        <v>0</v>
      </c>
      <c r="AA300" s="25"/>
      <c r="AB300" s="8">
        <f>IF(OR(B300="",Q300=""),"",COUNTIFS($B$5:$B$504,B300,$Q$5:$Q$504,"&gt;"&amp;Q300)+1)</f>
        <v>0</v>
      </c>
      <c r="AC300" s="8">
        <f>IF(OR(B300="",L300=""),"",COUNTIFS($B$5:$B$504,B300,$L$5:$L$504,"&gt;"&amp;L300)+1)</f>
        <v>0</v>
      </c>
      <c r="AD300" s="8">
        <f>IF(G300="","",IF(COUNTIFS($G$5:$G$504,G300)&gt;1,"Repeat","Once"))</f>
        <v>0</v>
      </c>
      <c r="AE300" s="8">
        <f>IF(G300="","",IF(IFERROR(INDEX(Recipes!$X$5:$X$204,MATCH(G300,Recipes!$A$5:$A$204,0)),"")="","",IFERROR(B300-IFERROR(INDEX(Recipes!$X$5:$X$204,MATCH(G300,Recipes!$A$5:$A$204,0)),""),"")))</f>
        <v>0</v>
      </c>
      <c r="AF300" s="8">
        <f>IF(G300="","",IF(AE300="","Yes",IF(AE300&gt;=Rotation_Gap_Days,"Yes","No")))</f>
        <v>0</v>
      </c>
      <c r="AG300" s="8">
        <f>IF(G300="","",IF(COUNTIFS('Recipe Ingredients'!$A$5:$A$1204,G300,'Recipe Ingredients'!$AC$5:$AC$1204,"Check")&gt;0,"Check","OK"))</f>
        <v>0</v>
      </c>
    </row>
    <row r="301" spans="1:33">
      <c r="A301" s="7"/>
      <c r="B301" s="30"/>
      <c r="C301" s="8">
        <f>IF(B301="","",B301-WEEKDAY(B301,2)+1)</f>
        <v>0</v>
      </c>
      <c r="D301" s="8">
        <f>IF(B301="","",TEXT(B301,"ddd"))</f>
        <v>0</v>
      </c>
      <c r="E301" s="8">
        <f>IF(B301="","",TEXT(B301,"mmm yyyy"))</f>
        <v>0</v>
      </c>
      <c r="F301" s="27"/>
      <c r="G301" s="7"/>
      <c r="H301" s="26"/>
      <c r="I301" s="8">
        <f>IF(G301="","",IFERROR(INDEX(Recipes!$D$5:$D$204,MATCH(G301,Recipes!$A$5:$A$204,0)),""))</f>
        <v>0</v>
      </c>
      <c r="J301" s="8">
        <f>IF(OR(G301="",H301="",I301="",I301=0),"",H301/I301)</f>
        <v>0</v>
      </c>
      <c r="K301" s="8">
        <f>IF(B301="","",Household_Size)</f>
        <v>0</v>
      </c>
      <c r="L301" s="8">
        <f>IF(OR(G301="",H301=""),"",IFERROR(IFERROR(INDEX(Recipes!$H$5:$H$204,MATCH(G301,Recipes!$A$5:$A$204,0)),"")*H301,""))</f>
        <v>0</v>
      </c>
      <c r="M301" s="8">
        <f>IF(OR(G301="",H301=""),"",IFERROR(IFERROR(INDEX(Recipes!$I$5:$I$204,MATCH(G301,Recipes!$A$5:$A$204,0)),"")*H301,""))</f>
        <v>0</v>
      </c>
      <c r="N301" s="8">
        <f>IF(OR(G301="",H301=""),"",IFERROR(IFERROR(INDEX(Recipes!$J$5:$J$204,MATCH(G301,Recipes!$A$5:$A$204,0)),"")*H301,""))</f>
        <v>0</v>
      </c>
      <c r="O301" s="8">
        <f>IF(OR(G301="",H301=""),"",IFERROR(IFERROR(INDEX(Recipes!$K$5:$K$204,MATCH(G301,Recipes!$A$5:$A$204,0)),"")*H301,""))</f>
        <v>0</v>
      </c>
      <c r="P301" s="8">
        <f>IF(OR(G301="",H301=""),"",IFERROR(IFERROR(INDEX(Recipes!$L$5:$L$204,MATCH(G301,Recipes!$A$5:$A$204,0)),"")*H301,""))</f>
        <v>0</v>
      </c>
      <c r="Q301" s="8">
        <f>IF(OR(G301="",H301=""),"",IFERROR(IFERROR(INDEX(Recipes!$Q$5:$Q$204,MATCH(G301,Recipes!$A$5:$A$204,0)),"")*H301,""))</f>
        <v>0</v>
      </c>
      <c r="R301" s="8">
        <f>IF(F301="","",Weekly_Budget/21)</f>
        <v>0</v>
      </c>
      <c r="S301" s="27"/>
      <c r="T301" s="27"/>
      <c r="U301" s="26"/>
      <c r="V301" s="7"/>
      <c r="W301" s="7"/>
      <c r="X301" s="26"/>
      <c r="Y301" s="8">
        <f>IF(G301="","",IF(COUNTIFS('Meal Prep'!$D$5:$D$124,G301)&gt;0,"Yes","No"))</f>
        <v>0</v>
      </c>
      <c r="Z301" s="8">
        <f>IF(G301="","",COUNTIFS('Recipe Ingredients'!$A$5:$A$1204,G301))</f>
        <v>0</v>
      </c>
      <c r="AA301" s="25"/>
      <c r="AB301" s="8">
        <f>IF(OR(B301="",Q301=""),"",COUNTIFS($B$5:$B$504,B301,$Q$5:$Q$504,"&gt;"&amp;Q301)+1)</f>
        <v>0</v>
      </c>
      <c r="AC301" s="8">
        <f>IF(OR(B301="",L301=""),"",COUNTIFS($B$5:$B$504,B301,$L$5:$L$504,"&gt;"&amp;L301)+1)</f>
        <v>0</v>
      </c>
      <c r="AD301" s="8">
        <f>IF(G301="","",IF(COUNTIFS($G$5:$G$504,G301)&gt;1,"Repeat","Once"))</f>
        <v>0</v>
      </c>
      <c r="AE301" s="8">
        <f>IF(G301="","",IF(IFERROR(INDEX(Recipes!$X$5:$X$204,MATCH(G301,Recipes!$A$5:$A$204,0)),"")="","",IFERROR(B301-IFERROR(INDEX(Recipes!$X$5:$X$204,MATCH(G301,Recipes!$A$5:$A$204,0)),""),"")))</f>
        <v>0</v>
      </c>
      <c r="AF301" s="8">
        <f>IF(G301="","",IF(AE301="","Yes",IF(AE301&gt;=Rotation_Gap_Days,"Yes","No")))</f>
        <v>0</v>
      </c>
      <c r="AG301" s="8">
        <f>IF(G301="","",IF(COUNTIFS('Recipe Ingredients'!$A$5:$A$1204,G301,'Recipe Ingredients'!$AC$5:$AC$1204,"Check")&gt;0,"Check","OK"))</f>
        <v>0</v>
      </c>
    </row>
    <row r="302" spans="1:33">
      <c r="A302" s="7"/>
      <c r="B302" s="30"/>
      <c r="C302" s="8">
        <f>IF(B302="","",B302-WEEKDAY(B302,2)+1)</f>
        <v>0</v>
      </c>
      <c r="D302" s="8">
        <f>IF(B302="","",TEXT(B302,"ddd"))</f>
        <v>0</v>
      </c>
      <c r="E302" s="8">
        <f>IF(B302="","",TEXT(B302,"mmm yyyy"))</f>
        <v>0</v>
      </c>
      <c r="F302" s="27"/>
      <c r="G302" s="7"/>
      <c r="H302" s="26"/>
      <c r="I302" s="8">
        <f>IF(G302="","",IFERROR(INDEX(Recipes!$D$5:$D$204,MATCH(G302,Recipes!$A$5:$A$204,0)),""))</f>
        <v>0</v>
      </c>
      <c r="J302" s="8">
        <f>IF(OR(G302="",H302="",I302="",I302=0),"",H302/I302)</f>
        <v>0</v>
      </c>
      <c r="K302" s="8">
        <f>IF(B302="","",Household_Size)</f>
        <v>0</v>
      </c>
      <c r="L302" s="8">
        <f>IF(OR(G302="",H302=""),"",IFERROR(IFERROR(INDEX(Recipes!$H$5:$H$204,MATCH(G302,Recipes!$A$5:$A$204,0)),"")*H302,""))</f>
        <v>0</v>
      </c>
      <c r="M302" s="8">
        <f>IF(OR(G302="",H302=""),"",IFERROR(IFERROR(INDEX(Recipes!$I$5:$I$204,MATCH(G302,Recipes!$A$5:$A$204,0)),"")*H302,""))</f>
        <v>0</v>
      </c>
      <c r="N302" s="8">
        <f>IF(OR(G302="",H302=""),"",IFERROR(IFERROR(INDEX(Recipes!$J$5:$J$204,MATCH(G302,Recipes!$A$5:$A$204,0)),"")*H302,""))</f>
        <v>0</v>
      </c>
      <c r="O302" s="8">
        <f>IF(OR(G302="",H302=""),"",IFERROR(IFERROR(INDEX(Recipes!$K$5:$K$204,MATCH(G302,Recipes!$A$5:$A$204,0)),"")*H302,""))</f>
        <v>0</v>
      </c>
      <c r="P302" s="8">
        <f>IF(OR(G302="",H302=""),"",IFERROR(IFERROR(INDEX(Recipes!$L$5:$L$204,MATCH(G302,Recipes!$A$5:$A$204,0)),"")*H302,""))</f>
        <v>0</v>
      </c>
      <c r="Q302" s="8">
        <f>IF(OR(G302="",H302=""),"",IFERROR(IFERROR(INDEX(Recipes!$Q$5:$Q$204,MATCH(G302,Recipes!$A$5:$A$204,0)),"")*H302,""))</f>
        <v>0</v>
      </c>
      <c r="R302" s="8">
        <f>IF(F302="","",Weekly_Budget/21)</f>
        <v>0</v>
      </c>
      <c r="S302" s="27"/>
      <c r="T302" s="27"/>
      <c r="U302" s="26"/>
      <c r="V302" s="7"/>
      <c r="W302" s="7"/>
      <c r="X302" s="26"/>
      <c r="Y302" s="8">
        <f>IF(G302="","",IF(COUNTIFS('Meal Prep'!$D$5:$D$124,G302)&gt;0,"Yes","No"))</f>
        <v>0</v>
      </c>
      <c r="Z302" s="8">
        <f>IF(G302="","",COUNTIFS('Recipe Ingredients'!$A$5:$A$1204,G302))</f>
        <v>0</v>
      </c>
      <c r="AA302" s="25"/>
      <c r="AB302" s="8">
        <f>IF(OR(B302="",Q302=""),"",COUNTIFS($B$5:$B$504,B302,$Q$5:$Q$504,"&gt;"&amp;Q302)+1)</f>
        <v>0</v>
      </c>
      <c r="AC302" s="8">
        <f>IF(OR(B302="",L302=""),"",COUNTIFS($B$5:$B$504,B302,$L$5:$L$504,"&gt;"&amp;L302)+1)</f>
        <v>0</v>
      </c>
      <c r="AD302" s="8">
        <f>IF(G302="","",IF(COUNTIFS($G$5:$G$504,G302)&gt;1,"Repeat","Once"))</f>
        <v>0</v>
      </c>
      <c r="AE302" s="8">
        <f>IF(G302="","",IF(IFERROR(INDEX(Recipes!$X$5:$X$204,MATCH(G302,Recipes!$A$5:$A$204,0)),"")="","",IFERROR(B302-IFERROR(INDEX(Recipes!$X$5:$X$204,MATCH(G302,Recipes!$A$5:$A$204,0)),""),"")))</f>
        <v>0</v>
      </c>
      <c r="AF302" s="8">
        <f>IF(G302="","",IF(AE302="","Yes",IF(AE302&gt;=Rotation_Gap_Days,"Yes","No")))</f>
        <v>0</v>
      </c>
      <c r="AG302" s="8">
        <f>IF(G302="","",IF(COUNTIFS('Recipe Ingredients'!$A$5:$A$1204,G302,'Recipe Ingredients'!$AC$5:$AC$1204,"Check")&gt;0,"Check","OK"))</f>
        <v>0</v>
      </c>
    </row>
    <row r="303" spans="1:33">
      <c r="A303" s="7"/>
      <c r="B303" s="30"/>
      <c r="C303" s="8">
        <f>IF(B303="","",B303-WEEKDAY(B303,2)+1)</f>
        <v>0</v>
      </c>
      <c r="D303" s="8">
        <f>IF(B303="","",TEXT(B303,"ddd"))</f>
        <v>0</v>
      </c>
      <c r="E303" s="8">
        <f>IF(B303="","",TEXT(B303,"mmm yyyy"))</f>
        <v>0</v>
      </c>
      <c r="F303" s="27"/>
      <c r="G303" s="7"/>
      <c r="H303" s="26"/>
      <c r="I303" s="8">
        <f>IF(G303="","",IFERROR(INDEX(Recipes!$D$5:$D$204,MATCH(G303,Recipes!$A$5:$A$204,0)),""))</f>
        <v>0</v>
      </c>
      <c r="J303" s="8">
        <f>IF(OR(G303="",H303="",I303="",I303=0),"",H303/I303)</f>
        <v>0</v>
      </c>
      <c r="K303" s="8">
        <f>IF(B303="","",Household_Size)</f>
        <v>0</v>
      </c>
      <c r="L303" s="8">
        <f>IF(OR(G303="",H303=""),"",IFERROR(IFERROR(INDEX(Recipes!$H$5:$H$204,MATCH(G303,Recipes!$A$5:$A$204,0)),"")*H303,""))</f>
        <v>0</v>
      </c>
      <c r="M303" s="8">
        <f>IF(OR(G303="",H303=""),"",IFERROR(IFERROR(INDEX(Recipes!$I$5:$I$204,MATCH(G303,Recipes!$A$5:$A$204,0)),"")*H303,""))</f>
        <v>0</v>
      </c>
      <c r="N303" s="8">
        <f>IF(OR(G303="",H303=""),"",IFERROR(IFERROR(INDEX(Recipes!$J$5:$J$204,MATCH(G303,Recipes!$A$5:$A$204,0)),"")*H303,""))</f>
        <v>0</v>
      </c>
      <c r="O303" s="8">
        <f>IF(OR(G303="",H303=""),"",IFERROR(IFERROR(INDEX(Recipes!$K$5:$K$204,MATCH(G303,Recipes!$A$5:$A$204,0)),"")*H303,""))</f>
        <v>0</v>
      </c>
      <c r="P303" s="8">
        <f>IF(OR(G303="",H303=""),"",IFERROR(IFERROR(INDEX(Recipes!$L$5:$L$204,MATCH(G303,Recipes!$A$5:$A$204,0)),"")*H303,""))</f>
        <v>0</v>
      </c>
      <c r="Q303" s="8">
        <f>IF(OR(G303="",H303=""),"",IFERROR(IFERROR(INDEX(Recipes!$Q$5:$Q$204,MATCH(G303,Recipes!$A$5:$A$204,0)),"")*H303,""))</f>
        <v>0</v>
      </c>
      <c r="R303" s="8">
        <f>IF(F303="","",Weekly_Budget/21)</f>
        <v>0</v>
      </c>
      <c r="S303" s="27"/>
      <c r="T303" s="27"/>
      <c r="U303" s="26"/>
      <c r="V303" s="7"/>
      <c r="W303" s="7"/>
      <c r="X303" s="26"/>
      <c r="Y303" s="8">
        <f>IF(G303="","",IF(COUNTIFS('Meal Prep'!$D$5:$D$124,G303)&gt;0,"Yes","No"))</f>
        <v>0</v>
      </c>
      <c r="Z303" s="8">
        <f>IF(G303="","",COUNTIFS('Recipe Ingredients'!$A$5:$A$1204,G303))</f>
        <v>0</v>
      </c>
      <c r="AA303" s="25"/>
      <c r="AB303" s="8">
        <f>IF(OR(B303="",Q303=""),"",COUNTIFS($B$5:$B$504,B303,$Q$5:$Q$504,"&gt;"&amp;Q303)+1)</f>
        <v>0</v>
      </c>
      <c r="AC303" s="8">
        <f>IF(OR(B303="",L303=""),"",COUNTIFS($B$5:$B$504,B303,$L$5:$L$504,"&gt;"&amp;L303)+1)</f>
        <v>0</v>
      </c>
      <c r="AD303" s="8">
        <f>IF(G303="","",IF(COUNTIFS($G$5:$G$504,G303)&gt;1,"Repeat","Once"))</f>
        <v>0</v>
      </c>
      <c r="AE303" s="8">
        <f>IF(G303="","",IF(IFERROR(INDEX(Recipes!$X$5:$X$204,MATCH(G303,Recipes!$A$5:$A$204,0)),"")="","",IFERROR(B303-IFERROR(INDEX(Recipes!$X$5:$X$204,MATCH(G303,Recipes!$A$5:$A$204,0)),""),"")))</f>
        <v>0</v>
      </c>
      <c r="AF303" s="8">
        <f>IF(G303="","",IF(AE303="","Yes",IF(AE303&gt;=Rotation_Gap_Days,"Yes","No")))</f>
        <v>0</v>
      </c>
      <c r="AG303" s="8">
        <f>IF(G303="","",IF(COUNTIFS('Recipe Ingredients'!$A$5:$A$1204,G303,'Recipe Ingredients'!$AC$5:$AC$1204,"Check")&gt;0,"Check","OK"))</f>
        <v>0</v>
      </c>
    </row>
    <row r="304" spans="1:33">
      <c r="A304" s="7"/>
      <c r="B304" s="30"/>
      <c r="C304" s="8">
        <f>IF(B304="","",B304-WEEKDAY(B304,2)+1)</f>
        <v>0</v>
      </c>
      <c r="D304" s="8">
        <f>IF(B304="","",TEXT(B304,"ddd"))</f>
        <v>0</v>
      </c>
      <c r="E304" s="8">
        <f>IF(B304="","",TEXT(B304,"mmm yyyy"))</f>
        <v>0</v>
      </c>
      <c r="F304" s="27"/>
      <c r="G304" s="7"/>
      <c r="H304" s="26"/>
      <c r="I304" s="8">
        <f>IF(G304="","",IFERROR(INDEX(Recipes!$D$5:$D$204,MATCH(G304,Recipes!$A$5:$A$204,0)),""))</f>
        <v>0</v>
      </c>
      <c r="J304" s="8">
        <f>IF(OR(G304="",H304="",I304="",I304=0),"",H304/I304)</f>
        <v>0</v>
      </c>
      <c r="K304" s="8">
        <f>IF(B304="","",Household_Size)</f>
        <v>0</v>
      </c>
      <c r="L304" s="8">
        <f>IF(OR(G304="",H304=""),"",IFERROR(IFERROR(INDEX(Recipes!$H$5:$H$204,MATCH(G304,Recipes!$A$5:$A$204,0)),"")*H304,""))</f>
        <v>0</v>
      </c>
      <c r="M304" s="8">
        <f>IF(OR(G304="",H304=""),"",IFERROR(IFERROR(INDEX(Recipes!$I$5:$I$204,MATCH(G304,Recipes!$A$5:$A$204,0)),"")*H304,""))</f>
        <v>0</v>
      </c>
      <c r="N304" s="8">
        <f>IF(OR(G304="",H304=""),"",IFERROR(IFERROR(INDEX(Recipes!$J$5:$J$204,MATCH(G304,Recipes!$A$5:$A$204,0)),"")*H304,""))</f>
        <v>0</v>
      </c>
      <c r="O304" s="8">
        <f>IF(OR(G304="",H304=""),"",IFERROR(IFERROR(INDEX(Recipes!$K$5:$K$204,MATCH(G304,Recipes!$A$5:$A$204,0)),"")*H304,""))</f>
        <v>0</v>
      </c>
      <c r="P304" s="8">
        <f>IF(OR(G304="",H304=""),"",IFERROR(IFERROR(INDEX(Recipes!$L$5:$L$204,MATCH(G304,Recipes!$A$5:$A$204,0)),"")*H304,""))</f>
        <v>0</v>
      </c>
      <c r="Q304" s="8">
        <f>IF(OR(G304="",H304=""),"",IFERROR(IFERROR(INDEX(Recipes!$Q$5:$Q$204,MATCH(G304,Recipes!$A$5:$A$204,0)),"")*H304,""))</f>
        <v>0</v>
      </c>
      <c r="R304" s="8">
        <f>IF(F304="","",Weekly_Budget/21)</f>
        <v>0</v>
      </c>
      <c r="S304" s="27"/>
      <c r="T304" s="27"/>
      <c r="U304" s="26"/>
      <c r="V304" s="7"/>
      <c r="W304" s="7"/>
      <c r="X304" s="26"/>
      <c r="Y304" s="8">
        <f>IF(G304="","",IF(COUNTIFS('Meal Prep'!$D$5:$D$124,G304)&gt;0,"Yes","No"))</f>
        <v>0</v>
      </c>
      <c r="Z304" s="8">
        <f>IF(G304="","",COUNTIFS('Recipe Ingredients'!$A$5:$A$1204,G304))</f>
        <v>0</v>
      </c>
      <c r="AA304" s="25"/>
      <c r="AB304" s="8">
        <f>IF(OR(B304="",Q304=""),"",COUNTIFS($B$5:$B$504,B304,$Q$5:$Q$504,"&gt;"&amp;Q304)+1)</f>
        <v>0</v>
      </c>
      <c r="AC304" s="8">
        <f>IF(OR(B304="",L304=""),"",COUNTIFS($B$5:$B$504,B304,$L$5:$L$504,"&gt;"&amp;L304)+1)</f>
        <v>0</v>
      </c>
      <c r="AD304" s="8">
        <f>IF(G304="","",IF(COUNTIFS($G$5:$G$504,G304)&gt;1,"Repeat","Once"))</f>
        <v>0</v>
      </c>
      <c r="AE304" s="8">
        <f>IF(G304="","",IF(IFERROR(INDEX(Recipes!$X$5:$X$204,MATCH(G304,Recipes!$A$5:$A$204,0)),"")="","",IFERROR(B304-IFERROR(INDEX(Recipes!$X$5:$X$204,MATCH(G304,Recipes!$A$5:$A$204,0)),""),"")))</f>
        <v>0</v>
      </c>
      <c r="AF304" s="8">
        <f>IF(G304="","",IF(AE304="","Yes",IF(AE304&gt;=Rotation_Gap_Days,"Yes","No")))</f>
        <v>0</v>
      </c>
      <c r="AG304" s="8">
        <f>IF(G304="","",IF(COUNTIFS('Recipe Ingredients'!$A$5:$A$1204,G304,'Recipe Ingredients'!$AC$5:$AC$1204,"Check")&gt;0,"Check","OK"))</f>
        <v>0</v>
      </c>
    </row>
    <row r="305" spans="1:33">
      <c r="A305" s="7"/>
      <c r="B305" s="30"/>
      <c r="C305" s="8">
        <f>IF(B305="","",B305-WEEKDAY(B305,2)+1)</f>
        <v>0</v>
      </c>
      <c r="D305" s="8">
        <f>IF(B305="","",TEXT(B305,"ddd"))</f>
        <v>0</v>
      </c>
      <c r="E305" s="8">
        <f>IF(B305="","",TEXT(B305,"mmm yyyy"))</f>
        <v>0</v>
      </c>
      <c r="F305" s="27"/>
      <c r="G305" s="7"/>
      <c r="H305" s="26"/>
      <c r="I305" s="8">
        <f>IF(G305="","",IFERROR(INDEX(Recipes!$D$5:$D$204,MATCH(G305,Recipes!$A$5:$A$204,0)),""))</f>
        <v>0</v>
      </c>
      <c r="J305" s="8">
        <f>IF(OR(G305="",H305="",I305="",I305=0),"",H305/I305)</f>
        <v>0</v>
      </c>
      <c r="K305" s="8">
        <f>IF(B305="","",Household_Size)</f>
        <v>0</v>
      </c>
      <c r="L305" s="8">
        <f>IF(OR(G305="",H305=""),"",IFERROR(IFERROR(INDEX(Recipes!$H$5:$H$204,MATCH(G305,Recipes!$A$5:$A$204,0)),"")*H305,""))</f>
        <v>0</v>
      </c>
      <c r="M305" s="8">
        <f>IF(OR(G305="",H305=""),"",IFERROR(IFERROR(INDEX(Recipes!$I$5:$I$204,MATCH(G305,Recipes!$A$5:$A$204,0)),"")*H305,""))</f>
        <v>0</v>
      </c>
      <c r="N305" s="8">
        <f>IF(OR(G305="",H305=""),"",IFERROR(IFERROR(INDEX(Recipes!$J$5:$J$204,MATCH(G305,Recipes!$A$5:$A$204,0)),"")*H305,""))</f>
        <v>0</v>
      </c>
      <c r="O305" s="8">
        <f>IF(OR(G305="",H305=""),"",IFERROR(IFERROR(INDEX(Recipes!$K$5:$K$204,MATCH(G305,Recipes!$A$5:$A$204,0)),"")*H305,""))</f>
        <v>0</v>
      </c>
      <c r="P305" s="8">
        <f>IF(OR(G305="",H305=""),"",IFERROR(IFERROR(INDEX(Recipes!$L$5:$L$204,MATCH(G305,Recipes!$A$5:$A$204,0)),"")*H305,""))</f>
        <v>0</v>
      </c>
      <c r="Q305" s="8">
        <f>IF(OR(G305="",H305=""),"",IFERROR(IFERROR(INDEX(Recipes!$Q$5:$Q$204,MATCH(G305,Recipes!$A$5:$A$204,0)),"")*H305,""))</f>
        <v>0</v>
      </c>
      <c r="R305" s="8">
        <f>IF(F305="","",Weekly_Budget/21)</f>
        <v>0</v>
      </c>
      <c r="S305" s="27"/>
      <c r="T305" s="27"/>
      <c r="U305" s="26"/>
      <c r="V305" s="7"/>
      <c r="W305" s="7"/>
      <c r="X305" s="26"/>
      <c r="Y305" s="8">
        <f>IF(G305="","",IF(COUNTIFS('Meal Prep'!$D$5:$D$124,G305)&gt;0,"Yes","No"))</f>
        <v>0</v>
      </c>
      <c r="Z305" s="8">
        <f>IF(G305="","",COUNTIFS('Recipe Ingredients'!$A$5:$A$1204,G305))</f>
        <v>0</v>
      </c>
      <c r="AA305" s="25"/>
      <c r="AB305" s="8">
        <f>IF(OR(B305="",Q305=""),"",COUNTIFS($B$5:$B$504,B305,$Q$5:$Q$504,"&gt;"&amp;Q305)+1)</f>
        <v>0</v>
      </c>
      <c r="AC305" s="8">
        <f>IF(OR(B305="",L305=""),"",COUNTIFS($B$5:$B$504,B305,$L$5:$L$504,"&gt;"&amp;L305)+1)</f>
        <v>0</v>
      </c>
      <c r="AD305" s="8">
        <f>IF(G305="","",IF(COUNTIFS($G$5:$G$504,G305)&gt;1,"Repeat","Once"))</f>
        <v>0</v>
      </c>
      <c r="AE305" s="8">
        <f>IF(G305="","",IF(IFERROR(INDEX(Recipes!$X$5:$X$204,MATCH(G305,Recipes!$A$5:$A$204,0)),"")="","",IFERROR(B305-IFERROR(INDEX(Recipes!$X$5:$X$204,MATCH(G305,Recipes!$A$5:$A$204,0)),""),"")))</f>
        <v>0</v>
      </c>
      <c r="AF305" s="8">
        <f>IF(G305="","",IF(AE305="","Yes",IF(AE305&gt;=Rotation_Gap_Days,"Yes","No")))</f>
        <v>0</v>
      </c>
      <c r="AG305" s="8">
        <f>IF(G305="","",IF(COUNTIFS('Recipe Ingredients'!$A$5:$A$1204,G305,'Recipe Ingredients'!$AC$5:$AC$1204,"Check")&gt;0,"Check","OK"))</f>
        <v>0</v>
      </c>
    </row>
    <row r="306" spans="1:33">
      <c r="A306" s="7"/>
      <c r="B306" s="30"/>
      <c r="C306" s="8">
        <f>IF(B306="","",B306-WEEKDAY(B306,2)+1)</f>
        <v>0</v>
      </c>
      <c r="D306" s="8">
        <f>IF(B306="","",TEXT(B306,"ddd"))</f>
        <v>0</v>
      </c>
      <c r="E306" s="8">
        <f>IF(B306="","",TEXT(B306,"mmm yyyy"))</f>
        <v>0</v>
      </c>
      <c r="F306" s="27"/>
      <c r="G306" s="7"/>
      <c r="H306" s="26"/>
      <c r="I306" s="8">
        <f>IF(G306="","",IFERROR(INDEX(Recipes!$D$5:$D$204,MATCH(G306,Recipes!$A$5:$A$204,0)),""))</f>
        <v>0</v>
      </c>
      <c r="J306" s="8">
        <f>IF(OR(G306="",H306="",I306="",I306=0),"",H306/I306)</f>
        <v>0</v>
      </c>
      <c r="K306" s="8">
        <f>IF(B306="","",Household_Size)</f>
        <v>0</v>
      </c>
      <c r="L306" s="8">
        <f>IF(OR(G306="",H306=""),"",IFERROR(IFERROR(INDEX(Recipes!$H$5:$H$204,MATCH(G306,Recipes!$A$5:$A$204,0)),"")*H306,""))</f>
        <v>0</v>
      </c>
      <c r="M306" s="8">
        <f>IF(OR(G306="",H306=""),"",IFERROR(IFERROR(INDEX(Recipes!$I$5:$I$204,MATCH(G306,Recipes!$A$5:$A$204,0)),"")*H306,""))</f>
        <v>0</v>
      </c>
      <c r="N306" s="8">
        <f>IF(OR(G306="",H306=""),"",IFERROR(IFERROR(INDEX(Recipes!$J$5:$J$204,MATCH(G306,Recipes!$A$5:$A$204,0)),"")*H306,""))</f>
        <v>0</v>
      </c>
      <c r="O306" s="8">
        <f>IF(OR(G306="",H306=""),"",IFERROR(IFERROR(INDEX(Recipes!$K$5:$K$204,MATCH(G306,Recipes!$A$5:$A$204,0)),"")*H306,""))</f>
        <v>0</v>
      </c>
      <c r="P306" s="8">
        <f>IF(OR(G306="",H306=""),"",IFERROR(IFERROR(INDEX(Recipes!$L$5:$L$204,MATCH(G306,Recipes!$A$5:$A$204,0)),"")*H306,""))</f>
        <v>0</v>
      </c>
      <c r="Q306" s="8">
        <f>IF(OR(G306="",H306=""),"",IFERROR(IFERROR(INDEX(Recipes!$Q$5:$Q$204,MATCH(G306,Recipes!$A$5:$A$204,0)),"")*H306,""))</f>
        <v>0</v>
      </c>
      <c r="R306" s="8">
        <f>IF(F306="","",Weekly_Budget/21)</f>
        <v>0</v>
      </c>
      <c r="S306" s="27"/>
      <c r="T306" s="27"/>
      <c r="U306" s="26"/>
      <c r="V306" s="7"/>
      <c r="W306" s="7"/>
      <c r="X306" s="26"/>
      <c r="Y306" s="8">
        <f>IF(G306="","",IF(COUNTIFS('Meal Prep'!$D$5:$D$124,G306)&gt;0,"Yes","No"))</f>
        <v>0</v>
      </c>
      <c r="Z306" s="8">
        <f>IF(G306="","",COUNTIFS('Recipe Ingredients'!$A$5:$A$1204,G306))</f>
        <v>0</v>
      </c>
      <c r="AA306" s="25"/>
      <c r="AB306" s="8">
        <f>IF(OR(B306="",Q306=""),"",COUNTIFS($B$5:$B$504,B306,$Q$5:$Q$504,"&gt;"&amp;Q306)+1)</f>
        <v>0</v>
      </c>
      <c r="AC306" s="8">
        <f>IF(OR(B306="",L306=""),"",COUNTIFS($B$5:$B$504,B306,$L$5:$L$504,"&gt;"&amp;L306)+1)</f>
        <v>0</v>
      </c>
      <c r="AD306" s="8">
        <f>IF(G306="","",IF(COUNTIFS($G$5:$G$504,G306)&gt;1,"Repeat","Once"))</f>
        <v>0</v>
      </c>
      <c r="AE306" s="8">
        <f>IF(G306="","",IF(IFERROR(INDEX(Recipes!$X$5:$X$204,MATCH(G306,Recipes!$A$5:$A$204,0)),"")="","",IFERROR(B306-IFERROR(INDEX(Recipes!$X$5:$X$204,MATCH(G306,Recipes!$A$5:$A$204,0)),""),"")))</f>
        <v>0</v>
      </c>
      <c r="AF306" s="8">
        <f>IF(G306="","",IF(AE306="","Yes",IF(AE306&gt;=Rotation_Gap_Days,"Yes","No")))</f>
        <v>0</v>
      </c>
      <c r="AG306" s="8">
        <f>IF(G306="","",IF(COUNTIFS('Recipe Ingredients'!$A$5:$A$1204,G306,'Recipe Ingredients'!$AC$5:$AC$1204,"Check")&gt;0,"Check","OK"))</f>
        <v>0</v>
      </c>
    </row>
    <row r="307" spans="1:33">
      <c r="A307" s="7"/>
      <c r="B307" s="30"/>
      <c r="C307" s="8">
        <f>IF(B307="","",B307-WEEKDAY(B307,2)+1)</f>
        <v>0</v>
      </c>
      <c r="D307" s="8">
        <f>IF(B307="","",TEXT(B307,"ddd"))</f>
        <v>0</v>
      </c>
      <c r="E307" s="8">
        <f>IF(B307="","",TEXT(B307,"mmm yyyy"))</f>
        <v>0</v>
      </c>
      <c r="F307" s="27"/>
      <c r="G307" s="7"/>
      <c r="H307" s="26"/>
      <c r="I307" s="8">
        <f>IF(G307="","",IFERROR(INDEX(Recipes!$D$5:$D$204,MATCH(G307,Recipes!$A$5:$A$204,0)),""))</f>
        <v>0</v>
      </c>
      <c r="J307" s="8">
        <f>IF(OR(G307="",H307="",I307="",I307=0),"",H307/I307)</f>
        <v>0</v>
      </c>
      <c r="K307" s="8">
        <f>IF(B307="","",Household_Size)</f>
        <v>0</v>
      </c>
      <c r="L307" s="8">
        <f>IF(OR(G307="",H307=""),"",IFERROR(IFERROR(INDEX(Recipes!$H$5:$H$204,MATCH(G307,Recipes!$A$5:$A$204,0)),"")*H307,""))</f>
        <v>0</v>
      </c>
      <c r="M307" s="8">
        <f>IF(OR(G307="",H307=""),"",IFERROR(IFERROR(INDEX(Recipes!$I$5:$I$204,MATCH(G307,Recipes!$A$5:$A$204,0)),"")*H307,""))</f>
        <v>0</v>
      </c>
      <c r="N307" s="8">
        <f>IF(OR(G307="",H307=""),"",IFERROR(IFERROR(INDEX(Recipes!$J$5:$J$204,MATCH(G307,Recipes!$A$5:$A$204,0)),"")*H307,""))</f>
        <v>0</v>
      </c>
      <c r="O307" s="8">
        <f>IF(OR(G307="",H307=""),"",IFERROR(IFERROR(INDEX(Recipes!$K$5:$K$204,MATCH(G307,Recipes!$A$5:$A$204,0)),"")*H307,""))</f>
        <v>0</v>
      </c>
      <c r="P307" s="8">
        <f>IF(OR(G307="",H307=""),"",IFERROR(IFERROR(INDEX(Recipes!$L$5:$L$204,MATCH(G307,Recipes!$A$5:$A$204,0)),"")*H307,""))</f>
        <v>0</v>
      </c>
      <c r="Q307" s="8">
        <f>IF(OR(G307="",H307=""),"",IFERROR(IFERROR(INDEX(Recipes!$Q$5:$Q$204,MATCH(G307,Recipes!$A$5:$A$204,0)),"")*H307,""))</f>
        <v>0</v>
      </c>
      <c r="R307" s="8">
        <f>IF(F307="","",Weekly_Budget/21)</f>
        <v>0</v>
      </c>
      <c r="S307" s="27"/>
      <c r="T307" s="27"/>
      <c r="U307" s="26"/>
      <c r="V307" s="7"/>
      <c r="W307" s="7"/>
      <c r="X307" s="26"/>
      <c r="Y307" s="8">
        <f>IF(G307="","",IF(COUNTIFS('Meal Prep'!$D$5:$D$124,G307)&gt;0,"Yes","No"))</f>
        <v>0</v>
      </c>
      <c r="Z307" s="8">
        <f>IF(G307="","",COUNTIFS('Recipe Ingredients'!$A$5:$A$1204,G307))</f>
        <v>0</v>
      </c>
      <c r="AA307" s="25"/>
      <c r="AB307" s="8">
        <f>IF(OR(B307="",Q307=""),"",COUNTIFS($B$5:$B$504,B307,$Q$5:$Q$504,"&gt;"&amp;Q307)+1)</f>
        <v>0</v>
      </c>
      <c r="AC307" s="8">
        <f>IF(OR(B307="",L307=""),"",COUNTIFS($B$5:$B$504,B307,$L$5:$L$504,"&gt;"&amp;L307)+1)</f>
        <v>0</v>
      </c>
      <c r="AD307" s="8">
        <f>IF(G307="","",IF(COUNTIFS($G$5:$G$504,G307)&gt;1,"Repeat","Once"))</f>
        <v>0</v>
      </c>
      <c r="AE307" s="8">
        <f>IF(G307="","",IF(IFERROR(INDEX(Recipes!$X$5:$X$204,MATCH(G307,Recipes!$A$5:$A$204,0)),"")="","",IFERROR(B307-IFERROR(INDEX(Recipes!$X$5:$X$204,MATCH(G307,Recipes!$A$5:$A$204,0)),""),"")))</f>
        <v>0</v>
      </c>
      <c r="AF307" s="8">
        <f>IF(G307="","",IF(AE307="","Yes",IF(AE307&gt;=Rotation_Gap_Days,"Yes","No")))</f>
        <v>0</v>
      </c>
      <c r="AG307" s="8">
        <f>IF(G307="","",IF(COUNTIFS('Recipe Ingredients'!$A$5:$A$1204,G307,'Recipe Ingredients'!$AC$5:$AC$1204,"Check")&gt;0,"Check","OK"))</f>
        <v>0</v>
      </c>
    </row>
    <row r="308" spans="1:33">
      <c r="A308" s="7"/>
      <c r="B308" s="30"/>
      <c r="C308" s="8">
        <f>IF(B308="","",B308-WEEKDAY(B308,2)+1)</f>
        <v>0</v>
      </c>
      <c r="D308" s="8">
        <f>IF(B308="","",TEXT(B308,"ddd"))</f>
        <v>0</v>
      </c>
      <c r="E308" s="8">
        <f>IF(B308="","",TEXT(B308,"mmm yyyy"))</f>
        <v>0</v>
      </c>
      <c r="F308" s="27"/>
      <c r="G308" s="7"/>
      <c r="H308" s="26"/>
      <c r="I308" s="8">
        <f>IF(G308="","",IFERROR(INDEX(Recipes!$D$5:$D$204,MATCH(G308,Recipes!$A$5:$A$204,0)),""))</f>
        <v>0</v>
      </c>
      <c r="J308" s="8">
        <f>IF(OR(G308="",H308="",I308="",I308=0),"",H308/I308)</f>
        <v>0</v>
      </c>
      <c r="K308" s="8">
        <f>IF(B308="","",Household_Size)</f>
        <v>0</v>
      </c>
      <c r="L308" s="8">
        <f>IF(OR(G308="",H308=""),"",IFERROR(IFERROR(INDEX(Recipes!$H$5:$H$204,MATCH(G308,Recipes!$A$5:$A$204,0)),"")*H308,""))</f>
        <v>0</v>
      </c>
      <c r="M308" s="8">
        <f>IF(OR(G308="",H308=""),"",IFERROR(IFERROR(INDEX(Recipes!$I$5:$I$204,MATCH(G308,Recipes!$A$5:$A$204,0)),"")*H308,""))</f>
        <v>0</v>
      </c>
      <c r="N308" s="8">
        <f>IF(OR(G308="",H308=""),"",IFERROR(IFERROR(INDEX(Recipes!$J$5:$J$204,MATCH(G308,Recipes!$A$5:$A$204,0)),"")*H308,""))</f>
        <v>0</v>
      </c>
      <c r="O308" s="8">
        <f>IF(OR(G308="",H308=""),"",IFERROR(IFERROR(INDEX(Recipes!$K$5:$K$204,MATCH(G308,Recipes!$A$5:$A$204,0)),"")*H308,""))</f>
        <v>0</v>
      </c>
      <c r="P308" s="8">
        <f>IF(OR(G308="",H308=""),"",IFERROR(IFERROR(INDEX(Recipes!$L$5:$L$204,MATCH(G308,Recipes!$A$5:$A$204,0)),"")*H308,""))</f>
        <v>0</v>
      </c>
      <c r="Q308" s="8">
        <f>IF(OR(G308="",H308=""),"",IFERROR(IFERROR(INDEX(Recipes!$Q$5:$Q$204,MATCH(G308,Recipes!$A$5:$A$204,0)),"")*H308,""))</f>
        <v>0</v>
      </c>
      <c r="R308" s="8">
        <f>IF(F308="","",Weekly_Budget/21)</f>
        <v>0</v>
      </c>
      <c r="S308" s="27"/>
      <c r="T308" s="27"/>
      <c r="U308" s="26"/>
      <c r="V308" s="7"/>
      <c r="W308" s="7"/>
      <c r="X308" s="26"/>
      <c r="Y308" s="8">
        <f>IF(G308="","",IF(COUNTIFS('Meal Prep'!$D$5:$D$124,G308)&gt;0,"Yes","No"))</f>
        <v>0</v>
      </c>
      <c r="Z308" s="8">
        <f>IF(G308="","",COUNTIFS('Recipe Ingredients'!$A$5:$A$1204,G308))</f>
        <v>0</v>
      </c>
      <c r="AA308" s="25"/>
      <c r="AB308" s="8">
        <f>IF(OR(B308="",Q308=""),"",COUNTIFS($B$5:$B$504,B308,$Q$5:$Q$504,"&gt;"&amp;Q308)+1)</f>
        <v>0</v>
      </c>
      <c r="AC308" s="8">
        <f>IF(OR(B308="",L308=""),"",COUNTIFS($B$5:$B$504,B308,$L$5:$L$504,"&gt;"&amp;L308)+1)</f>
        <v>0</v>
      </c>
      <c r="AD308" s="8">
        <f>IF(G308="","",IF(COUNTIFS($G$5:$G$504,G308)&gt;1,"Repeat","Once"))</f>
        <v>0</v>
      </c>
      <c r="AE308" s="8">
        <f>IF(G308="","",IF(IFERROR(INDEX(Recipes!$X$5:$X$204,MATCH(G308,Recipes!$A$5:$A$204,0)),"")="","",IFERROR(B308-IFERROR(INDEX(Recipes!$X$5:$X$204,MATCH(G308,Recipes!$A$5:$A$204,0)),""),"")))</f>
        <v>0</v>
      </c>
      <c r="AF308" s="8">
        <f>IF(G308="","",IF(AE308="","Yes",IF(AE308&gt;=Rotation_Gap_Days,"Yes","No")))</f>
        <v>0</v>
      </c>
      <c r="AG308" s="8">
        <f>IF(G308="","",IF(COUNTIFS('Recipe Ingredients'!$A$5:$A$1204,G308,'Recipe Ingredients'!$AC$5:$AC$1204,"Check")&gt;0,"Check","OK"))</f>
        <v>0</v>
      </c>
    </row>
    <row r="309" spans="1:33">
      <c r="A309" s="7"/>
      <c r="B309" s="30"/>
      <c r="C309" s="8">
        <f>IF(B309="","",B309-WEEKDAY(B309,2)+1)</f>
        <v>0</v>
      </c>
      <c r="D309" s="8">
        <f>IF(B309="","",TEXT(B309,"ddd"))</f>
        <v>0</v>
      </c>
      <c r="E309" s="8">
        <f>IF(B309="","",TEXT(B309,"mmm yyyy"))</f>
        <v>0</v>
      </c>
      <c r="F309" s="27"/>
      <c r="G309" s="7"/>
      <c r="H309" s="26"/>
      <c r="I309" s="8">
        <f>IF(G309="","",IFERROR(INDEX(Recipes!$D$5:$D$204,MATCH(G309,Recipes!$A$5:$A$204,0)),""))</f>
        <v>0</v>
      </c>
      <c r="J309" s="8">
        <f>IF(OR(G309="",H309="",I309="",I309=0),"",H309/I309)</f>
        <v>0</v>
      </c>
      <c r="K309" s="8">
        <f>IF(B309="","",Household_Size)</f>
        <v>0</v>
      </c>
      <c r="L309" s="8">
        <f>IF(OR(G309="",H309=""),"",IFERROR(IFERROR(INDEX(Recipes!$H$5:$H$204,MATCH(G309,Recipes!$A$5:$A$204,0)),"")*H309,""))</f>
        <v>0</v>
      </c>
      <c r="M309" s="8">
        <f>IF(OR(G309="",H309=""),"",IFERROR(IFERROR(INDEX(Recipes!$I$5:$I$204,MATCH(G309,Recipes!$A$5:$A$204,0)),"")*H309,""))</f>
        <v>0</v>
      </c>
      <c r="N309" s="8">
        <f>IF(OR(G309="",H309=""),"",IFERROR(IFERROR(INDEX(Recipes!$J$5:$J$204,MATCH(G309,Recipes!$A$5:$A$204,0)),"")*H309,""))</f>
        <v>0</v>
      </c>
      <c r="O309" s="8">
        <f>IF(OR(G309="",H309=""),"",IFERROR(IFERROR(INDEX(Recipes!$K$5:$K$204,MATCH(G309,Recipes!$A$5:$A$204,0)),"")*H309,""))</f>
        <v>0</v>
      </c>
      <c r="P309" s="8">
        <f>IF(OR(G309="",H309=""),"",IFERROR(IFERROR(INDEX(Recipes!$L$5:$L$204,MATCH(G309,Recipes!$A$5:$A$204,0)),"")*H309,""))</f>
        <v>0</v>
      </c>
      <c r="Q309" s="8">
        <f>IF(OR(G309="",H309=""),"",IFERROR(IFERROR(INDEX(Recipes!$Q$5:$Q$204,MATCH(G309,Recipes!$A$5:$A$204,0)),"")*H309,""))</f>
        <v>0</v>
      </c>
      <c r="R309" s="8">
        <f>IF(F309="","",Weekly_Budget/21)</f>
        <v>0</v>
      </c>
      <c r="S309" s="27"/>
      <c r="T309" s="27"/>
      <c r="U309" s="26"/>
      <c r="V309" s="7"/>
      <c r="W309" s="7"/>
      <c r="X309" s="26"/>
      <c r="Y309" s="8">
        <f>IF(G309="","",IF(COUNTIFS('Meal Prep'!$D$5:$D$124,G309)&gt;0,"Yes","No"))</f>
        <v>0</v>
      </c>
      <c r="Z309" s="8">
        <f>IF(G309="","",COUNTIFS('Recipe Ingredients'!$A$5:$A$1204,G309))</f>
        <v>0</v>
      </c>
      <c r="AA309" s="25"/>
      <c r="AB309" s="8">
        <f>IF(OR(B309="",Q309=""),"",COUNTIFS($B$5:$B$504,B309,$Q$5:$Q$504,"&gt;"&amp;Q309)+1)</f>
        <v>0</v>
      </c>
      <c r="AC309" s="8">
        <f>IF(OR(B309="",L309=""),"",COUNTIFS($B$5:$B$504,B309,$L$5:$L$504,"&gt;"&amp;L309)+1)</f>
        <v>0</v>
      </c>
      <c r="AD309" s="8">
        <f>IF(G309="","",IF(COUNTIFS($G$5:$G$504,G309)&gt;1,"Repeat","Once"))</f>
        <v>0</v>
      </c>
      <c r="AE309" s="8">
        <f>IF(G309="","",IF(IFERROR(INDEX(Recipes!$X$5:$X$204,MATCH(G309,Recipes!$A$5:$A$204,0)),"")="","",IFERROR(B309-IFERROR(INDEX(Recipes!$X$5:$X$204,MATCH(G309,Recipes!$A$5:$A$204,0)),""),"")))</f>
        <v>0</v>
      </c>
      <c r="AF309" s="8">
        <f>IF(G309="","",IF(AE309="","Yes",IF(AE309&gt;=Rotation_Gap_Days,"Yes","No")))</f>
        <v>0</v>
      </c>
      <c r="AG309" s="8">
        <f>IF(G309="","",IF(COUNTIFS('Recipe Ingredients'!$A$5:$A$1204,G309,'Recipe Ingredients'!$AC$5:$AC$1204,"Check")&gt;0,"Check","OK"))</f>
        <v>0</v>
      </c>
    </row>
    <row r="310" spans="1:33">
      <c r="A310" s="7"/>
      <c r="B310" s="30"/>
      <c r="C310" s="8">
        <f>IF(B310="","",B310-WEEKDAY(B310,2)+1)</f>
        <v>0</v>
      </c>
      <c r="D310" s="8">
        <f>IF(B310="","",TEXT(B310,"ddd"))</f>
        <v>0</v>
      </c>
      <c r="E310" s="8">
        <f>IF(B310="","",TEXT(B310,"mmm yyyy"))</f>
        <v>0</v>
      </c>
      <c r="F310" s="27"/>
      <c r="G310" s="7"/>
      <c r="H310" s="26"/>
      <c r="I310" s="8">
        <f>IF(G310="","",IFERROR(INDEX(Recipes!$D$5:$D$204,MATCH(G310,Recipes!$A$5:$A$204,0)),""))</f>
        <v>0</v>
      </c>
      <c r="J310" s="8">
        <f>IF(OR(G310="",H310="",I310="",I310=0),"",H310/I310)</f>
        <v>0</v>
      </c>
      <c r="K310" s="8">
        <f>IF(B310="","",Household_Size)</f>
        <v>0</v>
      </c>
      <c r="L310" s="8">
        <f>IF(OR(G310="",H310=""),"",IFERROR(IFERROR(INDEX(Recipes!$H$5:$H$204,MATCH(G310,Recipes!$A$5:$A$204,0)),"")*H310,""))</f>
        <v>0</v>
      </c>
      <c r="M310" s="8">
        <f>IF(OR(G310="",H310=""),"",IFERROR(IFERROR(INDEX(Recipes!$I$5:$I$204,MATCH(G310,Recipes!$A$5:$A$204,0)),"")*H310,""))</f>
        <v>0</v>
      </c>
      <c r="N310" s="8">
        <f>IF(OR(G310="",H310=""),"",IFERROR(IFERROR(INDEX(Recipes!$J$5:$J$204,MATCH(G310,Recipes!$A$5:$A$204,0)),"")*H310,""))</f>
        <v>0</v>
      </c>
      <c r="O310" s="8">
        <f>IF(OR(G310="",H310=""),"",IFERROR(IFERROR(INDEX(Recipes!$K$5:$K$204,MATCH(G310,Recipes!$A$5:$A$204,0)),"")*H310,""))</f>
        <v>0</v>
      </c>
      <c r="P310" s="8">
        <f>IF(OR(G310="",H310=""),"",IFERROR(IFERROR(INDEX(Recipes!$L$5:$L$204,MATCH(G310,Recipes!$A$5:$A$204,0)),"")*H310,""))</f>
        <v>0</v>
      </c>
      <c r="Q310" s="8">
        <f>IF(OR(G310="",H310=""),"",IFERROR(IFERROR(INDEX(Recipes!$Q$5:$Q$204,MATCH(G310,Recipes!$A$5:$A$204,0)),"")*H310,""))</f>
        <v>0</v>
      </c>
      <c r="R310" s="8">
        <f>IF(F310="","",Weekly_Budget/21)</f>
        <v>0</v>
      </c>
      <c r="S310" s="27"/>
      <c r="T310" s="27"/>
      <c r="U310" s="26"/>
      <c r="V310" s="7"/>
      <c r="W310" s="7"/>
      <c r="X310" s="26"/>
      <c r="Y310" s="8">
        <f>IF(G310="","",IF(COUNTIFS('Meal Prep'!$D$5:$D$124,G310)&gt;0,"Yes","No"))</f>
        <v>0</v>
      </c>
      <c r="Z310" s="8">
        <f>IF(G310="","",COUNTIFS('Recipe Ingredients'!$A$5:$A$1204,G310))</f>
        <v>0</v>
      </c>
      <c r="AA310" s="25"/>
      <c r="AB310" s="8">
        <f>IF(OR(B310="",Q310=""),"",COUNTIFS($B$5:$B$504,B310,$Q$5:$Q$504,"&gt;"&amp;Q310)+1)</f>
        <v>0</v>
      </c>
      <c r="AC310" s="8">
        <f>IF(OR(B310="",L310=""),"",COUNTIFS($B$5:$B$504,B310,$L$5:$L$504,"&gt;"&amp;L310)+1)</f>
        <v>0</v>
      </c>
      <c r="AD310" s="8">
        <f>IF(G310="","",IF(COUNTIFS($G$5:$G$504,G310)&gt;1,"Repeat","Once"))</f>
        <v>0</v>
      </c>
      <c r="AE310" s="8">
        <f>IF(G310="","",IF(IFERROR(INDEX(Recipes!$X$5:$X$204,MATCH(G310,Recipes!$A$5:$A$204,0)),"")="","",IFERROR(B310-IFERROR(INDEX(Recipes!$X$5:$X$204,MATCH(G310,Recipes!$A$5:$A$204,0)),""),"")))</f>
        <v>0</v>
      </c>
      <c r="AF310" s="8">
        <f>IF(G310="","",IF(AE310="","Yes",IF(AE310&gt;=Rotation_Gap_Days,"Yes","No")))</f>
        <v>0</v>
      </c>
      <c r="AG310" s="8">
        <f>IF(G310="","",IF(COUNTIFS('Recipe Ingredients'!$A$5:$A$1204,G310,'Recipe Ingredients'!$AC$5:$AC$1204,"Check")&gt;0,"Check","OK"))</f>
        <v>0</v>
      </c>
    </row>
    <row r="311" spans="1:33">
      <c r="A311" s="7"/>
      <c r="B311" s="30"/>
      <c r="C311" s="8">
        <f>IF(B311="","",B311-WEEKDAY(B311,2)+1)</f>
        <v>0</v>
      </c>
      <c r="D311" s="8">
        <f>IF(B311="","",TEXT(B311,"ddd"))</f>
        <v>0</v>
      </c>
      <c r="E311" s="8">
        <f>IF(B311="","",TEXT(B311,"mmm yyyy"))</f>
        <v>0</v>
      </c>
      <c r="F311" s="27"/>
      <c r="G311" s="7"/>
      <c r="H311" s="26"/>
      <c r="I311" s="8">
        <f>IF(G311="","",IFERROR(INDEX(Recipes!$D$5:$D$204,MATCH(G311,Recipes!$A$5:$A$204,0)),""))</f>
        <v>0</v>
      </c>
      <c r="J311" s="8">
        <f>IF(OR(G311="",H311="",I311="",I311=0),"",H311/I311)</f>
        <v>0</v>
      </c>
      <c r="K311" s="8">
        <f>IF(B311="","",Household_Size)</f>
        <v>0</v>
      </c>
      <c r="L311" s="8">
        <f>IF(OR(G311="",H311=""),"",IFERROR(IFERROR(INDEX(Recipes!$H$5:$H$204,MATCH(G311,Recipes!$A$5:$A$204,0)),"")*H311,""))</f>
        <v>0</v>
      </c>
      <c r="M311" s="8">
        <f>IF(OR(G311="",H311=""),"",IFERROR(IFERROR(INDEX(Recipes!$I$5:$I$204,MATCH(G311,Recipes!$A$5:$A$204,0)),"")*H311,""))</f>
        <v>0</v>
      </c>
      <c r="N311" s="8">
        <f>IF(OR(G311="",H311=""),"",IFERROR(IFERROR(INDEX(Recipes!$J$5:$J$204,MATCH(G311,Recipes!$A$5:$A$204,0)),"")*H311,""))</f>
        <v>0</v>
      </c>
      <c r="O311" s="8">
        <f>IF(OR(G311="",H311=""),"",IFERROR(IFERROR(INDEX(Recipes!$K$5:$K$204,MATCH(G311,Recipes!$A$5:$A$204,0)),"")*H311,""))</f>
        <v>0</v>
      </c>
      <c r="P311" s="8">
        <f>IF(OR(G311="",H311=""),"",IFERROR(IFERROR(INDEX(Recipes!$L$5:$L$204,MATCH(G311,Recipes!$A$5:$A$204,0)),"")*H311,""))</f>
        <v>0</v>
      </c>
      <c r="Q311" s="8">
        <f>IF(OR(G311="",H311=""),"",IFERROR(IFERROR(INDEX(Recipes!$Q$5:$Q$204,MATCH(G311,Recipes!$A$5:$A$204,0)),"")*H311,""))</f>
        <v>0</v>
      </c>
      <c r="R311" s="8">
        <f>IF(F311="","",Weekly_Budget/21)</f>
        <v>0</v>
      </c>
      <c r="S311" s="27"/>
      <c r="T311" s="27"/>
      <c r="U311" s="26"/>
      <c r="V311" s="7"/>
      <c r="W311" s="7"/>
      <c r="X311" s="26"/>
      <c r="Y311" s="8">
        <f>IF(G311="","",IF(COUNTIFS('Meal Prep'!$D$5:$D$124,G311)&gt;0,"Yes","No"))</f>
        <v>0</v>
      </c>
      <c r="Z311" s="8">
        <f>IF(G311="","",COUNTIFS('Recipe Ingredients'!$A$5:$A$1204,G311))</f>
        <v>0</v>
      </c>
      <c r="AA311" s="25"/>
      <c r="AB311" s="8">
        <f>IF(OR(B311="",Q311=""),"",COUNTIFS($B$5:$B$504,B311,$Q$5:$Q$504,"&gt;"&amp;Q311)+1)</f>
        <v>0</v>
      </c>
      <c r="AC311" s="8">
        <f>IF(OR(B311="",L311=""),"",COUNTIFS($B$5:$B$504,B311,$L$5:$L$504,"&gt;"&amp;L311)+1)</f>
        <v>0</v>
      </c>
      <c r="AD311" s="8">
        <f>IF(G311="","",IF(COUNTIFS($G$5:$G$504,G311)&gt;1,"Repeat","Once"))</f>
        <v>0</v>
      </c>
      <c r="AE311" s="8">
        <f>IF(G311="","",IF(IFERROR(INDEX(Recipes!$X$5:$X$204,MATCH(G311,Recipes!$A$5:$A$204,0)),"")="","",IFERROR(B311-IFERROR(INDEX(Recipes!$X$5:$X$204,MATCH(G311,Recipes!$A$5:$A$204,0)),""),"")))</f>
        <v>0</v>
      </c>
      <c r="AF311" s="8">
        <f>IF(G311="","",IF(AE311="","Yes",IF(AE311&gt;=Rotation_Gap_Days,"Yes","No")))</f>
        <v>0</v>
      </c>
      <c r="AG311" s="8">
        <f>IF(G311="","",IF(COUNTIFS('Recipe Ingredients'!$A$5:$A$1204,G311,'Recipe Ingredients'!$AC$5:$AC$1204,"Check")&gt;0,"Check","OK"))</f>
        <v>0</v>
      </c>
    </row>
    <row r="312" spans="1:33">
      <c r="A312" s="7"/>
      <c r="B312" s="30"/>
      <c r="C312" s="8">
        <f>IF(B312="","",B312-WEEKDAY(B312,2)+1)</f>
        <v>0</v>
      </c>
      <c r="D312" s="8">
        <f>IF(B312="","",TEXT(B312,"ddd"))</f>
        <v>0</v>
      </c>
      <c r="E312" s="8">
        <f>IF(B312="","",TEXT(B312,"mmm yyyy"))</f>
        <v>0</v>
      </c>
      <c r="F312" s="27"/>
      <c r="G312" s="7"/>
      <c r="H312" s="26"/>
      <c r="I312" s="8">
        <f>IF(G312="","",IFERROR(INDEX(Recipes!$D$5:$D$204,MATCH(G312,Recipes!$A$5:$A$204,0)),""))</f>
        <v>0</v>
      </c>
      <c r="J312" s="8">
        <f>IF(OR(G312="",H312="",I312="",I312=0),"",H312/I312)</f>
        <v>0</v>
      </c>
      <c r="K312" s="8">
        <f>IF(B312="","",Household_Size)</f>
        <v>0</v>
      </c>
      <c r="L312" s="8">
        <f>IF(OR(G312="",H312=""),"",IFERROR(IFERROR(INDEX(Recipes!$H$5:$H$204,MATCH(G312,Recipes!$A$5:$A$204,0)),"")*H312,""))</f>
        <v>0</v>
      </c>
      <c r="M312" s="8">
        <f>IF(OR(G312="",H312=""),"",IFERROR(IFERROR(INDEX(Recipes!$I$5:$I$204,MATCH(G312,Recipes!$A$5:$A$204,0)),"")*H312,""))</f>
        <v>0</v>
      </c>
      <c r="N312" s="8">
        <f>IF(OR(G312="",H312=""),"",IFERROR(IFERROR(INDEX(Recipes!$J$5:$J$204,MATCH(G312,Recipes!$A$5:$A$204,0)),"")*H312,""))</f>
        <v>0</v>
      </c>
      <c r="O312" s="8">
        <f>IF(OR(G312="",H312=""),"",IFERROR(IFERROR(INDEX(Recipes!$K$5:$K$204,MATCH(G312,Recipes!$A$5:$A$204,0)),"")*H312,""))</f>
        <v>0</v>
      </c>
      <c r="P312" s="8">
        <f>IF(OR(G312="",H312=""),"",IFERROR(IFERROR(INDEX(Recipes!$L$5:$L$204,MATCH(G312,Recipes!$A$5:$A$204,0)),"")*H312,""))</f>
        <v>0</v>
      </c>
      <c r="Q312" s="8">
        <f>IF(OR(G312="",H312=""),"",IFERROR(IFERROR(INDEX(Recipes!$Q$5:$Q$204,MATCH(G312,Recipes!$A$5:$A$204,0)),"")*H312,""))</f>
        <v>0</v>
      </c>
      <c r="R312" s="8">
        <f>IF(F312="","",Weekly_Budget/21)</f>
        <v>0</v>
      </c>
      <c r="S312" s="27"/>
      <c r="T312" s="27"/>
      <c r="U312" s="26"/>
      <c r="V312" s="7"/>
      <c r="W312" s="7"/>
      <c r="X312" s="26"/>
      <c r="Y312" s="8">
        <f>IF(G312="","",IF(COUNTIFS('Meal Prep'!$D$5:$D$124,G312)&gt;0,"Yes","No"))</f>
        <v>0</v>
      </c>
      <c r="Z312" s="8">
        <f>IF(G312="","",COUNTIFS('Recipe Ingredients'!$A$5:$A$1204,G312))</f>
        <v>0</v>
      </c>
      <c r="AA312" s="25"/>
      <c r="AB312" s="8">
        <f>IF(OR(B312="",Q312=""),"",COUNTIFS($B$5:$B$504,B312,$Q$5:$Q$504,"&gt;"&amp;Q312)+1)</f>
        <v>0</v>
      </c>
      <c r="AC312" s="8">
        <f>IF(OR(B312="",L312=""),"",COUNTIFS($B$5:$B$504,B312,$L$5:$L$504,"&gt;"&amp;L312)+1)</f>
        <v>0</v>
      </c>
      <c r="AD312" s="8">
        <f>IF(G312="","",IF(COUNTIFS($G$5:$G$504,G312)&gt;1,"Repeat","Once"))</f>
        <v>0</v>
      </c>
      <c r="AE312" s="8">
        <f>IF(G312="","",IF(IFERROR(INDEX(Recipes!$X$5:$X$204,MATCH(G312,Recipes!$A$5:$A$204,0)),"")="","",IFERROR(B312-IFERROR(INDEX(Recipes!$X$5:$X$204,MATCH(G312,Recipes!$A$5:$A$204,0)),""),"")))</f>
        <v>0</v>
      </c>
      <c r="AF312" s="8">
        <f>IF(G312="","",IF(AE312="","Yes",IF(AE312&gt;=Rotation_Gap_Days,"Yes","No")))</f>
        <v>0</v>
      </c>
      <c r="AG312" s="8">
        <f>IF(G312="","",IF(COUNTIFS('Recipe Ingredients'!$A$5:$A$1204,G312,'Recipe Ingredients'!$AC$5:$AC$1204,"Check")&gt;0,"Check","OK"))</f>
        <v>0</v>
      </c>
    </row>
    <row r="313" spans="1:33">
      <c r="A313" s="7"/>
      <c r="B313" s="30"/>
      <c r="C313" s="8">
        <f>IF(B313="","",B313-WEEKDAY(B313,2)+1)</f>
        <v>0</v>
      </c>
      <c r="D313" s="8">
        <f>IF(B313="","",TEXT(B313,"ddd"))</f>
        <v>0</v>
      </c>
      <c r="E313" s="8">
        <f>IF(B313="","",TEXT(B313,"mmm yyyy"))</f>
        <v>0</v>
      </c>
      <c r="F313" s="27"/>
      <c r="G313" s="7"/>
      <c r="H313" s="26"/>
      <c r="I313" s="8">
        <f>IF(G313="","",IFERROR(INDEX(Recipes!$D$5:$D$204,MATCH(G313,Recipes!$A$5:$A$204,0)),""))</f>
        <v>0</v>
      </c>
      <c r="J313" s="8">
        <f>IF(OR(G313="",H313="",I313="",I313=0),"",H313/I313)</f>
        <v>0</v>
      </c>
      <c r="K313" s="8">
        <f>IF(B313="","",Household_Size)</f>
        <v>0</v>
      </c>
      <c r="L313" s="8">
        <f>IF(OR(G313="",H313=""),"",IFERROR(IFERROR(INDEX(Recipes!$H$5:$H$204,MATCH(G313,Recipes!$A$5:$A$204,0)),"")*H313,""))</f>
        <v>0</v>
      </c>
      <c r="M313" s="8">
        <f>IF(OR(G313="",H313=""),"",IFERROR(IFERROR(INDEX(Recipes!$I$5:$I$204,MATCH(G313,Recipes!$A$5:$A$204,0)),"")*H313,""))</f>
        <v>0</v>
      </c>
      <c r="N313" s="8">
        <f>IF(OR(G313="",H313=""),"",IFERROR(IFERROR(INDEX(Recipes!$J$5:$J$204,MATCH(G313,Recipes!$A$5:$A$204,0)),"")*H313,""))</f>
        <v>0</v>
      </c>
      <c r="O313" s="8">
        <f>IF(OR(G313="",H313=""),"",IFERROR(IFERROR(INDEX(Recipes!$K$5:$K$204,MATCH(G313,Recipes!$A$5:$A$204,0)),"")*H313,""))</f>
        <v>0</v>
      </c>
      <c r="P313" s="8">
        <f>IF(OR(G313="",H313=""),"",IFERROR(IFERROR(INDEX(Recipes!$L$5:$L$204,MATCH(G313,Recipes!$A$5:$A$204,0)),"")*H313,""))</f>
        <v>0</v>
      </c>
      <c r="Q313" s="8">
        <f>IF(OR(G313="",H313=""),"",IFERROR(IFERROR(INDEX(Recipes!$Q$5:$Q$204,MATCH(G313,Recipes!$A$5:$A$204,0)),"")*H313,""))</f>
        <v>0</v>
      </c>
      <c r="R313" s="8">
        <f>IF(F313="","",Weekly_Budget/21)</f>
        <v>0</v>
      </c>
      <c r="S313" s="27"/>
      <c r="T313" s="27"/>
      <c r="U313" s="26"/>
      <c r="V313" s="7"/>
      <c r="W313" s="7"/>
      <c r="X313" s="26"/>
      <c r="Y313" s="8">
        <f>IF(G313="","",IF(COUNTIFS('Meal Prep'!$D$5:$D$124,G313)&gt;0,"Yes","No"))</f>
        <v>0</v>
      </c>
      <c r="Z313" s="8">
        <f>IF(G313="","",COUNTIFS('Recipe Ingredients'!$A$5:$A$1204,G313))</f>
        <v>0</v>
      </c>
      <c r="AA313" s="25"/>
      <c r="AB313" s="8">
        <f>IF(OR(B313="",Q313=""),"",COUNTIFS($B$5:$B$504,B313,$Q$5:$Q$504,"&gt;"&amp;Q313)+1)</f>
        <v>0</v>
      </c>
      <c r="AC313" s="8">
        <f>IF(OR(B313="",L313=""),"",COUNTIFS($B$5:$B$504,B313,$L$5:$L$504,"&gt;"&amp;L313)+1)</f>
        <v>0</v>
      </c>
      <c r="AD313" s="8">
        <f>IF(G313="","",IF(COUNTIFS($G$5:$G$504,G313)&gt;1,"Repeat","Once"))</f>
        <v>0</v>
      </c>
      <c r="AE313" s="8">
        <f>IF(G313="","",IF(IFERROR(INDEX(Recipes!$X$5:$X$204,MATCH(G313,Recipes!$A$5:$A$204,0)),"")="","",IFERROR(B313-IFERROR(INDEX(Recipes!$X$5:$X$204,MATCH(G313,Recipes!$A$5:$A$204,0)),""),"")))</f>
        <v>0</v>
      </c>
      <c r="AF313" s="8">
        <f>IF(G313="","",IF(AE313="","Yes",IF(AE313&gt;=Rotation_Gap_Days,"Yes","No")))</f>
        <v>0</v>
      </c>
      <c r="AG313" s="8">
        <f>IF(G313="","",IF(COUNTIFS('Recipe Ingredients'!$A$5:$A$1204,G313,'Recipe Ingredients'!$AC$5:$AC$1204,"Check")&gt;0,"Check","OK"))</f>
        <v>0</v>
      </c>
    </row>
    <row r="314" spans="1:33">
      <c r="A314" s="7"/>
      <c r="B314" s="30"/>
      <c r="C314" s="8">
        <f>IF(B314="","",B314-WEEKDAY(B314,2)+1)</f>
        <v>0</v>
      </c>
      <c r="D314" s="8">
        <f>IF(B314="","",TEXT(B314,"ddd"))</f>
        <v>0</v>
      </c>
      <c r="E314" s="8">
        <f>IF(B314="","",TEXT(B314,"mmm yyyy"))</f>
        <v>0</v>
      </c>
      <c r="F314" s="27"/>
      <c r="G314" s="7"/>
      <c r="H314" s="26"/>
      <c r="I314" s="8">
        <f>IF(G314="","",IFERROR(INDEX(Recipes!$D$5:$D$204,MATCH(G314,Recipes!$A$5:$A$204,0)),""))</f>
        <v>0</v>
      </c>
      <c r="J314" s="8">
        <f>IF(OR(G314="",H314="",I314="",I314=0),"",H314/I314)</f>
        <v>0</v>
      </c>
      <c r="K314" s="8">
        <f>IF(B314="","",Household_Size)</f>
        <v>0</v>
      </c>
      <c r="L314" s="8">
        <f>IF(OR(G314="",H314=""),"",IFERROR(IFERROR(INDEX(Recipes!$H$5:$H$204,MATCH(G314,Recipes!$A$5:$A$204,0)),"")*H314,""))</f>
        <v>0</v>
      </c>
      <c r="M314" s="8">
        <f>IF(OR(G314="",H314=""),"",IFERROR(IFERROR(INDEX(Recipes!$I$5:$I$204,MATCH(G314,Recipes!$A$5:$A$204,0)),"")*H314,""))</f>
        <v>0</v>
      </c>
      <c r="N314" s="8">
        <f>IF(OR(G314="",H314=""),"",IFERROR(IFERROR(INDEX(Recipes!$J$5:$J$204,MATCH(G314,Recipes!$A$5:$A$204,0)),"")*H314,""))</f>
        <v>0</v>
      </c>
      <c r="O314" s="8">
        <f>IF(OR(G314="",H314=""),"",IFERROR(IFERROR(INDEX(Recipes!$K$5:$K$204,MATCH(G314,Recipes!$A$5:$A$204,0)),"")*H314,""))</f>
        <v>0</v>
      </c>
      <c r="P314" s="8">
        <f>IF(OR(G314="",H314=""),"",IFERROR(IFERROR(INDEX(Recipes!$L$5:$L$204,MATCH(G314,Recipes!$A$5:$A$204,0)),"")*H314,""))</f>
        <v>0</v>
      </c>
      <c r="Q314" s="8">
        <f>IF(OR(G314="",H314=""),"",IFERROR(IFERROR(INDEX(Recipes!$Q$5:$Q$204,MATCH(G314,Recipes!$A$5:$A$204,0)),"")*H314,""))</f>
        <v>0</v>
      </c>
      <c r="R314" s="8">
        <f>IF(F314="","",Weekly_Budget/21)</f>
        <v>0</v>
      </c>
      <c r="S314" s="27"/>
      <c r="T314" s="27"/>
      <c r="U314" s="26"/>
      <c r="V314" s="7"/>
      <c r="W314" s="7"/>
      <c r="X314" s="26"/>
      <c r="Y314" s="8">
        <f>IF(G314="","",IF(COUNTIFS('Meal Prep'!$D$5:$D$124,G314)&gt;0,"Yes","No"))</f>
        <v>0</v>
      </c>
      <c r="Z314" s="8">
        <f>IF(G314="","",COUNTIFS('Recipe Ingredients'!$A$5:$A$1204,G314))</f>
        <v>0</v>
      </c>
      <c r="AA314" s="25"/>
      <c r="AB314" s="8">
        <f>IF(OR(B314="",Q314=""),"",COUNTIFS($B$5:$B$504,B314,$Q$5:$Q$504,"&gt;"&amp;Q314)+1)</f>
        <v>0</v>
      </c>
      <c r="AC314" s="8">
        <f>IF(OR(B314="",L314=""),"",COUNTIFS($B$5:$B$504,B314,$L$5:$L$504,"&gt;"&amp;L314)+1)</f>
        <v>0</v>
      </c>
      <c r="AD314" s="8">
        <f>IF(G314="","",IF(COUNTIFS($G$5:$G$504,G314)&gt;1,"Repeat","Once"))</f>
        <v>0</v>
      </c>
      <c r="AE314" s="8">
        <f>IF(G314="","",IF(IFERROR(INDEX(Recipes!$X$5:$X$204,MATCH(G314,Recipes!$A$5:$A$204,0)),"")="","",IFERROR(B314-IFERROR(INDEX(Recipes!$X$5:$X$204,MATCH(G314,Recipes!$A$5:$A$204,0)),""),"")))</f>
        <v>0</v>
      </c>
      <c r="AF314" s="8">
        <f>IF(G314="","",IF(AE314="","Yes",IF(AE314&gt;=Rotation_Gap_Days,"Yes","No")))</f>
        <v>0</v>
      </c>
      <c r="AG314" s="8">
        <f>IF(G314="","",IF(COUNTIFS('Recipe Ingredients'!$A$5:$A$1204,G314,'Recipe Ingredients'!$AC$5:$AC$1204,"Check")&gt;0,"Check","OK"))</f>
        <v>0</v>
      </c>
    </row>
    <row r="315" spans="1:33">
      <c r="A315" s="7"/>
      <c r="B315" s="30"/>
      <c r="C315" s="8">
        <f>IF(B315="","",B315-WEEKDAY(B315,2)+1)</f>
        <v>0</v>
      </c>
      <c r="D315" s="8">
        <f>IF(B315="","",TEXT(B315,"ddd"))</f>
        <v>0</v>
      </c>
      <c r="E315" s="8">
        <f>IF(B315="","",TEXT(B315,"mmm yyyy"))</f>
        <v>0</v>
      </c>
      <c r="F315" s="27"/>
      <c r="G315" s="7"/>
      <c r="H315" s="26"/>
      <c r="I315" s="8">
        <f>IF(G315="","",IFERROR(INDEX(Recipes!$D$5:$D$204,MATCH(G315,Recipes!$A$5:$A$204,0)),""))</f>
        <v>0</v>
      </c>
      <c r="J315" s="8">
        <f>IF(OR(G315="",H315="",I315="",I315=0),"",H315/I315)</f>
        <v>0</v>
      </c>
      <c r="K315" s="8">
        <f>IF(B315="","",Household_Size)</f>
        <v>0</v>
      </c>
      <c r="L315" s="8">
        <f>IF(OR(G315="",H315=""),"",IFERROR(IFERROR(INDEX(Recipes!$H$5:$H$204,MATCH(G315,Recipes!$A$5:$A$204,0)),"")*H315,""))</f>
        <v>0</v>
      </c>
      <c r="M315" s="8">
        <f>IF(OR(G315="",H315=""),"",IFERROR(IFERROR(INDEX(Recipes!$I$5:$I$204,MATCH(G315,Recipes!$A$5:$A$204,0)),"")*H315,""))</f>
        <v>0</v>
      </c>
      <c r="N315" s="8">
        <f>IF(OR(G315="",H315=""),"",IFERROR(IFERROR(INDEX(Recipes!$J$5:$J$204,MATCH(G315,Recipes!$A$5:$A$204,0)),"")*H315,""))</f>
        <v>0</v>
      </c>
      <c r="O315" s="8">
        <f>IF(OR(G315="",H315=""),"",IFERROR(IFERROR(INDEX(Recipes!$K$5:$K$204,MATCH(G315,Recipes!$A$5:$A$204,0)),"")*H315,""))</f>
        <v>0</v>
      </c>
      <c r="P315" s="8">
        <f>IF(OR(G315="",H315=""),"",IFERROR(IFERROR(INDEX(Recipes!$L$5:$L$204,MATCH(G315,Recipes!$A$5:$A$204,0)),"")*H315,""))</f>
        <v>0</v>
      </c>
      <c r="Q315" s="8">
        <f>IF(OR(G315="",H315=""),"",IFERROR(IFERROR(INDEX(Recipes!$Q$5:$Q$204,MATCH(G315,Recipes!$A$5:$A$204,0)),"")*H315,""))</f>
        <v>0</v>
      </c>
      <c r="R315" s="8">
        <f>IF(F315="","",Weekly_Budget/21)</f>
        <v>0</v>
      </c>
      <c r="S315" s="27"/>
      <c r="T315" s="27"/>
      <c r="U315" s="26"/>
      <c r="V315" s="7"/>
      <c r="W315" s="7"/>
      <c r="X315" s="26"/>
      <c r="Y315" s="8">
        <f>IF(G315="","",IF(COUNTIFS('Meal Prep'!$D$5:$D$124,G315)&gt;0,"Yes","No"))</f>
        <v>0</v>
      </c>
      <c r="Z315" s="8">
        <f>IF(G315="","",COUNTIFS('Recipe Ingredients'!$A$5:$A$1204,G315))</f>
        <v>0</v>
      </c>
      <c r="AA315" s="25"/>
      <c r="AB315" s="8">
        <f>IF(OR(B315="",Q315=""),"",COUNTIFS($B$5:$B$504,B315,$Q$5:$Q$504,"&gt;"&amp;Q315)+1)</f>
        <v>0</v>
      </c>
      <c r="AC315" s="8">
        <f>IF(OR(B315="",L315=""),"",COUNTIFS($B$5:$B$504,B315,$L$5:$L$504,"&gt;"&amp;L315)+1)</f>
        <v>0</v>
      </c>
      <c r="AD315" s="8">
        <f>IF(G315="","",IF(COUNTIFS($G$5:$G$504,G315)&gt;1,"Repeat","Once"))</f>
        <v>0</v>
      </c>
      <c r="AE315" s="8">
        <f>IF(G315="","",IF(IFERROR(INDEX(Recipes!$X$5:$X$204,MATCH(G315,Recipes!$A$5:$A$204,0)),"")="","",IFERROR(B315-IFERROR(INDEX(Recipes!$X$5:$X$204,MATCH(G315,Recipes!$A$5:$A$204,0)),""),"")))</f>
        <v>0</v>
      </c>
      <c r="AF315" s="8">
        <f>IF(G315="","",IF(AE315="","Yes",IF(AE315&gt;=Rotation_Gap_Days,"Yes","No")))</f>
        <v>0</v>
      </c>
      <c r="AG315" s="8">
        <f>IF(G315="","",IF(COUNTIFS('Recipe Ingredients'!$A$5:$A$1204,G315,'Recipe Ingredients'!$AC$5:$AC$1204,"Check")&gt;0,"Check","OK"))</f>
        <v>0</v>
      </c>
    </row>
    <row r="316" spans="1:33">
      <c r="A316" s="7"/>
      <c r="B316" s="30"/>
      <c r="C316" s="8">
        <f>IF(B316="","",B316-WEEKDAY(B316,2)+1)</f>
        <v>0</v>
      </c>
      <c r="D316" s="8">
        <f>IF(B316="","",TEXT(B316,"ddd"))</f>
        <v>0</v>
      </c>
      <c r="E316" s="8">
        <f>IF(B316="","",TEXT(B316,"mmm yyyy"))</f>
        <v>0</v>
      </c>
      <c r="F316" s="27"/>
      <c r="G316" s="7"/>
      <c r="H316" s="26"/>
      <c r="I316" s="8">
        <f>IF(G316="","",IFERROR(INDEX(Recipes!$D$5:$D$204,MATCH(G316,Recipes!$A$5:$A$204,0)),""))</f>
        <v>0</v>
      </c>
      <c r="J316" s="8">
        <f>IF(OR(G316="",H316="",I316="",I316=0),"",H316/I316)</f>
        <v>0</v>
      </c>
      <c r="K316" s="8">
        <f>IF(B316="","",Household_Size)</f>
        <v>0</v>
      </c>
      <c r="L316" s="8">
        <f>IF(OR(G316="",H316=""),"",IFERROR(IFERROR(INDEX(Recipes!$H$5:$H$204,MATCH(G316,Recipes!$A$5:$A$204,0)),"")*H316,""))</f>
        <v>0</v>
      </c>
      <c r="M316" s="8">
        <f>IF(OR(G316="",H316=""),"",IFERROR(IFERROR(INDEX(Recipes!$I$5:$I$204,MATCH(G316,Recipes!$A$5:$A$204,0)),"")*H316,""))</f>
        <v>0</v>
      </c>
      <c r="N316" s="8">
        <f>IF(OR(G316="",H316=""),"",IFERROR(IFERROR(INDEX(Recipes!$J$5:$J$204,MATCH(G316,Recipes!$A$5:$A$204,0)),"")*H316,""))</f>
        <v>0</v>
      </c>
      <c r="O316" s="8">
        <f>IF(OR(G316="",H316=""),"",IFERROR(IFERROR(INDEX(Recipes!$K$5:$K$204,MATCH(G316,Recipes!$A$5:$A$204,0)),"")*H316,""))</f>
        <v>0</v>
      </c>
      <c r="P316" s="8">
        <f>IF(OR(G316="",H316=""),"",IFERROR(IFERROR(INDEX(Recipes!$L$5:$L$204,MATCH(G316,Recipes!$A$5:$A$204,0)),"")*H316,""))</f>
        <v>0</v>
      </c>
      <c r="Q316" s="8">
        <f>IF(OR(G316="",H316=""),"",IFERROR(IFERROR(INDEX(Recipes!$Q$5:$Q$204,MATCH(G316,Recipes!$A$5:$A$204,0)),"")*H316,""))</f>
        <v>0</v>
      </c>
      <c r="R316" s="8">
        <f>IF(F316="","",Weekly_Budget/21)</f>
        <v>0</v>
      </c>
      <c r="S316" s="27"/>
      <c r="T316" s="27"/>
      <c r="U316" s="26"/>
      <c r="V316" s="7"/>
      <c r="W316" s="7"/>
      <c r="X316" s="26"/>
      <c r="Y316" s="8">
        <f>IF(G316="","",IF(COUNTIFS('Meal Prep'!$D$5:$D$124,G316)&gt;0,"Yes","No"))</f>
        <v>0</v>
      </c>
      <c r="Z316" s="8">
        <f>IF(G316="","",COUNTIFS('Recipe Ingredients'!$A$5:$A$1204,G316))</f>
        <v>0</v>
      </c>
      <c r="AA316" s="25"/>
      <c r="AB316" s="8">
        <f>IF(OR(B316="",Q316=""),"",COUNTIFS($B$5:$B$504,B316,$Q$5:$Q$504,"&gt;"&amp;Q316)+1)</f>
        <v>0</v>
      </c>
      <c r="AC316" s="8">
        <f>IF(OR(B316="",L316=""),"",COUNTIFS($B$5:$B$504,B316,$L$5:$L$504,"&gt;"&amp;L316)+1)</f>
        <v>0</v>
      </c>
      <c r="AD316" s="8">
        <f>IF(G316="","",IF(COUNTIFS($G$5:$G$504,G316)&gt;1,"Repeat","Once"))</f>
        <v>0</v>
      </c>
      <c r="AE316" s="8">
        <f>IF(G316="","",IF(IFERROR(INDEX(Recipes!$X$5:$X$204,MATCH(G316,Recipes!$A$5:$A$204,0)),"")="","",IFERROR(B316-IFERROR(INDEX(Recipes!$X$5:$X$204,MATCH(G316,Recipes!$A$5:$A$204,0)),""),"")))</f>
        <v>0</v>
      </c>
      <c r="AF316" s="8">
        <f>IF(G316="","",IF(AE316="","Yes",IF(AE316&gt;=Rotation_Gap_Days,"Yes","No")))</f>
        <v>0</v>
      </c>
      <c r="AG316" s="8">
        <f>IF(G316="","",IF(COUNTIFS('Recipe Ingredients'!$A$5:$A$1204,G316,'Recipe Ingredients'!$AC$5:$AC$1204,"Check")&gt;0,"Check","OK"))</f>
        <v>0</v>
      </c>
    </row>
    <row r="317" spans="1:33">
      <c r="A317" s="7"/>
      <c r="B317" s="30"/>
      <c r="C317" s="8">
        <f>IF(B317="","",B317-WEEKDAY(B317,2)+1)</f>
        <v>0</v>
      </c>
      <c r="D317" s="8">
        <f>IF(B317="","",TEXT(B317,"ddd"))</f>
        <v>0</v>
      </c>
      <c r="E317" s="8">
        <f>IF(B317="","",TEXT(B317,"mmm yyyy"))</f>
        <v>0</v>
      </c>
      <c r="F317" s="27"/>
      <c r="G317" s="7"/>
      <c r="H317" s="26"/>
      <c r="I317" s="8">
        <f>IF(G317="","",IFERROR(INDEX(Recipes!$D$5:$D$204,MATCH(G317,Recipes!$A$5:$A$204,0)),""))</f>
        <v>0</v>
      </c>
      <c r="J317" s="8">
        <f>IF(OR(G317="",H317="",I317="",I317=0),"",H317/I317)</f>
        <v>0</v>
      </c>
      <c r="K317" s="8">
        <f>IF(B317="","",Household_Size)</f>
        <v>0</v>
      </c>
      <c r="L317" s="8">
        <f>IF(OR(G317="",H317=""),"",IFERROR(IFERROR(INDEX(Recipes!$H$5:$H$204,MATCH(G317,Recipes!$A$5:$A$204,0)),"")*H317,""))</f>
        <v>0</v>
      </c>
      <c r="M317" s="8">
        <f>IF(OR(G317="",H317=""),"",IFERROR(IFERROR(INDEX(Recipes!$I$5:$I$204,MATCH(G317,Recipes!$A$5:$A$204,0)),"")*H317,""))</f>
        <v>0</v>
      </c>
      <c r="N317" s="8">
        <f>IF(OR(G317="",H317=""),"",IFERROR(IFERROR(INDEX(Recipes!$J$5:$J$204,MATCH(G317,Recipes!$A$5:$A$204,0)),"")*H317,""))</f>
        <v>0</v>
      </c>
      <c r="O317" s="8">
        <f>IF(OR(G317="",H317=""),"",IFERROR(IFERROR(INDEX(Recipes!$K$5:$K$204,MATCH(G317,Recipes!$A$5:$A$204,0)),"")*H317,""))</f>
        <v>0</v>
      </c>
      <c r="P317" s="8">
        <f>IF(OR(G317="",H317=""),"",IFERROR(IFERROR(INDEX(Recipes!$L$5:$L$204,MATCH(G317,Recipes!$A$5:$A$204,0)),"")*H317,""))</f>
        <v>0</v>
      </c>
      <c r="Q317" s="8">
        <f>IF(OR(G317="",H317=""),"",IFERROR(IFERROR(INDEX(Recipes!$Q$5:$Q$204,MATCH(G317,Recipes!$A$5:$A$204,0)),"")*H317,""))</f>
        <v>0</v>
      </c>
      <c r="R317" s="8">
        <f>IF(F317="","",Weekly_Budget/21)</f>
        <v>0</v>
      </c>
      <c r="S317" s="27"/>
      <c r="T317" s="27"/>
      <c r="U317" s="26"/>
      <c r="V317" s="7"/>
      <c r="W317" s="7"/>
      <c r="X317" s="26"/>
      <c r="Y317" s="8">
        <f>IF(G317="","",IF(COUNTIFS('Meal Prep'!$D$5:$D$124,G317)&gt;0,"Yes","No"))</f>
        <v>0</v>
      </c>
      <c r="Z317" s="8">
        <f>IF(G317="","",COUNTIFS('Recipe Ingredients'!$A$5:$A$1204,G317))</f>
        <v>0</v>
      </c>
      <c r="AA317" s="25"/>
      <c r="AB317" s="8">
        <f>IF(OR(B317="",Q317=""),"",COUNTIFS($B$5:$B$504,B317,$Q$5:$Q$504,"&gt;"&amp;Q317)+1)</f>
        <v>0</v>
      </c>
      <c r="AC317" s="8">
        <f>IF(OR(B317="",L317=""),"",COUNTIFS($B$5:$B$504,B317,$L$5:$L$504,"&gt;"&amp;L317)+1)</f>
        <v>0</v>
      </c>
      <c r="AD317" s="8">
        <f>IF(G317="","",IF(COUNTIFS($G$5:$G$504,G317)&gt;1,"Repeat","Once"))</f>
        <v>0</v>
      </c>
      <c r="AE317" s="8">
        <f>IF(G317="","",IF(IFERROR(INDEX(Recipes!$X$5:$X$204,MATCH(G317,Recipes!$A$5:$A$204,0)),"")="","",IFERROR(B317-IFERROR(INDEX(Recipes!$X$5:$X$204,MATCH(G317,Recipes!$A$5:$A$204,0)),""),"")))</f>
        <v>0</v>
      </c>
      <c r="AF317" s="8">
        <f>IF(G317="","",IF(AE317="","Yes",IF(AE317&gt;=Rotation_Gap_Days,"Yes","No")))</f>
        <v>0</v>
      </c>
      <c r="AG317" s="8">
        <f>IF(G317="","",IF(COUNTIFS('Recipe Ingredients'!$A$5:$A$1204,G317,'Recipe Ingredients'!$AC$5:$AC$1204,"Check")&gt;0,"Check","OK"))</f>
        <v>0</v>
      </c>
    </row>
    <row r="318" spans="1:33">
      <c r="A318" s="7"/>
      <c r="B318" s="30"/>
      <c r="C318" s="8">
        <f>IF(B318="","",B318-WEEKDAY(B318,2)+1)</f>
        <v>0</v>
      </c>
      <c r="D318" s="8">
        <f>IF(B318="","",TEXT(B318,"ddd"))</f>
        <v>0</v>
      </c>
      <c r="E318" s="8">
        <f>IF(B318="","",TEXT(B318,"mmm yyyy"))</f>
        <v>0</v>
      </c>
      <c r="F318" s="27"/>
      <c r="G318" s="7"/>
      <c r="H318" s="26"/>
      <c r="I318" s="8">
        <f>IF(G318="","",IFERROR(INDEX(Recipes!$D$5:$D$204,MATCH(G318,Recipes!$A$5:$A$204,0)),""))</f>
        <v>0</v>
      </c>
      <c r="J318" s="8">
        <f>IF(OR(G318="",H318="",I318="",I318=0),"",H318/I318)</f>
        <v>0</v>
      </c>
      <c r="K318" s="8">
        <f>IF(B318="","",Household_Size)</f>
        <v>0</v>
      </c>
      <c r="L318" s="8">
        <f>IF(OR(G318="",H318=""),"",IFERROR(IFERROR(INDEX(Recipes!$H$5:$H$204,MATCH(G318,Recipes!$A$5:$A$204,0)),"")*H318,""))</f>
        <v>0</v>
      </c>
      <c r="M318" s="8">
        <f>IF(OR(G318="",H318=""),"",IFERROR(IFERROR(INDEX(Recipes!$I$5:$I$204,MATCH(G318,Recipes!$A$5:$A$204,0)),"")*H318,""))</f>
        <v>0</v>
      </c>
      <c r="N318" s="8">
        <f>IF(OR(G318="",H318=""),"",IFERROR(IFERROR(INDEX(Recipes!$J$5:$J$204,MATCH(G318,Recipes!$A$5:$A$204,0)),"")*H318,""))</f>
        <v>0</v>
      </c>
      <c r="O318" s="8">
        <f>IF(OR(G318="",H318=""),"",IFERROR(IFERROR(INDEX(Recipes!$K$5:$K$204,MATCH(G318,Recipes!$A$5:$A$204,0)),"")*H318,""))</f>
        <v>0</v>
      </c>
      <c r="P318" s="8">
        <f>IF(OR(G318="",H318=""),"",IFERROR(IFERROR(INDEX(Recipes!$L$5:$L$204,MATCH(G318,Recipes!$A$5:$A$204,0)),"")*H318,""))</f>
        <v>0</v>
      </c>
      <c r="Q318" s="8">
        <f>IF(OR(G318="",H318=""),"",IFERROR(IFERROR(INDEX(Recipes!$Q$5:$Q$204,MATCH(G318,Recipes!$A$5:$A$204,0)),"")*H318,""))</f>
        <v>0</v>
      </c>
      <c r="R318" s="8">
        <f>IF(F318="","",Weekly_Budget/21)</f>
        <v>0</v>
      </c>
      <c r="S318" s="27"/>
      <c r="T318" s="27"/>
      <c r="U318" s="26"/>
      <c r="V318" s="7"/>
      <c r="W318" s="7"/>
      <c r="X318" s="26"/>
      <c r="Y318" s="8">
        <f>IF(G318="","",IF(COUNTIFS('Meal Prep'!$D$5:$D$124,G318)&gt;0,"Yes","No"))</f>
        <v>0</v>
      </c>
      <c r="Z318" s="8">
        <f>IF(G318="","",COUNTIFS('Recipe Ingredients'!$A$5:$A$1204,G318))</f>
        <v>0</v>
      </c>
      <c r="AA318" s="25"/>
      <c r="AB318" s="8">
        <f>IF(OR(B318="",Q318=""),"",COUNTIFS($B$5:$B$504,B318,$Q$5:$Q$504,"&gt;"&amp;Q318)+1)</f>
        <v>0</v>
      </c>
      <c r="AC318" s="8">
        <f>IF(OR(B318="",L318=""),"",COUNTIFS($B$5:$B$504,B318,$L$5:$L$504,"&gt;"&amp;L318)+1)</f>
        <v>0</v>
      </c>
      <c r="AD318" s="8">
        <f>IF(G318="","",IF(COUNTIFS($G$5:$G$504,G318)&gt;1,"Repeat","Once"))</f>
        <v>0</v>
      </c>
      <c r="AE318" s="8">
        <f>IF(G318="","",IF(IFERROR(INDEX(Recipes!$X$5:$X$204,MATCH(G318,Recipes!$A$5:$A$204,0)),"")="","",IFERROR(B318-IFERROR(INDEX(Recipes!$X$5:$X$204,MATCH(G318,Recipes!$A$5:$A$204,0)),""),"")))</f>
        <v>0</v>
      </c>
      <c r="AF318" s="8">
        <f>IF(G318="","",IF(AE318="","Yes",IF(AE318&gt;=Rotation_Gap_Days,"Yes","No")))</f>
        <v>0</v>
      </c>
      <c r="AG318" s="8">
        <f>IF(G318="","",IF(COUNTIFS('Recipe Ingredients'!$A$5:$A$1204,G318,'Recipe Ingredients'!$AC$5:$AC$1204,"Check")&gt;0,"Check","OK"))</f>
        <v>0</v>
      </c>
    </row>
    <row r="319" spans="1:33">
      <c r="A319" s="7"/>
      <c r="B319" s="30"/>
      <c r="C319" s="8">
        <f>IF(B319="","",B319-WEEKDAY(B319,2)+1)</f>
        <v>0</v>
      </c>
      <c r="D319" s="8">
        <f>IF(B319="","",TEXT(B319,"ddd"))</f>
        <v>0</v>
      </c>
      <c r="E319" s="8">
        <f>IF(B319="","",TEXT(B319,"mmm yyyy"))</f>
        <v>0</v>
      </c>
      <c r="F319" s="27"/>
      <c r="G319" s="7"/>
      <c r="H319" s="26"/>
      <c r="I319" s="8">
        <f>IF(G319="","",IFERROR(INDEX(Recipes!$D$5:$D$204,MATCH(G319,Recipes!$A$5:$A$204,0)),""))</f>
        <v>0</v>
      </c>
      <c r="J319" s="8">
        <f>IF(OR(G319="",H319="",I319="",I319=0),"",H319/I319)</f>
        <v>0</v>
      </c>
      <c r="K319" s="8">
        <f>IF(B319="","",Household_Size)</f>
        <v>0</v>
      </c>
      <c r="L319" s="8">
        <f>IF(OR(G319="",H319=""),"",IFERROR(IFERROR(INDEX(Recipes!$H$5:$H$204,MATCH(G319,Recipes!$A$5:$A$204,0)),"")*H319,""))</f>
        <v>0</v>
      </c>
      <c r="M319" s="8">
        <f>IF(OR(G319="",H319=""),"",IFERROR(IFERROR(INDEX(Recipes!$I$5:$I$204,MATCH(G319,Recipes!$A$5:$A$204,0)),"")*H319,""))</f>
        <v>0</v>
      </c>
      <c r="N319" s="8">
        <f>IF(OR(G319="",H319=""),"",IFERROR(IFERROR(INDEX(Recipes!$J$5:$J$204,MATCH(G319,Recipes!$A$5:$A$204,0)),"")*H319,""))</f>
        <v>0</v>
      </c>
      <c r="O319" s="8">
        <f>IF(OR(G319="",H319=""),"",IFERROR(IFERROR(INDEX(Recipes!$K$5:$K$204,MATCH(G319,Recipes!$A$5:$A$204,0)),"")*H319,""))</f>
        <v>0</v>
      </c>
      <c r="P319" s="8">
        <f>IF(OR(G319="",H319=""),"",IFERROR(IFERROR(INDEX(Recipes!$L$5:$L$204,MATCH(G319,Recipes!$A$5:$A$204,0)),"")*H319,""))</f>
        <v>0</v>
      </c>
      <c r="Q319" s="8">
        <f>IF(OR(G319="",H319=""),"",IFERROR(IFERROR(INDEX(Recipes!$Q$5:$Q$204,MATCH(G319,Recipes!$A$5:$A$204,0)),"")*H319,""))</f>
        <v>0</v>
      </c>
      <c r="R319" s="8">
        <f>IF(F319="","",Weekly_Budget/21)</f>
        <v>0</v>
      </c>
      <c r="S319" s="27"/>
      <c r="T319" s="27"/>
      <c r="U319" s="26"/>
      <c r="V319" s="7"/>
      <c r="W319" s="7"/>
      <c r="X319" s="26"/>
      <c r="Y319" s="8">
        <f>IF(G319="","",IF(COUNTIFS('Meal Prep'!$D$5:$D$124,G319)&gt;0,"Yes","No"))</f>
        <v>0</v>
      </c>
      <c r="Z319" s="8">
        <f>IF(G319="","",COUNTIFS('Recipe Ingredients'!$A$5:$A$1204,G319))</f>
        <v>0</v>
      </c>
      <c r="AA319" s="25"/>
      <c r="AB319" s="8">
        <f>IF(OR(B319="",Q319=""),"",COUNTIFS($B$5:$B$504,B319,$Q$5:$Q$504,"&gt;"&amp;Q319)+1)</f>
        <v>0</v>
      </c>
      <c r="AC319" s="8">
        <f>IF(OR(B319="",L319=""),"",COUNTIFS($B$5:$B$504,B319,$L$5:$L$504,"&gt;"&amp;L319)+1)</f>
        <v>0</v>
      </c>
      <c r="AD319" s="8">
        <f>IF(G319="","",IF(COUNTIFS($G$5:$G$504,G319)&gt;1,"Repeat","Once"))</f>
        <v>0</v>
      </c>
      <c r="AE319" s="8">
        <f>IF(G319="","",IF(IFERROR(INDEX(Recipes!$X$5:$X$204,MATCH(G319,Recipes!$A$5:$A$204,0)),"")="","",IFERROR(B319-IFERROR(INDEX(Recipes!$X$5:$X$204,MATCH(G319,Recipes!$A$5:$A$204,0)),""),"")))</f>
        <v>0</v>
      </c>
      <c r="AF319" s="8">
        <f>IF(G319="","",IF(AE319="","Yes",IF(AE319&gt;=Rotation_Gap_Days,"Yes","No")))</f>
        <v>0</v>
      </c>
      <c r="AG319" s="8">
        <f>IF(G319="","",IF(COUNTIFS('Recipe Ingredients'!$A$5:$A$1204,G319,'Recipe Ingredients'!$AC$5:$AC$1204,"Check")&gt;0,"Check","OK"))</f>
        <v>0</v>
      </c>
    </row>
    <row r="320" spans="1:33">
      <c r="A320" s="7"/>
      <c r="B320" s="30"/>
      <c r="C320" s="8">
        <f>IF(B320="","",B320-WEEKDAY(B320,2)+1)</f>
        <v>0</v>
      </c>
      <c r="D320" s="8">
        <f>IF(B320="","",TEXT(B320,"ddd"))</f>
        <v>0</v>
      </c>
      <c r="E320" s="8">
        <f>IF(B320="","",TEXT(B320,"mmm yyyy"))</f>
        <v>0</v>
      </c>
      <c r="F320" s="27"/>
      <c r="G320" s="7"/>
      <c r="H320" s="26"/>
      <c r="I320" s="8">
        <f>IF(G320="","",IFERROR(INDEX(Recipes!$D$5:$D$204,MATCH(G320,Recipes!$A$5:$A$204,0)),""))</f>
        <v>0</v>
      </c>
      <c r="J320" s="8">
        <f>IF(OR(G320="",H320="",I320="",I320=0),"",H320/I320)</f>
        <v>0</v>
      </c>
      <c r="K320" s="8">
        <f>IF(B320="","",Household_Size)</f>
        <v>0</v>
      </c>
      <c r="L320" s="8">
        <f>IF(OR(G320="",H320=""),"",IFERROR(IFERROR(INDEX(Recipes!$H$5:$H$204,MATCH(G320,Recipes!$A$5:$A$204,0)),"")*H320,""))</f>
        <v>0</v>
      </c>
      <c r="M320" s="8">
        <f>IF(OR(G320="",H320=""),"",IFERROR(IFERROR(INDEX(Recipes!$I$5:$I$204,MATCH(G320,Recipes!$A$5:$A$204,0)),"")*H320,""))</f>
        <v>0</v>
      </c>
      <c r="N320" s="8">
        <f>IF(OR(G320="",H320=""),"",IFERROR(IFERROR(INDEX(Recipes!$J$5:$J$204,MATCH(G320,Recipes!$A$5:$A$204,0)),"")*H320,""))</f>
        <v>0</v>
      </c>
      <c r="O320" s="8">
        <f>IF(OR(G320="",H320=""),"",IFERROR(IFERROR(INDEX(Recipes!$K$5:$K$204,MATCH(G320,Recipes!$A$5:$A$204,0)),"")*H320,""))</f>
        <v>0</v>
      </c>
      <c r="P320" s="8">
        <f>IF(OR(G320="",H320=""),"",IFERROR(IFERROR(INDEX(Recipes!$L$5:$L$204,MATCH(G320,Recipes!$A$5:$A$204,0)),"")*H320,""))</f>
        <v>0</v>
      </c>
      <c r="Q320" s="8">
        <f>IF(OR(G320="",H320=""),"",IFERROR(IFERROR(INDEX(Recipes!$Q$5:$Q$204,MATCH(G320,Recipes!$A$5:$A$204,0)),"")*H320,""))</f>
        <v>0</v>
      </c>
      <c r="R320" s="8">
        <f>IF(F320="","",Weekly_Budget/21)</f>
        <v>0</v>
      </c>
      <c r="S320" s="27"/>
      <c r="T320" s="27"/>
      <c r="U320" s="26"/>
      <c r="V320" s="7"/>
      <c r="W320" s="7"/>
      <c r="X320" s="26"/>
      <c r="Y320" s="8">
        <f>IF(G320="","",IF(COUNTIFS('Meal Prep'!$D$5:$D$124,G320)&gt;0,"Yes","No"))</f>
        <v>0</v>
      </c>
      <c r="Z320" s="8">
        <f>IF(G320="","",COUNTIFS('Recipe Ingredients'!$A$5:$A$1204,G320))</f>
        <v>0</v>
      </c>
      <c r="AA320" s="25"/>
      <c r="AB320" s="8">
        <f>IF(OR(B320="",Q320=""),"",COUNTIFS($B$5:$B$504,B320,$Q$5:$Q$504,"&gt;"&amp;Q320)+1)</f>
        <v>0</v>
      </c>
      <c r="AC320" s="8">
        <f>IF(OR(B320="",L320=""),"",COUNTIFS($B$5:$B$504,B320,$L$5:$L$504,"&gt;"&amp;L320)+1)</f>
        <v>0</v>
      </c>
      <c r="AD320" s="8">
        <f>IF(G320="","",IF(COUNTIFS($G$5:$G$504,G320)&gt;1,"Repeat","Once"))</f>
        <v>0</v>
      </c>
      <c r="AE320" s="8">
        <f>IF(G320="","",IF(IFERROR(INDEX(Recipes!$X$5:$X$204,MATCH(G320,Recipes!$A$5:$A$204,0)),"")="","",IFERROR(B320-IFERROR(INDEX(Recipes!$X$5:$X$204,MATCH(G320,Recipes!$A$5:$A$204,0)),""),"")))</f>
        <v>0</v>
      </c>
      <c r="AF320" s="8">
        <f>IF(G320="","",IF(AE320="","Yes",IF(AE320&gt;=Rotation_Gap_Days,"Yes","No")))</f>
        <v>0</v>
      </c>
      <c r="AG320" s="8">
        <f>IF(G320="","",IF(COUNTIFS('Recipe Ingredients'!$A$5:$A$1204,G320,'Recipe Ingredients'!$AC$5:$AC$1204,"Check")&gt;0,"Check","OK"))</f>
        <v>0</v>
      </c>
    </row>
    <row r="321" spans="1:33">
      <c r="A321" s="7"/>
      <c r="B321" s="30"/>
      <c r="C321" s="8">
        <f>IF(B321="","",B321-WEEKDAY(B321,2)+1)</f>
        <v>0</v>
      </c>
      <c r="D321" s="8">
        <f>IF(B321="","",TEXT(B321,"ddd"))</f>
        <v>0</v>
      </c>
      <c r="E321" s="8">
        <f>IF(B321="","",TEXT(B321,"mmm yyyy"))</f>
        <v>0</v>
      </c>
      <c r="F321" s="27"/>
      <c r="G321" s="7"/>
      <c r="H321" s="26"/>
      <c r="I321" s="8">
        <f>IF(G321="","",IFERROR(INDEX(Recipes!$D$5:$D$204,MATCH(G321,Recipes!$A$5:$A$204,0)),""))</f>
        <v>0</v>
      </c>
      <c r="J321" s="8">
        <f>IF(OR(G321="",H321="",I321="",I321=0),"",H321/I321)</f>
        <v>0</v>
      </c>
      <c r="K321" s="8">
        <f>IF(B321="","",Household_Size)</f>
        <v>0</v>
      </c>
      <c r="L321" s="8">
        <f>IF(OR(G321="",H321=""),"",IFERROR(IFERROR(INDEX(Recipes!$H$5:$H$204,MATCH(G321,Recipes!$A$5:$A$204,0)),"")*H321,""))</f>
        <v>0</v>
      </c>
      <c r="M321" s="8">
        <f>IF(OR(G321="",H321=""),"",IFERROR(IFERROR(INDEX(Recipes!$I$5:$I$204,MATCH(G321,Recipes!$A$5:$A$204,0)),"")*H321,""))</f>
        <v>0</v>
      </c>
      <c r="N321" s="8">
        <f>IF(OR(G321="",H321=""),"",IFERROR(IFERROR(INDEX(Recipes!$J$5:$J$204,MATCH(G321,Recipes!$A$5:$A$204,0)),"")*H321,""))</f>
        <v>0</v>
      </c>
      <c r="O321" s="8">
        <f>IF(OR(G321="",H321=""),"",IFERROR(IFERROR(INDEX(Recipes!$K$5:$K$204,MATCH(G321,Recipes!$A$5:$A$204,0)),"")*H321,""))</f>
        <v>0</v>
      </c>
      <c r="P321" s="8">
        <f>IF(OR(G321="",H321=""),"",IFERROR(IFERROR(INDEX(Recipes!$L$5:$L$204,MATCH(G321,Recipes!$A$5:$A$204,0)),"")*H321,""))</f>
        <v>0</v>
      </c>
      <c r="Q321" s="8">
        <f>IF(OR(G321="",H321=""),"",IFERROR(IFERROR(INDEX(Recipes!$Q$5:$Q$204,MATCH(G321,Recipes!$A$5:$A$204,0)),"")*H321,""))</f>
        <v>0</v>
      </c>
      <c r="R321" s="8">
        <f>IF(F321="","",Weekly_Budget/21)</f>
        <v>0</v>
      </c>
      <c r="S321" s="27"/>
      <c r="T321" s="27"/>
      <c r="U321" s="26"/>
      <c r="V321" s="7"/>
      <c r="W321" s="7"/>
      <c r="X321" s="26"/>
      <c r="Y321" s="8">
        <f>IF(G321="","",IF(COUNTIFS('Meal Prep'!$D$5:$D$124,G321)&gt;0,"Yes","No"))</f>
        <v>0</v>
      </c>
      <c r="Z321" s="8">
        <f>IF(G321="","",COUNTIFS('Recipe Ingredients'!$A$5:$A$1204,G321))</f>
        <v>0</v>
      </c>
      <c r="AA321" s="25"/>
      <c r="AB321" s="8">
        <f>IF(OR(B321="",Q321=""),"",COUNTIFS($B$5:$B$504,B321,$Q$5:$Q$504,"&gt;"&amp;Q321)+1)</f>
        <v>0</v>
      </c>
      <c r="AC321" s="8">
        <f>IF(OR(B321="",L321=""),"",COUNTIFS($B$5:$B$504,B321,$L$5:$L$504,"&gt;"&amp;L321)+1)</f>
        <v>0</v>
      </c>
      <c r="AD321" s="8">
        <f>IF(G321="","",IF(COUNTIFS($G$5:$G$504,G321)&gt;1,"Repeat","Once"))</f>
        <v>0</v>
      </c>
      <c r="AE321" s="8">
        <f>IF(G321="","",IF(IFERROR(INDEX(Recipes!$X$5:$X$204,MATCH(G321,Recipes!$A$5:$A$204,0)),"")="","",IFERROR(B321-IFERROR(INDEX(Recipes!$X$5:$X$204,MATCH(G321,Recipes!$A$5:$A$204,0)),""),"")))</f>
        <v>0</v>
      </c>
      <c r="AF321" s="8">
        <f>IF(G321="","",IF(AE321="","Yes",IF(AE321&gt;=Rotation_Gap_Days,"Yes","No")))</f>
        <v>0</v>
      </c>
      <c r="AG321" s="8">
        <f>IF(G321="","",IF(COUNTIFS('Recipe Ingredients'!$A$5:$A$1204,G321,'Recipe Ingredients'!$AC$5:$AC$1204,"Check")&gt;0,"Check","OK"))</f>
        <v>0</v>
      </c>
    </row>
    <row r="322" spans="1:33">
      <c r="A322" s="7"/>
      <c r="B322" s="30"/>
      <c r="C322" s="8">
        <f>IF(B322="","",B322-WEEKDAY(B322,2)+1)</f>
        <v>0</v>
      </c>
      <c r="D322" s="8">
        <f>IF(B322="","",TEXT(B322,"ddd"))</f>
        <v>0</v>
      </c>
      <c r="E322" s="8">
        <f>IF(B322="","",TEXT(B322,"mmm yyyy"))</f>
        <v>0</v>
      </c>
      <c r="F322" s="27"/>
      <c r="G322" s="7"/>
      <c r="H322" s="26"/>
      <c r="I322" s="8">
        <f>IF(G322="","",IFERROR(INDEX(Recipes!$D$5:$D$204,MATCH(G322,Recipes!$A$5:$A$204,0)),""))</f>
        <v>0</v>
      </c>
      <c r="J322" s="8">
        <f>IF(OR(G322="",H322="",I322="",I322=0),"",H322/I322)</f>
        <v>0</v>
      </c>
      <c r="K322" s="8">
        <f>IF(B322="","",Household_Size)</f>
        <v>0</v>
      </c>
      <c r="L322" s="8">
        <f>IF(OR(G322="",H322=""),"",IFERROR(IFERROR(INDEX(Recipes!$H$5:$H$204,MATCH(G322,Recipes!$A$5:$A$204,0)),"")*H322,""))</f>
        <v>0</v>
      </c>
      <c r="M322" s="8">
        <f>IF(OR(G322="",H322=""),"",IFERROR(IFERROR(INDEX(Recipes!$I$5:$I$204,MATCH(G322,Recipes!$A$5:$A$204,0)),"")*H322,""))</f>
        <v>0</v>
      </c>
      <c r="N322" s="8">
        <f>IF(OR(G322="",H322=""),"",IFERROR(IFERROR(INDEX(Recipes!$J$5:$J$204,MATCH(G322,Recipes!$A$5:$A$204,0)),"")*H322,""))</f>
        <v>0</v>
      </c>
      <c r="O322" s="8">
        <f>IF(OR(G322="",H322=""),"",IFERROR(IFERROR(INDEX(Recipes!$K$5:$K$204,MATCH(G322,Recipes!$A$5:$A$204,0)),"")*H322,""))</f>
        <v>0</v>
      </c>
      <c r="P322" s="8">
        <f>IF(OR(G322="",H322=""),"",IFERROR(IFERROR(INDEX(Recipes!$L$5:$L$204,MATCH(G322,Recipes!$A$5:$A$204,0)),"")*H322,""))</f>
        <v>0</v>
      </c>
      <c r="Q322" s="8">
        <f>IF(OR(G322="",H322=""),"",IFERROR(IFERROR(INDEX(Recipes!$Q$5:$Q$204,MATCH(G322,Recipes!$A$5:$A$204,0)),"")*H322,""))</f>
        <v>0</v>
      </c>
      <c r="R322" s="8">
        <f>IF(F322="","",Weekly_Budget/21)</f>
        <v>0</v>
      </c>
      <c r="S322" s="27"/>
      <c r="T322" s="27"/>
      <c r="U322" s="26"/>
      <c r="V322" s="7"/>
      <c r="W322" s="7"/>
      <c r="X322" s="26"/>
      <c r="Y322" s="8">
        <f>IF(G322="","",IF(COUNTIFS('Meal Prep'!$D$5:$D$124,G322)&gt;0,"Yes","No"))</f>
        <v>0</v>
      </c>
      <c r="Z322" s="8">
        <f>IF(G322="","",COUNTIFS('Recipe Ingredients'!$A$5:$A$1204,G322))</f>
        <v>0</v>
      </c>
      <c r="AA322" s="25"/>
      <c r="AB322" s="8">
        <f>IF(OR(B322="",Q322=""),"",COUNTIFS($B$5:$B$504,B322,$Q$5:$Q$504,"&gt;"&amp;Q322)+1)</f>
        <v>0</v>
      </c>
      <c r="AC322" s="8">
        <f>IF(OR(B322="",L322=""),"",COUNTIFS($B$5:$B$504,B322,$L$5:$L$504,"&gt;"&amp;L322)+1)</f>
        <v>0</v>
      </c>
      <c r="AD322" s="8">
        <f>IF(G322="","",IF(COUNTIFS($G$5:$G$504,G322)&gt;1,"Repeat","Once"))</f>
        <v>0</v>
      </c>
      <c r="AE322" s="8">
        <f>IF(G322="","",IF(IFERROR(INDEX(Recipes!$X$5:$X$204,MATCH(G322,Recipes!$A$5:$A$204,0)),"")="","",IFERROR(B322-IFERROR(INDEX(Recipes!$X$5:$X$204,MATCH(G322,Recipes!$A$5:$A$204,0)),""),"")))</f>
        <v>0</v>
      </c>
      <c r="AF322" s="8">
        <f>IF(G322="","",IF(AE322="","Yes",IF(AE322&gt;=Rotation_Gap_Days,"Yes","No")))</f>
        <v>0</v>
      </c>
      <c r="AG322" s="8">
        <f>IF(G322="","",IF(COUNTIFS('Recipe Ingredients'!$A$5:$A$1204,G322,'Recipe Ingredients'!$AC$5:$AC$1204,"Check")&gt;0,"Check","OK"))</f>
        <v>0</v>
      </c>
    </row>
    <row r="323" spans="1:33">
      <c r="A323" s="7"/>
      <c r="B323" s="30"/>
      <c r="C323" s="8">
        <f>IF(B323="","",B323-WEEKDAY(B323,2)+1)</f>
        <v>0</v>
      </c>
      <c r="D323" s="8">
        <f>IF(B323="","",TEXT(B323,"ddd"))</f>
        <v>0</v>
      </c>
      <c r="E323" s="8">
        <f>IF(B323="","",TEXT(B323,"mmm yyyy"))</f>
        <v>0</v>
      </c>
      <c r="F323" s="27"/>
      <c r="G323" s="7"/>
      <c r="H323" s="26"/>
      <c r="I323" s="8">
        <f>IF(G323="","",IFERROR(INDEX(Recipes!$D$5:$D$204,MATCH(G323,Recipes!$A$5:$A$204,0)),""))</f>
        <v>0</v>
      </c>
      <c r="J323" s="8">
        <f>IF(OR(G323="",H323="",I323="",I323=0),"",H323/I323)</f>
        <v>0</v>
      </c>
      <c r="K323" s="8">
        <f>IF(B323="","",Household_Size)</f>
        <v>0</v>
      </c>
      <c r="L323" s="8">
        <f>IF(OR(G323="",H323=""),"",IFERROR(IFERROR(INDEX(Recipes!$H$5:$H$204,MATCH(G323,Recipes!$A$5:$A$204,0)),"")*H323,""))</f>
        <v>0</v>
      </c>
      <c r="M323" s="8">
        <f>IF(OR(G323="",H323=""),"",IFERROR(IFERROR(INDEX(Recipes!$I$5:$I$204,MATCH(G323,Recipes!$A$5:$A$204,0)),"")*H323,""))</f>
        <v>0</v>
      </c>
      <c r="N323" s="8">
        <f>IF(OR(G323="",H323=""),"",IFERROR(IFERROR(INDEX(Recipes!$J$5:$J$204,MATCH(G323,Recipes!$A$5:$A$204,0)),"")*H323,""))</f>
        <v>0</v>
      </c>
      <c r="O323" s="8">
        <f>IF(OR(G323="",H323=""),"",IFERROR(IFERROR(INDEX(Recipes!$K$5:$K$204,MATCH(G323,Recipes!$A$5:$A$204,0)),"")*H323,""))</f>
        <v>0</v>
      </c>
      <c r="P323" s="8">
        <f>IF(OR(G323="",H323=""),"",IFERROR(IFERROR(INDEX(Recipes!$L$5:$L$204,MATCH(G323,Recipes!$A$5:$A$204,0)),"")*H323,""))</f>
        <v>0</v>
      </c>
      <c r="Q323" s="8">
        <f>IF(OR(G323="",H323=""),"",IFERROR(IFERROR(INDEX(Recipes!$Q$5:$Q$204,MATCH(G323,Recipes!$A$5:$A$204,0)),"")*H323,""))</f>
        <v>0</v>
      </c>
      <c r="R323" s="8">
        <f>IF(F323="","",Weekly_Budget/21)</f>
        <v>0</v>
      </c>
      <c r="S323" s="27"/>
      <c r="T323" s="27"/>
      <c r="U323" s="26"/>
      <c r="V323" s="7"/>
      <c r="W323" s="7"/>
      <c r="X323" s="26"/>
      <c r="Y323" s="8">
        <f>IF(G323="","",IF(COUNTIFS('Meal Prep'!$D$5:$D$124,G323)&gt;0,"Yes","No"))</f>
        <v>0</v>
      </c>
      <c r="Z323" s="8">
        <f>IF(G323="","",COUNTIFS('Recipe Ingredients'!$A$5:$A$1204,G323))</f>
        <v>0</v>
      </c>
      <c r="AA323" s="25"/>
      <c r="AB323" s="8">
        <f>IF(OR(B323="",Q323=""),"",COUNTIFS($B$5:$B$504,B323,$Q$5:$Q$504,"&gt;"&amp;Q323)+1)</f>
        <v>0</v>
      </c>
      <c r="AC323" s="8">
        <f>IF(OR(B323="",L323=""),"",COUNTIFS($B$5:$B$504,B323,$L$5:$L$504,"&gt;"&amp;L323)+1)</f>
        <v>0</v>
      </c>
      <c r="AD323" s="8">
        <f>IF(G323="","",IF(COUNTIFS($G$5:$G$504,G323)&gt;1,"Repeat","Once"))</f>
        <v>0</v>
      </c>
      <c r="AE323" s="8">
        <f>IF(G323="","",IF(IFERROR(INDEX(Recipes!$X$5:$X$204,MATCH(G323,Recipes!$A$5:$A$204,0)),"")="","",IFERROR(B323-IFERROR(INDEX(Recipes!$X$5:$X$204,MATCH(G323,Recipes!$A$5:$A$204,0)),""),"")))</f>
        <v>0</v>
      </c>
      <c r="AF323" s="8">
        <f>IF(G323="","",IF(AE323="","Yes",IF(AE323&gt;=Rotation_Gap_Days,"Yes","No")))</f>
        <v>0</v>
      </c>
      <c r="AG323" s="8">
        <f>IF(G323="","",IF(COUNTIFS('Recipe Ingredients'!$A$5:$A$1204,G323,'Recipe Ingredients'!$AC$5:$AC$1204,"Check")&gt;0,"Check","OK"))</f>
        <v>0</v>
      </c>
    </row>
    <row r="324" spans="1:33">
      <c r="A324" s="7"/>
      <c r="B324" s="30"/>
      <c r="C324" s="8">
        <f>IF(B324="","",B324-WEEKDAY(B324,2)+1)</f>
        <v>0</v>
      </c>
      <c r="D324" s="8">
        <f>IF(B324="","",TEXT(B324,"ddd"))</f>
        <v>0</v>
      </c>
      <c r="E324" s="8">
        <f>IF(B324="","",TEXT(B324,"mmm yyyy"))</f>
        <v>0</v>
      </c>
      <c r="F324" s="27"/>
      <c r="G324" s="7"/>
      <c r="H324" s="26"/>
      <c r="I324" s="8">
        <f>IF(G324="","",IFERROR(INDEX(Recipes!$D$5:$D$204,MATCH(G324,Recipes!$A$5:$A$204,0)),""))</f>
        <v>0</v>
      </c>
      <c r="J324" s="8">
        <f>IF(OR(G324="",H324="",I324="",I324=0),"",H324/I324)</f>
        <v>0</v>
      </c>
      <c r="K324" s="8">
        <f>IF(B324="","",Household_Size)</f>
        <v>0</v>
      </c>
      <c r="L324" s="8">
        <f>IF(OR(G324="",H324=""),"",IFERROR(IFERROR(INDEX(Recipes!$H$5:$H$204,MATCH(G324,Recipes!$A$5:$A$204,0)),"")*H324,""))</f>
        <v>0</v>
      </c>
      <c r="M324" s="8">
        <f>IF(OR(G324="",H324=""),"",IFERROR(IFERROR(INDEX(Recipes!$I$5:$I$204,MATCH(G324,Recipes!$A$5:$A$204,0)),"")*H324,""))</f>
        <v>0</v>
      </c>
      <c r="N324" s="8">
        <f>IF(OR(G324="",H324=""),"",IFERROR(IFERROR(INDEX(Recipes!$J$5:$J$204,MATCH(G324,Recipes!$A$5:$A$204,0)),"")*H324,""))</f>
        <v>0</v>
      </c>
      <c r="O324" s="8">
        <f>IF(OR(G324="",H324=""),"",IFERROR(IFERROR(INDEX(Recipes!$K$5:$K$204,MATCH(G324,Recipes!$A$5:$A$204,0)),"")*H324,""))</f>
        <v>0</v>
      </c>
      <c r="P324" s="8">
        <f>IF(OR(G324="",H324=""),"",IFERROR(IFERROR(INDEX(Recipes!$L$5:$L$204,MATCH(G324,Recipes!$A$5:$A$204,0)),"")*H324,""))</f>
        <v>0</v>
      </c>
      <c r="Q324" s="8">
        <f>IF(OR(G324="",H324=""),"",IFERROR(IFERROR(INDEX(Recipes!$Q$5:$Q$204,MATCH(G324,Recipes!$A$5:$A$204,0)),"")*H324,""))</f>
        <v>0</v>
      </c>
      <c r="R324" s="8">
        <f>IF(F324="","",Weekly_Budget/21)</f>
        <v>0</v>
      </c>
      <c r="S324" s="27"/>
      <c r="T324" s="27"/>
      <c r="U324" s="26"/>
      <c r="V324" s="7"/>
      <c r="W324" s="7"/>
      <c r="X324" s="26"/>
      <c r="Y324" s="8">
        <f>IF(G324="","",IF(COUNTIFS('Meal Prep'!$D$5:$D$124,G324)&gt;0,"Yes","No"))</f>
        <v>0</v>
      </c>
      <c r="Z324" s="8">
        <f>IF(G324="","",COUNTIFS('Recipe Ingredients'!$A$5:$A$1204,G324))</f>
        <v>0</v>
      </c>
      <c r="AA324" s="25"/>
      <c r="AB324" s="8">
        <f>IF(OR(B324="",Q324=""),"",COUNTIFS($B$5:$B$504,B324,$Q$5:$Q$504,"&gt;"&amp;Q324)+1)</f>
        <v>0</v>
      </c>
      <c r="AC324" s="8">
        <f>IF(OR(B324="",L324=""),"",COUNTIFS($B$5:$B$504,B324,$L$5:$L$504,"&gt;"&amp;L324)+1)</f>
        <v>0</v>
      </c>
      <c r="AD324" s="8">
        <f>IF(G324="","",IF(COUNTIFS($G$5:$G$504,G324)&gt;1,"Repeat","Once"))</f>
        <v>0</v>
      </c>
      <c r="AE324" s="8">
        <f>IF(G324="","",IF(IFERROR(INDEX(Recipes!$X$5:$X$204,MATCH(G324,Recipes!$A$5:$A$204,0)),"")="","",IFERROR(B324-IFERROR(INDEX(Recipes!$X$5:$X$204,MATCH(G324,Recipes!$A$5:$A$204,0)),""),"")))</f>
        <v>0</v>
      </c>
      <c r="AF324" s="8">
        <f>IF(G324="","",IF(AE324="","Yes",IF(AE324&gt;=Rotation_Gap_Days,"Yes","No")))</f>
        <v>0</v>
      </c>
      <c r="AG324" s="8">
        <f>IF(G324="","",IF(COUNTIFS('Recipe Ingredients'!$A$5:$A$1204,G324,'Recipe Ingredients'!$AC$5:$AC$1204,"Check")&gt;0,"Check","OK"))</f>
        <v>0</v>
      </c>
    </row>
    <row r="325" spans="1:33">
      <c r="A325" s="7"/>
      <c r="B325" s="30"/>
      <c r="C325" s="8">
        <f>IF(B325="","",B325-WEEKDAY(B325,2)+1)</f>
        <v>0</v>
      </c>
      <c r="D325" s="8">
        <f>IF(B325="","",TEXT(B325,"ddd"))</f>
        <v>0</v>
      </c>
      <c r="E325" s="8">
        <f>IF(B325="","",TEXT(B325,"mmm yyyy"))</f>
        <v>0</v>
      </c>
      <c r="F325" s="27"/>
      <c r="G325" s="7"/>
      <c r="H325" s="26"/>
      <c r="I325" s="8">
        <f>IF(G325="","",IFERROR(INDEX(Recipes!$D$5:$D$204,MATCH(G325,Recipes!$A$5:$A$204,0)),""))</f>
        <v>0</v>
      </c>
      <c r="J325" s="8">
        <f>IF(OR(G325="",H325="",I325="",I325=0),"",H325/I325)</f>
        <v>0</v>
      </c>
      <c r="K325" s="8">
        <f>IF(B325="","",Household_Size)</f>
        <v>0</v>
      </c>
      <c r="L325" s="8">
        <f>IF(OR(G325="",H325=""),"",IFERROR(IFERROR(INDEX(Recipes!$H$5:$H$204,MATCH(G325,Recipes!$A$5:$A$204,0)),"")*H325,""))</f>
        <v>0</v>
      </c>
      <c r="M325" s="8">
        <f>IF(OR(G325="",H325=""),"",IFERROR(IFERROR(INDEX(Recipes!$I$5:$I$204,MATCH(G325,Recipes!$A$5:$A$204,0)),"")*H325,""))</f>
        <v>0</v>
      </c>
      <c r="N325" s="8">
        <f>IF(OR(G325="",H325=""),"",IFERROR(IFERROR(INDEX(Recipes!$J$5:$J$204,MATCH(G325,Recipes!$A$5:$A$204,0)),"")*H325,""))</f>
        <v>0</v>
      </c>
      <c r="O325" s="8">
        <f>IF(OR(G325="",H325=""),"",IFERROR(IFERROR(INDEX(Recipes!$K$5:$K$204,MATCH(G325,Recipes!$A$5:$A$204,0)),"")*H325,""))</f>
        <v>0</v>
      </c>
      <c r="P325" s="8">
        <f>IF(OR(G325="",H325=""),"",IFERROR(IFERROR(INDEX(Recipes!$L$5:$L$204,MATCH(G325,Recipes!$A$5:$A$204,0)),"")*H325,""))</f>
        <v>0</v>
      </c>
      <c r="Q325" s="8">
        <f>IF(OR(G325="",H325=""),"",IFERROR(IFERROR(INDEX(Recipes!$Q$5:$Q$204,MATCH(G325,Recipes!$A$5:$A$204,0)),"")*H325,""))</f>
        <v>0</v>
      </c>
      <c r="R325" s="8">
        <f>IF(F325="","",Weekly_Budget/21)</f>
        <v>0</v>
      </c>
      <c r="S325" s="27"/>
      <c r="T325" s="27"/>
      <c r="U325" s="26"/>
      <c r="V325" s="7"/>
      <c r="W325" s="7"/>
      <c r="X325" s="26"/>
      <c r="Y325" s="8">
        <f>IF(G325="","",IF(COUNTIFS('Meal Prep'!$D$5:$D$124,G325)&gt;0,"Yes","No"))</f>
        <v>0</v>
      </c>
      <c r="Z325" s="8">
        <f>IF(G325="","",COUNTIFS('Recipe Ingredients'!$A$5:$A$1204,G325))</f>
        <v>0</v>
      </c>
      <c r="AA325" s="25"/>
      <c r="AB325" s="8">
        <f>IF(OR(B325="",Q325=""),"",COUNTIFS($B$5:$B$504,B325,$Q$5:$Q$504,"&gt;"&amp;Q325)+1)</f>
        <v>0</v>
      </c>
      <c r="AC325" s="8">
        <f>IF(OR(B325="",L325=""),"",COUNTIFS($B$5:$B$504,B325,$L$5:$L$504,"&gt;"&amp;L325)+1)</f>
        <v>0</v>
      </c>
      <c r="AD325" s="8">
        <f>IF(G325="","",IF(COUNTIFS($G$5:$G$504,G325)&gt;1,"Repeat","Once"))</f>
        <v>0</v>
      </c>
      <c r="AE325" s="8">
        <f>IF(G325="","",IF(IFERROR(INDEX(Recipes!$X$5:$X$204,MATCH(G325,Recipes!$A$5:$A$204,0)),"")="","",IFERROR(B325-IFERROR(INDEX(Recipes!$X$5:$X$204,MATCH(G325,Recipes!$A$5:$A$204,0)),""),"")))</f>
        <v>0</v>
      </c>
      <c r="AF325" s="8">
        <f>IF(G325="","",IF(AE325="","Yes",IF(AE325&gt;=Rotation_Gap_Days,"Yes","No")))</f>
        <v>0</v>
      </c>
      <c r="AG325" s="8">
        <f>IF(G325="","",IF(COUNTIFS('Recipe Ingredients'!$A$5:$A$1204,G325,'Recipe Ingredients'!$AC$5:$AC$1204,"Check")&gt;0,"Check","OK"))</f>
        <v>0</v>
      </c>
    </row>
    <row r="326" spans="1:33">
      <c r="A326" s="7"/>
      <c r="B326" s="30"/>
      <c r="C326" s="8">
        <f>IF(B326="","",B326-WEEKDAY(B326,2)+1)</f>
        <v>0</v>
      </c>
      <c r="D326" s="8">
        <f>IF(B326="","",TEXT(B326,"ddd"))</f>
        <v>0</v>
      </c>
      <c r="E326" s="8">
        <f>IF(B326="","",TEXT(B326,"mmm yyyy"))</f>
        <v>0</v>
      </c>
      <c r="F326" s="27"/>
      <c r="G326" s="7"/>
      <c r="H326" s="26"/>
      <c r="I326" s="8">
        <f>IF(G326="","",IFERROR(INDEX(Recipes!$D$5:$D$204,MATCH(G326,Recipes!$A$5:$A$204,0)),""))</f>
        <v>0</v>
      </c>
      <c r="J326" s="8">
        <f>IF(OR(G326="",H326="",I326="",I326=0),"",H326/I326)</f>
        <v>0</v>
      </c>
      <c r="K326" s="8">
        <f>IF(B326="","",Household_Size)</f>
        <v>0</v>
      </c>
      <c r="L326" s="8">
        <f>IF(OR(G326="",H326=""),"",IFERROR(IFERROR(INDEX(Recipes!$H$5:$H$204,MATCH(G326,Recipes!$A$5:$A$204,0)),"")*H326,""))</f>
        <v>0</v>
      </c>
      <c r="M326" s="8">
        <f>IF(OR(G326="",H326=""),"",IFERROR(IFERROR(INDEX(Recipes!$I$5:$I$204,MATCH(G326,Recipes!$A$5:$A$204,0)),"")*H326,""))</f>
        <v>0</v>
      </c>
      <c r="N326" s="8">
        <f>IF(OR(G326="",H326=""),"",IFERROR(IFERROR(INDEX(Recipes!$J$5:$J$204,MATCH(G326,Recipes!$A$5:$A$204,0)),"")*H326,""))</f>
        <v>0</v>
      </c>
      <c r="O326" s="8">
        <f>IF(OR(G326="",H326=""),"",IFERROR(IFERROR(INDEX(Recipes!$K$5:$K$204,MATCH(G326,Recipes!$A$5:$A$204,0)),"")*H326,""))</f>
        <v>0</v>
      </c>
      <c r="P326" s="8">
        <f>IF(OR(G326="",H326=""),"",IFERROR(IFERROR(INDEX(Recipes!$L$5:$L$204,MATCH(G326,Recipes!$A$5:$A$204,0)),"")*H326,""))</f>
        <v>0</v>
      </c>
      <c r="Q326" s="8">
        <f>IF(OR(G326="",H326=""),"",IFERROR(IFERROR(INDEX(Recipes!$Q$5:$Q$204,MATCH(G326,Recipes!$A$5:$A$204,0)),"")*H326,""))</f>
        <v>0</v>
      </c>
      <c r="R326" s="8">
        <f>IF(F326="","",Weekly_Budget/21)</f>
        <v>0</v>
      </c>
      <c r="S326" s="27"/>
      <c r="T326" s="27"/>
      <c r="U326" s="26"/>
      <c r="V326" s="7"/>
      <c r="W326" s="7"/>
      <c r="X326" s="26"/>
      <c r="Y326" s="8">
        <f>IF(G326="","",IF(COUNTIFS('Meal Prep'!$D$5:$D$124,G326)&gt;0,"Yes","No"))</f>
        <v>0</v>
      </c>
      <c r="Z326" s="8">
        <f>IF(G326="","",COUNTIFS('Recipe Ingredients'!$A$5:$A$1204,G326))</f>
        <v>0</v>
      </c>
      <c r="AA326" s="25"/>
      <c r="AB326" s="8">
        <f>IF(OR(B326="",Q326=""),"",COUNTIFS($B$5:$B$504,B326,$Q$5:$Q$504,"&gt;"&amp;Q326)+1)</f>
        <v>0</v>
      </c>
      <c r="AC326" s="8">
        <f>IF(OR(B326="",L326=""),"",COUNTIFS($B$5:$B$504,B326,$L$5:$L$504,"&gt;"&amp;L326)+1)</f>
        <v>0</v>
      </c>
      <c r="AD326" s="8">
        <f>IF(G326="","",IF(COUNTIFS($G$5:$G$504,G326)&gt;1,"Repeat","Once"))</f>
        <v>0</v>
      </c>
      <c r="AE326" s="8">
        <f>IF(G326="","",IF(IFERROR(INDEX(Recipes!$X$5:$X$204,MATCH(G326,Recipes!$A$5:$A$204,0)),"")="","",IFERROR(B326-IFERROR(INDEX(Recipes!$X$5:$X$204,MATCH(G326,Recipes!$A$5:$A$204,0)),""),"")))</f>
        <v>0</v>
      </c>
      <c r="AF326" s="8">
        <f>IF(G326="","",IF(AE326="","Yes",IF(AE326&gt;=Rotation_Gap_Days,"Yes","No")))</f>
        <v>0</v>
      </c>
      <c r="AG326" s="8">
        <f>IF(G326="","",IF(COUNTIFS('Recipe Ingredients'!$A$5:$A$1204,G326,'Recipe Ingredients'!$AC$5:$AC$1204,"Check")&gt;0,"Check","OK"))</f>
        <v>0</v>
      </c>
    </row>
    <row r="327" spans="1:33">
      <c r="A327" s="7"/>
      <c r="B327" s="30"/>
      <c r="C327" s="8">
        <f>IF(B327="","",B327-WEEKDAY(B327,2)+1)</f>
        <v>0</v>
      </c>
      <c r="D327" s="8">
        <f>IF(B327="","",TEXT(B327,"ddd"))</f>
        <v>0</v>
      </c>
      <c r="E327" s="8">
        <f>IF(B327="","",TEXT(B327,"mmm yyyy"))</f>
        <v>0</v>
      </c>
      <c r="F327" s="27"/>
      <c r="G327" s="7"/>
      <c r="H327" s="26"/>
      <c r="I327" s="8">
        <f>IF(G327="","",IFERROR(INDEX(Recipes!$D$5:$D$204,MATCH(G327,Recipes!$A$5:$A$204,0)),""))</f>
        <v>0</v>
      </c>
      <c r="J327" s="8">
        <f>IF(OR(G327="",H327="",I327="",I327=0),"",H327/I327)</f>
        <v>0</v>
      </c>
      <c r="K327" s="8">
        <f>IF(B327="","",Household_Size)</f>
        <v>0</v>
      </c>
      <c r="L327" s="8">
        <f>IF(OR(G327="",H327=""),"",IFERROR(IFERROR(INDEX(Recipes!$H$5:$H$204,MATCH(G327,Recipes!$A$5:$A$204,0)),"")*H327,""))</f>
        <v>0</v>
      </c>
      <c r="M327" s="8">
        <f>IF(OR(G327="",H327=""),"",IFERROR(IFERROR(INDEX(Recipes!$I$5:$I$204,MATCH(G327,Recipes!$A$5:$A$204,0)),"")*H327,""))</f>
        <v>0</v>
      </c>
      <c r="N327" s="8">
        <f>IF(OR(G327="",H327=""),"",IFERROR(IFERROR(INDEX(Recipes!$J$5:$J$204,MATCH(G327,Recipes!$A$5:$A$204,0)),"")*H327,""))</f>
        <v>0</v>
      </c>
      <c r="O327" s="8">
        <f>IF(OR(G327="",H327=""),"",IFERROR(IFERROR(INDEX(Recipes!$K$5:$K$204,MATCH(G327,Recipes!$A$5:$A$204,0)),"")*H327,""))</f>
        <v>0</v>
      </c>
      <c r="P327" s="8">
        <f>IF(OR(G327="",H327=""),"",IFERROR(IFERROR(INDEX(Recipes!$L$5:$L$204,MATCH(G327,Recipes!$A$5:$A$204,0)),"")*H327,""))</f>
        <v>0</v>
      </c>
      <c r="Q327" s="8">
        <f>IF(OR(G327="",H327=""),"",IFERROR(IFERROR(INDEX(Recipes!$Q$5:$Q$204,MATCH(G327,Recipes!$A$5:$A$204,0)),"")*H327,""))</f>
        <v>0</v>
      </c>
      <c r="R327" s="8">
        <f>IF(F327="","",Weekly_Budget/21)</f>
        <v>0</v>
      </c>
      <c r="S327" s="27"/>
      <c r="T327" s="27"/>
      <c r="U327" s="26"/>
      <c r="V327" s="7"/>
      <c r="W327" s="7"/>
      <c r="X327" s="26"/>
      <c r="Y327" s="8">
        <f>IF(G327="","",IF(COUNTIFS('Meal Prep'!$D$5:$D$124,G327)&gt;0,"Yes","No"))</f>
        <v>0</v>
      </c>
      <c r="Z327" s="8">
        <f>IF(G327="","",COUNTIFS('Recipe Ingredients'!$A$5:$A$1204,G327))</f>
        <v>0</v>
      </c>
      <c r="AA327" s="25"/>
      <c r="AB327" s="8">
        <f>IF(OR(B327="",Q327=""),"",COUNTIFS($B$5:$B$504,B327,$Q$5:$Q$504,"&gt;"&amp;Q327)+1)</f>
        <v>0</v>
      </c>
      <c r="AC327" s="8">
        <f>IF(OR(B327="",L327=""),"",COUNTIFS($B$5:$B$504,B327,$L$5:$L$504,"&gt;"&amp;L327)+1)</f>
        <v>0</v>
      </c>
      <c r="AD327" s="8">
        <f>IF(G327="","",IF(COUNTIFS($G$5:$G$504,G327)&gt;1,"Repeat","Once"))</f>
        <v>0</v>
      </c>
      <c r="AE327" s="8">
        <f>IF(G327="","",IF(IFERROR(INDEX(Recipes!$X$5:$X$204,MATCH(G327,Recipes!$A$5:$A$204,0)),"")="","",IFERROR(B327-IFERROR(INDEX(Recipes!$X$5:$X$204,MATCH(G327,Recipes!$A$5:$A$204,0)),""),"")))</f>
        <v>0</v>
      </c>
      <c r="AF327" s="8">
        <f>IF(G327="","",IF(AE327="","Yes",IF(AE327&gt;=Rotation_Gap_Days,"Yes","No")))</f>
        <v>0</v>
      </c>
      <c r="AG327" s="8">
        <f>IF(G327="","",IF(COUNTIFS('Recipe Ingredients'!$A$5:$A$1204,G327,'Recipe Ingredients'!$AC$5:$AC$1204,"Check")&gt;0,"Check","OK"))</f>
        <v>0</v>
      </c>
    </row>
    <row r="328" spans="1:33">
      <c r="A328" s="7"/>
      <c r="B328" s="30"/>
      <c r="C328" s="8">
        <f>IF(B328="","",B328-WEEKDAY(B328,2)+1)</f>
        <v>0</v>
      </c>
      <c r="D328" s="8">
        <f>IF(B328="","",TEXT(B328,"ddd"))</f>
        <v>0</v>
      </c>
      <c r="E328" s="8">
        <f>IF(B328="","",TEXT(B328,"mmm yyyy"))</f>
        <v>0</v>
      </c>
      <c r="F328" s="27"/>
      <c r="G328" s="7"/>
      <c r="H328" s="26"/>
      <c r="I328" s="8">
        <f>IF(G328="","",IFERROR(INDEX(Recipes!$D$5:$D$204,MATCH(G328,Recipes!$A$5:$A$204,0)),""))</f>
        <v>0</v>
      </c>
      <c r="J328" s="8">
        <f>IF(OR(G328="",H328="",I328="",I328=0),"",H328/I328)</f>
        <v>0</v>
      </c>
      <c r="K328" s="8">
        <f>IF(B328="","",Household_Size)</f>
        <v>0</v>
      </c>
      <c r="L328" s="8">
        <f>IF(OR(G328="",H328=""),"",IFERROR(IFERROR(INDEX(Recipes!$H$5:$H$204,MATCH(G328,Recipes!$A$5:$A$204,0)),"")*H328,""))</f>
        <v>0</v>
      </c>
      <c r="M328" s="8">
        <f>IF(OR(G328="",H328=""),"",IFERROR(IFERROR(INDEX(Recipes!$I$5:$I$204,MATCH(G328,Recipes!$A$5:$A$204,0)),"")*H328,""))</f>
        <v>0</v>
      </c>
      <c r="N328" s="8">
        <f>IF(OR(G328="",H328=""),"",IFERROR(IFERROR(INDEX(Recipes!$J$5:$J$204,MATCH(G328,Recipes!$A$5:$A$204,0)),"")*H328,""))</f>
        <v>0</v>
      </c>
      <c r="O328" s="8">
        <f>IF(OR(G328="",H328=""),"",IFERROR(IFERROR(INDEX(Recipes!$K$5:$K$204,MATCH(G328,Recipes!$A$5:$A$204,0)),"")*H328,""))</f>
        <v>0</v>
      </c>
      <c r="P328" s="8">
        <f>IF(OR(G328="",H328=""),"",IFERROR(IFERROR(INDEX(Recipes!$L$5:$L$204,MATCH(G328,Recipes!$A$5:$A$204,0)),"")*H328,""))</f>
        <v>0</v>
      </c>
      <c r="Q328" s="8">
        <f>IF(OR(G328="",H328=""),"",IFERROR(IFERROR(INDEX(Recipes!$Q$5:$Q$204,MATCH(G328,Recipes!$A$5:$A$204,0)),"")*H328,""))</f>
        <v>0</v>
      </c>
      <c r="R328" s="8">
        <f>IF(F328="","",Weekly_Budget/21)</f>
        <v>0</v>
      </c>
      <c r="S328" s="27"/>
      <c r="T328" s="27"/>
      <c r="U328" s="26"/>
      <c r="V328" s="7"/>
      <c r="W328" s="7"/>
      <c r="X328" s="26"/>
      <c r="Y328" s="8">
        <f>IF(G328="","",IF(COUNTIFS('Meal Prep'!$D$5:$D$124,G328)&gt;0,"Yes","No"))</f>
        <v>0</v>
      </c>
      <c r="Z328" s="8">
        <f>IF(G328="","",COUNTIFS('Recipe Ingredients'!$A$5:$A$1204,G328))</f>
        <v>0</v>
      </c>
      <c r="AA328" s="25"/>
      <c r="AB328" s="8">
        <f>IF(OR(B328="",Q328=""),"",COUNTIFS($B$5:$B$504,B328,$Q$5:$Q$504,"&gt;"&amp;Q328)+1)</f>
        <v>0</v>
      </c>
      <c r="AC328" s="8">
        <f>IF(OR(B328="",L328=""),"",COUNTIFS($B$5:$B$504,B328,$L$5:$L$504,"&gt;"&amp;L328)+1)</f>
        <v>0</v>
      </c>
      <c r="AD328" s="8">
        <f>IF(G328="","",IF(COUNTIFS($G$5:$G$504,G328)&gt;1,"Repeat","Once"))</f>
        <v>0</v>
      </c>
      <c r="AE328" s="8">
        <f>IF(G328="","",IF(IFERROR(INDEX(Recipes!$X$5:$X$204,MATCH(G328,Recipes!$A$5:$A$204,0)),"")="","",IFERROR(B328-IFERROR(INDEX(Recipes!$X$5:$X$204,MATCH(G328,Recipes!$A$5:$A$204,0)),""),"")))</f>
        <v>0</v>
      </c>
      <c r="AF328" s="8">
        <f>IF(G328="","",IF(AE328="","Yes",IF(AE328&gt;=Rotation_Gap_Days,"Yes","No")))</f>
        <v>0</v>
      </c>
      <c r="AG328" s="8">
        <f>IF(G328="","",IF(COUNTIFS('Recipe Ingredients'!$A$5:$A$1204,G328,'Recipe Ingredients'!$AC$5:$AC$1204,"Check")&gt;0,"Check","OK"))</f>
        <v>0</v>
      </c>
    </row>
    <row r="329" spans="1:33">
      <c r="A329" s="7"/>
      <c r="B329" s="30"/>
      <c r="C329" s="8">
        <f>IF(B329="","",B329-WEEKDAY(B329,2)+1)</f>
        <v>0</v>
      </c>
      <c r="D329" s="8">
        <f>IF(B329="","",TEXT(B329,"ddd"))</f>
        <v>0</v>
      </c>
      <c r="E329" s="8">
        <f>IF(B329="","",TEXT(B329,"mmm yyyy"))</f>
        <v>0</v>
      </c>
      <c r="F329" s="27"/>
      <c r="G329" s="7"/>
      <c r="H329" s="26"/>
      <c r="I329" s="8">
        <f>IF(G329="","",IFERROR(INDEX(Recipes!$D$5:$D$204,MATCH(G329,Recipes!$A$5:$A$204,0)),""))</f>
        <v>0</v>
      </c>
      <c r="J329" s="8">
        <f>IF(OR(G329="",H329="",I329="",I329=0),"",H329/I329)</f>
        <v>0</v>
      </c>
      <c r="K329" s="8">
        <f>IF(B329="","",Household_Size)</f>
        <v>0</v>
      </c>
      <c r="L329" s="8">
        <f>IF(OR(G329="",H329=""),"",IFERROR(IFERROR(INDEX(Recipes!$H$5:$H$204,MATCH(G329,Recipes!$A$5:$A$204,0)),"")*H329,""))</f>
        <v>0</v>
      </c>
      <c r="M329" s="8">
        <f>IF(OR(G329="",H329=""),"",IFERROR(IFERROR(INDEX(Recipes!$I$5:$I$204,MATCH(G329,Recipes!$A$5:$A$204,0)),"")*H329,""))</f>
        <v>0</v>
      </c>
      <c r="N329" s="8">
        <f>IF(OR(G329="",H329=""),"",IFERROR(IFERROR(INDEX(Recipes!$J$5:$J$204,MATCH(G329,Recipes!$A$5:$A$204,0)),"")*H329,""))</f>
        <v>0</v>
      </c>
      <c r="O329" s="8">
        <f>IF(OR(G329="",H329=""),"",IFERROR(IFERROR(INDEX(Recipes!$K$5:$K$204,MATCH(G329,Recipes!$A$5:$A$204,0)),"")*H329,""))</f>
        <v>0</v>
      </c>
      <c r="P329" s="8">
        <f>IF(OR(G329="",H329=""),"",IFERROR(IFERROR(INDEX(Recipes!$L$5:$L$204,MATCH(G329,Recipes!$A$5:$A$204,0)),"")*H329,""))</f>
        <v>0</v>
      </c>
      <c r="Q329" s="8">
        <f>IF(OR(G329="",H329=""),"",IFERROR(IFERROR(INDEX(Recipes!$Q$5:$Q$204,MATCH(G329,Recipes!$A$5:$A$204,0)),"")*H329,""))</f>
        <v>0</v>
      </c>
      <c r="R329" s="8">
        <f>IF(F329="","",Weekly_Budget/21)</f>
        <v>0</v>
      </c>
      <c r="S329" s="27"/>
      <c r="T329" s="27"/>
      <c r="U329" s="26"/>
      <c r="V329" s="7"/>
      <c r="W329" s="7"/>
      <c r="X329" s="26"/>
      <c r="Y329" s="8">
        <f>IF(G329="","",IF(COUNTIFS('Meal Prep'!$D$5:$D$124,G329)&gt;0,"Yes","No"))</f>
        <v>0</v>
      </c>
      <c r="Z329" s="8">
        <f>IF(G329="","",COUNTIFS('Recipe Ingredients'!$A$5:$A$1204,G329))</f>
        <v>0</v>
      </c>
      <c r="AA329" s="25"/>
      <c r="AB329" s="8">
        <f>IF(OR(B329="",Q329=""),"",COUNTIFS($B$5:$B$504,B329,$Q$5:$Q$504,"&gt;"&amp;Q329)+1)</f>
        <v>0</v>
      </c>
      <c r="AC329" s="8">
        <f>IF(OR(B329="",L329=""),"",COUNTIFS($B$5:$B$504,B329,$L$5:$L$504,"&gt;"&amp;L329)+1)</f>
        <v>0</v>
      </c>
      <c r="AD329" s="8">
        <f>IF(G329="","",IF(COUNTIFS($G$5:$G$504,G329)&gt;1,"Repeat","Once"))</f>
        <v>0</v>
      </c>
      <c r="AE329" s="8">
        <f>IF(G329="","",IF(IFERROR(INDEX(Recipes!$X$5:$X$204,MATCH(G329,Recipes!$A$5:$A$204,0)),"")="","",IFERROR(B329-IFERROR(INDEX(Recipes!$X$5:$X$204,MATCH(G329,Recipes!$A$5:$A$204,0)),""),"")))</f>
        <v>0</v>
      </c>
      <c r="AF329" s="8">
        <f>IF(G329="","",IF(AE329="","Yes",IF(AE329&gt;=Rotation_Gap_Days,"Yes","No")))</f>
        <v>0</v>
      </c>
      <c r="AG329" s="8">
        <f>IF(G329="","",IF(COUNTIFS('Recipe Ingredients'!$A$5:$A$1204,G329,'Recipe Ingredients'!$AC$5:$AC$1204,"Check")&gt;0,"Check","OK"))</f>
        <v>0</v>
      </c>
    </row>
    <row r="330" spans="1:33">
      <c r="A330" s="7"/>
      <c r="B330" s="30"/>
      <c r="C330" s="8">
        <f>IF(B330="","",B330-WEEKDAY(B330,2)+1)</f>
        <v>0</v>
      </c>
      <c r="D330" s="8">
        <f>IF(B330="","",TEXT(B330,"ddd"))</f>
        <v>0</v>
      </c>
      <c r="E330" s="8">
        <f>IF(B330="","",TEXT(B330,"mmm yyyy"))</f>
        <v>0</v>
      </c>
      <c r="F330" s="27"/>
      <c r="G330" s="7"/>
      <c r="H330" s="26"/>
      <c r="I330" s="8">
        <f>IF(G330="","",IFERROR(INDEX(Recipes!$D$5:$D$204,MATCH(G330,Recipes!$A$5:$A$204,0)),""))</f>
        <v>0</v>
      </c>
      <c r="J330" s="8">
        <f>IF(OR(G330="",H330="",I330="",I330=0),"",H330/I330)</f>
        <v>0</v>
      </c>
      <c r="K330" s="8">
        <f>IF(B330="","",Household_Size)</f>
        <v>0</v>
      </c>
      <c r="L330" s="8">
        <f>IF(OR(G330="",H330=""),"",IFERROR(IFERROR(INDEX(Recipes!$H$5:$H$204,MATCH(G330,Recipes!$A$5:$A$204,0)),"")*H330,""))</f>
        <v>0</v>
      </c>
      <c r="M330" s="8">
        <f>IF(OR(G330="",H330=""),"",IFERROR(IFERROR(INDEX(Recipes!$I$5:$I$204,MATCH(G330,Recipes!$A$5:$A$204,0)),"")*H330,""))</f>
        <v>0</v>
      </c>
      <c r="N330" s="8">
        <f>IF(OR(G330="",H330=""),"",IFERROR(IFERROR(INDEX(Recipes!$J$5:$J$204,MATCH(G330,Recipes!$A$5:$A$204,0)),"")*H330,""))</f>
        <v>0</v>
      </c>
      <c r="O330" s="8">
        <f>IF(OR(G330="",H330=""),"",IFERROR(IFERROR(INDEX(Recipes!$K$5:$K$204,MATCH(G330,Recipes!$A$5:$A$204,0)),"")*H330,""))</f>
        <v>0</v>
      </c>
      <c r="P330" s="8">
        <f>IF(OR(G330="",H330=""),"",IFERROR(IFERROR(INDEX(Recipes!$L$5:$L$204,MATCH(G330,Recipes!$A$5:$A$204,0)),"")*H330,""))</f>
        <v>0</v>
      </c>
      <c r="Q330" s="8">
        <f>IF(OR(G330="",H330=""),"",IFERROR(IFERROR(INDEX(Recipes!$Q$5:$Q$204,MATCH(G330,Recipes!$A$5:$A$204,0)),"")*H330,""))</f>
        <v>0</v>
      </c>
      <c r="R330" s="8">
        <f>IF(F330="","",Weekly_Budget/21)</f>
        <v>0</v>
      </c>
      <c r="S330" s="27"/>
      <c r="T330" s="27"/>
      <c r="U330" s="26"/>
      <c r="V330" s="7"/>
      <c r="W330" s="7"/>
      <c r="X330" s="26"/>
      <c r="Y330" s="8">
        <f>IF(G330="","",IF(COUNTIFS('Meal Prep'!$D$5:$D$124,G330)&gt;0,"Yes","No"))</f>
        <v>0</v>
      </c>
      <c r="Z330" s="8">
        <f>IF(G330="","",COUNTIFS('Recipe Ingredients'!$A$5:$A$1204,G330))</f>
        <v>0</v>
      </c>
      <c r="AA330" s="25"/>
      <c r="AB330" s="8">
        <f>IF(OR(B330="",Q330=""),"",COUNTIFS($B$5:$B$504,B330,$Q$5:$Q$504,"&gt;"&amp;Q330)+1)</f>
        <v>0</v>
      </c>
      <c r="AC330" s="8">
        <f>IF(OR(B330="",L330=""),"",COUNTIFS($B$5:$B$504,B330,$L$5:$L$504,"&gt;"&amp;L330)+1)</f>
        <v>0</v>
      </c>
      <c r="AD330" s="8">
        <f>IF(G330="","",IF(COUNTIFS($G$5:$G$504,G330)&gt;1,"Repeat","Once"))</f>
        <v>0</v>
      </c>
      <c r="AE330" s="8">
        <f>IF(G330="","",IF(IFERROR(INDEX(Recipes!$X$5:$X$204,MATCH(G330,Recipes!$A$5:$A$204,0)),"")="","",IFERROR(B330-IFERROR(INDEX(Recipes!$X$5:$X$204,MATCH(G330,Recipes!$A$5:$A$204,0)),""),"")))</f>
        <v>0</v>
      </c>
      <c r="AF330" s="8">
        <f>IF(G330="","",IF(AE330="","Yes",IF(AE330&gt;=Rotation_Gap_Days,"Yes","No")))</f>
        <v>0</v>
      </c>
      <c r="AG330" s="8">
        <f>IF(G330="","",IF(COUNTIFS('Recipe Ingredients'!$A$5:$A$1204,G330,'Recipe Ingredients'!$AC$5:$AC$1204,"Check")&gt;0,"Check","OK"))</f>
        <v>0</v>
      </c>
    </row>
    <row r="331" spans="1:33">
      <c r="A331" s="7"/>
      <c r="B331" s="30"/>
      <c r="C331" s="8">
        <f>IF(B331="","",B331-WEEKDAY(B331,2)+1)</f>
        <v>0</v>
      </c>
      <c r="D331" s="8">
        <f>IF(B331="","",TEXT(B331,"ddd"))</f>
        <v>0</v>
      </c>
      <c r="E331" s="8">
        <f>IF(B331="","",TEXT(B331,"mmm yyyy"))</f>
        <v>0</v>
      </c>
      <c r="F331" s="27"/>
      <c r="G331" s="7"/>
      <c r="H331" s="26"/>
      <c r="I331" s="8">
        <f>IF(G331="","",IFERROR(INDEX(Recipes!$D$5:$D$204,MATCH(G331,Recipes!$A$5:$A$204,0)),""))</f>
        <v>0</v>
      </c>
      <c r="J331" s="8">
        <f>IF(OR(G331="",H331="",I331="",I331=0),"",H331/I331)</f>
        <v>0</v>
      </c>
      <c r="K331" s="8">
        <f>IF(B331="","",Household_Size)</f>
        <v>0</v>
      </c>
      <c r="L331" s="8">
        <f>IF(OR(G331="",H331=""),"",IFERROR(IFERROR(INDEX(Recipes!$H$5:$H$204,MATCH(G331,Recipes!$A$5:$A$204,0)),"")*H331,""))</f>
        <v>0</v>
      </c>
      <c r="M331" s="8">
        <f>IF(OR(G331="",H331=""),"",IFERROR(IFERROR(INDEX(Recipes!$I$5:$I$204,MATCH(G331,Recipes!$A$5:$A$204,0)),"")*H331,""))</f>
        <v>0</v>
      </c>
      <c r="N331" s="8">
        <f>IF(OR(G331="",H331=""),"",IFERROR(IFERROR(INDEX(Recipes!$J$5:$J$204,MATCH(G331,Recipes!$A$5:$A$204,0)),"")*H331,""))</f>
        <v>0</v>
      </c>
      <c r="O331" s="8">
        <f>IF(OR(G331="",H331=""),"",IFERROR(IFERROR(INDEX(Recipes!$K$5:$K$204,MATCH(G331,Recipes!$A$5:$A$204,0)),"")*H331,""))</f>
        <v>0</v>
      </c>
      <c r="P331" s="8">
        <f>IF(OR(G331="",H331=""),"",IFERROR(IFERROR(INDEX(Recipes!$L$5:$L$204,MATCH(G331,Recipes!$A$5:$A$204,0)),"")*H331,""))</f>
        <v>0</v>
      </c>
      <c r="Q331" s="8">
        <f>IF(OR(G331="",H331=""),"",IFERROR(IFERROR(INDEX(Recipes!$Q$5:$Q$204,MATCH(G331,Recipes!$A$5:$A$204,0)),"")*H331,""))</f>
        <v>0</v>
      </c>
      <c r="R331" s="8">
        <f>IF(F331="","",Weekly_Budget/21)</f>
        <v>0</v>
      </c>
      <c r="S331" s="27"/>
      <c r="T331" s="27"/>
      <c r="U331" s="26"/>
      <c r="V331" s="7"/>
      <c r="W331" s="7"/>
      <c r="X331" s="26"/>
      <c r="Y331" s="8">
        <f>IF(G331="","",IF(COUNTIFS('Meal Prep'!$D$5:$D$124,G331)&gt;0,"Yes","No"))</f>
        <v>0</v>
      </c>
      <c r="Z331" s="8">
        <f>IF(G331="","",COUNTIFS('Recipe Ingredients'!$A$5:$A$1204,G331))</f>
        <v>0</v>
      </c>
      <c r="AA331" s="25"/>
      <c r="AB331" s="8">
        <f>IF(OR(B331="",Q331=""),"",COUNTIFS($B$5:$B$504,B331,$Q$5:$Q$504,"&gt;"&amp;Q331)+1)</f>
        <v>0</v>
      </c>
      <c r="AC331" s="8">
        <f>IF(OR(B331="",L331=""),"",COUNTIFS($B$5:$B$504,B331,$L$5:$L$504,"&gt;"&amp;L331)+1)</f>
        <v>0</v>
      </c>
      <c r="AD331" s="8">
        <f>IF(G331="","",IF(COUNTIFS($G$5:$G$504,G331)&gt;1,"Repeat","Once"))</f>
        <v>0</v>
      </c>
      <c r="AE331" s="8">
        <f>IF(G331="","",IF(IFERROR(INDEX(Recipes!$X$5:$X$204,MATCH(G331,Recipes!$A$5:$A$204,0)),"")="","",IFERROR(B331-IFERROR(INDEX(Recipes!$X$5:$X$204,MATCH(G331,Recipes!$A$5:$A$204,0)),""),"")))</f>
        <v>0</v>
      </c>
      <c r="AF331" s="8">
        <f>IF(G331="","",IF(AE331="","Yes",IF(AE331&gt;=Rotation_Gap_Days,"Yes","No")))</f>
        <v>0</v>
      </c>
      <c r="AG331" s="8">
        <f>IF(G331="","",IF(COUNTIFS('Recipe Ingredients'!$A$5:$A$1204,G331,'Recipe Ingredients'!$AC$5:$AC$1204,"Check")&gt;0,"Check","OK"))</f>
        <v>0</v>
      </c>
    </row>
    <row r="332" spans="1:33">
      <c r="A332" s="7"/>
      <c r="B332" s="30"/>
      <c r="C332" s="8">
        <f>IF(B332="","",B332-WEEKDAY(B332,2)+1)</f>
        <v>0</v>
      </c>
      <c r="D332" s="8">
        <f>IF(B332="","",TEXT(B332,"ddd"))</f>
        <v>0</v>
      </c>
      <c r="E332" s="8">
        <f>IF(B332="","",TEXT(B332,"mmm yyyy"))</f>
        <v>0</v>
      </c>
      <c r="F332" s="27"/>
      <c r="G332" s="7"/>
      <c r="H332" s="26"/>
      <c r="I332" s="8">
        <f>IF(G332="","",IFERROR(INDEX(Recipes!$D$5:$D$204,MATCH(G332,Recipes!$A$5:$A$204,0)),""))</f>
        <v>0</v>
      </c>
      <c r="J332" s="8">
        <f>IF(OR(G332="",H332="",I332="",I332=0),"",H332/I332)</f>
        <v>0</v>
      </c>
      <c r="K332" s="8">
        <f>IF(B332="","",Household_Size)</f>
        <v>0</v>
      </c>
      <c r="L332" s="8">
        <f>IF(OR(G332="",H332=""),"",IFERROR(IFERROR(INDEX(Recipes!$H$5:$H$204,MATCH(G332,Recipes!$A$5:$A$204,0)),"")*H332,""))</f>
        <v>0</v>
      </c>
      <c r="M332" s="8">
        <f>IF(OR(G332="",H332=""),"",IFERROR(IFERROR(INDEX(Recipes!$I$5:$I$204,MATCH(G332,Recipes!$A$5:$A$204,0)),"")*H332,""))</f>
        <v>0</v>
      </c>
      <c r="N332" s="8">
        <f>IF(OR(G332="",H332=""),"",IFERROR(IFERROR(INDEX(Recipes!$J$5:$J$204,MATCH(G332,Recipes!$A$5:$A$204,0)),"")*H332,""))</f>
        <v>0</v>
      </c>
      <c r="O332" s="8">
        <f>IF(OR(G332="",H332=""),"",IFERROR(IFERROR(INDEX(Recipes!$K$5:$K$204,MATCH(G332,Recipes!$A$5:$A$204,0)),"")*H332,""))</f>
        <v>0</v>
      </c>
      <c r="P332" s="8">
        <f>IF(OR(G332="",H332=""),"",IFERROR(IFERROR(INDEX(Recipes!$L$5:$L$204,MATCH(G332,Recipes!$A$5:$A$204,0)),"")*H332,""))</f>
        <v>0</v>
      </c>
      <c r="Q332" s="8">
        <f>IF(OR(G332="",H332=""),"",IFERROR(IFERROR(INDEX(Recipes!$Q$5:$Q$204,MATCH(G332,Recipes!$A$5:$A$204,0)),"")*H332,""))</f>
        <v>0</v>
      </c>
      <c r="R332" s="8">
        <f>IF(F332="","",Weekly_Budget/21)</f>
        <v>0</v>
      </c>
      <c r="S332" s="27"/>
      <c r="T332" s="27"/>
      <c r="U332" s="26"/>
      <c r="V332" s="7"/>
      <c r="W332" s="7"/>
      <c r="X332" s="26"/>
      <c r="Y332" s="8">
        <f>IF(G332="","",IF(COUNTIFS('Meal Prep'!$D$5:$D$124,G332)&gt;0,"Yes","No"))</f>
        <v>0</v>
      </c>
      <c r="Z332" s="8">
        <f>IF(G332="","",COUNTIFS('Recipe Ingredients'!$A$5:$A$1204,G332))</f>
        <v>0</v>
      </c>
      <c r="AA332" s="25"/>
      <c r="AB332" s="8">
        <f>IF(OR(B332="",Q332=""),"",COUNTIFS($B$5:$B$504,B332,$Q$5:$Q$504,"&gt;"&amp;Q332)+1)</f>
        <v>0</v>
      </c>
      <c r="AC332" s="8">
        <f>IF(OR(B332="",L332=""),"",COUNTIFS($B$5:$B$504,B332,$L$5:$L$504,"&gt;"&amp;L332)+1)</f>
        <v>0</v>
      </c>
      <c r="AD332" s="8">
        <f>IF(G332="","",IF(COUNTIFS($G$5:$G$504,G332)&gt;1,"Repeat","Once"))</f>
        <v>0</v>
      </c>
      <c r="AE332" s="8">
        <f>IF(G332="","",IF(IFERROR(INDEX(Recipes!$X$5:$X$204,MATCH(G332,Recipes!$A$5:$A$204,0)),"")="","",IFERROR(B332-IFERROR(INDEX(Recipes!$X$5:$X$204,MATCH(G332,Recipes!$A$5:$A$204,0)),""),"")))</f>
        <v>0</v>
      </c>
      <c r="AF332" s="8">
        <f>IF(G332="","",IF(AE332="","Yes",IF(AE332&gt;=Rotation_Gap_Days,"Yes","No")))</f>
        <v>0</v>
      </c>
      <c r="AG332" s="8">
        <f>IF(G332="","",IF(COUNTIFS('Recipe Ingredients'!$A$5:$A$1204,G332,'Recipe Ingredients'!$AC$5:$AC$1204,"Check")&gt;0,"Check","OK"))</f>
        <v>0</v>
      </c>
    </row>
    <row r="333" spans="1:33">
      <c r="A333" s="7"/>
      <c r="B333" s="30"/>
      <c r="C333" s="8">
        <f>IF(B333="","",B333-WEEKDAY(B333,2)+1)</f>
        <v>0</v>
      </c>
      <c r="D333" s="8">
        <f>IF(B333="","",TEXT(B333,"ddd"))</f>
        <v>0</v>
      </c>
      <c r="E333" s="8">
        <f>IF(B333="","",TEXT(B333,"mmm yyyy"))</f>
        <v>0</v>
      </c>
      <c r="F333" s="27"/>
      <c r="G333" s="7"/>
      <c r="H333" s="26"/>
      <c r="I333" s="8">
        <f>IF(G333="","",IFERROR(INDEX(Recipes!$D$5:$D$204,MATCH(G333,Recipes!$A$5:$A$204,0)),""))</f>
        <v>0</v>
      </c>
      <c r="J333" s="8">
        <f>IF(OR(G333="",H333="",I333="",I333=0),"",H333/I333)</f>
        <v>0</v>
      </c>
      <c r="K333" s="8">
        <f>IF(B333="","",Household_Size)</f>
        <v>0</v>
      </c>
      <c r="L333" s="8">
        <f>IF(OR(G333="",H333=""),"",IFERROR(IFERROR(INDEX(Recipes!$H$5:$H$204,MATCH(G333,Recipes!$A$5:$A$204,0)),"")*H333,""))</f>
        <v>0</v>
      </c>
      <c r="M333" s="8">
        <f>IF(OR(G333="",H333=""),"",IFERROR(IFERROR(INDEX(Recipes!$I$5:$I$204,MATCH(G333,Recipes!$A$5:$A$204,0)),"")*H333,""))</f>
        <v>0</v>
      </c>
      <c r="N333" s="8">
        <f>IF(OR(G333="",H333=""),"",IFERROR(IFERROR(INDEX(Recipes!$J$5:$J$204,MATCH(G333,Recipes!$A$5:$A$204,0)),"")*H333,""))</f>
        <v>0</v>
      </c>
      <c r="O333" s="8">
        <f>IF(OR(G333="",H333=""),"",IFERROR(IFERROR(INDEX(Recipes!$K$5:$K$204,MATCH(G333,Recipes!$A$5:$A$204,0)),"")*H333,""))</f>
        <v>0</v>
      </c>
      <c r="P333" s="8">
        <f>IF(OR(G333="",H333=""),"",IFERROR(IFERROR(INDEX(Recipes!$L$5:$L$204,MATCH(G333,Recipes!$A$5:$A$204,0)),"")*H333,""))</f>
        <v>0</v>
      </c>
      <c r="Q333" s="8">
        <f>IF(OR(G333="",H333=""),"",IFERROR(IFERROR(INDEX(Recipes!$Q$5:$Q$204,MATCH(G333,Recipes!$A$5:$A$204,0)),"")*H333,""))</f>
        <v>0</v>
      </c>
      <c r="R333" s="8">
        <f>IF(F333="","",Weekly_Budget/21)</f>
        <v>0</v>
      </c>
      <c r="S333" s="27"/>
      <c r="T333" s="27"/>
      <c r="U333" s="26"/>
      <c r="V333" s="7"/>
      <c r="W333" s="7"/>
      <c r="X333" s="26"/>
      <c r="Y333" s="8">
        <f>IF(G333="","",IF(COUNTIFS('Meal Prep'!$D$5:$D$124,G333)&gt;0,"Yes","No"))</f>
        <v>0</v>
      </c>
      <c r="Z333" s="8">
        <f>IF(G333="","",COUNTIFS('Recipe Ingredients'!$A$5:$A$1204,G333))</f>
        <v>0</v>
      </c>
      <c r="AA333" s="25"/>
      <c r="AB333" s="8">
        <f>IF(OR(B333="",Q333=""),"",COUNTIFS($B$5:$B$504,B333,$Q$5:$Q$504,"&gt;"&amp;Q333)+1)</f>
        <v>0</v>
      </c>
      <c r="AC333" s="8">
        <f>IF(OR(B333="",L333=""),"",COUNTIFS($B$5:$B$504,B333,$L$5:$L$504,"&gt;"&amp;L333)+1)</f>
        <v>0</v>
      </c>
      <c r="AD333" s="8">
        <f>IF(G333="","",IF(COUNTIFS($G$5:$G$504,G333)&gt;1,"Repeat","Once"))</f>
        <v>0</v>
      </c>
      <c r="AE333" s="8">
        <f>IF(G333="","",IF(IFERROR(INDEX(Recipes!$X$5:$X$204,MATCH(G333,Recipes!$A$5:$A$204,0)),"")="","",IFERROR(B333-IFERROR(INDEX(Recipes!$X$5:$X$204,MATCH(G333,Recipes!$A$5:$A$204,0)),""),"")))</f>
        <v>0</v>
      </c>
      <c r="AF333" s="8">
        <f>IF(G333="","",IF(AE333="","Yes",IF(AE333&gt;=Rotation_Gap_Days,"Yes","No")))</f>
        <v>0</v>
      </c>
      <c r="AG333" s="8">
        <f>IF(G333="","",IF(COUNTIFS('Recipe Ingredients'!$A$5:$A$1204,G333,'Recipe Ingredients'!$AC$5:$AC$1204,"Check")&gt;0,"Check","OK"))</f>
        <v>0</v>
      </c>
    </row>
    <row r="334" spans="1:33">
      <c r="A334" s="7"/>
      <c r="B334" s="30"/>
      <c r="C334" s="8">
        <f>IF(B334="","",B334-WEEKDAY(B334,2)+1)</f>
        <v>0</v>
      </c>
      <c r="D334" s="8">
        <f>IF(B334="","",TEXT(B334,"ddd"))</f>
        <v>0</v>
      </c>
      <c r="E334" s="8">
        <f>IF(B334="","",TEXT(B334,"mmm yyyy"))</f>
        <v>0</v>
      </c>
      <c r="F334" s="27"/>
      <c r="G334" s="7"/>
      <c r="H334" s="26"/>
      <c r="I334" s="8">
        <f>IF(G334="","",IFERROR(INDEX(Recipes!$D$5:$D$204,MATCH(G334,Recipes!$A$5:$A$204,0)),""))</f>
        <v>0</v>
      </c>
      <c r="J334" s="8">
        <f>IF(OR(G334="",H334="",I334="",I334=0),"",H334/I334)</f>
        <v>0</v>
      </c>
      <c r="K334" s="8">
        <f>IF(B334="","",Household_Size)</f>
        <v>0</v>
      </c>
      <c r="L334" s="8">
        <f>IF(OR(G334="",H334=""),"",IFERROR(IFERROR(INDEX(Recipes!$H$5:$H$204,MATCH(G334,Recipes!$A$5:$A$204,0)),"")*H334,""))</f>
        <v>0</v>
      </c>
      <c r="M334" s="8">
        <f>IF(OR(G334="",H334=""),"",IFERROR(IFERROR(INDEX(Recipes!$I$5:$I$204,MATCH(G334,Recipes!$A$5:$A$204,0)),"")*H334,""))</f>
        <v>0</v>
      </c>
      <c r="N334" s="8">
        <f>IF(OR(G334="",H334=""),"",IFERROR(IFERROR(INDEX(Recipes!$J$5:$J$204,MATCH(G334,Recipes!$A$5:$A$204,0)),"")*H334,""))</f>
        <v>0</v>
      </c>
      <c r="O334" s="8">
        <f>IF(OR(G334="",H334=""),"",IFERROR(IFERROR(INDEX(Recipes!$K$5:$K$204,MATCH(G334,Recipes!$A$5:$A$204,0)),"")*H334,""))</f>
        <v>0</v>
      </c>
      <c r="P334" s="8">
        <f>IF(OR(G334="",H334=""),"",IFERROR(IFERROR(INDEX(Recipes!$L$5:$L$204,MATCH(G334,Recipes!$A$5:$A$204,0)),"")*H334,""))</f>
        <v>0</v>
      </c>
      <c r="Q334" s="8">
        <f>IF(OR(G334="",H334=""),"",IFERROR(IFERROR(INDEX(Recipes!$Q$5:$Q$204,MATCH(G334,Recipes!$A$5:$A$204,0)),"")*H334,""))</f>
        <v>0</v>
      </c>
      <c r="R334" s="8">
        <f>IF(F334="","",Weekly_Budget/21)</f>
        <v>0</v>
      </c>
      <c r="S334" s="27"/>
      <c r="T334" s="27"/>
      <c r="U334" s="26"/>
      <c r="V334" s="7"/>
      <c r="W334" s="7"/>
      <c r="X334" s="26"/>
      <c r="Y334" s="8">
        <f>IF(G334="","",IF(COUNTIFS('Meal Prep'!$D$5:$D$124,G334)&gt;0,"Yes","No"))</f>
        <v>0</v>
      </c>
      <c r="Z334" s="8">
        <f>IF(G334="","",COUNTIFS('Recipe Ingredients'!$A$5:$A$1204,G334))</f>
        <v>0</v>
      </c>
      <c r="AA334" s="25"/>
      <c r="AB334" s="8">
        <f>IF(OR(B334="",Q334=""),"",COUNTIFS($B$5:$B$504,B334,$Q$5:$Q$504,"&gt;"&amp;Q334)+1)</f>
        <v>0</v>
      </c>
      <c r="AC334" s="8">
        <f>IF(OR(B334="",L334=""),"",COUNTIFS($B$5:$B$504,B334,$L$5:$L$504,"&gt;"&amp;L334)+1)</f>
        <v>0</v>
      </c>
      <c r="AD334" s="8">
        <f>IF(G334="","",IF(COUNTIFS($G$5:$G$504,G334)&gt;1,"Repeat","Once"))</f>
        <v>0</v>
      </c>
      <c r="AE334" s="8">
        <f>IF(G334="","",IF(IFERROR(INDEX(Recipes!$X$5:$X$204,MATCH(G334,Recipes!$A$5:$A$204,0)),"")="","",IFERROR(B334-IFERROR(INDEX(Recipes!$X$5:$X$204,MATCH(G334,Recipes!$A$5:$A$204,0)),""),"")))</f>
        <v>0</v>
      </c>
      <c r="AF334" s="8">
        <f>IF(G334="","",IF(AE334="","Yes",IF(AE334&gt;=Rotation_Gap_Days,"Yes","No")))</f>
        <v>0</v>
      </c>
      <c r="AG334" s="8">
        <f>IF(G334="","",IF(COUNTIFS('Recipe Ingredients'!$A$5:$A$1204,G334,'Recipe Ingredients'!$AC$5:$AC$1204,"Check")&gt;0,"Check","OK"))</f>
        <v>0</v>
      </c>
    </row>
    <row r="335" spans="1:33">
      <c r="A335" s="7"/>
      <c r="B335" s="30"/>
      <c r="C335" s="8">
        <f>IF(B335="","",B335-WEEKDAY(B335,2)+1)</f>
        <v>0</v>
      </c>
      <c r="D335" s="8">
        <f>IF(B335="","",TEXT(B335,"ddd"))</f>
        <v>0</v>
      </c>
      <c r="E335" s="8">
        <f>IF(B335="","",TEXT(B335,"mmm yyyy"))</f>
        <v>0</v>
      </c>
      <c r="F335" s="27"/>
      <c r="G335" s="7"/>
      <c r="H335" s="26"/>
      <c r="I335" s="8">
        <f>IF(G335="","",IFERROR(INDEX(Recipes!$D$5:$D$204,MATCH(G335,Recipes!$A$5:$A$204,0)),""))</f>
        <v>0</v>
      </c>
      <c r="J335" s="8">
        <f>IF(OR(G335="",H335="",I335="",I335=0),"",H335/I335)</f>
        <v>0</v>
      </c>
      <c r="K335" s="8">
        <f>IF(B335="","",Household_Size)</f>
        <v>0</v>
      </c>
      <c r="L335" s="8">
        <f>IF(OR(G335="",H335=""),"",IFERROR(IFERROR(INDEX(Recipes!$H$5:$H$204,MATCH(G335,Recipes!$A$5:$A$204,0)),"")*H335,""))</f>
        <v>0</v>
      </c>
      <c r="M335" s="8">
        <f>IF(OR(G335="",H335=""),"",IFERROR(IFERROR(INDEX(Recipes!$I$5:$I$204,MATCH(G335,Recipes!$A$5:$A$204,0)),"")*H335,""))</f>
        <v>0</v>
      </c>
      <c r="N335" s="8">
        <f>IF(OR(G335="",H335=""),"",IFERROR(IFERROR(INDEX(Recipes!$J$5:$J$204,MATCH(G335,Recipes!$A$5:$A$204,0)),"")*H335,""))</f>
        <v>0</v>
      </c>
      <c r="O335" s="8">
        <f>IF(OR(G335="",H335=""),"",IFERROR(IFERROR(INDEX(Recipes!$K$5:$K$204,MATCH(G335,Recipes!$A$5:$A$204,0)),"")*H335,""))</f>
        <v>0</v>
      </c>
      <c r="P335" s="8">
        <f>IF(OR(G335="",H335=""),"",IFERROR(IFERROR(INDEX(Recipes!$L$5:$L$204,MATCH(G335,Recipes!$A$5:$A$204,0)),"")*H335,""))</f>
        <v>0</v>
      </c>
      <c r="Q335" s="8">
        <f>IF(OR(G335="",H335=""),"",IFERROR(IFERROR(INDEX(Recipes!$Q$5:$Q$204,MATCH(G335,Recipes!$A$5:$A$204,0)),"")*H335,""))</f>
        <v>0</v>
      </c>
      <c r="R335" s="8">
        <f>IF(F335="","",Weekly_Budget/21)</f>
        <v>0</v>
      </c>
      <c r="S335" s="27"/>
      <c r="T335" s="27"/>
      <c r="U335" s="26"/>
      <c r="V335" s="7"/>
      <c r="W335" s="7"/>
      <c r="X335" s="26"/>
      <c r="Y335" s="8">
        <f>IF(G335="","",IF(COUNTIFS('Meal Prep'!$D$5:$D$124,G335)&gt;0,"Yes","No"))</f>
        <v>0</v>
      </c>
      <c r="Z335" s="8">
        <f>IF(G335="","",COUNTIFS('Recipe Ingredients'!$A$5:$A$1204,G335))</f>
        <v>0</v>
      </c>
      <c r="AA335" s="25"/>
      <c r="AB335" s="8">
        <f>IF(OR(B335="",Q335=""),"",COUNTIFS($B$5:$B$504,B335,$Q$5:$Q$504,"&gt;"&amp;Q335)+1)</f>
        <v>0</v>
      </c>
      <c r="AC335" s="8">
        <f>IF(OR(B335="",L335=""),"",COUNTIFS($B$5:$B$504,B335,$L$5:$L$504,"&gt;"&amp;L335)+1)</f>
        <v>0</v>
      </c>
      <c r="AD335" s="8">
        <f>IF(G335="","",IF(COUNTIFS($G$5:$G$504,G335)&gt;1,"Repeat","Once"))</f>
        <v>0</v>
      </c>
      <c r="AE335" s="8">
        <f>IF(G335="","",IF(IFERROR(INDEX(Recipes!$X$5:$X$204,MATCH(G335,Recipes!$A$5:$A$204,0)),"")="","",IFERROR(B335-IFERROR(INDEX(Recipes!$X$5:$X$204,MATCH(G335,Recipes!$A$5:$A$204,0)),""),"")))</f>
        <v>0</v>
      </c>
      <c r="AF335" s="8">
        <f>IF(G335="","",IF(AE335="","Yes",IF(AE335&gt;=Rotation_Gap_Days,"Yes","No")))</f>
        <v>0</v>
      </c>
      <c r="AG335" s="8">
        <f>IF(G335="","",IF(COUNTIFS('Recipe Ingredients'!$A$5:$A$1204,G335,'Recipe Ingredients'!$AC$5:$AC$1204,"Check")&gt;0,"Check","OK"))</f>
        <v>0</v>
      </c>
    </row>
    <row r="336" spans="1:33">
      <c r="A336" s="7"/>
      <c r="B336" s="30"/>
      <c r="C336" s="8">
        <f>IF(B336="","",B336-WEEKDAY(B336,2)+1)</f>
        <v>0</v>
      </c>
      <c r="D336" s="8">
        <f>IF(B336="","",TEXT(B336,"ddd"))</f>
        <v>0</v>
      </c>
      <c r="E336" s="8">
        <f>IF(B336="","",TEXT(B336,"mmm yyyy"))</f>
        <v>0</v>
      </c>
      <c r="F336" s="27"/>
      <c r="G336" s="7"/>
      <c r="H336" s="26"/>
      <c r="I336" s="8">
        <f>IF(G336="","",IFERROR(INDEX(Recipes!$D$5:$D$204,MATCH(G336,Recipes!$A$5:$A$204,0)),""))</f>
        <v>0</v>
      </c>
      <c r="J336" s="8">
        <f>IF(OR(G336="",H336="",I336="",I336=0),"",H336/I336)</f>
        <v>0</v>
      </c>
      <c r="K336" s="8">
        <f>IF(B336="","",Household_Size)</f>
        <v>0</v>
      </c>
      <c r="L336" s="8">
        <f>IF(OR(G336="",H336=""),"",IFERROR(IFERROR(INDEX(Recipes!$H$5:$H$204,MATCH(G336,Recipes!$A$5:$A$204,0)),"")*H336,""))</f>
        <v>0</v>
      </c>
      <c r="M336" s="8">
        <f>IF(OR(G336="",H336=""),"",IFERROR(IFERROR(INDEX(Recipes!$I$5:$I$204,MATCH(G336,Recipes!$A$5:$A$204,0)),"")*H336,""))</f>
        <v>0</v>
      </c>
      <c r="N336" s="8">
        <f>IF(OR(G336="",H336=""),"",IFERROR(IFERROR(INDEX(Recipes!$J$5:$J$204,MATCH(G336,Recipes!$A$5:$A$204,0)),"")*H336,""))</f>
        <v>0</v>
      </c>
      <c r="O336" s="8">
        <f>IF(OR(G336="",H336=""),"",IFERROR(IFERROR(INDEX(Recipes!$K$5:$K$204,MATCH(G336,Recipes!$A$5:$A$204,0)),"")*H336,""))</f>
        <v>0</v>
      </c>
      <c r="P336" s="8">
        <f>IF(OR(G336="",H336=""),"",IFERROR(IFERROR(INDEX(Recipes!$L$5:$L$204,MATCH(G336,Recipes!$A$5:$A$204,0)),"")*H336,""))</f>
        <v>0</v>
      </c>
      <c r="Q336" s="8">
        <f>IF(OR(G336="",H336=""),"",IFERROR(IFERROR(INDEX(Recipes!$Q$5:$Q$204,MATCH(G336,Recipes!$A$5:$A$204,0)),"")*H336,""))</f>
        <v>0</v>
      </c>
      <c r="R336" s="8">
        <f>IF(F336="","",Weekly_Budget/21)</f>
        <v>0</v>
      </c>
      <c r="S336" s="27"/>
      <c r="T336" s="27"/>
      <c r="U336" s="26"/>
      <c r="V336" s="7"/>
      <c r="W336" s="7"/>
      <c r="X336" s="26"/>
      <c r="Y336" s="8">
        <f>IF(G336="","",IF(COUNTIFS('Meal Prep'!$D$5:$D$124,G336)&gt;0,"Yes","No"))</f>
        <v>0</v>
      </c>
      <c r="Z336" s="8">
        <f>IF(G336="","",COUNTIFS('Recipe Ingredients'!$A$5:$A$1204,G336))</f>
        <v>0</v>
      </c>
      <c r="AA336" s="25"/>
      <c r="AB336" s="8">
        <f>IF(OR(B336="",Q336=""),"",COUNTIFS($B$5:$B$504,B336,$Q$5:$Q$504,"&gt;"&amp;Q336)+1)</f>
        <v>0</v>
      </c>
      <c r="AC336" s="8">
        <f>IF(OR(B336="",L336=""),"",COUNTIFS($B$5:$B$504,B336,$L$5:$L$504,"&gt;"&amp;L336)+1)</f>
        <v>0</v>
      </c>
      <c r="AD336" s="8">
        <f>IF(G336="","",IF(COUNTIFS($G$5:$G$504,G336)&gt;1,"Repeat","Once"))</f>
        <v>0</v>
      </c>
      <c r="AE336" s="8">
        <f>IF(G336="","",IF(IFERROR(INDEX(Recipes!$X$5:$X$204,MATCH(G336,Recipes!$A$5:$A$204,0)),"")="","",IFERROR(B336-IFERROR(INDEX(Recipes!$X$5:$X$204,MATCH(G336,Recipes!$A$5:$A$204,0)),""),"")))</f>
        <v>0</v>
      </c>
      <c r="AF336" s="8">
        <f>IF(G336="","",IF(AE336="","Yes",IF(AE336&gt;=Rotation_Gap_Days,"Yes","No")))</f>
        <v>0</v>
      </c>
      <c r="AG336" s="8">
        <f>IF(G336="","",IF(COUNTIFS('Recipe Ingredients'!$A$5:$A$1204,G336,'Recipe Ingredients'!$AC$5:$AC$1204,"Check")&gt;0,"Check","OK"))</f>
        <v>0</v>
      </c>
    </row>
    <row r="337" spans="1:33">
      <c r="A337" s="7"/>
      <c r="B337" s="30"/>
      <c r="C337" s="8">
        <f>IF(B337="","",B337-WEEKDAY(B337,2)+1)</f>
        <v>0</v>
      </c>
      <c r="D337" s="8">
        <f>IF(B337="","",TEXT(B337,"ddd"))</f>
        <v>0</v>
      </c>
      <c r="E337" s="8">
        <f>IF(B337="","",TEXT(B337,"mmm yyyy"))</f>
        <v>0</v>
      </c>
      <c r="F337" s="27"/>
      <c r="G337" s="7"/>
      <c r="H337" s="26"/>
      <c r="I337" s="8">
        <f>IF(G337="","",IFERROR(INDEX(Recipes!$D$5:$D$204,MATCH(G337,Recipes!$A$5:$A$204,0)),""))</f>
        <v>0</v>
      </c>
      <c r="J337" s="8">
        <f>IF(OR(G337="",H337="",I337="",I337=0),"",H337/I337)</f>
        <v>0</v>
      </c>
      <c r="K337" s="8">
        <f>IF(B337="","",Household_Size)</f>
        <v>0</v>
      </c>
      <c r="L337" s="8">
        <f>IF(OR(G337="",H337=""),"",IFERROR(IFERROR(INDEX(Recipes!$H$5:$H$204,MATCH(G337,Recipes!$A$5:$A$204,0)),"")*H337,""))</f>
        <v>0</v>
      </c>
      <c r="M337" s="8">
        <f>IF(OR(G337="",H337=""),"",IFERROR(IFERROR(INDEX(Recipes!$I$5:$I$204,MATCH(G337,Recipes!$A$5:$A$204,0)),"")*H337,""))</f>
        <v>0</v>
      </c>
      <c r="N337" s="8">
        <f>IF(OR(G337="",H337=""),"",IFERROR(IFERROR(INDEX(Recipes!$J$5:$J$204,MATCH(G337,Recipes!$A$5:$A$204,0)),"")*H337,""))</f>
        <v>0</v>
      </c>
      <c r="O337" s="8">
        <f>IF(OR(G337="",H337=""),"",IFERROR(IFERROR(INDEX(Recipes!$K$5:$K$204,MATCH(G337,Recipes!$A$5:$A$204,0)),"")*H337,""))</f>
        <v>0</v>
      </c>
      <c r="P337" s="8">
        <f>IF(OR(G337="",H337=""),"",IFERROR(IFERROR(INDEX(Recipes!$L$5:$L$204,MATCH(G337,Recipes!$A$5:$A$204,0)),"")*H337,""))</f>
        <v>0</v>
      </c>
      <c r="Q337" s="8">
        <f>IF(OR(G337="",H337=""),"",IFERROR(IFERROR(INDEX(Recipes!$Q$5:$Q$204,MATCH(G337,Recipes!$A$5:$A$204,0)),"")*H337,""))</f>
        <v>0</v>
      </c>
      <c r="R337" s="8">
        <f>IF(F337="","",Weekly_Budget/21)</f>
        <v>0</v>
      </c>
      <c r="S337" s="27"/>
      <c r="T337" s="27"/>
      <c r="U337" s="26"/>
      <c r="V337" s="7"/>
      <c r="W337" s="7"/>
      <c r="X337" s="26"/>
      <c r="Y337" s="8">
        <f>IF(G337="","",IF(COUNTIFS('Meal Prep'!$D$5:$D$124,G337)&gt;0,"Yes","No"))</f>
        <v>0</v>
      </c>
      <c r="Z337" s="8">
        <f>IF(G337="","",COUNTIFS('Recipe Ingredients'!$A$5:$A$1204,G337))</f>
        <v>0</v>
      </c>
      <c r="AA337" s="25"/>
      <c r="AB337" s="8">
        <f>IF(OR(B337="",Q337=""),"",COUNTIFS($B$5:$B$504,B337,$Q$5:$Q$504,"&gt;"&amp;Q337)+1)</f>
        <v>0</v>
      </c>
      <c r="AC337" s="8">
        <f>IF(OR(B337="",L337=""),"",COUNTIFS($B$5:$B$504,B337,$L$5:$L$504,"&gt;"&amp;L337)+1)</f>
        <v>0</v>
      </c>
      <c r="AD337" s="8">
        <f>IF(G337="","",IF(COUNTIFS($G$5:$G$504,G337)&gt;1,"Repeat","Once"))</f>
        <v>0</v>
      </c>
      <c r="AE337" s="8">
        <f>IF(G337="","",IF(IFERROR(INDEX(Recipes!$X$5:$X$204,MATCH(G337,Recipes!$A$5:$A$204,0)),"")="","",IFERROR(B337-IFERROR(INDEX(Recipes!$X$5:$X$204,MATCH(G337,Recipes!$A$5:$A$204,0)),""),"")))</f>
        <v>0</v>
      </c>
      <c r="AF337" s="8">
        <f>IF(G337="","",IF(AE337="","Yes",IF(AE337&gt;=Rotation_Gap_Days,"Yes","No")))</f>
        <v>0</v>
      </c>
      <c r="AG337" s="8">
        <f>IF(G337="","",IF(COUNTIFS('Recipe Ingredients'!$A$5:$A$1204,G337,'Recipe Ingredients'!$AC$5:$AC$1204,"Check")&gt;0,"Check","OK"))</f>
        <v>0</v>
      </c>
    </row>
    <row r="338" spans="1:33">
      <c r="A338" s="7"/>
      <c r="B338" s="30"/>
      <c r="C338" s="8">
        <f>IF(B338="","",B338-WEEKDAY(B338,2)+1)</f>
        <v>0</v>
      </c>
      <c r="D338" s="8">
        <f>IF(B338="","",TEXT(B338,"ddd"))</f>
        <v>0</v>
      </c>
      <c r="E338" s="8">
        <f>IF(B338="","",TEXT(B338,"mmm yyyy"))</f>
        <v>0</v>
      </c>
      <c r="F338" s="27"/>
      <c r="G338" s="7"/>
      <c r="H338" s="26"/>
      <c r="I338" s="8">
        <f>IF(G338="","",IFERROR(INDEX(Recipes!$D$5:$D$204,MATCH(G338,Recipes!$A$5:$A$204,0)),""))</f>
        <v>0</v>
      </c>
      <c r="J338" s="8">
        <f>IF(OR(G338="",H338="",I338="",I338=0),"",H338/I338)</f>
        <v>0</v>
      </c>
      <c r="K338" s="8">
        <f>IF(B338="","",Household_Size)</f>
        <v>0</v>
      </c>
      <c r="L338" s="8">
        <f>IF(OR(G338="",H338=""),"",IFERROR(IFERROR(INDEX(Recipes!$H$5:$H$204,MATCH(G338,Recipes!$A$5:$A$204,0)),"")*H338,""))</f>
        <v>0</v>
      </c>
      <c r="M338" s="8">
        <f>IF(OR(G338="",H338=""),"",IFERROR(IFERROR(INDEX(Recipes!$I$5:$I$204,MATCH(G338,Recipes!$A$5:$A$204,0)),"")*H338,""))</f>
        <v>0</v>
      </c>
      <c r="N338" s="8">
        <f>IF(OR(G338="",H338=""),"",IFERROR(IFERROR(INDEX(Recipes!$J$5:$J$204,MATCH(G338,Recipes!$A$5:$A$204,0)),"")*H338,""))</f>
        <v>0</v>
      </c>
      <c r="O338" s="8">
        <f>IF(OR(G338="",H338=""),"",IFERROR(IFERROR(INDEX(Recipes!$K$5:$K$204,MATCH(G338,Recipes!$A$5:$A$204,0)),"")*H338,""))</f>
        <v>0</v>
      </c>
      <c r="P338" s="8">
        <f>IF(OR(G338="",H338=""),"",IFERROR(IFERROR(INDEX(Recipes!$L$5:$L$204,MATCH(G338,Recipes!$A$5:$A$204,0)),"")*H338,""))</f>
        <v>0</v>
      </c>
      <c r="Q338" s="8">
        <f>IF(OR(G338="",H338=""),"",IFERROR(IFERROR(INDEX(Recipes!$Q$5:$Q$204,MATCH(G338,Recipes!$A$5:$A$204,0)),"")*H338,""))</f>
        <v>0</v>
      </c>
      <c r="R338" s="8">
        <f>IF(F338="","",Weekly_Budget/21)</f>
        <v>0</v>
      </c>
      <c r="S338" s="27"/>
      <c r="T338" s="27"/>
      <c r="U338" s="26"/>
      <c r="V338" s="7"/>
      <c r="W338" s="7"/>
      <c r="X338" s="26"/>
      <c r="Y338" s="8">
        <f>IF(G338="","",IF(COUNTIFS('Meal Prep'!$D$5:$D$124,G338)&gt;0,"Yes","No"))</f>
        <v>0</v>
      </c>
      <c r="Z338" s="8">
        <f>IF(G338="","",COUNTIFS('Recipe Ingredients'!$A$5:$A$1204,G338))</f>
        <v>0</v>
      </c>
      <c r="AA338" s="25"/>
      <c r="AB338" s="8">
        <f>IF(OR(B338="",Q338=""),"",COUNTIFS($B$5:$B$504,B338,$Q$5:$Q$504,"&gt;"&amp;Q338)+1)</f>
        <v>0</v>
      </c>
      <c r="AC338" s="8">
        <f>IF(OR(B338="",L338=""),"",COUNTIFS($B$5:$B$504,B338,$L$5:$L$504,"&gt;"&amp;L338)+1)</f>
        <v>0</v>
      </c>
      <c r="AD338" s="8">
        <f>IF(G338="","",IF(COUNTIFS($G$5:$G$504,G338)&gt;1,"Repeat","Once"))</f>
        <v>0</v>
      </c>
      <c r="AE338" s="8">
        <f>IF(G338="","",IF(IFERROR(INDEX(Recipes!$X$5:$X$204,MATCH(G338,Recipes!$A$5:$A$204,0)),"")="","",IFERROR(B338-IFERROR(INDEX(Recipes!$X$5:$X$204,MATCH(G338,Recipes!$A$5:$A$204,0)),""),"")))</f>
        <v>0</v>
      </c>
      <c r="AF338" s="8">
        <f>IF(G338="","",IF(AE338="","Yes",IF(AE338&gt;=Rotation_Gap_Days,"Yes","No")))</f>
        <v>0</v>
      </c>
      <c r="AG338" s="8">
        <f>IF(G338="","",IF(COUNTIFS('Recipe Ingredients'!$A$5:$A$1204,G338,'Recipe Ingredients'!$AC$5:$AC$1204,"Check")&gt;0,"Check","OK"))</f>
        <v>0</v>
      </c>
    </row>
    <row r="339" spans="1:33">
      <c r="A339" s="7"/>
      <c r="B339" s="30"/>
      <c r="C339" s="8">
        <f>IF(B339="","",B339-WEEKDAY(B339,2)+1)</f>
        <v>0</v>
      </c>
      <c r="D339" s="8">
        <f>IF(B339="","",TEXT(B339,"ddd"))</f>
        <v>0</v>
      </c>
      <c r="E339" s="8">
        <f>IF(B339="","",TEXT(B339,"mmm yyyy"))</f>
        <v>0</v>
      </c>
      <c r="F339" s="27"/>
      <c r="G339" s="7"/>
      <c r="H339" s="26"/>
      <c r="I339" s="8">
        <f>IF(G339="","",IFERROR(INDEX(Recipes!$D$5:$D$204,MATCH(G339,Recipes!$A$5:$A$204,0)),""))</f>
        <v>0</v>
      </c>
      <c r="J339" s="8">
        <f>IF(OR(G339="",H339="",I339="",I339=0),"",H339/I339)</f>
        <v>0</v>
      </c>
      <c r="K339" s="8">
        <f>IF(B339="","",Household_Size)</f>
        <v>0</v>
      </c>
      <c r="L339" s="8">
        <f>IF(OR(G339="",H339=""),"",IFERROR(IFERROR(INDEX(Recipes!$H$5:$H$204,MATCH(G339,Recipes!$A$5:$A$204,0)),"")*H339,""))</f>
        <v>0</v>
      </c>
      <c r="M339" s="8">
        <f>IF(OR(G339="",H339=""),"",IFERROR(IFERROR(INDEX(Recipes!$I$5:$I$204,MATCH(G339,Recipes!$A$5:$A$204,0)),"")*H339,""))</f>
        <v>0</v>
      </c>
      <c r="N339" s="8">
        <f>IF(OR(G339="",H339=""),"",IFERROR(IFERROR(INDEX(Recipes!$J$5:$J$204,MATCH(G339,Recipes!$A$5:$A$204,0)),"")*H339,""))</f>
        <v>0</v>
      </c>
      <c r="O339" s="8">
        <f>IF(OR(G339="",H339=""),"",IFERROR(IFERROR(INDEX(Recipes!$K$5:$K$204,MATCH(G339,Recipes!$A$5:$A$204,0)),"")*H339,""))</f>
        <v>0</v>
      </c>
      <c r="P339" s="8">
        <f>IF(OR(G339="",H339=""),"",IFERROR(IFERROR(INDEX(Recipes!$L$5:$L$204,MATCH(G339,Recipes!$A$5:$A$204,0)),"")*H339,""))</f>
        <v>0</v>
      </c>
      <c r="Q339" s="8">
        <f>IF(OR(G339="",H339=""),"",IFERROR(IFERROR(INDEX(Recipes!$Q$5:$Q$204,MATCH(G339,Recipes!$A$5:$A$204,0)),"")*H339,""))</f>
        <v>0</v>
      </c>
      <c r="R339" s="8">
        <f>IF(F339="","",Weekly_Budget/21)</f>
        <v>0</v>
      </c>
      <c r="S339" s="27"/>
      <c r="T339" s="27"/>
      <c r="U339" s="26"/>
      <c r="V339" s="7"/>
      <c r="W339" s="7"/>
      <c r="X339" s="26"/>
      <c r="Y339" s="8">
        <f>IF(G339="","",IF(COUNTIFS('Meal Prep'!$D$5:$D$124,G339)&gt;0,"Yes","No"))</f>
        <v>0</v>
      </c>
      <c r="Z339" s="8">
        <f>IF(G339="","",COUNTIFS('Recipe Ingredients'!$A$5:$A$1204,G339))</f>
        <v>0</v>
      </c>
      <c r="AA339" s="25"/>
      <c r="AB339" s="8">
        <f>IF(OR(B339="",Q339=""),"",COUNTIFS($B$5:$B$504,B339,$Q$5:$Q$504,"&gt;"&amp;Q339)+1)</f>
        <v>0</v>
      </c>
      <c r="AC339" s="8">
        <f>IF(OR(B339="",L339=""),"",COUNTIFS($B$5:$B$504,B339,$L$5:$L$504,"&gt;"&amp;L339)+1)</f>
        <v>0</v>
      </c>
      <c r="AD339" s="8">
        <f>IF(G339="","",IF(COUNTIFS($G$5:$G$504,G339)&gt;1,"Repeat","Once"))</f>
        <v>0</v>
      </c>
      <c r="AE339" s="8">
        <f>IF(G339="","",IF(IFERROR(INDEX(Recipes!$X$5:$X$204,MATCH(G339,Recipes!$A$5:$A$204,0)),"")="","",IFERROR(B339-IFERROR(INDEX(Recipes!$X$5:$X$204,MATCH(G339,Recipes!$A$5:$A$204,0)),""),"")))</f>
        <v>0</v>
      </c>
      <c r="AF339" s="8">
        <f>IF(G339="","",IF(AE339="","Yes",IF(AE339&gt;=Rotation_Gap_Days,"Yes","No")))</f>
        <v>0</v>
      </c>
      <c r="AG339" s="8">
        <f>IF(G339="","",IF(COUNTIFS('Recipe Ingredients'!$A$5:$A$1204,G339,'Recipe Ingredients'!$AC$5:$AC$1204,"Check")&gt;0,"Check","OK"))</f>
        <v>0</v>
      </c>
    </row>
    <row r="340" spans="1:33">
      <c r="A340" s="7"/>
      <c r="B340" s="30"/>
      <c r="C340" s="8">
        <f>IF(B340="","",B340-WEEKDAY(B340,2)+1)</f>
        <v>0</v>
      </c>
      <c r="D340" s="8">
        <f>IF(B340="","",TEXT(B340,"ddd"))</f>
        <v>0</v>
      </c>
      <c r="E340" s="8">
        <f>IF(B340="","",TEXT(B340,"mmm yyyy"))</f>
        <v>0</v>
      </c>
      <c r="F340" s="27"/>
      <c r="G340" s="7"/>
      <c r="H340" s="26"/>
      <c r="I340" s="8">
        <f>IF(G340="","",IFERROR(INDEX(Recipes!$D$5:$D$204,MATCH(G340,Recipes!$A$5:$A$204,0)),""))</f>
        <v>0</v>
      </c>
      <c r="J340" s="8">
        <f>IF(OR(G340="",H340="",I340="",I340=0),"",H340/I340)</f>
        <v>0</v>
      </c>
      <c r="K340" s="8">
        <f>IF(B340="","",Household_Size)</f>
        <v>0</v>
      </c>
      <c r="L340" s="8">
        <f>IF(OR(G340="",H340=""),"",IFERROR(IFERROR(INDEX(Recipes!$H$5:$H$204,MATCH(G340,Recipes!$A$5:$A$204,0)),"")*H340,""))</f>
        <v>0</v>
      </c>
      <c r="M340" s="8">
        <f>IF(OR(G340="",H340=""),"",IFERROR(IFERROR(INDEX(Recipes!$I$5:$I$204,MATCH(G340,Recipes!$A$5:$A$204,0)),"")*H340,""))</f>
        <v>0</v>
      </c>
      <c r="N340" s="8">
        <f>IF(OR(G340="",H340=""),"",IFERROR(IFERROR(INDEX(Recipes!$J$5:$J$204,MATCH(G340,Recipes!$A$5:$A$204,0)),"")*H340,""))</f>
        <v>0</v>
      </c>
      <c r="O340" s="8">
        <f>IF(OR(G340="",H340=""),"",IFERROR(IFERROR(INDEX(Recipes!$K$5:$K$204,MATCH(G340,Recipes!$A$5:$A$204,0)),"")*H340,""))</f>
        <v>0</v>
      </c>
      <c r="P340" s="8">
        <f>IF(OR(G340="",H340=""),"",IFERROR(IFERROR(INDEX(Recipes!$L$5:$L$204,MATCH(G340,Recipes!$A$5:$A$204,0)),"")*H340,""))</f>
        <v>0</v>
      </c>
      <c r="Q340" s="8">
        <f>IF(OR(G340="",H340=""),"",IFERROR(IFERROR(INDEX(Recipes!$Q$5:$Q$204,MATCH(G340,Recipes!$A$5:$A$204,0)),"")*H340,""))</f>
        <v>0</v>
      </c>
      <c r="R340" s="8">
        <f>IF(F340="","",Weekly_Budget/21)</f>
        <v>0</v>
      </c>
      <c r="S340" s="27"/>
      <c r="T340" s="27"/>
      <c r="U340" s="26"/>
      <c r="V340" s="7"/>
      <c r="W340" s="7"/>
      <c r="X340" s="26"/>
      <c r="Y340" s="8">
        <f>IF(G340="","",IF(COUNTIFS('Meal Prep'!$D$5:$D$124,G340)&gt;0,"Yes","No"))</f>
        <v>0</v>
      </c>
      <c r="Z340" s="8">
        <f>IF(G340="","",COUNTIFS('Recipe Ingredients'!$A$5:$A$1204,G340))</f>
        <v>0</v>
      </c>
      <c r="AA340" s="25"/>
      <c r="AB340" s="8">
        <f>IF(OR(B340="",Q340=""),"",COUNTIFS($B$5:$B$504,B340,$Q$5:$Q$504,"&gt;"&amp;Q340)+1)</f>
        <v>0</v>
      </c>
      <c r="AC340" s="8">
        <f>IF(OR(B340="",L340=""),"",COUNTIFS($B$5:$B$504,B340,$L$5:$L$504,"&gt;"&amp;L340)+1)</f>
        <v>0</v>
      </c>
      <c r="AD340" s="8">
        <f>IF(G340="","",IF(COUNTIFS($G$5:$G$504,G340)&gt;1,"Repeat","Once"))</f>
        <v>0</v>
      </c>
      <c r="AE340" s="8">
        <f>IF(G340="","",IF(IFERROR(INDEX(Recipes!$X$5:$X$204,MATCH(G340,Recipes!$A$5:$A$204,0)),"")="","",IFERROR(B340-IFERROR(INDEX(Recipes!$X$5:$X$204,MATCH(G340,Recipes!$A$5:$A$204,0)),""),"")))</f>
        <v>0</v>
      </c>
      <c r="AF340" s="8">
        <f>IF(G340="","",IF(AE340="","Yes",IF(AE340&gt;=Rotation_Gap_Days,"Yes","No")))</f>
        <v>0</v>
      </c>
      <c r="AG340" s="8">
        <f>IF(G340="","",IF(COUNTIFS('Recipe Ingredients'!$A$5:$A$1204,G340,'Recipe Ingredients'!$AC$5:$AC$1204,"Check")&gt;0,"Check","OK"))</f>
        <v>0</v>
      </c>
    </row>
    <row r="341" spans="1:33">
      <c r="A341" s="7"/>
      <c r="B341" s="30"/>
      <c r="C341" s="8">
        <f>IF(B341="","",B341-WEEKDAY(B341,2)+1)</f>
        <v>0</v>
      </c>
      <c r="D341" s="8">
        <f>IF(B341="","",TEXT(B341,"ddd"))</f>
        <v>0</v>
      </c>
      <c r="E341" s="8">
        <f>IF(B341="","",TEXT(B341,"mmm yyyy"))</f>
        <v>0</v>
      </c>
      <c r="F341" s="27"/>
      <c r="G341" s="7"/>
      <c r="H341" s="26"/>
      <c r="I341" s="8">
        <f>IF(G341="","",IFERROR(INDEX(Recipes!$D$5:$D$204,MATCH(G341,Recipes!$A$5:$A$204,0)),""))</f>
        <v>0</v>
      </c>
      <c r="J341" s="8">
        <f>IF(OR(G341="",H341="",I341="",I341=0),"",H341/I341)</f>
        <v>0</v>
      </c>
      <c r="K341" s="8">
        <f>IF(B341="","",Household_Size)</f>
        <v>0</v>
      </c>
      <c r="L341" s="8">
        <f>IF(OR(G341="",H341=""),"",IFERROR(IFERROR(INDEX(Recipes!$H$5:$H$204,MATCH(G341,Recipes!$A$5:$A$204,0)),"")*H341,""))</f>
        <v>0</v>
      </c>
      <c r="M341" s="8">
        <f>IF(OR(G341="",H341=""),"",IFERROR(IFERROR(INDEX(Recipes!$I$5:$I$204,MATCH(G341,Recipes!$A$5:$A$204,0)),"")*H341,""))</f>
        <v>0</v>
      </c>
      <c r="N341" s="8">
        <f>IF(OR(G341="",H341=""),"",IFERROR(IFERROR(INDEX(Recipes!$J$5:$J$204,MATCH(G341,Recipes!$A$5:$A$204,0)),"")*H341,""))</f>
        <v>0</v>
      </c>
      <c r="O341" s="8">
        <f>IF(OR(G341="",H341=""),"",IFERROR(IFERROR(INDEX(Recipes!$K$5:$K$204,MATCH(G341,Recipes!$A$5:$A$204,0)),"")*H341,""))</f>
        <v>0</v>
      </c>
      <c r="P341" s="8">
        <f>IF(OR(G341="",H341=""),"",IFERROR(IFERROR(INDEX(Recipes!$L$5:$L$204,MATCH(G341,Recipes!$A$5:$A$204,0)),"")*H341,""))</f>
        <v>0</v>
      </c>
      <c r="Q341" s="8">
        <f>IF(OR(G341="",H341=""),"",IFERROR(IFERROR(INDEX(Recipes!$Q$5:$Q$204,MATCH(G341,Recipes!$A$5:$A$204,0)),"")*H341,""))</f>
        <v>0</v>
      </c>
      <c r="R341" s="8">
        <f>IF(F341="","",Weekly_Budget/21)</f>
        <v>0</v>
      </c>
      <c r="S341" s="27"/>
      <c r="T341" s="27"/>
      <c r="U341" s="26"/>
      <c r="V341" s="7"/>
      <c r="W341" s="7"/>
      <c r="X341" s="26"/>
      <c r="Y341" s="8">
        <f>IF(G341="","",IF(COUNTIFS('Meal Prep'!$D$5:$D$124,G341)&gt;0,"Yes","No"))</f>
        <v>0</v>
      </c>
      <c r="Z341" s="8">
        <f>IF(G341="","",COUNTIFS('Recipe Ingredients'!$A$5:$A$1204,G341))</f>
        <v>0</v>
      </c>
      <c r="AA341" s="25"/>
      <c r="AB341" s="8">
        <f>IF(OR(B341="",Q341=""),"",COUNTIFS($B$5:$B$504,B341,$Q$5:$Q$504,"&gt;"&amp;Q341)+1)</f>
        <v>0</v>
      </c>
      <c r="AC341" s="8">
        <f>IF(OR(B341="",L341=""),"",COUNTIFS($B$5:$B$504,B341,$L$5:$L$504,"&gt;"&amp;L341)+1)</f>
        <v>0</v>
      </c>
      <c r="AD341" s="8">
        <f>IF(G341="","",IF(COUNTIFS($G$5:$G$504,G341)&gt;1,"Repeat","Once"))</f>
        <v>0</v>
      </c>
      <c r="AE341" s="8">
        <f>IF(G341="","",IF(IFERROR(INDEX(Recipes!$X$5:$X$204,MATCH(G341,Recipes!$A$5:$A$204,0)),"")="","",IFERROR(B341-IFERROR(INDEX(Recipes!$X$5:$X$204,MATCH(G341,Recipes!$A$5:$A$204,0)),""),"")))</f>
        <v>0</v>
      </c>
      <c r="AF341" s="8">
        <f>IF(G341="","",IF(AE341="","Yes",IF(AE341&gt;=Rotation_Gap_Days,"Yes","No")))</f>
        <v>0</v>
      </c>
      <c r="AG341" s="8">
        <f>IF(G341="","",IF(COUNTIFS('Recipe Ingredients'!$A$5:$A$1204,G341,'Recipe Ingredients'!$AC$5:$AC$1204,"Check")&gt;0,"Check","OK"))</f>
        <v>0</v>
      </c>
    </row>
    <row r="342" spans="1:33">
      <c r="A342" s="7"/>
      <c r="B342" s="30"/>
      <c r="C342" s="8">
        <f>IF(B342="","",B342-WEEKDAY(B342,2)+1)</f>
        <v>0</v>
      </c>
      <c r="D342" s="8">
        <f>IF(B342="","",TEXT(B342,"ddd"))</f>
        <v>0</v>
      </c>
      <c r="E342" s="8">
        <f>IF(B342="","",TEXT(B342,"mmm yyyy"))</f>
        <v>0</v>
      </c>
      <c r="F342" s="27"/>
      <c r="G342" s="7"/>
      <c r="H342" s="26"/>
      <c r="I342" s="8">
        <f>IF(G342="","",IFERROR(INDEX(Recipes!$D$5:$D$204,MATCH(G342,Recipes!$A$5:$A$204,0)),""))</f>
        <v>0</v>
      </c>
      <c r="J342" s="8">
        <f>IF(OR(G342="",H342="",I342="",I342=0),"",H342/I342)</f>
        <v>0</v>
      </c>
      <c r="K342" s="8">
        <f>IF(B342="","",Household_Size)</f>
        <v>0</v>
      </c>
      <c r="L342" s="8">
        <f>IF(OR(G342="",H342=""),"",IFERROR(IFERROR(INDEX(Recipes!$H$5:$H$204,MATCH(G342,Recipes!$A$5:$A$204,0)),"")*H342,""))</f>
        <v>0</v>
      </c>
      <c r="M342" s="8">
        <f>IF(OR(G342="",H342=""),"",IFERROR(IFERROR(INDEX(Recipes!$I$5:$I$204,MATCH(G342,Recipes!$A$5:$A$204,0)),"")*H342,""))</f>
        <v>0</v>
      </c>
      <c r="N342" s="8">
        <f>IF(OR(G342="",H342=""),"",IFERROR(IFERROR(INDEX(Recipes!$J$5:$J$204,MATCH(G342,Recipes!$A$5:$A$204,0)),"")*H342,""))</f>
        <v>0</v>
      </c>
      <c r="O342" s="8">
        <f>IF(OR(G342="",H342=""),"",IFERROR(IFERROR(INDEX(Recipes!$K$5:$K$204,MATCH(G342,Recipes!$A$5:$A$204,0)),"")*H342,""))</f>
        <v>0</v>
      </c>
      <c r="P342" s="8">
        <f>IF(OR(G342="",H342=""),"",IFERROR(IFERROR(INDEX(Recipes!$L$5:$L$204,MATCH(G342,Recipes!$A$5:$A$204,0)),"")*H342,""))</f>
        <v>0</v>
      </c>
      <c r="Q342" s="8">
        <f>IF(OR(G342="",H342=""),"",IFERROR(IFERROR(INDEX(Recipes!$Q$5:$Q$204,MATCH(G342,Recipes!$A$5:$A$204,0)),"")*H342,""))</f>
        <v>0</v>
      </c>
      <c r="R342" s="8">
        <f>IF(F342="","",Weekly_Budget/21)</f>
        <v>0</v>
      </c>
      <c r="S342" s="27"/>
      <c r="T342" s="27"/>
      <c r="U342" s="26"/>
      <c r="V342" s="7"/>
      <c r="W342" s="7"/>
      <c r="X342" s="26"/>
      <c r="Y342" s="8">
        <f>IF(G342="","",IF(COUNTIFS('Meal Prep'!$D$5:$D$124,G342)&gt;0,"Yes","No"))</f>
        <v>0</v>
      </c>
      <c r="Z342" s="8">
        <f>IF(G342="","",COUNTIFS('Recipe Ingredients'!$A$5:$A$1204,G342))</f>
        <v>0</v>
      </c>
      <c r="AA342" s="25"/>
      <c r="AB342" s="8">
        <f>IF(OR(B342="",Q342=""),"",COUNTIFS($B$5:$B$504,B342,$Q$5:$Q$504,"&gt;"&amp;Q342)+1)</f>
        <v>0</v>
      </c>
      <c r="AC342" s="8">
        <f>IF(OR(B342="",L342=""),"",COUNTIFS($B$5:$B$504,B342,$L$5:$L$504,"&gt;"&amp;L342)+1)</f>
        <v>0</v>
      </c>
      <c r="AD342" s="8">
        <f>IF(G342="","",IF(COUNTIFS($G$5:$G$504,G342)&gt;1,"Repeat","Once"))</f>
        <v>0</v>
      </c>
      <c r="AE342" s="8">
        <f>IF(G342="","",IF(IFERROR(INDEX(Recipes!$X$5:$X$204,MATCH(G342,Recipes!$A$5:$A$204,0)),"")="","",IFERROR(B342-IFERROR(INDEX(Recipes!$X$5:$X$204,MATCH(G342,Recipes!$A$5:$A$204,0)),""),"")))</f>
        <v>0</v>
      </c>
      <c r="AF342" s="8">
        <f>IF(G342="","",IF(AE342="","Yes",IF(AE342&gt;=Rotation_Gap_Days,"Yes","No")))</f>
        <v>0</v>
      </c>
      <c r="AG342" s="8">
        <f>IF(G342="","",IF(COUNTIFS('Recipe Ingredients'!$A$5:$A$1204,G342,'Recipe Ingredients'!$AC$5:$AC$1204,"Check")&gt;0,"Check","OK"))</f>
        <v>0</v>
      </c>
    </row>
    <row r="343" spans="1:33">
      <c r="A343" s="7"/>
      <c r="B343" s="30"/>
      <c r="C343" s="8">
        <f>IF(B343="","",B343-WEEKDAY(B343,2)+1)</f>
        <v>0</v>
      </c>
      <c r="D343" s="8">
        <f>IF(B343="","",TEXT(B343,"ddd"))</f>
        <v>0</v>
      </c>
      <c r="E343" s="8">
        <f>IF(B343="","",TEXT(B343,"mmm yyyy"))</f>
        <v>0</v>
      </c>
      <c r="F343" s="27"/>
      <c r="G343" s="7"/>
      <c r="H343" s="26"/>
      <c r="I343" s="8">
        <f>IF(G343="","",IFERROR(INDEX(Recipes!$D$5:$D$204,MATCH(G343,Recipes!$A$5:$A$204,0)),""))</f>
        <v>0</v>
      </c>
      <c r="J343" s="8">
        <f>IF(OR(G343="",H343="",I343="",I343=0),"",H343/I343)</f>
        <v>0</v>
      </c>
      <c r="K343" s="8">
        <f>IF(B343="","",Household_Size)</f>
        <v>0</v>
      </c>
      <c r="L343" s="8">
        <f>IF(OR(G343="",H343=""),"",IFERROR(IFERROR(INDEX(Recipes!$H$5:$H$204,MATCH(G343,Recipes!$A$5:$A$204,0)),"")*H343,""))</f>
        <v>0</v>
      </c>
      <c r="M343" s="8">
        <f>IF(OR(G343="",H343=""),"",IFERROR(IFERROR(INDEX(Recipes!$I$5:$I$204,MATCH(G343,Recipes!$A$5:$A$204,0)),"")*H343,""))</f>
        <v>0</v>
      </c>
      <c r="N343" s="8">
        <f>IF(OR(G343="",H343=""),"",IFERROR(IFERROR(INDEX(Recipes!$J$5:$J$204,MATCH(G343,Recipes!$A$5:$A$204,0)),"")*H343,""))</f>
        <v>0</v>
      </c>
      <c r="O343" s="8">
        <f>IF(OR(G343="",H343=""),"",IFERROR(IFERROR(INDEX(Recipes!$K$5:$K$204,MATCH(G343,Recipes!$A$5:$A$204,0)),"")*H343,""))</f>
        <v>0</v>
      </c>
      <c r="P343" s="8">
        <f>IF(OR(G343="",H343=""),"",IFERROR(IFERROR(INDEX(Recipes!$L$5:$L$204,MATCH(G343,Recipes!$A$5:$A$204,0)),"")*H343,""))</f>
        <v>0</v>
      </c>
      <c r="Q343" s="8">
        <f>IF(OR(G343="",H343=""),"",IFERROR(IFERROR(INDEX(Recipes!$Q$5:$Q$204,MATCH(G343,Recipes!$A$5:$A$204,0)),"")*H343,""))</f>
        <v>0</v>
      </c>
      <c r="R343" s="8">
        <f>IF(F343="","",Weekly_Budget/21)</f>
        <v>0</v>
      </c>
      <c r="S343" s="27"/>
      <c r="T343" s="27"/>
      <c r="U343" s="26"/>
      <c r="V343" s="7"/>
      <c r="W343" s="7"/>
      <c r="X343" s="26"/>
      <c r="Y343" s="8">
        <f>IF(G343="","",IF(COUNTIFS('Meal Prep'!$D$5:$D$124,G343)&gt;0,"Yes","No"))</f>
        <v>0</v>
      </c>
      <c r="Z343" s="8">
        <f>IF(G343="","",COUNTIFS('Recipe Ingredients'!$A$5:$A$1204,G343))</f>
        <v>0</v>
      </c>
      <c r="AA343" s="25"/>
      <c r="AB343" s="8">
        <f>IF(OR(B343="",Q343=""),"",COUNTIFS($B$5:$B$504,B343,$Q$5:$Q$504,"&gt;"&amp;Q343)+1)</f>
        <v>0</v>
      </c>
      <c r="AC343" s="8">
        <f>IF(OR(B343="",L343=""),"",COUNTIFS($B$5:$B$504,B343,$L$5:$L$504,"&gt;"&amp;L343)+1)</f>
        <v>0</v>
      </c>
      <c r="AD343" s="8">
        <f>IF(G343="","",IF(COUNTIFS($G$5:$G$504,G343)&gt;1,"Repeat","Once"))</f>
        <v>0</v>
      </c>
      <c r="AE343" s="8">
        <f>IF(G343="","",IF(IFERROR(INDEX(Recipes!$X$5:$X$204,MATCH(G343,Recipes!$A$5:$A$204,0)),"")="","",IFERROR(B343-IFERROR(INDEX(Recipes!$X$5:$X$204,MATCH(G343,Recipes!$A$5:$A$204,0)),""),"")))</f>
        <v>0</v>
      </c>
      <c r="AF343" s="8">
        <f>IF(G343="","",IF(AE343="","Yes",IF(AE343&gt;=Rotation_Gap_Days,"Yes","No")))</f>
        <v>0</v>
      </c>
      <c r="AG343" s="8">
        <f>IF(G343="","",IF(COUNTIFS('Recipe Ingredients'!$A$5:$A$1204,G343,'Recipe Ingredients'!$AC$5:$AC$1204,"Check")&gt;0,"Check","OK"))</f>
        <v>0</v>
      </c>
    </row>
    <row r="344" spans="1:33">
      <c r="A344" s="7"/>
      <c r="B344" s="30"/>
      <c r="C344" s="8">
        <f>IF(B344="","",B344-WEEKDAY(B344,2)+1)</f>
        <v>0</v>
      </c>
      <c r="D344" s="8">
        <f>IF(B344="","",TEXT(B344,"ddd"))</f>
        <v>0</v>
      </c>
      <c r="E344" s="8">
        <f>IF(B344="","",TEXT(B344,"mmm yyyy"))</f>
        <v>0</v>
      </c>
      <c r="F344" s="27"/>
      <c r="G344" s="7"/>
      <c r="H344" s="26"/>
      <c r="I344" s="8">
        <f>IF(G344="","",IFERROR(INDEX(Recipes!$D$5:$D$204,MATCH(G344,Recipes!$A$5:$A$204,0)),""))</f>
        <v>0</v>
      </c>
      <c r="J344" s="8">
        <f>IF(OR(G344="",H344="",I344="",I344=0),"",H344/I344)</f>
        <v>0</v>
      </c>
      <c r="K344" s="8">
        <f>IF(B344="","",Household_Size)</f>
        <v>0</v>
      </c>
      <c r="L344" s="8">
        <f>IF(OR(G344="",H344=""),"",IFERROR(IFERROR(INDEX(Recipes!$H$5:$H$204,MATCH(G344,Recipes!$A$5:$A$204,0)),"")*H344,""))</f>
        <v>0</v>
      </c>
      <c r="M344" s="8">
        <f>IF(OR(G344="",H344=""),"",IFERROR(IFERROR(INDEX(Recipes!$I$5:$I$204,MATCH(G344,Recipes!$A$5:$A$204,0)),"")*H344,""))</f>
        <v>0</v>
      </c>
      <c r="N344" s="8">
        <f>IF(OR(G344="",H344=""),"",IFERROR(IFERROR(INDEX(Recipes!$J$5:$J$204,MATCH(G344,Recipes!$A$5:$A$204,0)),"")*H344,""))</f>
        <v>0</v>
      </c>
      <c r="O344" s="8">
        <f>IF(OR(G344="",H344=""),"",IFERROR(IFERROR(INDEX(Recipes!$K$5:$K$204,MATCH(G344,Recipes!$A$5:$A$204,0)),"")*H344,""))</f>
        <v>0</v>
      </c>
      <c r="P344" s="8">
        <f>IF(OR(G344="",H344=""),"",IFERROR(IFERROR(INDEX(Recipes!$L$5:$L$204,MATCH(G344,Recipes!$A$5:$A$204,0)),"")*H344,""))</f>
        <v>0</v>
      </c>
      <c r="Q344" s="8">
        <f>IF(OR(G344="",H344=""),"",IFERROR(IFERROR(INDEX(Recipes!$Q$5:$Q$204,MATCH(G344,Recipes!$A$5:$A$204,0)),"")*H344,""))</f>
        <v>0</v>
      </c>
      <c r="R344" s="8">
        <f>IF(F344="","",Weekly_Budget/21)</f>
        <v>0</v>
      </c>
      <c r="S344" s="27"/>
      <c r="T344" s="27"/>
      <c r="U344" s="26"/>
      <c r="V344" s="7"/>
      <c r="W344" s="7"/>
      <c r="X344" s="26"/>
      <c r="Y344" s="8">
        <f>IF(G344="","",IF(COUNTIFS('Meal Prep'!$D$5:$D$124,G344)&gt;0,"Yes","No"))</f>
        <v>0</v>
      </c>
      <c r="Z344" s="8">
        <f>IF(G344="","",COUNTIFS('Recipe Ingredients'!$A$5:$A$1204,G344))</f>
        <v>0</v>
      </c>
      <c r="AA344" s="25"/>
      <c r="AB344" s="8">
        <f>IF(OR(B344="",Q344=""),"",COUNTIFS($B$5:$B$504,B344,$Q$5:$Q$504,"&gt;"&amp;Q344)+1)</f>
        <v>0</v>
      </c>
      <c r="AC344" s="8">
        <f>IF(OR(B344="",L344=""),"",COUNTIFS($B$5:$B$504,B344,$L$5:$L$504,"&gt;"&amp;L344)+1)</f>
        <v>0</v>
      </c>
      <c r="AD344" s="8">
        <f>IF(G344="","",IF(COUNTIFS($G$5:$G$504,G344)&gt;1,"Repeat","Once"))</f>
        <v>0</v>
      </c>
      <c r="AE344" s="8">
        <f>IF(G344="","",IF(IFERROR(INDEX(Recipes!$X$5:$X$204,MATCH(G344,Recipes!$A$5:$A$204,0)),"")="","",IFERROR(B344-IFERROR(INDEX(Recipes!$X$5:$X$204,MATCH(G344,Recipes!$A$5:$A$204,0)),""),"")))</f>
        <v>0</v>
      </c>
      <c r="AF344" s="8">
        <f>IF(G344="","",IF(AE344="","Yes",IF(AE344&gt;=Rotation_Gap_Days,"Yes","No")))</f>
        <v>0</v>
      </c>
      <c r="AG344" s="8">
        <f>IF(G344="","",IF(COUNTIFS('Recipe Ingredients'!$A$5:$A$1204,G344,'Recipe Ingredients'!$AC$5:$AC$1204,"Check")&gt;0,"Check","OK"))</f>
        <v>0</v>
      </c>
    </row>
    <row r="345" spans="1:33">
      <c r="A345" s="7"/>
      <c r="B345" s="30"/>
      <c r="C345" s="8">
        <f>IF(B345="","",B345-WEEKDAY(B345,2)+1)</f>
        <v>0</v>
      </c>
      <c r="D345" s="8">
        <f>IF(B345="","",TEXT(B345,"ddd"))</f>
        <v>0</v>
      </c>
      <c r="E345" s="8">
        <f>IF(B345="","",TEXT(B345,"mmm yyyy"))</f>
        <v>0</v>
      </c>
      <c r="F345" s="27"/>
      <c r="G345" s="7"/>
      <c r="H345" s="26"/>
      <c r="I345" s="8">
        <f>IF(G345="","",IFERROR(INDEX(Recipes!$D$5:$D$204,MATCH(G345,Recipes!$A$5:$A$204,0)),""))</f>
        <v>0</v>
      </c>
      <c r="J345" s="8">
        <f>IF(OR(G345="",H345="",I345="",I345=0),"",H345/I345)</f>
        <v>0</v>
      </c>
      <c r="K345" s="8">
        <f>IF(B345="","",Household_Size)</f>
        <v>0</v>
      </c>
      <c r="L345" s="8">
        <f>IF(OR(G345="",H345=""),"",IFERROR(IFERROR(INDEX(Recipes!$H$5:$H$204,MATCH(G345,Recipes!$A$5:$A$204,0)),"")*H345,""))</f>
        <v>0</v>
      </c>
      <c r="M345" s="8">
        <f>IF(OR(G345="",H345=""),"",IFERROR(IFERROR(INDEX(Recipes!$I$5:$I$204,MATCH(G345,Recipes!$A$5:$A$204,0)),"")*H345,""))</f>
        <v>0</v>
      </c>
      <c r="N345" s="8">
        <f>IF(OR(G345="",H345=""),"",IFERROR(IFERROR(INDEX(Recipes!$J$5:$J$204,MATCH(G345,Recipes!$A$5:$A$204,0)),"")*H345,""))</f>
        <v>0</v>
      </c>
      <c r="O345" s="8">
        <f>IF(OR(G345="",H345=""),"",IFERROR(IFERROR(INDEX(Recipes!$K$5:$K$204,MATCH(G345,Recipes!$A$5:$A$204,0)),"")*H345,""))</f>
        <v>0</v>
      </c>
      <c r="P345" s="8">
        <f>IF(OR(G345="",H345=""),"",IFERROR(IFERROR(INDEX(Recipes!$L$5:$L$204,MATCH(G345,Recipes!$A$5:$A$204,0)),"")*H345,""))</f>
        <v>0</v>
      </c>
      <c r="Q345" s="8">
        <f>IF(OR(G345="",H345=""),"",IFERROR(IFERROR(INDEX(Recipes!$Q$5:$Q$204,MATCH(G345,Recipes!$A$5:$A$204,0)),"")*H345,""))</f>
        <v>0</v>
      </c>
      <c r="R345" s="8">
        <f>IF(F345="","",Weekly_Budget/21)</f>
        <v>0</v>
      </c>
      <c r="S345" s="27"/>
      <c r="T345" s="27"/>
      <c r="U345" s="26"/>
      <c r="V345" s="7"/>
      <c r="W345" s="7"/>
      <c r="X345" s="26"/>
      <c r="Y345" s="8">
        <f>IF(G345="","",IF(COUNTIFS('Meal Prep'!$D$5:$D$124,G345)&gt;0,"Yes","No"))</f>
        <v>0</v>
      </c>
      <c r="Z345" s="8">
        <f>IF(G345="","",COUNTIFS('Recipe Ingredients'!$A$5:$A$1204,G345))</f>
        <v>0</v>
      </c>
      <c r="AA345" s="25"/>
      <c r="AB345" s="8">
        <f>IF(OR(B345="",Q345=""),"",COUNTIFS($B$5:$B$504,B345,$Q$5:$Q$504,"&gt;"&amp;Q345)+1)</f>
        <v>0</v>
      </c>
      <c r="AC345" s="8">
        <f>IF(OR(B345="",L345=""),"",COUNTIFS($B$5:$B$504,B345,$L$5:$L$504,"&gt;"&amp;L345)+1)</f>
        <v>0</v>
      </c>
      <c r="AD345" s="8">
        <f>IF(G345="","",IF(COUNTIFS($G$5:$G$504,G345)&gt;1,"Repeat","Once"))</f>
        <v>0</v>
      </c>
      <c r="AE345" s="8">
        <f>IF(G345="","",IF(IFERROR(INDEX(Recipes!$X$5:$X$204,MATCH(G345,Recipes!$A$5:$A$204,0)),"")="","",IFERROR(B345-IFERROR(INDEX(Recipes!$X$5:$X$204,MATCH(G345,Recipes!$A$5:$A$204,0)),""),"")))</f>
        <v>0</v>
      </c>
      <c r="AF345" s="8">
        <f>IF(G345="","",IF(AE345="","Yes",IF(AE345&gt;=Rotation_Gap_Days,"Yes","No")))</f>
        <v>0</v>
      </c>
      <c r="AG345" s="8">
        <f>IF(G345="","",IF(COUNTIFS('Recipe Ingredients'!$A$5:$A$1204,G345,'Recipe Ingredients'!$AC$5:$AC$1204,"Check")&gt;0,"Check","OK"))</f>
        <v>0</v>
      </c>
    </row>
    <row r="346" spans="1:33">
      <c r="A346" s="7"/>
      <c r="B346" s="30"/>
      <c r="C346" s="8">
        <f>IF(B346="","",B346-WEEKDAY(B346,2)+1)</f>
        <v>0</v>
      </c>
      <c r="D346" s="8">
        <f>IF(B346="","",TEXT(B346,"ddd"))</f>
        <v>0</v>
      </c>
      <c r="E346" s="8">
        <f>IF(B346="","",TEXT(B346,"mmm yyyy"))</f>
        <v>0</v>
      </c>
      <c r="F346" s="27"/>
      <c r="G346" s="7"/>
      <c r="H346" s="26"/>
      <c r="I346" s="8">
        <f>IF(G346="","",IFERROR(INDEX(Recipes!$D$5:$D$204,MATCH(G346,Recipes!$A$5:$A$204,0)),""))</f>
        <v>0</v>
      </c>
      <c r="J346" s="8">
        <f>IF(OR(G346="",H346="",I346="",I346=0),"",H346/I346)</f>
        <v>0</v>
      </c>
      <c r="K346" s="8">
        <f>IF(B346="","",Household_Size)</f>
        <v>0</v>
      </c>
      <c r="L346" s="8">
        <f>IF(OR(G346="",H346=""),"",IFERROR(IFERROR(INDEX(Recipes!$H$5:$H$204,MATCH(G346,Recipes!$A$5:$A$204,0)),"")*H346,""))</f>
        <v>0</v>
      </c>
      <c r="M346" s="8">
        <f>IF(OR(G346="",H346=""),"",IFERROR(IFERROR(INDEX(Recipes!$I$5:$I$204,MATCH(G346,Recipes!$A$5:$A$204,0)),"")*H346,""))</f>
        <v>0</v>
      </c>
      <c r="N346" s="8">
        <f>IF(OR(G346="",H346=""),"",IFERROR(IFERROR(INDEX(Recipes!$J$5:$J$204,MATCH(G346,Recipes!$A$5:$A$204,0)),"")*H346,""))</f>
        <v>0</v>
      </c>
      <c r="O346" s="8">
        <f>IF(OR(G346="",H346=""),"",IFERROR(IFERROR(INDEX(Recipes!$K$5:$K$204,MATCH(G346,Recipes!$A$5:$A$204,0)),"")*H346,""))</f>
        <v>0</v>
      </c>
      <c r="P346" s="8">
        <f>IF(OR(G346="",H346=""),"",IFERROR(IFERROR(INDEX(Recipes!$L$5:$L$204,MATCH(G346,Recipes!$A$5:$A$204,0)),"")*H346,""))</f>
        <v>0</v>
      </c>
      <c r="Q346" s="8">
        <f>IF(OR(G346="",H346=""),"",IFERROR(IFERROR(INDEX(Recipes!$Q$5:$Q$204,MATCH(G346,Recipes!$A$5:$A$204,0)),"")*H346,""))</f>
        <v>0</v>
      </c>
      <c r="R346" s="8">
        <f>IF(F346="","",Weekly_Budget/21)</f>
        <v>0</v>
      </c>
      <c r="S346" s="27"/>
      <c r="T346" s="27"/>
      <c r="U346" s="26"/>
      <c r="V346" s="7"/>
      <c r="W346" s="7"/>
      <c r="X346" s="26"/>
      <c r="Y346" s="8">
        <f>IF(G346="","",IF(COUNTIFS('Meal Prep'!$D$5:$D$124,G346)&gt;0,"Yes","No"))</f>
        <v>0</v>
      </c>
      <c r="Z346" s="8">
        <f>IF(G346="","",COUNTIFS('Recipe Ingredients'!$A$5:$A$1204,G346))</f>
        <v>0</v>
      </c>
      <c r="AA346" s="25"/>
      <c r="AB346" s="8">
        <f>IF(OR(B346="",Q346=""),"",COUNTIFS($B$5:$B$504,B346,$Q$5:$Q$504,"&gt;"&amp;Q346)+1)</f>
        <v>0</v>
      </c>
      <c r="AC346" s="8">
        <f>IF(OR(B346="",L346=""),"",COUNTIFS($B$5:$B$504,B346,$L$5:$L$504,"&gt;"&amp;L346)+1)</f>
        <v>0</v>
      </c>
      <c r="AD346" s="8">
        <f>IF(G346="","",IF(COUNTIFS($G$5:$G$504,G346)&gt;1,"Repeat","Once"))</f>
        <v>0</v>
      </c>
      <c r="AE346" s="8">
        <f>IF(G346="","",IF(IFERROR(INDEX(Recipes!$X$5:$X$204,MATCH(G346,Recipes!$A$5:$A$204,0)),"")="","",IFERROR(B346-IFERROR(INDEX(Recipes!$X$5:$X$204,MATCH(G346,Recipes!$A$5:$A$204,0)),""),"")))</f>
        <v>0</v>
      </c>
      <c r="AF346" s="8">
        <f>IF(G346="","",IF(AE346="","Yes",IF(AE346&gt;=Rotation_Gap_Days,"Yes","No")))</f>
        <v>0</v>
      </c>
      <c r="AG346" s="8">
        <f>IF(G346="","",IF(COUNTIFS('Recipe Ingredients'!$A$5:$A$1204,G346,'Recipe Ingredients'!$AC$5:$AC$1204,"Check")&gt;0,"Check","OK"))</f>
        <v>0</v>
      </c>
    </row>
    <row r="347" spans="1:33">
      <c r="A347" s="7"/>
      <c r="B347" s="30"/>
      <c r="C347" s="8">
        <f>IF(B347="","",B347-WEEKDAY(B347,2)+1)</f>
        <v>0</v>
      </c>
      <c r="D347" s="8">
        <f>IF(B347="","",TEXT(B347,"ddd"))</f>
        <v>0</v>
      </c>
      <c r="E347" s="8">
        <f>IF(B347="","",TEXT(B347,"mmm yyyy"))</f>
        <v>0</v>
      </c>
      <c r="F347" s="27"/>
      <c r="G347" s="7"/>
      <c r="H347" s="26"/>
      <c r="I347" s="8">
        <f>IF(G347="","",IFERROR(INDEX(Recipes!$D$5:$D$204,MATCH(G347,Recipes!$A$5:$A$204,0)),""))</f>
        <v>0</v>
      </c>
      <c r="J347" s="8">
        <f>IF(OR(G347="",H347="",I347="",I347=0),"",H347/I347)</f>
        <v>0</v>
      </c>
      <c r="K347" s="8">
        <f>IF(B347="","",Household_Size)</f>
        <v>0</v>
      </c>
      <c r="L347" s="8">
        <f>IF(OR(G347="",H347=""),"",IFERROR(IFERROR(INDEX(Recipes!$H$5:$H$204,MATCH(G347,Recipes!$A$5:$A$204,0)),"")*H347,""))</f>
        <v>0</v>
      </c>
      <c r="M347" s="8">
        <f>IF(OR(G347="",H347=""),"",IFERROR(IFERROR(INDEX(Recipes!$I$5:$I$204,MATCH(G347,Recipes!$A$5:$A$204,0)),"")*H347,""))</f>
        <v>0</v>
      </c>
      <c r="N347" s="8">
        <f>IF(OR(G347="",H347=""),"",IFERROR(IFERROR(INDEX(Recipes!$J$5:$J$204,MATCH(G347,Recipes!$A$5:$A$204,0)),"")*H347,""))</f>
        <v>0</v>
      </c>
      <c r="O347" s="8">
        <f>IF(OR(G347="",H347=""),"",IFERROR(IFERROR(INDEX(Recipes!$K$5:$K$204,MATCH(G347,Recipes!$A$5:$A$204,0)),"")*H347,""))</f>
        <v>0</v>
      </c>
      <c r="P347" s="8">
        <f>IF(OR(G347="",H347=""),"",IFERROR(IFERROR(INDEX(Recipes!$L$5:$L$204,MATCH(G347,Recipes!$A$5:$A$204,0)),"")*H347,""))</f>
        <v>0</v>
      </c>
      <c r="Q347" s="8">
        <f>IF(OR(G347="",H347=""),"",IFERROR(IFERROR(INDEX(Recipes!$Q$5:$Q$204,MATCH(G347,Recipes!$A$5:$A$204,0)),"")*H347,""))</f>
        <v>0</v>
      </c>
      <c r="R347" s="8">
        <f>IF(F347="","",Weekly_Budget/21)</f>
        <v>0</v>
      </c>
      <c r="S347" s="27"/>
      <c r="T347" s="27"/>
      <c r="U347" s="26"/>
      <c r="V347" s="7"/>
      <c r="W347" s="7"/>
      <c r="X347" s="26"/>
      <c r="Y347" s="8">
        <f>IF(G347="","",IF(COUNTIFS('Meal Prep'!$D$5:$D$124,G347)&gt;0,"Yes","No"))</f>
        <v>0</v>
      </c>
      <c r="Z347" s="8">
        <f>IF(G347="","",COUNTIFS('Recipe Ingredients'!$A$5:$A$1204,G347))</f>
        <v>0</v>
      </c>
      <c r="AA347" s="25"/>
      <c r="AB347" s="8">
        <f>IF(OR(B347="",Q347=""),"",COUNTIFS($B$5:$B$504,B347,$Q$5:$Q$504,"&gt;"&amp;Q347)+1)</f>
        <v>0</v>
      </c>
      <c r="AC347" s="8">
        <f>IF(OR(B347="",L347=""),"",COUNTIFS($B$5:$B$504,B347,$L$5:$L$504,"&gt;"&amp;L347)+1)</f>
        <v>0</v>
      </c>
      <c r="AD347" s="8">
        <f>IF(G347="","",IF(COUNTIFS($G$5:$G$504,G347)&gt;1,"Repeat","Once"))</f>
        <v>0</v>
      </c>
      <c r="AE347" s="8">
        <f>IF(G347="","",IF(IFERROR(INDEX(Recipes!$X$5:$X$204,MATCH(G347,Recipes!$A$5:$A$204,0)),"")="","",IFERROR(B347-IFERROR(INDEX(Recipes!$X$5:$X$204,MATCH(G347,Recipes!$A$5:$A$204,0)),""),"")))</f>
        <v>0</v>
      </c>
      <c r="AF347" s="8">
        <f>IF(G347="","",IF(AE347="","Yes",IF(AE347&gt;=Rotation_Gap_Days,"Yes","No")))</f>
        <v>0</v>
      </c>
      <c r="AG347" s="8">
        <f>IF(G347="","",IF(COUNTIFS('Recipe Ingredients'!$A$5:$A$1204,G347,'Recipe Ingredients'!$AC$5:$AC$1204,"Check")&gt;0,"Check","OK"))</f>
        <v>0</v>
      </c>
    </row>
    <row r="348" spans="1:33">
      <c r="A348" s="7"/>
      <c r="B348" s="30"/>
      <c r="C348" s="8">
        <f>IF(B348="","",B348-WEEKDAY(B348,2)+1)</f>
        <v>0</v>
      </c>
      <c r="D348" s="8">
        <f>IF(B348="","",TEXT(B348,"ddd"))</f>
        <v>0</v>
      </c>
      <c r="E348" s="8">
        <f>IF(B348="","",TEXT(B348,"mmm yyyy"))</f>
        <v>0</v>
      </c>
      <c r="F348" s="27"/>
      <c r="G348" s="7"/>
      <c r="H348" s="26"/>
      <c r="I348" s="8">
        <f>IF(G348="","",IFERROR(INDEX(Recipes!$D$5:$D$204,MATCH(G348,Recipes!$A$5:$A$204,0)),""))</f>
        <v>0</v>
      </c>
      <c r="J348" s="8">
        <f>IF(OR(G348="",H348="",I348="",I348=0),"",H348/I348)</f>
        <v>0</v>
      </c>
      <c r="K348" s="8">
        <f>IF(B348="","",Household_Size)</f>
        <v>0</v>
      </c>
      <c r="L348" s="8">
        <f>IF(OR(G348="",H348=""),"",IFERROR(IFERROR(INDEX(Recipes!$H$5:$H$204,MATCH(G348,Recipes!$A$5:$A$204,0)),"")*H348,""))</f>
        <v>0</v>
      </c>
      <c r="M348" s="8">
        <f>IF(OR(G348="",H348=""),"",IFERROR(IFERROR(INDEX(Recipes!$I$5:$I$204,MATCH(G348,Recipes!$A$5:$A$204,0)),"")*H348,""))</f>
        <v>0</v>
      </c>
      <c r="N348" s="8">
        <f>IF(OR(G348="",H348=""),"",IFERROR(IFERROR(INDEX(Recipes!$J$5:$J$204,MATCH(G348,Recipes!$A$5:$A$204,0)),"")*H348,""))</f>
        <v>0</v>
      </c>
      <c r="O348" s="8">
        <f>IF(OR(G348="",H348=""),"",IFERROR(IFERROR(INDEX(Recipes!$K$5:$K$204,MATCH(G348,Recipes!$A$5:$A$204,0)),"")*H348,""))</f>
        <v>0</v>
      </c>
      <c r="P348" s="8">
        <f>IF(OR(G348="",H348=""),"",IFERROR(IFERROR(INDEX(Recipes!$L$5:$L$204,MATCH(G348,Recipes!$A$5:$A$204,0)),"")*H348,""))</f>
        <v>0</v>
      </c>
      <c r="Q348" s="8">
        <f>IF(OR(G348="",H348=""),"",IFERROR(IFERROR(INDEX(Recipes!$Q$5:$Q$204,MATCH(G348,Recipes!$A$5:$A$204,0)),"")*H348,""))</f>
        <v>0</v>
      </c>
      <c r="R348" s="8">
        <f>IF(F348="","",Weekly_Budget/21)</f>
        <v>0</v>
      </c>
      <c r="S348" s="27"/>
      <c r="T348" s="27"/>
      <c r="U348" s="26"/>
      <c r="V348" s="7"/>
      <c r="W348" s="7"/>
      <c r="X348" s="26"/>
      <c r="Y348" s="8">
        <f>IF(G348="","",IF(COUNTIFS('Meal Prep'!$D$5:$D$124,G348)&gt;0,"Yes","No"))</f>
        <v>0</v>
      </c>
      <c r="Z348" s="8">
        <f>IF(G348="","",COUNTIFS('Recipe Ingredients'!$A$5:$A$1204,G348))</f>
        <v>0</v>
      </c>
      <c r="AA348" s="25"/>
      <c r="AB348" s="8">
        <f>IF(OR(B348="",Q348=""),"",COUNTIFS($B$5:$B$504,B348,$Q$5:$Q$504,"&gt;"&amp;Q348)+1)</f>
        <v>0</v>
      </c>
      <c r="AC348" s="8">
        <f>IF(OR(B348="",L348=""),"",COUNTIFS($B$5:$B$504,B348,$L$5:$L$504,"&gt;"&amp;L348)+1)</f>
        <v>0</v>
      </c>
      <c r="AD348" s="8">
        <f>IF(G348="","",IF(COUNTIFS($G$5:$G$504,G348)&gt;1,"Repeat","Once"))</f>
        <v>0</v>
      </c>
      <c r="AE348" s="8">
        <f>IF(G348="","",IF(IFERROR(INDEX(Recipes!$X$5:$X$204,MATCH(G348,Recipes!$A$5:$A$204,0)),"")="","",IFERROR(B348-IFERROR(INDEX(Recipes!$X$5:$X$204,MATCH(G348,Recipes!$A$5:$A$204,0)),""),"")))</f>
        <v>0</v>
      </c>
      <c r="AF348" s="8">
        <f>IF(G348="","",IF(AE348="","Yes",IF(AE348&gt;=Rotation_Gap_Days,"Yes","No")))</f>
        <v>0</v>
      </c>
      <c r="AG348" s="8">
        <f>IF(G348="","",IF(COUNTIFS('Recipe Ingredients'!$A$5:$A$1204,G348,'Recipe Ingredients'!$AC$5:$AC$1204,"Check")&gt;0,"Check","OK"))</f>
        <v>0</v>
      </c>
    </row>
    <row r="349" spans="1:33">
      <c r="A349" s="7"/>
      <c r="B349" s="30"/>
      <c r="C349" s="8">
        <f>IF(B349="","",B349-WEEKDAY(B349,2)+1)</f>
        <v>0</v>
      </c>
      <c r="D349" s="8">
        <f>IF(B349="","",TEXT(B349,"ddd"))</f>
        <v>0</v>
      </c>
      <c r="E349" s="8">
        <f>IF(B349="","",TEXT(B349,"mmm yyyy"))</f>
        <v>0</v>
      </c>
      <c r="F349" s="27"/>
      <c r="G349" s="7"/>
      <c r="H349" s="26"/>
      <c r="I349" s="8">
        <f>IF(G349="","",IFERROR(INDEX(Recipes!$D$5:$D$204,MATCH(G349,Recipes!$A$5:$A$204,0)),""))</f>
        <v>0</v>
      </c>
      <c r="J349" s="8">
        <f>IF(OR(G349="",H349="",I349="",I349=0),"",H349/I349)</f>
        <v>0</v>
      </c>
      <c r="K349" s="8">
        <f>IF(B349="","",Household_Size)</f>
        <v>0</v>
      </c>
      <c r="L349" s="8">
        <f>IF(OR(G349="",H349=""),"",IFERROR(IFERROR(INDEX(Recipes!$H$5:$H$204,MATCH(G349,Recipes!$A$5:$A$204,0)),"")*H349,""))</f>
        <v>0</v>
      </c>
      <c r="M349" s="8">
        <f>IF(OR(G349="",H349=""),"",IFERROR(IFERROR(INDEX(Recipes!$I$5:$I$204,MATCH(G349,Recipes!$A$5:$A$204,0)),"")*H349,""))</f>
        <v>0</v>
      </c>
      <c r="N349" s="8">
        <f>IF(OR(G349="",H349=""),"",IFERROR(IFERROR(INDEX(Recipes!$J$5:$J$204,MATCH(G349,Recipes!$A$5:$A$204,0)),"")*H349,""))</f>
        <v>0</v>
      </c>
      <c r="O349" s="8">
        <f>IF(OR(G349="",H349=""),"",IFERROR(IFERROR(INDEX(Recipes!$K$5:$K$204,MATCH(G349,Recipes!$A$5:$A$204,0)),"")*H349,""))</f>
        <v>0</v>
      </c>
      <c r="P349" s="8">
        <f>IF(OR(G349="",H349=""),"",IFERROR(IFERROR(INDEX(Recipes!$L$5:$L$204,MATCH(G349,Recipes!$A$5:$A$204,0)),"")*H349,""))</f>
        <v>0</v>
      </c>
      <c r="Q349" s="8">
        <f>IF(OR(G349="",H349=""),"",IFERROR(IFERROR(INDEX(Recipes!$Q$5:$Q$204,MATCH(G349,Recipes!$A$5:$A$204,0)),"")*H349,""))</f>
        <v>0</v>
      </c>
      <c r="R349" s="8">
        <f>IF(F349="","",Weekly_Budget/21)</f>
        <v>0</v>
      </c>
      <c r="S349" s="27"/>
      <c r="T349" s="27"/>
      <c r="U349" s="26"/>
      <c r="V349" s="7"/>
      <c r="W349" s="7"/>
      <c r="X349" s="26"/>
      <c r="Y349" s="8">
        <f>IF(G349="","",IF(COUNTIFS('Meal Prep'!$D$5:$D$124,G349)&gt;0,"Yes","No"))</f>
        <v>0</v>
      </c>
      <c r="Z349" s="8">
        <f>IF(G349="","",COUNTIFS('Recipe Ingredients'!$A$5:$A$1204,G349))</f>
        <v>0</v>
      </c>
      <c r="AA349" s="25"/>
      <c r="AB349" s="8">
        <f>IF(OR(B349="",Q349=""),"",COUNTIFS($B$5:$B$504,B349,$Q$5:$Q$504,"&gt;"&amp;Q349)+1)</f>
        <v>0</v>
      </c>
      <c r="AC349" s="8">
        <f>IF(OR(B349="",L349=""),"",COUNTIFS($B$5:$B$504,B349,$L$5:$L$504,"&gt;"&amp;L349)+1)</f>
        <v>0</v>
      </c>
      <c r="AD349" s="8">
        <f>IF(G349="","",IF(COUNTIFS($G$5:$G$504,G349)&gt;1,"Repeat","Once"))</f>
        <v>0</v>
      </c>
      <c r="AE349" s="8">
        <f>IF(G349="","",IF(IFERROR(INDEX(Recipes!$X$5:$X$204,MATCH(G349,Recipes!$A$5:$A$204,0)),"")="","",IFERROR(B349-IFERROR(INDEX(Recipes!$X$5:$X$204,MATCH(G349,Recipes!$A$5:$A$204,0)),""),"")))</f>
        <v>0</v>
      </c>
      <c r="AF349" s="8">
        <f>IF(G349="","",IF(AE349="","Yes",IF(AE349&gt;=Rotation_Gap_Days,"Yes","No")))</f>
        <v>0</v>
      </c>
      <c r="AG349" s="8">
        <f>IF(G349="","",IF(COUNTIFS('Recipe Ingredients'!$A$5:$A$1204,G349,'Recipe Ingredients'!$AC$5:$AC$1204,"Check")&gt;0,"Check","OK"))</f>
        <v>0</v>
      </c>
    </row>
    <row r="350" spans="1:33">
      <c r="A350" s="7"/>
      <c r="B350" s="30"/>
      <c r="C350" s="8">
        <f>IF(B350="","",B350-WEEKDAY(B350,2)+1)</f>
        <v>0</v>
      </c>
      <c r="D350" s="8">
        <f>IF(B350="","",TEXT(B350,"ddd"))</f>
        <v>0</v>
      </c>
      <c r="E350" s="8">
        <f>IF(B350="","",TEXT(B350,"mmm yyyy"))</f>
        <v>0</v>
      </c>
      <c r="F350" s="27"/>
      <c r="G350" s="7"/>
      <c r="H350" s="26"/>
      <c r="I350" s="8">
        <f>IF(G350="","",IFERROR(INDEX(Recipes!$D$5:$D$204,MATCH(G350,Recipes!$A$5:$A$204,0)),""))</f>
        <v>0</v>
      </c>
      <c r="J350" s="8">
        <f>IF(OR(G350="",H350="",I350="",I350=0),"",H350/I350)</f>
        <v>0</v>
      </c>
      <c r="K350" s="8">
        <f>IF(B350="","",Household_Size)</f>
        <v>0</v>
      </c>
      <c r="L350" s="8">
        <f>IF(OR(G350="",H350=""),"",IFERROR(IFERROR(INDEX(Recipes!$H$5:$H$204,MATCH(G350,Recipes!$A$5:$A$204,0)),"")*H350,""))</f>
        <v>0</v>
      </c>
      <c r="M350" s="8">
        <f>IF(OR(G350="",H350=""),"",IFERROR(IFERROR(INDEX(Recipes!$I$5:$I$204,MATCH(G350,Recipes!$A$5:$A$204,0)),"")*H350,""))</f>
        <v>0</v>
      </c>
      <c r="N350" s="8">
        <f>IF(OR(G350="",H350=""),"",IFERROR(IFERROR(INDEX(Recipes!$J$5:$J$204,MATCH(G350,Recipes!$A$5:$A$204,0)),"")*H350,""))</f>
        <v>0</v>
      </c>
      <c r="O350" s="8">
        <f>IF(OR(G350="",H350=""),"",IFERROR(IFERROR(INDEX(Recipes!$K$5:$K$204,MATCH(G350,Recipes!$A$5:$A$204,0)),"")*H350,""))</f>
        <v>0</v>
      </c>
      <c r="P350" s="8">
        <f>IF(OR(G350="",H350=""),"",IFERROR(IFERROR(INDEX(Recipes!$L$5:$L$204,MATCH(G350,Recipes!$A$5:$A$204,0)),"")*H350,""))</f>
        <v>0</v>
      </c>
      <c r="Q350" s="8">
        <f>IF(OR(G350="",H350=""),"",IFERROR(IFERROR(INDEX(Recipes!$Q$5:$Q$204,MATCH(G350,Recipes!$A$5:$A$204,0)),"")*H350,""))</f>
        <v>0</v>
      </c>
      <c r="R350" s="8">
        <f>IF(F350="","",Weekly_Budget/21)</f>
        <v>0</v>
      </c>
      <c r="S350" s="27"/>
      <c r="T350" s="27"/>
      <c r="U350" s="26"/>
      <c r="V350" s="7"/>
      <c r="W350" s="7"/>
      <c r="X350" s="26"/>
      <c r="Y350" s="8">
        <f>IF(G350="","",IF(COUNTIFS('Meal Prep'!$D$5:$D$124,G350)&gt;0,"Yes","No"))</f>
        <v>0</v>
      </c>
      <c r="Z350" s="8">
        <f>IF(G350="","",COUNTIFS('Recipe Ingredients'!$A$5:$A$1204,G350))</f>
        <v>0</v>
      </c>
      <c r="AA350" s="25"/>
      <c r="AB350" s="8">
        <f>IF(OR(B350="",Q350=""),"",COUNTIFS($B$5:$B$504,B350,$Q$5:$Q$504,"&gt;"&amp;Q350)+1)</f>
        <v>0</v>
      </c>
      <c r="AC350" s="8">
        <f>IF(OR(B350="",L350=""),"",COUNTIFS($B$5:$B$504,B350,$L$5:$L$504,"&gt;"&amp;L350)+1)</f>
        <v>0</v>
      </c>
      <c r="AD350" s="8">
        <f>IF(G350="","",IF(COUNTIFS($G$5:$G$504,G350)&gt;1,"Repeat","Once"))</f>
        <v>0</v>
      </c>
      <c r="AE350" s="8">
        <f>IF(G350="","",IF(IFERROR(INDEX(Recipes!$X$5:$X$204,MATCH(G350,Recipes!$A$5:$A$204,0)),"")="","",IFERROR(B350-IFERROR(INDEX(Recipes!$X$5:$X$204,MATCH(G350,Recipes!$A$5:$A$204,0)),""),"")))</f>
        <v>0</v>
      </c>
      <c r="AF350" s="8">
        <f>IF(G350="","",IF(AE350="","Yes",IF(AE350&gt;=Rotation_Gap_Days,"Yes","No")))</f>
        <v>0</v>
      </c>
      <c r="AG350" s="8">
        <f>IF(G350="","",IF(COUNTIFS('Recipe Ingredients'!$A$5:$A$1204,G350,'Recipe Ingredients'!$AC$5:$AC$1204,"Check")&gt;0,"Check","OK"))</f>
        <v>0</v>
      </c>
    </row>
    <row r="351" spans="1:33">
      <c r="A351" s="7"/>
      <c r="B351" s="30"/>
      <c r="C351" s="8">
        <f>IF(B351="","",B351-WEEKDAY(B351,2)+1)</f>
        <v>0</v>
      </c>
      <c r="D351" s="8">
        <f>IF(B351="","",TEXT(B351,"ddd"))</f>
        <v>0</v>
      </c>
      <c r="E351" s="8">
        <f>IF(B351="","",TEXT(B351,"mmm yyyy"))</f>
        <v>0</v>
      </c>
      <c r="F351" s="27"/>
      <c r="G351" s="7"/>
      <c r="H351" s="26"/>
      <c r="I351" s="8">
        <f>IF(G351="","",IFERROR(INDEX(Recipes!$D$5:$D$204,MATCH(G351,Recipes!$A$5:$A$204,0)),""))</f>
        <v>0</v>
      </c>
      <c r="J351" s="8">
        <f>IF(OR(G351="",H351="",I351="",I351=0),"",H351/I351)</f>
        <v>0</v>
      </c>
      <c r="K351" s="8">
        <f>IF(B351="","",Household_Size)</f>
        <v>0</v>
      </c>
      <c r="L351" s="8">
        <f>IF(OR(G351="",H351=""),"",IFERROR(IFERROR(INDEX(Recipes!$H$5:$H$204,MATCH(G351,Recipes!$A$5:$A$204,0)),"")*H351,""))</f>
        <v>0</v>
      </c>
      <c r="M351" s="8">
        <f>IF(OR(G351="",H351=""),"",IFERROR(IFERROR(INDEX(Recipes!$I$5:$I$204,MATCH(G351,Recipes!$A$5:$A$204,0)),"")*H351,""))</f>
        <v>0</v>
      </c>
      <c r="N351" s="8">
        <f>IF(OR(G351="",H351=""),"",IFERROR(IFERROR(INDEX(Recipes!$J$5:$J$204,MATCH(G351,Recipes!$A$5:$A$204,0)),"")*H351,""))</f>
        <v>0</v>
      </c>
      <c r="O351" s="8">
        <f>IF(OR(G351="",H351=""),"",IFERROR(IFERROR(INDEX(Recipes!$K$5:$K$204,MATCH(G351,Recipes!$A$5:$A$204,0)),"")*H351,""))</f>
        <v>0</v>
      </c>
      <c r="P351" s="8">
        <f>IF(OR(G351="",H351=""),"",IFERROR(IFERROR(INDEX(Recipes!$L$5:$L$204,MATCH(G351,Recipes!$A$5:$A$204,0)),"")*H351,""))</f>
        <v>0</v>
      </c>
      <c r="Q351" s="8">
        <f>IF(OR(G351="",H351=""),"",IFERROR(IFERROR(INDEX(Recipes!$Q$5:$Q$204,MATCH(G351,Recipes!$A$5:$A$204,0)),"")*H351,""))</f>
        <v>0</v>
      </c>
      <c r="R351" s="8">
        <f>IF(F351="","",Weekly_Budget/21)</f>
        <v>0</v>
      </c>
      <c r="S351" s="27"/>
      <c r="T351" s="27"/>
      <c r="U351" s="26"/>
      <c r="V351" s="7"/>
      <c r="W351" s="7"/>
      <c r="X351" s="26"/>
      <c r="Y351" s="8">
        <f>IF(G351="","",IF(COUNTIFS('Meal Prep'!$D$5:$D$124,G351)&gt;0,"Yes","No"))</f>
        <v>0</v>
      </c>
      <c r="Z351" s="8">
        <f>IF(G351="","",COUNTIFS('Recipe Ingredients'!$A$5:$A$1204,G351))</f>
        <v>0</v>
      </c>
      <c r="AA351" s="25"/>
      <c r="AB351" s="8">
        <f>IF(OR(B351="",Q351=""),"",COUNTIFS($B$5:$B$504,B351,$Q$5:$Q$504,"&gt;"&amp;Q351)+1)</f>
        <v>0</v>
      </c>
      <c r="AC351" s="8">
        <f>IF(OR(B351="",L351=""),"",COUNTIFS($B$5:$B$504,B351,$L$5:$L$504,"&gt;"&amp;L351)+1)</f>
        <v>0</v>
      </c>
      <c r="AD351" s="8">
        <f>IF(G351="","",IF(COUNTIFS($G$5:$G$504,G351)&gt;1,"Repeat","Once"))</f>
        <v>0</v>
      </c>
      <c r="AE351" s="8">
        <f>IF(G351="","",IF(IFERROR(INDEX(Recipes!$X$5:$X$204,MATCH(G351,Recipes!$A$5:$A$204,0)),"")="","",IFERROR(B351-IFERROR(INDEX(Recipes!$X$5:$X$204,MATCH(G351,Recipes!$A$5:$A$204,0)),""),"")))</f>
        <v>0</v>
      </c>
      <c r="AF351" s="8">
        <f>IF(G351="","",IF(AE351="","Yes",IF(AE351&gt;=Rotation_Gap_Days,"Yes","No")))</f>
        <v>0</v>
      </c>
      <c r="AG351" s="8">
        <f>IF(G351="","",IF(COUNTIFS('Recipe Ingredients'!$A$5:$A$1204,G351,'Recipe Ingredients'!$AC$5:$AC$1204,"Check")&gt;0,"Check","OK"))</f>
        <v>0</v>
      </c>
    </row>
    <row r="352" spans="1:33">
      <c r="A352" s="7"/>
      <c r="B352" s="30"/>
      <c r="C352" s="8">
        <f>IF(B352="","",B352-WEEKDAY(B352,2)+1)</f>
        <v>0</v>
      </c>
      <c r="D352" s="8">
        <f>IF(B352="","",TEXT(B352,"ddd"))</f>
        <v>0</v>
      </c>
      <c r="E352" s="8">
        <f>IF(B352="","",TEXT(B352,"mmm yyyy"))</f>
        <v>0</v>
      </c>
      <c r="F352" s="27"/>
      <c r="G352" s="7"/>
      <c r="H352" s="26"/>
      <c r="I352" s="8">
        <f>IF(G352="","",IFERROR(INDEX(Recipes!$D$5:$D$204,MATCH(G352,Recipes!$A$5:$A$204,0)),""))</f>
        <v>0</v>
      </c>
      <c r="J352" s="8">
        <f>IF(OR(G352="",H352="",I352="",I352=0),"",H352/I352)</f>
        <v>0</v>
      </c>
      <c r="K352" s="8">
        <f>IF(B352="","",Household_Size)</f>
        <v>0</v>
      </c>
      <c r="L352" s="8">
        <f>IF(OR(G352="",H352=""),"",IFERROR(IFERROR(INDEX(Recipes!$H$5:$H$204,MATCH(G352,Recipes!$A$5:$A$204,0)),"")*H352,""))</f>
        <v>0</v>
      </c>
      <c r="M352" s="8">
        <f>IF(OR(G352="",H352=""),"",IFERROR(IFERROR(INDEX(Recipes!$I$5:$I$204,MATCH(G352,Recipes!$A$5:$A$204,0)),"")*H352,""))</f>
        <v>0</v>
      </c>
      <c r="N352" s="8">
        <f>IF(OR(G352="",H352=""),"",IFERROR(IFERROR(INDEX(Recipes!$J$5:$J$204,MATCH(G352,Recipes!$A$5:$A$204,0)),"")*H352,""))</f>
        <v>0</v>
      </c>
      <c r="O352" s="8">
        <f>IF(OR(G352="",H352=""),"",IFERROR(IFERROR(INDEX(Recipes!$K$5:$K$204,MATCH(G352,Recipes!$A$5:$A$204,0)),"")*H352,""))</f>
        <v>0</v>
      </c>
      <c r="P352" s="8">
        <f>IF(OR(G352="",H352=""),"",IFERROR(IFERROR(INDEX(Recipes!$L$5:$L$204,MATCH(G352,Recipes!$A$5:$A$204,0)),"")*H352,""))</f>
        <v>0</v>
      </c>
      <c r="Q352" s="8">
        <f>IF(OR(G352="",H352=""),"",IFERROR(IFERROR(INDEX(Recipes!$Q$5:$Q$204,MATCH(G352,Recipes!$A$5:$A$204,0)),"")*H352,""))</f>
        <v>0</v>
      </c>
      <c r="R352" s="8">
        <f>IF(F352="","",Weekly_Budget/21)</f>
        <v>0</v>
      </c>
      <c r="S352" s="27"/>
      <c r="T352" s="27"/>
      <c r="U352" s="26"/>
      <c r="V352" s="7"/>
      <c r="W352" s="7"/>
      <c r="X352" s="26"/>
      <c r="Y352" s="8">
        <f>IF(G352="","",IF(COUNTIFS('Meal Prep'!$D$5:$D$124,G352)&gt;0,"Yes","No"))</f>
        <v>0</v>
      </c>
      <c r="Z352" s="8">
        <f>IF(G352="","",COUNTIFS('Recipe Ingredients'!$A$5:$A$1204,G352))</f>
        <v>0</v>
      </c>
      <c r="AA352" s="25"/>
      <c r="AB352" s="8">
        <f>IF(OR(B352="",Q352=""),"",COUNTIFS($B$5:$B$504,B352,$Q$5:$Q$504,"&gt;"&amp;Q352)+1)</f>
        <v>0</v>
      </c>
      <c r="AC352" s="8">
        <f>IF(OR(B352="",L352=""),"",COUNTIFS($B$5:$B$504,B352,$L$5:$L$504,"&gt;"&amp;L352)+1)</f>
        <v>0</v>
      </c>
      <c r="AD352" s="8">
        <f>IF(G352="","",IF(COUNTIFS($G$5:$G$504,G352)&gt;1,"Repeat","Once"))</f>
        <v>0</v>
      </c>
      <c r="AE352" s="8">
        <f>IF(G352="","",IF(IFERROR(INDEX(Recipes!$X$5:$X$204,MATCH(G352,Recipes!$A$5:$A$204,0)),"")="","",IFERROR(B352-IFERROR(INDEX(Recipes!$X$5:$X$204,MATCH(G352,Recipes!$A$5:$A$204,0)),""),"")))</f>
        <v>0</v>
      </c>
      <c r="AF352" s="8">
        <f>IF(G352="","",IF(AE352="","Yes",IF(AE352&gt;=Rotation_Gap_Days,"Yes","No")))</f>
        <v>0</v>
      </c>
      <c r="AG352" s="8">
        <f>IF(G352="","",IF(COUNTIFS('Recipe Ingredients'!$A$5:$A$1204,G352,'Recipe Ingredients'!$AC$5:$AC$1204,"Check")&gt;0,"Check","OK"))</f>
        <v>0</v>
      </c>
    </row>
    <row r="353" spans="1:33">
      <c r="A353" s="7"/>
      <c r="B353" s="30"/>
      <c r="C353" s="8">
        <f>IF(B353="","",B353-WEEKDAY(B353,2)+1)</f>
        <v>0</v>
      </c>
      <c r="D353" s="8">
        <f>IF(B353="","",TEXT(B353,"ddd"))</f>
        <v>0</v>
      </c>
      <c r="E353" s="8">
        <f>IF(B353="","",TEXT(B353,"mmm yyyy"))</f>
        <v>0</v>
      </c>
      <c r="F353" s="27"/>
      <c r="G353" s="7"/>
      <c r="H353" s="26"/>
      <c r="I353" s="8">
        <f>IF(G353="","",IFERROR(INDEX(Recipes!$D$5:$D$204,MATCH(G353,Recipes!$A$5:$A$204,0)),""))</f>
        <v>0</v>
      </c>
      <c r="J353" s="8">
        <f>IF(OR(G353="",H353="",I353="",I353=0),"",H353/I353)</f>
        <v>0</v>
      </c>
      <c r="K353" s="8">
        <f>IF(B353="","",Household_Size)</f>
        <v>0</v>
      </c>
      <c r="L353" s="8">
        <f>IF(OR(G353="",H353=""),"",IFERROR(IFERROR(INDEX(Recipes!$H$5:$H$204,MATCH(G353,Recipes!$A$5:$A$204,0)),"")*H353,""))</f>
        <v>0</v>
      </c>
      <c r="M353" s="8">
        <f>IF(OR(G353="",H353=""),"",IFERROR(IFERROR(INDEX(Recipes!$I$5:$I$204,MATCH(G353,Recipes!$A$5:$A$204,0)),"")*H353,""))</f>
        <v>0</v>
      </c>
      <c r="N353" s="8">
        <f>IF(OR(G353="",H353=""),"",IFERROR(IFERROR(INDEX(Recipes!$J$5:$J$204,MATCH(G353,Recipes!$A$5:$A$204,0)),"")*H353,""))</f>
        <v>0</v>
      </c>
      <c r="O353" s="8">
        <f>IF(OR(G353="",H353=""),"",IFERROR(IFERROR(INDEX(Recipes!$K$5:$K$204,MATCH(G353,Recipes!$A$5:$A$204,0)),"")*H353,""))</f>
        <v>0</v>
      </c>
      <c r="P353" s="8">
        <f>IF(OR(G353="",H353=""),"",IFERROR(IFERROR(INDEX(Recipes!$L$5:$L$204,MATCH(G353,Recipes!$A$5:$A$204,0)),"")*H353,""))</f>
        <v>0</v>
      </c>
      <c r="Q353" s="8">
        <f>IF(OR(G353="",H353=""),"",IFERROR(IFERROR(INDEX(Recipes!$Q$5:$Q$204,MATCH(G353,Recipes!$A$5:$A$204,0)),"")*H353,""))</f>
        <v>0</v>
      </c>
      <c r="R353" s="8">
        <f>IF(F353="","",Weekly_Budget/21)</f>
        <v>0</v>
      </c>
      <c r="S353" s="27"/>
      <c r="T353" s="27"/>
      <c r="U353" s="26"/>
      <c r="V353" s="7"/>
      <c r="W353" s="7"/>
      <c r="X353" s="26"/>
      <c r="Y353" s="8">
        <f>IF(G353="","",IF(COUNTIFS('Meal Prep'!$D$5:$D$124,G353)&gt;0,"Yes","No"))</f>
        <v>0</v>
      </c>
      <c r="Z353" s="8">
        <f>IF(G353="","",COUNTIFS('Recipe Ingredients'!$A$5:$A$1204,G353))</f>
        <v>0</v>
      </c>
      <c r="AA353" s="25"/>
      <c r="AB353" s="8">
        <f>IF(OR(B353="",Q353=""),"",COUNTIFS($B$5:$B$504,B353,$Q$5:$Q$504,"&gt;"&amp;Q353)+1)</f>
        <v>0</v>
      </c>
      <c r="AC353" s="8">
        <f>IF(OR(B353="",L353=""),"",COUNTIFS($B$5:$B$504,B353,$L$5:$L$504,"&gt;"&amp;L353)+1)</f>
        <v>0</v>
      </c>
      <c r="AD353" s="8">
        <f>IF(G353="","",IF(COUNTIFS($G$5:$G$504,G353)&gt;1,"Repeat","Once"))</f>
        <v>0</v>
      </c>
      <c r="AE353" s="8">
        <f>IF(G353="","",IF(IFERROR(INDEX(Recipes!$X$5:$X$204,MATCH(G353,Recipes!$A$5:$A$204,0)),"")="","",IFERROR(B353-IFERROR(INDEX(Recipes!$X$5:$X$204,MATCH(G353,Recipes!$A$5:$A$204,0)),""),"")))</f>
        <v>0</v>
      </c>
      <c r="AF353" s="8">
        <f>IF(G353="","",IF(AE353="","Yes",IF(AE353&gt;=Rotation_Gap_Days,"Yes","No")))</f>
        <v>0</v>
      </c>
      <c r="AG353" s="8">
        <f>IF(G353="","",IF(COUNTIFS('Recipe Ingredients'!$A$5:$A$1204,G353,'Recipe Ingredients'!$AC$5:$AC$1204,"Check")&gt;0,"Check","OK"))</f>
        <v>0</v>
      </c>
    </row>
    <row r="354" spans="1:33">
      <c r="A354" s="7"/>
      <c r="B354" s="30"/>
      <c r="C354" s="8">
        <f>IF(B354="","",B354-WEEKDAY(B354,2)+1)</f>
        <v>0</v>
      </c>
      <c r="D354" s="8">
        <f>IF(B354="","",TEXT(B354,"ddd"))</f>
        <v>0</v>
      </c>
      <c r="E354" s="8">
        <f>IF(B354="","",TEXT(B354,"mmm yyyy"))</f>
        <v>0</v>
      </c>
      <c r="F354" s="27"/>
      <c r="G354" s="7"/>
      <c r="H354" s="26"/>
      <c r="I354" s="8">
        <f>IF(G354="","",IFERROR(INDEX(Recipes!$D$5:$D$204,MATCH(G354,Recipes!$A$5:$A$204,0)),""))</f>
        <v>0</v>
      </c>
      <c r="J354" s="8">
        <f>IF(OR(G354="",H354="",I354="",I354=0),"",H354/I354)</f>
        <v>0</v>
      </c>
      <c r="K354" s="8">
        <f>IF(B354="","",Household_Size)</f>
        <v>0</v>
      </c>
      <c r="L354" s="8">
        <f>IF(OR(G354="",H354=""),"",IFERROR(IFERROR(INDEX(Recipes!$H$5:$H$204,MATCH(G354,Recipes!$A$5:$A$204,0)),"")*H354,""))</f>
        <v>0</v>
      </c>
      <c r="M354" s="8">
        <f>IF(OR(G354="",H354=""),"",IFERROR(IFERROR(INDEX(Recipes!$I$5:$I$204,MATCH(G354,Recipes!$A$5:$A$204,0)),"")*H354,""))</f>
        <v>0</v>
      </c>
      <c r="N354" s="8">
        <f>IF(OR(G354="",H354=""),"",IFERROR(IFERROR(INDEX(Recipes!$J$5:$J$204,MATCH(G354,Recipes!$A$5:$A$204,0)),"")*H354,""))</f>
        <v>0</v>
      </c>
      <c r="O354" s="8">
        <f>IF(OR(G354="",H354=""),"",IFERROR(IFERROR(INDEX(Recipes!$K$5:$K$204,MATCH(G354,Recipes!$A$5:$A$204,0)),"")*H354,""))</f>
        <v>0</v>
      </c>
      <c r="P354" s="8">
        <f>IF(OR(G354="",H354=""),"",IFERROR(IFERROR(INDEX(Recipes!$L$5:$L$204,MATCH(G354,Recipes!$A$5:$A$204,0)),"")*H354,""))</f>
        <v>0</v>
      </c>
      <c r="Q354" s="8">
        <f>IF(OR(G354="",H354=""),"",IFERROR(IFERROR(INDEX(Recipes!$Q$5:$Q$204,MATCH(G354,Recipes!$A$5:$A$204,0)),"")*H354,""))</f>
        <v>0</v>
      </c>
      <c r="R354" s="8">
        <f>IF(F354="","",Weekly_Budget/21)</f>
        <v>0</v>
      </c>
      <c r="S354" s="27"/>
      <c r="T354" s="27"/>
      <c r="U354" s="26"/>
      <c r="V354" s="7"/>
      <c r="W354" s="7"/>
      <c r="X354" s="26"/>
      <c r="Y354" s="8">
        <f>IF(G354="","",IF(COUNTIFS('Meal Prep'!$D$5:$D$124,G354)&gt;0,"Yes","No"))</f>
        <v>0</v>
      </c>
      <c r="Z354" s="8">
        <f>IF(G354="","",COUNTIFS('Recipe Ingredients'!$A$5:$A$1204,G354))</f>
        <v>0</v>
      </c>
      <c r="AA354" s="25"/>
      <c r="AB354" s="8">
        <f>IF(OR(B354="",Q354=""),"",COUNTIFS($B$5:$B$504,B354,$Q$5:$Q$504,"&gt;"&amp;Q354)+1)</f>
        <v>0</v>
      </c>
      <c r="AC354" s="8">
        <f>IF(OR(B354="",L354=""),"",COUNTIFS($B$5:$B$504,B354,$L$5:$L$504,"&gt;"&amp;L354)+1)</f>
        <v>0</v>
      </c>
      <c r="AD354" s="8">
        <f>IF(G354="","",IF(COUNTIFS($G$5:$G$504,G354)&gt;1,"Repeat","Once"))</f>
        <v>0</v>
      </c>
      <c r="AE354" s="8">
        <f>IF(G354="","",IF(IFERROR(INDEX(Recipes!$X$5:$X$204,MATCH(G354,Recipes!$A$5:$A$204,0)),"")="","",IFERROR(B354-IFERROR(INDEX(Recipes!$X$5:$X$204,MATCH(G354,Recipes!$A$5:$A$204,0)),""),"")))</f>
        <v>0</v>
      </c>
      <c r="AF354" s="8">
        <f>IF(G354="","",IF(AE354="","Yes",IF(AE354&gt;=Rotation_Gap_Days,"Yes","No")))</f>
        <v>0</v>
      </c>
      <c r="AG354" s="8">
        <f>IF(G354="","",IF(COUNTIFS('Recipe Ingredients'!$A$5:$A$1204,G354,'Recipe Ingredients'!$AC$5:$AC$1204,"Check")&gt;0,"Check","OK"))</f>
        <v>0</v>
      </c>
    </row>
    <row r="355" spans="1:33">
      <c r="A355" s="7"/>
      <c r="B355" s="30"/>
      <c r="C355" s="8">
        <f>IF(B355="","",B355-WEEKDAY(B355,2)+1)</f>
        <v>0</v>
      </c>
      <c r="D355" s="8">
        <f>IF(B355="","",TEXT(B355,"ddd"))</f>
        <v>0</v>
      </c>
      <c r="E355" s="8">
        <f>IF(B355="","",TEXT(B355,"mmm yyyy"))</f>
        <v>0</v>
      </c>
      <c r="F355" s="27"/>
      <c r="G355" s="7"/>
      <c r="H355" s="26"/>
      <c r="I355" s="8">
        <f>IF(G355="","",IFERROR(INDEX(Recipes!$D$5:$D$204,MATCH(G355,Recipes!$A$5:$A$204,0)),""))</f>
        <v>0</v>
      </c>
      <c r="J355" s="8">
        <f>IF(OR(G355="",H355="",I355="",I355=0),"",H355/I355)</f>
        <v>0</v>
      </c>
      <c r="K355" s="8">
        <f>IF(B355="","",Household_Size)</f>
        <v>0</v>
      </c>
      <c r="L355" s="8">
        <f>IF(OR(G355="",H355=""),"",IFERROR(IFERROR(INDEX(Recipes!$H$5:$H$204,MATCH(G355,Recipes!$A$5:$A$204,0)),"")*H355,""))</f>
        <v>0</v>
      </c>
      <c r="M355" s="8">
        <f>IF(OR(G355="",H355=""),"",IFERROR(IFERROR(INDEX(Recipes!$I$5:$I$204,MATCH(G355,Recipes!$A$5:$A$204,0)),"")*H355,""))</f>
        <v>0</v>
      </c>
      <c r="N355" s="8">
        <f>IF(OR(G355="",H355=""),"",IFERROR(IFERROR(INDEX(Recipes!$J$5:$J$204,MATCH(G355,Recipes!$A$5:$A$204,0)),"")*H355,""))</f>
        <v>0</v>
      </c>
      <c r="O355" s="8">
        <f>IF(OR(G355="",H355=""),"",IFERROR(IFERROR(INDEX(Recipes!$K$5:$K$204,MATCH(G355,Recipes!$A$5:$A$204,0)),"")*H355,""))</f>
        <v>0</v>
      </c>
      <c r="P355" s="8">
        <f>IF(OR(G355="",H355=""),"",IFERROR(IFERROR(INDEX(Recipes!$L$5:$L$204,MATCH(G355,Recipes!$A$5:$A$204,0)),"")*H355,""))</f>
        <v>0</v>
      </c>
      <c r="Q355" s="8">
        <f>IF(OR(G355="",H355=""),"",IFERROR(IFERROR(INDEX(Recipes!$Q$5:$Q$204,MATCH(G355,Recipes!$A$5:$A$204,0)),"")*H355,""))</f>
        <v>0</v>
      </c>
      <c r="R355" s="8">
        <f>IF(F355="","",Weekly_Budget/21)</f>
        <v>0</v>
      </c>
      <c r="S355" s="27"/>
      <c r="T355" s="27"/>
      <c r="U355" s="26"/>
      <c r="V355" s="7"/>
      <c r="W355" s="7"/>
      <c r="X355" s="26"/>
      <c r="Y355" s="8">
        <f>IF(G355="","",IF(COUNTIFS('Meal Prep'!$D$5:$D$124,G355)&gt;0,"Yes","No"))</f>
        <v>0</v>
      </c>
      <c r="Z355" s="8">
        <f>IF(G355="","",COUNTIFS('Recipe Ingredients'!$A$5:$A$1204,G355))</f>
        <v>0</v>
      </c>
      <c r="AA355" s="25"/>
      <c r="AB355" s="8">
        <f>IF(OR(B355="",Q355=""),"",COUNTIFS($B$5:$B$504,B355,$Q$5:$Q$504,"&gt;"&amp;Q355)+1)</f>
        <v>0</v>
      </c>
      <c r="AC355" s="8">
        <f>IF(OR(B355="",L355=""),"",COUNTIFS($B$5:$B$504,B355,$L$5:$L$504,"&gt;"&amp;L355)+1)</f>
        <v>0</v>
      </c>
      <c r="AD355" s="8">
        <f>IF(G355="","",IF(COUNTIFS($G$5:$G$504,G355)&gt;1,"Repeat","Once"))</f>
        <v>0</v>
      </c>
      <c r="AE355" s="8">
        <f>IF(G355="","",IF(IFERROR(INDEX(Recipes!$X$5:$X$204,MATCH(G355,Recipes!$A$5:$A$204,0)),"")="","",IFERROR(B355-IFERROR(INDEX(Recipes!$X$5:$X$204,MATCH(G355,Recipes!$A$5:$A$204,0)),""),"")))</f>
        <v>0</v>
      </c>
      <c r="AF355" s="8">
        <f>IF(G355="","",IF(AE355="","Yes",IF(AE355&gt;=Rotation_Gap_Days,"Yes","No")))</f>
        <v>0</v>
      </c>
      <c r="AG355" s="8">
        <f>IF(G355="","",IF(COUNTIFS('Recipe Ingredients'!$A$5:$A$1204,G355,'Recipe Ingredients'!$AC$5:$AC$1204,"Check")&gt;0,"Check","OK"))</f>
        <v>0</v>
      </c>
    </row>
    <row r="356" spans="1:33">
      <c r="A356" s="7"/>
      <c r="B356" s="30"/>
      <c r="C356" s="8">
        <f>IF(B356="","",B356-WEEKDAY(B356,2)+1)</f>
        <v>0</v>
      </c>
      <c r="D356" s="8">
        <f>IF(B356="","",TEXT(B356,"ddd"))</f>
        <v>0</v>
      </c>
      <c r="E356" s="8">
        <f>IF(B356="","",TEXT(B356,"mmm yyyy"))</f>
        <v>0</v>
      </c>
      <c r="F356" s="27"/>
      <c r="G356" s="7"/>
      <c r="H356" s="26"/>
      <c r="I356" s="8">
        <f>IF(G356="","",IFERROR(INDEX(Recipes!$D$5:$D$204,MATCH(G356,Recipes!$A$5:$A$204,0)),""))</f>
        <v>0</v>
      </c>
      <c r="J356" s="8">
        <f>IF(OR(G356="",H356="",I356="",I356=0),"",H356/I356)</f>
        <v>0</v>
      </c>
      <c r="K356" s="8">
        <f>IF(B356="","",Household_Size)</f>
        <v>0</v>
      </c>
      <c r="L356" s="8">
        <f>IF(OR(G356="",H356=""),"",IFERROR(IFERROR(INDEX(Recipes!$H$5:$H$204,MATCH(G356,Recipes!$A$5:$A$204,0)),"")*H356,""))</f>
        <v>0</v>
      </c>
      <c r="M356" s="8">
        <f>IF(OR(G356="",H356=""),"",IFERROR(IFERROR(INDEX(Recipes!$I$5:$I$204,MATCH(G356,Recipes!$A$5:$A$204,0)),"")*H356,""))</f>
        <v>0</v>
      </c>
      <c r="N356" s="8">
        <f>IF(OR(G356="",H356=""),"",IFERROR(IFERROR(INDEX(Recipes!$J$5:$J$204,MATCH(G356,Recipes!$A$5:$A$204,0)),"")*H356,""))</f>
        <v>0</v>
      </c>
      <c r="O356" s="8">
        <f>IF(OR(G356="",H356=""),"",IFERROR(IFERROR(INDEX(Recipes!$K$5:$K$204,MATCH(G356,Recipes!$A$5:$A$204,0)),"")*H356,""))</f>
        <v>0</v>
      </c>
      <c r="P356" s="8">
        <f>IF(OR(G356="",H356=""),"",IFERROR(IFERROR(INDEX(Recipes!$L$5:$L$204,MATCH(G356,Recipes!$A$5:$A$204,0)),"")*H356,""))</f>
        <v>0</v>
      </c>
      <c r="Q356" s="8">
        <f>IF(OR(G356="",H356=""),"",IFERROR(IFERROR(INDEX(Recipes!$Q$5:$Q$204,MATCH(G356,Recipes!$A$5:$A$204,0)),"")*H356,""))</f>
        <v>0</v>
      </c>
      <c r="R356" s="8">
        <f>IF(F356="","",Weekly_Budget/21)</f>
        <v>0</v>
      </c>
      <c r="S356" s="27"/>
      <c r="T356" s="27"/>
      <c r="U356" s="26"/>
      <c r="V356" s="7"/>
      <c r="W356" s="7"/>
      <c r="X356" s="26"/>
      <c r="Y356" s="8">
        <f>IF(G356="","",IF(COUNTIFS('Meal Prep'!$D$5:$D$124,G356)&gt;0,"Yes","No"))</f>
        <v>0</v>
      </c>
      <c r="Z356" s="8">
        <f>IF(G356="","",COUNTIFS('Recipe Ingredients'!$A$5:$A$1204,G356))</f>
        <v>0</v>
      </c>
      <c r="AA356" s="25"/>
      <c r="AB356" s="8">
        <f>IF(OR(B356="",Q356=""),"",COUNTIFS($B$5:$B$504,B356,$Q$5:$Q$504,"&gt;"&amp;Q356)+1)</f>
        <v>0</v>
      </c>
      <c r="AC356" s="8">
        <f>IF(OR(B356="",L356=""),"",COUNTIFS($B$5:$B$504,B356,$L$5:$L$504,"&gt;"&amp;L356)+1)</f>
        <v>0</v>
      </c>
      <c r="AD356" s="8">
        <f>IF(G356="","",IF(COUNTIFS($G$5:$G$504,G356)&gt;1,"Repeat","Once"))</f>
        <v>0</v>
      </c>
      <c r="AE356" s="8">
        <f>IF(G356="","",IF(IFERROR(INDEX(Recipes!$X$5:$X$204,MATCH(G356,Recipes!$A$5:$A$204,0)),"")="","",IFERROR(B356-IFERROR(INDEX(Recipes!$X$5:$X$204,MATCH(G356,Recipes!$A$5:$A$204,0)),""),"")))</f>
        <v>0</v>
      </c>
      <c r="AF356" s="8">
        <f>IF(G356="","",IF(AE356="","Yes",IF(AE356&gt;=Rotation_Gap_Days,"Yes","No")))</f>
        <v>0</v>
      </c>
      <c r="AG356" s="8">
        <f>IF(G356="","",IF(COUNTIFS('Recipe Ingredients'!$A$5:$A$1204,G356,'Recipe Ingredients'!$AC$5:$AC$1204,"Check")&gt;0,"Check","OK"))</f>
        <v>0</v>
      </c>
    </row>
    <row r="357" spans="1:33">
      <c r="A357" s="7"/>
      <c r="B357" s="30"/>
      <c r="C357" s="8">
        <f>IF(B357="","",B357-WEEKDAY(B357,2)+1)</f>
        <v>0</v>
      </c>
      <c r="D357" s="8">
        <f>IF(B357="","",TEXT(B357,"ddd"))</f>
        <v>0</v>
      </c>
      <c r="E357" s="8">
        <f>IF(B357="","",TEXT(B357,"mmm yyyy"))</f>
        <v>0</v>
      </c>
      <c r="F357" s="27"/>
      <c r="G357" s="7"/>
      <c r="H357" s="26"/>
      <c r="I357" s="8">
        <f>IF(G357="","",IFERROR(INDEX(Recipes!$D$5:$D$204,MATCH(G357,Recipes!$A$5:$A$204,0)),""))</f>
        <v>0</v>
      </c>
      <c r="J357" s="8">
        <f>IF(OR(G357="",H357="",I357="",I357=0),"",H357/I357)</f>
        <v>0</v>
      </c>
      <c r="K357" s="8">
        <f>IF(B357="","",Household_Size)</f>
        <v>0</v>
      </c>
      <c r="L357" s="8">
        <f>IF(OR(G357="",H357=""),"",IFERROR(IFERROR(INDEX(Recipes!$H$5:$H$204,MATCH(G357,Recipes!$A$5:$A$204,0)),"")*H357,""))</f>
        <v>0</v>
      </c>
      <c r="M357" s="8">
        <f>IF(OR(G357="",H357=""),"",IFERROR(IFERROR(INDEX(Recipes!$I$5:$I$204,MATCH(G357,Recipes!$A$5:$A$204,0)),"")*H357,""))</f>
        <v>0</v>
      </c>
      <c r="N357" s="8">
        <f>IF(OR(G357="",H357=""),"",IFERROR(IFERROR(INDEX(Recipes!$J$5:$J$204,MATCH(G357,Recipes!$A$5:$A$204,0)),"")*H357,""))</f>
        <v>0</v>
      </c>
      <c r="O357" s="8">
        <f>IF(OR(G357="",H357=""),"",IFERROR(IFERROR(INDEX(Recipes!$K$5:$K$204,MATCH(G357,Recipes!$A$5:$A$204,0)),"")*H357,""))</f>
        <v>0</v>
      </c>
      <c r="P357" s="8">
        <f>IF(OR(G357="",H357=""),"",IFERROR(IFERROR(INDEX(Recipes!$L$5:$L$204,MATCH(G357,Recipes!$A$5:$A$204,0)),"")*H357,""))</f>
        <v>0</v>
      </c>
      <c r="Q357" s="8">
        <f>IF(OR(G357="",H357=""),"",IFERROR(IFERROR(INDEX(Recipes!$Q$5:$Q$204,MATCH(G357,Recipes!$A$5:$A$204,0)),"")*H357,""))</f>
        <v>0</v>
      </c>
      <c r="R357" s="8">
        <f>IF(F357="","",Weekly_Budget/21)</f>
        <v>0</v>
      </c>
      <c r="S357" s="27"/>
      <c r="T357" s="27"/>
      <c r="U357" s="26"/>
      <c r="V357" s="7"/>
      <c r="W357" s="7"/>
      <c r="X357" s="26"/>
      <c r="Y357" s="8">
        <f>IF(G357="","",IF(COUNTIFS('Meal Prep'!$D$5:$D$124,G357)&gt;0,"Yes","No"))</f>
        <v>0</v>
      </c>
      <c r="Z357" s="8">
        <f>IF(G357="","",COUNTIFS('Recipe Ingredients'!$A$5:$A$1204,G357))</f>
        <v>0</v>
      </c>
      <c r="AA357" s="25"/>
      <c r="AB357" s="8">
        <f>IF(OR(B357="",Q357=""),"",COUNTIFS($B$5:$B$504,B357,$Q$5:$Q$504,"&gt;"&amp;Q357)+1)</f>
        <v>0</v>
      </c>
      <c r="AC357" s="8">
        <f>IF(OR(B357="",L357=""),"",COUNTIFS($B$5:$B$504,B357,$L$5:$L$504,"&gt;"&amp;L357)+1)</f>
        <v>0</v>
      </c>
      <c r="AD357" s="8">
        <f>IF(G357="","",IF(COUNTIFS($G$5:$G$504,G357)&gt;1,"Repeat","Once"))</f>
        <v>0</v>
      </c>
      <c r="AE357" s="8">
        <f>IF(G357="","",IF(IFERROR(INDEX(Recipes!$X$5:$X$204,MATCH(G357,Recipes!$A$5:$A$204,0)),"")="","",IFERROR(B357-IFERROR(INDEX(Recipes!$X$5:$X$204,MATCH(G357,Recipes!$A$5:$A$204,0)),""),"")))</f>
        <v>0</v>
      </c>
      <c r="AF357" s="8">
        <f>IF(G357="","",IF(AE357="","Yes",IF(AE357&gt;=Rotation_Gap_Days,"Yes","No")))</f>
        <v>0</v>
      </c>
      <c r="AG357" s="8">
        <f>IF(G357="","",IF(COUNTIFS('Recipe Ingredients'!$A$5:$A$1204,G357,'Recipe Ingredients'!$AC$5:$AC$1204,"Check")&gt;0,"Check","OK"))</f>
        <v>0</v>
      </c>
    </row>
    <row r="358" spans="1:33">
      <c r="A358" s="7"/>
      <c r="B358" s="30"/>
      <c r="C358" s="8">
        <f>IF(B358="","",B358-WEEKDAY(B358,2)+1)</f>
        <v>0</v>
      </c>
      <c r="D358" s="8">
        <f>IF(B358="","",TEXT(B358,"ddd"))</f>
        <v>0</v>
      </c>
      <c r="E358" s="8">
        <f>IF(B358="","",TEXT(B358,"mmm yyyy"))</f>
        <v>0</v>
      </c>
      <c r="F358" s="27"/>
      <c r="G358" s="7"/>
      <c r="H358" s="26"/>
      <c r="I358" s="8">
        <f>IF(G358="","",IFERROR(INDEX(Recipes!$D$5:$D$204,MATCH(G358,Recipes!$A$5:$A$204,0)),""))</f>
        <v>0</v>
      </c>
      <c r="J358" s="8">
        <f>IF(OR(G358="",H358="",I358="",I358=0),"",H358/I358)</f>
        <v>0</v>
      </c>
      <c r="K358" s="8">
        <f>IF(B358="","",Household_Size)</f>
        <v>0</v>
      </c>
      <c r="L358" s="8">
        <f>IF(OR(G358="",H358=""),"",IFERROR(IFERROR(INDEX(Recipes!$H$5:$H$204,MATCH(G358,Recipes!$A$5:$A$204,0)),"")*H358,""))</f>
        <v>0</v>
      </c>
      <c r="M358" s="8">
        <f>IF(OR(G358="",H358=""),"",IFERROR(IFERROR(INDEX(Recipes!$I$5:$I$204,MATCH(G358,Recipes!$A$5:$A$204,0)),"")*H358,""))</f>
        <v>0</v>
      </c>
      <c r="N358" s="8">
        <f>IF(OR(G358="",H358=""),"",IFERROR(IFERROR(INDEX(Recipes!$J$5:$J$204,MATCH(G358,Recipes!$A$5:$A$204,0)),"")*H358,""))</f>
        <v>0</v>
      </c>
      <c r="O358" s="8">
        <f>IF(OR(G358="",H358=""),"",IFERROR(IFERROR(INDEX(Recipes!$K$5:$K$204,MATCH(G358,Recipes!$A$5:$A$204,0)),"")*H358,""))</f>
        <v>0</v>
      </c>
      <c r="P358" s="8">
        <f>IF(OR(G358="",H358=""),"",IFERROR(IFERROR(INDEX(Recipes!$L$5:$L$204,MATCH(G358,Recipes!$A$5:$A$204,0)),"")*H358,""))</f>
        <v>0</v>
      </c>
      <c r="Q358" s="8">
        <f>IF(OR(G358="",H358=""),"",IFERROR(IFERROR(INDEX(Recipes!$Q$5:$Q$204,MATCH(G358,Recipes!$A$5:$A$204,0)),"")*H358,""))</f>
        <v>0</v>
      </c>
      <c r="R358" s="8">
        <f>IF(F358="","",Weekly_Budget/21)</f>
        <v>0</v>
      </c>
      <c r="S358" s="27"/>
      <c r="T358" s="27"/>
      <c r="U358" s="26"/>
      <c r="V358" s="7"/>
      <c r="W358" s="7"/>
      <c r="X358" s="26"/>
      <c r="Y358" s="8">
        <f>IF(G358="","",IF(COUNTIFS('Meal Prep'!$D$5:$D$124,G358)&gt;0,"Yes","No"))</f>
        <v>0</v>
      </c>
      <c r="Z358" s="8">
        <f>IF(G358="","",COUNTIFS('Recipe Ingredients'!$A$5:$A$1204,G358))</f>
        <v>0</v>
      </c>
      <c r="AA358" s="25"/>
      <c r="AB358" s="8">
        <f>IF(OR(B358="",Q358=""),"",COUNTIFS($B$5:$B$504,B358,$Q$5:$Q$504,"&gt;"&amp;Q358)+1)</f>
        <v>0</v>
      </c>
      <c r="AC358" s="8">
        <f>IF(OR(B358="",L358=""),"",COUNTIFS($B$5:$B$504,B358,$L$5:$L$504,"&gt;"&amp;L358)+1)</f>
        <v>0</v>
      </c>
      <c r="AD358" s="8">
        <f>IF(G358="","",IF(COUNTIFS($G$5:$G$504,G358)&gt;1,"Repeat","Once"))</f>
        <v>0</v>
      </c>
      <c r="AE358" s="8">
        <f>IF(G358="","",IF(IFERROR(INDEX(Recipes!$X$5:$X$204,MATCH(G358,Recipes!$A$5:$A$204,0)),"")="","",IFERROR(B358-IFERROR(INDEX(Recipes!$X$5:$X$204,MATCH(G358,Recipes!$A$5:$A$204,0)),""),"")))</f>
        <v>0</v>
      </c>
      <c r="AF358" s="8">
        <f>IF(G358="","",IF(AE358="","Yes",IF(AE358&gt;=Rotation_Gap_Days,"Yes","No")))</f>
        <v>0</v>
      </c>
      <c r="AG358" s="8">
        <f>IF(G358="","",IF(COUNTIFS('Recipe Ingredients'!$A$5:$A$1204,G358,'Recipe Ingredients'!$AC$5:$AC$1204,"Check")&gt;0,"Check","OK"))</f>
        <v>0</v>
      </c>
    </row>
    <row r="359" spans="1:33">
      <c r="A359" s="7"/>
      <c r="B359" s="30"/>
      <c r="C359" s="8">
        <f>IF(B359="","",B359-WEEKDAY(B359,2)+1)</f>
        <v>0</v>
      </c>
      <c r="D359" s="8">
        <f>IF(B359="","",TEXT(B359,"ddd"))</f>
        <v>0</v>
      </c>
      <c r="E359" s="8">
        <f>IF(B359="","",TEXT(B359,"mmm yyyy"))</f>
        <v>0</v>
      </c>
      <c r="F359" s="27"/>
      <c r="G359" s="7"/>
      <c r="H359" s="26"/>
      <c r="I359" s="8">
        <f>IF(G359="","",IFERROR(INDEX(Recipes!$D$5:$D$204,MATCH(G359,Recipes!$A$5:$A$204,0)),""))</f>
        <v>0</v>
      </c>
      <c r="J359" s="8">
        <f>IF(OR(G359="",H359="",I359="",I359=0),"",H359/I359)</f>
        <v>0</v>
      </c>
      <c r="K359" s="8">
        <f>IF(B359="","",Household_Size)</f>
        <v>0</v>
      </c>
      <c r="L359" s="8">
        <f>IF(OR(G359="",H359=""),"",IFERROR(IFERROR(INDEX(Recipes!$H$5:$H$204,MATCH(G359,Recipes!$A$5:$A$204,0)),"")*H359,""))</f>
        <v>0</v>
      </c>
      <c r="M359" s="8">
        <f>IF(OR(G359="",H359=""),"",IFERROR(IFERROR(INDEX(Recipes!$I$5:$I$204,MATCH(G359,Recipes!$A$5:$A$204,0)),"")*H359,""))</f>
        <v>0</v>
      </c>
      <c r="N359" s="8">
        <f>IF(OR(G359="",H359=""),"",IFERROR(IFERROR(INDEX(Recipes!$J$5:$J$204,MATCH(G359,Recipes!$A$5:$A$204,0)),"")*H359,""))</f>
        <v>0</v>
      </c>
      <c r="O359" s="8">
        <f>IF(OR(G359="",H359=""),"",IFERROR(IFERROR(INDEX(Recipes!$K$5:$K$204,MATCH(G359,Recipes!$A$5:$A$204,0)),"")*H359,""))</f>
        <v>0</v>
      </c>
      <c r="P359" s="8">
        <f>IF(OR(G359="",H359=""),"",IFERROR(IFERROR(INDEX(Recipes!$L$5:$L$204,MATCH(G359,Recipes!$A$5:$A$204,0)),"")*H359,""))</f>
        <v>0</v>
      </c>
      <c r="Q359" s="8">
        <f>IF(OR(G359="",H359=""),"",IFERROR(IFERROR(INDEX(Recipes!$Q$5:$Q$204,MATCH(G359,Recipes!$A$5:$A$204,0)),"")*H359,""))</f>
        <v>0</v>
      </c>
      <c r="R359" s="8">
        <f>IF(F359="","",Weekly_Budget/21)</f>
        <v>0</v>
      </c>
      <c r="S359" s="27"/>
      <c r="T359" s="27"/>
      <c r="U359" s="26"/>
      <c r="V359" s="7"/>
      <c r="W359" s="7"/>
      <c r="X359" s="26"/>
      <c r="Y359" s="8">
        <f>IF(G359="","",IF(COUNTIFS('Meal Prep'!$D$5:$D$124,G359)&gt;0,"Yes","No"))</f>
        <v>0</v>
      </c>
      <c r="Z359" s="8">
        <f>IF(G359="","",COUNTIFS('Recipe Ingredients'!$A$5:$A$1204,G359))</f>
        <v>0</v>
      </c>
      <c r="AA359" s="25"/>
      <c r="AB359" s="8">
        <f>IF(OR(B359="",Q359=""),"",COUNTIFS($B$5:$B$504,B359,$Q$5:$Q$504,"&gt;"&amp;Q359)+1)</f>
        <v>0</v>
      </c>
      <c r="AC359" s="8">
        <f>IF(OR(B359="",L359=""),"",COUNTIFS($B$5:$B$504,B359,$L$5:$L$504,"&gt;"&amp;L359)+1)</f>
        <v>0</v>
      </c>
      <c r="AD359" s="8">
        <f>IF(G359="","",IF(COUNTIFS($G$5:$G$504,G359)&gt;1,"Repeat","Once"))</f>
        <v>0</v>
      </c>
      <c r="AE359" s="8">
        <f>IF(G359="","",IF(IFERROR(INDEX(Recipes!$X$5:$X$204,MATCH(G359,Recipes!$A$5:$A$204,0)),"")="","",IFERROR(B359-IFERROR(INDEX(Recipes!$X$5:$X$204,MATCH(G359,Recipes!$A$5:$A$204,0)),""),"")))</f>
        <v>0</v>
      </c>
      <c r="AF359" s="8">
        <f>IF(G359="","",IF(AE359="","Yes",IF(AE359&gt;=Rotation_Gap_Days,"Yes","No")))</f>
        <v>0</v>
      </c>
      <c r="AG359" s="8">
        <f>IF(G359="","",IF(COUNTIFS('Recipe Ingredients'!$A$5:$A$1204,G359,'Recipe Ingredients'!$AC$5:$AC$1204,"Check")&gt;0,"Check","OK"))</f>
        <v>0</v>
      </c>
    </row>
    <row r="360" spans="1:33">
      <c r="A360" s="7"/>
      <c r="B360" s="30"/>
      <c r="C360" s="8">
        <f>IF(B360="","",B360-WEEKDAY(B360,2)+1)</f>
        <v>0</v>
      </c>
      <c r="D360" s="8">
        <f>IF(B360="","",TEXT(B360,"ddd"))</f>
        <v>0</v>
      </c>
      <c r="E360" s="8">
        <f>IF(B360="","",TEXT(B360,"mmm yyyy"))</f>
        <v>0</v>
      </c>
      <c r="F360" s="27"/>
      <c r="G360" s="7"/>
      <c r="H360" s="26"/>
      <c r="I360" s="8">
        <f>IF(G360="","",IFERROR(INDEX(Recipes!$D$5:$D$204,MATCH(G360,Recipes!$A$5:$A$204,0)),""))</f>
        <v>0</v>
      </c>
      <c r="J360" s="8">
        <f>IF(OR(G360="",H360="",I360="",I360=0),"",H360/I360)</f>
        <v>0</v>
      </c>
      <c r="K360" s="8">
        <f>IF(B360="","",Household_Size)</f>
        <v>0</v>
      </c>
      <c r="L360" s="8">
        <f>IF(OR(G360="",H360=""),"",IFERROR(IFERROR(INDEX(Recipes!$H$5:$H$204,MATCH(G360,Recipes!$A$5:$A$204,0)),"")*H360,""))</f>
        <v>0</v>
      </c>
      <c r="M360" s="8">
        <f>IF(OR(G360="",H360=""),"",IFERROR(IFERROR(INDEX(Recipes!$I$5:$I$204,MATCH(G360,Recipes!$A$5:$A$204,0)),"")*H360,""))</f>
        <v>0</v>
      </c>
      <c r="N360" s="8">
        <f>IF(OR(G360="",H360=""),"",IFERROR(IFERROR(INDEX(Recipes!$J$5:$J$204,MATCH(G360,Recipes!$A$5:$A$204,0)),"")*H360,""))</f>
        <v>0</v>
      </c>
      <c r="O360" s="8">
        <f>IF(OR(G360="",H360=""),"",IFERROR(IFERROR(INDEX(Recipes!$K$5:$K$204,MATCH(G360,Recipes!$A$5:$A$204,0)),"")*H360,""))</f>
        <v>0</v>
      </c>
      <c r="P360" s="8">
        <f>IF(OR(G360="",H360=""),"",IFERROR(IFERROR(INDEX(Recipes!$L$5:$L$204,MATCH(G360,Recipes!$A$5:$A$204,0)),"")*H360,""))</f>
        <v>0</v>
      </c>
      <c r="Q360" s="8">
        <f>IF(OR(G360="",H360=""),"",IFERROR(IFERROR(INDEX(Recipes!$Q$5:$Q$204,MATCH(G360,Recipes!$A$5:$A$204,0)),"")*H360,""))</f>
        <v>0</v>
      </c>
      <c r="R360" s="8">
        <f>IF(F360="","",Weekly_Budget/21)</f>
        <v>0</v>
      </c>
      <c r="S360" s="27"/>
      <c r="T360" s="27"/>
      <c r="U360" s="26"/>
      <c r="V360" s="7"/>
      <c r="W360" s="7"/>
      <c r="X360" s="26"/>
      <c r="Y360" s="8">
        <f>IF(G360="","",IF(COUNTIFS('Meal Prep'!$D$5:$D$124,G360)&gt;0,"Yes","No"))</f>
        <v>0</v>
      </c>
      <c r="Z360" s="8">
        <f>IF(G360="","",COUNTIFS('Recipe Ingredients'!$A$5:$A$1204,G360))</f>
        <v>0</v>
      </c>
      <c r="AA360" s="25"/>
      <c r="AB360" s="8">
        <f>IF(OR(B360="",Q360=""),"",COUNTIFS($B$5:$B$504,B360,$Q$5:$Q$504,"&gt;"&amp;Q360)+1)</f>
        <v>0</v>
      </c>
      <c r="AC360" s="8">
        <f>IF(OR(B360="",L360=""),"",COUNTIFS($B$5:$B$504,B360,$L$5:$L$504,"&gt;"&amp;L360)+1)</f>
        <v>0</v>
      </c>
      <c r="AD360" s="8">
        <f>IF(G360="","",IF(COUNTIFS($G$5:$G$504,G360)&gt;1,"Repeat","Once"))</f>
        <v>0</v>
      </c>
      <c r="AE360" s="8">
        <f>IF(G360="","",IF(IFERROR(INDEX(Recipes!$X$5:$X$204,MATCH(G360,Recipes!$A$5:$A$204,0)),"")="","",IFERROR(B360-IFERROR(INDEX(Recipes!$X$5:$X$204,MATCH(G360,Recipes!$A$5:$A$204,0)),""),"")))</f>
        <v>0</v>
      </c>
      <c r="AF360" s="8">
        <f>IF(G360="","",IF(AE360="","Yes",IF(AE360&gt;=Rotation_Gap_Days,"Yes","No")))</f>
        <v>0</v>
      </c>
      <c r="AG360" s="8">
        <f>IF(G360="","",IF(COUNTIFS('Recipe Ingredients'!$A$5:$A$1204,G360,'Recipe Ingredients'!$AC$5:$AC$1204,"Check")&gt;0,"Check","OK"))</f>
        <v>0</v>
      </c>
    </row>
    <row r="361" spans="1:33">
      <c r="A361" s="7"/>
      <c r="B361" s="30"/>
      <c r="C361" s="8">
        <f>IF(B361="","",B361-WEEKDAY(B361,2)+1)</f>
        <v>0</v>
      </c>
      <c r="D361" s="8">
        <f>IF(B361="","",TEXT(B361,"ddd"))</f>
        <v>0</v>
      </c>
      <c r="E361" s="8">
        <f>IF(B361="","",TEXT(B361,"mmm yyyy"))</f>
        <v>0</v>
      </c>
      <c r="F361" s="27"/>
      <c r="G361" s="7"/>
      <c r="H361" s="26"/>
      <c r="I361" s="8">
        <f>IF(G361="","",IFERROR(INDEX(Recipes!$D$5:$D$204,MATCH(G361,Recipes!$A$5:$A$204,0)),""))</f>
        <v>0</v>
      </c>
      <c r="J361" s="8">
        <f>IF(OR(G361="",H361="",I361="",I361=0),"",H361/I361)</f>
        <v>0</v>
      </c>
      <c r="K361" s="8">
        <f>IF(B361="","",Household_Size)</f>
        <v>0</v>
      </c>
      <c r="L361" s="8">
        <f>IF(OR(G361="",H361=""),"",IFERROR(IFERROR(INDEX(Recipes!$H$5:$H$204,MATCH(G361,Recipes!$A$5:$A$204,0)),"")*H361,""))</f>
        <v>0</v>
      </c>
      <c r="M361" s="8">
        <f>IF(OR(G361="",H361=""),"",IFERROR(IFERROR(INDEX(Recipes!$I$5:$I$204,MATCH(G361,Recipes!$A$5:$A$204,0)),"")*H361,""))</f>
        <v>0</v>
      </c>
      <c r="N361" s="8">
        <f>IF(OR(G361="",H361=""),"",IFERROR(IFERROR(INDEX(Recipes!$J$5:$J$204,MATCH(G361,Recipes!$A$5:$A$204,0)),"")*H361,""))</f>
        <v>0</v>
      </c>
      <c r="O361" s="8">
        <f>IF(OR(G361="",H361=""),"",IFERROR(IFERROR(INDEX(Recipes!$K$5:$K$204,MATCH(G361,Recipes!$A$5:$A$204,0)),"")*H361,""))</f>
        <v>0</v>
      </c>
      <c r="P361" s="8">
        <f>IF(OR(G361="",H361=""),"",IFERROR(IFERROR(INDEX(Recipes!$L$5:$L$204,MATCH(G361,Recipes!$A$5:$A$204,0)),"")*H361,""))</f>
        <v>0</v>
      </c>
      <c r="Q361" s="8">
        <f>IF(OR(G361="",H361=""),"",IFERROR(IFERROR(INDEX(Recipes!$Q$5:$Q$204,MATCH(G361,Recipes!$A$5:$A$204,0)),"")*H361,""))</f>
        <v>0</v>
      </c>
      <c r="R361" s="8">
        <f>IF(F361="","",Weekly_Budget/21)</f>
        <v>0</v>
      </c>
      <c r="S361" s="27"/>
      <c r="T361" s="27"/>
      <c r="U361" s="26"/>
      <c r="V361" s="7"/>
      <c r="W361" s="7"/>
      <c r="X361" s="26"/>
      <c r="Y361" s="8">
        <f>IF(G361="","",IF(COUNTIFS('Meal Prep'!$D$5:$D$124,G361)&gt;0,"Yes","No"))</f>
        <v>0</v>
      </c>
      <c r="Z361" s="8">
        <f>IF(G361="","",COUNTIFS('Recipe Ingredients'!$A$5:$A$1204,G361))</f>
        <v>0</v>
      </c>
      <c r="AA361" s="25"/>
      <c r="AB361" s="8">
        <f>IF(OR(B361="",Q361=""),"",COUNTIFS($B$5:$B$504,B361,$Q$5:$Q$504,"&gt;"&amp;Q361)+1)</f>
        <v>0</v>
      </c>
      <c r="AC361" s="8">
        <f>IF(OR(B361="",L361=""),"",COUNTIFS($B$5:$B$504,B361,$L$5:$L$504,"&gt;"&amp;L361)+1)</f>
        <v>0</v>
      </c>
      <c r="AD361" s="8">
        <f>IF(G361="","",IF(COUNTIFS($G$5:$G$504,G361)&gt;1,"Repeat","Once"))</f>
        <v>0</v>
      </c>
      <c r="AE361" s="8">
        <f>IF(G361="","",IF(IFERROR(INDEX(Recipes!$X$5:$X$204,MATCH(G361,Recipes!$A$5:$A$204,0)),"")="","",IFERROR(B361-IFERROR(INDEX(Recipes!$X$5:$X$204,MATCH(G361,Recipes!$A$5:$A$204,0)),""),"")))</f>
        <v>0</v>
      </c>
      <c r="AF361" s="8">
        <f>IF(G361="","",IF(AE361="","Yes",IF(AE361&gt;=Rotation_Gap_Days,"Yes","No")))</f>
        <v>0</v>
      </c>
      <c r="AG361" s="8">
        <f>IF(G361="","",IF(COUNTIFS('Recipe Ingredients'!$A$5:$A$1204,G361,'Recipe Ingredients'!$AC$5:$AC$1204,"Check")&gt;0,"Check","OK"))</f>
        <v>0</v>
      </c>
    </row>
    <row r="362" spans="1:33">
      <c r="A362" s="7"/>
      <c r="B362" s="30"/>
      <c r="C362" s="8">
        <f>IF(B362="","",B362-WEEKDAY(B362,2)+1)</f>
        <v>0</v>
      </c>
      <c r="D362" s="8">
        <f>IF(B362="","",TEXT(B362,"ddd"))</f>
        <v>0</v>
      </c>
      <c r="E362" s="8">
        <f>IF(B362="","",TEXT(B362,"mmm yyyy"))</f>
        <v>0</v>
      </c>
      <c r="F362" s="27"/>
      <c r="G362" s="7"/>
      <c r="H362" s="26"/>
      <c r="I362" s="8">
        <f>IF(G362="","",IFERROR(INDEX(Recipes!$D$5:$D$204,MATCH(G362,Recipes!$A$5:$A$204,0)),""))</f>
        <v>0</v>
      </c>
      <c r="J362" s="8">
        <f>IF(OR(G362="",H362="",I362="",I362=0),"",H362/I362)</f>
        <v>0</v>
      </c>
      <c r="K362" s="8">
        <f>IF(B362="","",Household_Size)</f>
        <v>0</v>
      </c>
      <c r="L362" s="8">
        <f>IF(OR(G362="",H362=""),"",IFERROR(IFERROR(INDEX(Recipes!$H$5:$H$204,MATCH(G362,Recipes!$A$5:$A$204,0)),"")*H362,""))</f>
        <v>0</v>
      </c>
      <c r="M362" s="8">
        <f>IF(OR(G362="",H362=""),"",IFERROR(IFERROR(INDEX(Recipes!$I$5:$I$204,MATCH(G362,Recipes!$A$5:$A$204,0)),"")*H362,""))</f>
        <v>0</v>
      </c>
      <c r="N362" s="8">
        <f>IF(OR(G362="",H362=""),"",IFERROR(IFERROR(INDEX(Recipes!$J$5:$J$204,MATCH(G362,Recipes!$A$5:$A$204,0)),"")*H362,""))</f>
        <v>0</v>
      </c>
      <c r="O362" s="8">
        <f>IF(OR(G362="",H362=""),"",IFERROR(IFERROR(INDEX(Recipes!$K$5:$K$204,MATCH(G362,Recipes!$A$5:$A$204,0)),"")*H362,""))</f>
        <v>0</v>
      </c>
      <c r="P362" s="8">
        <f>IF(OR(G362="",H362=""),"",IFERROR(IFERROR(INDEX(Recipes!$L$5:$L$204,MATCH(G362,Recipes!$A$5:$A$204,0)),"")*H362,""))</f>
        <v>0</v>
      </c>
      <c r="Q362" s="8">
        <f>IF(OR(G362="",H362=""),"",IFERROR(IFERROR(INDEX(Recipes!$Q$5:$Q$204,MATCH(G362,Recipes!$A$5:$A$204,0)),"")*H362,""))</f>
        <v>0</v>
      </c>
      <c r="R362" s="8">
        <f>IF(F362="","",Weekly_Budget/21)</f>
        <v>0</v>
      </c>
      <c r="S362" s="27"/>
      <c r="T362" s="27"/>
      <c r="U362" s="26"/>
      <c r="V362" s="7"/>
      <c r="W362" s="7"/>
      <c r="X362" s="26"/>
      <c r="Y362" s="8">
        <f>IF(G362="","",IF(COUNTIFS('Meal Prep'!$D$5:$D$124,G362)&gt;0,"Yes","No"))</f>
        <v>0</v>
      </c>
      <c r="Z362" s="8">
        <f>IF(G362="","",COUNTIFS('Recipe Ingredients'!$A$5:$A$1204,G362))</f>
        <v>0</v>
      </c>
      <c r="AA362" s="25"/>
      <c r="AB362" s="8">
        <f>IF(OR(B362="",Q362=""),"",COUNTIFS($B$5:$B$504,B362,$Q$5:$Q$504,"&gt;"&amp;Q362)+1)</f>
        <v>0</v>
      </c>
      <c r="AC362" s="8">
        <f>IF(OR(B362="",L362=""),"",COUNTIFS($B$5:$B$504,B362,$L$5:$L$504,"&gt;"&amp;L362)+1)</f>
        <v>0</v>
      </c>
      <c r="AD362" s="8">
        <f>IF(G362="","",IF(COUNTIFS($G$5:$G$504,G362)&gt;1,"Repeat","Once"))</f>
        <v>0</v>
      </c>
      <c r="AE362" s="8">
        <f>IF(G362="","",IF(IFERROR(INDEX(Recipes!$X$5:$X$204,MATCH(G362,Recipes!$A$5:$A$204,0)),"")="","",IFERROR(B362-IFERROR(INDEX(Recipes!$X$5:$X$204,MATCH(G362,Recipes!$A$5:$A$204,0)),""),"")))</f>
        <v>0</v>
      </c>
      <c r="AF362" s="8">
        <f>IF(G362="","",IF(AE362="","Yes",IF(AE362&gt;=Rotation_Gap_Days,"Yes","No")))</f>
        <v>0</v>
      </c>
      <c r="AG362" s="8">
        <f>IF(G362="","",IF(COUNTIFS('Recipe Ingredients'!$A$5:$A$1204,G362,'Recipe Ingredients'!$AC$5:$AC$1204,"Check")&gt;0,"Check","OK"))</f>
        <v>0</v>
      </c>
    </row>
    <row r="363" spans="1:33">
      <c r="A363" s="7"/>
      <c r="B363" s="30"/>
      <c r="C363" s="8">
        <f>IF(B363="","",B363-WEEKDAY(B363,2)+1)</f>
        <v>0</v>
      </c>
      <c r="D363" s="8">
        <f>IF(B363="","",TEXT(B363,"ddd"))</f>
        <v>0</v>
      </c>
      <c r="E363" s="8">
        <f>IF(B363="","",TEXT(B363,"mmm yyyy"))</f>
        <v>0</v>
      </c>
      <c r="F363" s="27"/>
      <c r="G363" s="7"/>
      <c r="H363" s="26"/>
      <c r="I363" s="8">
        <f>IF(G363="","",IFERROR(INDEX(Recipes!$D$5:$D$204,MATCH(G363,Recipes!$A$5:$A$204,0)),""))</f>
        <v>0</v>
      </c>
      <c r="J363" s="8">
        <f>IF(OR(G363="",H363="",I363="",I363=0),"",H363/I363)</f>
        <v>0</v>
      </c>
      <c r="K363" s="8">
        <f>IF(B363="","",Household_Size)</f>
        <v>0</v>
      </c>
      <c r="L363" s="8">
        <f>IF(OR(G363="",H363=""),"",IFERROR(IFERROR(INDEX(Recipes!$H$5:$H$204,MATCH(G363,Recipes!$A$5:$A$204,0)),"")*H363,""))</f>
        <v>0</v>
      </c>
      <c r="M363" s="8">
        <f>IF(OR(G363="",H363=""),"",IFERROR(IFERROR(INDEX(Recipes!$I$5:$I$204,MATCH(G363,Recipes!$A$5:$A$204,0)),"")*H363,""))</f>
        <v>0</v>
      </c>
      <c r="N363" s="8">
        <f>IF(OR(G363="",H363=""),"",IFERROR(IFERROR(INDEX(Recipes!$J$5:$J$204,MATCH(G363,Recipes!$A$5:$A$204,0)),"")*H363,""))</f>
        <v>0</v>
      </c>
      <c r="O363" s="8">
        <f>IF(OR(G363="",H363=""),"",IFERROR(IFERROR(INDEX(Recipes!$K$5:$K$204,MATCH(G363,Recipes!$A$5:$A$204,0)),"")*H363,""))</f>
        <v>0</v>
      </c>
      <c r="P363" s="8">
        <f>IF(OR(G363="",H363=""),"",IFERROR(IFERROR(INDEX(Recipes!$L$5:$L$204,MATCH(G363,Recipes!$A$5:$A$204,0)),"")*H363,""))</f>
        <v>0</v>
      </c>
      <c r="Q363" s="8">
        <f>IF(OR(G363="",H363=""),"",IFERROR(IFERROR(INDEX(Recipes!$Q$5:$Q$204,MATCH(G363,Recipes!$A$5:$A$204,0)),"")*H363,""))</f>
        <v>0</v>
      </c>
      <c r="R363" s="8">
        <f>IF(F363="","",Weekly_Budget/21)</f>
        <v>0</v>
      </c>
      <c r="S363" s="27"/>
      <c r="T363" s="27"/>
      <c r="U363" s="26"/>
      <c r="V363" s="7"/>
      <c r="W363" s="7"/>
      <c r="X363" s="26"/>
      <c r="Y363" s="8">
        <f>IF(G363="","",IF(COUNTIFS('Meal Prep'!$D$5:$D$124,G363)&gt;0,"Yes","No"))</f>
        <v>0</v>
      </c>
      <c r="Z363" s="8">
        <f>IF(G363="","",COUNTIFS('Recipe Ingredients'!$A$5:$A$1204,G363))</f>
        <v>0</v>
      </c>
      <c r="AA363" s="25"/>
      <c r="AB363" s="8">
        <f>IF(OR(B363="",Q363=""),"",COUNTIFS($B$5:$B$504,B363,$Q$5:$Q$504,"&gt;"&amp;Q363)+1)</f>
        <v>0</v>
      </c>
      <c r="AC363" s="8">
        <f>IF(OR(B363="",L363=""),"",COUNTIFS($B$5:$B$504,B363,$L$5:$L$504,"&gt;"&amp;L363)+1)</f>
        <v>0</v>
      </c>
      <c r="AD363" s="8">
        <f>IF(G363="","",IF(COUNTIFS($G$5:$G$504,G363)&gt;1,"Repeat","Once"))</f>
        <v>0</v>
      </c>
      <c r="AE363" s="8">
        <f>IF(G363="","",IF(IFERROR(INDEX(Recipes!$X$5:$X$204,MATCH(G363,Recipes!$A$5:$A$204,0)),"")="","",IFERROR(B363-IFERROR(INDEX(Recipes!$X$5:$X$204,MATCH(G363,Recipes!$A$5:$A$204,0)),""),"")))</f>
        <v>0</v>
      </c>
      <c r="AF363" s="8">
        <f>IF(G363="","",IF(AE363="","Yes",IF(AE363&gt;=Rotation_Gap_Days,"Yes","No")))</f>
        <v>0</v>
      </c>
      <c r="AG363" s="8">
        <f>IF(G363="","",IF(COUNTIFS('Recipe Ingredients'!$A$5:$A$1204,G363,'Recipe Ingredients'!$AC$5:$AC$1204,"Check")&gt;0,"Check","OK"))</f>
        <v>0</v>
      </c>
    </row>
    <row r="364" spans="1:33">
      <c r="A364" s="7"/>
      <c r="B364" s="30"/>
      <c r="C364" s="8">
        <f>IF(B364="","",B364-WEEKDAY(B364,2)+1)</f>
        <v>0</v>
      </c>
      <c r="D364" s="8">
        <f>IF(B364="","",TEXT(B364,"ddd"))</f>
        <v>0</v>
      </c>
      <c r="E364" s="8">
        <f>IF(B364="","",TEXT(B364,"mmm yyyy"))</f>
        <v>0</v>
      </c>
      <c r="F364" s="27"/>
      <c r="G364" s="7"/>
      <c r="H364" s="26"/>
      <c r="I364" s="8">
        <f>IF(G364="","",IFERROR(INDEX(Recipes!$D$5:$D$204,MATCH(G364,Recipes!$A$5:$A$204,0)),""))</f>
        <v>0</v>
      </c>
      <c r="J364" s="8">
        <f>IF(OR(G364="",H364="",I364="",I364=0),"",H364/I364)</f>
        <v>0</v>
      </c>
      <c r="K364" s="8">
        <f>IF(B364="","",Household_Size)</f>
        <v>0</v>
      </c>
      <c r="L364" s="8">
        <f>IF(OR(G364="",H364=""),"",IFERROR(IFERROR(INDEX(Recipes!$H$5:$H$204,MATCH(G364,Recipes!$A$5:$A$204,0)),"")*H364,""))</f>
        <v>0</v>
      </c>
      <c r="M364" s="8">
        <f>IF(OR(G364="",H364=""),"",IFERROR(IFERROR(INDEX(Recipes!$I$5:$I$204,MATCH(G364,Recipes!$A$5:$A$204,0)),"")*H364,""))</f>
        <v>0</v>
      </c>
      <c r="N364" s="8">
        <f>IF(OR(G364="",H364=""),"",IFERROR(IFERROR(INDEX(Recipes!$J$5:$J$204,MATCH(G364,Recipes!$A$5:$A$204,0)),"")*H364,""))</f>
        <v>0</v>
      </c>
      <c r="O364" s="8">
        <f>IF(OR(G364="",H364=""),"",IFERROR(IFERROR(INDEX(Recipes!$K$5:$K$204,MATCH(G364,Recipes!$A$5:$A$204,0)),"")*H364,""))</f>
        <v>0</v>
      </c>
      <c r="P364" s="8">
        <f>IF(OR(G364="",H364=""),"",IFERROR(IFERROR(INDEX(Recipes!$L$5:$L$204,MATCH(G364,Recipes!$A$5:$A$204,0)),"")*H364,""))</f>
        <v>0</v>
      </c>
      <c r="Q364" s="8">
        <f>IF(OR(G364="",H364=""),"",IFERROR(IFERROR(INDEX(Recipes!$Q$5:$Q$204,MATCH(G364,Recipes!$A$5:$A$204,0)),"")*H364,""))</f>
        <v>0</v>
      </c>
      <c r="R364" s="8">
        <f>IF(F364="","",Weekly_Budget/21)</f>
        <v>0</v>
      </c>
      <c r="S364" s="27"/>
      <c r="T364" s="27"/>
      <c r="U364" s="26"/>
      <c r="V364" s="7"/>
      <c r="W364" s="7"/>
      <c r="X364" s="26"/>
      <c r="Y364" s="8">
        <f>IF(G364="","",IF(COUNTIFS('Meal Prep'!$D$5:$D$124,G364)&gt;0,"Yes","No"))</f>
        <v>0</v>
      </c>
      <c r="Z364" s="8">
        <f>IF(G364="","",COUNTIFS('Recipe Ingredients'!$A$5:$A$1204,G364))</f>
        <v>0</v>
      </c>
      <c r="AA364" s="25"/>
      <c r="AB364" s="8">
        <f>IF(OR(B364="",Q364=""),"",COUNTIFS($B$5:$B$504,B364,$Q$5:$Q$504,"&gt;"&amp;Q364)+1)</f>
        <v>0</v>
      </c>
      <c r="AC364" s="8">
        <f>IF(OR(B364="",L364=""),"",COUNTIFS($B$5:$B$504,B364,$L$5:$L$504,"&gt;"&amp;L364)+1)</f>
        <v>0</v>
      </c>
      <c r="AD364" s="8">
        <f>IF(G364="","",IF(COUNTIFS($G$5:$G$504,G364)&gt;1,"Repeat","Once"))</f>
        <v>0</v>
      </c>
      <c r="AE364" s="8">
        <f>IF(G364="","",IF(IFERROR(INDEX(Recipes!$X$5:$X$204,MATCH(G364,Recipes!$A$5:$A$204,0)),"")="","",IFERROR(B364-IFERROR(INDEX(Recipes!$X$5:$X$204,MATCH(G364,Recipes!$A$5:$A$204,0)),""),"")))</f>
        <v>0</v>
      </c>
      <c r="AF364" s="8">
        <f>IF(G364="","",IF(AE364="","Yes",IF(AE364&gt;=Rotation_Gap_Days,"Yes","No")))</f>
        <v>0</v>
      </c>
      <c r="AG364" s="8">
        <f>IF(G364="","",IF(COUNTIFS('Recipe Ingredients'!$A$5:$A$1204,G364,'Recipe Ingredients'!$AC$5:$AC$1204,"Check")&gt;0,"Check","OK"))</f>
        <v>0</v>
      </c>
    </row>
    <row r="365" spans="1:33">
      <c r="A365" s="7"/>
      <c r="B365" s="30"/>
      <c r="C365" s="8">
        <f>IF(B365="","",B365-WEEKDAY(B365,2)+1)</f>
        <v>0</v>
      </c>
      <c r="D365" s="8">
        <f>IF(B365="","",TEXT(B365,"ddd"))</f>
        <v>0</v>
      </c>
      <c r="E365" s="8">
        <f>IF(B365="","",TEXT(B365,"mmm yyyy"))</f>
        <v>0</v>
      </c>
      <c r="F365" s="27"/>
      <c r="G365" s="7"/>
      <c r="H365" s="26"/>
      <c r="I365" s="8">
        <f>IF(G365="","",IFERROR(INDEX(Recipes!$D$5:$D$204,MATCH(G365,Recipes!$A$5:$A$204,0)),""))</f>
        <v>0</v>
      </c>
      <c r="J365" s="8">
        <f>IF(OR(G365="",H365="",I365="",I365=0),"",H365/I365)</f>
        <v>0</v>
      </c>
      <c r="K365" s="8">
        <f>IF(B365="","",Household_Size)</f>
        <v>0</v>
      </c>
      <c r="L365" s="8">
        <f>IF(OR(G365="",H365=""),"",IFERROR(IFERROR(INDEX(Recipes!$H$5:$H$204,MATCH(G365,Recipes!$A$5:$A$204,0)),"")*H365,""))</f>
        <v>0</v>
      </c>
      <c r="M365" s="8">
        <f>IF(OR(G365="",H365=""),"",IFERROR(IFERROR(INDEX(Recipes!$I$5:$I$204,MATCH(G365,Recipes!$A$5:$A$204,0)),"")*H365,""))</f>
        <v>0</v>
      </c>
      <c r="N365" s="8">
        <f>IF(OR(G365="",H365=""),"",IFERROR(IFERROR(INDEX(Recipes!$J$5:$J$204,MATCH(G365,Recipes!$A$5:$A$204,0)),"")*H365,""))</f>
        <v>0</v>
      </c>
      <c r="O365" s="8">
        <f>IF(OR(G365="",H365=""),"",IFERROR(IFERROR(INDEX(Recipes!$K$5:$K$204,MATCH(G365,Recipes!$A$5:$A$204,0)),"")*H365,""))</f>
        <v>0</v>
      </c>
      <c r="P365" s="8">
        <f>IF(OR(G365="",H365=""),"",IFERROR(IFERROR(INDEX(Recipes!$L$5:$L$204,MATCH(G365,Recipes!$A$5:$A$204,0)),"")*H365,""))</f>
        <v>0</v>
      </c>
      <c r="Q365" s="8">
        <f>IF(OR(G365="",H365=""),"",IFERROR(IFERROR(INDEX(Recipes!$Q$5:$Q$204,MATCH(G365,Recipes!$A$5:$A$204,0)),"")*H365,""))</f>
        <v>0</v>
      </c>
      <c r="R365" s="8">
        <f>IF(F365="","",Weekly_Budget/21)</f>
        <v>0</v>
      </c>
      <c r="S365" s="27"/>
      <c r="T365" s="27"/>
      <c r="U365" s="26"/>
      <c r="V365" s="7"/>
      <c r="W365" s="7"/>
      <c r="X365" s="26"/>
      <c r="Y365" s="8">
        <f>IF(G365="","",IF(COUNTIFS('Meal Prep'!$D$5:$D$124,G365)&gt;0,"Yes","No"))</f>
        <v>0</v>
      </c>
      <c r="Z365" s="8">
        <f>IF(G365="","",COUNTIFS('Recipe Ingredients'!$A$5:$A$1204,G365))</f>
        <v>0</v>
      </c>
      <c r="AA365" s="25"/>
      <c r="AB365" s="8">
        <f>IF(OR(B365="",Q365=""),"",COUNTIFS($B$5:$B$504,B365,$Q$5:$Q$504,"&gt;"&amp;Q365)+1)</f>
        <v>0</v>
      </c>
      <c r="AC365" s="8">
        <f>IF(OR(B365="",L365=""),"",COUNTIFS($B$5:$B$504,B365,$L$5:$L$504,"&gt;"&amp;L365)+1)</f>
        <v>0</v>
      </c>
      <c r="AD365" s="8">
        <f>IF(G365="","",IF(COUNTIFS($G$5:$G$504,G365)&gt;1,"Repeat","Once"))</f>
        <v>0</v>
      </c>
      <c r="AE365" s="8">
        <f>IF(G365="","",IF(IFERROR(INDEX(Recipes!$X$5:$X$204,MATCH(G365,Recipes!$A$5:$A$204,0)),"")="","",IFERROR(B365-IFERROR(INDEX(Recipes!$X$5:$X$204,MATCH(G365,Recipes!$A$5:$A$204,0)),""),"")))</f>
        <v>0</v>
      </c>
      <c r="AF365" s="8">
        <f>IF(G365="","",IF(AE365="","Yes",IF(AE365&gt;=Rotation_Gap_Days,"Yes","No")))</f>
        <v>0</v>
      </c>
      <c r="AG365" s="8">
        <f>IF(G365="","",IF(COUNTIFS('Recipe Ingredients'!$A$5:$A$1204,G365,'Recipe Ingredients'!$AC$5:$AC$1204,"Check")&gt;0,"Check","OK"))</f>
        <v>0</v>
      </c>
    </row>
    <row r="366" spans="1:33">
      <c r="A366" s="7"/>
      <c r="B366" s="30"/>
      <c r="C366" s="8">
        <f>IF(B366="","",B366-WEEKDAY(B366,2)+1)</f>
        <v>0</v>
      </c>
      <c r="D366" s="8">
        <f>IF(B366="","",TEXT(B366,"ddd"))</f>
        <v>0</v>
      </c>
      <c r="E366" s="8">
        <f>IF(B366="","",TEXT(B366,"mmm yyyy"))</f>
        <v>0</v>
      </c>
      <c r="F366" s="27"/>
      <c r="G366" s="7"/>
      <c r="H366" s="26"/>
      <c r="I366" s="8">
        <f>IF(G366="","",IFERROR(INDEX(Recipes!$D$5:$D$204,MATCH(G366,Recipes!$A$5:$A$204,0)),""))</f>
        <v>0</v>
      </c>
      <c r="J366" s="8">
        <f>IF(OR(G366="",H366="",I366="",I366=0),"",H366/I366)</f>
        <v>0</v>
      </c>
      <c r="K366" s="8">
        <f>IF(B366="","",Household_Size)</f>
        <v>0</v>
      </c>
      <c r="L366" s="8">
        <f>IF(OR(G366="",H366=""),"",IFERROR(IFERROR(INDEX(Recipes!$H$5:$H$204,MATCH(G366,Recipes!$A$5:$A$204,0)),"")*H366,""))</f>
        <v>0</v>
      </c>
      <c r="M366" s="8">
        <f>IF(OR(G366="",H366=""),"",IFERROR(IFERROR(INDEX(Recipes!$I$5:$I$204,MATCH(G366,Recipes!$A$5:$A$204,0)),"")*H366,""))</f>
        <v>0</v>
      </c>
      <c r="N366" s="8">
        <f>IF(OR(G366="",H366=""),"",IFERROR(IFERROR(INDEX(Recipes!$J$5:$J$204,MATCH(G366,Recipes!$A$5:$A$204,0)),"")*H366,""))</f>
        <v>0</v>
      </c>
      <c r="O366" s="8">
        <f>IF(OR(G366="",H366=""),"",IFERROR(IFERROR(INDEX(Recipes!$K$5:$K$204,MATCH(G366,Recipes!$A$5:$A$204,0)),"")*H366,""))</f>
        <v>0</v>
      </c>
      <c r="P366" s="8">
        <f>IF(OR(G366="",H366=""),"",IFERROR(IFERROR(INDEX(Recipes!$L$5:$L$204,MATCH(G366,Recipes!$A$5:$A$204,0)),"")*H366,""))</f>
        <v>0</v>
      </c>
      <c r="Q366" s="8">
        <f>IF(OR(G366="",H366=""),"",IFERROR(IFERROR(INDEX(Recipes!$Q$5:$Q$204,MATCH(G366,Recipes!$A$5:$A$204,0)),"")*H366,""))</f>
        <v>0</v>
      </c>
      <c r="R366" s="8">
        <f>IF(F366="","",Weekly_Budget/21)</f>
        <v>0</v>
      </c>
      <c r="S366" s="27"/>
      <c r="T366" s="27"/>
      <c r="U366" s="26"/>
      <c r="V366" s="7"/>
      <c r="W366" s="7"/>
      <c r="X366" s="26"/>
      <c r="Y366" s="8">
        <f>IF(G366="","",IF(COUNTIFS('Meal Prep'!$D$5:$D$124,G366)&gt;0,"Yes","No"))</f>
        <v>0</v>
      </c>
      <c r="Z366" s="8">
        <f>IF(G366="","",COUNTIFS('Recipe Ingredients'!$A$5:$A$1204,G366))</f>
        <v>0</v>
      </c>
      <c r="AA366" s="25"/>
      <c r="AB366" s="8">
        <f>IF(OR(B366="",Q366=""),"",COUNTIFS($B$5:$B$504,B366,$Q$5:$Q$504,"&gt;"&amp;Q366)+1)</f>
        <v>0</v>
      </c>
      <c r="AC366" s="8">
        <f>IF(OR(B366="",L366=""),"",COUNTIFS($B$5:$B$504,B366,$L$5:$L$504,"&gt;"&amp;L366)+1)</f>
        <v>0</v>
      </c>
      <c r="AD366" s="8">
        <f>IF(G366="","",IF(COUNTIFS($G$5:$G$504,G366)&gt;1,"Repeat","Once"))</f>
        <v>0</v>
      </c>
      <c r="AE366" s="8">
        <f>IF(G366="","",IF(IFERROR(INDEX(Recipes!$X$5:$X$204,MATCH(G366,Recipes!$A$5:$A$204,0)),"")="","",IFERROR(B366-IFERROR(INDEX(Recipes!$X$5:$X$204,MATCH(G366,Recipes!$A$5:$A$204,0)),""),"")))</f>
        <v>0</v>
      </c>
      <c r="AF366" s="8">
        <f>IF(G366="","",IF(AE366="","Yes",IF(AE366&gt;=Rotation_Gap_Days,"Yes","No")))</f>
        <v>0</v>
      </c>
      <c r="AG366" s="8">
        <f>IF(G366="","",IF(COUNTIFS('Recipe Ingredients'!$A$5:$A$1204,G366,'Recipe Ingredients'!$AC$5:$AC$1204,"Check")&gt;0,"Check","OK"))</f>
        <v>0</v>
      </c>
    </row>
    <row r="367" spans="1:33">
      <c r="A367" s="7"/>
      <c r="B367" s="30"/>
      <c r="C367" s="8">
        <f>IF(B367="","",B367-WEEKDAY(B367,2)+1)</f>
        <v>0</v>
      </c>
      <c r="D367" s="8">
        <f>IF(B367="","",TEXT(B367,"ddd"))</f>
        <v>0</v>
      </c>
      <c r="E367" s="8">
        <f>IF(B367="","",TEXT(B367,"mmm yyyy"))</f>
        <v>0</v>
      </c>
      <c r="F367" s="27"/>
      <c r="G367" s="7"/>
      <c r="H367" s="26"/>
      <c r="I367" s="8">
        <f>IF(G367="","",IFERROR(INDEX(Recipes!$D$5:$D$204,MATCH(G367,Recipes!$A$5:$A$204,0)),""))</f>
        <v>0</v>
      </c>
      <c r="J367" s="8">
        <f>IF(OR(G367="",H367="",I367="",I367=0),"",H367/I367)</f>
        <v>0</v>
      </c>
      <c r="K367" s="8">
        <f>IF(B367="","",Household_Size)</f>
        <v>0</v>
      </c>
      <c r="L367" s="8">
        <f>IF(OR(G367="",H367=""),"",IFERROR(IFERROR(INDEX(Recipes!$H$5:$H$204,MATCH(G367,Recipes!$A$5:$A$204,0)),"")*H367,""))</f>
        <v>0</v>
      </c>
      <c r="M367" s="8">
        <f>IF(OR(G367="",H367=""),"",IFERROR(IFERROR(INDEX(Recipes!$I$5:$I$204,MATCH(G367,Recipes!$A$5:$A$204,0)),"")*H367,""))</f>
        <v>0</v>
      </c>
      <c r="N367" s="8">
        <f>IF(OR(G367="",H367=""),"",IFERROR(IFERROR(INDEX(Recipes!$J$5:$J$204,MATCH(G367,Recipes!$A$5:$A$204,0)),"")*H367,""))</f>
        <v>0</v>
      </c>
      <c r="O367" s="8">
        <f>IF(OR(G367="",H367=""),"",IFERROR(IFERROR(INDEX(Recipes!$K$5:$K$204,MATCH(G367,Recipes!$A$5:$A$204,0)),"")*H367,""))</f>
        <v>0</v>
      </c>
      <c r="P367" s="8">
        <f>IF(OR(G367="",H367=""),"",IFERROR(IFERROR(INDEX(Recipes!$L$5:$L$204,MATCH(G367,Recipes!$A$5:$A$204,0)),"")*H367,""))</f>
        <v>0</v>
      </c>
      <c r="Q367" s="8">
        <f>IF(OR(G367="",H367=""),"",IFERROR(IFERROR(INDEX(Recipes!$Q$5:$Q$204,MATCH(G367,Recipes!$A$5:$A$204,0)),"")*H367,""))</f>
        <v>0</v>
      </c>
      <c r="R367" s="8">
        <f>IF(F367="","",Weekly_Budget/21)</f>
        <v>0</v>
      </c>
      <c r="S367" s="27"/>
      <c r="T367" s="27"/>
      <c r="U367" s="26"/>
      <c r="V367" s="7"/>
      <c r="W367" s="7"/>
      <c r="X367" s="26"/>
      <c r="Y367" s="8">
        <f>IF(G367="","",IF(COUNTIFS('Meal Prep'!$D$5:$D$124,G367)&gt;0,"Yes","No"))</f>
        <v>0</v>
      </c>
      <c r="Z367" s="8">
        <f>IF(G367="","",COUNTIFS('Recipe Ingredients'!$A$5:$A$1204,G367))</f>
        <v>0</v>
      </c>
      <c r="AA367" s="25"/>
      <c r="AB367" s="8">
        <f>IF(OR(B367="",Q367=""),"",COUNTIFS($B$5:$B$504,B367,$Q$5:$Q$504,"&gt;"&amp;Q367)+1)</f>
        <v>0</v>
      </c>
      <c r="AC367" s="8">
        <f>IF(OR(B367="",L367=""),"",COUNTIFS($B$5:$B$504,B367,$L$5:$L$504,"&gt;"&amp;L367)+1)</f>
        <v>0</v>
      </c>
      <c r="AD367" s="8">
        <f>IF(G367="","",IF(COUNTIFS($G$5:$G$504,G367)&gt;1,"Repeat","Once"))</f>
        <v>0</v>
      </c>
      <c r="AE367" s="8">
        <f>IF(G367="","",IF(IFERROR(INDEX(Recipes!$X$5:$X$204,MATCH(G367,Recipes!$A$5:$A$204,0)),"")="","",IFERROR(B367-IFERROR(INDEX(Recipes!$X$5:$X$204,MATCH(G367,Recipes!$A$5:$A$204,0)),""),"")))</f>
        <v>0</v>
      </c>
      <c r="AF367" s="8">
        <f>IF(G367="","",IF(AE367="","Yes",IF(AE367&gt;=Rotation_Gap_Days,"Yes","No")))</f>
        <v>0</v>
      </c>
      <c r="AG367" s="8">
        <f>IF(G367="","",IF(COUNTIFS('Recipe Ingredients'!$A$5:$A$1204,G367,'Recipe Ingredients'!$AC$5:$AC$1204,"Check")&gt;0,"Check","OK"))</f>
        <v>0</v>
      </c>
    </row>
    <row r="368" spans="1:33">
      <c r="A368" s="7"/>
      <c r="B368" s="30"/>
      <c r="C368" s="8">
        <f>IF(B368="","",B368-WEEKDAY(B368,2)+1)</f>
        <v>0</v>
      </c>
      <c r="D368" s="8">
        <f>IF(B368="","",TEXT(B368,"ddd"))</f>
        <v>0</v>
      </c>
      <c r="E368" s="8">
        <f>IF(B368="","",TEXT(B368,"mmm yyyy"))</f>
        <v>0</v>
      </c>
      <c r="F368" s="27"/>
      <c r="G368" s="7"/>
      <c r="H368" s="26"/>
      <c r="I368" s="8">
        <f>IF(G368="","",IFERROR(INDEX(Recipes!$D$5:$D$204,MATCH(G368,Recipes!$A$5:$A$204,0)),""))</f>
        <v>0</v>
      </c>
      <c r="J368" s="8">
        <f>IF(OR(G368="",H368="",I368="",I368=0),"",H368/I368)</f>
        <v>0</v>
      </c>
      <c r="K368" s="8">
        <f>IF(B368="","",Household_Size)</f>
        <v>0</v>
      </c>
      <c r="L368" s="8">
        <f>IF(OR(G368="",H368=""),"",IFERROR(IFERROR(INDEX(Recipes!$H$5:$H$204,MATCH(G368,Recipes!$A$5:$A$204,0)),"")*H368,""))</f>
        <v>0</v>
      </c>
      <c r="M368" s="8">
        <f>IF(OR(G368="",H368=""),"",IFERROR(IFERROR(INDEX(Recipes!$I$5:$I$204,MATCH(G368,Recipes!$A$5:$A$204,0)),"")*H368,""))</f>
        <v>0</v>
      </c>
      <c r="N368" s="8">
        <f>IF(OR(G368="",H368=""),"",IFERROR(IFERROR(INDEX(Recipes!$J$5:$J$204,MATCH(G368,Recipes!$A$5:$A$204,0)),"")*H368,""))</f>
        <v>0</v>
      </c>
      <c r="O368" s="8">
        <f>IF(OR(G368="",H368=""),"",IFERROR(IFERROR(INDEX(Recipes!$K$5:$K$204,MATCH(G368,Recipes!$A$5:$A$204,0)),"")*H368,""))</f>
        <v>0</v>
      </c>
      <c r="P368" s="8">
        <f>IF(OR(G368="",H368=""),"",IFERROR(IFERROR(INDEX(Recipes!$L$5:$L$204,MATCH(G368,Recipes!$A$5:$A$204,0)),"")*H368,""))</f>
        <v>0</v>
      </c>
      <c r="Q368" s="8">
        <f>IF(OR(G368="",H368=""),"",IFERROR(IFERROR(INDEX(Recipes!$Q$5:$Q$204,MATCH(G368,Recipes!$A$5:$A$204,0)),"")*H368,""))</f>
        <v>0</v>
      </c>
      <c r="R368" s="8">
        <f>IF(F368="","",Weekly_Budget/21)</f>
        <v>0</v>
      </c>
      <c r="S368" s="27"/>
      <c r="T368" s="27"/>
      <c r="U368" s="26"/>
      <c r="V368" s="7"/>
      <c r="W368" s="7"/>
      <c r="X368" s="26"/>
      <c r="Y368" s="8">
        <f>IF(G368="","",IF(COUNTIFS('Meal Prep'!$D$5:$D$124,G368)&gt;0,"Yes","No"))</f>
        <v>0</v>
      </c>
      <c r="Z368" s="8">
        <f>IF(G368="","",COUNTIFS('Recipe Ingredients'!$A$5:$A$1204,G368))</f>
        <v>0</v>
      </c>
      <c r="AA368" s="25"/>
      <c r="AB368" s="8">
        <f>IF(OR(B368="",Q368=""),"",COUNTIFS($B$5:$B$504,B368,$Q$5:$Q$504,"&gt;"&amp;Q368)+1)</f>
        <v>0</v>
      </c>
      <c r="AC368" s="8">
        <f>IF(OR(B368="",L368=""),"",COUNTIFS($B$5:$B$504,B368,$L$5:$L$504,"&gt;"&amp;L368)+1)</f>
        <v>0</v>
      </c>
      <c r="AD368" s="8">
        <f>IF(G368="","",IF(COUNTIFS($G$5:$G$504,G368)&gt;1,"Repeat","Once"))</f>
        <v>0</v>
      </c>
      <c r="AE368" s="8">
        <f>IF(G368="","",IF(IFERROR(INDEX(Recipes!$X$5:$X$204,MATCH(G368,Recipes!$A$5:$A$204,0)),"")="","",IFERROR(B368-IFERROR(INDEX(Recipes!$X$5:$X$204,MATCH(G368,Recipes!$A$5:$A$204,0)),""),"")))</f>
        <v>0</v>
      </c>
      <c r="AF368" s="8">
        <f>IF(G368="","",IF(AE368="","Yes",IF(AE368&gt;=Rotation_Gap_Days,"Yes","No")))</f>
        <v>0</v>
      </c>
      <c r="AG368" s="8">
        <f>IF(G368="","",IF(COUNTIFS('Recipe Ingredients'!$A$5:$A$1204,G368,'Recipe Ingredients'!$AC$5:$AC$1204,"Check")&gt;0,"Check","OK"))</f>
        <v>0</v>
      </c>
    </row>
    <row r="369" spans="1:33">
      <c r="A369" s="7"/>
      <c r="B369" s="30"/>
      <c r="C369" s="8">
        <f>IF(B369="","",B369-WEEKDAY(B369,2)+1)</f>
        <v>0</v>
      </c>
      <c r="D369" s="8">
        <f>IF(B369="","",TEXT(B369,"ddd"))</f>
        <v>0</v>
      </c>
      <c r="E369" s="8">
        <f>IF(B369="","",TEXT(B369,"mmm yyyy"))</f>
        <v>0</v>
      </c>
      <c r="F369" s="27"/>
      <c r="G369" s="7"/>
      <c r="H369" s="26"/>
      <c r="I369" s="8">
        <f>IF(G369="","",IFERROR(INDEX(Recipes!$D$5:$D$204,MATCH(G369,Recipes!$A$5:$A$204,0)),""))</f>
        <v>0</v>
      </c>
      <c r="J369" s="8">
        <f>IF(OR(G369="",H369="",I369="",I369=0),"",H369/I369)</f>
        <v>0</v>
      </c>
      <c r="K369" s="8">
        <f>IF(B369="","",Household_Size)</f>
        <v>0</v>
      </c>
      <c r="L369" s="8">
        <f>IF(OR(G369="",H369=""),"",IFERROR(IFERROR(INDEX(Recipes!$H$5:$H$204,MATCH(G369,Recipes!$A$5:$A$204,0)),"")*H369,""))</f>
        <v>0</v>
      </c>
      <c r="M369" s="8">
        <f>IF(OR(G369="",H369=""),"",IFERROR(IFERROR(INDEX(Recipes!$I$5:$I$204,MATCH(G369,Recipes!$A$5:$A$204,0)),"")*H369,""))</f>
        <v>0</v>
      </c>
      <c r="N369" s="8">
        <f>IF(OR(G369="",H369=""),"",IFERROR(IFERROR(INDEX(Recipes!$J$5:$J$204,MATCH(G369,Recipes!$A$5:$A$204,0)),"")*H369,""))</f>
        <v>0</v>
      </c>
      <c r="O369" s="8">
        <f>IF(OR(G369="",H369=""),"",IFERROR(IFERROR(INDEX(Recipes!$K$5:$K$204,MATCH(G369,Recipes!$A$5:$A$204,0)),"")*H369,""))</f>
        <v>0</v>
      </c>
      <c r="P369" s="8">
        <f>IF(OR(G369="",H369=""),"",IFERROR(IFERROR(INDEX(Recipes!$L$5:$L$204,MATCH(G369,Recipes!$A$5:$A$204,0)),"")*H369,""))</f>
        <v>0</v>
      </c>
      <c r="Q369" s="8">
        <f>IF(OR(G369="",H369=""),"",IFERROR(IFERROR(INDEX(Recipes!$Q$5:$Q$204,MATCH(G369,Recipes!$A$5:$A$204,0)),"")*H369,""))</f>
        <v>0</v>
      </c>
      <c r="R369" s="8">
        <f>IF(F369="","",Weekly_Budget/21)</f>
        <v>0</v>
      </c>
      <c r="S369" s="27"/>
      <c r="T369" s="27"/>
      <c r="U369" s="26"/>
      <c r="V369" s="7"/>
      <c r="W369" s="7"/>
      <c r="X369" s="26"/>
      <c r="Y369" s="8">
        <f>IF(G369="","",IF(COUNTIFS('Meal Prep'!$D$5:$D$124,G369)&gt;0,"Yes","No"))</f>
        <v>0</v>
      </c>
      <c r="Z369" s="8">
        <f>IF(G369="","",COUNTIFS('Recipe Ingredients'!$A$5:$A$1204,G369))</f>
        <v>0</v>
      </c>
      <c r="AA369" s="25"/>
      <c r="AB369" s="8">
        <f>IF(OR(B369="",Q369=""),"",COUNTIFS($B$5:$B$504,B369,$Q$5:$Q$504,"&gt;"&amp;Q369)+1)</f>
        <v>0</v>
      </c>
      <c r="AC369" s="8">
        <f>IF(OR(B369="",L369=""),"",COUNTIFS($B$5:$B$504,B369,$L$5:$L$504,"&gt;"&amp;L369)+1)</f>
        <v>0</v>
      </c>
      <c r="AD369" s="8">
        <f>IF(G369="","",IF(COUNTIFS($G$5:$G$504,G369)&gt;1,"Repeat","Once"))</f>
        <v>0</v>
      </c>
      <c r="AE369" s="8">
        <f>IF(G369="","",IF(IFERROR(INDEX(Recipes!$X$5:$X$204,MATCH(G369,Recipes!$A$5:$A$204,0)),"")="","",IFERROR(B369-IFERROR(INDEX(Recipes!$X$5:$X$204,MATCH(G369,Recipes!$A$5:$A$204,0)),""),"")))</f>
        <v>0</v>
      </c>
      <c r="AF369" s="8">
        <f>IF(G369="","",IF(AE369="","Yes",IF(AE369&gt;=Rotation_Gap_Days,"Yes","No")))</f>
        <v>0</v>
      </c>
      <c r="AG369" s="8">
        <f>IF(G369="","",IF(COUNTIFS('Recipe Ingredients'!$A$5:$A$1204,G369,'Recipe Ingredients'!$AC$5:$AC$1204,"Check")&gt;0,"Check","OK"))</f>
        <v>0</v>
      </c>
    </row>
    <row r="370" spans="1:33">
      <c r="A370" s="7"/>
      <c r="B370" s="30"/>
      <c r="C370" s="8">
        <f>IF(B370="","",B370-WEEKDAY(B370,2)+1)</f>
        <v>0</v>
      </c>
      <c r="D370" s="8">
        <f>IF(B370="","",TEXT(B370,"ddd"))</f>
        <v>0</v>
      </c>
      <c r="E370" s="8">
        <f>IF(B370="","",TEXT(B370,"mmm yyyy"))</f>
        <v>0</v>
      </c>
      <c r="F370" s="27"/>
      <c r="G370" s="7"/>
      <c r="H370" s="26"/>
      <c r="I370" s="8">
        <f>IF(G370="","",IFERROR(INDEX(Recipes!$D$5:$D$204,MATCH(G370,Recipes!$A$5:$A$204,0)),""))</f>
        <v>0</v>
      </c>
      <c r="J370" s="8">
        <f>IF(OR(G370="",H370="",I370="",I370=0),"",H370/I370)</f>
        <v>0</v>
      </c>
      <c r="K370" s="8">
        <f>IF(B370="","",Household_Size)</f>
        <v>0</v>
      </c>
      <c r="L370" s="8">
        <f>IF(OR(G370="",H370=""),"",IFERROR(IFERROR(INDEX(Recipes!$H$5:$H$204,MATCH(G370,Recipes!$A$5:$A$204,0)),"")*H370,""))</f>
        <v>0</v>
      </c>
      <c r="M370" s="8">
        <f>IF(OR(G370="",H370=""),"",IFERROR(IFERROR(INDEX(Recipes!$I$5:$I$204,MATCH(G370,Recipes!$A$5:$A$204,0)),"")*H370,""))</f>
        <v>0</v>
      </c>
      <c r="N370" s="8">
        <f>IF(OR(G370="",H370=""),"",IFERROR(IFERROR(INDEX(Recipes!$J$5:$J$204,MATCH(G370,Recipes!$A$5:$A$204,0)),"")*H370,""))</f>
        <v>0</v>
      </c>
      <c r="O370" s="8">
        <f>IF(OR(G370="",H370=""),"",IFERROR(IFERROR(INDEX(Recipes!$K$5:$K$204,MATCH(G370,Recipes!$A$5:$A$204,0)),"")*H370,""))</f>
        <v>0</v>
      </c>
      <c r="P370" s="8">
        <f>IF(OR(G370="",H370=""),"",IFERROR(IFERROR(INDEX(Recipes!$L$5:$L$204,MATCH(G370,Recipes!$A$5:$A$204,0)),"")*H370,""))</f>
        <v>0</v>
      </c>
      <c r="Q370" s="8">
        <f>IF(OR(G370="",H370=""),"",IFERROR(IFERROR(INDEX(Recipes!$Q$5:$Q$204,MATCH(G370,Recipes!$A$5:$A$204,0)),"")*H370,""))</f>
        <v>0</v>
      </c>
      <c r="R370" s="8">
        <f>IF(F370="","",Weekly_Budget/21)</f>
        <v>0</v>
      </c>
      <c r="S370" s="27"/>
      <c r="T370" s="27"/>
      <c r="U370" s="26"/>
      <c r="V370" s="7"/>
      <c r="W370" s="7"/>
      <c r="X370" s="26"/>
      <c r="Y370" s="8">
        <f>IF(G370="","",IF(COUNTIFS('Meal Prep'!$D$5:$D$124,G370)&gt;0,"Yes","No"))</f>
        <v>0</v>
      </c>
      <c r="Z370" s="8">
        <f>IF(G370="","",COUNTIFS('Recipe Ingredients'!$A$5:$A$1204,G370))</f>
        <v>0</v>
      </c>
      <c r="AA370" s="25"/>
      <c r="AB370" s="8">
        <f>IF(OR(B370="",Q370=""),"",COUNTIFS($B$5:$B$504,B370,$Q$5:$Q$504,"&gt;"&amp;Q370)+1)</f>
        <v>0</v>
      </c>
      <c r="AC370" s="8">
        <f>IF(OR(B370="",L370=""),"",COUNTIFS($B$5:$B$504,B370,$L$5:$L$504,"&gt;"&amp;L370)+1)</f>
        <v>0</v>
      </c>
      <c r="AD370" s="8">
        <f>IF(G370="","",IF(COUNTIFS($G$5:$G$504,G370)&gt;1,"Repeat","Once"))</f>
        <v>0</v>
      </c>
      <c r="AE370" s="8">
        <f>IF(G370="","",IF(IFERROR(INDEX(Recipes!$X$5:$X$204,MATCH(G370,Recipes!$A$5:$A$204,0)),"")="","",IFERROR(B370-IFERROR(INDEX(Recipes!$X$5:$X$204,MATCH(G370,Recipes!$A$5:$A$204,0)),""),"")))</f>
        <v>0</v>
      </c>
      <c r="AF370" s="8">
        <f>IF(G370="","",IF(AE370="","Yes",IF(AE370&gt;=Rotation_Gap_Days,"Yes","No")))</f>
        <v>0</v>
      </c>
      <c r="AG370" s="8">
        <f>IF(G370="","",IF(COUNTIFS('Recipe Ingredients'!$A$5:$A$1204,G370,'Recipe Ingredients'!$AC$5:$AC$1204,"Check")&gt;0,"Check","OK"))</f>
        <v>0</v>
      </c>
    </row>
    <row r="371" spans="1:33">
      <c r="A371" s="7"/>
      <c r="B371" s="30"/>
      <c r="C371" s="8">
        <f>IF(B371="","",B371-WEEKDAY(B371,2)+1)</f>
        <v>0</v>
      </c>
      <c r="D371" s="8">
        <f>IF(B371="","",TEXT(B371,"ddd"))</f>
        <v>0</v>
      </c>
      <c r="E371" s="8">
        <f>IF(B371="","",TEXT(B371,"mmm yyyy"))</f>
        <v>0</v>
      </c>
      <c r="F371" s="27"/>
      <c r="G371" s="7"/>
      <c r="H371" s="26"/>
      <c r="I371" s="8">
        <f>IF(G371="","",IFERROR(INDEX(Recipes!$D$5:$D$204,MATCH(G371,Recipes!$A$5:$A$204,0)),""))</f>
        <v>0</v>
      </c>
      <c r="J371" s="8">
        <f>IF(OR(G371="",H371="",I371="",I371=0),"",H371/I371)</f>
        <v>0</v>
      </c>
      <c r="K371" s="8">
        <f>IF(B371="","",Household_Size)</f>
        <v>0</v>
      </c>
      <c r="L371" s="8">
        <f>IF(OR(G371="",H371=""),"",IFERROR(IFERROR(INDEX(Recipes!$H$5:$H$204,MATCH(G371,Recipes!$A$5:$A$204,0)),"")*H371,""))</f>
        <v>0</v>
      </c>
      <c r="M371" s="8">
        <f>IF(OR(G371="",H371=""),"",IFERROR(IFERROR(INDEX(Recipes!$I$5:$I$204,MATCH(G371,Recipes!$A$5:$A$204,0)),"")*H371,""))</f>
        <v>0</v>
      </c>
      <c r="N371" s="8">
        <f>IF(OR(G371="",H371=""),"",IFERROR(IFERROR(INDEX(Recipes!$J$5:$J$204,MATCH(G371,Recipes!$A$5:$A$204,0)),"")*H371,""))</f>
        <v>0</v>
      </c>
      <c r="O371" s="8">
        <f>IF(OR(G371="",H371=""),"",IFERROR(IFERROR(INDEX(Recipes!$K$5:$K$204,MATCH(G371,Recipes!$A$5:$A$204,0)),"")*H371,""))</f>
        <v>0</v>
      </c>
      <c r="P371" s="8">
        <f>IF(OR(G371="",H371=""),"",IFERROR(IFERROR(INDEX(Recipes!$L$5:$L$204,MATCH(G371,Recipes!$A$5:$A$204,0)),"")*H371,""))</f>
        <v>0</v>
      </c>
      <c r="Q371" s="8">
        <f>IF(OR(G371="",H371=""),"",IFERROR(IFERROR(INDEX(Recipes!$Q$5:$Q$204,MATCH(G371,Recipes!$A$5:$A$204,0)),"")*H371,""))</f>
        <v>0</v>
      </c>
      <c r="R371" s="8">
        <f>IF(F371="","",Weekly_Budget/21)</f>
        <v>0</v>
      </c>
      <c r="S371" s="27"/>
      <c r="T371" s="27"/>
      <c r="U371" s="26"/>
      <c r="V371" s="7"/>
      <c r="W371" s="7"/>
      <c r="X371" s="26"/>
      <c r="Y371" s="8">
        <f>IF(G371="","",IF(COUNTIFS('Meal Prep'!$D$5:$D$124,G371)&gt;0,"Yes","No"))</f>
        <v>0</v>
      </c>
      <c r="Z371" s="8">
        <f>IF(G371="","",COUNTIFS('Recipe Ingredients'!$A$5:$A$1204,G371))</f>
        <v>0</v>
      </c>
      <c r="AA371" s="25"/>
      <c r="AB371" s="8">
        <f>IF(OR(B371="",Q371=""),"",COUNTIFS($B$5:$B$504,B371,$Q$5:$Q$504,"&gt;"&amp;Q371)+1)</f>
        <v>0</v>
      </c>
      <c r="AC371" s="8">
        <f>IF(OR(B371="",L371=""),"",COUNTIFS($B$5:$B$504,B371,$L$5:$L$504,"&gt;"&amp;L371)+1)</f>
        <v>0</v>
      </c>
      <c r="AD371" s="8">
        <f>IF(G371="","",IF(COUNTIFS($G$5:$G$504,G371)&gt;1,"Repeat","Once"))</f>
        <v>0</v>
      </c>
      <c r="AE371" s="8">
        <f>IF(G371="","",IF(IFERROR(INDEX(Recipes!$X$5:$X$204,MATCH(G371,Recipes!$A$5:$A$204,0)),"")="","",IFERROR(B371-IFERROR(INDEX(Recipes!$X$5:$X$204,MATCH(G371,Recipes!$A$5:$A$204,0)),""),"")))</f>
        <v>0</v>
      </c>
      <c r="AF371" s="8">
        <f>IF(G371="","",IF(AE371="","Yes",IF(AE371&gt;=Rotation_Gap_Days,"Yes","No")))</f>
        <v>0</v>
      </c>
      <c r="AG371" s="8">
        <f>IF(G371="","",IF(COUNTIFS('Recipe Ingredients'!$A$5:$A$1204,G371,'Recipe Ingredients'!$AC$5:$AC$1204,"Check")&gt;0,"Check","OK"))</f>
        <v>0</v>
      </c>
    </row>
    <row r="372" spans="1:33">
      <c r="A372" s="7"/>
      <c r="B372" s="30"/>
      <c r="C372" s="8">
        <f>IF(B372="","",B372-WEEKDAY(B372,2)+1)</f>
        <v>0</v>
      </c>
      <c r="D372" s="8">
        <f>IF(B372="","",TEXT(B372,"ddd"))</f>
        <v>0</v>
      </c>
      <c r="E372" s="8">
        <f>IF(B372="","",TEXT(B372,"mmm yyyy"))</f>
        <v>0</v>
      </c>
      <c r="F372" s="27"/>
      <c r="G372" s="7"/>
      <c r="H372" s="26"/>
      <c r="I372" s="8">
        <f>IF(G372="","",IFERROR(INDEX(Recipes!$D$5:$D$204,MATCH(G372,Recipes!$A$5:$A$204,0)),""))</f>
        <v>0</v>
      </c>
      <c r="J372" s="8">
        <f>IF(OR(G372="",H372="",I372="",I372=0),"",H372/I372)</f>
        <v>0</v>
      </c>
      <c r="K372" s="8">
        <f>IF(B372="","",Household_Size)</f>
        <v>0</v>
      </c>
      <c r="L372" s="8">
        <f>IF(OR(G372="",H372=""),"",IFERROR(IFERROR(INDEX(Recipes!$H$5:$H$204,MATCH(G372,Recipes!$A$5:$A$204,0)),"")*H372,""))</f>
        <v>0</v>
      </c>
      <c r="M372" s="8">
        <f>IF(OR(G372="",H372=""),"",IFERROR(IFERROR(INDEX(Recipes!$I$5:$I$204,MATCH(G372,Recipes!$A$5:$A$204,0)),"")*H372,""))</f>
        <v>0</v>
      </c>
      <c r="N372" s="8">
        <f>IF(OR(G372="",H372=""),"",IFERROR(IFERROR(INDEX(Recipes!$J$5:$J$204,MATCH(G372,Recipes!$A$5:$A$204,0)),"")*H372,""))</f>
        <v>0</v>
      </c>
      <c r="O372" s="8">
        <f>IF(OR(G372="",H372=""),"",IFERROR(IFERROR(INDEX(Recipes!$K$5:$K$204,MATCH(G372,Recipes!$A$5:$A$204,0)),"")*H372,""))</f>
        <v>0</v>
      </c>
      <c r="P372" s="8">
        <f>IF(OR(G372="",H372=""),"",IFERROR(IFERROR(INDEX(Recipes!$L$5:$L$204,MATCH(G372,Recipes!$A$5:$A$204,0)),"")*H372,""))</f>
        <v>0</v>
      </c>
      <c r="Q372" s="8">
        <f>IF(OR(G372="",H372=""),"",IFERROR(IFERROR(INDEX(Recipes!$Q$5:$Q$204,MATCH(G372,Recipes!$A$5:$A$204,0)),"")*H372,""))</f>
        <v>0</v>
      </c>
      <c r="R372" s="8">
        <f>IF(F372="","",Weekly_Budget/21)</f>
        <v>0</v>
      </c>
      <c r="S372" s="27"/>
      <c r="T372" s="27"/>
      <c r="U372" s="26"/>
      <c r="V372" s="7"/>
      <c r="W372" s="7"/>
      <c r="X372" s="26"/>
      <c r="Y372" s="8">
        <f>IF(G372="","",IF(COUNTIFS('Meal Prep'!$D$5:$D$124,G372)&gt;0,"Yes","No"))</f>
        <v>0</v>
      </c>
      <c r="Z372" s="8">
        <f>IF(G372="","",COUNTIFS('Recipe Ingredients'!$A$5:$A$1204,G372))</f>
        <v>0</v>
      </c>
      <c r="AA372" s="25"/>
      <c r="AB372" s="8">
        <f>IF(OR(B372="",Q372=""),"",COUNTIFS($B$5:$B$504,B372,$Q$5:$Q$504,"&gt;"&amp;Q372)+1)</f>
        <v>0</v>
      </c>
      <c r="AC372" s="8">
        <f>IF(OR(B372="",L372=""),"",COUNTIFS($B$5:$B$504,B372,$L$5:$L$504,"&gt;"&amp;L372)+1)</f>
        <v>0</v>
      </c>
      <c r="AD372" s="8">
        <f>IF(G372="","",IF(COUNTIFS($G$5:$G$504,G372)&gt;1,"Repeat","Once"))</f>
        <v>0</v>
      </c>
      <c r="AE372" s="8">
        <f>IF(G372="","",IF(IFERROR(INDEX(Recipes!$X$5:$X$204,MATCH(G372,Recipes!$A$5:$A$204,0)),"")="","",IFERROR(B372-IFERROR(INDEX(Recipes!$X$5:$X$204,MATCH(G372,Recipes!$A$5:$A$204,0)),""),"")))</f>
        <v>0</v>
      </c>
      <c r="AF372" s="8">
        <f>IF(G372="","",IF(AE372="","Yes",IF(AE372&gt;=Rotation_Gap_Days,"Yes","No")))</f>
        <v>0</v>
      </c>
      <c r="AG372" s="8">
        <f>IF(G372="","",IF(COUNTIFS('Recipe Ingredients'!$A$5:$A$1204,G372,'Recipe Ingredients'!$AC$5:$AC$1204,"Check")&gt;0,"Check","OK"))</f>
        <v>0</v>
      </c>
    </row>
    <row r="373" spans="1:33">
      <c r="A373" s="7"/>
      <c r="B373" s="30"/>
      <c r="C373" s="8">
        <f>IF(B373="","",B373-WEEKDAY(B373,2)+1)</f>
        <v>0</v>
      </c>
      <c r="D373" s="8">
        <f>IF(B373="","",TEXT(B373,"ddd"))</f>
        <v>0</v>
      </c>
      <c r="E373" s="8">
        <f>IF(B373="","",TEXT(B373,"mmm yyyy"))</f>
        <v>0</v>
      </c>
      <c r="F373" s="27"/>
      <c r="G373" s="7"/>
      <c r="H373" s="26"/>
      <c r="I373" s="8">
        <f>IF(G373="","",IFERROR(INDEX(Recipes!$D$5:$D$204,MATCH(G373,Recipes!$A$5:$A$204,0)),""))</f>
        <v>0</v>
      </c>
      <c r="J373" s="8">
        <f>IF(OR(G373="",H373="",I373="",I373=0),"",H373/I373)</f>
        <v>0</v>
      </c>
      <c r="K373" s="8">
        <f>IF(B373="","",Household_Size)</f>
        <v>0</v>
      </c>
      <c r="L373" s="8">
        <f>IF(OR(G373="",H373=""),"",IFERROR(IFERROR(INDEX(Recipes!$H$5:$H$204,MATCH(G373,Recipes!$A$5:$A$204,0)),"")*H373,""))</f>
        <v>0</v>
      </c>
      <c r="M373" s="8">
        <f>IF(OR(G373="",H373=""),"",IFERROR(IFERROR(INDEX(Recipes!$I$5:$I$204,MATCH(G373,Recipes!$A$5:$A$204,0)),"")*H373,""))</f>
        <v>0</v>
      </c>
      <c r="N373" s="8">
        <f>IF(OR(G373="",H373=""),"",IFERROR(IFERROR(INDEX(Recipes!$J$5:$J$204,MATCH(G373,Recipes!$A$5:$A$204,0)),"")*H373,""))</f>
        <v>0</v>
      </c>
      <c r="O373" s="8">
        <f>IF(OR(G373="",H373=""),"",IFERROR(IFERROR(INDEX(Recipes!$K$5:$K$204,MATCH(G373,Recipes!$A$5:$A$204,0)),"")*H373,""))</f>
        <v>0</v>
      </c>
      <c r="P373" s="8">
        <f>IF(OR(G373="",H373=""),"",IFERROR(IFERROR(INDEX(Recipes!$L$5:$L$204,MATCH(G373,Recipes!$A$5:$A$204,0)),"")*H373,""))</f>
        <v>0</v>
      </c>
      <c r="Q373" s="8">
        <f>IF(OR(G373="",H373=""),"",IFERROR(IFERROR(INDEX(Recipes!$Q$5:$Q$204,MATCH(G373,Recipes!$A$5:$A$204,0)),"")*H373,""))</f>
        <v>0</v>
      </c>
      <c r="R373" s="8">
        <f>IF(F373="","",Weekly_Budget/21)</f>
        <v>0</v>
      </c>
      <c r="S373" s="27"/>
      <c r="T373" s="27"/>
      <c r="U373" s="26"/>
      <c r="V373" s="7"/>
      <c r="W373" s="7"/>
      <c r="X373" s="26"/>
      <c r="Y373" s="8">
        <f>IF(G373="","",IF(COUNTIFS('Meal Prep'!$D$5:$D$124,G373)&gt;0,"Yes","No"))</f>
        <v>0</v>
      </c>
      <c r="Z373" s="8">
        <f>IF(G373="","",COUNTIFS('Recipe Ingredients'!$A$5:$A$1204,G373))</f>
        <v>0</v>
      </c>
      <c r="AA373" s="25"/>
      <c r="AB373" s="8">
        <f>IF(OR(B373="",Q373=""),"",COUNTIFS($B$5:$B$504,B373,$Q$5:$Q$504,"&gt;"&amp;Q373)+1)</f>
        <v>0</v>
      </c>
      <c r="AC373" s="8">
        <f>IF(OR(B373="",L373=""),"",COUNTIFS($B$5:$B$504,B373,$L$5:$L$504,"&gt;"&amp;L373)+1)</f>
        <v>0</v>
      </c>
      <c r="AD373" s="8">
        <f>IF(G373="","",IF(COUNTIFS($G$5:$G$504,G373)&gt;1,"Repeat","Once"))</f>
        <v>0</v>
      </c>
      <c r="AE373" s="8">
        <f>IF(G373="","",IF(IFERROR(INDEX(Recipes!$X$5:$X$204,MATCH(G373,Recipes!$A$5:$A$204,0)),"")="","",IFERROR(B373-IFERROR(INDEX(Recipes!$X$5:$X$204,MATCH(G373,Recipes!$A$5:$A$204,0)),""),"")))</f>
        <v>0</v>
      </c>
      <c r="AF373" s="8">
        <f>IF(G373="","",IF(AE373="","Yes",IF(AE373&gt;=Rotation_Gap_Days,"Yes","No")))</f>
        <v>0</v>
      </c>
      <c r="AG373" s="8">
        <f>IF(G373="","",IF(COUNTIFS('Recipe Ingredients'!$A$5:$A$1204,G373,'Recipe Ingredients'!$AC$5:$AC$1204,"Check")&gt;0,"Check","OK"))</f>
        <v>0</v>
      </c>
    </row>
    <row r="374" spans="1:33">
      <c r="A374" s="7"/>
      <c r="B374" s="30"/>
      <c r="C374" s="8">
        <f>IF(B374="","",B374-WEEKDAY(B374,2)+1)</f>
        <v>0</v>
      </c>
      <c r="D374" s="8">
        <f>IF(B374="","",TEXT(B374,"ddd"))</f>
        <v>0</v>
      </c>
      <c r="E374" s="8">
        <f>IF(B374="","",TEXT(B374,"mmm yyyy"))</f>
        <v>0</v>
      </c>
      <c r="F374" s="27"/>
      <c r="G374" s="7"/>
      <c r="H374" s="26"/>
      <c r="I374" s="8">
        <f>IF(G374="","",IFERROR(INDEX(Recipes!$D$5:$D$204,MATCH(G374,Recipes!$A$5:$A$204,0)),""))</f>
        <v>0</v>
      </c>
      <c r="J374" s="8">
        <f>IF(OR(G374="",H374="",I374="",I374=0),"",H374/I374)</f>
        <v>0</v>
      </c>
      <c r="K374" s="8">
        <f>IF(B374="","",Household_Size)</f>
        <v>0</v>
      </c>
      <c r="L374" s="8">
        <f>IF(OR(G374="",H374=""),"",IFERROR(IFERROR(INDEX(Recipes!$H$5:$H$204,MATCH(G374,Recipes!$A$5:$A$204,0)),"")*H374,""))</f>
        <v>0</v>
      </c>
      <c r="M374" s="8">
        <f>IF(OR(G374="",H374=""),"",IFERROR(IFERROR(INDEX(Recipes!$I$5:$I$204,MATCH(G374,Recipes!$A$5:$A$204,0)),"")*H374,""))</f>
        <v>0</v>
      </c>
      <c r="N374" s="8">
        <f>IF(OR(G374="",H374=""),"",IFERROR(IFERROR(INDEX(Recipes!$J$5:$J$204,MATCH(G374,Recipes!$A$5:$A$204,0)),"")*H374,""))</f>
        <v>0</v>
      </c>
      <c r="O374" s="8">
        <f>IF(OR(G374="",H374=""),"",IFERROR(IFERROR(INDEX(Recipes!$K$5:$K$204,MATCH(G374,Recipes!$A$5:$A$204,0)),"")*H374,""))</f>
        <v>0</v>
      </c>
      <c r="P374" s="8">
        <f>IF(OR(G374="",H374=""),"",IFERROR(IFERROR(INDEX(Recipes!$L$5:$L$204,MATCH(G374,Recipes!$A$5:$A$204,0)),"")*H374,""))</f>
        <v>0</v>
      </c>
      <c r="Q374" s="8">
        <f>IF(OR(G374="",H374=""),"",IFERROR(IFERROR(INDEX(Recipes!$Q$5:$Q$204,MATCH(G374,Recipes!$A$5:$A$204,0)),"")*H374,""))</f>
        <v>0</v>
      </c>
      <c r="R374" s="8">
        <f>IF(F374="","",Weekly_Budget/21)</f>
        <v>0</v>
      </c>
      <c r="S374" s="27"/>
      <c r="T374" s="27"/>
      <c r="U374" s="26"/>
      <c r="V374" s="7"/>
      <c r="W374" s="7"/>
      <c r="X374" s="26"/>
      <c r="Y374" s="8">
        <f>IF(G374="","",IF(COUNTIFS('Meal Prep'!$D$5:$D$124,G374)&gt;0,"Yes","No"))</f>
        <v>0</v>
      </c>
      <c r="Z374" s="8">
        <f>IF(G374="","",COUNTIFS('Recipe Ingredients'!$A$5:$A$1204,G374))</f>
        <v>0</v>
      </c>
      <c r="AA374" s="25"/>
      <c r="AB374" s="8">
        <f>IF(OR(B374="",Q374=""),"",COUNTIFS($B$5:$B$504,B374,$Q$5:$Q$504,"&gt;"&amp;Q374)+1)</f>
        <v>0</v>
      </c>
      <c r="AC374" s="8">
        <f>IF(OR(B374="",L374=""),"",COUNTIFS($B$5:$B$504,B374,$L$5:$L$504,"&gt;"&amp;L374)+1)</f>
        <v>0</v>
      </c>
      <c r="AD374" s="8">
        <f>IF(G374="","",IF(COUNTIFS($G$5:$G$504,G374)&gt;1,"Repeat","Once"))</f>
        <v>0</v>
      </c>
      <c r="AE374" s="8">
        <f>IF(G374="","",IF(IFERROR(INDEX(Recipes!$X$5:$X$204,MATCH(G374,Recipes!$A$5:$A$204,0)),"")="","",IFERROR(B374-IFERROR(INDEX(Recipes!$X$5:$X$204,MATCH(G374,Recipes!$A$5:$A$204,0)),""),"")))</f>
        <v>0</v>
      </c>
      <c r="AF374" s="8">
        <f>IF(G374="","",IF(AE374="","Yes",IF(AE374&gt;=Rotation_Gap_Days,"Yes","No")))</f>
        <v>0</v>
      </c>
      <c r="AG374" s="8">
        <f>IF(G374="","",IF(COUNTIFS('Recipe Ingredients'!$A$5:$A$1204,G374,'Recipe Ingredients'!$AC$5:$AC$1204,"Check")&gt;0,"Check","OK"))</f>
        <v>0</v>
      </c>
    </row>
    <row r="375" spans="1:33">
      <c r="A375" s="7"/>
      <c r="B375" s="30"/>
      <c r="C375" s="8">
        <f>IF(B375="","",B375-WEEKDAY(B375,2)+1)</f>
        <v>0</v>
      </c>
      <c r="D375" s="8">
        <f>IF(B375="","",TEXT(B375,"ddd"))</f>
        <v>0</v>
      </c>
      <c r="E375" s="8">
        <f>IF(B375="","",TEXT(B375,"mmm yyyy"))</f>
        <v>0</v>
      </c>
      <c r="F375" s="27"/>
      <c r="G375" s="7"/>
      <c r="H375" s="26"/>
      <c r="I375" s="8">
        <f>IF(G375="","",IFERROR(INDEX(Recipes!$D$5:$D$204,MATCH(G375,Recipes!$A$5:$A$204,0)),""))</f>
        <v>0</v>
      </c>
      <c r="J375" s="8">
        <f>IF(OR(G375="",H375="",I375="",I375=0),"",H375/I375)</f>
        <v>0</v>
      </c>
      <c r="K375" s="8">
        <f>IF(B375="","",Household_Size)</f>
        <v>0</v>
      </c>
      <c r="L375" s="8">
        <f>IF(OR(G375="",H375=""),"",IFERROR(IFERROR(INDEX(Recipes!$H$5:$H$204,MATCH(G375,Recipes!$A$5:$A$204,0)),"")*H375,""))</f>
        <v>0</v>
      </c>
      <c r="M375" s="8">
        <f>IF(OR(G375="",H375=""),"",IFERROR(IFERROR(INDEX(Recipes!$I$5:$I$204,MATCH(G375,Recipes!$A$5:$A$204,0)),"")*H375,""))</f>
        <v>0</v>
      </c>
      <c r="N375" s="8">
        <f>IF(OR(G375="",H375=""),"",IFERROR(IFERROR(INDEX(Recipes!$J$5:$J$204,MATCH(G375,Recipes!$A$5:$A$204,0)),"")*H375,""))</f>
        <v>0</v>
      </c>
      <c r="O375" s="8">
        <f>IF(OR(G375="",H375=""),"",IFERROR(IFERROR(INDEX(Recipes!$K$5:$K$204,MATCH(G375,Recipes!$A$5:$A$204,0)),"")*H375,""))</f>
        <v>0</v>
      </c>
      <c r="P375" s="8">
        <f>IF(OR(G375="",H375=""),"",IFERROR(IFERROR(INDEX(Recipes!$L$5:$L$204,MATCH(G375,Recipes!$A$5:$A$204,0)),"")*H375,""))</f>
        <v>0</v>
      </c>
      <c r="Q375" s="8">
        <f>IF(OR(G375="",H375=""),"",IFERROR(IFERROR(INDEX(Recipes!$Q$5:$Q$204,MATCH(G375,Recipes!$A$5:$A$204,0)),"")*H375,""))</f>
        <v>0</v>
      </c>
      <c r="R375" s="8">
        <f>IF(F375="","",Weekly_Budget/21)</f>
        <v>0</v>
      </c>
      <c r="S375" s="27"/>
      <c r="T375" s="27"/>
      <c r="U375" s="26"/>
      <c r="V375" s="7"/>
      <c r="W375" s="7"/>
      <c r="X375" s="26"/>
      <c r="Y375" s="8">
        <f>IF(G375="","",IF(COUNTIFS('Meal Prep'!$D$5:$D$124,G375)&gt;0,"Yes","No"))</f>
        <v>0</v>
      </c>
      <c r="Z375" s="8">
        <f>IF(G375="","",COUNTIFS('Recipe Ingredients'!$A$5:$A$1204,G375))</f>
        <v>0</v>
      </c>
      <c r="AA375" s="25"/>
      <c r="AB375" s="8">
        <f>IF(OR(B375="",Q375=""),"",COUNTIFS($B$5:$B$504,B375,$Q$5:$Q$504,"&gt;"&amp;Q375)+1)</f>
        <v>0</v>
      </c>
      <c r="AC375" s="8">
        <f>IF(OR(B375="",L375=""),"",COUNTIFS($B$5:$B$504,B375,$L$5:$L$504,"&gt;"&amp;L375)+1)</f>
        <v>0</v>
      </c>
      <c r="AD375" s="8">
        <f>IF(G375="","",IF(COUNTIFS($G$5:$G$504,G375)&gt;1,"Repeat","Once"))</f>
        <v>0</v>
      </c>
      <c r="AE375" s="8">
        <f>IF(G375="","",IF(IFERROR(INDEX(Recipes!$X$5:$X$204,MATCH(G375,Recipes!$A$5:$A$204,0)),"")="","",IFERROR(B375-IFERROR(INDEX(Recipes!$X$5:$X$204,MATCH(G375,Recipes!$A$5:$A$204,0)),""),"")))</f>
        <v>0</v>
      </c>
      <c r="AF375" s="8">
        <f>IF(G375="","",IF(AE375="","Yes",IF(AE375&gt;=Rotation_Gap_Days,"Yes","No")))</f>
        <v>0</v>
      </c>
      <c r="AG375" s="8">
        <f>IF(G375="","",IF(COUNTIFS('Recipe Ingredients'!$A$5:$A$1204,G375,'Recipe Ingredients'!$AC$5:$AC$1204,"Check")&gt;0,"Check","OK"))</f>
        <v>0</v>
      </c>
    </row>
    <row r="376" spans="1:33">
      <c r="A376" s="7"/>
      <c r="B376" s="30"/>
      <c r="C376" s="8">
        <f>IF(B376="","",B376-WEEKDAY(B376,2)+1)</f>
        <v>0</v>
      </c>
      <c r="D376" s="8">
        <f>IF(B376="","",TEXT(B376,"ddd"))</f>
        <v>0</v>
      </c>
      <c r="E376" s="8">
        <f>IF(B376="","",TEXT(B376,"mmm yyyy"))</f>
        <v>0</v>
      </c>
      <c r="F376" s="27"/>
      <c r="G376" s="7"/>
      <c r="H376" s="26"/>
      <c r="I376" s="8">
        <f>IF(G376="","",IFERROR(INDEX(Recipes!$D$5:$D$204,MATCH(G376,Recipes!$A$5:$A$204,0)),""))</f>
        <v>0</v>
      </c>
      <c r="J376" s="8">
        <f>IF(OR(G376="",H376="",I376="",I376=0),"",H376/I376)</f>
        <v>0</v>
      </c>
      <c r="K376" s="8">
        <f>IF(B376="","",Household_Size)</f>
        <v>0</v>
      </c>
      <c r="L376" s="8">
        <f>IF(OR(G376="",H376=""),"",IFERROR(IFERROR(INDEX(Recipes!$H$5:$H$204,MATCH(G376,Recipes!$A$5:$A$204,0)),"")*H376,""))</f>
        <v>0</v>
      </c>
      <c r="M376" s="8">
        <f>IF(OR(G376="",H376=""),"",IFERROR(IFERROR(INDEX(Recipes!$I$5:$I$204,MATCH(G376,Recipes!$A$5:$A$204,0)),"")*H376,""))</f>
        <v>0</v>
      </c>
      <c r="N376" s="8">
        <f>IF(OR(G376="",H376=""),"",IFERROR(IFERROR(INDEX(Recipes!$J$5:$J$204,MATCH(G376,Recipes!$A$5:$A$204,0)),"")*H376,""))</f>
        <v>0</v>
      </c>
      <c r="O376" s="8">
        <f>IF(OR(G376="",H376=""),"",IFERROR(IFERROR(INDEX(Recipes!$K$5:$K$204,MATCH(G376,Recipes!$A$5:$A$204,0)),"")*H376,""))</f>
        <v>0</v>
      </c>
      <c r="P376" s="8">
        <f>IF(OR(G376="",H376=""),"",IFERROR(IFERROR(INDEX(Recipes!$L$5:$L$204,MATCH(G376,Recipes!$A$5:$A$204,0)),"")*H376,""))</f>
        <v>0</v>
      </c>
      <c r="Q376" s="8">
        <f>IF(OR(G376="",H376=""),"",IFERROR(IFERROR(INDEX(Recipes!$Q$5:$Q$204,MATCH(G376,Recipes!$A$5:$A$204,0)),"")*H376,""))</f>
        <v>0</v>
      </c>
      <c r="R376" s="8">
        <f>IF(F376="","",Weekly_Budget/21)</f>
        <v>0</v>
      </c>
      <c r="S376" s="27"/>
      <c r="T376" s="27"/>
      <c r="U376" s="26"/>
      <c r="V376" s="7"/>
      <c r="W376" s="7"/>
      <c r="X376" s="26"/>
      <c r="Y376" s="8">
        <f>IF(G376="","",IF(COUNTIFS('Meal Prep'!$D$5:$D$124,G376)&gt;0,"Yes","No"))</f>
        <v>0</v>
      </c>
      <c r="Z376" s="8">
        <f>IF(G376="","",COUNTIFS('Recipe Ingredients'!$A$5:$A$1204,G376))</f>
        <v>0</v>
      </c>
      <c r="AA376" s="25"/>
      <c r="AB376" s="8">
        <f>IF(OR(B376="",Q376=""),"",COUNTIFS($B$5:$B$504,B376,$Q$5:$Q$504,"&gt;"&amp;Q376)+1)</f>
        <v>0</v>
      </c>
      <c r="AC376" s="8">
        <f>IF(OR(B376="",L376=""),"",COUNTIFS($B$5:$B$504,B376,$L$5:$L$504,"&gt;"&amp;L376)+1)</f>
        <v>0</v>
      </c>
      <c r="AD376" s="8">
        <f>IF(G376="","",IF(COUNTIFS($G$5:$G$504,G376)&gt;1,"Repeat","Once"))</f>
        <v>0</v>
      </c>
      <c r="AE376" s="8">
        <f>IF(G376="","",IF(IFERROR(INDEX(Recipes!$X$5:$X$204,MATCH(G376,Recipes!$A$5:$A$204,0)),"")="","",IFERROR(B376-IFERROR(INDEX(Recipes!$X$5:$X$204,MATCH(G376,Recipes!$A$5:$A$204,0)),""),"")))</f>
        <v>0</v>
      </c>
      <c r="AF376" s="8">
        <f>IF(G376="","",IF(AE376="","Yes",IF(AE376&gt;=Rotation_Gap_Days,"Yes","No")))</f>
        <v>0</v>
      </c>
      <c r="AG376" s="8">
        <f>IF(G376="","",IF(COUNTIFS('Recipe Ingredients'!$A$5:$A$1204,G376,'Recipe Ingredients'!$AC$5:$AC$1204,"Check")&gt;0,"Check","OK"))</f>
        <v>0</v>
      </c>
    </row>
    <row r="377" spans="1:33">
      <c r="A377" s="7"/>
      <c r="B377" s="30"/>
      <c r="C377" s="8">
        <f>IF(B377="","",B377-WEEKDAY(B377,2)+1)</f>
        <v>0</v>
      </c>
      <c r="D377" s="8">
        <f>IF(B377="","",TEXT(B377,"ddd"))</f>
        <v>0</v>
      </c>
      <c r="E377" s="8">
        <f>IF(B377="","",TEXT(B377,"mmm yyyy"))</f>
        <v>0</v>
      </c>
      <c r="F377" s="27"/>
      <c r="G377" s="7"/>
      <c r="H377" s="26"/>
      <c r="I377" s="8">
        <f>IF(G377="","",IFERROR(INDEX(Recipes!$D$5:$D$204,MATCH(G377,Recipes!$A$5:$A$204,0)),""))</f>
        <v>0</v>
      </c>
      <c r="J377" s="8">
        <f>IF(OR(G377="",H377="",I377="",I377=0),"",H377/I377)</f>
        <v>0</v>
      </c>
      <c r="K377" s="8">
        <f>IF(B377="","",Household_Size)</f>
        <v>0</v>
      </c>
      <c r="L377" s="8">
        <f>IF(OR(G377="",H377=""),"",IFERROR(IFERROR(INDEX(Recipes!$H$5:$H$204,MATCH(G377,Recipes!$A$5:$A$204,0)),"")*H377,""))</f>
        <v>0</v>
      </c>
      <c r="M377" s="8">
        <f>IF(OR(G377="",H377=""),"",IFERROR(IFERROR(INDEX(Recipes!$I$5:$I$204,MATCH(G377,Recipes!$A$5:$A$204,0)),"")*H377,""))</f>
        <v>0</v>
      </c>
      <c r="N377" s="8">
        <f>IF(OR(G377="",H377=""),"",IFERROR(IFERROR(INDEX(Recipes!$J$5:$J$204,MATCH(G377,Recipes!$A$5:$A$204,0)),"")*H377,""))</f>
        <v>0</v>
      </c>
      <c r="O377" s="8">
        <f>IF(OR(G377="",H377=""),"",IFERROR(IFERROR(INDEX(Recipes!$K$5:$K$204,MATCH(G377,Recipes!$A$5:$A$204,0)),"")*H377,""))</f>
        <v>0</v>
      </c>
      <c r="P377" s="8">
        <f>IF(OR(G377="",H377=""),"",IFERROR(IFERROR(INDEX(Recipes!$L$5:$L$204,MATCH(G377,Recipes!$A$5:$A$204,0)),"")*H377,""))</f>
        <v>0</v>
      </c>
      <c r="Q377" s="8">
        <f>IF(OR(G377="",H377=""),"",IFERROR(IFERROR(INDEX(Recipes!$Q$5:$Q$204,MATCH(G377,Recipes!$A$5:$A$204,0)),"")*H377,""))</f>
        <v>0</v>
      </c>
      <c r="R377" s="8">
        <f>IF(F377="","",Weekly_Budget/21)</f>
        <v>0</v>
      </c>
      <c r="S377" s="27"/>
      <c r="T377" s="27"/>
      <c r="U377" s="26"/>
      <c r="V377" s="7"/>
      <c r="W377" s="7"/>
      <c r="X377" s="26"/>
      <c r="Y377" s="8">
        <f>IF(G377="","",IF(COUNTIFS('Meal Prep'!$D$5:$D$124,G377)&gt;0,"Yes","No"))</f>
        <v>0</v>
      </c>
      <c r="Z377" s="8">
        <f>IF(G377="","",COUNTIFS('Recipe Ingredients'!$A$5:$A$1204,G377))</f>
        <v>0</v>
      </c>
      <c r="AA377" s="25"/>
      <c r="AB377" s="8">
        <f>IF(OR(B377="",Q377=""),"",COUNTIFS($B$5:$B$504,B377,$Q$5:$Q$504,"&gt;"&amp;Q377)+1)</f>
        <v>0</v>
      </c>
      <c r="AC377" s="8">
        <f>IF(OR(B377="",L377=""),"",COUNTIFS($B$5:$B$504,B377,$L$5:$L$504,"&gt;"&amp;L377)+1)</f>
        <v>0</v>
      </c>
      <c r="AD377" s="8">
        <f>IF(G377="","",IF(COUNTIFS($G$5:$G$504,G377)&gt;1,"Repeat","Once"))</f>
        <v>0</v>
      </c>
      <c r="AE377" s="8">
        <f>IF(G377="","",IF(IFERROR(INDEX(Recipes!$X$5:$X$204,MATCH(G377,Recipes!$A$5:$A$204,0)),"")="","",IFERROR(B377-IFERROR(INDEX(Recipes!$X$5:$X$204,MATCH(G377,Recipes!$A$5:$A$204,0)),""),"")))</f>
        <v>0</v>
      </c>
      <c r="AF377" s="8">
        <f>IF(G377="","",IF(AE377="","Yes",IF(AE377&gt;=Rotation_Gap_Days,"Yes","No")))</f>
        <v>0</v>
      </c>
      <c r="AG377" s="8">
        <f>IF(G377="","",IF(COUNTIFS('Recipe Ingredients'!$A$5:$A$1204,G377,'Recipe Ingredients'!$AC$5:$AC$1204,"Check")&gt;0,"Check","OK"))</f>
        <v>0</v>
      </c>
    </row>
    <row r="378" spans="1:33">
      <c r="A378" s="7"/>
      <c r="B378" s="30"/>
      <c r="C378" s="8">
        <f>IF(B378="","",B378-WEEKDAY(B378,2)+1)</f>
        <v>0</v>
      </c>
      <c r="D378" s="8">
        <f>IF(B378="","",TEXT(B378,"ddd"))</f>
        <v>0</v>
      </c>
      <c r="E378" s="8">
        <f>IF(B378="","",TEXT(B378,"mmm yyyy"))</f>
        <v>0</v>
      </c>
      <c r="F378" s="27"/>
      <c r="G378" s="7"/>
      <c r="H378" s="26"/>
      <c r="I378" s="8">
        <f>IF(G378="","",IFERROR(INDEX(Recipes!$D$5:$D$204,MATCH(G378,Recipes!$A$5:$A$204,0)),""))</f>
        <v>0</v>
      </c>
      <c r="J378" s="8">
        <f>IF(OR(G378="",H378="",I378="",I378=0),"",H378/I378)</f>
        <v>0</v>
      </c>
      <c r="K378" s="8">
        <f>IF(B378="","",Household_Size)</f>
        <v>0</v>
      </c>
      <c r="L378" s="8">
        <f>IF(OR(G378="",H378=""),"",IFERROR(IFERROR(INDEX(Recipes!$H$5:$H$204,MATCH(G378,Recipes!$A$5:$A$204,0)),"")*H378,""))</f>
        <v>0</v>
      </c>
      <c r="M378" s="8">
        <f>IF(OR(G378="",H378=""),"",IFERROR(IFERROR(INDEX(Recipes!$I$5:$I$204,MATCH(G378,Recipes!$A$5:$A$204,0)),"")*H378,""))</f>
        <v>0</v>
      </c>
      <c r="N378" s="8">
        <f>IF(OR(G378="",H378=""),"",IFERROR(IFERROR(INDEX(Recipes!$J$5:$J$204,MATCH(G378,Recipes!$A$5:$A$204,0)),"")*H378,""))</f>
        <v>0</v>
      </c>
      <c r="O378" s="8">
        <f>IF(OR(G378="",H378=""),"",IFERROR(IFERROR(INDEX(Recipes!$K$5:$K$204,MATCH(G378,Recipes!$A$5:$A$204,0)),"")*H378,""))</f>
        <v>0</v>
      </c>
      <c r="P378" s="8">
        <f>IF(OR(G378="",H378=""),"",IFERROR(IFERROR(INDEX(Recipes!$L$5:$L$204,MATCH(G378,Recipes!$A$5:$A$204,0)),"")*H378,""))</f>
        <v>0</v>
      </c>
      <c r="Q378" s="8">
        <f>IF(OR(G378="",H378=""),"",IFERROR(IFERROR(INDEX(Recipes!$Q$5:$Q$204,MATCH(G378,Recipes!$A$5:$A$204,0)),"")*H378,""))</f>
        <v>0</v>
      </c>
      <c r="R378" s="8">
        <f>IF(F378="","",Weekly_Budget/21)</f>
        <v>0</v>
      </c>
      <c r="S378" s="27"/>
      <c r="T378" s="27"/>
      <c r="U378" s="26"/>
      <c r="V378" s="7"/>
      <c r="W378" s="7"/>
      <c r="X378" s="26"/>
      <c r="Y378" s="8">
        <f>IF(G378="","",IF(COUNTIFS('Meal Prep'!$D$5:$D$124,G378)&gt;0,"Yes","No"))</f>
        <v>0</v>
      </c>
      <c r="Z378" s="8">
        <f>IF(G378="","",COUNTIFS('Recipe Ingredients'!$A$5:$A$1204,G378))</f>
        <v>0</v>
      </c>
      <c r="AA378" s="25"/>
      <c r="AB378" s="8">
        <f>IF(OR(B378="",Q378=""),"",COUNTIFS($B$5:$B$504,B378,$Q$5:$Q$504,"&gt;"&amp;Q378)+1)</f>
        <v>0</v>
      </c>
      <c r="AC378" s="8">
        <f>IF(OR(B378="",L378=""),"",COUNTIFS($B$5:$B$504,B378,$L$5:$L$504,"&gt;"&amp;L378)+1)</f>
        <v>0</v>
      </c>
      <c r="AD378" s="8">
        <f>IF(G378="","",IF(COUNTIFS($G$5:$G$504,G378)&gt;1,"Repeat","Once"))</f>
        <v>0</v>
      </c>
      <c r="AE378" s="8">
        <f>IF(G378="","",IF(IFERROR(INDEX(Recipes!$X$5:$X$204,MATCH(G378,Recipes!$A$5:$A$204,0)),"")="","",IFERROR(B378-IFERROR(INDEX(Recipes!$X$5:$X$204,MATCH(G378,Recipes!$A$5:$A$204,0)),""),"")))</f>
        <v>0</v>
      </c>
      <c r="AF378" s="8">
        <f>IF(G378="","",IF(AE378="","Yes",IF(AE378&gt;=Rotation_Gap_Days,"Yes","No")))</f>
        <v>0</v>
      </c>
      <c r="AG378" s="8">
        <f>IF(G378="","",IF(COUNTIFS('Recipe Ingredients'!$A$5:$A$1204,G378,'Recipe Ingredients'!$AC$5:$AC$1204,"Check")&gt;0,"Check","OK"))</f>
        <v>0</v>
      </c>
    </row>
    <row r="379" spans="1:33">
      <c r="A379" s="7"/>
      <c r="B379" s="30"/>
      <c r="C379" s="8">
        <f>IF(B379="","",B379-WEEKDAY(B379,2)+1)</f>
        <v>0</v>
      </c>
      <c r="D379" s="8">
        <f>IF(B379="","",TEXT(B379,"ddd"))</f>
        <v>0</v>
      </c>
      <c r="E379" s="8">
        <f>IF(B379="","",TEXT(B379,"mmm yyyy"))</f>
        <v>0</v>
      </c>
      <c r="F379" s="27"/>
      <c r="G379" s="7"/>
      <c r="H379" s="26"/>
      <c r="I379" s="8">
        <f>IF(G379="","",IFERROR(INDEX(Recipes!$D$5:$D$204,MATCH(G379,Recipes!$A$5:$A$204,0)),""))</f>
        <v>0</v>
      </c>
      <c r="J379" s="8">
        <f>IF(OR(G379="",H379="",I379="",I379=0),"",H379/I379)</f>
        <v>0</v>
      </c>
      <c r="K379" s="8">
        <f>IF(B379="","",Household_Size)</f>
        <v>0</v>
      </c>
      <c r="L379" s="8">
        <f>IF(OR(G379="",H379=""),"",IFERROR(IFERROR(INDEX(Recipes!$H$5:$H$204,MATCH(G379,Recipes!$A$5:$A$204,0)),"")*H379,""))</f>
        <v>0</v>
      </c>
      <c r="M379" s="8">
        <f>IF(OR(G379="",H379=""),"",IFERROR(IFERROR(INDEX(Recipes!$I$5:$I$204,MATCH(G379,Recipes!$A$5:$A$204,0)),"")*H379,""))</f>
        <v>0</v>
      </c>
      <c r="N379" s="8">
        <f>IF(OR(G379="",H379=""),"",IFERROR(IFERROR(INDEX(Recipes!$J$5:$J$204,MATCH(G379,Recipes!$A$5:$A$204,0)),"")*H379,""))</f>
        <v>0</v>
      </c>
      <c r="O379" s="8">
        <f>IF(OR(G379="",H379=""),"",IFERROR(IFERROR(INDEX(Recipes!$K$5:$K$204,MATCH(G379,Recipes!$A$5:$A$204,0)),"")*H379,""))</f>
        <v>0</v>
      </c>
      <c r="P379" s="8">
        <f>IF(OR(G379="",H379=""),"",IFERROR(IFERROR(INDEX(Recipes!$L$5:$L$204,MATCH(G379,Recipes!$A$5:$A$204,0)),"")*H379,""))</f>
        <v>0</v>
      </c>
      <c r="Q379" s="8">
        <f>IF(OR(G379="",H379=""),"",IFERROR(IFERROR(INDEX(Recipes!$Q$5:$Q$204,MATCH(G379,Recipes!$A$5:$A$204,0)),"")*H379,""))</f>
        <v>0</v>
      </c>
      <c r="R379" s="8">
        <f>IF(F379="","",Weekly_Budget/21)</f>
        <v>0</v>
      </c>
      <c r="S379" s="27"/>
      <c r="T379" s="27"/>
      <c r="U379" s="26"/>
      <c r="V379" s="7"/>
      <c r="W379" s="7"/>
      <c r="X379" s="26"/>
      <c r="Y379" s="8">
        <f>IF(G379="","",IF(COUNTIFS('Meal Prep'!$D$5:$D$124,G379)&gt;0,"Yes","No"))</f>
        <v>0</v>
      </c>
      <c r="Z379" s="8">
        <f>IF(G379="","",COUNTIFS('Recipe Ingredients'!$A$5:$A$1204,G379))</f>
        <v>0</v>
      </c>
      <c r="AA379" s="25"/>
      <c r="AB379" s="8">
        <f>IF(OR(B379="",Q379=""),"",COUNTIFS($B$5:$B$504,B379,$Q$5:$Q$504,"&gt;"&amp;Q379)+1)</f>
        <v>0</v>
      </c>
      <c r="AC379" s="8">
        <f>IF(OR(B379="",L379=""),"",COUNTIFS($B$5:$B$504,B379,$L$5:$L$504,"&gt;"&amp;L379)+1)</f>
        <v>0</v>
      </c>
      <c r="AD379" s="8">
        <f>IF(G379="","",IF(COUNTIFS($G$5:$G$504,G379)&gt;1,"Repeat","Once"))</f>
        <v>0</v>
      </c>
      <c r="AE379" s="8">
        <f>IF(G379="","",IF(IFERROR(INDEX(Recipes!$X$5:$X$204,MATCH(G379,Recipes!$A$5:$A$204,0)),"")="","",IFERROR(B379-IFERROR(INDEX(Recipes!$X$5:$X$204,MATCH(G379,Recipes!$A$5:$A$204,0)),""),"")))</f>
        <v>0</v>
      </c>
      <c r="AF379" s="8">
        <f>IF(G379="","",IF(AE379="","Yes",IF(AE379&gt;=Rotation_Gap_Days,"Yes","No")))</f>
        <v>0</v>
      </c>
      <c r="AG379" s="8">
        <f>IF(G379="","",IF(COUNTIFS('Recipe Ingredients'!$A$5:$A$1204,G379,'Recipe Ingredients'!$AC$5:$AC$1204,"Check")&gt;0,"Check","OK"))</f>
        <v>0</v>
      </c>
    </row>
    <row r="380" spans="1:33">
      <c r="A380" s="7"/>
      <c r="B380" s="30"/>
      <c r="C380" s="8">
        <f>IF(B380="","",B380-WEEKDAY(B380,2)+1)</f>
        <v>0</v>
      </c>
      <c r="D380" s="8">
        <f>IF(B380="","",TEXT(B380,"ddd"))</f>
        <v>0</v>
      </c>
      <c r="E380" s="8">
        <f>IF(B380="","",TEXT(B380,"mmm yyyy"))</f>
        <v>0</v>
      </c>
      <c r="F380" s="27"/>
      <c r="G380" s="7"/>
      <c r="H380" s="26"/>
      <c r="I380" s="8">
        <f>IF(G380="","",IFERROR(INDEX(Recipes!$D$5:$D$204,MATCH(G380,Recipes!$A$5:$A$204,0)),""))</f>
        <v>0</v>
      </c>
      <c r="J380" s="8">
        <f>IF(OR(G380="",H380="",I380="",I380=0),"",H380/I380)</f>
        <v>0</v>
      </c>
      <c r="K380" s="8">
        <f>IF(B380="","",Household_Size)</f>
        <v>0</v>
      </c>
      <c r="L380" s="8">
        <f>IF(OR(G380="",H380=""),"",IFERROR(IFERROR(INDEX(Recipes!$H$5:$H$204,MATCH(G380,Recipes!$A$5:$A$204,0)),"")*H380,""))</f>
        <v>0</v>
      </c>
      <c r="M380" s="8">
        <f>IF(OR(G380="",H380=""),"",IFERROR(IFERROR(INDEX(Recipes!$I$5:$I$204,MATCH(G380,Recipes!$A$5:$A$204,0)),"")*H380,""))</f>
        <v>0</v>
      </c>
      <c r="N380" s="8">
        <f>IF(OR(G380="",H380=""),"",IFERROR(IFERROR(INDEX(Recipes!$J$5:$J$204,MATCH(G380,Recipes!$A$5:$A$204,0)),"")*H380,""))</f>
        <v>0</v>
      </c>
      <c r="O380" s="8">
        <f>IF(OR(G380="",H380=""),"",IFERROR(IFERROR(INDEX(Recipes!$K$5:$K$204,MATCH(G380,Recipes!$A$5:$A$204,0)),"")*H380,""))</f>
        <v>0</v>
      </c>
      <c r="P380" s="8">
        <f>IF(OR(G380="",H380=""),"",IFERROR(IFERROR(INDEX(Recipes!$L$5:$L$204,MATCH(G380,Recipes!$A$5:$A$204,0)),"")*H380,""))</f>
        <v>0</v>
      </c>
      <c r="Q380" s="8">
        <f>IF(OR(G380="",H380=""),"",IFERROR(IFERROR(INDEX(Recipes!$Q$5:$Q$204,MATCH(G380,Recipes!$A$5:$A$204,0)),"")*H380,""))</f>
        <v>0</v>
      </c>
      <c r="R380" s="8">
        <f>IF(F380="","",Weekly_Budget/21)</f>
        <v>0</v>
      </c>
      <c r="S380" s="27"/>
      <c r="T380" s="27"/>
      <c r="U380" s="26"/>
      <c r="V380" s="7"/>
      <c r="W380" s="7"/>
      <c r="X380" s="26"/>
      <c r="Y380" s="8">
        <f>IF(G380="","",IF(COUNTIFS('Meal Prep'!$D$5:$D$124,G380)&gt;0,"Yes","No"))</f>
        <v>0</v>
      </c>
      <c r="Z380" s="8">
        <f>IF(G380="","",COUNTIFS('Recipe Ingredients'!$A$5:$A$1204,G380))</f>
        <v>0</v>
      </c>
      <c r="AA380" s="25"/>
      <c r="AB380" s="8">
        <f>IF(OR(B380="",Q380=""),"",COUNTIFS($B$5:$B$504,B380,$Q$5:$Q$504,"&gt;"&amp;Q380)+1)</f>
        <v>0</v>
      </c>
      <c r="AC380" s="8">
        <f>IF(OR(B380="",L380=""),"",COUNTIFS($B$5:$B$504,B380,$L$5:$L$504,"&gt;"&amp;L380)+1)</f>
        <v>0</v>
      </c>
      <c r="AD380" s="8">
        <f>IF(G380="","",IF(COUNTIFS($G$5:$G$504,G380)&gt;1,"Repeat","Once"))</f>
        <v>0</v>
      </c>
      <c r="AE380" s="8">
        <f>IF(G380="","",IF(IFERROR(INDEX(Recipes!$X$5:$X$204,MATCH(G380,Recipes!$A$5:$A$204,0)),"")="","",IFERROR(B380-IFERROR(INDEX(Recipes!$X$5:$X$204,MATCH(G380,Recipes!$A$5:$A$204,0)),""),"")))</f>
        <v>0</v>
      </c>
      <c r="AF380" s="8">
        <f>IF(G380="","",IF(AE380="","Yes",IF(AE380&gt;=Rotation_Gap_Days,"Yes","No")))</f>
        <v>0</v>
      </c>
      <c r="AG380" s="8">
        <f>IF(G380="","",IF(COUNTIFS('Recipe Ingredients'!$A$5:$A$1204,G380,'Recipe Ingredients'!$AC$5:$AC$1204,"Check")&gt;0,"Check","OK"))</f>
        <v>0</v>
      </c>
    </row>
    <row r="381" spans="1:33">
      <c r="A381" s="7"/>
      <c r="B381" s="30"/>
      <c r="C381" s="8">
        <f>IF(B381="","",B381-WEEKDAY(B381,2)+1)</f>
        <v>0</v>
      </c>
      <c r="D381" s="8">
        <f>IF(B381="","",TEXT(B381,"ddd"))</f>
        <v>0</v>
      </c>
      <c r="E381" s="8">
        <f>IF(B381="","",TEXT(B381,"mmm yyyy"))</f>
        <v>0</v>
      </c>
      <c r="F381" s="27"/>
      <c r="G381" s="7"/>
      <c r="H381" s="26"/>
      <c r="I381" s="8">
        <f>IF(G381="","",IFERROR(INDEX(Recipes!$D$5:$D$204,MATCH(G381,Recipes!$A$5:$A$204,0)),""))</f>
        <v>0</v>
      </c>
      <c r="J381" s="8">
        <f>IF(OR(G381="",H381="",I381="",I381=0),"",H381/I381)</f>
        <v>0</v>
      </c>
      <c r="K381" s="8">
        <f>IF(B381="","",Household_Size)</f>
        <v>0</v>
      </c>
      <c r="L381" s="8">
        <f>IF(OR(G381="",H381=""),"",IFERROR(IFERROR(INDEX(Recipes!$H$5:$H$204,MATCH(G381,Recipes!$A$5:$A$204,0)),"")*H381,""))</f>
        <v>0</v>
      </c>
      <c r="M381" s="8">
        <f>IF(OR(G381="",H381=""),"",IFERROR(IFERROR(INDEX(Recipes!$I$5:$I$204,MATCH(G381,Recipes!$A$5:$A$204,0)),"")*H381,""))</f>
        <v>0</v>
      </c>
      <c r="N381" s="8">
        <f>IF(OR(G381="",H381=""),"",IFERROR(IFERROR(INDEX(Recipes!$J$5:$J$204,MATCH(G381,Recipes!$A$5:$A$204,0)),"")*H381,""))</f>
        <v>0</v>
      </c>
      <c r="O381" s="8">
        <f>IF(OR(G381="",H381=""),"",IFERROR(IFERROR(INDEX(Recipes!$K$5:$K$204,MATCH(G381,Recipes!$A$5:$A$204,0)),"")*H381,""))</f>
        <v>0</v>
      </c>
      <c r="P381" s="8">
        <f>IF(OR(G381="",H381=""),"",IFERROR(IFERROR(INDEX(Recipes!$L$5:$L$204,MATCH(G381,Recipes!$A$5:$A$204,0)),"")*H381,""))</f>
        <v>0</v>
      </c>
      <c r="Q381" s="8">
        <f>IF(OR(G381="",H381=""),"",IFERROR(IFERROR(INDEX(Recipes!$Q$5:$Q$204,MATCH(G381,Recipes!$A$5:$A$204,0)),"")*H381,""))</f>
        <v>0</v>
      </c>
      <c r="R381" s="8">
        <f>IF(F381="","",Weekly_Budget/21)</f>
        <v>0</v>
      </c>
      <c r="S381" s="27"/>
      <c r="T381" s="27"/>
      <c r="U381" s="26"/>
      <c r="V381" s="7"/>
      <c r="W381" s="7"/>
      <c r="X381" s="26"/>
      <c r="Y381" s="8">
        <f>IF(G381="","",IF(COUNTIFS('Meal Prep'!$D$5:$D$124,G381)&gt;0,"Yes","No"))</f>
        <v>0</v>
      </c>
      <c r="Z381" s="8">
        <f>IF(G381="","",COUNTIFS('Recipe Ingredients'!$A$5:$A$1204,G381))</f>
        <v>0</v>
      </c>
      <c r="AA381" s="25"/>
      <c r="AB381" s="8">
        <f>IF(OR(B381="",Q381=""),"",COUNTIFS($B$5:$B$504,B381,$Q$5:$Q$504,"&gt;"&amp;Q381)+1)</f>
        <v>0</v>
      </c>
      <c r="AC381" s="8">
        <f>IF(OR(B381="",L381=""),"",COUNTIFS($B$5:$B$504,B381,$L$5:$L$504,"&gt;"&amp;L381)+1)</f>
        <v>0</v>
      </c>
      <c r="AD381" s="8">
        <f>IF(G381="","",IF(COUNTIFS($G$5:$G$504,G381)&gt;1,"Repeat","Once"))</f>
        <v>0</v>
      </c>
      <c r="AE381" s="8">
        <f>IF(G381="","",IF(IFERROR(INDEX(Recipes!$X$5:$X$204,MATCH(G381,Recipes!$A$5:$A$204,0)),"")="","",IFERROR(B381-IFERROR(INDEX(Recipes!$X$5:$X$204,MATCH(G381,Recipes!$A$5:$A$204,0)),""),"")))</f>
        <v>0</v>
      </c>
      <c r="AF381" s="8">
        <f>IF(G381="","",IF(AE381="","Yes",IF(AE381&gt;=Rotation_Gap_Days,"Yes","No")))</f>
        <v>0</v>
      </c>
      <c r="AG381" s="8">
        <f>IF(G381="","",IF(COUNTIFS('Recipe Ingredients'!$A$5:$A$1204,G381,'Recipe Ingredients'!$AC$5:$AC$1204,"Check")&gt;0,"Check","OK"))</f>
        <v>0</v>
      </c>
    </row>
    <row r="382" spans="1:33">
      <c r="A382" s="7"/>
      <c r="B382" s="30"/>
      <c r="C382" s="8">
        <f>IF(B382="","",B382-WEEKDAY(B382,2)+1)</f>
        <v>0</v>
      </c>
      <c r="D382" s="8">
        <f>IF(B382="","",TEXT(B382,"ddd"))</f>
        <v>0</v>
      </c>
      <c r="E382" s="8">
        <f>IF(B382="","",TEXT(B382,"mmm yyyy"))</f>
        <v>0</v>
      </c>
      <c r="F382" s="27"/>
      <c r="G382" s="7"/>
      <c r="H382" s="26"/>
      <c r="I382" s="8">
        <f>IF(G382="","",IFERROR(INDEX(Recipes!$D$5:$D$204,MATCH(G382,Recipes!$A$5:$A$204,0)),""))</f>
        <v>0</v>
      </c>
      <c r="J382" s="8">
        <f>IF(OR(G382="",H382="",I382="",I382=0),"",H382/I382)</f>
        <v>0</v>
      </c>
      <c r="K382" s="8">
        <f>IF(B382="","",Household_Size)</f>
        <v>0</v>
      </c>
      <c r="L382" s="8">
        <f>IF(OR(G382="",H382=""),"",IFERROR(IFERROR(INDEX(Recipes!$H$5:$H$204,MATCH(G382,Recipes!$A$5:$A$204,0)),"")*H382,""))</f>
        <v>0</v>
      </c>
      <c r="M382" s="8">
        <f>IF(OR(G382="",H382=""),"",IFERROR(IFERROR(INDEX(Recipes!$I$5:$I$204,MATCH(G382,Recipes!$A$5:$A$204,0)),"")*H382,""))</f>
        <v>0</v>
      </c>
      <c r="N382" s="8">
        <f>IF(OR(G382="",H382=""),"",IFERROR(IFERROR(INDEX(Recipes!$J$5:$J$204,MATCH(G382,Recipes!$A$5:$A$204,0)),"")*H382,""))</f>
        <v>0</v>
      </c>
      <c r="O382" s="8">
        <f>IF(OR(G382="",H382=""),"",IFERROR(IFERROR(INDEX(Recipes!$K$5:$K$204,MATCH(G382,Recipes!$A$5:$A$204,0)),"")*H382,""))</f>
        <v>0</v>
      </c>
      <c r="P382" s="8">
        <f>IF(OR(G382="",H382=""),"",IFERROR(IFERROR(INDEX(Recipes!$L$5:$L$204,MATCH(G382,Recipes!$A$5:$A$204,0)),"")*H382,""))</f>
        <v>0</v>
      </c>
      <c r="Q382" s="8">
        <f>IF(OR(G382="",H382=""),"",IFERROR(IFERROR(INDEX(Recipes!$Q$5:$Q$204,MATCH(G382,Recipes!$A$5:$A$204,0)),"")*H382,""))</f>
        <v>0</v>
      </c>
      <c r="R382" s="8">
        <f>IF(F382="","",Weekly_Budget/21)</f>
        <v>0</v>
      </c>
      <c r="S382" s="27"/>
      <c r="T382" s="27"/>
      <c r="U382" s="26"/>
      <c r="V382" s="7"/>
      <c r="W382" s="7"/>
      <c r="X382" s="26"/>
      <c r="Y382" s="8">
        <f>IF(G382="","",IF(COUNTIFS('Meal Prep'!$D$5:$D$124,G382)&gt;0,"Yes","No"))</f>
        <v>0</v>
      </c>
      <c r="Z382" s="8">
        <f>IF(G382="","",COUNTIFS('Recipe Ingredients'!$A$5:$A$1204,G382))</f>
        <v>0</v>
      </c>
      <c r="AA382" s="25"/>
      <c r="AB382" s="8">
        <f>IF(OR(B382="",Q382=""),"",COUNTIFS($B$5:$B$504,B382,$Q$5:$Q$504,"&gt;"&amp;Q382)+1)</f>
        <v>0</v>
      </c>
      <c r="AC382" s="8">
        <f>IF(OR(B382="",L382=""),"",COUNTIFS($B$5:$B$504,B382,$L$5:$L$504,"&gt;"&amp;L382)+1)</f>
        <v>0</v>
      </c>
      <c r="AD382" s="8">
        <f>IF(G382="","",IF(COUNTIFS($G$5:$G$504,G382)&gt;1,"Repeat","Once"))</f>
        <v>0</v>
      </c>
      <c r="AE382" s="8">
        <f>IF(G382="","",IF(IFERROR(INDEX(Recipes!$X$5:$X$204,MATCH(G382,Recipes!$A$5:$A$204,0)),"")="","",IFERROR(B382-IFERROR(INDEX(Recipes!$X$5:$X$204,MATCH(G382,Recipes!$A$5:$A$204,0)),""),"")))</f>
        <v>0</v>
      </c>
      <c r="AF382" s="8">
        <f>IF(G382="","",IF(AE382="","Yes",IF(AE382&gt;=Rotation_Gap_Days,"Yes","No")))</f>
        <v>0</v>
      </c>
      <c r="AG382" s="8">
        <f>IF(G382="","",IF(COUNTIFS('Recipe Ingredients'!$A$5:$A$1204,G382,'Recipe Ingredients'!$AC$5:$AC$1204,"Check")&gt;0,"Check","OK"))</f>
        <v>0</v>
      </c>
    </row>
    <row r="383" spans="1:33">
      <c r="A383" s="7"/>
      <c r="B383" s="30"/>
      <c r="C383" s="8">
        <f>IF(B383="","",B383-WEEKDAY(B383,2)+1)</f>
        <v>0</v>
      </c>
      <c r="D383" s="8">
        <f>IF(B383="","",TEXT(B383,"ddd"))</f>
        <v>0</v>
      </c>
      <c r="E383" s="8">
        <f>IF(B383="","",TEXT(B383,"mmm yyyy"))</f>
        <v>0</v>
      </c>
      <c r="F383" s="27"/>
      <c r="G383" s="7"/>
      <c r="H383" s="26"/>
      <c r="I383" s="8">
        <f>IF(G383="","",IFERROR(INDEX(Recipes!$D$5:$D$204,MATCH(G383,Recipes!$A$5:$A$204,0)),""))</f>
        <v>0</v>
      </c>
      <c r="J383" s="8">
        <f>IF(OR(G383="",H383="",I383="",I383=0),"",H383/I383)</f>
        <v>0</v>
      </c>
      <c r="K383" s="8">
        <f>IF(B383="","",Household_Size)</f>
        <v>0</v>
      </c>
      <c r="L383" s="8">
        <f>IF(OR(G383="",H383=""),"",IFERROR(IFERROR(INDEX(Recipes!$H$5:$H$204,MATCH(G383,Recipes!$A$5:$A$204,0)),"")*H383,""))</f>
        <v>0</v>
      </c>
      <c r="M383" s="8">
        <f>IF(OR(G383="",H383=""),"",IFERROR(IFERROR(INDEX(Recipes!$I$5:$I$204,MATCH(G383,Recipes!$A$5:$A$204,0)),"")*H383,""))</f>
        <v>0</v>
      </c>
      <c r="N383" s="8">
        <f>IF(OR(G383="",H383=""),"",IFERROR(IFERROR(INDEX(Recipes!$J$5:$J$204,MATCH(G383,Recipes!$A$5:$A$204,0)),"")*H383,""))</f>
        <v>0</v>
      </c>
      <c r="O383" s="8">
        <f>IF(OR(G383="",H383=""),"",IFERROR(IFERROR(INDEX(Recipes!$K$5:$K$204,MATCH(G383,Recipes!$A$5:$A$204,0)),"")*H383,""))</f>
        <v>0</v>
      </c>
      <c r="P383" s="8">
        <f>IF(OR(G383="",H383=""),"",IFERROR(IFERROR(INDEX(Recipes!$L$5:$L$204,MATCH(G383,Recipes!$A$5:$A$204,0)),"")*H383,""))</f>
        <v>0</v>
      </c>
      <c r="Q383" s="8">
        <f>IF(OR(G383="",H383=""),"",IFERROR(IFERROR(INDEX(Recipes!$Q$5:$Q$204,MATCH(G383,Recipes!$A$5:$A$204,0)),"")*H383,""))</f>
        <v>0</v>
      </c>
      <c r="R383" s="8">
        <f>IF(F383="","",Weekly_Budget/21)</f>
        <v>0</v>
      </c>
      <c r="S383" s="27"/>
      <c r="T383" s="27"/>
      <c r="U383" s="26"/>
      <c r="V383" s="7"/>
      <c r="W383" s="7"/>
      <c r="X383" s="26"/>
      <c r="Y383" s="8">
        <f>IF(G383="","",IF(COUNTIFS('Meal Prep'!$D$5:$D$124,G383)&gt;0,"Yes","No"))</f>
        <v>0</v>
      </c>
      <c r="Z383" s="8">
        <f>IF(G383="","",COUNTIFS('Recipe Ingredients'!$A$5:$A$1204,G383))</f>
        <v>0</v>
      </c>
      <c r="AA383" s="25"/>
      <c r="AB383" s="8">
        <f>IF(OR(B383="",Q383=""),"",COUNTIFS($B$5:$B$504,B383,$Q$5:$Q$504,"&gt;"&amp;Q383)+1)</f>
        <v>0</v>
      </c>
      <c r="AC383" s="8">
        <f>IF(OR(B383="",L383=""),"",COUNTIFS($B$5:$B$504,B383,$L$5:$L$504,"&gt;"&amp;L383)+1)</f>
        <v>0</v>
      </c>
      <c r="AD383" s="8">
        <f>IF(G383="","",IF(COUNTIFS($G$5:$G$504,G383)&gt;1,"Repeat","Once"))</f>
        <v>0</v>
      </c>
      <c r="AE383" s="8">
        <f>IF(G383="","",IF(IFERROR(INDEX(Recipes!$X$5:$X$204,MATCH(G383,Recipes!$A$5:$A$204,0)),"")="","",IFERROR(B383-IFERROR(INDEX(Recipes!$X$5:$X$204,MATCH(G383,Recipes!$A$5:$A$204,0)),""),"")))</f>
        <v>0</v>
      </c>
      <c r="AF383" s="8">
        <f>IF(G383="","",IF(AE383="","Yes",IF(AE383&gt;=Rotation_Gap_Days,"Yes","No")))</f>
        <v>0</v>
      </c>
      <c r="AG383" s="8">
        <f>IF(G383="","",IF(COUNTIFS('Recipe Ingredients'!$A$5:$A$1204,G383,'Recipe Ingredients'!$AC$5:$AC$1204,"Check")&gt;0,"Check","OK"))</f>
        <v>0</v>
      </c>
    </row>
    <row r="384" spans="1:33">
      <c r="A384" s="7"/>
      <c r="B384" s="30"/>
      <c r="C384" s="8">
        <f>IF(B384="","",B384-WEEKDAY(B384,2)+1)</f>
        <v>0</v>
      </c>
      <c r="D384" s="8">
        <f>IF(B384="","",TEXT(B384,"ddd"))</f>
        <v>0</v>
      </c>
      <c r="E384" s="8">
        <f>IF(B384="","",TEXT(B384,"mmm yyyy"))</f>
        <v>0</v>
      </c>
      <c r="F384" s="27"/>
      <c r="G384" s="7"/>
      <c r="H384" s="26"/>
      <c r="I384" s="8">
        <f>IF(G384="","",IFERROR(INDEX(Recipes!$D$5:$D$204,MATCH(G384,Recipes!$A$5:$A$204,0)),""))</f>
        <v>0</v>
      </c>
      <c r="J384" s="8">
        <f>IF(OR(G384="",H384="",I384="",I384=0),"",H384/I384)</f>
        <v>0</v>
      </c>
      <c r="K384" s="8">
        <f>IF(B384="","",Household_Size)</f>
        <v>0</v>
      </c>
      <c r="L384" s="8">
        <f>IF(OR(G384="",H384=""),"",IFERROR(IFERROR(INDEX(Recipes!$H$5:$H$204,MATCH(G384,Recipes!$A$5:$A$204,0)),"")*H384,""))</f>
        <v>0</v>
      </c>
      <c r="M384" s="8">
        <f>IF(OR(G384="",H384=""),"",IFERROR(IFERROR(INDEX(Recipes!$I$5:$I$204,MATCH(G384,Recipes!$A$5:$A$204,0)),"")*H384,""))</f>
        <v>0</v>
      </c>
      <c r="N384" s="8">
        <f>IF(OR(G384="",H384=""),"",IFERROR(IFERROR(INDEX(Recipes!$J$5:$J$204,MATCH(G384,Recipes!$A$5:$A$204,0)),"")*H384,""))</f>
        <v>0</v>
      </c>
      <c r="O384" s="8">
        <f>IF(OR(G384="",H384=""),"",IFERROR(IFERROR(INDEX(Recipes!$K$5:$K$204,MATCH(G384,Recipes!$A$5:$A$204,0)),"")*H384,""))</f>
        <v>0</v>
      </c>
      <c r="P384" s="8">
        <f>IF(OR(G384="",H384=""),"",IFERROR(IFERROR(INDEX(Recipes!$L$5:$L$204,MATCH(G384,Recipes!$A$5:$A$204,0)),"")*H384,""))</f>
        <v>0</v>
      </c>
      <c r="Q384" s="8">
        <f>IF(OR(G384="",H384=""),"",IFERROR(IFERROR(INDEX(Recipes!$Q$5:$Q$204,MATCH(G384,Recipes!$A$5:$A$204,0)),"")*H384,""))</f>
        <v>0</v>
      </c>
      <c r="R384" s="8">
        <f>IF(F384="","",Weekly_Budget/21)</f>
        <v>0</v>
      </c>
      <c r="S384" s="27"/>
      <c r="T384" s="27"/>
      <c r="U384" s="26"/>
      <c r="V384" s="7"/>
      <c r="W384" s="7"/>
      <c r="X384" s="26"/>
      <c r="Y384" s="8">
        <f>IF(G384="","",IF(COUNTIFS('Meal Prep'!$D$5:$D$124,G384)&gt;0,"Yes","No"))</f>
        <v>0</v>
      </c>
      <c r="Z384" s="8">
        <f>IF(G384="","",COUNTIFS('Recipe Ingredients'!$A$5:$A$1204,G384))</f>
        <v>0</v>
      </c>
      <c r="AA384" s="25"/>
      <c r="AB384" s="8">
        <f>IF(OR(B384="",Q384=""),"",COUNTIFS($B$5:$B$504,B384,$Q$5:$Q$504,"&gt;"&amp;Q384)+1)</f>
        <v>0</v>
      </c>
      <c r="AC384" s="8">
        <f>IF(OR(B384="",L384=""),"",COUNTIFS($B$5:$B$504,B384,$L$5:$L$504,"&gt;"&amp;L384)+1)</f>
        <v>0</v>
      </c>
      <c r="AD384" s="8">
        <f>IF(G384="","",IF(COUNTIFS($G$5:$G$504,G384)&gt;1,"Repeat","Once"))</f>
        <v>0</v>
      </c>
      <c r="AE384" s="8">
        <f>IF(G384="","",IF(IFERROR(INDEX(Recipes!$X$5:$X$204,MATCH(G384,Recipes!$A$5:$A$204,0)),"")="","",IFERROR(B384-IFERROR(INDEX(Recipes!$X$5:$X$204,MATCH(G384,Recipes!$A$5:$A$204,0)),""),"")))</f>
        <v>0</v>
      </c>
      <c r="AF384" s="8">
        <f>IF(G384="","",IF(AE384="","Yes",IF(AE384&gt;=Rotation_Gap_Days,"Yes","No")))</f>
        <v>0</v>
      </c>
      <c r="AG384" s="8">
        <f>IF(G384="","",IF(COUNTIFS('Recipe Ingredients'!$A$5:$A$1204,G384,'Recipe Ingredients'!$AC$5:$AC$1204,"Check")&gt;0,"Check","OK"))</f>
        <v>0</v>
      </c>
    </row>
    <row r="385" spans="1:33">
      <c r="A385" s="7"/>
      <c r="B385" s="30"/>
      <c r="C385" s="8">
        <f>IF(B385="","",B385-WEEKDAY(B385,2)+1)</f>
        <v>0</v>
      </c>
      <c r="D385" s="8">
        <f>IF(B385="","",TEXT(B385,"ddd"))</f>
        <v>0</v>
      </c>
      <c r="E385" s="8">
        <f>IF(B385="","",TEXT(B385,"mmm yyyy"))</f>
        <v>0</v>
      </c>
      <c r="F385" s="27"/>
      <c r="G385" s="7"/>
      <c r="H385" s="26"/>
      <c r="I385" s="8">
        <f>IF(G385="","",IFERROR(INDEX(Recipes!$D$5:$D$204,MATCH(G385,Recipes!$A$5:$A$204,0)),""))</f>
        <v>0</v>
      </c>
      <c r="J385" s="8">
        <f>IF(OR(G385="",H385="",I385="",I385=0),"",H385/I385)</f>
        <v>0</v>
      </c>
      <c r="K385" s="8">
        <f>IF(B385="","",Household_Size)</f>
        <v>0</v>
      </c>
      <c r="L385" s="8">
        <f>IF(OR(G385="",H385=""),"",IFERROR(IFERROR(INDEX(Recipes!$H$5:$H$204,MATCH(G385,Recipes!$A$5:$A$204,0)),"")*H385,""))</f>
        <v>0</v>
      </c>
      <c r="M385" s="8">
        <f>IF(OR(G385="",H385=""),"",IFERROR(IFERROR(INDEX(Recipes!$I$5:$I$204,MATCH(G385,Recipes!$A$5:$A$204,0)),"")*H385,""))</f>
        <v>0</v>
      </c>
      <c r="N385" s="8">
        <f>IF(OR(G385="",H385=""),"",IFERROR(IFERROR(INDEX(Recipes!$J$5:$J$204,MATCH(G385,Recipes!$A$5:$A$204,0)),"")*H385,""))</f>
        <v>0</v>
      </c>
      <c r="O385" s="8">
        <f>IF(OR(G385="",H385=""),"",IFERROR(IFERROR(INDEX(Recipes!$K$5:$K$204,MATCH(G385,Recipes!$A$5:$A$204,0)),"")*H385,""))</f>
        <v>0</v>
      </c>
      <c r="P385" s="8">
        <f>IF(OR(G385="",H385=""),"",IFERROR(IFERROR(INDEX(Recipes!$L$5:$L$204,MATCH(G385,Recipes!$A$5:$A$204,0)),"")*H385,""))</f>
        <v>0</v>
      </c>
      <c r="Q385" s="8">
        <f>IF(OR(G385="",H385=""),"",IFERROR(IFERROR(INDEX(Recipes!$Q$5:$Q$204,MATCH(G385,Recipes!$A$5:$A$204,0)),"")*H385,""))</f>
        <v>0</v>
      </c>
      <c r="R385" s="8">
        <f>IF(F385="","",Weekly_Budget/21)</f>
        <v>0</v>
      </c>
      <c r="S385" s="27"/>
      <c r="T385" s="27"/>
      <c r="U385" s="26"/>
      <c r="V385" s="7"/>
      <c r="W385" s="7"/>
      <c r="X385" s="26"/>
      <c r="Y385" s="8">
        <f>IF(G385="","",IF(COUNTIFS('Meal Prep'!$D$5:$D$124,G385)&gt;0,"Yes","No"))</f>
        <v>0</v>
      </c>
      <c r="Z385" s="8">
        <f>IF(G385="","",COUNTIFS('Recipe Ingredients'!$A$5:$A$1204,G385))</f>
        <v>0</v>
      </c>
      <c r="AA385" s="25"/>
      <c r="AB385" s="8">
        <f>IF(OR(B385="",Q385=""),"",COUNTIFS($B$5:$B$504,B385,$Q$5:$Q$504,"&gt;"&amp;Q385)+1)</f>
        <v>0</v>
      </c>
      <c r="AC385" s="8">
        <f>IF(OR(B385="",L385=""),"",COUNTIFS($B$5:$B$504,B385,$L$5:$L$504,"&gt;"&amp;L385)+1)</f>
        <v>0</v>
      </c>
      <c r="AD385" s="8">
        <f>IF(G385="","",IF(COUNTIFS($G$5:$G$504,G385)&gt;1,"Repeat","Once"))</f>
        <v>0</v>
      </c>
      <c r="AE385" s="8">
        <f>IF(G385="","",IF(IFERROR(INDEX(Recipes!$X$5:$X$204,MATCH(G385,Recipes!$A$5:$A$204,0)),"")="","",IFERROR(B385-IFERROR(INDEX(Recipes!$X$5:$X$204,MATCH(G385,Recipes!$A$5:$A$204,0)),""),"")))</f>
        <v>0</v>
      </c>
      <c r="AF385" s="8">
        <f>IF(G385="","",IF(AE385="","Yes",IF(AE385&gt;=Rotation_Gap_Days,"Yes","No")))</f>
        <v>0</v>
      </c>
      <c r="AG385" s="8">
        <f>IF(G385="","",IF(COUNTIFS('Recipe Ingredients'!$A$5:$A$1204,G385,'Recipe Ingredients'!$AC$5:$AC$1204,"Check")&gt;0,"Check","OK"))</f>
        <v>0</v>
      </c>
    </row>
    <row r="386" spans="1:33">
      <c r="A386" s="7"/>
      <c r="B386" s="30"/>
      <c r="C386" s="8">
        <f>IF(B386="","",B386-WEEKDAY(B386,2)+1)</f>
        <v>0</v>
      </c>
      <c r="D386" s="8">
        <f>IF(B386="","",TEXT(B386,"ddd"))</f>
        <v>0</v>
      </c>
      <c r="E386" s="8">
        <f>IF(B386="","",TEXT(B386,"mmm yyyy"))</f>
        <v>0</v>
      </c>
      <c r="F386" s="27"/>
      <c r="G386" s="7"/>
      <c r="H386" s="26"/>
      <c r="I386" s="8">
        <f>IF(G386="","",IFERROR(INDEX(Recipes!$D$5:$D$204,MATCH(G386,Recipes!$A$5:$A$204,0)),""))</f>
        <v>0</v>
      </c>
      <c r="J386" s="8">
        <f>IF(OR(G386="",H386="",I386="",I386=0),"",H386/I386)</f>
        <v>0</v>
      </c>
      <c r="K386" s="8">
        <f>IF(B386="","",Household_Size)</f>
        <v>0</v>
      </c>
      <c r="L386" s="8">
        <f>IF(OR(G386="",H386=""),"",IFERROR(IFERROR(INDEX(Recipes!$H$5:$H$204,MATCH(G386,Recipes!$A$5:$A$204,0)),"")*H386,""))</f>
        <v>0</v>
      </c>
      <c r="M386" s="8">
        <f>IF(OR(G386="",H386=""),"",IFERROR(IFERROR(INDEX(Recipes!$I$5:$I$204,MATCH(G386,Recipes!$A$5:$A$204,0)),"")*H386,""))</f>
        <v>0</v>
      </c>
      <c r="N386" s="8">
        <f>IF(OR(G386="",H386=""),"",IFERROR(IFERROR(INDEX(Recipes!$J$5:$J$204,MATCH(G386,Recipes!$A$5:$A$204,0)),"")*H386,""))</f>
        <v>0</v>
      </c>
      <c r="O386" s="8">
        <f>IF(OR(G386="",H386=""),"",IFERROR(IFERROR(INDEX(Recipes!$K$5:$K$204,MATCH(G386,Recipes!$A$5:$A$204,0)),"")*H386,""))</f>
        <v>0</v>
      </c>
      <c r="P386" s="8">
        <f>IF(OR(G386="",H386=""),"",IFERROR(IFERROR(INDEX(Recipes!$L$5:$L$204,MATCH(G386,Recipes!$A$5:$A$204,0)),"")*H386,""))</f>
        <v>0</v>
      </c>
      <c r="Q386" s="8">
        <f>IF(OR(G386="",H386=""),"",IFERROR(IFERROR(INDEX(Recipes!$Q$5:$Q$204,MATCH(G386,Recipes!$A$5:$A$204,0)),"")*H386,""))</f>
        <v>0</v>
      </c>
      <c r="R386" s="8">
        <f>IF(F386="","",Weekly_Budget/21)</f>
        <v>0</v>
      </c>
      <c r="S386" s="27"/>
      <c r="T386" s="27"/>
      <c r="U386" s="26"/>
      <c r="V386" s="7"/>
      <c r="W386" s="7"/>
      <c r="X386" s="26"/>
      <c r="Y386" s="8">
        <f>IF(G386="","",IF(COUNTIFS('Meal Prep'!$D$5:$D$124,G386)&gt;0,"Yes","No"))</f>
        <v>0</v>
      </c>
      <c r="Z386" s="8">
        <f>IF(G386="","",COUNTIFS('Recipe Ingredients'!$A$5:$A$1204,G386))</f>
        <v>0</v>
      </c>
      <c r="AA386" s="25"/>
      <c r="AB386" s="8">
        <f>IF(OR(B386="",Q386=""),"",COUNTIFS($B$5:$B$504,B386,$Q$5:$Q$504,"&gt;"&amp;Q386)+1)</f>
        <v>0</v>
      </c>
      <c r="AC386" s="8">
        <f>IF(OR(B386="",L386=""),"",COUNTIFS($B$5:$B$504,B386,$L$5:$L$504,"&gt;"&amp;L386)+1)</f>
        <v>0</v>
      </c>
      <c r="AD386" s="8">
        <f>IF(G386="","",IF(COUNTIFS($G$5:$G$504,G386)&gt;1,"Repeat","Once"))</f>
        <v>0</v>
      </c>
      <c r="AE386" s="8">
        <f>IF(G386="","",IF(IFERROR(INDEX(Recipes!$X$5:$X$204,MATCH(G386,Recipes!$A$5:$A$204,0)),"")="","",IFERROR(B386-IFERROR(INDEX(Recipes!$X$5:$X$204,MATCH(G386,Recipes!$A$5:$A$204,0)),""),"")))</f>
        <v>0</v>
      </c>
      <c r="AF386" s="8">
        <f>IF(G386="","",IF(AE386="","Yes",IF(AE386&gt;=Rotation_Gap_Days,"Yes","No")))</f>
        <v>0</v>
      </c>
      <c r="AG386" s="8">
        <f>IF(G386="","",IF(COUNTIFS('Recipe Ingredients'!$A$5:$A$1204,G386,'Recipe Ingredients'!$AC$5:$AC$1204,"Check")&gt;0,"Check","OK"))</f>
        <v>0</v>
      </c>
    </row>
    <row r="387" spans="1:33">
      <c r="A387" s="7"/>
      <c r="B387" s="30"/>
      <c r="C387" s="8">
        <f>IF(B387="","",B387-WEEKDAY(B387,2)+1)</f>
        <v>0</v>
      </c>
      <c r="D387" s="8">
        <f>IF(B387="","",TEXT(B387,"ddd"))</f>
        <v>0</v>
      </c>
      <c r="E387" s="8">
        <f>IF(B387="","",TEXT(B387,"mmm yyyy"))</f>
        <v>0</v>
      </c>
      <c r="F387" s="27"/>
      <c r="G387" s="7"/>
      <c r="H387" s="26"/>
      <c r="I387" s="8">
        <f>IF(G387="","",IFERROR(INDEX(Recipes!$D$5:$D$204,MATCH(G387,Recipes!$A$5:$A$204,0)),""))</f>
        <v>0</v>
      </c>
      <c r="J387" s="8">
        <f>IF(OR(G387="",H387="",I387="",I387=0),"",H387/I387)</f>
        <v>0</v>
      </c>
      <c r="K387" s="8">
        <f>IF(B387="","",Household_Size)</f>
        <v>0</v>
      </c>
      <c r="L387" s="8">
        <f>IF(OR(G387="",H387=""),"",IFERROR(IFERROR(INDEX(Recipes!$H$5:$H$204,MATCH(G387,Recipes!$A$5:$A$204,0)),"")*H387,""))</f>
        <v>0</v>
      </c>
      <c r="M387" s="8">
        <f>IF(OR(G387="",H387=""),"",IFERROR(IFERROR(INDEX(Recipes!$I$5:$I$204,MATCH(G387,Recipes!$A$5:$A$204,0)),"")*H387,""))</f>
        <v>0</v>
      </c>
      <c r="N387" s="8">
        <f>IF(OR(G387="",H387=""),"",IFERROR(IFERROR(INDEX(Recipes!$J$5:$J$204,MATCH(G387,Recipes!$A$5:$A$204,0)),"")*H387,""))</f>
        <v>0</v>
      </c>
      <c r="O387" s="8">
        <f>IF(OR(G387="",H387=""),"",IFERROR(IFERROR(INDEX(Recipes!$K$5:$K$204,MATCH(G387,Recipes!$A$5:$A$204,0)),"")*H387,""))</f>
        <v>0</v>
      </c>
      <c r="P387" s="8">
        <f>IF(OR(G387="",H387=""),"",IFERROR(IFERROR(INDEX(Recipes!$L$5:$L$204,MATCH(G387,Recipes!$A$5:$A$204,0)),"")*H387,""))</f>
        <v>0</v>
      </c>
      <c r="Q387" s="8">
        <f>IF(OR(G387="",H387=""),"",IFERROR(IFERROR(INDEX(Recipes!$Q$5:$Q$204,MATCH(G387,Recipes!$A$5:$A$204,0)),"")*H387,""))</f>
        <v>0</v>
      </c>
      <c r="R387" s="8">
        <f>IF(F387="","",Weekly_Budget/21)</f>
        <v>0</v>
      </c>
      <c r="S387" s="27"/>
      <c r="T387" s="27"/>
      <c r="U387" s="26"/>
      <c r="V387" s="7"/>
      <c r="W387" s="7"/>
      <c r="X387" s="26"/>
      <c r="Y387" s="8">
        <f>IF(G387="","",IF(COUNTIFS('Meal Prep'!$D$5:$D$124,G387)&gt;0,"Yes","No"))</f>
        <v>0</v>
      </c>
      <c r="Z387" s="8">
        <f>IF(G387="","",COUNTIFS('Recipe Ingredients'!$A$5:$A$1204,G387))</f>
        <v>0</v>
      </c>
      <c r="AA387" s="25"/>
      <c r="AB387" s="8">
        <f>IF(OR(B387="",Q387=""),"",COUNTIFS($B$5:$B$504,B387,$Q$5:$Q$504,"&gt;"&amp;Q387)+1)</f>
        <v>0</v>
      </c>
      <c r="AC387" s="8">
        <f>IF(OR(B387="",L387=""),"",COUNTIFS($B$5:$B$504,B387,$L$5:$L$504,"&gt;"&amp;L387)+1)</f>
        <v>0</v>
      </c>
      <c r="AD387" s="8">
        <f>IF(G387="","",IF(COUNTIFS($G$5:$G$504,G387)&gt;1,"Repeat","Once"))</f>
        <v>0</v>
      </c>
      <c r="AE387" s="8">
        <f>IF(G387="","",IF(IFERROR(INDEX(Recipes!$X$5:$X$204,MATCH(G387,Recipes!$A$5:$A$204,0)),"")="","",IFERROR(B387-IFERROR(INDEX(Recipes!$X$5:$X$204,MATCH(G387,Recipes!$A$5:$A$204,0)),""),"")))</f>
        <v>0</v>
      </c>
      <c r="AF387" s="8">
        <f>IF(G387="","",IF(AE387="","Yes",IF(AE387&gt;=Rotation_Gap_Days,"Yes","No")))</f>
        <v>0</v>
      </c>
      <c r="AG387" s="8">
        <f>IF(G387="","",IF(COUNTIFS('Recipe Ingredients'!$A$5:$A$1204,G387,'Recipe Ingredients'!$AC$5:$AC$1204,"Check")&gt;0,"Check","OK"))</f>
        <v>0</v>
      </c>
    </row>
    <row r="388" spans="1:33">
      <c r="A388" s="7"/>
      <c r="B388" s="30"/>
      <c r="C388" s="8">
        <f>IF(B388="","",B388-WEEKDAY(B388,2)+1)</f>
        <v>0</v>
      </c>
      <c r="D388" s="8">
        <f>IF(B388="","",TEXT(B388,"ddd"))</f>
        <v>0</v>
      </c>
      <c r="E388" s="8">
        <f>IF(B388="","",TEXT(B388,"mmm yyyy"))</f>
        <v>0</v>
      </c>
      <c r="F388" s="27"/>
      <c r="G388" s="7"/>
      <c r="H388" s="26"/>
      <c r="I388" s="8">
        <f>IF(G388="","",IFERROR(INDEX(Recipes!$D$5:$D$204,MATCH(G388,Recipes!$A$5:$A$204,0)),""))</f>
        <v>0</v>
      </c>
      <c r="J388" s="8">
        <f>IF(OR(G388="",H388="",I388="",I388=0),"",H388/I388)</f>
        <v>0</v>
      </c>
      <c r="K388" s="8">
        <f>IF(B388="","",Household_Size)</f>
        <v>0</v>
      </c>
      <c r="L388" s="8">
        <f>IF(OR(G388="",H388=""),"",IFERROR(IFERROR(INDEX(Recipes!$H$5:$H$204,MATCH(G388,Recipes!$A$5:$A$204,0)),"")*H388,""))</f>
        <v>0</v>
      </c>
      <c r="M388" s="8">
        <f>IF(OR(G388="",H388=""),"",IFERROR(IFERROR(INDEX(Recipes!$I$5:$I$204,MATCH(G388,Recipes!$A$5:$A$204,0)),"")*H388,""))</f>
        <v>0</v>
      </c>
      <c r="N388" s="8">
        <f>IF(OR(G388="",H388=""),"",IFERROR(IFERROR(INDEX(Recipes!$J$5:$J$204,MATCH(G388,Recipes!$A$5:$A$204,0)),"")*H388,""))</f>
        <v>0</v>
      </c>
      <c r="O388" s="8">
        <f>IF(OR(G388="",H388=""),"",IFERROR(IFERROR(INDEX(Recipes!$K$5:$K$204,MATCH(G388,Recipes!$A$5:$A$204,0)),"")*H388,""))</f>
        <v>0</v>
      </c>
      <c r="P388" s="8">
        <f>IF(OR(G388="",H388=""),"",IFERROR(IFERROR(INDEX(Recipes!$L$5:$L$204,MATCH(G388,Recipes!$A$5:$A$204,0)),"")*H388,""))</f>
        <v>0</v>
      </c>
      <c r="Q388" s="8">
        <f>IF(OR(G388="",H388=""),"",IFERROR(IFERROR(INDEX(Recipes!$Q$5:$Q$204,MATCH(G388,Recipes!$A$5:$A$204,0)),"")*H388,""))</f>
        <v>0</v>
      </c>
      <c r="R388" s="8">
        <f>IF(F388="","",Weekly_Budget/21)</f>
        <v>0</v>
      </c>
      <c r="S388" s="27"/>
      <c r="T388" s="27"/>
      <c r="U388" s="26"/>
      <c r="V388" s="7"/>
      <c r="W388" s="7"/>
      <c r="X388" s="26"/>
      <c r="Y388" s="8">
        <f>IF(G388="","",IF(COUNTIFS('Meal Prep'!$D$5:$D$124,G388)&gt;0,"Yes","No"))</f>
        <v>0</v>
      </c>
      <c r="Z388" s="8">
        <f>IF(G388="","",COUNTIFS('Recipe Ingredients'!$A$5:$A$1204,G388))</f>
        <v>0</v>
      </c>
      <c r="AA388" s="25"/>
      <c r="AB388" s="8">
        <f>IF(OR(B388="",Q388=""),"",COUNTIFS($B$5:$B$504,B388,$Q$5:$Q$504,"&gt;"&amp;Q388)+1)</f>
        <v>0</v>
      </c>
      <c r="AC388" s="8">
        <f>IF(OR(B388="",L388=""),"",COUNTIFS($B$5:$B$504,B388,$L$5:$L$504,"&gt;"&amp;L388)+1)</f>
        <v>0</v>
      </c>
      <c r="AD388" s="8">
        <f>IF(G388="","",IF(COUNTIFS($G$5:$G$504,G388)&gt;1,"Repeat","Once"))</f>
        <v>0</v>
      </c>
      <c r="AE388" s="8">
        <f>IF(G388="","",IF(IFERROR(INDEX(Recipes!$X$5:$X$204,MATCH(G388,Recipes!$A$5:$A$204,0)),"")="","",IFERROR(B388-IFERROR(INDEX(Recipes!$X$5:$X$204,MATCH(G388,Recipes!$A$5:$A$204,0)),""),"")))</f>
        <v>0</v>
      </c>
      <c r="AF388" s="8">
        <f>IF(G388="","",IF(AE388="","Yes",IF(AE388&gt;=Rotation_Gap_Days,"Yes","No")))</f>
        <v>0</v>
      </c>
      <c r="AG388" s="8">
        <f>IF(G388="","",IF(COUNTIFS('Recipe Ingredients'!$A$5:$A$1204,G388,'Recipe Ingredients'!$AC$5:$AC$1204,"Check")&gt;0,"Check","OK"))</f>
        <v>0</v>
      </c>
    </row>
    <row r="389" spans="1:33">
      <c r="A389" s="7"/>
      <c r="B389" s="30"/>
      <c r="C389" s="8">
        <f>IF(B389="","",B389-WEEKDAY(B389,2)+1)</f>
        <v>0</v>
      </c>
      <c r="D389" s="8">
        <f>IF(B389="","",TEXT(B389,"ddd"))</f>
        <v>0</v>
      </c>
      <c r="E389" s="8">
        <f>IF(B389="","",TEXT(B389,"mmm yyyy"))</f>
        <v>0</v>
      </c>
      <c r="F389" s="27"/>
      <c r="G389" s="7"/>
      <c r="H389" s="26"/>
      <c r="I389" s="8">
        <f>IF(G389="","",IFERROR(INDEX(Recipes!$D$5:$D$204,MATCH(G389,Recipes!$A$5:$A$204,0)),""))</f>
        <v>0</v>
      </c>
      <c r="J389" s="8">
        <f>IF(OR(G389="",H389="",I389="",I389=0),"",H389/I389)</f>
        <v>0</v>
      </c>
      <c r="K389" s="8">
        <f>IF(B389="","",Household_Size)</f>
        <v>0</v>
      </c>
      <c r="L389" s="8">
        <f>IF(OR(G389="",H389=""),"",IFERROR(IFERROR(INDEX(Recipes!$H$5:$H$204,MATCH(G389,Recipes!$A$5:$A$204,0)),"")*H389,""))</f>
        <v>0</v>
      </c>
      <c r="M389" s="8">
        <f>IF(OR(G389="",H389=""),"",IFERROR(IFERROR(INDEX(Recipes!$I$5:$I$204,MATCH(G389,Recipes!$A$5:$A$204,0)),"")*H389,""))</f>
        <v>0</v>
      </c>
      <c r="N389" s="8">
        <f>IF(OR(G389="",H389=""),"",IFERROR(IFERROR(INDEX(Recipes!$J$5:$J$204,MATCH(G389,Recipes!$A$5:$A$204,0)),"")*H389,""))</f>
        <v>0</v>
      </c>
      <c r="O389" s="8">
        <f>IF(OR(G389="",H389=""),"",IFERROR(IFERROR(INDEX(Recipes!$K$5:$K$204,MATCH(G389,Recipes!$A$5:$A$204,0)),"")*H389,""))</f>
        <v>0</v>
      </c>
      <c r="P389" s="8">
        <f>IF(OR(G389="",H389=""),"",IFERROR(IFERROR(INDEX(Recipes!$L$5:$L$204,MATCH(G389,Recipes!$A$5:$A$204,0)),"")*H389,""))</f>
        <v>0</v>
      </c>
      <c r="Q389" s="8">
        <f>IF(OR(G389="",H389=""),"",IFERROR(IFERROR(INDEX(Recipes!$Q$5:$Q$204,MATCH(G389,Recipes!$A$5:$A$204,0)),"")*H389,""))</f>
        <v>0</v>
      </c>
      <c r="R389" s="8">
        <f>IF(F389="","",Weekly_Budget/21)</f>
        <v>0</v>
      </c>
      <c r="S389" s="27"/>
      <c r="T389" s="27"/>
      <c r="U389" s="26"/>
      <c r="V389" s="7"/>
      <c r="W389" s="7"/>
      <c r="X389" s="26"/>
      <c r="Y389" s="8">
        <f>IF(G389="","",IF(COUNTIFS('Meal Prep'!$D$5:$D$124,G389)&gt;0,"Yes","No"))</f>
        <v>0</v>
      </c>
      <c r="Z389" s="8">
        <f>IF(G389="","",COUNTIFS('Recipe Ingredients'!$A$5:$A$1204,G389))</f>
        <v>0</v>
      </c>
      <c r="AA389" s="25"/>
      <c r="AB389" s="8">
        <f>IF(OR(B389="",Q389=""),"",COUNTIFS($B$5:$B$504,B389,$Q$5:$Q$504,"&gt;"&amp;Q389)+1)</f>
        <v>0</v>
      </c>
      <c r="AC389" s="8">
        <f>IF(OR(B389="",L389=""),"",COUNTIFS($B$5:$B$504,B389,$L$5:$L$504,"&gt;"&amp;L389)+1)</f>
        <v>0</v>
      </c>
      <c r="AD389" s="8">
        <f>IF(G389="","",IF(COUNTIFS($G$5:$G$504,G389)&gt;1,"Repeat","Once"))</f>
        <v>0</v>
      </c>
      <c r="AE389" s="8">
        <f>IF(G389="","",IF(IFERROR(INDEX(Recipes!$X$5:$X$204,MATCH(G389,Recipes!$A$5:$A$204,0)),"")="","",IFERROR(B389-IFERROR(INDEX(Recipes!$X$5:$X$204,MATCH(G389,Recipes!$A$5:$A$204,0)),""),"")))</f>
        <v>0</v>
      </c>
      <c r="AF389" s="8">
        <f>IF(G389="","",IF(AE389="","Yes",IF(AE389&gt;=Rotation_Gap_Days,"Yes","No")))</f>
        <v>0</v>
      </c>
      <c r="AG389" s="8">
        <f>IF(G389="","",IF(COUNTIFS('Recipe Ingredients'!$A$5:$A$1204,G389,'Recipe Ingredients'!$AC$5:$AC$1204,"Check")&gt;0,"Check","OK"))</f>
        <v>0</v>
      </c>
    </row>
    <row r="390" spans="1:33">
      <c r="A390" s="7"/>
      <c r="B390" s="30"/>
      <c r="C390" s="8">
        <f>IF(B390="","",B390-WEEKDAY(B390,2)+1)</f>
        <v>0</v>
      </c>
      <c r="D390" s="8">
        <f>IF(B390="","",TEXT(B390,"ddd"))</f>
        <v>0</v>
      </c>
      <c r="E390" s="8">
        <f>IF(B390="","",TEXT(B390,"mmm yyyy"))</f>
        <v>0</v>
      </c>
      <c r="F390" s="27"/>
      <c r="G390" s="7"/>
      <c r="H390" s="26"/>
      <c r="I390" s="8">
        <f>IF(G390="","",IFERROR(INDEX(Recipes!$D$5:$D$204,MATCH(G390,Recipes!$A$5:$A$204,0)),""))</f>
        <v>0</v>
      </c>
      <c r="J390" s="8">
        <f>IF(OR(G390="",H390="",I390="",I390=0),"",H390/I390)</f>
        <v>0</v>
      </c>
      <c r="K390" s="8">
        <f>IF(B390="","",Household_Size)</f>
        <v>0</v>
      </c>
      <c r="L390" s="8">
        <f>IF(OR(G390="",H390=""),"",IFERROR(IFERROR(INDEX(Recipes!$H$5:$H$204,MATCH(G390,Recipes!$A$5:$A$204,0)),"")*H390,""))</f>
        <v>0</v>
      </c>
      <c r="M390" s="8">
        <f>IF(OR(G390="",H390=""),"",IFERROR(IFERROR(INDEX(Recipes!$I$5:$I$204,MATCH(G390,Recipes!$A$5:$A$204,0)),"")*H390,""))</f>
        <v>0</v>
      </c>
      <c r="N390" s="8">
        <f>IF(OR(G390="",H390=""),"",IFERROR(IFERROR(INDEX(Recipes!$J$5:$J$204,MATCH(G390,Recipes!$A$5:$A$204,0)),"")*H390,""))</f>
        <v>0</v>
      </c>
      <c r="O390" s="8">
        <f>IF(OR(G390="",H390=""),"",IFERROR(IFERROR(INDEX(Recipes!$K$5:$K$204,MATCH(G390,Recipes!$A$5:$A$204,0)),"")*H390,""))</f>
        <v>0</v>
      </c>
      <c r="P390" s="8">
        <f>IF(OR(G390="",H390=""),"",IFERROR(IFERROR(INDEX(Recipes!$L$5:$L$204,MATCH(G390,Recipes!$A$5:$A$204,0)),"")*H390,""))</f>
        <v>0</v>
      </c>
      <c r="Q390" s="8">
        <f>IF(OR(G390="",H390=""),"",IFERROR(IFERROR(INDEX(Recipes!$Q$5:$Q$204,MATCH(G390,Recipes!$A$5:$A$204,0)),"")*H390,""))</f>
        <v>0</v>
      </c>
      <c r="R390" s="8">
        <f>IF(F390="","",Weekly_Budget/21)</f>
        <v>0</v>
      </c>
      <c r="S390" s="27"/>
      <c r="T390" s="27"/>
      <c r="U390" s="26"/>
      <c r="V390" s="7"/>
      <c r="W390" s="7"/>
      <c r="X390" s="26"/>
      <c r="Y390" s="8">
        <f>IF(G390="","",IF(COUNTIFS('Meal Prep'!$D$5:$D$124,G390)&gt;0,"Yes","No"))</f>
        <v>0</v>
      </c>
      <c r="Z390" s="8">
        <f>IF(G390="","",COUNTIFS('Recipe Ingredients'!$A$5:$A$1204,G390))</f>
        <v>0</v>
      </c>
      <c r="AA390" s="25"/>
      <c r="AB390" s="8">
        <f>IF(OR(B390="",Q390=""),"",COUNTIFS($B$5:$B$504,B390,$Q$5:$Q$504,"&gt;"&amp;Q390)+1)</f>
        <v>0</v>
      </c>
      <c r="AC390" s="8">
        <f>IF(OR(B390="",L390=""),"",COUNTIFS($B$5:$B$504,B390,$L$5:$L$504,"&gt;"&amp;L390)+1)</f>
        <v>0</v>
      </c>
      <c r="AD390" s="8">
        <f>IF(G390="","",IF(COUNTIFS($G$5:$G$504,G390)&gt;1,"Repeat","Once"))</f>
        <v>0</v>
      </c>
      <c r="AE390" s="8">
        <f>IF(G390="","",IF(IFERROR(INDEX(Recipes!$X$5:$X$204,MATCH(G390,Recipes!$A$5:$A$204,0)),"")="","",IFERROR(B390-IFERROR(INDEX(Recipes!$X$5:$X$204,MATCH(G390,Recipes!$A$5:$A$204,0)),""),"")))</f>
        <v>0</v>
      </c>
      <c r="AF390" s="8">
        <f>IF(G390="","",IF(AE390="","Yes",IF(AE390&gt;=Rotation_Gap_Days,"Yes","No")))</f>
        <v>0</v>
      </c>
      <c r="AG390" s="8">
        <f>IF(G390="","",IF(COUNTIFS('Recipe Ingredients'!$A$5:$A$1204,G390,'Recipe Ingredients'!$AC$5:$AC$1204,"Check")&gt;0,"Check","OK"))</f>
        <v>0</v>
      </c>
    </row>
    <row r="391" spans="1:33">
      <c r="A391" s="7"/>
      <c r="B391" s="30"/>
      <c r="C391" s="8">
        <f>IF(B391="","",B391-WEEKDAY(B391,2)+1)</f>
        <v>0</v>
      </c>
      <c r="D391" s="8">
        <f>IF(B391="","",TEXT(B391,"ddd"))</f>
        <v>0</v>
      </c>
      <c r="E391" s="8">
        <f>IF(B391="","",TEXT(B391,"mmm yyyy"))</f>
        <v>0</v>
      </c>
      <c r="F391" s="27"/>
      <c r="G391" s="7"/>
      <c r="H391" s="26"/>
      <c r="I391" s="8">
        <f>IF(G391="","",IFERROR(INDEX(Recipes!$D$5:$D$204,MATCH(G391,Recipes!$A$5:$A$204,0)),""))</f>
        <v>0</v>
      </c>
      <c r="J391" s="8">
        <f>IF(OR(G391="",H391="",I391="",I391=0),"",H391/I391)</f>
        <v>0</v>
      </c>
      <c r="K391" s="8">
        <f>IF(B391="","",Household_Size)</f>
        <v>0</v>
      </c>
      <c r="L391" s="8">
        <f>IF(OR(G391="",H391=""),"",IFERROR(IFERROR(INDEX(Recipes!$H$5:$H$204,MATCH(G391,Recipes!$A$5:$A$204,0)),"")*H391,""))</f>
        <v>0</v>
      </c>
      <c r="M391" s="8">
        <f>IF(OR(G391="",H391=""),"",IFERROR(IFERROR(INDEX(Recipes!$I$5:$I$204,MATCH(G391,Recipes!$A$5:$A$204,0)),"")*H391,""))</f>
        <v>0</v>
      </c>
      <c r="N391" s="8">
        <f>IF(OR(G391="",H391=""),"",IFERROR(IFERROR(INDEX(Recipes!$J$5:$J$204,MATCH(G391,Recipes!$A$5:$A$204,0)),"")*H391,""))</f>
        <v>0</v>
      </c>
      <c r="O391" s="8">
        <f>IF(OR(G391="",H391=""),"",IFERROR(IFERROR(INDEX(Recipes!$K$5:$K$204,MATCH(G391,Recipes!$A$5:$A$204,0)),"")*H391,""))</f>
        <v>0</v>
      </c>
      <c r="P391" s="8">
        <f>IF(OR(G391="",H391=""),"",IFERROR(IFERROR(INDEX(Recipes!$L$5:$L$204,MATCH(G391,Recipes!$A$5:$A$204,0)),"")*H391,""))</f>
        <v>0</v>
      </c>
      <c r="Q391" s="8">
        <f>IF(OR(G391="",H391=""),"",IFERROR(IFERROR(INDEX(Recipes!$Q$5:$Q$204,MATCH(G391,Recipes!$A$5:$A$204,0)),"")*H391,""))</f>
        <v>0</v>
      </c>
      <c r="R391" s="8">
        <f>IF(F391="","",Weekly_Budget/21)</f>
        <v>0</v>
      </c>
      <c r="S391" s="27"/>
      <c r="T391" s="27"/>
      <c r="U391" s="26"/>
      <c r="V391" s="7"/>
      <c r="W391" s="7"/>
      <c r="X391" s="26"/>
      <c r="Y391" s="8">
        <f>IF(G391="","",IF(COUNTIFS('Meal Prep'!$D$5:$D$124,G391)&gt;0,"Yes","No"))</f>
        <v>0</v>
      </c>
      <c r="Z391" s="8">
        <f>IF(G391="","",COUNTIFS('Recipe Ingredients'!$A$5:$A$1204,G391))</f>
        <v>0</v>
      </c>
      <c r="AA391" s="25"/>
      <c r="AB391" s="8">
        <f>IF(OR(B391="",Q391=""),"",COUNTIFS($B$5:$B$504,B391,$Q$5:$Q$504,"&gt;"&amp;Q391)+1)</f>
        <v>0</v>
      </c>
      <c r="AC391" s="8">
        <f>IF(OR(B391="",L391=""),"",COUNTIFS($B$5:$B$504,B391,$L$5:$L$504,"&gt;"&amp;L391)+1)</f>
        <v>0</v>
      </c>
      <c r="AD391" s="8">
        <f>IF(G391="","",IF(COUNTIFS($G$5:$G$504,G391)&gt;1,"Repeat","Once"))</f>
        <v>0</v>
      </c>
      <c r="AE391" s="8">
        <f>IF(G391="","",IF(IFERROR(INDEX(Recipes!$X$5:$X$204,MATCH(G391,Recipes!$A$5:$A$204,0)),"")="","",IFERROR(B391-IFERROR(INDEX(Recipes!$X$5:$X$204,MATCH(G391,Recipes!$A$5:$A$204,0)),""),"")))</f>
        <v>0</v>
      </c>
      <c r="AF391" s="8">
        <f>IF(G391="","",IF(AE391="","Yes",IF(AE391&gt;=Rotation_Gap_Days,"Yes","No")))</f>
        <v>0</v>
      </c>
      <c r="AG391" s="8">
        <f>IF(G391="","",IF(COUNTIFS('Recipe Ingredients'!$A$5:$A$1204,G391,'Recipe Ingredients'!$AC$5:$AC$1204,"Check")&gt;0,"Check","OK"))</f>
        <v>0</v>
      </c>
    </row>
    <row r="392" spans="1:33">
      <c r="A392" s="7"/>
      <c r="B392" s="30"/>
      <c r="C392" s="8">
        <f>IF(B392="","",B392-WEEKDAY(B392,2)+1)</f>
        <v>0</v>
      </c>
      <c r="D392" s="8">
        <f>IF(B392="","",TEXT(B392,"ddd"))</f>
        <v>0</v>
      </c>
      <c r="E392" s="8">
        <f>IF(B392="","",TEXT(B392,"mmm yyyy"))</f>
        <v>0</v>
      </c>
      <c r="F392" s="27"/>
      <c r="G392" s="7"/>
      <c r="H392" s="26"/>
      <c r="I392" s="8">
        <f>IF(G392="","",IFERROR(INDEX(Recipes!$D$5:$D$204,MATCH(G392,Recipes!$A$5:$A$204,0)),""))</f>
        <v>0</v>
      </c>
      <c r="J392" s="8">
        <f>IF(OR(G392="",H392="",I392="",I392=0),"",H392/I392)</f>
        <v>0</v>
      </c>
      <c r="K392" s="8">
        <f>IF(B392="","",Household_Size)</f>
        <v>0</v>
      </c>
      <c r="L392" s="8">
        <f>IF(OR(G392="",H392=""),"",IFERROR(IFERROR(INDEX(Recipes!$H$5:$H$204,MATCH(G392,Recipes!$A$5:$A$204,0)),"")*H392,""))</f>
        <v>0</v>
      </c>
      <c r="M392" s="8">
        <f>IF(OR(G392="",H392=""),"",IFERROR(IFERROR(INDEX(Recipes!$I$5:$I$204,MATCH(G392,Recipes!$A$5:$A$204,0)),"")*H392,""))</f>
        <v>0</v>
      </c>
      <c r="N392" s="8">
        <f>IF(OR(G392="",H392=""),"",IFERROR(IFERROR(INDEX(Recipes!$J$5:$J$204,MATCH(G392,Recipes!$A$5:$A$204,0)),"")*H392,""))</f>
        <v>0</v>
      </c>
      <c r="O392" s="8">
        <f>IF(OR(G392="",H392=""),"",IFERROR(IFERROR(INDEX(Recipes!$K$5:$K$204,MATCH(G392,Recipes!$A$5:$A$204,0)),"")*H392,""))</f>
        <v>0</v>
      </c>
      <c r="P392" s="8">
        <f>IF(OR(G392="",H392=""),"",IFERROR(IFERROR(INDEX(Recipes!$L$5:$L$204,MATCH(G392,Recipes!$A$5:$A$204,0)),"")*H392,""))</f>
        <v>0</v>
      </c>
      <c r="Q392" s="8">
        <f>IF(OR(G392="",H392=""),"",IFERROR(IFERROR(INDEX(Recipes!$Q$5:$Q$204,MATCH(G392,Recipes!$A$5:$A$204,0)),"")*H392,""))</f>
        <v>0</v>
      </c>
      <c r="R392" s="8">
        <f>IF(F392="","",Weekly_Budget/21)</f>
        <v>0</v>
      </c>
      <c r="S392" s="27"/>
      <c r="T392" s="27"/>
      <c r="U392" s="26"/>
      <c r="V392" s="7"/>
      <c r="W392" s="7"/>
      <c r="X392" s="26"/>
      <c r="Y392" s="8">
        <f>IF(G392="","",IF(COUNTIFS('Meal Prep'!$D$5:$D$124,G392)&gt;0,"Yes","No"))</f>
        <v>0</v>
      </c>
      <c r="Z392" s="8">
        <f>IF(G392="","",COUNTIFS('Recipe Ingredients'!$A$5:$A$1204,G392))</f>
        <v>0</v>
      </c>
      <c r="AA392" s="25"/>
      <c r="AB392" s="8">
        <f>IF(OR(B392="",Q392=""),"",COUNTIFS($B$5:$B$504,B392,$Q$5:$Q$504,"&gt;"&amp;Q392)+1)</f>
        <v>0</v>
      </c>
      <c r="AC392" s="8">
        <f>IF(OR(B392="",L392=""),"",COUNTIFS($B$5:$B$504,B392,$L$5:$L$504,"&gt;"&amp;L392)+1)</f>
        <v>0</v>
      </c>
      <c r="AD392" s="8">
        <f>IF(G392="","",IF(COUNTIFS($G$5:$G$504,G392)&gt;1,"Repeat","Once"))</f>
        <v>0</v>
      </c>
      <c r="AE392" s="8">
        <f>IF(G392="","",IF(IFERROR(INDEX(Recipes!$X$5:$X$204,MATCH(G392,Recipes!$A$5:$A$204,0)),"")="","",IFERROR(B392-IFERROR(INDEX(Recipes!$X$5:$X$204,MATCH(G392,Recipes!$A$5:$A$204,0)),""),"")))</f>
        <v>0</v>
      </c>
      <c r="AF392" s="8">
        <f>IF(G392="","",IF(AE392="","Yes",IF(AE392&gt;=Rotation_Gap_Days,"Yes","No")))</f>
        <v>0</v>
      </c>
      <c r="AG392" s="8">
        <f>IF(G392="","",IF(COUNTIFS('Recipe Ingredients'!$A$5:$A$1204,G392,'Recipe Ingredients'!$AC$5:$AC$1204,"Check")&gt;0,"Check","OK"))</f>
        <v>0</v>
      </c>
    </row>
    <row r="393" spans="1:33">
      <c r="A393" s="7"/>
      <c r="B393" s="30"/>
      <c r="C393" s="8">
        <f>IF(B393="","",B393-WEEKDAY(B393,2)+1)</f>
        <v>0</v>
      </c>
      <c r="D393" s="8">
        <f>IF(B393="","",TEXT(B393,"ddd"))</f>
        <v>0</v>
      </c>
      <c r="E393" s="8">
        <f>IF(B393="","",TEXT(B393,"mmm yyyy"))</f>
        <v>0</v>
      </c>
      <c r="F393" s="27"/>
      <c r="G393" s="7"/>
      <c r="H393" s="26"/>
      <c r="I393" s="8">
        <f>IF(G393="","",IFERROR(INDEX(Recipes!$D$5:$D$204,MATCH(G393,Recipes!$A$5:$A$204,0)),""))</f>
        <v>0</v>
      </c>
      <c r="J393" s="8">
        <f>IF(OR(G393="",H393="",I393="",I393=0),"",H393/I393)</f>
        <v>0</v>
      </c>
      <c r="K393" s="8">
        <f>IF(B393="","",Household_Size)</f>
        <v>0</v>
      </c>
      <c r="L393" s="8">
        <f>IF(OR(G393="",H393=""),"",IFERROR(IFERROR(INDEX(Recipes!$H$5:$H$204,MATCH(G393,Recipes!$A$5:$A$204,0)),"")*H393,""))</f>
        <v>0</v>
      </c>
      <c r="M393" s="8">
        <f>IF(OR(G393="",H393=""),"",IFERROR(IFERROR(INDEX(Recipes!$I$5:$I$204,MATCH(G393,Recipes!$A$5:$A$204,0)),"")*H393,""))</f>
        <v>0</v>
      </c>
      <c r="N393" s="8">
        <f>IF(OR(G393="",H393=""),"",IFERROR(IFERROR(INDEX(Recipes!$J$5:$J$204,MATCH(G393,Recipes!$A$5:$A$204,0)),"")*H393,""))</f>
        <v>0</v>
      </c>
      <c r="O393" s="8">
        <f>IF(OR(G393="",H393=""),"",IFERROR(IFERROR(INDEX(Recipes!$K$5:$K$204,MATCH(G393,Recipes!$A$5:$A$204,0)),"")*H393,""))</f>
        <v>0</v>
      </c>
      <c r="P393" s="8">
        <f>IF(OR(G393="",H393=""),"",IFERROR(IFERROR(INDEX(Recipes!$L$5:$L$204,MATCH(G393,Recipes!$A$5:$A$204,0)),"")*H393,""))</f>
        <v>0</v>
      </c>
      <c r="Q393" s="8">
        <f>IF(OR(G393="",H393=""),"",IFERROR(IFERROR(INDEX(Recipes!$Q$5:$Q$204,MATCH(G393,Recipes!$A$5:$A$204,0)),"")*H393,""))</f>
        <v>0</v>
      </c>
      <c r="R393" s="8">
        <f>IF(F393="","",Weekly_Budget/21)</f>
        <v>0</v>
      </c>
      <c r="S393" s="27"/>
      <c r="T393" s="27"/>
      <c r="U393" s="26"/>
      <c r="V393" s="7"/>
      <c r="W393" s="7"/>
      <c r="X393" s="26"/>
      <c r="Y393" s="8">
        <f>IF(G393="","",IF(COUNTIFS('Meal Prep'!$D$5:$D$124,G393)&gt;0,"Yes","No"))</f>
        <v>0</v>
      </c>
      <c r="Z393" s="8">
        <f>IF(G393="","",COUNTIFS('Recipe Ingredients'!$A$5:$A$1204,G393))</f>
        <v>0</v>
      </c>
      <c r="AA393" s="25"/>
      <c r="AB393" s="8">
        <f>IF(OR(B393="",Q393=""),"",COUNTIFS($B$5:$B$504,B393,$Q$5:$Q$504,"&gt;"&amp;Q393)+1)</f>
        <v>0</v>
      </c>
      <c r="AC393" s="8">
        <f>IF(OR(B393="",L393=""),"",COUNTIFS($B$5:$B$504,B393,$L$5:$L$504,"&gt;"&amp;L393)+1)</f>
        <v>0</v>
      </c>
      <c r="AD393" s="8">
        <f>IF(G393="","",IF(COUNTIFS($G$5:$G$504,G393)&gt;1,"Repeat","Once"))</f>
        <v>0</v>
      </c>
      <c r="AE393" s="8">
        <f>IF(G393="","",IF(IFERROR(INDEX(Recipes!$X$5:$X$204,MATCH(G393,Recipes!$A$5:$A$204,0)),"")="","",IFERROR(B393-IFERROR(INDEX(Recipes!$X$5:$X$204,MATCH(G393,Recipes!$A$5:$A$204,0)),""),"")))</f>
        <v>0</v>
      </c>
      <c r="AF393" s="8">
        <f>IF(G393="","",IF(AE393="","Yes",IF(AE393&gt;=Rotation_Gap_Days,"Yes","No")))</f>
        <v>0</v>
      </c>
      <c r="AG393" s="8">
        <f>IF(G393="","",IF(COUNTIFS('Recipe Ingredients'!$A$5:$A$1204,G393,'Recipe Ingredients'!$AC$5:$AC$1204,"Check")&gt;0,"Check","OK"))</f>
        <v>0</v>
      </c>
    </row>
    <row r="394" spans="1:33">
      <c r="A394" s="7"/>
      <c r="B394" s="30"/>
      <c r="C394" s="8">
        <f>IF(B394="","",B394-WEEKDAY(B394,2)+1)</f>
        <v>0</v>
      </c>
      <c r="D394" s="8">
        <f>IF(B394="","",TEXT(B394,"ddd"))</f>
        <v>0</v>
      </c>
      <c r="E394" s="8">
        <f>IF(B394="","",TEXT(B394,"mmm yyyy"))</f>
        <v>0</v>
      </c>
      <c r="F394" s="27"/>
      <c r="G394" s="7"/>
      <c r="H394" s="26"/>
      <c r="I394" s="8">
        <f>IF(G394="","",IFERROR(INDEX(Recipes!$D$5:$D$204,MATCH(G394,Recipes!$A$5:$A$204,0)),""))</f>
        <v>0</v>
      </c>
      <c r="J394" s="8">
        <f>IF(OR(G394="",H394="",I394="",I394=0),"",H394/I394)</f>
        <v>0</v>
      </c>
      <c r="K394" s="8">
        <f>IF(B394="","",Household_Size)</f>
        <v>0</v>
      </c>
      <c r="L394" s="8">
        <f>IF(OR(G394="",H394=""),"",IFERROR(IFERROR(INDEX(Recipes!$H$5:$H$204,MATCH(G394,Recipes!$A$5:$A$204,0)),"")*H394,""))</f>
        <v>0</v>
      </c>
      <c r="M394" s="8">
        <f>IF(OR(G394="",H394=""),"",IFERROR(IFERROR(INDEX(Recipes!$I$5:$I$204,MATCH(G394,Recipes!$A$5:$A$204,0)),"")*H394,""))</f>
        <v>0</v>
      </c>
      <c r="N394" s="8">
        <f>IF(OR(G394="",H394=""),"",IFERROR(IFERROR(INDEX(Recipes!$J$5:$J$204,MATCH(G394,Recipes!$A$5:$A$204,0)),"")*H394,""))</f>
        <v>0</v>
      </c>
      <c r="O394" s="8">
        <f>IF(OR(G394="",H394=""),"",IFERROR(IFERROR(INDEX(Recipes!$K$5:$K$204,MATCH(G394,Recipes!$A$5:$A$204,0)),"")*H394,""))</f>
        <v>0</v>
      </c>
      <c r="P394" s="8">
        <f>IF(OR(G394="",H394=""),"",IFERROR(IFERROR(INDEX(Recipes!$L$5:$L$204,MATCH(G394,Recipes!$A$5:$A$204,0)),"")*H394,""))</f>
        <v>0</v>
      </c>
      <c r="Q394" s="8">
        <f>IF(OR(G394="",H394=""),"",IFERROR(IFERROR(INDEX(Recipes!$Q$5:$Q$204,MATCH(G394,Recipes!$A$5:$A$204,0)),"")*H394,""))</f>
        <v>0</v>
      </c>
      <c r="R394" s="8">
        <f>IF(F394="","",Weekly_Budget/21)</f>
        <v>0</v>
      </c>
      <c r="S394" s="27"/>
      <c r="T394" s="27"/>
      <c r="U394" s="26"/>
      <c r="V394" s="7"/>
      <c r="W394" s="7"/>
      <c r="X394" s="26"/>
      <c r="Y394" s="8">
        <f>IF(G394="","",IF(COUNTIFS('Meal Prep'!$D$5:$D$124,G394)&gt;0,"Yes","No"))</f>
        <v>0</v>
      </c>
      <c r="Z394" s="8">
        <f>IF(G394="","",COUNTIFS('Recipe Ingredients'!$A$5:$A$1204,G394))</f>
        <v>0</v>
      </c>
      <c r="AA394" s="25"/>
      <c r="AB394" s="8">
        <f>IF(OR(B394="",Q394=""),"",COUNTIFS($B$5:$B$504,B394,$Q$5:$Q$504,"&gt;"&amp;Q394)+1)</f>
        <v>0</v>
      </c>
      <c r="AC394" s="8">
        <f>IF(OR(B394="",L394=""),"",COUNTIFS($B$5:$B$504,B394,$L$5:$L$504,"&gt;"&amp;L394)+1)</f>
        <v>0</v>
      </c>
      <c r="AD394" s="8">
        <f>IF(G394="","",IF(COUNTIFS($G$5:$G$504,G394)&gt;1,"Repeat","Once"))</f>
        <v>0</v>
      </c>
      <c r="AE394" s="8">
        <f>IF(G394="","",IF(IFERROR(INDEX(Recipes!$X$5:$X$204,MATCH(G394,Recipes!$A$5:$A$204,0)),"")="","",IFERROR(B394-IFERROR(INDEX(Recipes!$X$5:$X$204,MATCH(G394,Recipes!$A$5:$A$204,0)),""),"")))</f>
        <v>0</v>
      </c>
      <c r="AF394" s="8">
        <f>IF(G394="","",IF(AE394="","Yes",IF(AE394&gt;=Rotation_Gap_Days,"Yes","No")))</f>
        <v>0</v>
      </c>
      <c r="AG394" s="8">
        <f>IF(G394="","",IF(COUNTIFS('Recipe Ingredients'!$A$5:$A$1204,G394,'Recipe Ingredients'!$AC$5:$AC$1204,"Check")&gt;0,"Check","OK"))</f>
        <v>0</v>
      </c>
    </row>
    <row r="395" spans="1:33">
      <c r="A395" s="7"/>
      <c r="B395" s="30"/>
      <c r="C395" s="8">
        <f>IF(B395="","",B395-WEEKDAY(B395,2)+1)</f>
        <v>0</v>
      </c>
      <c r="D395" s="8">
        <f>IF(B395="","",TEXT(B395,"ddd"))</f>
        <v>0</v>
      </c>
      <c r="E395" s="8">
        <f>IF(B395="","",TEXT(B395,"mmm yyyy"))</f>
        <v>0</v>
      </c>
      <c r="F395" s="27"/>
      <c r="G395" s="7"/>
      <c r="H395" s="26"/>
      <c r="I395" s="8">
        <f>IF(G395="","",IFERROR(INDEX(Recipes!$D$5:$D$204,MATCH(G395,Recipes!$A$5:$A$204,0)),""))</f>
        <v>0</v>
      </c>
      <c r="J395" s="8">
        <f>IF(OR(G395="",H395="",I395="",I395=0),"",H395/I395)</f>
        <v>0</v>
      </c>
      <c r="K395" s="8">
        <f>IF(B395="","",Household_Size)</f>
        <v>0</v>
      </c>
      <c r="L395" s="8">
        <f>IF(OR(G395="",H395=""),"",IFERROR(IFERROR(INDEX(Recipes!$H$5:$H$204,MATCH(G395,Recipes!$A$5:$A$204,0)),"")*H395,""))</f>
        <v>0</v>
      </c>
      <c r="M395" s="8">
        <f>IF(OR(G395="",H395=""),"",IFERROR(IFERROR(INDEX(Recipes!$I$5:$I$204,MATCH(G395,Recipes!$A$5:$A$204,0)),"")*H395,""))</f>
        <v>0</v>
      </c>
      <c r="N395" s="8">
        <f>IF(OR(G395="",H395=""),"",IFERROR(IFERROR(INDEX(Recipes!$J$5:$J$204,MATCH(G395,Recipes!$A$5:$A$204,0)),"")*H395,""))</f>
        <v>0</v>
      </c>
      <c r="O395" s="8">
        <f>IF(OR(G395="",H395=""),"",IFERROR(IFERROR(INDEX(Recipes!$K$5:$K$204,MATCH(G395,Recipes!$A$5:$A$204,0)),"")*H395,""))</f>
        <v>0</v>
      </c>
      <c r="P395" s="8">
        <f>IF(OR(G395="",H395=""),"",IFERROR(IFERROR(INDEX(Recipes!$L$5:$L$204,MATCH(G395,Recipes!$A$5:$A$204,0)),"")*H395,""))</f>
        <v>0</v>
      </c>
      <c r="Q395" s="8">
        <f>IF(OR(G395="",H395=""),"",IFERROR(IFERROR(INDEX(Recipes!$Q$5:$Q$204,MATCH(G395,Recipes!$A$5:$A$204,0)),"")*H395,""))</f>
        <v>0</v>
      </c>
      <c r="R395" s="8">
        <f>IF(F395="","",Weekly_Budget/21)</f>
        <v>0</v>
      </c>
      <c r="S395" s="27"/>
      <c r="T395" s="27"/>
      <c r="U395" s="26"/>
      <c r="V395" s="7"/>
      <c r="W395" s="7"/>
      <c r="X395" s="26"/>
      <c r="Y395" s="8">
        <f>IF(G395="","",IF(COUNTIFS('Meal Prep'!$D$5:$D$124,G395)&gt;0,"Yes","No"))</f>
        <v>0</v>
      </c>
      <c r="Z395" s="8">
        <f>IF(G395="","",COUNTIFS('Recipe Ingredients'!$A$5:$A$1204,G395))</f>
        <v>0</v>
      </c>
      <c r="AA395" s="25"/>
      <c r="AB395" s="8">
        <f>IF(OR(B395="",Q395=""),"",COUNTIFS($B$5:$B$504,B395,$Q$5:$Q$504,"&gt;"&amp;Q395)+1)</f>
        <v>0</v>
      </c>
      <c r="AC395" s="8">
        <f>IF(OR(B395="",L395=""),"",COUNTIFS($B$5:$B$504,B395,$L$5:$L$504,"&gt;"&amp;L395)+1)</f>
        <v>0</v>
      </c>
      <c r="AD395" s="8">
        <f>IF(G395="","",IF(COUNTIFS($G$5:$G$504,G395)&gt;1,"Repeat","Once"))</f>
        <v>0</v>
      </c>
      <c r="AE395" s="8">
        <f>IF(G395="","",IF(IFERROR(INDEX(Recipes!$X$5:$X$204,MATCH(G395,Recipes!$A$5:$A$204,0)),"")="","",IFERROR(B395-IFERROR(INDEX(Recipes!$X$5:$X$204,MATCH(G395,Recipes!$A$5:$A$204,0)),""),"")))</f>
        <v>0</v>
      </c>
      <c r="AF395" s="8">
        <f>IF(G395="","",IF(AE395="","Yes",IF(AE395&gt;=Rotation_Gap_Days,"Yes","No")))</f>
        <v>0</v>
      </c>
      <c r="AG395" s="8">
        <f>IF(G395="","",IF(COUNTIFS('Recipe Ingredients'!$A$5:$A$1204,G395,'Recipe Ingredients'!$AC$5:$AC$1204,"Check")&gt;0,"Check","OK"))</f>
        <v>0</v>
      </c>
    </row>
    <row r="396" spans="1:33">
      <c r="A396" s="7"/>
      <c r="B396" s="30"/>
      <c r="C396" s="8">
        <f>IF(B396="","",B396-WEEKDAY(B396,2)+1)</f>
        <v>0</v>
      </c>
      <c r="D396" s="8">
        <f>IF(B396="","",TEXT(B396,"ddd"))</f>
        <v>0</v>
      </c>
      <c r="E396" s="8">
        <f>IF(B396="","",TEXT(B396,"mmm yyyy"))</f>
        <v>0</v>
      </c>
      <c r="F396" s="27"/>
      <c r="G396" s="7"/>
      <c r="H396" s="26"/>
      <c r="I396" s="8">
        <f>IF(G396="","",IFERROR(INDEX(Recipes!$D$5:$D$204,MATCH(G396,Recipes!$A$5:$A$204,0)),""))</f>
        <v>0</v>
      </c>
      <c r="J396" s="8">
        <f>IF(OR(G396="",H396="",I396="",I396=0),"",H396/I396)</f>
        <v>0</v>
      </c>
      <c r="K396" s="8">
        <f>IF(B396="","",Household_Size)</f>
        <v>0</v>
      </c>
      <c r="L396" s="8">
        <f>IF(OR(G396="",H396=""),"",IFERROR(IFERROR(INDEX(Recipes!$H$5:$H$204,MATCH(G396,Recipes!$A$5:$A$204,0)),"")*H396,""))</f>
        <v>0</v>
      </c>
      <c r="M396" s="8">
        <f>IF(OR(G396="",H396=""),"",IFERROR(IFERROR(INDEX(Recipes!$I$5:$I$204,MATCH(G396,Recipes!$A$5:$A$204,0)),"")*H396,""))</f>
        <v>0</v>
      </c>
      <c r="N396" s="8">
        <f>IF(OR(G396="",H396=""),"",IFERROR(IFERROR(INDEX(Recipes!$J$5:$J$204,MATCH(G396,Recipes!$A$5:$A$204,0)),"")*H396,""))</f>
        <v>0</v>
      </c>
      <c r="O396" s="8">
        <f>IF(OR(G396="",H396=""),"",IFERROR(IFERROR(INDEX(Recipes!$K$5:$K$204,MATCH(G396,Recipes!$A$5:$A$204,0)),"")*H396,""))</f>
        <v>0</v>
      </c>
      <c r="P396" s="8">
        <f>IF(OR(G396="",H396=""),"",IFERROR(IFERROR(INDEX(Recipes!$L$5:$L$204,MATCH(G396,Recipes!$A$5:$A$204,0)),"")*H396,""))</f>
        <v>0</v>
      </c>
      <c r="Q396" s="8">
        <f>IF(OR(G396="",H396=""),"",IFERROR(IFERROR(INDEX(Recipes!$Q$5:$Q$204,MATCH(G396,Recipes!$A$5:$A$204,0)),"")*H396,""))</f>
        <v>0</v>
      </c>
      <c r="R396" s="8">
        <f>IF(F396="","",Weekly_Budget/21)</f>
        <v>0</v>
      </c>
      <c r="S396" s="27"/>
      <c r="T396" s="27"/>
      <c r="U396" s="26"/>
      <c r="V396" s="7"/>
      <c r="W396" s="7"/>
      <c r="X396" s="26"/>
      <c r="Y396" s="8">
        <f>IF(G396="","",IF(COUNTIFS('Meal Prep'!$D$5:$D$124,G396)&gt;0,"Yes","No"))</f>
        <v>0</v>
      </c>
      <c r="Z396" s="8">
        <f>IF(G396="","",COUNTIFS('Recipe Ingredients'!$A$5:$A$1204,G396))</f>
        <v>0</v>
      </c>
      <c r="AA396" s="25"/>
      <c r="AB396" s="8">
        <f>IF(OR(B396="",Q396=""),"",COUNTIFS($B$5:$B$504,B396,$Q$5:$Q$504,"&gt;"&amp;Q396)+1)</f>
        <v>0</v>
      </c>
      <c r="AC396" s="8">
        <f>IF(OR(B396="",L396=""),"",COUNTIFS($B$5:$B$504,B396,$L$5:$L$504,"&gt;"&amp;L396)+1)</f>
        <v>0</v>
      </c>
      <c r="AD396" s="8">
        <f>IF(G396="","",IF(COUNTIFS($G$5:$G$504,G396)&gt;1,"Repeat","Once"))</f>
        <v>0</v>
      </c>
      <c r="AE396" s="8">
        <f>IF(G396="","",IF(IFERROR(INDEX(Recipes!$X$5:$X$204,MATCH(G396,Recipes!$A$5:$A$204,0)),"")="","",IFERROR(B396-IFERROR(INDEX(Recipes!$X$5:$X$204,MATCH(G396,Recipes!$A$5:$A$204,0)),""),"")))</f>
        <v>0</v>
      </c>
      <c r="AF396" s="8">
        <f>IF(G396="","",IF(AE396="","Yes",IF(AE396&gt;=Rotation_Gap_Days,"Yes","No")))</f>
        <v>0</v>
      </c>
      <c r="AG396" s="8">
        <f>IF(G396="","",IF(COUNTIFS('Recipe Ingredients'!$A$5:$A$1204,G396,'Recipe Ingredients'!$AC$5:$AC$1204,"Check")&gt;0,"Check","OK"))</f>
        <v>0</v>
      </c>
    </row>
    <row r="397" spans="1:33">
      <c r="A397" s="7"/>
      <c r="B397" s="30"/>
      <c r="C397" s="8">
        <f>IF(B397="","",B397-WEEKDAY(B397,2)+1)</f>
        <v>0</v>
      </c>
      <c r="D397" s="8">
        <f>IF(B397="","",TEXT(B397,"ddd"))</f>
        <v>0</v>
      </c>
      <c r="E397" s="8">
        <f>IF(B397="","",TEXT(B397,"mmm yyyy"))</f>
        <v>0</v>
      </c>
      <c r="F397" s="27"/>
      <c r="G397" s="7"/>
      <c r="H397" s="26"/>
      <c r="I397" s="8">
        <f>IF(G397="","",IFERROR(INDEX(Recipes!$D$5:$D$204,MATCH(G397,Recipes!$A$5:$A$204,0)),""))</f>
        <v>0</v>
      </c>
      <c r="J397" s="8">
        <f>IF(OR(G397="",H397="",I397="",I397=0),"",H397/I397)</f>
        <v>0</v>
      </c>
      <c r="K397" s="8">
        <f>IF(B397="","",Household_Size)</f>
        <v>0</v>
      </c>
      <c r="L397" s="8">
        <f>IF(OR(G397="",H397=""),"",IFERROR(IFERROR(INDEX(Recipes!$H$5:$H$204,MATCH(G397,Recipes!$A$5:$A$204,0)),"")*H397,""))</f>
        <v>0</v>
      </c>
      <c r="M397" s="8">
        <f>IF(OR(G397="",H397=""),"",IFERROR(IFERROR(INDEX(Recipes!$I$5:$I$204,MATCH(G397,Recipes!$A$5:$A$204,0)),"")*H397,""))</f>
        <v>0</v>
      </c>
      <c r="N397" s="8">
        <f>IF(OR(G397="",H397=""),"",IFERROR(IFERROR(INDEX(Recipes!$J$5:$J$204,MATCH(G397,Recipes!$A$5:$A$204,0)),"")*H397,""))</f>
        <v>0</v>
      </c>
      <c r="O397" s="8">
        <f>IF(OR(G397="",H397=""),"",IFERROR(IFERROR(INDEX(Recipes!$K$5:$K$204,MATCH(G397,Recipes!$A$5:$A$204,0)),"")*H397,""))</f>
        <v>0</v>
      </c>
      <c r="P397" s="8">
        <f>IF(OR(G397="",H397=""),"",IFERROR(IFERROR(INDEX(Recipes!$L$5:$L$204,MATCH(G397,Recipes!$A$5:$A$204,0)),"")*H397,""))</f>
        <v>0</v>
      </c>
      <c r="Q397" s="8">
        <f>IF(OR(G397="",H397=""),"",IFERROR(IFERROR(INDEX(Recipes!$Q$5:$Q$204,MATCH(G397,Recipes!$A$5:$A$204,0)),"")*H397,""))</f>
        <v>0</v>
      </c>
      <c r="R397" s="8">
        <f>IF(F397="","",Weekly_Budget/21)</f>
        <v>0</v>
      </c>
      <c r="S397" s="27"/>
      <c r="T397" s="27"/>
      <c r="U397" s="26"/>
      <c r="V397" s="7"/>
      <c r="W397" s="7"/>
      <c r="X397" s="26"/>
      <c r="Y397" s="8">
        <f>IF(G397="","",IF(COUNTIFS('Meal Prep'!$D$5:$D$124,G397)&gt;0,"Yes","No"))</f>
        <v>0</v>
      </c>
      <c r="Z397" s="8">
        <f>IF(G397="","",COUNTIFS('Recipe Ingredients'!$A$5:$A$1204,G397))</f>
        <v>0</v>
      </c>
      <c r="AA397" s="25"/>
      <c r="AB397" s="8">
        <f>IF(OR(B397="",Q397=""),"",COUNTIFS($B$5:$B$504,B397,$Q$5:$Q$504,"&gt;"&amp;Q397)+1)</f>
        <v>0</v>
      </c>
      <c r="AC397" s="8">
        <f>IF(OR(B397="",L397=""),"",COUNTIFS($B$5:$B$504,B397,$L$5:$L$504,"&gt;"&amp;L397)+1)</f>
        <v>0</v>
      </c>
      <c r="AD397" s="8">
        <f>IF(G397="","",IF(COUNTIFS($G$5:$G$504,G397)&gt;1,"Repeat","Once"))</f>
        <v>0</v>
      </c>
      <c r="AE397" s="8">
        <f>IF(G397="","",IF(IFERROR(INDEX(Recipes!$X$5:$X$204,MATCH(G397,Recipes!$A$5:$A$204,0)),"")="","",IFERROR(B397-IFERROR(INDEX(Recipes!$X$5:$X$204,MATCH(G397,Recipes!$A$5:$A$204,0)),""),"")))</f>
        <v>0</v>
      </c>
      <c r="AF397" s="8">
        <f>IF(G397="","",IF(AE397="","Yes",IF(AE397&gt;=Rotation_Gap_Days,"Yes","No")))</f>
        <v>0</v>
      </c>
      <c r="AG397" s="8">
        <f>IF(G397="","",IF(COUNTIFS('Recipe Ingredients'!$A$5:$A$1204,G397,'Recipe Ingredients'!$AC$5:$AC$1204,"Check")&gt;0,"Check","OK"))</f>
        <v>0</v>
      </c>
    </row>
    <row r="398" spans="1:33">
      <c r="A398" s="7"/>
      <c r="B398" s="30"/>
      <c r="C398" s="8">
        <f>IF(B398="","",B398-WEEKDAY(B398,2)+1)</f>
        <v>0</v>
      </c>
      <c r="D398" s="8">
        <f>IF(B398="","",TEXT(B398,"ddd"))</f>
        <v>0</v>
      </c>
      <c r="E398" s="8">
        <f>IF(B398="","",TEXT(B398,"mmm yyyy"))</f>
        <v>0</v>
      </c>
      <c r="F398" s="27"/>
      <c r="G398" s="7"/>
      <c r="H398" s="26"/>
      <c r="I398" s="8">
        <f>IF(G398="","",IFERROR(INDEX(Recipes!$D$5:$D$204,MATCH(G398,Recipes!$A$5:$A$204,0)),""))</f>
        <v>0</v>
      </c>
      <c r="J398" s="8">
        <f>IF(OR(G398="",H398="",I398="",I398=0),"",H398/I398)</f>
        <v>0</v>
      </c>
      <c r="K398" s="8">
        <f>IF(B398="","",Household_Size)</f>
        <v>0</v>
      </c>
      <c r="L398" s="8">
        <f>IF(OR(G398="",H398=""),"",IFERROR(IFERROR(INDEX(Recipes!$H$5:$H$204,MATCH(G398,Recipes!$A$5:$A$204,0)),"")*H398,""))</f>
        <v>0</v>
      </c>
      <c r="M398" s="8">
        <f>IF(OR(G398="",H398=""),"",IFERROR(IFERROR(INDEX(Recipes!$I$5:$I$204,MATCH(G398,Recipes!$A$5:$A$204,0)),"")*H398,""))</f>
        <v>0</v>
      </c>
      <c r="N398" s="8">
        <f>IF(OR(G398="",H398=""),"",IFERROR(IFERROR(INDEX(Recipes!$J$5:$J$204,MATCH(G398,Recipes!$A$5:$A$204,0)),"")*H398,""))</f>
        <v>0</v>
      </c>
      <c r="O398" s="8">
        <f>IF(OR(G398="",H398=""),"",IFERROR(IFERROR(INDEX(Recipes!$K$5:$K$204,MATCH(G398,Recipes!$A$5:$A$204,0)),"")*H398,""))</f>
        <v>0</v>
      </c>
      <c r="P398" s="8">
        <f>IF(OR(G398="",H398=""),"",IFERROR(IFERROR(INDEX(Recipes!$L$5:$L$204,MATCH(G398,Recipes!$A$5:$A$204,0)),"")*H398,""))</f>
        <v>0</v>
      </c>
      <c r="Q398" s="8">
        <f>IF(OR(G398="",H398=""),"",IFERROR(IFERROR(INDEX(Recipes!$Q$5:$Q$204,MATCH(G398,Recipes!$A$5:$A$204,0)),"")*H398,""))</f>
        <v>0</v>
      </c>
      <c r="R398" s="8">
        <f>IF(F398="","",Weekly_Budget/21)</f>
        <v>0</v>
      </c>
      <c r="S398" s="27"/>
      <c r="T398" s="27"/>
      <c r="U398" s="26"/>
      <c r="V398" s="7"/>
      <c r="W398" s="7"/>
      <c r="X398" s="26"/>
      <c r="Y398" s="8">
        <f>IF(G398="","",IF(COUNTIFS('Meal Prep'!$D$5:$D$124,G398)&gt;0,"Yes","No"))</f>
        <v>0</v>
      </c>
      <c r="Z398" s="8">
        <f>IF(G398="","",COUNTIFS('Recipe Ingredients'!$A$5:$A$1204,G398))</f>
        <v>0</v>
      </c>
      <c r="AA398" s="25"/>
      <c r="AB398" s="8">
        <f>IF(OR(B398="",Q398=""),"",COUNTIFS($B$5:$B$504,B398,$Q$5:$Q$504,"&gt;"&amp;Q398)+1)</f>
        <v>0</v>
      </c>
      <c r="AC398" s="8">
        <f>IF(OR(B398="",L398=""),"",COUNTIFS($B$5:$B$504,B398,$L$5:$L$504,"&gt;"&amp;L398)+1)</f>
        <v>0</v>
      </c>
      <c r="AD398" s="8">
        <f>IF(G398="","",IF(COUNTIFS($G$5:$G$504,G398)&gt;1,"Repeat","Once"))</f>
        <v>0</v>
      </c>
      <c r="AE398" s="8">
        <f>IF(G398="","",IF(IFERROR(INDEX(Recipes!$X$5:$X$204,MATCH(G398,Recipes!$A$5:$A$204,0)),"")="","",IFERROR(B398-IFERROR(INDEX(Recipes!$X$5:$X$204,MATCH(G398,Recipes!$A$5:$A$204,0)),""),"")))</f>
        <v>0</v>
      </c>
      <c r="AF398" s="8">
        <f>IF(G398="","",IF(AE398="","Yes",IF(AE398&gt;=Rotation_Gap_Days,"Yes","No")))</f>
        <v>0</v>
      </c>
      <c r="AG398" s="8">
        <f>IF(G398="","",IF(COUNTIFS('Recipe Ingredients'!$A$5:$A$1204,G398,'Recipe Ingredients'!$AC$5:$AC$1204,"Check")&gt;0,"Check","OK"))</f>
        <v>0</v>
      </c>
    </row>
    <row r="399" spans="1:33">
      <c r="A399" s="7"/>
      <c r="B399" s="30"/>
      <c r="C399" s="8">
        <f>IF(B399="","",B399-WEEKDAY(B399,2)+1)</f>
        <v>0</v>
      </c>
      <c r="D399" s="8">
        <f>IF(B399="","",TEXT(B399,"ddd"))</f>
        <v>0</v>
      </c>
      <c r="E399" s="8">
        <f>IF(B399="","",TEXT(B399,"mmm yyyy"))</f>
        <v>0</v>
      </c>
      <c r="F399" s="27"/>
      <c r="G399" s="7"/>
      <c r="H399" s="26"/>
      <c r="I399" s="8">
        <f>IF(G399="","",IFERROR(INDEX(Recipes!$D$5:$D$204,MATCH(G399,Recipes!$A$5:$A$204,0)),""))</f>
        <v>0</v>
      </c>
      <c r="J399" s="8">
        <f>IF(OR(G399="",H399="",I399="",I399=0),"",H399/I399)</f>
        <v>0</v>
      </c>
      <c r="K399" s="8">
        <f>IF(B399="","",Household_Size)</f>
        <v>0</v>
      </c>
      <c r="L399" s="8">
        <f>IF(OR(G399="",H399=""),"",IFERROR(IFERROR(INDEX(Recipes!$H$5:$H$204,MATCH(G399,Recipes!$A$5:$A$204,0)),"")*H399,""))</f>
        <v>0</v>
      </c>
      <c r="M399" s="8">
        <f>IF(OR(G399="",H399=""),"",IFERROR(IFERROR(INDEX(Recipes!$I$5:$I$204,MATCH(G399,Recipes!$A$5:$A$204,0)),"")*H399,""))</f>
        <v>0</v>
      </c>
      <c r="N399" s="8">
        <f>IF(OR(G399="",H399=""),"",IFERROR(IFERROR(INDEX(Recipes!$J$5:$J$204,MATCH(G399,Recipes!$A$5:$A$204,0)),"")*H399,""))</f>
        <v>0</v>
      </c>
      <c r="O399" s="8">
        <f>IF(OR(G399="",H399=""),"",IFERROR(IFERROR(INDEX(Recipes!$K$5:$K$204,MATCH(G399,Recipes!$A$5:$A$204,0)),"")*H399,""))</f>
        <v>0</v>
      </c>
      <c r="P399" s="8">
        <f>IF(OR(G399="",H399=""),"",IFERROR(IFERROR(INDEX(Recipes!$L$5:$L$204,MATCH(G399,Recipes!$A$5:$A$204,0)),"")*H399,""))</f>
        <v>0</v>
      </c>
      <c r="Q399" s="8">
        <f>IF(OR(G399="",H399=""),"",IFERROR(IFERROR(INDEX(Recipes!$Q$5:$Q$204,MATCH(G399,Recipes!$A$5:$A$204,0)),"")*H399,""))</f>
        <v>0</v>
      </c>
      <c r="R399" s="8">
        <f>IF(F399="","",Weekly_Budget/21)</f>
        <v>0</v>
      </c>
      <c r="S399" s="27"/>
      <c r="T399" s="27"/>
      <c r="U399" s="26"/>
      <c r="V399" s="7"/>
      <c r="W399" s="7"/>
      <c r="X399" s="26"/>
      <c r="Y399" s="8">
        <f>IF(G399="","",IF(COUNTIFS('Meal Prep'!$D$5:$D$124,G399)&gt;0,"Yes","No"))</f>
        <v>0</v>
      </c>
      <c r="Z399" s="8">
        <f>IF(G399="","",COUNTIFS('Recipe Ingredients'!$A$5:$A$1204,G399))</f>
        <v>0</v>
      </c>
      <c r="AA399" s="25"/>
      <c r="AB399" s="8">
        <f>IF(OR(B399="",Q399=""),"",COUNTIFS($B$5:$B$504,B399,$Q$5:$Q$504,"&gt;"&amp;Q399)+1)</f>
        <v>0</v>
      </c>
      <c r="AC399" s="8">
        <f>IF(OR(B399="",L399=""),"",COUNTIFS($B$5:$B$504,B399,$L$5:$L$504,"&gt;"&amp;L399)+1)</f>
        <v>0</v>
      </c>
      <c r="AD399" s="8">
        <f>IF(G399="","",IF(COUNTIFS($G$5:$G$504,G399)&gt;1,"Repeat","Once"))</f>
        <v>0</v>
      </c>
      <c r="AE399" s="8">
        <f>IF(G399="","",IF(IFERROR(INDEX(Recipes!$X$5:$X$204,MATCH(G399,Recipes!$A$5:$A$204,0)),"")="","",IFERROR(B399-IFERROR(INDEX(Recipes!$X$5:$X$204,MATCH(G399,Recipes!$A$5:$A$204,0)),""),"")))</f>
        <v>0</v>
      </c>
      <c r="AF399" s="8">
        <f>IF(G399="","",IF(AE399="","Yes",IF(AE399&gt;=Rotation_Gap_Days,"Yes","No")))</f>
        <v>0</v>
      </c>
      <c r="AG399" s="8">
        <f>IF(G399="","",IF(COUNTIFS('Recipe Ingredients'!$A$5:$A$1204,G399,'Recipe Ingredients'!$AC$5:$AC$1204,"Check")&gt;0,"Check","OK"))</f>
        <v>0</v>
      </c>
    </row>
    <row r="400" spans="1:33">
      <c r="A400" s="7"/>
      <c r="B400" s="30"/>
      <c r="C400" s="8">
        <f>IF(B400="","",B400-WEEKDAY(B400,2)+1)</f>
        <v>0</v>
      </c>
      <c r="D400" s="8">
        <f>IF(B400="","",TEXT(B400,"ddd"))</f>
        <v>0</v>
      </c>
      <c r="E400" s="8">
        <f>IF(B400="","",TEXT(B400,"mmm yyyy"))</f>
        <v>0</v>
      </c>
      <c r="F400" s="27"/>
      <c r="G400" s="7"/>
      <c r="H400" s="26"/>
      <c r="I400" s="8">
        <f>IF(G400="","",IFERROR(INDEX(Recipes!$D$5:$D$204,MATCH(G400,Recipes!$A$5:$A$204,0)),""))</f>
        <v>0</v>
      </c>
      <c r="J400" s="8">
        <f>IF(OR(G400="",H400="",I400="",I400=0),"",H400/I400)</f>
        <v>0</v>
      </c>
      <c r="K400" s="8">
        <f>IF(B400="","",Household_Size)</f>
        <v>0</v>
      </c>
      <c r="L400" s="8">
        <f>IF(OR(G400="",H400=""),"",IFERROR(IFERROR(INDEX(Recipes!$H$5:$H$204,MATCH(G400,Recipes!$A$5:$A$204,0)),"")*H400,""))</f>
        <v>0</v>
      </c>
      <c r="M400" s="8">
        <f>IF(OR(G400="",H400=""),"",IFERROR(IFERROR(INDEX(Recipes!$I$5:$I$204,MATCH(G400,Recipes!$A$5:$A$204,0)),"")*H400,""))</f>
        <v>0</v>
      </c>
      <c r="N400" s="8">
        <f>IF(OR(G400="",H400=""),"",IFERROR(IFERROR(INDEX(Recipes!$J$5:$J$204,MATCH(G400,Recipes!$A$5:$A$204,0)),"")*H400,""))</f>
        <v>0</v>
      </c>
      <c r="O400" s="8">
        <f>IF(OR(G400="",H400=""),"",IFERROR(IFERROR(INDEX(Recipes!$K$5:$K$204,MATCH(G400,Recipes!$A$5:$A$204,0)),"")*H400,""))</f>
        <v>0</v>
      </c>
      <c r="P400" s="8">
        <f>IF(OR(G400="",H400=""),"",IFERROR(IFERROR(INDEX(Recipes!$L$5:$L$204,MATCH(G400,Recipes!$A$5:$A$204,0)),"")*H400,""))</f>
        <v>0</v>
      </c>
      <c r="Q400" s="8">
        <f>IF(OR(G400="",H400=""),"",IFERROR(IFERROR(INDEX(Recipes!$Q$5:$Q$204,MATCH(G400,Recipes!$A$5:$A$204,0)),"")*H400,""))</f>
        <v>0</v>
      </c>
      <c r="R400" s="8">
        <f>IF(F400="","",Weekly_Budget/21)</f>
        <v>0</v>
      </c>
      <c r="S400" s="27"/>
      <c r="T400" s="27"/>
      <c r="U400" s="26"/>
      <c r="V400" s="7"/>
      <c r="W400" s="7"/>
      <c r="X400" s="26"/>
      <c r="Y400" s="8">
        <f>IF(G400="","",IF(COUNTIFS('Meal Prep'!$D$5:$D$124,G400)&gt;0,"Yes","No"))</f>
        <v>0</v>
      </c>
      <c r="Z400" s="8">
        <f>IF(G400="","",COUNTIFS('Recipe Ingredients'!$A$5:$A$1204,G400))</f>
        <v>0</v>
      </c>
      <c r="AA400" s="25"/>
      <c r="AB400" s="8">
        <f>IF(OR(B400="",Q400=""),"",COUNTIFS($B$5:$B$504,B400,$Q$5:$Q$504,"&gt;"&amp;Q400)+1)</f>
        <v>0</v>
      </c>
      <c r="AC400" s="8">
        <f>IF(OR(B400="",L400=""),"",COUNTIFS($B$5:$B$504,B400,$L$5:$L$504,"&gt;"&amp;L400)+1)</f>
        <v>0</v>
      </c>
      <c r="AD400" s="8">
        <f>IF(G400="","",IF(COUNTIFS($G$5:$G$504,G400)&gt;1,"Repeat","Once"))</f>
        <v>0</v>
      </c>
      <c r="AE400" s="8">
        <f>IF(G400="","",IF(IFERROR(INDEX(Recipes!$X$5:$X$204,MATCH(G400,Recipes!$A$5:$A$204,0)),"")="","",IFERROR(B400-IFERROR(INDEX(Recipes!$X$5:$X$204,MATCH(G400,Recipes!$A$5:$A$204,0)),""),"")))</f>
        <v>0</v>
      </c>
      <c r="AF400" s="8">
        <f>IF(G400="","",IF(AE400="","Yes",IF(AE400&gt;=Rotation_Gap_Days,"Yes","No")))</f>
        <v>0</v>
      </c>
      <c r="AG400" s="8">
        <f>IF(G400="","",IF(COUNTIFS('Recipe Ingredients'!$A$5:$A$1204,G400,'Recipe Ingredients'!$AC$5:$AC$1204,"Check")&gt;0,"Check","OK"))</f>
        <v>0</v>
      </c>
    </row>
    <row r="401" spans="1:33">
      <c r="A401" s="7"/>
      <c r="B401" s="30"/>
      <c r="C401" s="8">
        <f>IF(B401="","",B401-WEEKDAY(B401,2)+1)</f>
        <v>0</v>
      </c>
      <c r="D401" s="8">
        <f>IF(B401="","",TEXT(B401,"ddd"))</f>
        <v>0</v>
      </c>
      <c r="E401" s="8">
        <f>IF(B401="","",TEXT(B401,"mmm yyyy"))</f>
        <v>0</v>
      </c>
      <c r="F401" s="27"/>
      <c r="G401" s="7"/>
      <c r="H401" s="26"/>
      <c r="I401" s="8">
        <f>IF(G401="","",IFERROR(INDEX(Recipes!$D$5:$D$204,MATCH(G401,Recipes!$A$5:$A$204,0)),""))</f>
        <v>0</v>
      </c>
      <c r="J401" s="8">
        <f>IF(OR(G401="",H401="",I401="",I401=0),"",H401/I401)</f>
        <v>0</v>
      </c>
      <c r="K401" s="8">
        <f>IF(B401="","",Household_Size)</f>
        <v>0</v>
      </c>
      <c r="L401" s="8">
        <f>IF(OR(G401="",H401=""),"",IFERROR(IFERROR(INDEX(Recipes!$H$5:$H$204,MATCH(G401,Recipes!$A$5:$A$204,0)),"")*H401,""))</f>
        <v>0</v>
      </c>
      <c r="M401" s="8">
        <f>IF(OR(G401="",H401=""),"",IFERROR(IFERROR(INDEX(Recipes!$I$5:$I$204,MATCH(G401,Recipes!$A$5:$A$204,0)),"")*H401,""))</f>
        <v>0</v>
      </c>
      <c r="N401" s="8">
        <f>IF(OR(G401="",H401=""),"",IFERROR(IFERROR(INDEX(Recipes!$J$5:$J$204,MATCH(G401,Recipes!$A$5:$A$204,0)),"")*H401,""))</f>
        <v>0</v>
      </c>
      <c r="O401" s="8">
        <f>IF(OR(G401="",H401=""),"",IFERROR(IFERROR(INDEX(Recipes!$K$5:$K$204,MATCH(G401,Recipes!$A$5:$A$204,0)),"")*H401,""))</f>
        <v>0</v>
      </c>
      <c r="P401" s="8">
        <f>IF(OR(G401="",H401=""),"",IFERROR(IFERROR(INDEX(Recipes!$L$5:$L$204,MATCH(G401,Recipes!$A$5:$A$204,0)),"")*H401,""))</f>
        <v>0</v>
      </c>
      <c r="Q401" s="8">
        <f>IF(OR(G401="",H401=""),"",IFERROR(IFERROR(INDEX(Recipes!$Q$5:$Q$204,MATCH(G401,Recipes!$A$5:$A$204,0)),"")*H401,""))</f>
        <v>0</v>
      </c>
      <c r="R401" s="8">
        <f>IF(F401="","",Weekly_Budget/21)</f>
        <v>0</v>
      </c>
      <c r="S401" s="27"/>
      <c r="T401" s="27"/>
      <c r="U401" s="26"/>
      <c r="V401" s="7"/>
      <c r="W401" s="7"/>
      <c r="X401" s="26"/>
      <c r="Y401" s="8">
        <f>IF(G401="","",IF(COUNTIFS('Meal Prep'!$D$5:$D$124,G401)&gt;0,"Yes","No"))</f>
        <v>0</v>
      </c>
      <c r="Z401" s="8">
        <f>IF(G401="","",COUNTIFS('Recipe Ingredients'!$A$5:$A$1204,G401))</f>
        <v>0</v>
      </c>
      <c r="AA401" s="25"/>
      <c r="AB401" s="8">
        <f>IF(OR(B401="",Q401=""),"",COUNTIFS($B$5:$B$504,B401,$Q$5:$Q$504,"&gt;"&amp;Q401)+1)</f>
        <v>0</v>
      </c>
      <c r="AC401" s="8">
        <f>IF(OR(B401="",L401=""),"",COUNTIFS($B$5:$B$504,B401,$L$5:$L$504,"&gt;"&amp;L401)+1)</f>
        <v>0</v>
      </c>
      <c r="AD401" s="8">
        <f>IF(G401="","",IF(COUNTIFS($G$5:$G$504,G401)&gt;1,"Repeat","Once"))</f>
        <v>0</v>
      </c>
      <c r="AE401" s="8">
        <f>IF(G401="","",IF(IFERROR(INDEX(Recipes!$X$5:$X$204,MATCH(G401,Recipes!$A$5:$A$204,0)),"")="","",IFERROR(B401-IFERROR(INDEX(Recipes!$X$5:$X$204,MATCH(G401,Recipes!$A$5:$A$204,0)),""),"")))</f>
        <v>0</v>
      </c>
      <c r="AF401" s="8">
        <f>IF(G401="","",IF(AE401="","Yes",IF(AE401&gt;=Rotation_Gap_Days,"Yes","No")))</f>
        <v>0</v>
      </c>
      <c r="AG401" s="8">
        <f>IF(G401="","",IF(COUNTIFS('Recipe Ingredients'!$A$5:$A$1204,G401,'Recipe Ingredients'!$AC$5:$AC$1204,"Check")&gt;0,"Check","OK"))</f>
        <v>0</v>
      </c>
    </row>
    <row r="402" spans="1:33">
      <c r="A402" s="7"/>
      <c r="B402" s="30"/>
      <c r="C402" s="8">
        <f>IF(B402="","",B402-WEEKDAY(B402,2)+1)</f>
        <v>0</v>
      </c>
      <c r="D402" s="8">
        <f>IF(B402="","",TEXT(B402,"ddd"))</f>
        <v>0</v>
      </c>
      <c r="E402" s="8">
        <f>IF(B402="","",TEXT(B402,"mmm yyyy"))</f>
        <v>0</v>
      </c>
      <c r="F402" s="27"/>
      <c r="G402" s="7"/>
      <c r="H402" s="26"/>
      <c r="I402" s="8">
        <f>IF(G402="","",IFERROR(INDEX(Recipes!$D$5:$D$204,MATCH(G402,Recipes!$A$5:$A$204,0)),""))</f>
        <v>0</v>
      </c>
      <c r="J402" s="8">
        <f>IF(OR(G402="",H402="",I402="",I402=0),"",H402/I402)</f>
        <v>0</v>
      </c>
      <c r="K402" s="8">
        <f>IF(B402="","",Household_Size)</f>
        <v>0</v>
      </c>
      <c r="L402" s="8">
        <f>IF(OR(G402="",H402=""),"",IFERROR(IFERROR(INDEX(Recipes!$H$5:$H$204,MATCH(G402,Recipes!$A$5:$A$204,0)),"")*H402,""))</f>
        <v>0</v>
      </c>
      <c r="M402" s="8">
        <f>IF(OR(G402="",H402=""),"",IFERROR(IFERROR(INDEX(Recipes!$I$5:$I$204,MATCH(G402,Recipes!$A$5:$A$204,0)),"")*H402,""))</f>
        <v>0</v>
      </c>
      <c r="N402" s="8">
        <f>IF(OR(G402="",H402=""),"",IFERROR(IFERROR(INDEX(Recipes!$J$5:$J$204,MATCH(G402,Recipes!$A$5:$A$204,0)),"")*H402,""))</f>
        <v>0</v>
      </c>
      <c r="O402" s="8">
        <f>IF(OR(G402="",H402=""),"",IFERROR(IFERROR(INDEX(Recipes!$K$5:$K$204,MATCH(G402,Recipes!$A$5:$A$204,0)),"")*H402,""))</f>
        <v>0</v>
      </c>
      <c r="P402" s="8">
        <f>IF(OR(G402="",H402=""),"",IFERROR(IFERROR(INDEX(Recipes!$L$5:$L$204,MATCH(G402,Recipes!$A$5:$A$204,0)),"")*H402,""))</f>
        <v>0</v>
      </c>
      <c r="Q402" s="8">
        <f>IF(OR(G402="",H402=""),"",IFERROR(IFERROR(INDEX(Recipes!$Q$5:$Q$204,MATCH(G402,Recipes!$A$5:$A$204,0)),"")*H402,""))</f>
        <v>0</v>
      </c>
      <c r="R402" s="8">
        <f>IF(F402="","",Weekly_Budget/21)</f>
        <v>0</v>
      </c>
      <c r="S402" s="27"/>
      <c r="T402" s="27"/>
      <c r="U402" s="26"/>
      <c r="V402" s="7"/>
      <c r="W402" s="7"/>
      <c r="X402" s="26"/>
      <c r="Y402" s="8">
        <f>IF(G402="","",IF(COUNTIFS('Meal Prep'!$D$5:$D$124,G402)&gt;0,"Yes","No"))</f>
        <v>0</v>
      </c>
      <c r="Z402" s="8">
        <f>IF(G402="","",COUNTIFS('Recipe Ingredients'!$A$5:$A$1204,G402))</f>
        <v>0</v>
      </c>
      <c r="AA402" s="25"/>
      <c r="AB402" s="8">
        <f>IF(OR(B402="",Q402=""),"",COUNTIFS($B$5:$B$504,B402,$Q$5:$Q$504,"&gt;"&amp;Q402)+1)</f>
        <v>0</v>
      </c>
      <c r="AC402" s="8">
        <f>IF(OR(B402="",L402=""),"",COUNTIFS($B$5:$B$504,B402,$L$5:$L$504,"&gt;"&amp;L402)+1)</f>
        <v>0</v>
      </c>
      <c r="AD402" s="8">
        <f>IF(G402="","",IF(COUNTIFS($G$5:$G$504,G402)&gt;1,"Repeat","Once"))</f>
        <v>0</v>
      </c>
      <c r="AE402" s="8">
        <f>IF(G402="","",IF(IFERROR(INDEX(Recipes!$X$5:$X$204,MATCH(G402,Recipes!$A$5:$A$204,0)),"")="","",IFERROR(B402-IFERROR(INDEX(Recipes!$X$5:$X$204,MATCH(G402,Recipes!$A$5:$A$204,0)),""),"")))</f>
        <v>0</v>
      </c>
      <c r="AF402" s="8">
        <f>IF(G402="","",IF(AE402="","Yes",IF(AE402&gt;=Rotation_Gap_Days,"Yes","No")))</f>
        <v>0</v>
      </c>
      <c r="AG402" s="8">
        <f>IF(G402="","",IF(COUNTIFS('Recipe Ingredients'!$A$5:$A$1204,G402,'Recipe Ingredients'!$AC$5:$AC$1204,"Check")&gt;0,"Check","OK"))</f>
        <v>0</v>
      </c>
    </row>
    <row r="403" spans="1:33">
      <c r="A403" s="7"/>
      <c r="B403" s="30"/>
      <c r="C403" s="8">
        <f>IF(B403="","",B403-WEEKDAY(B403,2)+1)</f>
        <v>0</v>
      </c>
      <c r="D403" s="8">
        <f>IF(B403="","",TEXT(B403,"ddd"))</f>
        <v>0</v>
      </c>
      <c r="E403" s="8">
        <f>IF(B403="","",TEXT(B403,"mmm yyyy"))</f>
        <v>0</v>
      </c>
      <c r="F403" s="27"/>
      <c r="G403" s="7"/>
      <c r="H403" s="26"/>
      <c r="I403" s="8">
        <f>IF(G403="","",IFERROR(INDEX(Recipes!$D$5:$D$204,MATCH(G403,Recipes!$A$5:$A$204,0)),""))</f>
        <v>0</v>
      </c>
      <c r="J403" s="8">
        <f>IF(OR(G403="",H403="",I403="",I403=0),"",H403/I403)</f>
        <v>0</v>
      </c>
      <c r="K403" s="8">
        <f>IF(B403="","",Household_Size)</f>
        <v>0</v>
      </c>
      <c r="L403" s="8">
        <f>IF(OR(G403="",H403=""),"",IFERROR(IFERROR(INDEX(Recipes!$H$5:$H$204,MATCH(G403,Recipes!$A$5:$A$204,0)),"")*H403,""))</f>
        <v>0</v>
      </c>
      <c r="M403" s="8">
        <f>IF(OR(G403="",H403=""),"",IFERROR(IFERROR(INDEX(Recipes!$I$5:$I$204,MATCH(G403,Recipes!$A$5:$A$204,0)),"")*H403,""))</f>
        <v>0</v>
      </c>
      <c r="N403" s="8">
        <f>IF(OR(G403="",H403=""),"",IFERROR(IFERROR(INDEX(Recipes!$J$5:$J$204,MATCH(G403,Recipes!$A$5:$A$204,0)),"")*H403,""))</f>
        <v>0</v>
      </c>
      <c r="O403" s="8">
        <f>IF(OR(G403="",H403=""),"",IFERROR(IFERROR(INDEX(Recipes!$K$5:$K$204,MATCH(G403,Recipes!$A$5:$A$204,0)),"")*H403,""))</f>
        <v>0</v>
      </c>
      <c r="P403" s="8">
        <f>IF(OR(G403="",H403=""),"",IFERROR(IFERROR(INDEX(Recipes!$L$5:$L$204,MATCH(G403,Recipes!$A$5:$A$204,0)),"")*H403,""))</f>
        <v>0</v>
      </c>
      <c r="Q403" s="8">
        <f>IF(OR(G403="",H403=""),"",IFERROR(IFERROR(INDEX(Recipes!$Q$5:$Q$204,MATCH(G403,Recipes!$A$5:$A$204,0)),"")*H403,""))</f>
        <v>0</v>
      </c>
      <c r="R403" s="8">
        <f>IF(F403="","",Weekly_Budget/21)</f>
        <v>0</v>
      </c>
      <c r="S403" s="27"/>
      <c r="T403" s="27"/>
      <c r="U403" s="26"/>
      <c r="V403" s="7"/>
      <c r="W403" s="7"/>
      <c r="X403" s="26"/>
      <c r="Y403" s="8">
        <f>IF(G403="","",IF(COUNTIFS('Meal Prep'!$D$5:$D$124,G403)&gt;0,"Yes","No"))</f>
        <v>0</v>
      </c>
      <c r="Z403" s="8">
        <f>IF(G403="","",COUNTIFS('Recipe Ingredients'!$A$5:$A$1204,G403))</f>
        <v>0</v>
      </c>
      <c r="AA403" s="25"/>
      <c r="AB403" s="8">
        <f>IF(OR(B403="",Q403=""),"",COUNTIFS($B$5:$B$504,B403,$Q$5:$Q$504,"&gt;"&amp;Q403)+1)</f>
        <v>0</v>
      </c>
      <c r="AC403" s="8">
        <f>IF(OR(B403="",L403=""),"",COUNTIFS($B$5:$B$504,B403,$L$5:$L$504,"&gt;"&amp;L403)+1)</f>
        <v>0</v>
      </c>
      <c r="AD403" s="8">
        <f>IF(G403="","",IF(COUNTIFS($G$5:$G$504,G403)&gt;1,"Repeat","Once"))</f>
        <v>0</v>
      </c>
      <c r="AE403" s="8">
        <f>IF(G403="","",IF(IFERROR(INDEX(Recipes!$X$5:$X$204,MATCH(G403,Recipes!$A$5:$A$204,0)),"")="","",IFERROR(B403-IFERROR(INDEX(Recipes!$X$5:$X$204,MATCH(G403,Recipes!$A$5:$A$204,0)),""),"")))</f>
        <v>0</v>
      </c>
      <c r="AF403" s="8">
        <f>IF(G403="","",IF(AE403="","Yes",IF(AE403&gt;=Rotation_Gap_Days,"Yes","No")))</f>
        <v>0</v>
      </c>
      <c r="AG403" s="8">
        <f>IF(G403="","",IF(COUNTIFS('Recipe Ingredients'!$A$5:$A$1204,G403,'Recipe Ingredients'!$AC$5:$AC$1204,"Check")&gt;0,"Check","OK"))</f>
        <v>0</v>
      </c>
    </row>
    <row r="404" spans="1:33">
      <c r="A404" s="7"/>
      <c r="B404" s="30"/>
      <c r="C404" s="8">
        <f>IF(B404="","",B404-WEEKDAY(B404,2)+1)</f>
        <v>0</v>
      </c>
      <c r="D404" s="8">
        <f>IF(B404="","",TEXT(B404,"ddd"))</f>
        <v>0</v>
      </c>
      <c r="E404" s="8">
        <f>IF(B404="","",TEXT(B404,"mmm yyyy"))</f>
        <v>0</v>
      </c>
      <c r="F404" s="27"/>
      <c r="G404" s="7"/>
      <c r="H404" s="26"/>
      <c r="I404" s="8">
        <f>IF(G404="","",IFERROR(INDEX(Recipes!$D$5:$D$204,MATCH(G404,Recipes!$A$5:$A$204,0)),""))</f>
        <v>0</v>
      </c>
      <c r="J404" s="8">
        <f>IF(OR(G404="",H404="",I404="",I404=0),"",H404/I404)</f>
        <v>0</v>
      </c>
      <c r="K404" s="8">
        <f>IF(B404="","",Household_Size)</f>
        <v>0</v>
      </c>
      <c r="L404" s="8">
        <f>IF(OR(G404="",H404=""),"",IFERROR(IFERROR(INDEX(Recipes!$H$5:$H$204,MATCH(G404,Recipes!$A$5:$A$204,0)),"")*H404,""))</f>
        <v>0</v>
      </c>
      <c r="M404" s="8">
        <f>IF(OR(G404="",H404=""),"",IFERROR(IFERROR(INDEX(Recipes!$I$5:$I$204,MATCH(G404,Recipes!$A$5:$A$204,0)),"")*H404,""))</f>
        <v>0</v>
      </c>
      <c r="N404" s="8">
        <f>IF(OR(G404="",H404=""),"",IFERROR(IFERROR(INDEX(Recipes!$J$5:$J$204,MATCH(G404,Recipes!$A$5:$A$204,0)),"")*H404,""))</f>
        <v>0</v>
      </c>
      <c r="O404" s="8">
        <f>IF(OR(G404="",H404=""),"",IFERROR(IFERROR(INDEX(Recipes!$K$5:$K$204,MATCH(G404,Recipes!$A$5:$A$204,0)),"")*H404,""))</f>
        <v>0</v>
      </c>
      <c r="P404" s="8">
        <f>IF(OR(G404="",H404=""),"",IFERROR(IFERROR(INDEX(Recipes!$L$5:$L$204,MATCH(G404,Recipes!$A$5:$A$204,0)),"")*H404,""))</f>
        <v>0</v>
      </c>
      <c r="Q404" s="8">
        <f>IF(OR(G404="",H404=""),"",IFERROR(IFERROR(INDEX(Recipes!$Q$5:$Q$204,MATCH(G404,Recipes!$A$5:$A$204,0)),"")*H404,""))</f>
        <v>0</v>
      </c>
      <c r="R404" s="8">
        <f>IF(F404="","",Weekly_Budget/21)</f>
        <v>0</v>
      </c>
      <c r="S404" s="27"/>
      <c r="T404" s="27"/>
      <c r="U404" s="26"/>
      <c r="V404" s="7"/>
      <c r="W404" s="7"/>
      <c r="X404" s="26"/>
      <c r="Y404" s="8">
        <f>IF(G404="","",IF(COUNTIFS('Meal Prep'!$D$5:$D$124,G404)&gt;0,"Yes","No"))</f>
        <v>0</v>
      </c>
      <c r="Z404" s="8">
        <f>IF(G404="","",COUNTIFS('Recipe Ingredients'!$A$5:$A$1204,G404))</f>
        <v>0</v>
      </c>
      <c r="AA404" s="25"/>
      <c r="AB404" s="8">
        <f>IF(OR(B404="",Q404=""),"",COUNTIFS($B$5:$B$504,B404,$Q$5:$Q$504,"&gt;"&amp;Q404)+1)</f>
        <v>0</v>
      </c>
      <c r="AC404" s="8">
        <f>IF(OR(B404="",L404=""),"",COUNTIFS($B$5:$B$504,B404,$L$5:$L$504,"&gt;"&amp;L404)+1)</f>
        <v>0</v>
      </c>
      <c r="AD404" s="8">
        <f>IF(G404="","",IF(COUNTIFS($G$5:$G$504,G404)&gt;1,"Repeat","Once"))</f>
        <v>0</v>
      </c>
      <c r="AE404" s="8">
        <f>IF(G404="","",IF(IFERROR(INDEX(Recipes!$X$5:$X$204,MATCH(G404,Recipes!$A$5:$A$204,0)),"")="","",IFERROR(B404-IFERROR(INDEX(Recipes!$X$5:$X$204,MATCH(G404,Recipes!$A$5:$A$204,0)),""),"")))</f>
        <v>0</v>
      </c>
      <c r="AF404" s="8">
        <f>IF(G404="","",IF(AE404="","Yes",IF(AE404&gt;=Rotation_Gap_Days,"Yes","No")))</f>
        <v>0</v>
      </c>
      <c r="AG404" s="8">
        <f>IF(G404="","",IF(COUNTIFS('Recipe Ingredients'!$A$5:$A$1204,G404,'Recipe Ingredients'!$AC$5:$AC$1204,"Check")&gt;0,"Check","OK"))</f>
        <v>0</v>
      </c>
    </row>
    <row r="405" spans="1:33">
      <c r="A405" s="7"/>
      <c r="B405" s="30"/>
      <c r="C405" s="8">
        <f>IF(B405="","",B405-WEEKDAY(B405,2)+1)</f>
        <v>0</v>
      </c>
      <c r="D405" s="8">
        <f>IF(B405="","",TEXT(B405,"ddd"))</f>
        <v>0</v>
      </c>
      <c r="E405" s="8">
        <f>IF(B405="","",TEXT(B405,"mmm yyyy"))</f>
        <v>0</v>
      </c>
      <c r="F405" s="27"/>
      <c r="G405" s="7"/>
      <c r="H405" s="26"/>
      <c r="I405" s="8">
        <f>IF(G405="","",IFERROR(INDEX(Recipes!$D$5:$D$204,MATCH(G405,Recipes!$A$5:$A$204,0)),""))</f>
        <v>0</v>
      </c>
      <c r="J405" s="8">
        <f>IF(OR(G405="",H405="",I405="",I405=0),"",H405/I405)</f>
        <v>0</v>
      </c>
      <c r="K405" s="8">
        <f>IF(B405="","",Household_Size)</f>
        <v>0</v>
      </c>
      <c r="L405" s="8">
        <f>IF(OR(G405="",H405=""),"",IFERROR(IFERROR(INDEX(Recipes!$H$5:$H$204,MATCH(G405,Recipes!$A$5:$A$204,0)),"")*H405,""))</f>
        <v>0</v>
      </c>
      <c r="M405" s="8">
        <f>IF(OR(G405="",H405=""),"",IFERROR(IFERROR(INDEX(Recipes!$I$5:$I$204,MATCH(G405,Recipes!$A$5:$A$204,0)),"")*H405,""))</f>
        <v>0</v>
      </c>
      <c r="N405" s="8">
        <f>IF(OR(G405="",H405=""),"",IFERROR(IFERROR(INDEX(Recipes!$J$5:$J$204,MATCH(G405,Recipes!$A$5:$A$204,0)),"")*H405,""))</f>
        <v>0</v>
      </c>
      <c r="O405" s="8">
        <f>IF(OR(G405="",H405=""),"",IFERROR(IFERROR(INDEX(Recipes!$K$5:$K$204,MATCH(G405,Recipes!$A$5:$A$204,0)),"")*H405,""))</f>
        <v>0</v>
      </c>
      <c r="P405" s="8">
        <f>IF(OR(G405="",H405=""),"",IFERROR(IFERROR(INDEX(Recipes!$L$5:$L$204,MATCH(G405,Recipes!$A$5:$A$204,0)),"")*H405,""))</f>
        <v>0</v>
      </c>
      <c r="Q405" s="8">
        <f>IF(OR(G405="",H405=""),"",IFERROR(IFERROR(INDEX(Recipes!$Q$5:$Q$204,MATCH(G405,Recipes!$A$5:$A$204,0)),"")*H405,""))</f>
        <v>0</v>
      </c>
      <c r="R405" s="8">
        <f>IF(F405="","",Weekly_Budget/21)</f>
        <v>0</v>
      </c>
      <c r="S405" s="27"/>
      <c r="T405" s="27"/>
      <c r="U405" s="26"/>
      <c r="V405" s="7"/>
      <c r="W405" s="7"/>
      <c r="X405" s="26"/>
      <c r="Y405" s="8">
        <f>IF(G405="","",IF(COUNTIFS('Meal Prep'!$D$5:$D$124,G405)&gt;0,"Yes","No"))</f>
        <v>0</v>
      </c>
      <c r="Z405" s="8">
        <f>IF(G405="","",COUNTIFS('Recipe Ingredients'!$A$5:$A$1204,G405))</f>
        <v>0</v>
      </c>
      <c r="AA405" s="25"/>
      <c r="AB405" s="8">
        <f>IF(OR(B405="",Q405=""),"",COUNTIFS($B$5:$B$504,B405,$Q$5:$Q$504,"&gt;"&amp;Q405)+1)</f>
        <v>0</v>
      </c>
      <c r="AC405" s="8">
        <f>IF(OR(B405="",L405=""),"",COUNTIFS($B$5:$B$504,B405,$L$5:$L$504,"&gt;"&amp;L405)+1)</f>
        <v>0</v>
      </c>
      <c r="AD405" s="8">
        <f>IF(G405="","",IF(COUNTIFS($G$5:$G$504,G405)&gt;1,"Repeat","Once"))</f>
        <v>0</v>
      </c>
      <c r="AE405" s="8">
        <f>IF(G405="","",IF(IFERROR(INDEX(Recipes!$X$5:$X$204,MATCH(G405,Recipes!$A$5:$A$204,0)),"")="","",IFERROR(B405-IFERROR(INDEX(Recipes!$X$5:$X$204,MATCH(G405,Recipes!$A$5:$A$204,0)),""),"")))</f>
        <v>0</v>
      </c>
      <c r="AF405" s="8">
        <f>IF(G405="","",IF(AE405="","Yes",IF(AE405&gt;=Rotation_Gap_Days,"Yes","No")))</f>
        <v>0</v>
      </c>
      <c r="AG405" s="8">
        <f>IF(G405="","",IF(COUNTIFS('Recipe Ingredients'!$A$5:$A$1204,G405,'Recipe Ingredients'!$AC$5:$AC$1204,"Check")&gt;0,"Check","OK"))</f>
        <v>0</v>
      </c>
    </row>
    <row r="406" spans="1:33">
      <c r="A406" s="7"/>
      <c r="B406" s="30"/>
      <c r="C406" s="8">
        <f>IF(B406="","",B406-WEEKDAY(B406,2)+1)</f>
        <v>0</v>
      </c>
      <c r="D406" s="8">
        <f>IF(B406="","",TEXT(B406,"ddd"))</f>
        <v>0</v>
      </c>
      <c r="E406" s="8">
        <f>IF(B406="","",TEXT(B406,"mmm yyyy"))</f>
        <v>0</v>
      </c>
      <c r="F406" s="27"/>
      <c r="G406" s="7"/>
      <c r="H406" s="26"/>
      <c r="I406" s="8">
        <f>IF(G406="","",IFERROR(INDEX(Recipes!$D$5:$D$204,MATCH(G406,Recipes!$A$5:$A$204,0)),""))</f>
        <v>0</v>
      </c>
      <c r="J406" s="8">
        <f>IF(OR(G406="",H406="",I406="",I406=0),"",H406/I406)</f>
        <v>0</v>
      </c>
      <c r="K406" s="8">
        <f>IF(B406="","",Household_Size)</f>
        <v>0</v>
      </c>
      <c r="L406" s="8">
        <f>IF(OR(G406="",H406=""),"",IFERROR(IFERROR(INDEX(Recipes!$H$5:$H$204,MATCH(G406,Recipes!$A$5:$A$204,0)),"")*H406,""))</f>
        <v>0</v>
      </c>
      <c r="M406" s="8">
        <f>IF(OR(G406="",H406=""),"",IFERROR(IFERROR(INDEX(Recipes!$I$5:$I$204,MATCH(G406,Recipes!$A$5:$A$204,0)),"")*H406,""))</f>
        <v>0</v>
      </c>
      <c r="N406" s="8">
        <f>IF(OR(G406="",H406=""),"",IFERROR(IFERROR(INDEX(Recipes!$J$5:$J$204,MATCH(G406,Recipes!$A$5:$A$204,0)),"")*H406,""))</f>
        <v>0</v>
      </c>
      <c r="O406" s="8">
        <f>IF(OR(G406="",H406=""),"",IFERROR(IFERROR(INDEX(Recipes!$K$5:$K$204,MATCH(G406,Recipes!$A$5:$A$204,0)),"")*H406,""))</f>
        <v>0</v>
      </c>
      <c r="P406" s="8">
        <f>IF(OR(G406="",H406=""),"",IFERROR(IFERROR(INDEX(Recipes!$L$5:$L$204,MATCH(G406,Recipes!$A$5:$A$204,0)),"")*H406,""))</f>
        <v>0</v>
      </c>
      <c r="Q406" s="8">
        <f>IF(OR(G406="",H406=""),"",IFERROR(IFERROR(INDEX(Recipes!$Q$5:$Q$204,MATCH(G406,Recipes!$A$5:$A$204,0)),"")*H406,""))</f>
        <v>0</v>
      </c>
      <c r="R406" s="8">
        <f>IF(F406="","",Weekly_Budget/21)</f>
        <v>0</v>
      </c>
      <c r="S406" s="27"/>
      <c r="T406" s="27"/>
      <c r="U406" s="26"/>
      <c r="V406" s="7"/>
      <c r="W406" s="7"/>
      <c r="X406" s="26"/>
      <c r="Y406" s="8">
        <f>IF(G406="","",IF(COUNTIFS('Meal Prep'!$D$5:$D$124,G406)&gt;0,"Yes","No"))</f>
        <v>0</v>
      </c>
      <c r="Z406" s="8">
        <f>IF(G406="","",COUNTIFS('Recipe Ingredients'!$A$5:$A$1204,G406))</f>
        <v>0</v>
      </c>
      <c r="AA406" s="25"/>
      <c r="AB406" s="8">
        <f>IF(OR(B406="",Q406=""),"",COUNTIFS($B$5:$B$504,B406,$Q$5:$Q$504,"&gt;"&amp;Q406)+1)</f>
        <v>0</v>
      </c>
      <c r="AC406" s="8">
        <f>IF(OR(B406="",L406=""),"",COUNTIFS($B$5:$B$504,B406,$L$5:$L$504,"&gt;"&amp;L406)+1)</f>
        <v>0</v>
      </c>
      <c r="AD406" s="8">
        <f>IF(G406="","",IF(COUNTIFS($G$5:$G$504,G406)&gt;1,"Repeat","Once"))</f>
        <v>0</v>
      </c>
      <c r="AE406" s="8">
        <f>IF(G406="","",IF(IFERROR(INDEX(Recipes!$X$5:$X$204,MATCH(G406,Recipes!$A$5:$A$204,0)),"")="","",IFERROR(B406-IFERROR(INDEX(Recipes!$X$5:$X$204,MATCH(G406,Recipes!$A$5:$A$204,0)),""),"")))</f>
        <v>0</v>
      </c>
      <c r="AF406" s="8">
        <f>IF(G406="","",IF(AE406="","Yes",IF(AE406&gt;=Rotation_Gap_Days,"Yes","No")))</f>
        <v>0</v>
      </c>
      <c r="AG406" s="8">
        <f>IF(G406="","",IF(COUNTIFS('Recipe Ingredients'!$A$5:$A$1204,G406,'Recipe Ingredients'!$AC$5:$AC$1204,"Check")&gt;0,"Check","OK"))</f>
        <v>0</v>
      </c>
    </row>
    <row r="407" spans="1:33">
      <c r="A407" s="7"/>
      <c r="B407" s="30"/>
      <c r="C407" s="8">
        <f>IF(B407="","",B407-WEEKDAY(B407,2)+1)</f>
        <v>0</v>
      </c>
      <c r="D407" s="8">
        <f>IF(B407="","",TEXT(B407,"ddd"))</f>
        <v>0</v>
      </c>
      <c r="E407" s="8">
        <f>IF(B407="","",TEXT(B407,"mmm yyyy"))</f>
        <v>0</v>
      </c>
      <c r="F407" s="27"/>
      <c r="G407" s="7"/>
      <c r="H407" s="26"/>
      <c r="I407" s="8">
        <f>IF(G407="","",IFERROR(INDEX(Recipes!$D$5:$D$204,MATCH(G407,Recipes!$A$5:$A$204,0)),""))</f>
        <v>0</v>
      </c>
      <c r="J407" s="8">
        <f>IF(OR(G407="",H407="",I407="",I407=0),"",H407/I407)</f>
        <v>0</v>
      </c>
      <c r="K407" s="8">
        <f>IF(B407="","",Household_Size)</f>
        <v>0</v>
      </c>
      <c r="L407" s="8">
        <f>IF(OR(G407="",H407=""),"",IFERROR(IFERROR(INDEX(Recipes!$H$5:$H$204,MATCH(G407,Recipes!$A$5:$A$204,0)),"")*H407,""))</f>
        <v>0</v>
      </c>
      <c r="M407" s="8">
        <f>IF(OR(G407="",H407=""),"",IFERROR(IFERROR(INDEX(Recipes!$I$5:$I$204,MATCH(G407,Recipes!$A$5:$A$204,0)),"")*H407,""))</f>
        <v>0</v>
      </c>
      <c r="N407" s="8">
        <f>IF(OR(G407="",H407=""),"",IFERROR(IFERROR(INDEX(Recipes!$J$5:$J$204,MATCH(G407,Recipes!$A$5:$A$204,0)),"")*H407,""))</f>
        <v>0</v>
      </c>
      <c r="O407" s="8">
        <f>IF(OR(G407="",H407=""),"",IFERROR(IFERROR(INDEX(Recipes!$K$5:$K$204,MATCH(G407,Recipes!$A$5:$A$204,0)),"")*H407,""))</f>
        <v>0</v>
      </c>
      <c r="P407" s="8">
        <f>IF(OR(G407="",H407=""),"",IFERROR(IFERROR(INDEX(Recipes!$L$5:$L$204,MATCH(G407,Recipes!$A$5:$A$204,0)),"")*H407,""))</f>
        <v>0</v>
      </c>
      <c r="Q407" s="8">
        <f>IF(OR(G407="",H407=""),"",IFERROR(IFERROR(INDEX(Recipes!$Q$5:$Q$204,MATCH(G407,Recipes!$A$5:$A$204,0)),"")*H407,""))</f>
        <v>0</v>
      </c>
      <c r="R407" s="8">
        <f>IF(F407="","",Weekly_Budget/21)</f>
        <v>0</v>
      </c>
      <c r="S407" s="27"/>
      <c r="T407" s="27"/>
      <c r="U407" s="26"/>
      <c r="V407" s="7"/>
      <c r="W407" s="7"/>
      <c r="X407" s="26"/>
      <c r="Y407" s="8">
        <f>IF(G407="","",IF(COUNTIFS('Meal Prep'!$D$5:$D$124,G407)&gt;0,"Yes","No"))</f>
        <v>0</v>
      </c>
      <c r="Z407" s="8">
        <f>IF(G407="","",COUNTIFS('Recipe Ingredients'!$A$5:$A$1204,G407))</f>
        <v>0</v>
      </c>
      <c r="AA407" s="25"/>
      <c r="AB407" s="8">
        <f>IF(OR(B407="",Q407=""),"",COUNTIFS($B$5:$B$504,B407,$Q$5:$Q$504,"&gt;"&amp;Q407)+1)</f>
        <v>0</v>
      </c>
      <c r="AC407" s="8">
        <f>IF(OR(B407="",L407=""),"",COUNTIFS($B$5:$B$504,B407,$L$5:$L$504,"&gt;"&amp;L407)+1)</f>
        <v>0</v>
      </c>
      <c r="AD407" s="8">
        <f>IF(G407="","",IF(COUNTIFS($G$5:$G$504,G407)&gt;1,"Repeat","Once"))</f>
        <v>0</v>
      </c>
      <c r="AE407" s="8">
        <f>IF(G407="","",IF(IFERROR(INDEX(Recipes!$X$5:$X$204,MATCH(G407,Recipes!$A$5:$A$204,0)),"")="","",IFERROR(B407-IFERROR(INDEX(Recipes!$X$5:$X$204,MATCH(G407,Recipes!$A$5:$A$204,0)),""),"")))</f>
        <v>0</v>
      </c>
      <c r="AF407" s="8">
        <f>IF(G407="","",IF(AE407="","Yes",IF(AE407&gt;=Rotation_Gap_Days,"Yes","No")))</f>
        <v>0</v>
      </c>
      <c r="AG407" s="8">
        <f>IF(G407="","",IF(COUNTIFS('Recipe Ingredients'!$A$5:$A$1204,G407,'Recipe Ingredients'!$AC$5:$AC$1204,"Check")&gt;0,"Check","OK"))</f>
        <v>0</v>
      </c>
    </row>
    <row r="408" spans="1:33">
      <c r="A408" s="7"/>
      <c r="B408" s="30"/>
      <c r="C408" s="8">
        <f>IF(B408="","",B408-WEEKDAY(B408,2)+1)</f>
        <v>0</v>
      </c>
      <c r="D408" s="8">
        <f>IF(B408="","",TEXT(B408,"ddd"))</f>
        <v>0</v>
      </c>
      <c r="E408" s="8">
        <f>IF(B408="","",TEXT(B408,"mmm yyyy"))</f>
        <v>0</v>
      </c>
      <c r="F408" s="27"/>
      <c r="G408" s="7"/>
      <c r="H408" s="26"/>
      <c r="I408" s="8">
        <f>IF(G408="","",IFERROR(INDEX(Recipes!$D$5:$D$204,MATCH(G408,Recipes!$A$5:$A$204,0)),""))</f>
        <v>0</v>
      </c>
      <c r="J408" s="8">
        <f>IF(OR(G408="",H408="",I408="",I408=0),"",H408/I408)</f>
        <v>0</v>
      </c>
      <c r="K408" s="8">
        <f>IF(B408="","",Household_Size)</f>
        <v>0</v>
      </c>
      <c r="L408" s="8">
        <f>IF(OR(G408="",H408=""),"",IFERROR(IFERROR(INDEX(Recipes!$H$5:$H$204,MATCH(G408,Recipes!$A$5:$A$204,0)),"")*H408,""))</f>
        <v>0</v>
      </c>
      <c r="M408" s="8">
        <f>IF(OR(G408="",H408=""),"",IFERROR(IFERROR(INDEX(Recipes!$I$5:$I$204,MATCH(G408,Recipes!$A$5:$A$204,0)),"")*H408,""))</f>
        <v>0</v>
      </c>
      <c r="N408" s="8">
        <f>IF(OR(G408="",H408=""),"",IFERROR(IFERROR(INDEX(Recipes!$J$5:$J$204,MATCH(G408,Recipes!$A$5:$A$204,0)),"")*H408,""))</f>
        <v>0</v>
      </c>
      <c r="O408" s="8">
        <f>IF(OR(G408="",H408=""),"",IFERROR(IFERROR(INDEX(Recipes!$K$5:$K$204,MATCH(G408,Recipes!$A$5:$A$204,0)),"")*H408,""))</f>
        <v>0</v>
      </c>
      <c r="P408" s="8">
        <f>IF(OR(G408="",H408=""),"",IFERROR(IFERROR(INDEX(Recipes!$L$5:$L$204,MATCH(G408,Recipes!$A$5:$A$204,0)),"")*H408,""))</f>
        <v>0</v>
      </c>
      <c r="Q408" s="8">
        <f>IF(OR(G408="",H408=""),"",IFERROR(IFERROR(INDEX(Recipes!$Q$5:$Q$204,MATCH(G408,Recipes!$A$5:$A$204,0)),"")*H408,""))</f>
        <v>0</v>
      </c>
      <c r="R408" s="8">
        <f>IF(F408="","",Weekly_Budget/21)</f>
        <v>0</v>
      </c>
      <c r="S408" s="27"/>
      <c r="T408" s="27"/>
      <c r="U408" s="26"/>
      <c r="V408" s="7"/>
      <c r="W408" s="7"/>
      <c r="X408" s="26"/>
      <c r="Y408" s="8">
        <f>IF(G408="","",IF(COUNTIFS('Meal Prep'!$D$5:$D$124,G408)&gt;0,"Yes","No"))</f>
        <v>0</v>
      </c>
      <c r="Z408" s="8">
        <f>IF(G408="","",COUNTIFS('Recipe Ingredients'!$A$5:$A$1204,G408))</f>
        <v>0</v>
      </c>
      <c r="AA408" s="25"/>
      <c r="AB408" s="8">
        <f>IF(OR(B408="",Q408=""),"",COUNTIFS($B$5:$B$504,B408,$Q$5:$Q$504,"&gt;"&amp;Q408)+1)</f>
        <v>0</v>
      </c>
      <c r="AC408" s="8">
        <f>IF(OR(B408="",L408=""),"",COUNTIFS($B$5:$B$504,B408,$L$5:$L$504,"&gt;"&amp;L408)+1)</f>
        <v>0</v>
      </c>
      <c r="AD408" s="8">
        <f>IF(G408="","",IF(COUNTIFS($G$5:$G$504,G408)&gt;1,"Repeat","Once"))</f>
        <v>0</v>
      </c>
      <c r="AE408" s="8">
        <f>IF(G408="","",IF(IFERROR(INDEX(Recipes!$X$5:$X$204,MATCH(G408,Recipes!$A$5:$A$204,0)),"")="","",IFERROR(B408-IFERROR(INDEX(Recipes!$X$5:$X$204,MATCH(G408,Recipes!$A$5:$A$204,0)),""),"")))</f>
        <v>0</v>
      </c>
      <c r="AF408" s="8">
        <f>IF(G408="","",IF(AE408="","Yes",IF(AE408&gt;=Rotation_Gap_Days,"Yes","No")))</f>
        <v>0</v>
      </c>
      <c r="AG408" s="8">
        <f>IF(G408="","",IF(COUNTIFS('Recipe Ingredients'!$A$5:$A$1204,G408,'Recipe Ingredients'!$AC$5:$AC$1204,"Check")&gt;0,"Check","OK"))</f>
        <v>0</v>
      </c>
    </row>
    <row r="409" spans="1:33">
      <c r="A409" s="7"/>
      <c r="B409" s="30"/>
      <c r="C409" s="8">
        <f>IF(B409="","",B409-WEEKDAY(B409,2)+1)</f>
        <v>0</v>
      </c>
      <c r="D409" s="8">
        <f>IF(B409="","",TEXT(B409,"ddd"))</f>
        <v>0</v>
      </c>
      <c r="E409" s="8">
        <f>IF(B409="","",TEXT(B409,"mmm yyyy"))</f>
        <v>0</v>
      </c>
      <c r="F409" s="27"/>
      <c r="G409" s="7"/>
      <c r="H409" s="26"/>
      <c r="I409" s="8">
        <f>IF(G409="","",IFERROR(INDEX(Recipes!$D$5:$D$204,MATCH(G409,Recipes!$A$5:$A$204,0)),""))</f>
        <v>0</v>
      </c>
      <c r="J409" s="8">
        <f>IF(OR(G409="",H409="",I409="",I409=0),"",H409/I409)</f>
        <v>0</v>
      </c>
      <c r="K409" s="8">
        <f>IF(B409="","",Household_Size)</f>
        <v>0</v>
      </c>
      <c r="L409" s="8">
        <f>IF(OR(G409="",H409=""),"",IFERROR(IFERROR(INDEX(Recipes!$H$5:$H$204,MATCH(G409,Recipes!$A$5:$A$204,0)),"")*H409,""))</f>
        <v>0</v>
      </c>
      <c r="M409" s="8">
        <f>IF(OR(G409="",H409=""),"",IFERROR(IFERROR(INDEX(Recipes!$I$5:$I$204,MATCH(G409,Recipes!$A$5:$A$204,0)),"")*H409,""))</f>
        <v>0</v>
      </c>
      <c r="N409" s="8">
        <f>IF(OR(G409="",H409=""),"",IFERROR(IFERROR(INDEX(Recipes!$J$5:$J$204,MATCH(G409,Recipes!$A$5:$A$204,0)),"")*H409,""))</f>
        <v>0</v>
      </c>
      <c r="O409" s="8">
        <f>IF(OR(G409="",H409=""),"",IFERROR(IFERROR(INDEX(Recipes!$K$5:$K$204,MATCH(G409,Recipes!$A$5:$A$204,0)),"")*H409,""))</f>
        <v>0</v>
      </c>
      <c r="P409" s="8">
        <f>IF(OR(G409="",H409=""),"",IFERROR(IFERROR(INDEX(Recipes!$L$5:$L$204,MATCH(G409,Recipes!$A$5:$A$204,0)),"")*H409,""))</f>
        <v>0</v>
      </c>
      <c r="Q409" s="8">
        <f>IF(OR(G409="",H409=""),"",IFERROR(IFERROR(INDEX(Recipes!$Q$5:$Q$204,MATCH(G409,Recipes!$A$5:$A$204,0)),"")*H409,""))</f>
        <v>0</v>
      </c>
      <c r="R409" s="8">
        <f>IF(F409="","",Weekly_Budget/21)</f>
        <v>0</v>
      </c>
      <c r="S409" s="27"/>
      <c r="T409" s="27"/>
      <c r="U409" s="26"/>
      <c r="V409" s="7"/>
      <c r="W409" s="7"/>
      <c r="X409" s="26"/>
      <c r="Y409" s="8">
        <f>IF(G409="","",IF(COUNTIFS('Meal Prep'!$D$5:$D$124,G409)&gt;0,"Yes","No"))</f>
        <v>0</v>
      </c>
      <c r="Z409" s="8">
        <f>IF(G409="","",COUNTIFS('Recipe Ingredients'!$A$5:$A$1204,G409))</f>
        <v>0</v>
      </c>
      <c r="AA409" s="25"/>
      <c r="AB409" s="8">
        <f>IF(OR(B409="",Q409=""),"",COUNTIFS($B$5:$B$504,B409,$Q$5:$Q$504,"&gt;"&amp;Q409)+1)</f>
        <v>0</v>
      </c>
      <c r="AC409" s="8">
        <f>IF(OR(B409="",L409=""),"",COUNTIFS($B$5:$B$504,B409,$L$5:$L$504,"&gt;"&amp;L409)+1)</f>
        <v>0</v>
      </c>
      <c r="AD409" s="8">
        <f>IF(G409="","",IF(COUNTIFS($G$5:$G$504,G409)&gt;1,"Repeat","Once"))</f>
        <v>0</v>
      </c>
      <c r="AE409" s="8">
        <f>IF(G409="","",IF(IFERROR(INDEX(Recipes!$X$5:$X$204,MATCH(G409,Recipes!$A$5:$A$204,0)),"")="","",IFERROR(B409-IFERROR(INDEX(Recipes!$X$5:$X$204,MATCH(G409,Recipes!$A$5:$A$204,0)),""),"")))</f>
        <v>0</v>
      </c>
      <c r="AF409" s="8">
        <f>IF(G409="","",IF(AE409="","Yes",IF(AE409&gt;=Rotation_Gap_Days,"Yes","No")))</f>
        <v>0</v>
      </c>
      <c r="AG409" s="8">
        <f>IF(G409="","",IF(COUNTIFS('Recipe Ingredients'!$A$5:$A$1204,G409,'Recipe Ingredients'!$AC$5:$AC$1204,"Check")&gt;0,"Check","OK"))</f>
        <v>0</v>
      </c>
    </row>
    <row r="410" spans="1:33">
      <c r="A410" s="7"/>
      <c r="B410" s="30"/>
      <c r="C410" s="8">
        <f>IF(B410="","",B410-WEEKDAY(B410,2)+1)</f>
        <v>0</v>
      </c>
      <c r="D410" s="8">
        <f>IF(B410="","",TEXT(B410,"ddd"))</f>
        <v>0</v>
      </c>
      <c r="E410" s="8">
        <f>IF(B410="","",TEXT(B410,"mmm yyyy"))</f>
        <v>0</v>
      </c>
      <c r="F410" s="27"/>
      <c r="G410" s="7"/>
      <c r="H410" s="26"/>
      <c r="I410" s="8">
        <f>IF(G410="","",IFERROR(INDEX(Recipes!$D$5:$D$204,MATCH(G410,Recipes!$A$5:$A$204,0)),""))</f>
        <v>0</v>
      </c>
      <c r="J410" s="8">
        <f>IF(OR(G410="",H410="",I410="",I410=0),"",H410/I410)</f>
        <v>0</v>
      </c>
      <c r="K410" s="8">
        <f>IF(B410="","",Household_Size)</f>
        <v>0</v>
      </c>
      <c r="L410" s="8">
        <f>IF(OR(G410="",H410=""),"",IFERROR(IFERROR(INDEX(Recipes!$H$5:$H$204,MATCH(G410,Recipes!$A$5:$A$204,0)),"")*H410,""))</f>
        <v>0</v>
      </c>
      <c r="M410" s="8">
        <f>IF(OR(G410="",H410=""),"",IFERROR(IFERROR(INDEX(Recipes!$I$5:$I$204,MATCH(G410,Recipes!$A$5:$A$204,0)),"")*H410,""))</f>
        <v>0</v>
      </c>
      <c r="N410" s="8">
        <f>IF(OR(G410="",H410=""),"",IFERROR(IFERROR(INDEX(Recipes!$J$5:$J$204,MATCH(G410,Recipes!$A$5:$A$204,0)),"")*H410,""))</f>
        <v>0</v>
      </c>
      <c r="O410" s="8">
        <f>IF(OR(G410="",H410=""),"",IFERROR(IFERROR(INDEX(Recipes!$K$5:$K$204,MATCH(G410,Recipes!$A$5:$A$204,0)),"")*H410,""))</f>
        <v>0</v>
      </c>
      <c r="P410" s="8">
        <f>IF(OR(G410="",H410=""),"",IFERROR(IFERROR(INDEX(Recipes!$L$5:$L$204,MATCH(G410,Recipes!$A$5:$A$204,0)),"")*H410,""))</f>
        <v>0</v>
      </c>
      <c r="Q410" s="8">
        <f>IF(OR(G410="",H410=""),"",IFERROR(IFERROR(INDEX(Recipes!$Q$5:$Q$204,MATCH(G410,Recipes!$A$5:$A$204,0)),"")*H410,""))</f>
        <v>0</v>
      </c>
      <c r="R410" s="8">
        <f>IF(F410="","",Weekly_Budget/21)</f>
        <v>0</v>
      </c>
      <c r="S410" s="27"/>
      <c r="T410" s="27"/>
      <c r="U410" s="26"/>
      <c r="V410" s="7"/>
      <c r="W410" s="7"/>
      <c r="X410" s="26"/>
      <c r="Y410" s="8">
        <f>IF(G410="","",IF(COUNTIFS('Meal Prep'!$D$5:$D$124,G410)&gt;0,"Yes","No"))</f>
        <v>0</v>
      </c>
      <c r="Z410" s="8">
        <f>IF(G410="","",COUNTIFS('Recipe Ingredients'!$A$5:$A$1204,G410))</f>
        <v>0</v>
      </c>
      <c r="AA410" s="25"/>
      <c r="AB410" s="8">
        <f>IF(OR(B410="",Q410=""),"",COUNTIFS($B$5:$B$504,B410,$Q$5:$Q$504,"&gt;"&amp;Q410)+1)</f>
        <v>0</v>
      </c>
      <c r="AC410" s="8">
        <f>IF(OR(B410="",L410=""),"",COUNTIFS($B$5:$B$504,B410,$L$5:$L$504,"&gt;"&amp;L410)+1)</f>
        <v>0</v>
      </c>
      <c r="AD410" s="8">
        <f>IF(G410="","",IF(COUNTIFS($G$5:$G$504,G410)&gt;1,"Repeat","Once"))</f>
        <v>0</v>
      </c>
      <c r="AE410" s="8">
        <f>IF(G410="","",IF(IFERROR(INDEX(Recipes!$X$5:$X$204,MATCH(G410,Recipes!$A$5:$A$204,0)),"")="","",IFERROR(B410-IFERROR(INDEX(Recipes!$X$5:$X$204,MATCH(G410,Recipes!$A$5:$A$204,0)),""),"")))</f>
        <v>0</v>
      </c>
      <c r="AF410" s="8">
        <f>IF(G410="","",IF(AE410="","Yes",IF(AE410&gt;=Rotation_Gap_Days,"Yes","No")))</f>
        <v>0</v>
      </c>
      <c r="AG410" s="8">
        <f>IF(G410="","",IF(COUNTIFS('Recipe Ingredients'!$A$5:$A$1204,G410,'Recipe Ingredients'!$AC$5:$AC$1204,"Check")&gt;0,"Check","OK"))</f>
        <v>0</v>
      </c>
    </row>
    <row r="411" spans="1:33">
      <c r="A411" s="7"/>
      <c r="B411" s="30"/>
      <c r="C411" s="8">
        <f>IF(B411="","",B411-WEEKDAY(B411,2)+1)</f>
        <v>0</v>
      </c>
      <c r="D411" s="8">
        <f>IF(B411="","",TEXT(B411,"ddd"))</f>
        <v>0</v>
      </c>
      <c r="E411" s="8">
        <f>IF(B411="","",TEXT(B411,"mmm yyyy"))</f>
        <v>0</v>
      </c>
      <c r="F411" s="27"/>
      <c r="G411" s="7"/>
      <c r="H411" s="26"/>
      <c r="I411" s="8">
        <f>IF(G411="","",IFERROR(INDEX(Recipes!$D$5:$D$204,MATCH(G411,Recipes!$A$5:$A$204,0)),""))</f>
        <v>0</v>
      </c>
      <c r="J411" s="8">
        <f>IF(OR(G411="",H411="",I411="",I411=0),"",H411/I411)</f>
        <v>0</v>
      </c>
      <c r="K411" s="8">
        <f>IF(B411="","",Household_Size)</f>
        <v>0</v>
      </c>
      <c r="L411" s="8">
        <f>IF(OR(G411="",H411=""),"",IFERROR(IFERROR(INDEX(Recipes!$H$5:$H$204,MATCH(G411,Recipes!$A$5:$A$204,0)),"")*H411,""))</f>
        <v>0</v>
      </c>
      <c r="M411" s="8">
        <f>IF(OR(G411="",H411=""),"",IFERROR(IFERROR(INDEX(Recipes!$I$5:$I$204,MATCH(G411,Recipes!$A$5:$A$204,0)),"")*H411,""))</f>
        <v>0</v>
      </c>
      <c r="N411" s="8">
        <f>IF(OR(G411="",H411=""),"",IFERROR(IFERROR(INDEX(Recipes!$J$5:$J$204,MATCH(G411,Recipes!$A$5:$A$204,0)),"")*H411,""))</f>
        <v>0</v>
      </c>
      <c r="O411" s="8">
        <f>IF(OR(G411="",H411=""),"",IFERROR(IFERROR(INDEX(Recipes!$K$5:$K$204,MATCH(G411,Recipes!$A$5:$A$204,0)),"")*H411,""))</f>
        <v>0</v>
      </c>
      <c r="P411" s="8">
        <f>IF(OR(G411="",H411=""),"",IFERROR(IFERROR(INDEX(Recipes!$L$5:$L$204,MATCH(G411,Recipes!$A$5:$A$204,0)),"")*H411,""))</f>
        <v>0</v>
      </c>
      <c r="Q411" s="8">
        <f>IF(OR(G411="",H411=""),"",IFERROR(IFERROR(INDEX(Recipes!$Q$5:$Q$204,MATCH(G411,Recipes!$A$5:$A$204,0)),"")*H411,""))</f>
        <v>0</v>
      </c>
      <c r="R411" s="8">
        <f>IF(F411="","",Weekly_Budget/21)</f>
        <v>0</v>
      </c>
      <c r="S411" s="27"/>
      <c r="T411" s="27"/>
      <c r="U411" s="26"/>
      <c r="V411" s="7"/>
      <c r="W411" s="7"/>
      <c r="X411" s="26"/>
      <c r="Y411" s="8">
        <f>IF(G411="","",IF(COUNTIFS('Meal Prep'!$D$5:$D$124,G411)&gt;0,"Yes","No"))</f>
        <v>0</v>
      </c>
      <c r="Z411" s="8">
        <f>IF(G411="","",COUNTIFS('Recipe Ingredients'!$A$5:$A$1204,G411))</f>
        <v>0</v>
      </c>
      <c r="AA411" s="25"/>
      <c r="AB411" s="8">
        <f>IF(OR(B411="",Q411=""),"",COUNTIFS($B$5:$B$504,B411,$Q$5:$Q$504,"&gt;"&amp;Q411)+1)</f>
        <v>0</v>
      </c>
      <c r="AC411" s="8">
        <f>IF(OR(B411="",L411=""),"",COUNTIFS($B$5:$B$504,B411,$L$5:$L$504,"&gt;"&amp;L411)+1)</f>
        <v>0</v>
      </c>
      <c r="AD411" s="8">
        <f>IF(G411="","",IF(COUNTIFS($G$5:$G$504,G411)&gt;1,"Repeat","Once"))</f>
        <v>0</v>
      </c>
      <c r="AE411" s="8">
        <f>IF(G411="","",IF(IFERROR(INDEX(Recipes!$X$5:$X$204,MATCH(G411,Recipes!$A$5:$A$204,0)),"")="","",IFERROR(B411-IFERROR(INDEX(Recipes!$X$5:$X$204,MATCH(G411,Recipes!$A$5:$A$204,0)),""),"")))</f>
        <v>0</v>
      </c>
      <c r="AF411" s="8">
        <f>IF(G411="","",IF(AE411="","Yes",IF(AE411&gt;=Rotation_Gap_Days,"Yes","No")))</f>
        <v>0</v>
      </c>
      <c r="AG411" s="8">
        <f>IF(G411="","",IF(COUNTIFS('Recipe Ingredients'!$A$5:$A$1204,G411,'Recipe Ingredients'!$AC$5:$AC$1204,"Check")&gt;0,"Check","OK"))</f>
        <v>0</v>
      </c>
    </row>
    <row r="412" spans="1:33">
      <c r="A412" s="7"/>
      <c r="B412" s="30"/>
      <c r="C412" s="8">
        <f>IF(B412="","",B412-WEEKDAY(B412,2)+1)</f>
        <v>0</v>
      </c>
      <c r="D412" s="8">
        <f>IF(B412="","",TEXT(B412,"ddd"))</f>
        <v>0</v>
      </c>
      <c r="E412" s="8">
        <f>IF(B412="","",TEXT(B412,"mmm yyyy"))</f>
        <v>0</v>
      </c>
      <c r="F412" s="27"/>
      <c r="G412" s="7"/>
      <c r="H412" s="26"/>
      <c r="I412" s="8">
        <f>IF(G412="","",IFERROR(INDEX(Recipes!$D$5:$D$204,MATCH(G412,Recipes!$A$5:$A$204,0)),""))</f>
        <v>0</v>
      </c>
      <c r="J412" s="8">
        <f>IF(OR(G412="",H412="",I412="",I412=0),"",H412/I412)</f>
        <v>0</v>
      </c>
      <c r="K412" s="8">
        <f>IF(B412="","",Household_Size)</f>
        <v>0</v>
      </c>
      <c r="L412" s="8">
        <f>IF(OR(G412="",H412=""),"",IFERROR(IFERROR(INDEX(Recipes!$H$5:$H$204,MATCH(G412,Recipes!$A$5:$A$204,0)),"")*H412,""))</f>
        <v>0</v>
      </c>
      <c r="M412" s="8">
        <f>IF(OR(G412="",H412=""),"",IFERROR(IFERROR(INDEX(Recipes!$I$5:$I$204,MATCH(G412,Recipes!$A$5:$A$204,0)),"")*H412,""))</f>
        <v>0</v>
      </c>
      <c r="N412" s="8">
        <f>IF(OR(G412="",H412=""),"",IFERROR(IFERROR(INDEX(Recipes!$J$5:$J$204,MATCH(G412,Recipes!$A$5:$A$204,0)),"")*H412,""))</f>
        <v>0</v>
      </c>
      <c r="O412" s="8">
        <f>IF(OR(G412="",H412=""),"",IFERROR(IFERROR(INDEX(Recipes!$K$5:$K$204,MATCH(G412,Recipes!$A$5:$A$204,0)),"")*H412,""))</f>
        <v>0</v>
      </c>
      <c r="P412" s="8">
        <f>IF(OR(G412="",H412=""),"",IFERROR(IFERROR(INDEX(Recipes!$L$5:$L$204,MATCH(G412,Recipes!$A$5:$A$204,0)),"")*H412,""))</f>
        <v>0</v>
      </c>
      <c r="Q412" s="8">
        <f>IF(OR(G412="",H412=""),"",IFERROR(IFERROR(INDEX(Recipes!$Q$5:$Q$204,MATCH(G412,Recipes!$A$5:$A$204,0)),"")*H412,""))</f>
        <v>0</v>
      </c>
      <c r="R412" s="8">
        <f>IF(F412="","",Weekly_Budget/21)</f>
        <v>0</v>
      </c>
      <c r="S412" s="27"/>
      <c r="T412" s="27"/>
      <c r="U412" s="26"/>
      <c r="V412" s="7"/>
      <c r="W412" s="7"/>
      <c r="X412" s="26"/>
      <c r="Y412" s="8">
        <f>IF(G412="","",IF(COUNTIFS('Meal Prep'!$D$5:$D$124,G412)&gt;0,"Yes","No"))</f>
        <v>0</v>
      </c>
      <c r="Z412" s="8">
        <f>IF(G412="","",COUNTIFS('Recipe Ingredients'!$A$5:$A$1204,G412))</f>
        <v>0</v>
      </c>
      <c r="AA412" s="25"/>
      <c r="AB412" s="8">
        <f>IF(OR(B412="",Q412=""),"",COUNTIFS($B$5:$B$504,B412,$Q$5:$Q$504,"&gt;"&amp;Q412)+1)</f>
        <v>0</v>
      </c>
      <c r="AC412" s="8">
        <f>IF(OR(B412="",L412=""),"",COUNTIFS($B$5:$B$504,B412,$L$5:$L$504,"&gt;"&amp;L412)+1)</f>
        <v>0</v>
      </c>
      <c r="AD412" s="8">
        <f>IF(G412="","",IF(COUNTIFS($G$5:$G$504,G412)&gt;1,"Repeat","Once"))</f>
        <v>0</v>
      </c>
      <c r="AE412" s="8">
        <f>IF(G412="","",IF(IFERROR(INDEX(Recipes!$X$5:$X$204,MATCH(G412,Recipes!$A$5:$A$204,0)),"")="","",IFERROR(B412-IFERROR(INDEX(Recipes!$X$5:$X$204,MATCH(G412,Recipes!$A$5:$A$204,0)),""),"")))</f>
        <v>0</v>
      </c>
      <c r="AF412" s="8">
        <f>IF(G412="","",IF(AE412="","Yes",IF(AE412&gt;=Rotation_Gap_Days,"Yes","No")))</f>
        <v>0</v>
      </c>
      <c r="AG412" s="8">
        <f>IF(G412="","",IF(COUNTIFS('Recipe Ingredients'!$A$5:$A$1204,G412,'Recipe Ingredients'!$AC$5:$AC$1204,"Check")&gt;0,"Check","OK"))</f>
        <v>0</v>
      </c>
    </row>
    <row r="413" spans="1:33">
      <c r="A413" s="7"/>
      <c r="B413" s="30"/>
      <c r="C413" s="8">
        <f>IF(B413="","",B413-WEEKDAY(B413,2)+1)</f>
        <v>0</v>
      </c>
      <c r="D413" s="8">
        <f>IF(B413="","",TEXT(B413,"ddd"))</f>
        <v>0</v>
      </c>
      <c r="E413" s="8">
        <f>IF(B413="","",TEXT(B413,"mmm yyyy"))</f>
        <v>0</v>
      </c>
      <c r="F413" s="27"/>
      <c r="G413" s="7"/>
      <c r="H413" s="26"/>
      <c r="I413" s="8">
        <f>IF(G413="","",IFERROR(INDEX(Recipes!$D$5:$D$204,MATCH(G413,Recipes!$A$5:$A$204,0)),""))</f>
        <v>0</v>
      </c>
      <c r="J413" s="8">
        <f>IF(OR(G413="",H413="",I413="",I413=0),"",H413/I413)</f>
        <v>0</v>
      </c>
      <c r="K413" s="8">
        <f>IF(B413="","",Household_Size)</f>
        <v>0</v>
      </c>
      <c r="L413" s="8">
        <f>IF(OR(G413="",H413=""),"",IFERROR(IFERROR(INDEX(Recipes!$H$5:$H$204,MATCH(G413,Recipes!$A$5:$A$204,0)),"")*H413,""))</f>
        <v>0</v>
      </c>
      <c r="M413" s="8">
        <f>IF(OR(G413="",H413=""),"",IFERROR(IFERROR(INDEX(Recipes!$I$5:$I$204,MATCH(G413,Recipes!$A$5:$A$204,0)),"")*H413,""))</f>
        <v>0</v>
      </c>
      <c r="N413" s="8">
        <f>IF(OR(G413="",H413=""),"",IFERROR(IFERROR(INDEX(Recipes!$J$5:$J$204,MATCH(G413,Recipes!$A$5:$A$204,0)),"")*H413,""))</f>
        <v>0</v>
      </c>
      <c r="O413" s="8">
        <f>IF(OR(G413="",H413=""),"",IFERROR(IFERROR(INDEX(Recipes!$K$5:$K$204,MATCH(G413,Recipes!$A$5:$A$204,0)),"")*H413,""))</f>
        <v>0</v>
      </c>
      <c r="P413" s="8">
        <f>IF(OR(G413="",H413=""),"",IFERROR(IFERROR(INDEX(Recipes!$L$5:$L$204,MATCH(G413,Recipes!$A$5:$A$204,0)),"")*H413,""))</f>
        <v>0</v>
      </c>
      <c r="Q413" s="8">
        <f>IF(OR(G413="",H413=""),"",IFERROR(IFERROR(INDEX(Recipes!$Q$5:$Q$204,MATCH(G413,Recipes!$A$5:$A$204,0)),"")*H413,""))</f>
        <v>0</v>
      </c>
      <c r="R413" s="8">
        <f>IF(F413="","",Weekly_Budget/21)</f>
        <v>0</v>
      </c>
      <c r="S413" s="27"/>
      <c r="T413" s="27"/>
      <c r="U413" s="26"/>
      <c r="V413" s="7"/>
      <c r="W413" s="7"/>
      <c r="X413" s="26"/>
      <c r="Y413" s="8">
        <f>IF(G413="","",IF(COUNTIFS('Meal Prep'!$D$5:$D$124,G413)&gt;0,"Yes","No"))</f>
        <v>0</v>
      </c>
      <c r="Z413" s="8">
        <f>IF(G413="","",COUNTIFS('Recipe Ingredients'!$A$5:$A$1204,G413))</f>
        <v>0</v>
      </c>
      <c r="AA413" s="25"/>
      <c r="AB413" s="8">
        <f>IF(OR(B413="",Q413=""),"",COUNTIFS($B$5:$B$504,B413,$Q$5:$Q$504,"&gt;"&amp;Q413)+1)</f>
        <v>0</v>
      </c>
      <c r="AC413" s="8">
        <f>IF(OR(B413="",L413=""),"",COUNTIFS($B$5:$B$504,B413,$L$5:$L$504,"&gt;"&amp;L413)+1)</f>
        <v>0</v>
      </c>
      <c r="AD413" s="8">
        <f>IF(G413="","",IF(COUNTIFS($G$5:$G$504,G413)&gt;1,"Repeat","Once"))</f>
        <v>0</v>
      </c>
      <c r="AE413" s="8">
        <f>IF(G413="","",IF(IFERROR(INDEX(Recipes!$X$5:$X$204,MATCH(G413,Recipes!$A$5:$A$204,0)),"")="","",IFERROR(B413-IFERROR(INDEX(Recipes!$X$5:$X$204,MATCH(G413,Recipes!$A$5:$A$204,0)),""),"")))</f>
        <v>0</v>
      </c>
      <c r="AF413" s="8">
        <f>IF(G413="","",IF(AE413="","Yes",IF(AE413&gt;=Rotation_Gap_Days,"Yes","No")))</f>
        <v>0</v>
      </c>
      <c r="AG413" s="8">
        <f>IF(G413="","",IF(COUNTIFS('Recipe Ingredients'!$A$5:$A$1204,G413,'Recipe Ingredients'!$AC$5:$AC$1204,"Check")&gt;0,"Check","OK"))</f>
        <v>0</v>
      </c>
    </row>
    <row r="414" spans="1:33">
      <c r="A414" s="7"/>
      <c r="B414" s="30"/>
      <c r="C414" s="8">
        <f>IF(B414="","",B414-WEEKDAY(B414,2)+1)</f>
        <v>0</v>
      </c>
      <c r="D414" s="8">
        <f>IF(B414="","",TEXT(B414,"ddd"))</f>
        <v>0</v>
      </c>
      <c r="E414" s="8">
        <f>IF(B414="","",TEXT(B414,"mmm yyyy"))</f>
        <v>0</v>
      </c>
      <c r="F414" s="27"/>
      <c r="G414" s="7"/>
      <c r="H414" s="26"/>
      <c r="I414" s="8">
        <f>IF(G414="","",IFERROR(INDEX(Recipes!$D$5:$D$204,MATCH(G414,Recipes!$A$5:$A$204,0)),""))</f>
        <v>0</v>
      </c>
      <c r="J414" s="8">
        <f>IF(OR(G414="",H414="",I414="",I414=0),"",H414/I414)</f>
        <v>0</v>
      </c>
      <c r="K414" s="8">
        <f>IF(B414="","",Household_Size)</f>
        <v>0</v>
      </c>
      <c r="L414" s="8">
        <f>IF(OR(G414="",H414=""),"",IFERROR(IFERROR(INDEX(Recipes!$H$5:$H$204,MATCH(G414,Recipes!$A$5:$A$204,0)),"")*H414,""))</f>
        <v>0</v>
      </c>
      <c r="M414" s="8">
        <f>IF(OR(G414="",H414=""),"",IFERROR(IFERROR(INDEX(Recipes!$I$5:$I$204,MATCH(G414,Recipes!$A$5:$A$204,0)),"")*H414,""))</f>
        <v>0</v>
      </c>
      <c r="N414" s="8">
        <f>IF(OR(G414="",H414=""),"",IFERROR(IFERROR(INDEX(Recipes!$J$5:$J$204,MATCH(G414,Recipes!$A$5:$A$204,0)),"")*H414,""))</f>
        <v>0</v>
      </c>
      <c r="O414" s="8">
        <f>IF(OR(G414="",H414=""),"",IFERROR(IFERROR(INDEX(Recipes!$K$5:$K$204,MATCH(G414,Recipes!$A$5:$A$204,0)),"")*H414,""))</f>
        <v>0</v>
      </c>
      <c r="P414" s="8">
        <f>IF(OR(G414="",H414=""),"",IFERROR(IFERROR(INDEX(Recipes!$L$5:$L$204,MATCH(G414,Recipes!$A$5:$A$204,0)),"")*H414,""))</f>
        <v>0</v>
      </c>
      <c r="Q414" s="8">
        <f>IF(OR(G414="",H414=""),"",IFERROR(IFERROR(INDEX(Recipes!$Q$5:$Q$204,MATCH(G414,Recipes!$A$5:$A$204,0)),"")*H414,""))</f>
        <v>0</v>
      </c>
      <c r="R414" s="8">
        <f>IF(F414="","",Weekly_Budget/21)</f>
        <v>0</v>
      </c>
      <c r="S414" s="27"/>
      <c r="T414" s="27"/>
      <c r="U414" s="26"/>
      <c r="V414" s="7"/>
      <c r="W414" s="7"/>
      <c r="X414" s="26"/>
      <c r="Y414" s="8">
        <f>IF(G414="","",IF(COUNTIFS('Meal Prep'!$D$5:$D$124,G414)&gt;0,"Yes","No"))</f>
        <v>0</v>
      </c>
      <c r="Z414" s="8">
        <f>IF(G414="","",COUNTIFS('Recipe Ingredients'!$A$5:$A$1204,G414))</f>
        <v>0</v>
      </c>
      <c r="AA414" s="25"/>
      <c r="AB414" s="8">
        <f>IF(OR(B414="",Q414=""),"",COUNTIFS($B$5:$B$504,B414,$Q$5:$Q$504,"&gt;"&amp;Q414)+1)</f>
        <v>0</v>
      </c>
      <c r="AC414" s="8">
        <f>IF(OR(B414="",L414=""),"",COUNTIFS($B$5:$B$504,B414,$L$5:$L$504,"&gt;"&amp;L414)+1)</f>
        <v>0</v>
      </c>
      <c r="AD414" s="8">
        <f>IF(G414="","",IF(COUNTIFS($G$5:$G$504,G414)&gt;1,"Repeat","Once"))</f>
        <v>0</v>
      </c>
      <c r="AE414" s="8">
        <f>IF(G414="","",IF(IFERROR(INDEX(Recipes!$X$5:$X$204,MATCH(G414,Recipes!$A$5:$A$204,0)),"")="","",IFERROR(B414-IFERROR(INDEX(Recipes!$X$5:$X$204,MATCH(G414,Recipes!$A$5:$A$204,0)),""),"")))</f>
        <v>0</v>
      </c>
      <c r="AF414" s="8">
        <f>IF(G414="","",IF(AE414="","Yes",IF(AE414&gt;=Rotation_Gap_Days,"Yes","No")))</f>
        <v>0</v>
      </c>
      <c r="AG414" s="8">
        <f>IF(G414="","",IF(COUNTIFS('Recipe Ingredients'!$A$5:$A$1204,G414,'Recipe Ingredients'!$AC$5:$AC$1204,"Check")&gt;0,"Check","OK"))</f>
        <v>0</v>
      </c>
    </row>
    <row r="415" spans="1:33">
      <c r="A415" s="7"/>
      <c r="B415" s="30"/>
      <c r="C415" s="8">
        <f>IF(B415="","",B415-WEEKDAY(B415,2)+1)</f>
        <v>0</v>
      </c>
      <c r="D415" s="8">
        <f>IF(B415="","",TEXT(B415,"ddd"))</f>
        <v>0</v>
      </c>
      <c r="E415" s="8">
        <f>IF(B415="","",TEXT(B415,"mmm yyyy"))</f>
        <v>0</v>
      </c>
      <c r="F415" s="27"/>
      <c r="G415" s="7"/>
      <c r="H415" s="26"/>
      <c r="I415" s="8">
        <f>IF(G415="","",IFERROR(INDEX(Recipes!$D$5:$D$204,MATCH(G415,Recipes!$A$5:$A$204,0)),""))</f>
        <v>0</v>
      </c>
      <c r="J415" s="8">
        <f>IF(OR(G415="",H415="",I415="",I415=0),"",H415/I415)</f>
        <v>0</v>
      </c>
      <c r="K415" s="8">
        <f>IF(B415="","",Household_Size)</f>
        <v>0</v>
      </c>
      <c r="L415" s="8">
        <f>IF(OR(G415="",H415=""),"",IFERROR(IFERROR(INDEX(Recipes!$H$5:$H$204,MATCH(G415,Recipes!$A$5:$A$204,0)),"")*H415,""))</f>
        <v>0</v>
      </c>
      <c r="M415" s="8">
        <f>IF(OR(G415="",H415=""),"",IFERROR(IFERROR(INDEX(Recipes!$I$5:$I$204,MATCH(G415,Recipes!$A$5:$A$204,0)),"")*H415,""))</f>
        <v>0</v>
      </c>
      <c r="N415" s="8">
        <f>IF(OR(G415="",H415=""),"",IFERROR(IFERROR(INDEX(Recipes!$J$5:$J$204,MATCH(G415,Recipes!$A$5:$A$204,0)),"")*H415,""))</f>
        <v>0</v>
      </c>
      <c r="O415" s="8">
        <f>IF(OR(G415="",H415=""),"",IFERROR(IFERROR(INDEX(Recipes!$K$5:$K$204,MATCH(G415,Recipes!$A$5:$A$204,0)),"")*H415,""))</f>
        <v>0</v>
      </c>
      <c r="P415" s="8">
        <f>IF(OR(G415="",H415=""),"",IFERROR(IFERROR(INDEX(Recipes!$L$5:$L$204,MATCH(G415,Recipes!$A$5:$A$204,0)),"")*H415,""))</f>
        <v>0</v>
      </c>
      <c r="Q415" s="8">
        <f>IF(OR(G415="",H415=""),"",IFERROR(IFERROR(INDEX(Recipes!$Q$5:$Q$204,MATCH(G415,Recipes!$A$5:$A$204,0)),"")*H415,""))</f>
        <v>0</v>
      </c>
      <c r="R415" s="8">
        <f>IF(F415="","",Weekly_Budget/21)</f>
        <v>0</v>
      </c>
      <c r="S415" s="27"/>
      <c r="T415" s="27"/>
      <c r="U415" s="26"/>
      <c r="V415" s="7"/>
      <c r="W415" s="7"/>
      <c r="X415" s="26"/>
      <c r="Y415" s="8">
        <f>IF(G415="","",IF(COUNTIFS('Meal Prep'!$D$5:$D$124,G415)&gt;0,"Yes","No"))</f>
        <v>0</v>
      </c>
      <c r="Z415" s="8">
        <f>IF(G415="","",COUNTIFS('Recipe Ingredients'!$A$5:$A$1204,G415))</f>
        <v>0</v>
      </c>
      <c r="AA415" s="25"/>
      <c r="AB415" s="8">
        <f>IF(OR(B415="",Q415=""),"",COUNTIFS($B$5:$B$504,B415,$Q$5:$Q$504,"&gt;"&amp;Q415)+1)</f>
        <v>0</v>
      </c>
      <c r="AC415" s="8">
        <f>IF(OR(B415="",L415=""),"",COUNTIFS($B$5:$B$504,B415,$L$5:$L$504,"&gt;"&amp;L415)+1)</f>
        <v>0</v>
      </c>
      <c r="AD415" s="8">
        <f>IF(G415="","",IF(COUNTIFS($G$5:$G$504,G415)&gt;1,"Repeat","Once"))</f>
        <v>0</v>
      </c>
      <c r="AE415" s="8">
        <f>IF(G415="","",IF(IFERROR(INDEX(Recipes!$X$5:$X$204,MATCH(G415,Recipes!$A$5:$A$204,0)),"")="","",IFERROR(B415-IFERROR(INDEX(Recipes!$X$5:$X$204,MATCH(G415,Recipes!$A$5:$A$204,0)),""),"")))</f>
        <v>0</v>
      </c>
      <c r="AF415" s="8">
        <f>IF(G415="","",IF(AE415="","Yes",IF(AE415&gt;=Rotation_Gap_Days,"Yes","No")))</f>
        <v>0</v>
      </c>
      <c r="AG415" s="8">
        <f>IF(G415="","",IF(COUNTIFS('Recipe Ingredients'!$A$5:$A$1204,G415,'Recipe Ingredients'!$AC$5:$AC$1204,"Check")&gt;0,"Check","OK"))</f>
        <v>0</v>
      </c>
    </row>
    <row r="416" spans="1:33">
      <c r="A416" s="7"/>
      <c r="B416" s="30"/>
      <c r="C416" s="8">
        <f>IF(B416="","",B416-WEEKDAY(B416,2)+1)</f>
        <v>0</v>
      </c>
      <c r="D416" s="8">
        <f>IF(B416="","",TEXT(B416,"ddd"))</f>
        <v>0</v>
      </c>
      <c r="E416" s="8">
        <f>IF(B416="","",TEXT(B416,"mmm yyyy"))</f>
        <v>0</v>
      </c>
      <c r="F416" s="27"/>
      <c r="G416" s="7"/>
      <c r="H416" s="26"/>
      <c r="I416" s="8">
        <f>IF(G416="","",IFERROR(INDEX(Recipes!$D$5:$D$204,MATCH(G416,Recipes!$A$5:$A$204,0)),""))</f>
        <v>0</v>
      </c>
      <c r="J416" s="8">
        <f>IF(OR(G416="",H416="",I416="",I416=0),"",H416/I416)</f>
        <v>0</v>
      </c>
      <c r="K416" s="8">
        <f>IF(B416="","",Household_Size)</f>
        <v>0</v>
      </c>
      <c r="L416" s="8">
        <f>IF(OR(G416="",H416=""),"",IFERROR(IFERROR(INDEX(Recipes!$H$5:$H$204,MATCH(G416,Recipes!$A$5:$A$204,0)),"")*H416,""))</f>
        <v>0</v>
      </c>
      <c r="M416" s="8">
        <f>IF(OR(G416="",H416=""),"",IFERROR(IFERROR(INDEX(Recipes!$I$5:$I$204,MATCH(G416,Recipes!$A$5:$A$204,0)),"")*H416,""))</f>
        <v>0</v>
      </c>
      <c r="N416" s="8">
        <f>IF(OR(G416="",H416=""),"",IFERROR(IFERROR(INDEX(Recipes!$J$5:$J$204,MATCH(G416,Recipes!$A$5:$A$204,0)),"")*H416,""))</f>
        <v>0</v>
      </c>
      <c r="O416" s="8">
        <f>IF(OR(G416="",H416=""),"",IFERROR(IFERROR(INDEX(Recipes!$K$5:$K$204,MATCH(G416,Recipes!$A$5:$A$204,0)),"")*H416,""))</f>
        <v>0</v>
      </c>
      <c r="P416" s="8">
        <f>IF(OR(G416="",H416=""),"",IFERROR(IFERROR(INDEX(Recipes!$L$5:$L$204,MATCH(G416,Recipes!$A$5:$A$204,0)),"")*H416,""))</f>
        <v>0</v>
      </c>
      <c r="Q416" s="8">
        <f>IF(OR(G416="",H416=""),"",IFERROR(IFERROR(INDEX(Recipes!$Q$5:$Q$204,MATCH(G416,Recipes!$A$5:$A$204,0)),"")*H416,""))</f>
        <v>0</v>
      </c>
      <c r="R416" s="8">
        <f>IF(F416="","",Weekly_Budget/21)</f>
        <v>0</v>
      </c>
      <c r="S416" s="27"/>
      <c r="T416" s="27"/>
      <c r="U416" s="26"/>
      <c r="V416" s="7"/>
      <c r="W416" s="7"/>
      <c r="X416" s="26"/>
      <c r="Y416" s="8">
        <f>IF(G416="","",IF(COUNTIFS('Meal Prep'!$D$5:$D$124,G416)&gt;0,"Yes","No"))</f>
        <v>0</v>
      </c>
      <c r="Z416" s="8">
        <f>IF(G416="","",COUNTIFS('Recipe Ingredients'!$A$5:$A$1204,G416))</f>
        <v>0</v>
      </c>
      <c r="AA416" s="25"/>
      <c r="AB416" s="8">
        <f>IF(OR(B416="",Q416=""),"",COUNTIFS($B$5:$B$504,B416,$Q$5:$Q$504,"&gt;"&amp;Q416)+1)</f>
        <v>0</v>
      </c>
      <c r="AC416" s="8">
        <f>IF(OR(B416="",L416=""),"",COUNTIFS($B$5:$B$504,B416,$L$5:$L$504,"&gt;"&amp;L416)+1)</f>
        <v>0</v>
      </c>
      <c r="AD416" s="8">
        <f>IF(G416="","",IF(COUNTIFS($G$5:$G$504,G416)&gt;1,"Repeat","Once"))</f>
        <v>0</v>
      </c>
      <c r="AE416" s="8">
        <f>IF(G416="","",IF(IFERROR(INDEX(Recipes!$X$5:$X$204,MATCH(G416,Recipes!$A$5:$A$204,0)),"")="","",IFERROR(B416-IFERROR(INDEX(Recipes!$X$5:$X$204,MATCH(G416,Recipes!$A$5:$A$204,0)),""),"")))</f>
        <v>0</v>
      </c>
      <c r="AF416" s="8">
        <f>IF(G416="","",IF(AE416="","Yes",IF(AE416&gt;=Rotation_Gap_Days,"Yes","No")))</f>
        <v>0</v>
      </c>
      <c r="AG416" s="8">
        <f>IF(G416="","",IF(COUNTIFS('Recipe Ingredients'!$A$5:$A$1204,G416,'Recipe Ingredients'!$AC$5:$AC$1204,"Check")&gt;0,"Check","OK"))</f>
        <v>0</v>
      </c>
    </row>
    <row r="417" spans="1:33">
      <c r="A417" s="7"/>
      <c r="B417" s="30"/>
      <c r="C417" s="8">
        <f>IF(B417="","",B417-WEEKDAY(B417,2)+1)</f>
        <v>0</v>
      </c>
      <c r="D417" s="8">
        <f>IF(B417="","",TEXT(B417,"ddd"))</f>
        <v>0</v>
      </c>
      <c r="E417" s="8">
        <f>IF(B417="","",TEXT(B417,"mmm yyyy"))</f>
        <v>0</v>
      </c>
      <c r="F417" s="27"/>
      <c r="G417" s="7"/>
      <c r="H417" s="26"/>
      <c r="I417" s="8">
        <f>IF(G417="","",IFERROR(INDEX(Recipes!$D$5:$D$204,MATCH(G417,Recipes!$A$5:$A$204,0)),""))</f>
        <v>0</v>
      </c>
      <c r="J417" s="8">
        <f>IF(OR(G417="",H417="",I417="",I417=0),"",H417/I417)</f>
        <v>0</v>
      </c>
      <c r="K417" s="8">
        <f>IF(B417="","",Household_Size)</f>
        <v>0</v>
      </c>
      <c r="L417" s="8">
        <f>IF(OR(G417="",H417=""),"",IFERROR(IFERROR(INDEX(Recipes!$H$5:$H$204,MATCH(G417,Recipes!$A$5:$A$204,0)),"")*H417,""))</f>
        <v>0</v>
      </c>
      <c r="M417" s="8">
        <f>IF(OR(G417="",H417=""),"",IFERROR(IFERROR(INDEX(Recipes!$I$5:$I$204,MATCH(G417,Recipes!$A$5:$A$204,0)),"")*H417,""))</f>
        <v>0</v>
      </c>
      <c r="N417" s="8">
        <f>IF(OR(G417="",H417=""),"",IFERROR(IFERROR(INDEX(Recipes!$J$5:$J$204,MATCH(G417,Recipes!$A$5:$A$204,0)),"")*H417,""))</f>
        <v>0</v>
      </c>
      <c r="O417" s="8">
        <f>IF(OR(G417="",H417=""),"",IFERROR(IFERROR(INDEX(Recipes!$K$5:$K$204,MATCH(G417,Recipes!$A$5:$A$204,0)),"")*H417,""))</f>
        <v>0</v>
      </c>
      <c r="P417" s="8">
        <f>IF(OR(G417="",H417=""),"",IFERROR(IFERROR(INDEX(Recipes!$L$5:$L$204,MATCH(G417,Recipes!$A$5:$A$204,0)),"")*H417,""))</f>
        <v>0</v>
      </c>
      <c r="Q417" s="8">
        <f>IF(OR(G417="",H417=""),"",IFERROR(IFERROR(INDEX(Recipes!$Q$5:$Q$204,MATCH(G417,Recipes!$A$5:$A$204,0)),"")*H417,""))</f>
        <v>0</v>
      </c>
      <c r="R417" s="8">
        <f>IF(F417="","",Weekly_Budget/21)</f>
        <v>0</v>
      </c>
      <c r="S417" s="27"/>
      <c r="T417" s="27"/>
      <c r="U417" s="26"/>
      <c r="V417" s="7"/>
      <c r="W417" s="7"/>
      <c r="X417" s="26"/>
      <c r="Y417" s="8">
        <f>IF(G417="","",IF(COUNTIFS('Meal Prep'!$D$5:$D$124,G417)&gt;0,"Yes","No"))</f>
        <v>0</v>
      </c>
      <c r="Z417" s="8">
        <f>IF(G417="","",COUNTIFS('Recipe Ingredients'!$A$5:$A$1204,G417))</f>
        <v>0</v>
      </c>
      <c r="AA417" s="25"/>
      <c r="AB417" s="8">
        <f>IF(OR(B417="",Q417=""),"",COUNTIFS($B$5:$B$504,B417,$Q$5:$Q$504,"&gt;"&amp;Q417)+1)</f>
        <v>0</v>
      </c>
      <c r="AC417" s="8">
        <f>IF(OR(B417="",L417=""),"",COUNTIFS($B$5:$B$504,B417,$L$5:$L$504,"&gt;"&amp;L417)+1)</f>
        <v>0</v>
      </c>
      <c r="AD417" s="8">
        <f>IF(G417="","",IF(COUNTIFS($G$5:$G$504,G417)&gt;1,"Repeat","Once"))</f>
        <v>0</v>
      </c>
      <c r="AE417" s="8">
        <f>IF(G417="","",IF(IFERROR(INDEX(Recipes!$X$5:$X$204,MATCH(G417,Recipes!$A$5:$A$204,0)),"")="","",IFERROR(B417-IFERROR(INDEX(Recipes!$X$5:$X$204,MATCH(G417,Recipes!$A$5:$A$204,0)),""),"")))</f>
        <v>0</v>
      </c>
      <c r="AF417" s="8">
        <f>IF(G417="","",IF(AE417="","Yes",IF(AE417&gt;=Rotation_Gap_Days,"Yes","No")))</f>
        <v>0</v>
      </c>
      <c r="AG417" s="8">
        <f>IF(G417="","",IF(COUNTIFS('Recipe Ingredients'!$A$5:$A$1204,G417,'Recipe Ingredients'!$AC$5:$AC$1204,"Check")&gt;0,"Check","OK"))</f>
        <v>0</v>
      </c>
    </row>
    <row r="418" spans="1:33">
      <c r="A418" s="7"/>
      <c r="B418" s="30"/>
      <c r="C418" s="8">
        <f>IF(B418="","",B418-WEEKDAY(B418,2)+1)</f>
        <v>0</v>
      </c>
      <c r="D418" s="8">
        <f>IF(B418="","",TEXT(B418,"ddd"))</f>
        <v>0</v>
      </c>
      <c r="E418" s="8">
        <f>IF(B418="","",TEXT(B418,"mmm yyyy"))</f>
        <v>0</v>
      </c>
      <c r="F418" s="27"/>
      <c r="G418" s="7"/>
      <c r="H418" s="26"/>
      <c r="I418" s="8">
        <f>IF(G418="","",IFERROR(INDEX(Recipes!$D$5:$D$204,MATCH(G418,Recipes!$A$5:$A$204,0)),""))</f>
        <v>0</v>
      </c>
      <c r="J418" s="8">
        <f>IF(OR(G418="",H418="",I418="",I418=0),"",H418/I418)</f>
        <v>0</v>
      </c>
      <c r="K418" s="8">
        <f>IF(B418="","",Household_Size)</f>
        <v>0</v>
      </c>
      <c r="L418" s="8">
        <f>IF(OR(G418="",H418=""),"",IFERROR(IFERROR(INDEX(Recipes!$H$5:$H$204,MATCH(G418,Recipes!$A$5:$A$204,0)),"")*H418,""))</f>
        <v>0</v>
      </c>
      <c r="M418" s="8">
        <f>IF(OR(G418="",H418=""),"",IFERROR(IFERROR(INDEX(Recipes!$I$5:$I$204,MATCH(G418,Recipes!$A$5:$A$204,0)),"")*H418,""))</f>
        <v>0</v>
      </c>
      <c r="N418" s="8">
        <f>IF(OR(G418="",H418=""),"",IFERROR(IFERROR(INDEX(Recipes!$J$5:$J$204,MATCH(G418,Recipes!$A$5:$A$204,0)),"")*H418,""))</f>
        <v>0</v>
      </c>
      <c r="O418" s="8">
        <f>IF(OR(G418="",H418=""),"",IFERROR(IFERROR(INDEX(Recipes!$K$5:$K$204,MATCH(G418,Recipes!$A$5:$A$204,0)),"")*H418,""))</f>
        <v>0</v>
      </c>
      <c r="P418" s="8">
        <f>IF(OR(G418="",H418=""),"",IFERROR(IFERROR(INDEX(Recipes!$L$5:$L$204,MATCH(G418,Recipes!$A$5:$A$204,0)),"")*H418,""))</f>
        <v>0</v>
      </c>
      <c r="Q418" s="8">
        <f>IF(OR(G418="",H418=""),"",IFERROR(IFERROR(INDEX(Recipes!$Q$5:$Q$204,MATCH(G418,Recipes!$A$5:$A$204,0)),"")*H418,""))</f>
        <v>0</v>
      </c>
      <c r="R418" s="8">
        <f>IF(F418="","",Weekly_Budget/21)</f>
        <v>0</v>
      </c>
      <c r="S418" s="27"/>
      <c r="T418" s="27"/>
      <c r="U418" s="26"/>
      <c r="V418" s="7"/>
      <c r="W418" s="7"/>
      <c r="X418" s="26"/>
      <c r="Y418" s="8">
        <f>IF(G418="","",IF(COUNTIFS('Meal Prep'!$D$5:$D$124,G418)&gt;0,"Yes","No"))</f>
        <v>0</v>
      </c>
      <c r="Z418" s="8">
        <f>IF(G418="","",COUNTIFS('Recipe Ingredients'!$A$5:$A$1204,G418))</f>
        <v>0</v>
      </c>
      <c r="AA418" s="25"/>
      <c r="AB418" s="8">
        <f>IF(OR(B418="",Q418=""),"",COUNTIFS($B$5:$B$504,B418,$Q$5:$Q$504,"&gt;"&amp;Q418)+1)</f>
        <v>0</v>
      </c>
      <c r="AC418" s="8">
        <f>IF(OR(B418="",L418=""),"",COUNTIFS($B$5:$B$504,B418,$L$5:$L$504,"&gt;"&amp;L418)+1)</f>
        <v>0</v>
      </c>
      <c r="AD418" s="8">
        <f>IF(G418="","",IF(COUNTIFS($G$5:$G$504,G418)&gt;1,"Repeat","Once"))</f>
        <v>0</v>
      </c>
      <c r="AE418" s="8">
        <f>IF(G418="","",IF(IFERROR(INDEX(Recipes!$X$5:$X$204,MATCH(G418,Recipes!$A$5:$A$204,0)),"")="","",IFERROR(B418-IFERROR(INDEX(Recipes!$X$5:$X$204,MATCH(G418,Recipes!$A$5:$A$204,0)),""),"")))</f>
        <v>0</v>
      </c>
      <c r="AF418" s="8">
        <f>IF(G418="","",IF(AE418="","Yes",IF(AE418&gt;=Rotation_Gap_Days,"Yes","No")))</f>
        <v>0</v>
      </c>
      <c r="AG418" s="8">
        <f>IF(G418="","",IF(COUNTIFS('Recipe Ingredients'!$A$5:$A$1204,G418,'Recipe Ingredients'!$AC$5:$AC$1204,"Check")&gt;0,"Check","OK"))</f>
        <v>0</v>
      </c>
    </row>
    <row r="419" spans="1:33">
      <c r="A419" s="7"/>
      <c r="B419" s="30"/>
      <c r="C419" s="8">
        <f>IF(B419="","",B419-WEEKDAY(B419,2)+1)</f>
        <v>0</v>
      </c>
      <c r="D419" s="8">
        <f>IF(B419="","",TEXT(B419,"ddd"))</f>
        <v>0</v>
      </c>
      <c r="E419" s="8">
        <f>IF(B419="","",TEXT(B419,"mmm yyyy"))</f>
        <v>0</v>
      </c>
      <c r="F419" s="27"/>
      <c r="G419" s="7"/>
      <c r="H419" s="26"/>
      <c r="I419" s="8">
        <f>IF(G419="","",IFERROR(INDEX(Recipes!$D$5:$D$204,MATCH(G419,Recipes!$A$5:$A$204,0)),""))</f>
        <v>0</v>
      </c>
      <c r="J419" s="8">
        <f>IF(OR(G419="",H419="",I419="",I419=0),"",H419/I419)</f>
        <v>0</v>
      </c>
      <c r="K419" s="8">
        <f>IF(B419="","",Household_Size)</f>
        <v>0</v>
      </c>
      <c r="L419" s="8">
        <f>IF(OR(G419="",H419=""),"",IFERROR(IFERROR(INDEX(Recipes!$H$5:$H$204,MATCH(G419,Recipes!$A$5:$A$204,0)),"")*H419,""))</f>
        <v>0</v>
      </c>
      <c r="M419" s="8">
        <f>IF(OR(G419="",H419=""),"",IFERROR(IFERROR(INDEX(Recipes!$I$5:$I$204,MATCH(G419,Recipes!$A$5:$A$204,0)),"")*H419,""))</f>
        <v>0</v>
      </c>
      <c r="N419" s="8">
        <f>IF(OR(G419="",H419=""),"",IFERROR(IFERROR(INDEX(Recipes!$J$5:$J$204,MATCH(G419,Recipes!$A$5:$A$204,0)),"")*H419,""))</f>
        <v>0</v>
      </c>
      <c r="O419" s="8">
        <f>IF(OR(G419="",H419=""),"",IFERROR(IFERROR(INDEX(Recipes!$K$5:$K$204,MATCH(G419,Recipes!$A$5:$A$204,0)),"")*H419,""))</f>
        <v>0</v>
      </c>
      <c r="P419" s="8">
        <f>IF(OR(G419="",H419=""),"",IFERROR(IFERROR(INDEX(Recipes!$L$5:$L$204,MATCH(G419,Recipes!$A$5:$A$204,0)),"")*H419,""))</f>
        <v>0</v>
      </c>
      <c r="Q419" s="8">
        <f>IF(OR(G419="",H419=""),"",IFERROR(IFERROR(INDEX(Recipes!$Q$5:$Q$204,MATCH(G419,Recipes!$A$5:$A$204,0)),"")*H419,""))</f>
        <v>0</v>
      </c>
      <c r="R419" s="8">
        <f>IF(F419="","",Weekly_Budget/21)</f>
        <v>0</v>
      </c>
      <c r="S419" s="27"/>
      <c r="T419" s="27"/>
      <c r="U419" s="26"/>
      <c r="V419" s="7"/>
      <c r="W419" s="7"/>
      <c r="X419" s="26"/>
      <c r="Y419" s="8">
        <f>IF(G419="","",IF(COUNTIFS('Meal Prep'!$D$5:$D$124,G419)&gt;0,"Yes","No"))</f>
        <v>0</v>
      </c>
      <c r="Z419" s="8">
        <f>IF(G419="","",COUNTIFS('Recipe Ingredients'!$A$5:$A$1204,G419))</f>
        <v>0</v>
      </c>
      <c r="AA419" s="25"/>
      <c r="AB419" s="8">
        <f>IF(OR(B419="",Q419=""),"",COUNTIFS($B$5:$B$504,B419,$Q$5:$Q$504,"&gt;"&amp;Q419)+1)</f>
        <v>0</v>
      </c>
      <c r="AC419" s="8">
        <f>IF(OR(B419="",L419=""),"",COUNTIFS($B$5:$B$504,B419,$L$5:$L$504,"&gt;"&amp;L419)+1)</f>
        <v>0</v>
      </c>
      <c r="AD419" s="8">
        <f>IF(G419="","",IF(COUNTIFS($G$5:$G$504,G419)&gt;1,"Repeat","Once"))</f>
        <v>0</v>
      </c>
      <c r="AE419" s="8">
        <f>IF(G419="","",IF(IFERROR(INDEX(Recipes!$X$5:$X$204,MATCH(G419,Recipes!$A$5:$A$204,0)),"")="","",IFERROR(B419-IFERROR(INDEX(Recipes!$X$5:$X$204,MATCH(G419,Recipes!$A$5:$A$204,0)),""),"")))</f>
        <v>0</v>
      </c>
      <c r="AF419" s="8">
        <f>IF(G419="","",IF(AE419="","Yes",IF(AE419&gt;=Rotation_Gap_Days,"Yes","No")))</f>
        <v>0</v>
      </c>
      <c r="AG419" s="8">
        <f>IF(G419="","",IF(COUNTIFS('Recipe Ingredients'!$A$5:$A$1204,G419,'Recipe Ingredients'!$AC$5:$AC$1204,"Check")&gt;0,"Check","OK"))</f>
        <v>0</v>
      </c>
    </row>
    <row r="420" spans="1:33">
      <c r="A420" s="7"/>
      <c r="B420" s="30"/>
      <c r="C420" s="8">
        <f>IF(B420="","",B420-WEEKDAY(B420,2)+1)</f>
        <v>0</v>
      </c>
      <c r="D420" s="8">
        <f>IF(B420="","",TEXT(B420,"ddd"))</f>
        <v>0</v>
      </c>
      <c r="E420" s="8">
        <f>IF(B420="","",TEXT(B420,"mmm yyyy"))</f>
        <v>0</v>
      </c>
      <c r="F420" s="27"/>
      <c r="G420" s="7"/>
      <c r="H420" s="26"/>
      <c r="I420" s="8">
        <f>IF(G420="","",IFERROR(INDEX(Recipes!$D$5:$D$204,MATCH(G420,Recipes!$A$5:$A$204,0)),""))</f>
        <v>0</v>
      </c>
      <c r="J420" s="8">
        <f>IF(OR(G420="",H420="",I420="",I420=0),"",H420/I420)</f>
        <v>0</v>
      </c>
      <c r="K420" s="8">
        <f>IF(B420="","",Household_Size)</f>
        <v>0</v>
      </c>
      <c r="L420" s="8">
        <f>IF(OR(G420="",H420=""),"",IFERROR(IFERROR(INDEX(Recipes!$H$5:$H$204,MATCH(G420,Recipes!$A$5:$A$204,0)),"")*H420,""))</f>
        <v>0</v>
      </c>
      <c r="M420" s="8">
        <f>IF(OR(G420="",H420=""),"",IFERROR(IFERROR(INDEX(Recipes!$I$5:$I$204,MATCH(G420,Recipes!$A$5:$A$204,0)),"")*H420,""))</f>
        <v>0</v>
      </c>
      <c r="N420" s="8">
        <f>IF(OR(G420="",H420=""),"",IFERROR(IFERROR(INDEX(Recipes!$J$5:$J$204,MATCH(G420,Recipes!$A$5:$A$204,0)),"")*H420,""))</f>
        <v>0</v>
      </c>
      <c r="O420" s="8">
        <f>IF(OR(G420="",H420=""),"",IFERROR(IFERROR(INDEX(Recipes!$K$5:$K$204,MATCH(G420,Recipes!$A$5:$A$204,0)),"")*H420,""))</f>
        <v>0</v>
      </c>
      <c r="P420" s="8">
        <f>IF(OR(G420="",H420=""),"",IFERROR(IFERROR(INDEX(Recipes!$L$5:$L$204,MATCH(G420,Recipes!$A$5:$A$204,0)),"")*H420,""))</f>
        <v>0</v>
      </c>
      <c r="Q420" s="8">
        <f>IF(OR(G420="",H420=""),"",IFERROR(IFERROR(INDEX(Recipes!$Q$5:$Q$204,MATCH(G420,Recipes!$A$5:$A$204,0)),"")*H420,""))</f>
        <v>0</v>
      </c>
      <c r="R420" s="8">
        <f>IF(F420="","",Weekly_Budget/21)</f>
        <v>0</v>
      </c>
      <c r="S420" s="27"/>
      <c r="T420" s="27"/>
      <c r="U420" s="26"/>
      <c r="V420" s="7"/>
      <c r="W420" s="7"/>
      <c r="X420" s="26"/>
      <c r="Y420" s="8">
        <f>IF(G420="","",IF(COUNTIFS('Meal Prep'!$D$5:$D$124,G420)&gt;0,"Yes","No"))</f>
        <v>0</v>
      </c>
      <c r="Z420" s="8">
        <f>IF(G420="","",COUNTIFS('Recipe Ingredients'!$A$5:$A$1204,G420))</f>
        <v>0</v>
      </c>
      <c r="AA420" s="25"/>
      <c r="AB420" s="8">
        <f>IF(OR(B420="",Q420=""),"",COUNTIFS($B$5:$B$504,B420,$Q$5:$Q$504,"&gt;"&amp;Q420)+1)</f>
        <v>0</v>
      </c>
      <c r="AC420" s="8">
        <f>IF(OR(B420="",L420=""),"",COUNTIFS($B$5:$B$504,B420,$L$5:$L$504,"&gt;"&amp;L420)+1)</f>
        <v>0</v>
      </c>
      <c r="AD420" s="8">
        <f>IF(G420="","",IF(COUNTIFS($G$5:$G$504,G420)&gt;1,"Repeat","Once"))</f>
        <v>0</v>
      </c>
      <c r="AE420" s="8">
        <f>IF(G420="","",IF(IFERROR(INDEX(Recipes!$X$5:$X$204,MATCH(G420,Recipes!$A$5:$A$204,0)),"")="","",IFERROR(B420-IFERROR(INDEX(Recipes!$X$5:$X$204,MATCH(G420,Recipes!$A$5:$A$204,0)),""),"")))</f>
        <v>0</v>
      </c>
      <c r="AF420" s="8">
        <f>IF(G420="","",IF(AE420="","Yes",IF(AE420&gt;=Rotation_Gap_Days,"Yes","No")))</f>
        <v>0</v>
      </c>
      <c r="AG420" s="8">
        <f>IF(G420="","",IF(COUNTIFS('Recipe Ingredients'!$A$5:$A$1204,G420,'Recipe Ingredients'!$AC$5:$AC$1204,"Check")&gt;0,"Check","OK"))</f>
        <v>0</v>
      </c>
    </row>
    <row r="421" spans="1:33">
      <c r="A421" s="7"/>
      <c r="B421" s="30"/>
      <c r="C421" s="8">
        <f>IF(B421="","",B421-WEEKDAY(B421,2)+1)</f>
        <v>0</v>
      </c>
      <c r="D421" s="8">
        <f>IF(B421="","",TEXT(B421,"ddd"))</f>
        <v>0</v>
      </c>
      <c r="E421" s="8">
        <f>IF(B421="","",TEXT(B421,"mmm yyyy"))</f>
        <v>0</v>
      </c>
      <c r="F421" s="27"/>
      <c r="G421" s="7"/>
      <c r="H421" s="26"/>
      <c r="I421" s="8">
        <f>IF(G421="","",IFERROR(INDEX(Recipes!$D$5:$D$204,MATCH(G421,Recipes!$A$5:$A$204,0)),""))</f>
        <v>0</v>
      </c>
      <c r="J421" s="8">
        <f>IF(OR(G421="",H421="",I421="",I421=0),"",H421/I421)</f>
        <v>0</v>
      </c>
      <c r="K421" s="8">
        <f>IF(B421="","",Household_Size)</f>
        <v>0</v>
      </c>
      <c r="L421" s="8">
        <f>IF(OR(G421="",H421=""),"",IFERROR(IFERROR(INDEX(Recipes!$H$5:$H$204,MATCH(G421,Recipes!$A$5:$A$204,0)),"")*H421,""))</f>
        <v>0</v>
      </c>
      <c r="M421" s="8">
        <f>IF(OR(G421="",H421=""),"",IFERROR(IFERROR(INDEX(Recipes!$I$5:$I$204,MATCH(G421,Recipes!$A$5:$A$204,0)),"")*H421,""))</f>
        <v>0</v>
      </c>
      <c r="N421" s="8">
        <f>IF(OR(G421="",H421=""),"",IFERROR(IFERROR(INDEX(Recipes!$J$5:$J$204,MATCH(G421,Recipes!$A$5:$A$204,0)),"")*H421,""))</f>
        <v>0</v>
      </c>
      <c r="O421" s="8">
        <f>IF(OR(G421="",H421=""),"",IFERROR(IFERROR(INDEX(Recipes!$K$5:$K$204,MATCH(G421,Recipes!$A$5:$A$204,0)),"")*H421,""))</f>
        <v>0</v>
      </c>
      <c r="P421" s="8">
        <f>IF(OR(G421="",H421=""),"",IFERROR(IFERROR(INDEX(Recipes!$L$5:$L$204,MATCH(G421,Recipes!$A$5:$A$204,0)),"")*H421,""))</f>
        <v>0</v>
      </c>
      <c r="Q421" s="8">
        <f>IF(OR(G421="",H421=""),"",IFERROR(IFERROR(INDEX(Recipes!$Q$5:$Q$204,MATCH(G421,Recipes!$A$5:$A$204,0)),"")*H421,""))</f>
        <v>0</v>
      </c>
      <c r="R421" s="8">
        <f>IF(F421="","",Weekly_Budget/21)</f>
        <v>0</v>
      </c>
      <c r="S421" s="27"/>
      <c r="T421" s="27"/>
      <c r="U421" s="26"/>
      <c r="V421" s="7"/>
      <c r="W421" s="7"/>
      <c r="X421" s="26"/>
      <c r="Y421" s="8">
        <f>IF(G421="","",IF(COUNTIFS('Meal Prep'!$D$5:$D$124,G421)&gt;0,"Yes","No"))</f>
        <v>0</v>
      </c>
      <c r="Z421" s="8">
        <f>IF(G421="","",COUNTIFS('Recipe Ingredients'!$A$5:$A$1204,G421))</f>
        <v>0</v>
      </c>
      <c r="AA421" s="25"/>
      <c r="AB421" s="8">
        <f>IF(OR(B421="",Q421=""),"",COUNTIFS($B$5:$B$504,B421,$Q$5:$Q$504,"&gt;"&amp;Q421)+1)</f>
        <v>0</v>
      </c>
      <c r="AC421" s="8">
        <f>IF(OR(B421="",L421=""),"",COUNTIFS($B$5:$B$504,B421,$L$5:$L$504,"&gt;"&amp;L421)+1)</f>
        <v>0</v>
      </c>
      <c r="AD421" s="8">
        <f>IF(G421="","",IF(COUNTIFS($G$5:$G$504,G421)&gt;1,"Repeat","Once"))</f>
        <v>0</v>
      </c>
      <c r="AE421" s="8">
        <f>IF(G421="","",IF(IFERROR(INDEX(Recipes!$X$5:$X$204,MATCH(G421,Recipes!$A$5:$A$204,0)),"")="","",IFERROR(B421-IFERROR(INDEX(Recipes!$X$5:$X$204,MATCH(G421,Recipes!$A$5:$A$204,0)),""),"")))</f>
        <v>0</v>
      </c>
      <c r="AF421" s="8">
        <f>IF(G421="","",IF(AE421="","Yes",IF(AE421&gt;=Rotation_Gap_Days,"Yes","No")))</f>
        <v>0</v>
      </c>
      <c r="AG421" s="8">
        <f>IF(G421="","",IF(COUNTIFS('Recipe Ingredients'!$A$5:$A$1204,G421,'Recipe Ingredients'!$AC$5:$AC$1204,"Check")&gt;0,"Check","OK"))</f>
        <v>0</v>
      </c>
    </row>
    <row r="422" spans="1:33">
      <c r="A422" s="7"/>
      <c r="B422" s="30"/>
      <c r="C422" s="8">
        <f>IF(B422="","",B422-WEEKDAY(B422,2)+1)</f>
        <v>0</v>
      </c>
      <c r="D422" s="8">
        <f>IF(B422="","",TEXT(B422,"ddd"))</f>
        <v>0</v>
      </c>
      <c r="E422" s="8">
        <f>IF(B422="","",TEXT(B422,"mmm yyyy"))</f>
        <v>0</v>
      </c>
      <c r="F422" s="27"/>
      <c r="G422" s="7"/>
      <c r="H422" s="26"/>
      <c r="I422" s="8">
        <f>IF(G422="","",IFERROR(INDEX(Recipes!$D$5:$D$204,MATCH(G422,Recipes!$A$5:$A$204,0)),""))</f>
        <v>0</v>
      </c>
      <c r="J422" s="8">
        <f>IF(OR(G422="",H422="",I422="",I422=0),"",H422/I422)</f>
        <v>0</v>
      </c>
      <c r="K422" s="8">
        <f>IF(B422="","",Household_Size)</f>
        <v>0</v>
      </c>
      <c r="L422" s="8">
        <f>IF(OR(G422="",H422=""),"",IFERROR(IFERROR(INDEX(Recipes!$H$5:$H$204,MATCH(G422,Recipes!$A$5:$A$204,0)),"")*H422,""))</f>
        <v>0</v>
      </c>
      <c r="M422" s="8">
        <f>IF(OR(G422="",H422=""),"",IFERROR(IFERROR(INDEX(Recipes!$I$5:$I$204,MATCH(G422,Recipes!$A$5:$A$204,0)),"")*H422,""))</f>
        <v>0</v>
      </c>
      <c r="N422" s="8">
        <f>IF(OR(G422="",H422=""),"",IFERROR(IFERROR(INDEX(Recipes!$J$5:$J$204,MATCH(G422,Recipes!$A$5:$A$204,0)),"")*H422,""))</f>
        <v>0</v>
      </c>
      <c r="O422" s="8">
        <f>IF(OR(G422="",H422=""),"",IFERROR(IFERROR(INDEX(Recipes!$K$5:$K$204,MATCH(G422,Recipes!$A$5:$A$204,0)),"")*H422,""))</f>
        <v>0</v>
      </c>
      <c r="P422" s="8">
        <f>IF(OR(G422="",H422=""),"",IFERROR(IFERROR(INDEX(Recipes!$L$5:$L$204,MATCH(G422,Recipes!$A$5:$A$204,0)),"")*H422,""))</f>
        <v>0</v>
      </c>
      <c r="Q422" s="8">
        <f>IF(OR(G422="",H422=""),"",IFERROR(IFERROR(INDEX(Recipes!$Q$5:$Q$204,MATCH(G422,Recipes!$A$5:$A$204,0)),"")*H422,""))</f>
        <v>0</v>
      </c>
      <c r="R422" s="8">
        <f>IF(F422="","",Weekly_Budget/21)</f>
        <v>0</v>
      </c>
      <c r="S422" s="27"/>
      <c r="T422" s="27"/>
      <c r="U422" s="26"/>
      <c r="V422" s="7"/>
      <c r="W422" s="7"/>
      <c r="X422" s="26"/>
      <c r="Y422" s="8">
        <f>IF(G422="","",IF(COUNTIFS('Meal Prep'!$D$5:$D$124,G422)&gt;0,"Yes","No"))</f>
        <v>0</v>
      </c>
      <c r="Z422" s="8">
        <f>IF(G422="","",COUNTIFS('Recipe Ingredients'!$A$5:$A$1204,G422))</f>
        <v>0</v>
      </c>
      <c r="AA422" s="25"/>
      <c r="AB422" s="8">
        <f>IF(OR(B422="",Q422=""),"",COUNTIFS($B$5:$B$504,B422,$Q$5:$Q$504,"&gt;"&amp;Q422)+1)</f>
        <v>0</v>
      </c>
      <c r="AC422" s="8">
        <f>IF(OR(B422="",L422=""),"",COUNTIFS($B$5:$B$504,B422,$L$5:$L$504,"&gt;"&amp;L422)+1)</f>
        <v>0</v>
      </c>
      <c r="AD422" s="8">
        <f>IF(G422="","",IF(COUNTIFS($G$5:$G$504,G422)&gt;1,"Repeat","Once"))</f>
        <v>0</v>
      </c>
      <c r="AE422" s="8">
        <f>IF(G422="","",IF(IFERROR(INDEX(Recipes!$X$5:$X$204,MATCH(G422,Recipes!$A$5:$A$204,0)),"")="","",IFERROR(B422-IFERROR(INDEX(Recipes!$X$5:$X$204,MATCH(G422,Recipes!$A$5:$A$204,0)),""),"")))</f>
        <v>0</v>
      </c>
      <c r="AF422" s="8">
        <f>IF(G422="","",IF(AE422="","Yes",IF(AE422&gt;=Rotation_Gap_Days,"Yes","No")))</f>
        <v>0</v>
      </c>
      <c r="AG422" s="8">
        <f>IF(G422="","",IF(COUNTIFS('Recipe Ingredients'!$A$5:$A$1204,G422,'Recipe Ingredients'!$AC$5:$AC$1204,"Check")&gt;0,"Check","OK"))</f>
        <v>0</v>
      </c>
    </row>
    <row r="423" spans="1:33">
      <c r="A423" s="7"/>
      <c r="B423" s="30"/>
      <c r="C423" s="8">
        <f>IF(B423="","",B423-WEEKDAY(B423,2)+1)</f>
        <v>0</v>
      </c>
      <c r="D423" s="8">
        <f>IF(B423="","",TEXT(B423,"ddd"))</f>
        <v>0</v>
      </c>
      <c r="E423" s="8">
        <f>IF(B423="","",TEXT(B423,"mmm yyyy"))</f>
        <v>0</v>
      </c>
      <c r="F423" s="27"/>
      <c r="G423" s="7"/>
      <c r="H423" s="26"/>
      <c r="I423" s="8">
        <f>IF(G423="","",IFERROR(INDEX(Recipes!$D$5:$D$204,MATCH(G423,Recipes!$A$5:$A$204,0)),""))</f>
        <v>0</v>
      </c>
      <c r="J423" s="8">
        <f>IF(OR(G423="",H423="",I423="",I423=0),"",H423/I423)</f>
        <v>0</v>
      </c>
      <c r="K423" s="8">
        <f>IF(B423="","",Household_Size)</f>
        <v>0</v>
      </c>
      <c r="L423" s="8">
        <f>IF(OR(G423="",H423=""),"",IFERROR(IFERROR(INDEX(Recipes!$H$5:$H$204,MATCH(G423,Recipes!$A$5:$A$204,0)),"")*H423,""))</f>
        <v>0</v>
      </c>
      <c r="M423" s="8">
        <f>IF(OR(G423="",H423=""),"",IFERROR(IFERROR(INDEX(Recipes!$I$5:$I$204,MATCH(G423,Recipes!$A$5:$A$204,0)),"")*H423,""))</f>
        <v>0</v>
      </c>
      <c r="N423" s="8">
        <f>IF(OR(G423="",H423=""),"",IFERROR(IFERROR(INDEX(Recipes!$J$5:$J$204,MATCH(G423,Recipes!$A$5:$A$204,0)),"")*H423,""))</f>
        <v>0</v>
      </c>
      <c r="O423" s="8">
        <f>IF(OR(G423="",H423=""),"",IFERROR(IFERROR(INDEX(Recipes!$K$5:$K$204,MATCH(G423,Recipes!$A$5:$A$204,0)),"")*H423,""))</f>
        <v>0</v>
      </c>
      <c r="P423" s="8">
        <f>IF(OR(G423="",H423=""),"",IFERROR(IFERROR(INDEX(Recipes!$L$5:$L$204,MATCH(G423,Recipes!$A$5:$A$204,0)),"")*H423,""))</f>
        <v>0</v>
      </c>
      <c r="Q423" s="8">
        <f>IF(OR(G423="",H423=""),"",IFERROR(IFERROR(INDEX(Recipes!$Q$5:$Q$204,MATCH(G423,Recipes!$A$5:$A$204,0)),"")*H423,""))</f>
        <v>0</v>
      </c>
      <c r="R423" s="8">
        <f>IF(F423="","",Weekly_Budget/21)</f>
        <v>0</v>
      </c>
      <c r="S423" s="27"/>
      <c r="T423" s="27"/>
      <c r="U423" s="26"/>
      <c r="V423" s="7"/>
      <c r="W423" s="7"/>
      <c r="X423" s="26"/>
      <c r="Y423" s="8">
        <f>IF(G423="","",IF(COUNTIFS('Meal Prep'!$D$5:$D$124,G423)&gt;0,"Yes","No"))</f>
        <v>0</v>
      </c>
      <c r="Z423" s="8">
        <f>IF(G423="","",COUNTIFS('Recipe Ingredients'!$A$5:$A$1204,G423))</f>
        <v>0</v>
      </c>
      <c r="AA423" s="25"/>
      <c r="AB423" s="8">
        <f>IF(OR(B423="",Q423=""),"",COUNTIFS($B$5:$B$504,B423,$Q$5:$Q$504,"&gt;"&amp;Q423)+1)</f>
        <v>0</v>
      </c>
      <c r="AC423" s="8">
        <f>IF(OR(B423="",L423=""),"",COUNTIFS($B$5:$B$504,B423,$L$5:$L$504,"&gt;"&amp;L423)+1)</f>
        <v>0</v>
      </c>
      <c r="AD423" s="8">
        <f>IF(G423="","",IF(COUNTIFS($G$5:$G$504,G423)&gt;1,"Repeat","Once"))</f>
        <v>0</v>
      </c>
      <c r="AE423" s="8">
        <f>IF(G423="","",IF(IFERROR(INDEX(Recipes!$X$5:$X$204,MATCH(G423,Recipes!$A$5:$A$204,0)),"")="","",IFERROR(B423-IFERROR(INDEX(Recipes!$X$5:$X$204,MATCH(G423,Recipes!$A$5:$A$204,0)),""),"")))</f>
        <v>0</v>
      </c>
      <c r="AF423" s="8">
        <f>IF(G423="","",IF(AE423="","Yes",IF(AE423&gt;=Rotation_Gap_Days,"Yes","No")))</f>
        <v>0</v>
      </c>
      <c r="AG423" s="8">
        <f>IF(G423="","",IF(COUNTIFS('Recipe Ingredients'!$A$5:$A$1204,G423,'Recipe Ingredients'!$AC$5:$AC$1204,"Check")&gt;0,"Check","OK"))</f>
        <v>0</v>
      </c>
    </row>
    <row r="424" spans="1:33">
      <c r="A424" s="7"/>
      <c r="B424" s="30"/>
      <c r="C424" s="8">
        <f>IF(B424="","",B424-WEEKDAY(B424,2)+1)</f>
        <v>0</v>
      </c>
      <c r="D424" s="8">
        <f>IF(B424="","",TEXT(B424,"ddd"))</f>
        <v>0</v>
      </c>
      <c r="E424" s="8">
        <f>IF(B424="","",TEXT(B424,"mmm yyyy"))</f>
        <v>0</v>
      </c>
      <c r="F424" s="27"/>
      <c r="G424" s="7"/>
      <c r="H424" s="26"/>
      <c r="I424" s="8">
        <f>IF(G424="","",IFERROR(INDEX(Recipes!$D$5:$D$204,MATCH(G424,Recipes!$A$5:$A$204,0)),""))</f>
        <v>0</v>
      </c>
      <c r="J424" s="8">
        <f>IF(OR(G424="",H424="",I424="",I424=0),"",H424/I424)</f>
        <v>0</v>
      </c>
      <c r="K424" s="8">
        <f>IF(B424="","",Household_Size)</f>
        <v>0</v>
      </c>
      <c r="L424" s="8">
        <f>IF(OR(G424="",H424=""),"",IFERROR(IFERROR(INDEX(Recipes!$H$5:$H$204,MATCH(G424,Recipes!$A$5:$A$204,0)),"")*H424,""))</f>
        <v>0</v>
      </c>
      <c r="M424" s="8">
        <f>IF(OR(G424="",H424=""),"",IFERROR(IFERROR(INDEX(Recipes!$I$5:$I$204,MATCH(G424,Recipes!$A$5:$A$204,0)),"")*H424,""))</f>
        <v>0</v>
      </c>
      <c r="N424" s="8">
        <f>IF(OR(G424="",H424=""),"",IFERROR(IFERROR(INDEX(Recipes!$J$5:$J$204,MATCH(G424,Recipes!$A$5:$A$204,0)),"")*H424,""))</f>
        <v>0</v>
      </c>
      <c r="O424" s="8">
        <f>IF(OR(G424="",H424=""),"",IFERROR(IFERROR(INDEX(Recipes!$K$5:$K$204,MATCH(G424,Recipes!$A$5:$A$204,0)),"")*H424,""))</f>
        <v>0</v>
      </c>
      <c r="P424" s="8">
        <f>IF(OR(G424="",H424=""),"",IFERROR(IFERROR(INDEX(Recipes!$L$5:$L$204,MATCH(G424,Recipes!$A$5:$A$204,0)),"")*H424,""))</f>
        <v>0</v>
      </c>
      <c r="Q424" s="8">
        <f>IF(OR(G424="",H424=""),"",IFERROR(IFERROR(INDEX(Recipes!$Q$5:$Q$204,MATCH(G424,Recipes!$A$5:$A$204,0)),"")*H424,""))</f>
        <v>0</v>
      </c>
      <c r="R424" s="8">
        <f>IF(F424="","",Weekly_Budget/21)</f>
        <v>0</v>
      </c>
      <c r="S424" s="27"/>
      <c r="T424" s="27"/>
      <c r="U424" s="26"/>
      <c r="V424" s="7"/>
      <c r="W424" s="7"/>
      <c r="X424" s="26"/>
      <c r="Y424" s="8">
        <f>IF(G424="","",IF(COUNTIFS('Meal Prep'!$D$5:$D$124,G424)&gt;0,"Yes","No"))</f>
        <v>0</v>
      </c>
      <c r="Z424" s="8">
        <f>IF(G424="","",COUNTIFS('Recipe Ingredients'!$A$5:$A$1204,G424))</f>
        <v>0</v>
      </c>
      <c r="AA424" s="25"/>
      <c r="AB424" s="8">
        <f>IF(OR(B424="",Q424=""),"",COUNTIFS($B$5:$B$504,B424,$Q$5:$Q$504,"&gt;"&amp;Q424)+1)</f>
        <v>0</v>
      </c>
      <c r="AC424" s="8">
        <f>IF(OR(B424="",L424=""),"",COUNTIFS($B$5:$B$504,B424,$L$5:$L$504,"&gt;"&amp;L424)+1)</f>
        <v>0</v>
      </c>
      <c r="AD424" s="8">
        <f>IF(G424="","",IF(COUNTIFS($G$5:$G$504,G424)&gt;1,"Repeat","Once"))</f>
        <v>0</v>
      </c>
      <c r="AE424" s="8">
        <f>IF(G424="","",IF(IFERROR(INDEX(Recipes!$X$5:$X$204,MATCH(G424,Recipes!$A$5:$A$204,0)),"")="","",IFERROR(B424-IFERROR(INDEX(Recipes!$X$5:$X$204,MATCH(G424,Recipes!$A$5:$A$204,0)),""),"")))</f>
        <v>0</v>
      </c>
      <c r="AF424" s="8">
        <f>IF(G424="","",IF(AE424="","Yes",IF(AE424&gt;=Rotation_Gap_Days,"Yes","No")))</f>
        <v>0</v>
      </c>
      <c r="AG424" s="8">
        <f>IF(G424="","",IF(COUNTIFS('Recipe Ingredients'!$A$5:$A$1204,G424,'Recipe Ingredients'!$AC$5:$AC$1204,"Check")&gt;0,"Check","OK"))</f>
        <v>0</v>
      </c>
    </row>
    <row r="425" spans="1:33">
      <c r="A425" s="7"/>
      <c r="B425" s="30"/>
      <c r="C425" s="8">
        <f>IF(B425="","",B425-WEEKDAY(B425,2)+1)</f>
        <v>0</v>
      </c>
      <c r="D425" s="8">
        <f>IF(B425="","",TEXT(B425,"ddd"))</f>
        <v>0</v>
      </c>
      <c r="E425" s="8">
        <f>IF(B425="","",TEXT(B425,"mmm yyyy"))</f>
        <v>0</v>
      </c>
      <c r="F425" s="27"/>
      <c r="G425" s="7"/>
      <c r="H425" s="26"/>
      <c r="I425" s="8">
        <f>IF(G425="","",IFERROR(INDEX(Recipes!$D$5:$D$204,MATCH(G425,Recipes!$A$5:$A$204,0)),""))</f>
        <v>0</v>
      </c>
      <c r="J425" s="8">
        <f>IF(OR(G425="",H425="",I425="",I425=0),"",H425/I425)</f>
        <v>0</v>
      </c>
      <c r="K425" s="8">
        <f>IF(B425="","",Household_Size)</f>
        <v>0</v>
      </c>
      <c r="L425" s="8">
        <f>IF(OR(G425="",H425=""),"",IFERROR(IFERROR(INDEX(Recipes!$H$5:$H$204,MATCH(G425,Recipes!$A$5:$A$204,0)),"")*H425,""))</f>
        <v>0</v>
      </c>
      <c r="M425" s="8">
        <f>IF(OR(G425="",H425=""),"",IFERROR(IFERROR(INDEX(Recipes!$I$5:$I$204,MATCH(G425,Recipes!$A$5:$A$204,0)),"")*H425,""))</f>
        <v>0</v>
      </c>
      <c r="N425" s="8">
        <f>IF(OR(G425="",H425=""),"",IFERROR(IFERROR(INDEX(Recipes!$J$5:$J$204,MATCH(G425,Recipes!$A$5:$A$204,0)),"")*H425,""))</f>
        <v>0</v>
      </c>
      <c r="O425" s="8">
        <f>IF(OR(G425="",H425=""),"",IFERROR(IFERROR(INDEX(Recipes!$K$5:$K$204,MATCH(G425,Recipes!$A$5:$A$204,0)),"")*H425,""))</f>
        <v>0</v>
      </c>
      <c r="P425" s="8">
        <f>IF(OR(G425="",H425=""),"",IFERROR(IFERROR(INDEX(Recipes!$L$5:$L$204,MATCH(G425,Recipes!$A$5:$A$204,0)),"")*H425,""))</f>
        <v>0</v>
      </c>
      <c r="Q425" s="8">
        <f>IF(OR(G425="",H425=""),"",IFERROR(IFERROR(INDEX(Recipes!$Q$5:$Q$204,MATCH(G425,Recipes!$A$5:$A$204,0)),"")*H425,""))</f>
        <v>0</v>
      </c>
      <c r="R425" s="8">
        <f>IF(F425="","",Weekly_Budget/21)</f>
        <v>0</v>
      </c>
      <c r="S425" s="27"/>
      <c r="T425" s="27"/>
      <c r="U425" s="26"/>
      <c r="V425" s="7"/>
      <c r="W425" s="7"/>
      <c r="X425" s="26"/>
      <c r="Y425" s="8">
        <f>IF(G425="","",IF(COUNTIFS('Meal Prep'!$D$5:$D$124,G425)&gt;0,"Yes","No"))</f>
        <v>0</v>
      </c>
      <c r="Z425" s="8">
        <f>IF(G425="","",COUNTIFS('Recipe Ingredients'!$A$5:$A$1204,G425))</f>
        <v>0</v>
      </c>
      <c r="AA425" s="25"/>
      <c r="AB425" s="8">
        <f>IF(OR(B425="",Q425=""),"",COUNTIFS($B$5:$B$504,B425,$Q$5:$Q$504,"&gt;"&amp;Q425)+1)</f>
        <v>0</v>
      </c>
      <c r="AC425" s="8">
        <f>IF(OR(B425="",L425=""),"",COUNTIFS($B$5:$B$504,B425,$L$5:$L$504,"&gt;"&amp;L425)+1)</f>
        <v>0</v>
      </c>
      <c r="AD425" s="8">
        <f>IF(G425="","",IF(COUNTIFS($G$5:$G$504,G425)&gt;1,"Repeat","Once"))</f>
        <v>0</v>
      </c>
      <c r="AE425" s="8">
        <f>IF(G425="","",IF(IFERROR(INDEX(Recipes!$X$5:$X$204,MATCH(G425,Recipes!$A$5:$A$204,0)),"")="","",IFERROR(B425-IFERROR(INDEX(Recipes!$X$5:$X$204,MATCH(G425,Recipes!$A$5:$A$204,0)),""),"")))</f>
        <v>0</v>
      </c>
      <c r="AF425" s="8">
        <f>IF(G425="","",IF(AE425="","Yes",IF(AE425&gt;=Rotation_Gap_Days,"Yes","No")))</f>
        <v>0</v>
      </c>
      <c r="AG425" s="8">
        <f>IF(G425="","",IF(COUNTIFS('Recipe Ingredients'!$A$5:$A$1204,G425,'Recipe Ingredients'!$AC$5:$AC$1204,"Check")&gt;0,"Check","OK"))</f>
        <v>0</v>
      </c>
    </row>
    <row r="426" spans="1:33">
      <c r="A426" s="7"/>
      <c r="B426" s="30"/>
      <c r="C426" s="8">
        <f>IF(B426="","",B426-WEEKDAY(B426,2)+1)</f>
        <v>0</v>
      </c>
      <c r="D426" s="8">
        <f>IF(B426="","",TEXT(B426,"ddd"))</f>
        <v>0</v>
      </c>
      <c r="E426" s="8">
        <f>IF(B426="","",TEXT(B426,"mmm yyyy"))</f>
        <v>0</v>
      </c>
      <c r="F426" s="27"/>
      <c r="G426" s="7"/>
      <c r="H426" s="26"/>
      <c r="I426" s="8">
        <f>IF(G426="","",IFERROR(INDEX(Recipes!$D$5:$D$204,MATCH(G426,Recipes!$A$5:$A$204,0)),""))</f>
        <v>0</v>
      </c>
      <c r="J426" s="8">
        <f>IF(OR(G426="",H426="",I426="",I426=0),"",H426/I426)</f>
        <v>0</v>
      </c>
      <c r="K426" s="8">
        <f>IF(B426="","",Household_Size)</f>
        <v>0</v>
      </c>
      <c r="L426" s="8">
        <f>IF(OR(G426="",H426=""),"",IFERROR(IFERROR(INDEX(Recipes!$H$5:$H$204,MATCH(G426,Recipes!$A$5:$A$204,0)),"")*H426,""))</f>
        <v>0</v>
      </c>
      <c r="M426" s="8">
        <f>IF(OR(G426="",H426=""),"",IFERROR(IFERROR(INDEX(Recipes!$I$5:$I$204,MATCH(G426,Recipes!$A$5:$A$204,0)),"")*H426,""))</f>
        <v>0</v>
      </c>
      <c r="N426" s="8">
        <f>IF(OR(G426="",H426=""),"",IFERROR(IFERROR(INDEX(Recipes!$J$5:$J$204,MATCH(G426,Recipes!$A$5:$A$204,0)),"")*H426,""))</f>
        <v>0</v>
      </c>
      <c r="O426" s="8">
        <f>IF(OR(G426="",H426=""),"",IFERROR(IFERROR(INDEX(Recipes!$K$5:$K$204,MATCH(G426,Recipes!$A$5:$A$204,0)),"")*H426,""))</f>
        <v>0</v>
      </c>
      <c r="P426" s="8">
        <f>IF(OR(G426="",H426=""),"",IFERROR(IFERROR(INDEX(Recipes!$L$5:$L$204,MATCH(G426,Recipes!$A$5:$A$204,0)),"")*H426,""))</f>
        <v>0</v>
      </c>
      <c r="Q426" s="8">
        <f>IF(OR(G426="",H426=""),"",IFERROR(IFERROR(INDEX(Recipes!$Q$5:$Q$204,MATCH(G426,Recipes!$A$5:$A$204,0)),"")*H426,""))</f>
        <v>0</v>
      </c>
      <c r="R426" s="8">
        <f>IF(F426="","",Weekly_Budget/21)</f>
        <v>0</v>
      </c>
      <c r="S426" s="27"/>
      <c r="T426" s="27"/>
      <c r="U426" s="26"/>
      <c r="V426" s="7"/>
      <c r="W426" s="7"/>
      <c r="X426" s="26"/>
      <c r="Y426" s="8">
        <f>IF(G426="","",IF(COUNTIFS('Meal Prep'!$D$5:$D$124,G426)&gt;0,"Yes","No"))</f>
        <v>0</v>
      </c>
      <c r="Z426" s="8">
        <f>IF(G426="","",COUNTIFS('Recipe Ingredients'!$A$5:$A$1204,G426))</f>
        <v>0</v>
      </c>
      <c r="AA426" s="25"/>
      <c r="AB426" s="8">
        <f>IF(OR(B426="",Q426=""),"",COUNTIFS($B$5:$B$504,B426,$Q$5:$Q$504,"&gt;"&amp;Q426)+1)</f>
        <v>0</v>
      </c>
      <c r="AC426" s="8">
        <f>IF(OR(B426="",L426=""),"",COUNTIFS($B$5:$B$504,B426,$L$5:$L$504,"&gt;"&amp;L426)+1)</f>
        <v>0</v>
      </c>
      <c r="AD426" s="8">
        <f>IF(G426="","",IF(COUNTIFS($G$5:$G$504,G426)&gt;1,"Repeat","Once"))</f>
        <v>0</v>
      </c>
      <c r="AE426" s="8">
        <f>IF(G426="","",IF(IFERROR(INDEX(Recipes!$X$5:$X$204,MATCH(G426,Recipes!$A$5:$A$204,0)),"")="","",IFERROR(B426-IFERROR(INDEX(Recipes!$X$5:$X$204,MATCH(G426,Recipes!$A$5:$A$204,0)),""),"")))</f>
        <v>0</v>
      </c>
      <c r="AF426" s="8">
        <f>IF(G426="","",IF(AE426="","Yes",IF(AE426&gt;=Rotation_Gap_Days,"Yes","No")))</f>
        <v>0</v>
      </c>
      <c r="AG426" s="8">
        <f>IF(G426="","",IF(COUNTIFS('Recipe Ingredients'!$A$5:$A$1204,G426,'Recipe Ingredients'!$AC$5:$AC$1204,"Check")&gt;0,"Check","OK"))</f>
        <v>0</v>
      </c>
    </row>
    <row r="427" spans="1:33">
      <c r="A427" s="7"/>
      <c r="B427" s="30"/>
      <c r="C427" s="8">
        <f>IF(B427="","",B427-WEEKDAY(B427,2)+1)</f>
        <v>0</v>
      </c>
      <c r="D427" s="8">
        <f>IF(B427="","",TEXT(B427,"ddd"))</f>
        <v>0</v>
      </c>
      <c r="E427" s="8">
        <f>IF(B427="","",TEXT(B427,"mmm yyyy"))</f>
        <v>0</v>
      </c>
      <c r="F427" s="27"/>
      <c r="G427" s="7"/>
      <c r="H427" s="26"/>
      <c r="I427" s="8">
        <f>IF(G427="","",IFERROR(INDEX(Recipes!$D$5:$D$204,MATCH(G427,Recipes!$A$5:$A$204,0)),""))</f>
        <v>0</v>
      </c>
      <c r="J427" s="8">
        <f>IF(OR(G427="",H427="",I427="",I427=0),"",H427/I427)</f>
        <v>0</v>
      </c>
      <c r="K427" s="8">
        <f>IF(B427="","",Household_Size)</f>
        <v>0</v>
      </c>
      <c r="L427" s="8">
        <f>IF(OR(G427="",H427=""),"",IFERROR(IFERROR(INDEX(Recipes!$H$5:$H$204,MATCH(G427,Recipes!$A$5:$A$204,0)),"")*H427,""))</f>
        <v>0</v>
      </c>
      <c r="M427" s="8">
        <f>IF(OR(G427="",H427=""),"",IFERROR(IFERROR(INDEX(Recipes!$I$5:$I$204,MATCH(G427,Recipes!$A$5:$A$204,0)),"")*H427,""))</f>
        <v>0</v>
      </c>
      <c r="N427" s="8">
        <f>IF(OR(G427="",H427=""),"",IFERROR(IFERROR(INDEX(Recipes!$J$5:$J$204,MATCH(G427,Recipes!$A$5:$A$204,0)),"")*H427,""))</f>
        <v>0</v>
      </c>
      <c r="O427" s="8">
        <f>IF(OR(G427="",H427=""),"",IFERROR(IFERROR(INDEX(Recipes!$K$5:$K$204,MATCH(G427,Recipes!$A$5:$A$204,0)),"")*H427,""))</f>
        <v>0</v>
      </c>
      <c r="P427" s="8">
        <f>IF(OR(G427="",H427=""),"",IFERROR(IFERROR(INDEX(Recipes!$L$5:$L$204,MATCH(G427,Recipes!$A$5:$A$204,0)),"")*H427,""))</f>
        <v>0</v>
      </c>
      <c r="Q427" s="8">
        <f>IF(OR(G427="",H427=""),"",IFERROR(IFERROR(INDEX(Recipes!$Q$5:$Q$204,MATCH(G427,Recipes!$A$5:$A$204,0)),"")*H427,""))</f>
        <v>0</v>
      </c>
      <c r="R427" s="8">
        <f>IF(F427="","",Weekly_Budget/21)</f>
        <v>0</v>
      </c>
      <c r="S427" s="27"/>
      <c r="T427" s="27"/>
      <c r="U427" s="26"/>
      <c r="V427" s="7"/>
      <c r="W427" s="7"/>
      <c r="X427" s="26"/>
      <c r="Y427" s="8">
        <f>IF(G427="","",IF(COUNTIFS('Meal Prep'!$D$5:$D$124,G427)&gt;0,"Yes","No"))</f>
        <v>0</v>
      </c>
      <c r="Z427" s="8">
        <f>IF(G427="","",COUNTIFS('Recipe Ingredients'!$A$5:$A$1204,G427))</f>
        <v>0</v>
      </c>
      <c r="AA427" s="25"/>
      <c r="AB427" s="8">
        <f>IF(OR(B427="",Q427=""),"",COUNTIFS($B$5:$B$504,B427,$Q$5:$Q$504,"&gt;"&amp;Q427)+1)</f>
        <v>0</v>
      </c>
      <c r="AC427" s="8">
        <f>IF(OR(B427="",L427=""),"",COUNTIFS($B$5:$B$504,B427,$L$5:$L$504,"&gt;"&amp;L427)+1)</f>
        <v>0</v>
      </c>
      <c r="AD427" s="8">
        <f>IF(G427="","",IF(COUNTIFS($G$5:$G$504,G427)&gt;1,"Repeat","Once"))</f>
        <v>0</v>
      </c>
      <c r="AE427" s="8">
        <f>IF(G427="","",IF(IFERROR(INDEX(Recipes!$X$5:$X$204,MATCH(G427,Recipes!$A$5:$A$204,0)),"")="","",IFERROR(B427-IFERROR(INDEX(Recipes!$X$5:$X$204,MATCH(G427,Recipes!$A$5:$A$204,0)),""),"")))</f>
        <v>0</v>
      </c>
      <c r="AF427" s="8">
        <f>IF(G427="","",IF(AE427="","Yes",IF(AE427&gt;=Rotation_Gap_Days,"Yes","No")))</f>
        <v>0</v>
      </c>
      <c r="AG427" s="8">
        <f>IF(G427="","",IF(COUNTIFS('Recipe Ingredients'!$A$5:$A$1204,G427,'Recipe Ingredients'!$AC$5:$AC$1204,"Check")&gt;0,"Check","OK"))</f>
        <v>0</v>
      </c>
    </row>
    <row r="428" spans="1:33">
      <c r="A428" s="7"/>
      <c r="B428" s="30"/>
      <c r="C428" s="8">
        <f>IF(B428="","",B428-WEEKDAY(B428,2)+1)</f>
        <v>0</v>
      </c>
      <c r="D428" s="8">
        <f>IF(B428="","",TEXT(B428,"ddd"))</f>
        <v>0</v>
      </c>
      <c r="E428" s="8">
        <f>IF(B428="","",TEXT(B428,"mmm yyyy"))</f>
        <v>0</v>
      </c>
      <c r="F428" s="27"/>
      <c r="G428" s="7"/>
      <c r="H428" s="26"/>
      <c r="I428" s="8">
        <f>IF(G428="","",IFERROR(INDEX(Recipes!$D$5:$D$204,MATCH(G428,Recipes!$A$5:$A$204,0)),""))</f>
        <v>0</v>
      </c>
      <c r="J428" s="8">
        <f>IF(OR(G428="",H428="",I428="",I428=0),"",H428/I428)</f>
        <v>0</v>
      </c>
      <c r="K428" s="8">
        <f>IF(B428="","",Household_Size)</f>
        <v>0</v>
      </c>
      <c r="L428" s="8">
        <f>IF(OR(G428="",H428=""),"",IFERROR(IFERROR(INDEX(Recipes!$H$5:$H$204,MATCH(G428,Recipes!$A$5:$A$204,0)),"")*H428,""))</f>
        <v>0</v>
      </c>
      <c r="M428" s="8">
        <f>IF(OR(G428="",H428=""),"",IFERROR(IFERROR(INDEX(Recipes!$I$5:$I$204,MATCH(G428,Recipes!$A$5:$A$204,0)),"")*H428,""))</f>
        <v>0</v>
      </c>
      <c r="N428" s="8">
        <f>IF(OR(G428="",H428=""),"",IFERROR(IFERROR(INDEX(Recipes!$J$5:$J$204,MATCH(G428,Recipes!$A$5:$A$204,0)),"")*H428,""))</f>
        <v>0</v>
      </c>
      <c r="O428" s="8">
        <f>IF(OR(G428="",H428=""),"",IFERROR(IFERROR(INDEX(Recipes!$K$5:$K$204,MATCH(G428,Recipes!$A$5:$A$204,0)),"")*H428,""))</f>
        <v>0</v>
      </c>
      <c r="P428" s="8">
        <f>IF(OR(G428="",H428=""),"",IFERROR(IFERROR(INDEX(Recipes!$L$5:$L$204,MATCH(G428,Recipes!$A$5:$A$204,0)),"")*H428,""))</f>
        <v>0</v>
      </c>
      <c r="Q428" s="8">
        <f>IF(OR(G428="",H428=""),"",IFERROR(IFERROR(INDEX(Recipes!$Q$5:$Q$204,MATCH(G428,Recipes!$A$5:$A$204,0)),"")*H428,""))</f>
        <v>0</v>
      </c>
      <c r="R428" s="8">
        <f>IF(F428="","",Weekly_Budget/21)</f>
        <v>0</v>
      </c>
      <c r="S428" s="27"/>
      <c r="T428" s="27"/>
      <c r="U428" s="26"/>
      <c r="V428" s="7"/>
      <c r="W428" s="7"/>
      <c r="X428" s="26"/>
      <c r="Y428" s="8">
        <f>IF(G428="","",IF(COUNTIFS('Meal Prep'!$D$5:$D$124,G428)&gt;0,"Yes","No"))</f>
        <v>0</v>
      </c>
      <c r="Z428" s="8">
        <f>IF(G428="","",COUNTIFS('Recipe Ingredients'!$A$5:$A$1204,G428))</f>
        <v>0</v>
      </c>
      <c r="AA428" s="25"/>
      <c r="AB428" s="8">
        <f>IF(OR(B428="",Q428=""),"",COUNTIFS($B$5:$B$504,B428,$Q$5:$Q$504,"&gt;"&amp;Q428)+1)</f>
        <v>0</v>
      </c>
      <c r="AC428" s="8">
        <f>IF(OR(B428="",L428=""),"",COUNTIFS($B$5:$B$504,B428,$L$5:$L$504,"&gt;"&amp;L428)+1)</f>
        <v>0</v>
      </c>
      <c r="AD428" s="8">
        <f>IF(G428="","",IF(COUNTIFS($G$5:$G$504,G428)&gt;1,"Repeat","Once"))</f>
        <v>0</v>
      </c>
      <c r="AE428" s="8">
        <f>IF(G428="","",IF(IFERROR(INDEX(Recipes!$X$5:$X$204,MATCH(G428,Recipes!$A$5:$A$204,0)),"")="","",IFERROR(B428-IFERROR(INDEX(Recipes!$X$5:$X$204,MATCH(G428,Recipes!$A$5:$A$204,0)),""),"")))</f>
        <v>0</v>
      </c>
      <c r="AF428" s="8">
        <f>IF(G428="","",IF(AE428="","Yes",IF(AE428&gt;=Rotation_Gap_Days,"Yes","No")))</f>
        <v>0</v>
      </c>
      <c r="AG428" s="8">
        <f>IF(G428="","",IF(COUNTIFS('Recipe Ingredients'!$A$5:$A$1204,G428,'Recipe Ingredients'!$AC$5:$AC$1204,"Check")&gt;0,"Check","OK"))</f>
        <v>0</v>
      </c>
    </row>
    <row r="429" spans="1:33">
      <c r="A429" s="7"/>
      <c r="B429" s="30"/>
      <c r="C429" s="8">
        <f>IF(B429="","",B429-WEEKDAY(B429,2)+1)</f>
        <v>0</v>
      </c>
      <c r="D429" s="8">
        <f>IF(B429="","",TEXT(B429,"ddd"))</f>
        <v>0</v>
      </c>
      <c r="E429" s="8">
        <f>IF(B429="","",TEXT(B429,"mmm yyyy"))</f>
        <v>0</v>
      </c>
      <c r="F429" s="27"/>
      <c r="G429" s="7"/>
      <c r="H429" s="26"/>
      <c r="I429" s="8">
        <f>IF(G429="","",IFERROR(INDEX(Recipes!$D$5:$D$204,MATCH(G429,Recipes!$A$5:$A$204,0)),""))</f>
        <v>0</v>
      </c>
      <c r="J429" s="8">
        <f>IF(OR(G429="",H429="",I429="",I429=0),"",H429/I429)</f>
        <v>0</v>
      </c>
      <c r="K429" s="8">
        <f>IF(B429="","",Household_Size)</f>
        <v>0</v>
      </c>
      <c r="L429" s="8">
        <f>IF(OR(G429="",H429=""),"",IFERROR(IFERROR(INDEX(Recipes!$H$5:$H$204,MATCH(G429,Recipes!$A$5:$A$204,0)),"")*H429,""))</f>
        <v>0</v>
      </c>
      <c r="M429" s="8">
        <f>IF(OR(G429="",H429=""),"",IFERROR(IFERROR(INDEX(Recipes!$I$5:$I$204,MATCH(G429,Recipes!$A$5:$A$204,0)),"")*H429,""))</f>
        <v>0</v>
      </c>
      <c r="N429" s="8">
        <f>IF(OR(G429="",H429=""),"",IFERROR(IFERROR(INDEX(Recipes!$J$5:$J$204,MATCH(G429,Recipes!$A$5:$A$204,0)),"")*H429,""))</f>
        <v>0</v>
      </c>
      <c r="O429" s="8">
        <f>IF(OR(G429="",H429=""),"",IFERROR(IFERROR(INDEX(Recipes!$K$5:$K$204,MATCH(G429,Recipes!$A$5:$A$204,0)),"")*H429,""))</f>
        <v>0</v>
      </c>
      <c r="P429" s="8">
        <f>IF(OR(G429="",H429=""),"",IFERROR(IFERROR(INDEX(Recipes!$L$5:$L$204,MATCH(G429,Recipes!$A$5:$A$204,0)),"")*H429,""))</f>
        <v>0</v>
      </c>
      <c r="Q429" s="8">
        <f>IF(OR(G429="",H429=""),"",IFERROR(IFERROR(INDEX(Recipes!$Q$5:$Q$204,MATCH(G429,Recipes!$A$5:$A$204,0)),"")*H429,""))</f>
        <v>0</v>
      </c>
      <c r="R429" s="8">
        <f>IF(F429="","",Weekly_Budget/21)</f>
        <v>0</v>
      </c>
      <c r="S429" s="27"/>
      <c r="T429" s="27"/>
      <c r="U429" s="26"/>
      <c r="V429" s="7"/>
      <c r="W429" s="7"/>
      <c r="X429" s="26"/>
      <c r="Y429" s="8">
        <f>IF(G429="","",IF(COUNTIFS('Meal Prep'!$D$5:$D$124,G429)&gt;0,"Yes","No"))</f>
        <v>0</v>
      </c>
      <c r="Z429" s="8">
        <f>IF(G429="","",COUNTIFS('Recipe Ingredients'!$A$5:$A$1204,G429))</f>
        <v>0</v>
      </c>
      <c r="AA429" s="25"/>
      <c r="AB429" s="8">
        <f>IF(OR(B429="",Q429=""),"",COUNTIFS($B$5:$B$504,B429,$Q$5:$Q$504,"&gt;"&amp;Q429)+1)</f>
        <v>0</v>
      </c>
      <c r="AC429" s="8">
        <f>IF(OR(B429="",L429=""),"",COUNTIFS($B$5:$B$504,B429,$L$5:$L$504,"&gt;"&amp;L429)+1)</f>
        <v>0</v>
      </c>
      <c r="AD429" s="8">
        <f>IF(G429="","",IF(COUNTIFS($G$5:$G$504,G429)&gt;1,"Repeat","Once"))</f>
        <v>0</v>
      </c>
      <c r="AE429" s="8">
        <f>IF(G429="","",IF(IFERROR(INDEX(Recipes!$X$5:$X$204,MATCH(G429,Recipes!$A$5:$A$204,0)),"")="","",IFERROR(B429-IFERROR(INDEX(Recipes!$X$5:$X$204,MATCH(G429,Recipes!$A$5:$A$204,0)),""),"")))</f>
        <v>0</v>
      </c>
      <c r="AF429" s="8">
        <f>IF(G429="","",IF(AE429="","Yes",IF(AE429&gt;=Rotation_Gap_Days,"Yes","No")))</f>
        <v>0</v>
      </c>
      <c r="AG429" s="8">
        <f>IF(G429="","",IF(COUNTIFS('Recipe Ingredients'!$A$5:$A$1204,G429,'Recipe Ingredients'!$AC$5:$AC$1204,"Check")&gt;0,"Check","OK"))</f>
        <v>0</v>
      </c>
    </row>
    <row r="430" spans="1:33">
      <c r="A430" s="7"/>
      <c r="B430" s="30"/>
      <c r="C430" s="8">
        <f>IF(B430="","",B430-WEEKDAY(B430,2)+1)</f>
        <v>0</v>
      </c>
      <c r="D430" s="8">
        <f>IF(B430="","",TEXT(B430,"ddd"))</f>
        <v>0</v>
      </c>
      <c r="E430" s="8">
        <f>IF(B430="","",TEXT(B430,"mmm yyyy"))</f>
        <v>0</v>
      </c>
      <c r="F430" s="27"/>
      <c r="G430" s="7"/>
      <c r="H430" s="26"/>
      <c r="I430" s="8">
        <f>IF(G430="","",IFERROR(INDEX(Recipes!$D$5:$D$204,MATCH(G430,Recipes!$A$5:$A$204,0)),""))</f>
        <v>0</v>
      </c>
      <c r="J430" s="8">
        <f>IF(OR(G430="",H430="",I430="",I430=0),"",H430/I430)</f>
        <v>0</v>
      </c>
      <c r="K430" s="8">
        <f>IF(B430="","",Household_Size)</f>
        <v>0</v>
      </c>
      <c r="L430" s="8">
        <f>IF(OR(G430="",H430=""),"",IFERROR(IFERROR(INDEX(Recipes!$H$5:$H$204,MATCH(G430,Recipes!$A$5:$A$204,0)),"")*H430,""))</f>
        <v>0</v>
      </c>
      <c r="M430" s="8">
        <f>IF(OR(G430="",H430=""),"",IFERROR(IFERROR(INDEX(Recipes!$I$5:$I$204,MATCH(G430,Recipes!$A$5:$A$204,0)),"")*H430,""))</f>
        <v>0</v>
      </c>
      <c r="N430" s="8">
        <f>IF(OR(G430="",H430=""),"",IFERROR(IFERROR(INDEX(Recipes!$J$5:$J$204,MATCH(G430,Recipes!$A$5:$A$204,0)),"")*H430,""))</f>
        <v>0</v>
      </c>
      <c r="O430" s="8">
        <f>IF(OR(G430="",H430=""),"",IFERROR(IFERROR(INDEX(Recipes!$K$5:$K$204,MATCH(G430,Recipes!$A$5:$A$204,0)),"")*H430,""))</f>
        <v>0</v>
      </c>
      <c r="P430" s="8">
        <f>IF(OR(G430="",H430=""),"",IFERROR(IFERROR(INDEX(Recipes!$L$5:$L$204,MATCH(G430,Recipes!$A$5:$A$204,0)),"")*H430,""))</f>
        <v>0</v>
      </c>
      <c r="Q430" s="8">
        <f>IF(OR(G430="",H430=""),"",IFERROR(IFERROR(INDEX(Recipes!$Q$5:$Q$204,MATCH(G430,Recipes!$A$5:$A$204,0)),"")*H430,""))</f>
        <v>0</v>
      </c>
      <c r="R430" s="8">
        <f>IF(F430="","",Weekly_Budget/21)</f>
        <v>0</v>
      </c>
      <c r="S430" s="27"/>
      <c r="T430" s="27"/>
      <c r="U430" s="26"/>
      <c r="V430" s="7"/>
      <c r="W430" s="7"/>
      <c r="X430" s="26"/>
      <c r="Y430" s="8">
        <f>IF(G430="","",IF(COUNTIFS('Meal Prep'!$D$5:$D$124,G430)&gt;0,"Yes","No"))</f>
        <v>0</v>
      </c>
      <c r="Z430" s="8">
        <f>IF(G430="","",COUNTIFS('Recipe Ingredients'!$A$5:$A$1204,G430))</f>
        <v>0</v>
      </c>
      <c r="AA430" s="25"/>
      <c r="AB430" s="8">
        <f>IF(OR(B430="",Q430=""),"",COUNTIFS($B$5:$B$504,B430,$Q$5:$Q$504,"&gt;"&amp;Q430)+1)</f>
        <v>0</v>
      </c>
      <c r="AC430" s="8">
        <f>IF(OR(B430="",L430=""),"",COUNTIFS($B$5:$B$504,B430,$L$5:$L$504,"&gt;"&amp;L430)+1)</f>
        <v>0</v>
      </c>
      <c r="AD430" s="8">
        <f>IF(G430="","",IF(COUNTIFS($G$5:$G$504,G430)&gt;1,"Repeat","Once"))</f>
        <v>0</v>
      </c>
      <c r="AE430" s="8">
        <f>IF(G430="","",IF(IFERROR(INDEX(Recipes!$X$5:$X$204,MATCH(G430,Recipes!$A$5:$A$204,0)),"")="","",IFERROR(B430-IFERROR(INDEX(Recipes!$X$5:$X$204,MATCH(G430,Recipes!$A$5:$A$204,0)),""),"")))</f>
        <v>0</v>
      </c>
      <c r="AF430" s="8">
        <f>IF(G430="","",IF(AE430="","Yes",IF(AE430&gt;=Rotation_Gap_Days,"Yes","No")))</f>
        <v>0</v>
      </c>
      <c r="AG430" s="8">
        <f>IF(G430="","",IF(COUNTIFS('Recipe Ingredients'!$A$5:$A$1204,G430,'Recipe Ingredients'!$AC$5:$AC$1204,"Check")&gt;0,"Check","OK"))</f>
        <v>0</v>
      </c>
    </row>
    <row r="431" spans="1:33">
      <c r="A431" s="7"/>
      <c r="B431" s="30"/>
      <c r="C431" s="8">
        <f>IF(B431="","",B431-WEEKDAY(B431,2)+1)</f>
        <v>0</v>
      </c>
      <c r="D431" s="8">
        <f>IF(B431="","",TEXT(B431,"ddd"))</f>
        <v>0</v>
      </c>
      <c r="E431" s="8">
        <f>IF(B431="","",TEXT(B431,"mmm yyyy"))</f>
        <v>0</v>
      </c>
      <c r="F431" s="27"/>
      <c r="G431" s="7"/>
      <c r="H431" s="26"/>
      <c r="I431" s="8">
        <f>IF(G431="","",IFERROR(INDEX(Recipes!$D$5:$D$204,MATCH(G431,Recipes!$A$5:$A$204,0)),""))</f>
        <v>0</v>
      </c>
      <c r="J431" s="8">
        <f>IF(OR(G431="",H431="",I431="",I431=0),"",H431/I431)</f>
        <v>0</v>
      </c>
      <c r="K431" s="8">
        <f>IF(B431="","",Household_Size)</f>
        <v>0</v>
      </c>
      <c r="L431" s="8">
        <f>IF(OR(G431="",H431=""),"",IFERROR(IFERROR(INDEX(Recipes!$H$5:$H$204,MATCH(G431,Recipes!$A$5:$A$204,0)),"")*H431,""))</f>
        <v>0</v>
      </c>
      <c r="M431" s="8">
        <f>IF(OR(G431="",H431=""),"",IFERROR(IFERROR(INDEX(Recipes!$I$5:$I$204,MATCH(G431,Recipes!$A$5:$A$204,0)),"")*H431,""))</f>
        <v>0</v>
      </c>
      <c r="N431" s="8">
        <f>IF(OR(G431="",H431=""),"",IFERROR(IFERROR(INDEX(Recipes!$J$5:$J$204,MATCH(G431,Recipes!$A$5:$A$204,0)),"")*H431,""))</f>
        <v>0</v>
      </c>
      <c r="O431" s="8">
        <f>IF(OR(G431="",H431=""),"",IFERROR(IFERROR(INDEX(Recipes!$K$5:$K$204,MATCH(G431,Recipes!$A$5:$A$204,0)),"")*H431,""))</f>
        <v>0</v>
      </c>
      <c r="P431" s="8">
        <f>IF(OR(G431="",H431=""),"",IFERROR(IFERROR(INDEX(Recipes!$L$5:$L$204,MATCH(G431,Recipes!$A$5:$A$204,0)),"")*H431,""))</f>
        <v>0</v>
      </c>
      <c r="Q431" s="8">
        <f>IF(OR(G431="",H431=""),"",IFERROR(IFERROR(INDEX(Recipes!$Q$5:$Q$204,MATCH(G431,Recipes!$A$5:$A$204,0)),"")*H431,""))</f>
        <v>0</v>
      </c>
      <c r="R431" s="8">
        <f>IF(F431="","",Weekly_Budget/21)</f>
        <v>0</v>
      </c>
      <c r="S431" s="27"/>
      <c r="T431" s="27"/>
      <c r="U431" s="26"/>
      <c r="V431" s="7"/>
      <c r="W431" s="7"/>
      <c r="X431" s="26"/>
      <c r="Y431" s="8">
        <f>IF(G431="","",IF(COUNTIFS('Meal Prep'!$D$5:$D$124,G431)&gt;0,"Yes","No"))</f>
        <v>0</v>
      </c>
      <c r="Z431" s="8">
        <f>IF(G431="","",COUNTIFS('Recipe Ingredients'!$A$5:$A$1204,G431))</f>
        <v>0</v>
      </c>
      <c r="AA431" s="25"/>
      <c r="AB431" s="8">
        <f>IF(OR(B431="",Q431=""),"",COUNTIFS($B$5:$B$504,B431,$Q$5:$Q$504,"&gt;"&amp;Q431)+1)</f>
        <v>0</v>
      </c>
      <c r="AC431" s="8">
        <f>IF(OR(B431="",L431=""),"",COUNTIFS($B$5:$B$504,B431,$L$5:$L$504,"&gt;"&amp;L431)+1)</f>
        <v>0</v>
      </c>
      <c r="AD431" s="8">
        <f>IF(G431="","",IF(COUNTIFS($G$5:$G$504,G431)&gt;1,"Repeat","Once"))</f>
        <v>0</v>
      </c>
      <c r="AE431" s="8">
        <f>IF(G431="","",IF(IFERROR(INDEX(Recipes!$X$5:$X$204,MATCH(G431,Recipes!$A$5:$A$204,0)),"")="","",IFERROR(B431-IFERROR(INDEX(Recipes!$X$5:$X$204,MATCH(G431,Recipes!$A$5:$A$204,0)),""),"")))</f>
        <v>0</v>
      </c>
      <c r="AF431" s="8">
        <f>IF(G431="","",IF(AE431="","Yes",IF(AE431&gt;=Rotation_Gap_Days,"Yes","No")))</f>
        <v>0</v>
      </c>
      <c r="AG431" s="8">
        <f>IF(G431="","",IF(COUNTIFS('Recipe Ingredients'!$A$5:$A$1204,G431,'Recipe Ingredients'!$AC$5:$AC$1204,"Check")&gt;0,"Check","OK"))</f>
        <v>0</v>
      </c>
    </row>
    <row r="432" spans="1:33">
      <c r="A432" s="7"/>
      <c r="B432" s="30"/>
      <c r="C432" s="8">
        <f>IF(B432="","",B432-WEEKDAY(B432,2)+1)</f>
        <v>0</v>
      </c>
      <c r="D432" s="8">
        <f>IF(B432="","",TEXT(B432,"ddd"))</f>
        <v>0</v>
      </c>
      <c r="E432" s="8">
        <f>IF(B432="","",TEXT(B432,"mmm yyyy"))</f>
        <v>0</v>
      </c>
      <c r="F432" s="27"/>
      <c r="G432" s="7"/>
      <c r="H432" s="26"/>
      <c r="I432" s="8">
        <f>IF(G432="","",IFERROR(INDEX(Recipes!$D$5:$D$204,MATCH(G432,Recipes!$A$5:$A$204,0)),""))</f>
        <v>0</v>
      </c>
      <c r="J432" s="8">
        <f>IF(OR(G432="",H432="",I432="",I432=0),"",H432/I432)</f>
        <v>0</v>
      </c>
      <c r="K432" s="8">
        <f>IF(B432="","",Household_Size)</f>
        <v>0</v>
      </c>
      <c r="L432" s="8">
        <f>IF(OR(G432="",H432=""),"",IFERROR(IFERROR(INDEX(Recipes!$H$5:$H$204,MATCH(G432,Recipes!$A$5:$A$204,0)),"")*H432,""))</f>
        <v>0</v>
      </c>
      <c r="M432" s="8">
        <f>IF(OR(G432="",H432=""),"",IFERROR(IFERROR(INDEX(Recipes!$I$5:$I$204,MATCH(G432,Recipes!$A$5:$A$204,0)),"")*H432,""))</f>
        <v>0</v>
      </c>
      <c r="N432" s="8">
        <f>IF(OR(G432="",H432=""),"",IFERROR(IFERROR(INDEX(Recipes!$J$5:$J$204,MATCH(G432,Recipes!$A$5:$A$204,0)),"")*H432,""))</f>
        <v>0</v>
      </c>
      <c r="O432" s="8">
        <f>IF(OR(G432="",H432=""),"",IFERROR(IFERROR(INDEX(Recipes!$K$5:$K$204,MATCH(G432,Recipes!$A$5:$A$204,0)),"")*H432,""))</f>
        <v>0</v>
      </c>
      <c r="P432" s="8">
        <f>IF(OR(G432="",H432=""),"",IFERROR(IFERROR(INDEX(Recipes!$L$5:$L$204,MATCH(G432,Recipes!$A$5:$A$204,0)),"")*H432,""))</f>
        <v>0</v>
      </c>
      <c r="Q432" s="8">
        <f>IF(OR(G432="",H432=""),"",IFERROR(IFERROR(INDEX(Recipes!$Q$5:$Q$204,MATCH(G432,Recipes!$A$5:$A$204,0)),"")*H432,""))</f>
        <v>0</v>
      </c>
      <c r="R432" s="8">
        <f>IF(F432="","",Weekly_Budget/21)</f>
        <v>0</v>
      </c>
      <c r="S432" s="27"/>
      <c r="T432" s="27"/>
      <c r="U432" s="26"/>
      <c r="V432" s="7"/>
      <c r="W432" s="7"/>
      <c r="X432" s="26"/>
      <c r="Y432" s="8">
        <f>IF(G432="","",IF(COUNTIFS('Meal Prep'!$D$5:$D$124,G432)&gt;0,"Yes","No"))</f>
        <v>0</v>
      </c>
      <c r="Z432" s="8">
        <f>IF(G432="","",COUNTIFS('Recipe Ingredients'!$A$5:$A$1204,G432))</f>
        <v>0</v>
      </c>
      <c r="AA432" s="25"/>
      <c r="AB432" s="8">
        <f>IF(OR(B432="",Q432=""),"",COUNTIFS($B$5:$B$504,B432,$Q$5:$Q$504,"&gt;"&amp;Q432)+1)</f>
        <v>0</v>
      </c>
      <c r="AC432" s="8">
        <f>IF(OR(B432="",L432=""),"",COUNTIFS($B$5:$B$504,B432,$L$5:$L$504,"&gt;"&amp;L432)+1)</f>
        <v>0</v>
      </c>
      <c r="AD432" s="8">
        <f>IF(G432="","",IF(COUNTIFS($G$5:$G$504,G432)&gt;1,"Repeat","Once"))</f>
        <v>0</v>
      </c>
      <c r="AE432" s="8">
        <f>IF(G432="","",IF(IFERROR(INDEX(Recipes!$X$5:$X$204,MATCH(G432,Recipes!$A$5:$A$204,0)),"")="","",IFERROR(B432-IFERROR(INDEX(Recipes!$X$5:$X$204,MATCH(G432,Recipes!$A$5:$A$204,0)),""),"")))</f>
        <v>0</v>
      </c>
      <c r="AF432" s="8">
        <f>IF(G432="","",IF(AE432="","Yes",IF(AE432&gt;=Rotation_Gap_Days,"Yes","No")))</f>
        <v>0</v>
      </c>
      <c r="AG432" s="8">
        <f>IF(G432="","",IF(COUNTIFS('Recipe Ingredients'!$A$5:$A$1204,G432,'Recipe Ingredients'!$AC$5:$AC$1204,"Check")&gt;0,"Check","OK"))</f>
        <v>0</v>
      </c>
    </row>
    <row r="433" spans="1:33">
      <c r="A433" s="7"/>
      <c r="B433" s="30"/>
      <c r="C433" s="8">
        <f>IF(B433="","",B433-WEEKDAY(B433,2)+1)</f>
        <v>0</v>
      </c>
      <c r="D433" s="8">
        <f>IF(B433="","",TEXT(B433,"ddd"))</f>
        <v>0</v>
      </c>
      <c r="E433" s="8">
        <f>IF(B433="","",TEXT(B433,"mmm yyyy"))</f>
        <v>0</v>
      </c>
      <c r="F433" s="27"/>
      <c r="G433" s="7"/>
      <c r="H433" s="26"/>
      <c r="I433" s="8">
        <f>IF(G433="","",IFERROR(INDEX(Recipes!$D$5:$D$204,MATCH(G433,Recipes!$A$5:$A$204,0)),""))</f>
        <v>0</v>
      </c>
      <c r="J433" s="8">
        <f>IF(OR(G433="",H433="",I433="",I433=0),"",H433/I433)</f>
        <v>0</v>
      </c>
      <c r="K433" s="8">
        <f>IF(B433="","",Household_Size)</f>
        <v>0</v>
      </c>
      <c r="L433" s="8">
        <f>IF(OR(G433="",H433=""),"",IFERROR(IFERROR(INDEX(Recipes!$H$5:$H$204,MATCH(G433,Recipes!$A$5:$A$204,0)),"")*H433,""))</f>
        <v>0</v>
      </c>
      <c r="M433" s="8">
        <f>IF(OR(G433="",H433=""),"",IFERROR(IFERROR(INDEX(Recipes!$I$5:$I$204,MATCH(G433,Recipes!$A$5:$A$204,0)),"")*H433,""))</f>
        <v>0</v>
      </c>
      <c r="N433" s="8">
        <f>IF(OR(G433="",H433=""),"",IFERROR(IFERROR(INDEX(Recipes!$J$5:$J$204,MATCH(G433,Recipes!$A$5:$A$204,0)),"")*H433,""))</f>
        <v>0</v>
      </c>
      <c r="O433" s="8">
        <f>IF(OR(G433="",H433=""),"",IFERROR(IFERROR(INDEX(Recipes!$K$5:$K$204,MATCH(G433,Recipes!$A$5:$A$204,0)),"")*H433,""))</f>
        <v>0</v>
      </c>
      <c r="P433" s="8">
        <f>IF(OR(G433="",H433=""),"",IFERROR(IFERROR(INDEX(Recipes!$L$5:$L$204,MATCH(G433,Recipes!$A$5:$A$204,0)),"")*H433,""))</f>
        <v>0</v>
      </c>
      <c r="Q433" s="8">
        <f>IF(OR(G433="",H433=""),"",IFERROR(IFERROR(INDEX(Recipes!$Q$5:$Q$204,MATCH(G433,Recipes!$A$5:$A$204,0)),"")*H433,""))</f>
        <v>0</v>
      </c>
      <c r="R433" s="8">
        <f>IF(F433="","",Weekly_Budget/21)</f>
        <v>0</v>
      </c>
      <c r="S433" s="27"/>
      <c r="T433" s="27"/>
      <c r="U433" s="26"/>
      <c r="V433" s="7"/>
      <c r="W433" s="7"/>
      <c r="X433" s="26"/>
      <c r="Y433" s="8">
        <f>IF(G433="","",IF(COUNTIFS('Meal Prep'!$D$5:$D$124,G433)&gt;0,"Yes","No"))</f>
        <v>0</v>
      </c>
      <c r="Z433" s="8">
        <f>IF(G433="","",COUNTIFS('Recipe Ingredients'!$A$5:$A$1204,G433))</f>
        <v>0</v>
      </c>
      <c r="AA433" s="25"/>
      <c r="AB433" s="8">
        <f>IF(OR(B433="",Q433=""),"",COUNTIFS($B$5:$B$504,B433,$Q$5:$Q$504,"&gt;"&amp;Q433)+1)</f>
        <v>0</v>
      </c>
      <c r="AC433" s="8">
        <f>IF(OR(B433="",L433=""),"",COUNTIFS($B$5:$B$504,B433,$L$5:$L$504,"&gt;"&amp;L433)+1)</f>
        <v>0</v>
      </c>
      <c r="AD433" s="8">
        <f>IF(G433="","",IF(COUNTIFS($G$5:$G$504,G433)&gt;1,"Repeat","Once"))</f>
        <v>0</v>
      </c>
      <c r="AE433" s="8">
        <f>IF(G433="","",IF(IFERROR(INDEX(Recipes!$X$5:$X$204,MATCH(G433,Recipes!$A$5:$A$204,0)),"")="","",IFERROR(B433-IFERROR(INDEX(Recipes!$X$5:$X$204,MATCH(G433,Recipes!$A$5:$A$204,0)),""),"")))</f>
        <v>0</v>
      </c>
      <c r="AF433" s="8">
        <f>IF(G433="","",IF(AE433="","Yes",IF(AE433&gt;=Rotation_Gap_Days,"Yes","No")))</f>
        <v>0</v>
      </c>
      <c r="AG433" s="8">
        <f>IF(G433="","",IF(COUNTIFS('Recipe Ingredients'!$A$5:$A$1204,G433,'Recipe Ingredients'!$AC$5:$AC$1204,"Check")&gt;0,"Check","OK"))</f>
        <v>0</v>
      </c>
    </row>
    <row r="434" spans="1:33">
      <c r="A434" s="7"/>
      <c r="B434" s="30"/>
      <c r="C434" s="8">
        <f>IF(B434="","",B434-WEEKDAY(B434,2)+1)</f>
        <v>0</v>
      </c>
      <c r="D434" s="8">
        <f>IF(B434="","",TEXT(B434,"ddd"))</f>
        <v>0</v>
      </c>
      <c r="E434" s="8">
        <f>IF(B434="","",TEXT(B434,"mmm yyyy"))</f>
        <v>0</v>
      </c>
      <c r="F434" s="27"/>
      <c r="G434" s="7"/>
      <c r="H434" s="26"/>
      <c r="I434" s="8">
        <f>IF(G434="","",IFERROR(INDEX(Recipes!$D$5:$D$204,MATCH(G434,Recipes!$A$5:$A$204,0)),""))</f>
        <v>0</v>
      </c>
      <c r="J434" s="8">
        <f>IF(OR(G434="",H434="",I434="",I434=0),"",H434/I434)</f>
        <v>0</v>
      </c>
      <c r="K434" s="8">
        <f>IF(B434="","",Household_Size)</f>
        <v>0</v>
      </c>
      <c r="L434" s="8">
        <f>IF(OR(G434="",H434=""),"",IFERROR(IFERROR(INDEX(Recipes!$H$5:$H$204,MATCH(G434,Recipes!$A$5:$A$204,0)),"")*H434,""))</f>
        <v>0</v>
      </c>
      <c r="M434" s="8">
        <f>IF(OR(G434="",H434=""),"",IFERROR(IFERROR(INDEX(Recipes!$I$5:$I$204,MATCH(G434,Recipes!$A$5:$A$204,0)),"")*H434,""))</f>
        <v>0</v>
      </c>
      <c r="N434" s="8">
        <f>IF(OR(G434="",H434=""),"",IFERROR(IFERROR(INDEX(Recipes!$J$5:$J$204,MATCH(G434,Recipes!$A$5:$A$204,0)),"")*H434,""))</f>
        <v>0</v>
      </c>
      <c r="O434" s="8">
        <f>IF(OR(G434="",H434=""),"",IFERROR(IFERROR(INDEX(Recipes!$K$5:$K$204,MATCH(G434,Recipes!$A$5:$A$204,0)),"")*H434,""))</f>
        <v>0</v>
      </c>
      <c r="P434" s="8">
        <f>IF(OR(G434="",H434=""),"",IFERROR(IFERROR(INDEX(Recipes!$L$5:$L$204,MATCH(G434,Recipes!$A$5:$A$204,0)),"")*H434,""))</f>
        <v>0</v>
      </c>
      <c r="Q434" s="8">
        <f>IF(OR(G434="",H434=""),"",IFERROR(IFERROR(INDEX(Recipes!$Q$5:$Q$204,MATCH(G434,Recipes!$A$5:$A$204,0)),"")*H434,""))</f>
        <v>0</v>
      </c>
      <c r="R434" s="8">
        <f>IF(F434="","",Weekly_Budget/21)</f>
        <v>0</v>
      </c>
      <c r="S434" s="27"/>
      <c r="T434" s="27"/>
      <c r="U434" s="26"/>
      <c r="V434" s="7"/>
      <c r="W434" s="7"/>
      <c r="X434" s="26"/>
      <c r="Y434" s="8">
        <f>IF(G434="","",IF(COUNTIFS('Meal Prep'!$D$5:$D$124,G434)&gt;0,"Yes","No"))</f>
        <v>0</v>
      </c>
      <c r="Z434" s="8">
        <f>IF(G434="","",COUNTIFS('Recipe Ingredients'!$A$5:$A$1204,G434))</f>
        <v>0</v>
      </c>
      <c r="AA434" s="25"/>
      <c r="AB434" s="8">
        <f>IF(OR(B434="",Q434=""),"",COUNTIFS($B$5:$B$504,B434,$Q$5:$Q$504,"&gt;"&amp;Q434)+1)</f>
        <v>0</v>
      </c>
      <c r="AC434" s="8">
        <f>IF(OR(B434="",L434=""),"",COUNTIFS($B$5:$B$504,B434,$L$5:$L$504,"&gt;"&amp;L434)+1)</f>
        <v>0</v>
      </c>
      <c r="AD434" s="8">
        <f>IF(G434="","",IF(COUNTIFS($G$5:$G$504,G434)&gt;1,"Repeat","Once"))</f>
        <v>0</v>
      </c>
      <c r="AE434" s="8">
        <f>IF(G434="","",IF(IFERROR(INDEX(Recipes!$X$5:$X$204,MATCH(G434,Recipes!$A$5:$A$204,0)),"")="","",IFERROR(B434-IFERROR(INDEX(Recipes!$X$5:$X$204,MATCH(G434,Recipes!$A$5:$A$204,0)),""),"")))</f>
        <v>0</v>
      </c>
      <c r="AF434" s="8">
        <f>IF(G434="","",IF(AE434="","Yes",IF(AE434&gt;=Rotation_Gap_Days,"Yes","No")))</f>
        <v>0</v>
      </c>
      <c r="AG434" s="8">
        <f>IF(G434="","",IF(COUNTIFS('Recipe Ingredients'!$A$5:$A$1204,G434,'Recipe Ingredients'!$AC$5:$AC$1204,"Check")&gt;0,"Check","OK"))</f>
        <v>0</v>
      </c>
    </row>
    <row r="435" spans="1:33">
      <c r="A435" s="7"/>
      <c r="B435" s="30"/>
      <c r="C435" s="8">
        <f>IF(B435="","",B435-WEEKDAY(B435,2)+1)</f>
        <v>0</v>
      </c>
      <c r="D435" s="8">
        <f>IF(B435="","",TEXT(B435,"ddd"))</f>
        <v>0</v>
      </c>
      <c r="E435" s="8">
        <f>IF(B435="","",TEXT(B435,"mmm yyyy"))</f>
        <v>0</v>
      </c>
      <c r="F435" s="27"/>
      <c r="G435" s="7"/>
      <c r="H435" s="26"/>
      <c r="I435" s="8">
        <f>IF(G435="","",IFERROR(INDEX(Recipes!$D$5:$D$204,MATCH(G435,Recipes!$A$5:$A$204,0)),""))</f>
        <v>0</v>
      </c>
      <c r="J435" s="8">
        <f>IF(OR(G435="",H435="",I435="",I435=0),"",H435/I435)</f>
        <v>0</v>
      </c>
      <c r="K435" s="8">
        <f>IF(B435="","",Household_Size)</f>
        <v>0</v>
      </c>
      <c r="L435" s="8">
        <f>IF(OR(G435="",H435=""),"",IFERROR(IFERROR(INDEX(Recipes!$H$5:$H$204,MATCH(G435,Recipes!$A$5:$A$204,0)),"")*H435,""))</f>
        <v>0</v>
      </c>
      <c r="M435" s="8">
        <f>IF(OR(G435="",H435=""),"",IFERROR(IFERROR(INDEX(Recipes!$I$5:$I$204,MATCH(G435,Recipes!$A$5:$A$204,0)),"")*H435,""))</f>
        <v>0</v>
      </c>
      <c r="N435" s="8">
        <f>IF(OR(G435="",H435=""),"",IFERROR(IFERROR(INDEX(Recipes!$J$5:$J$204,MATCH(G435,Recipes!$A$5:$A$204,0)),"")*H435,""))</f>
        <v>0</v>
      </c>
      <c r="O435" s="8">
        <f>IF(OR(G435="",H435=""),"",IFERROR(IFERROR(INDEX(Recipes!$K$5:$K$204,MATCH(G435,Recipes!$A$5:$A$204,0)),"")*H435,""))</f>
        <v>0</v>
      </c>
      <c r="P435" s="8">
        <f>IF(OR(G435="",H435=""),"",IFERROR(IFERROR(INDEX(Recipes!$L$5:$L$204,MATCH(G435,Recipes!$A$5:$A$204,0)),"")*H435,""))</f>
        <v>0</v>
      </c>
      <c r="Q435" s="8">
        <f>IF(OR(G435="",H435=""),"",IFERROR(IFERROR(INDEX(Recipes!$Q$5:$Q$204,MATCH(G435,Recipes!$A$5:$A$204,0)),"")*H435,""))</f>
        <v>0</v>
      </c>
      <c r="R435" s="8">
        <f>IF(F435="","",Weekly_Budget/21)</f>
        <v>0</v>
      </c>
      <c r="S435" s="27"/>
      <c r="T435" s="27"/>
      <c r="U435" s="26"/>
      <c r="V435" s="7"/>
      <c r="W435" s="7"/>
      <c r="X435" s="26"/>
      <c r="Y435" s="8">
        <f>IF(G435="","",IF(COUNTIFS('Meal Prep'!$D$5:$D$124,G435)&gt;0,"Yes","No"))</f>
        <v>0</v>
      </c>
      <c r="Z435" s="8">
        <f>IF(G435="","",COUNTIFS('Recipe Ingredients'!$A$5:$A$1204,G435))</f>
        <v>0</v>
      </c>
      <c r="AA435" s="25"/>
      <c r="AB435" s="8">
        <f>IF(OR(B435="",Q435=""),"",COUNTIFS($B$5:$B$504,B435,$Q$5:$Q$504,"&gt;"&amp;Q435)+1)</f>
        <v>0</v>
      </c>
      <c r="AC435" s="8">
        <f>IF(OR(B435="",L435=""),"",COUNTIFS($B$5:$B$504,B435,$L$5:$L$504,"&gt;"&amp;L435)+1)</f>
        <v>0</v>
      </c>
      <c r="AD435" s="8">
        <f>IF(G435="","",IF(COUNTIFS($G$5:$G$504,G435)&gt;1,"Repeat","Once"))</f>
        <v>0</v>
      </c>
      <c r="AE435" s="8">
        <f>IF(G435="","",IF(IFERROR(INDEX(Recipes!$X$5:$X$204,MATCH(G435,Recipes!$A$5:$A$204,0)),"")="","",IFERROR(B435-IFERROR(INDEX(Recipes!$X$5:$X$204,MATCH(G435,Recipes!$A$5:$A$204,0)),""),"")))</f>
        <v>0</v>
      </c>
      <c r="AF435" s="8">
        <f>IF(G435="","",IF(AE435="","Yes",IF(AE435&gt;=Rotation_Gap_Days,"Yes","No")))</f>
        <v>0</v>
      </c>
      <c r="AG435" s="8">
        <f>IF(G435="","",IF(COUNTIFS('Recipe Ingredients'!$A$5:$A$1204,G435,'Recipe Ingredients'!$AC$5:$AC$1204,"Check")&gt;0,"Check","OK"))</f>
        <v>0</v>
      </c>
    </row>
    <row r="436" spans="1:33">
      <c r="A436" s="7"/>
      <c r="B436" s="30"/>
      <c r="C436" s="8">
        <f>IF(B436="","",B436-WEEKDAY(B436,2)+1)</f>
        <v>0</v>
      </c>
      <c r="D436" s="8">
        <f>IF(B436="","",TEXT(B436,"ddd"))</f>
        <v>0</v>
      </c>
      <c r="E436" s="8">
        <f>IF(B436="","",TEXT(B436,"mmm yyyy"))</f>
        <v>0</v>
      </c>
      <c r="F436" s="27"/>
      <c r="G436" s="7"/>
      <c r="H436" s="26"/>
      <c r="I436" s="8">
        <f>IF(G436="","",IFERROR(INDEX(Recipes!$D$5:$D$204,MATCH(G436,Recipes!$A$5:$A$204,0)),""))</f>
        <v>0</v>
      </c>
      <c r="J436" s="8">
        <f>IF(OR(G436="",H436="",I436="",I436=0),"",H436/I436)</f>
        <v>0</v>
      </c>
      <c r="K436" s="8">
        <f>IF(B436="","",Household_Size)</f>
        <v>0</v>
      </c>
      <c r="L436" s="8">
        <f>IF(OR(G436="",H436=""),"",IFERROR(IFERROR(INDEX(Recipes!$H$5:$H$204,MATCH(G436,Recipes!$A$5:$A$204,0)),"")*H436,""))</f>
        <v>0</v>
      </c>
      <c r="M436" s="8">
        <f>IF(OR(G436="",H436=""),"",IFERROR(IFERROR(INDEX(Recipes!$I$5:$I$204,MATCH(G436,Recipes!$A$5:$A$204,0)),"")*H436,""))</f>
        <v>0</v>
      </c>
      <c r="N436" s="8">
        <f>IF(OR(G436="",H436=""),"",IFERROR(IFERROR(INDEX(Recipes!$J$5:$J$204,MATCH(G436,Recipes!$A$5:$A$204,0)),"")*H436,""))</f>
        <v>0</v>
      </c>
      <c r="O436" s="8">
        <f>IF(OR(G436="",H436=""),"",IFERROR(IFERROR(INDEX(Recipes!$K$5:$K$204,MATCH(G436,Recipes!$A$5:$A$204,0)),"")*H436,""))</f>
        <v>0</v>
      </c>
      <c r="P436" s="8">
        <f>IF(OR(G436="",H436=""),"",IFERROR(IFERROR(INDEX(Recipes!$L$5:$L$204,MATCH(G436,Recipes!$A$5:$A$204,0)),"")*H436,""))</f>
        <v>0</v>
      </c>
      <c r="Q436" s="8">
        <f>IF(OR(G436="",H436=""),"",IFERROR(IFERROR(INDEX(Recipes!$Q$5:$Q$204,MATCH(G436,Recipes!$A$5:$A$204,0)),"")*H436,""))</f>
        <v>0</v>
      </c>
      <c r="R436" s="8">
        <f>IF(F436="","",Weekly_Budget/21)</f>
        <v>0</v>
      </c>
      <c r="S436" s="27"/>
      <c r="T436" s="27"/>
      <c r="U436" s="26"/>
      <c r="V436" s="7"/>
      <c r="W436" s="7"/>
      <c r="X436" s="26"/>
      <c r="Y436" s="8">
        <f>IF(G436="","",IF(COUNTIFS('Meal Prep'!$D$5:$D$124,G436)&gt;0,"Yes","No"))</f>
        <v>0</v>
      </c>
      <c r="Z436" s="8">
        <f>IF(G436="","",COUNTIFS('Recipe Ingredients'!$A$5:$A$1204,G436))</f>
        <v>0</v>
      </c>
      <c r="AA436" s="25"/>
      <c r="AB436" s="8">
        <f>IF(OR(B436="",Q436=""),"",COUNTIFS($B$5:$B$504,B436,$Q$5:$Q$504,"&gt;"&amp;Q436)+1)</f>
        <v>0</v>
      </c>
      <c r="AC436" s="8">
        <f>IF(OR(B436="",L436=""),"",COUNTIFS($B$5:$B$504,B436,$L$5:$L$504,"&gt;"&amp;L436)+1)</f>
        <v>0</v>
      </c>
      <c r="AD436" s="8">
        <f>IF(G436="","",IF(COUNTIFS($G$5:$G$504,G436)&gt;1,"Repeat","Once"))</f>
        <v>0</v>
      </c>
      <c r="AE436" s="8">
        <f>IF(G436="","",IF(IFERROR(INDEX(Recipes!$X$5:$X$204,MATCH(G436,Recipes!$A$5:$A$204,0)),"")="","",IFERROR(B436-IFERROR(INDEX(Recipes!$X$5:$X$204,MATCH(G436,Recipes!$A$5:$A$204,0)),""),"")))</f>
        <v>0</v>
      </c>
      <c r="AF436" s="8">
        <f>IF(G436="","",IF(AE436="","Yes",IF(AE436&gt;=Rotation_Gap_Days,"Yes","No")))</f>
        <v>0</v>
      </c>
      <c r="AG436" s="8">
        <f>IF(G436="","",IF(COUNTIFS('Recipe Ingredients'!$A$5:$A$1204,G436,'Recipe Ingredients'!$AC$5:$AC$1204,"Check")&gt;0,"Check","OK"))</f>
        <v>0</v>
      </c>
    </row>
    <row r="437" spans="1:33">
      <c r="A437" s="7"/>
      <c r="B437" s="30"/>
      <c r="C437" s="8">
        <f>IF(B437="","",B437-WEEKDAY(B437,2)+1)</f>
        <v>0</v>
      </c>
      <c r="D437" s="8">
        <f>IF(B437="","",TEXT(B437,"ddd"))</f>
        <v>0</v>
      </c>
      <c r="E437" s="8">
        <f>IF(B437="","",TEXT(B437,"mmm yyyy"))</f>
        <v>0</v>
      </c>
      <c r="F437" s="27"/>
      <c r="G437" s="7"/>
      <c r="H437" s="26"/>
      <c r="I437" s="8">
        <f>IF(G437="","",IFERROR(INDEX(Recipes!$D$5:$D$204,MATCH(G437,Recipes!$A$5:$A$204,0)),""))</f>
        <v>0</v>
      </c>
      <c r="J437" s="8">
        <f>IF(OR(G437="",H437="",I437="",I437=0),"",H437/I437)</f>
        <v>0</v>
      </c>
      <c r="K437" s="8">
        <f>IF(B437="","",Household_Size)</f>
        <v>0</v>
      </c>
      <c r="L437" s="8">
        <f>IF(OR(G437="",H437=""),"",IFERROR(IFERROR(INDEX(Recipes!$H$5:$H$204,MATCH(G437,Recipes!$A$5:$A$204,0)),"")*H437,""))</f>
        <v>0</v>
      </c>
      <c r="M437" s="8">
        <f>IF(OR(G437="",H437=""),"",IFERROR(IFERROR(INDEX(Recipes!$I$5:$I$204,MATCH(G437,Recipes!$A$5:$A$204,0)),"")*H437,""))</f>
        <v>0</v>
      </c>
      <c r="N437" s="8">
        <f>IF(OR(G437="",H437=""),"",IFERROR(IFERROR(INDEX(Recipes!$J$5:$J$204,MATCH(G437,Recipes!$A$5:$A$204,0)),"")*H437,""))</f>
        <v>0</v>
      </c>
      <c r="O437" s="8">
        <f>IF(OR(G437="",H437=""),"",IFERROR(IFERROR(INDEX(Recipes!$K$5:$K$204,MATCH(G437,Recipes!$A$5:$A$204,0)),"")*H437,""))</f>
        <v>0</v>
      </c>
      <c r="P437" s="8">
        <f>IF(OR(G437="",H437=""),"",IFERROR(IFERROR(INDEX(Recipes!$L$5:$L$204,MATCH(G437,Recipes!$A$5:$A$204,0)),"")*H437,""))</f>
        <v>0</v>
      </c>
      <c r="Q437" s="8">
        <f>IF(OR(G437="",H437=""),"",IFERROR(IFERROR(INDEX(Recipes!$Q$5:$Q$204,MATCH(G437,Recipes!$A$5:$A$204,0)),"")*H437,""))</f>
        <v>0</v>
      </c>
      <c r="R437" s="8">
        <f>IF(F437="","",Weekly_Budget/21)</f>
        <v>0</v>
      </c>
      <c r="S437" s="27"/>
      <c r="T437" s="27"/>
      <c r="U437" s="26"/>
      <c r="V437" s="7"/>
      <c r="W437" s="7"/>
      <c r="X437" s="26"/>
      <c r="Y437" s="8">
        <f>IF(G437="","",IF(COUNTIFS('Meal Prep'!$D$5:$D$124,G437)&gt;0,"Yes","No"))</f>
        <v>0</v>
      </c>
      <c r="Z437" s="8">
        <f>IF(G437="","",COUNTIFS('Recipe Ingredients'!$A$5:$A$1204,G437))</f>
        <v>0</v>
      </c>
      <c r="AA437" s="25"/>
      <c r="AB437" s="8">
        <f>IF(OR(B437="",Q437=""),"",COUNTIFS($B$5:$B$504,B437,$Q$5:$Q$504,"&gt;"&amp;Q437)+1)</f>
        <v>0</v>
      </c>
      <c r="AC437" s="8">
        <f>IF(OR(B437="",L437=""),"",COUNTIFS($B$5:$B$504,B437,$L$5:$L$504,"&gt;"&amp;L437)+1)</f>
        <v>0</v>
      </c>
      <c r="AD437" s="8">
        <f>IF(G437="","",IF(COUNTIFS($G$5:$G$504,G437)&gt;1,"Repeat","Once"))</f>
        <v>0</v>
      </c>
      <c r="AE437" s="8">
        <f>IF(G437="","",IF(IFERROR(INDEX(Recipes!$X$5:$X$204,MATCH(G437,Recipes!$A$5:$A$204,0)),"")="","",IFERROR(B437-IFERROR(INDEX(Recipes!$X$5:$X$204,MATCH(G437,Recipes!$A$5:$A$204,0)),""),"")))</f>
        <v>0</v>
      </c>
      <c r="AF437" s="8">
        <f>IF(G437="","",IF(AE437="","Yes",IF(AE437&gt;=Rotation_Gap_Days,"Yes","No")))</f>
        <v>0</v>
      </c>
      <c r="AG437" s="8">
        <f>IF(G437="","",IF(COUNTIFS('Recipe Ingredients'!$A$5:$A$1204,G437,'Recipe Ingredients'!$AC$5:$AC$1204,"Check")&gt;0,"Check","OK"))</f>
        <v>0</v>
      </c>
    </row>
    <row r="438" spans="1:33">
      <c r="A438" s="7"/>
      <c r="B438" s="30"/>
      <c r="C438" s="8">
        <f>IF(B438="","",B438-WEEKDAY(B438,2)+1)</f>
        <v>0</v>
      </c>
      <c r="D438" s="8">
        <f>IF(B438="","",TEXT(B438,"ddd"))</f>
        <v>0</v>
      </c>
      <c r="E438" s="8">
        <f>IF(B438="","",TEXT(B438,"mmm yyyy"))</f>
        <v>0</v>
      </c>
      <c r="F438" s="27"/>
      <c r="G438" s="7"/>
      <c r="H438" s="26"/>
      <c r="I438" s="8">
        <f>IF(G438="","",IFERROR(INDEX(Recipes!$D$5:$D$204,MATCH(G438,Recipes!$A$5:$A$204,0)),""))</f>
        <v>0</v>
      </c>
      <c r="J438" s="8">
        <f>IF(OR(G438="",H438="",I438="",I438=0),"",H438/I438)</f>
        <v>0</v>
      </c>
      <c r="K438" s="8">
        <f>IF(B438="","",Household_Size)</f>
        <v>0</v>
      </c>
      <c r="L438" s="8">
        <f>IF(OR(G438="",H438=""),"",IFERROR(IFERROR(INDEX(Recipes!$H$5:$H$204,MATCH(G438,Recipes!$A$5:$A$204,0)),"")*H438,""))</f>
        <v>0</v>
      </c>
      <c r="M438" s="8">
        <f>IF(OR(G438="",H438=""),"",IFERROR(IFERROR(INDEX(Recipes!$I$5:$I$204,MATCH(G438,Recipes!$A$5:$A$204,0)),"")*H438,""))</f>
        <v>0</v>
      </c>
      <c r="N438" s="8">
        <f>IF(OR(G438="",H438=""),"",IFERROR(IFERROR(INDEX(Recipes!$J$5:$J$204,MATCH(G438,Recipes!$A$5:$A$204,0)),"")*H438,""))</f>
        <v>0</v>
      </c>
      <c r="O438" s="8">
        <f>IF(OR(G438="",H438=""),"",IFERROR(IFERROR(INDEX(Recipes!$K$5:$K$204,MATCH(G438,Recipes!$A$5:$A$204,0)),"")*H438,""))</f>
        <v>0</v>
      </c>
      <c r="P438" s="8">
        <f>IF(OR(G438="",H438=""),"",IFERROR(IFERROR(INDEX(Recipes!$L$5:$L$204,MATCH(G438,Recipes!$A$5:$A$204,0)),"")*H438,""))</f>
        <v>0</v>
      </c>
      <c r="Q438" s="8">
        <f>IF(OR(G438="",H438=""),"",IFERROR(IFERROR(INDEX(Recipes!$Q$5:$Q$204,MATCH(G438,Recipes!$A$5:$A$204,0)),"")*H438,""))</f>
        <v>0</v>
      </c>
      <c r="R438" s="8">
        <f>IF(F438="","",Weekly_Budget/21)</f>
        <v>0</v>
      </c>
      <c r="S438" s="27"/>
      <c r="T438" s="27"/>
      <c r="U438" s="26"/>
      <c r="V438" s="7"/>
      <c r="W438" s="7"/>
      <c r="X438" s="26"/>
      <c r="Y438" s="8">
        <f>IF(G438="","",IF(COUNTIFS('Meal Prep'!$D$5:$D$124,G438)&gt;0,"Yes","No"))</f>
        <v>0</v>
      </c>
      <c r="Z438" s="8">
        <f>IF(G438="","",COUNTIFS('Recipe Ingredients'!$A$5:$A$1204,G438))</f>
        <v>0</v>
      </c>
      <c r="AA438" s="25"/>
      <c r="AB438" s="8">
        <f>IF(OR(B438="",Q438=""),"",COUNTIFS($B$5:$B$504,B438,$Q$5:$Q$504,"&gt;"&amp;Q438)+1)</f>
        <v>0</v>
      </c>
      <c r="AC438" s="8">
        <f>IF(OR(B438="",L438=""),"",COUNTIFS($B$5:$B$504,B438,$L$5:$L$504,"&gt;"&amp;L438)+1)</f>
        <v>0</v>
      </c>
      <c r="AD438" s="8">
        <f>IF(G438="","",IF(COUNTIFS($G$5:$G$504,G438)&gt;1,"Repeat","Once"))</f>
        <v>0</v>
      </c>
      <c r="AE438" s="8">
        <f>IF(G438="","",IF(IFERROR(INDEX(Recipes!$X$5:$X$204,MATCH(G438,Recipes!$A$5:$A$204,0)),"")="","",IFERROR(B438-IFERROR(INDEX(Recipes!$X$5:$X$204,MATCH(G438,Recipes!$A$5:$A$204,0)),""),"")))</f>
        <v>0</v>
      </c>
      <c r="AF438" s="8">
        <f>IF(G438="","",IF(AE438="","Yes",IF(AE438&gt;=Rotation_Gap_Days,"Yes","No")))</f>
        <v>0</v>
      </c>
      <c r="AG438" s="8">
        <f>IF(G438="","",IF(COUNTIFS('Recipe Ingredients'!$A$5:$A$1204,G438,'Recipe Ingredients'!$AC$5:$AC$1204,"Check")&gt;0,"Check","OK"))</f>
        <v>0</v>
      </c>
    </row>
    <row r="439" spans="1:33">
      <c r="A439" s="7"/>
      <c r="B439" s="30"/>
      <c r="C439" s="8">
        <f>IF(B439="","",B439-WEEKDAY(B439,2)+1)</f>
        <v>0</v>
      </c>
      <c r="D439" s="8">
        <f>IF(B439="","",TEXT(B439,"ddd"))</f>
        <v>0</v>
      </c>
      <c r="E439" s="8">
        <f>IF(B439="","",TEXT(B439,"mmm yyyy"))</f>
        <v>0</v>
      </c>
      <c r="F439" s="27"/>
      <c r="G439" s="7"/>
      <c r="H439" s="26"/>
      <c r="I439" s="8">
        <f>IF(G439="","",IFERROR(INDEX(Recipes!$D$5:$D$204,MATCH(G439,Recipes!$A$5:$A$204,0)),""))</f>
        <v>0</v>
      </c>
      <c r="J439" s="8">
        <f>IF(OR(G439="",H439="",I439="",I439=0),"",H439/I439)</f>
        <v>0</v>
      </c>
      <c r="K439" s="8">
        <f>IF(B439="","",Household_Size)</f>
        <v>0</v>
      </c>
      <c r="L439" s="8">
        <f>IF(OR(G439="",H439=""),"",IFERROR(IFERROR(INDEX(Recipes!$H$5:$H$204,MATCH(G439,Recipes!$A$5:$A$204,0)),"")*H439,""))</f>
        <v>0</v>
      </c>
      <c r="M439" s="8">
        <f>IF(OR(G439="",H439=""),"",IFERROR(IFERROR(INDEX(Recipes!$I$5:$I$204,MATCH(G439,Recipes!$A$5:$A$204,0)),"")*H439,""))</f>
        <v>0</v>
      </c>
      <c r="N439" s="8">
        <f>IF(OR(G439="",H439=""),"",IFERROR(IFERROR(INDEX(Recipes!$J$5:$J$204,MATCH(G439,Recipes!$A$5:$A$204,0)),"")*H439,""))</f>
        <v>0</v>
      </c>
      <c r="O439" s="8">
        <f>IF(OR(G439="",H439=""),"",IFERROR(IFERROR(INDEX(Recipes!$K$5:$K$204,MATCH(G439,Recipes!$A$5:$A$204,0)),"")*H439,""))</f>
        <v>0</v>
      </c>
      <c r="P439" s="8">
        <f>IF(OR(G439="",H439=""),"",IFERROR(IFERROR(INDEX(Recipes!$L$5:$L$204,MATCH(G439,Recipes!$A$5:$A$204,0)),"")*H439,""))</f>
        <v>0</v>
      </c>
      <c r="Q439" s="8">
        <f>IF(OR(G439="",H439=""),"",IFERROR(IFERROR(INDEX(Recipes!$Q$5:$Q$204,MATCH(G439,Recipes!$A$5:$A$204,0)),"")*H439,""))</f>
        <v>0</v>
      </c>
      <c r="R439" s="8">
        <f>IF(F439="","",Weekly_Budget/21)</f>
        <v>0</v>
      </c>
      <c r="S439" s="27"/>
      <c r="T439" s="27"/>
      <c r="U439" s="26"/>
      <c r="V439" s="7"/>
      <c r="W439" s="7"/>
      <c r="X439" s="26"/>
      <c r="Y439" s="8">
        <f>IF(G439="","",IF(COUNTIFS('Meal Prep'!$D$5:$D$124,G439)&gt;0,"Yes","No"))</f>
        <v>0</v>
      </c>
      <c r="Z439" s="8">
        <f>IF(G439="","",COUNTIFS('Recipe Ingredients'!$A$5:$A$1204,G439))</f>
        <v>0</v>
      </c>
      <c r="AA439" s="25"/>
      <c r="AB439" s="8">
        <f>IF(OR(B439="",Q439=""),"",COUNTIFS($B$5:$B$504,B439,$Q$5:$Q$504,"&gt;"&amp;Q439)+1)</f>
        <v>0</v>
      </c>
      <c r="AC439" s="8">
        <f>IF(OR(B439="",L439=""),"",COUNTIFS($B$5:$B$504,B439,$L$5:$L$504,"&gt;"&amp;L439)+1)</f>
        <v>0</v>
      </c>
      <c r="AD439" s="8">
        <f>IF(G439="","",IF(COUNTIFS($G$5:$G$504,G439)&gt;1,"Repeat","Once"))</f>
        <v>0</v>
      </c>
      <c r="AE439" s="8">
        <f>IF(G439="","",IF(IFERROR(INDEX(Recipes!$X$5:$X$204,MATCH(G439,Recipes!$A$5:$A$204,0)),"")="","",IFERROR(B439-IFERROR(INDEX(Recipes!$X$5:$X$204,MATCH(G439,Recipes!$A$5:$A$204,0)),""),"")))</f>
        <v>0</v>
      </c>
      <c r="AF439" s="8">
        <f>IF(G439="","",IF(AE439="","Yes",IF(AE439&gt;=Rotation_Gap_Days,"Yes","No")))</f>
        <v>0</v>
      </c>
      <c r="AG439" s="8">
        <f>IF(G439="","",IF(COUNTIFS('Recipe Ingredients'!$A$5:$A$1204,G439,'Recipe Ingredients'!$AC$5:$AC$1204,"Check")&gt;0,"Check","OK"))</f>
        <v>0</v>
      </c>
    </row>
    <row r="440" spans="1:33">
      <c r="A440" s="7"/>
      <c r="B440" s="30"/>
      <c r="C440" s="8">
        <f>IF(B440="","",B440-WEEKDAY(B440,2)+1)</f>
        <v>0</v>
      </c>
      <c r="D440" s="8">
        <f>IF(B440="","",TEXT(B440,"ddd"))</f>
        <v>0</v>
      </c>
      <c r="E440" s="8">
        <f>IF(B440="","",TEXT(B440,"mmm yyyy"))</f>
        <v>0</v>
      </c>
      <c r="F440" s="27"/>
      <c r="G440" s="7"/>
      <c r="H440" s="26"/>
      <c r="I440" s="8">
        <f>IF(G440="","",IFERROR(INDEX(Recipes!$D$5:$D$204,MATCH(G440,Recipes!$A$5:$A$204,0)),""))</f>
        <v>0</v>
      </c>
      <c r="J440" s="8">
        <f>IF(OR(G440="",H440="",I440="",I440=0),"",H440/I440)</f>
        <v>0</v>
      </c>
      <c r="K440" s="8">
        <f>IF(B440="","",Household_Size)</f>
        <v>0</v>
      </c>
      <c r="L440" s="8">
        <f>IF(OR(G440="",H440=""),"",IFERROR(IFERROR(INDEX(Recipes!$H$5:$H$204,MATCH(G440,Recipes!$A$5:$A$204,0)),"")*H440,""))</f>
        <v>0</v>
      </c>
      <c r="M440" s="8">
        <f>IF(OR(G440="",H440=""),"",IFERROR(IFERROR(INDEX(Recipes!$I$5:$I$204,MATCH(G440,Recipes!$A$5:$A$204,0)),"")*H440,""))</f>
        <v>0</v>
      </c>
      <c r="N440" s="8">
        <f>IF(OR(G440="",H440=""),"",IFERROR(IFERROR(INDEX(Recipes!$J$5:$J$204,MATCH(G440,Recipes!$A$5:$A$204,0)),"")*H440,""))</f>
        <v>0</v>
      </c>
      <c r="O440" s="8">
        <f>IF(OR(G440="",H440=""),"",IFERROR(IFERROR(INDEX(Recipes!$K$5:$K$204,MATCH(G440,Recipes!$A$5:$A$204,0)),"")*H440,""))</f>
        <v>0</v>
      </c>
      <c r="P440" s="8">
        <f>IF(OR(G440="",H440=""),"",IFERROR(IFERROR(INDEX(Recipes!$L$5:$L$204,MATCH(G440,Recipes!$A$5:$A$204,0)),"")*H440,""))</f>
        <v>0</v>
      </c>
      <c r="Q440" s="8">
        <f>IF(OR(G440="",H440=""),"",IFERROR(IFERROR(INDEX(Recipes!$Q$5:$Q$204,MATCH(G440,Recipes!$A$5:$A$204,0)),"")*H440,""))</f>
        <v>0</v>
      </c>
      <c r="R440" s="8">
        <f>IF(F440="","",Weekly_Budget/21)</f>
        <v>0</v>
      </c>
      <c r="S440" s="27"/>
      <c r="T440" s="27"/>
      <c r="U440" s="26"/>
      <c r="V440" s="7"/>
      <c r="W440" s="7"/>
      <c r="X440" s="26"/>
      <c r="Y440" s="8">
        <f>IF(G440="","",IF(COUNTIFS('Meal Prep'!$D$5:$D$124,G440)&gt;0,"Yes","No"))</f>
        <v>0</v>
      </c>
      <c r="Z440" s="8">
        <f>IF(G440="","",COUNTIFS('Recipe Ingredients'!$A$5:$A$1204,G440))</f>
        <v>0</v>
      </c>
      <c r="AA440" s="25"/>
      <c r="AB440" s="8">
        <f>IF(OR(B440="",Q440=""),"",COUNTIFS($B$5:$B$504,B440,$Q$5:$Q$504,"&gt;"&amp;Q440)+1)</f>
        <v>0</v>
      </c>
      <c r="AC440" s="8">
        <f>IF(OR(B440="",L440=""),"",COUNTIFS($B$5:$B$504,B440,$L$5:$L$504,"&gt;"&amp;L440)+1)</f>
        <v>0</v>
      </c>
      <c r="AD440" s="8">
        <f>IF(G440="","",IF(COUNTIFS($G$5:$G$504,G440)&gt;1,"Repeat","Once"))</f>
        <v>0</v>
      </c>
      <c r="AE440" s="8">
        <f>IF(G440="","",IF(IFERROR(INDEX(Recipes!$X$5:$X$204,MATCH(G440,Recipes!$A$5:$A$204,0)),"")="","",IFERROR(B440-IFERROR(INDEX(Recipes!$X$5:$X$204,MATCH(G440,Recipes!$A$5:$A$204,0)),""),"")))</f>
        <v>0</v>
      </c>
      <c r="AF440" s="8">
        <f>IF(G440="","",IF(AE440="","Yes",IF(AE440&gt;=Rotation_Gap_Days,"Yes","No")))</f>
        <v>0</v>
      </c>
      <c r="AG440" s="8">
        <f>IF(G440="","",IF(COUNTIFS('Recipe Ingredients'!$A$5:$A$1204,G440,'Recipe Ingredients'!$AC$5:$AC$1204,"Check")&gt;0,"Check","OK"))</f>
        <v>0</v>
      </c>
    </row>
    <row r="441" spans="1:33">
      <c r="A441" s="7"/>
      <c r="B441" s="30"/>
      <c r="C441" s="8">
        <f>IF(B441="","",B441-WEEKDAY(B441,2)+1)</f>
        <v>0</v>
      </c>
      <c r="D441" s="8">
        <f>IF(B441="","",TEXT(B441,"ddd"))</f>
        <v>0</v>
      </c>
      <c r="E441" s="8">
        <f>IF(B441="","",TEXT(B441,"mmm yyyy"))</f>
        <v>0</v>
      </c>
      <c r="F441" s="27"/>
      <c r="G441" s="7"/>
      <c r="H441" s="26"/>
      <c r="I441" s="8">
        <f>IF(G441="","",IFERROR(INDEX(Recipes!$D$5:$D$204,MATCH(G441,Recipes!$A$5:$A$204,0)),""))</f>
        <v>0</v>
      </c>
      <c r="J441" s="8">
        <f>IF(OR(G441="",H441="",I441="",I441=0),"",H441/I441)</f>
        <v>0</v>
      </c>
      <c r="K441" s="8">
        <f>IF(B441="","",Household_Size)</f>
        <v>0</v>
      </c>
      <c r="L441" s="8">
        <f>IF(OR(G441="",H441=""),"",IFERROR(IFERROR(INDEX(Recipes!$H$5:$H$204,MATCH(G441,Recipes!$A$5:$A$204,0)),"")*H441,""))</f>
        <v>0</v>
      </c>
      <c r="M441" s="8">
        <f>IF(OR(G441="",H441=""),"",IFERROR(IFERROR(INDEX(Recipes!$I$5:$I$204,MATCH(G441,Recipes!$A$5:$A$204,0)),"")*H441,""))</f>
        <v>0</v>
      </c>
      <c r="N441" s="8">
        <f>IF(OR(G441="",H441=""),"",IFERROR(IFERROR(INDEX(Recipes!$J$5:$J$204,MATCH(G441,Recipes!$A$5:$A$204,0)),"")*H441,""))</f>
        <v>0</v>
      </c>
      <c r="O441" s="8">
        <f>IF(OR(G441="",H441=""),"",IFERROR(IFERROR(INDEX(Recipes!$K$5:$K$204,MATCH(G441,Recipes!$A$5:$A$204,0)),"")*H441,""))</f>
        <v>0</v>
      </c>
      <c r="P441" s="8">
        <f>IF(OR(G441="",H441=""),"",IFERROR(IFERROR(INDEX(Recipes!$L$5:$L$204,MATCH(G441,Recipes!$A$5:$A$204,0)),"")*H441,""))</f>
        <v>0</v>
      </c>
      <c r="Q441" s="8">
        <f>IF(OR(G441="",H441=""),"",IFERROR(IFERROR(INDEX(Recipes!$Q$5:$Q$204,MATCH(G441,Recipes!$A$5:$A$204,0)),"")*H441,""))</f>
        <v>0</v>
      </c>
      <c r="R441" s="8">
        <f>IF(F441="","",Weekly_Budget/21)</f>
        <v>0</v>
      </c>
      <c r="S441" s="27"/>
      <c r="T441" s="27"/>
      <c r="U441" s="26"/>
      <c r="V441" s="7"/>
      <c r="W441" s="7"/>
      <c r="X441" s="26"/>
      <c r="Y441" s="8">
        <f>IF(G441="","",IF(COUNTIFS('Meal Prep'!$D$5:$D$124,G441)&gt;0,"Yes","No"))</f>
        <v>0</v>
      </c>
      <c r="Z441" s="8">
        <f>IF(G441="","",COUNTIFS('Recipe Ingredients'!$A$5:$A$1204,G441))</f>
        <v>0</v>
      </c>
      <c r="AA441" s="25"/>
      <c r="AB441" s="8">
        <f>IF(OR(B441="",Q441=""),"",COUNTIFS($B$5:$B$504,B441,$Q$5:$Q$504,"&gt;"&amp;Q441)+1)</f>
        <v>0</v>
      </c>
      <c r="AC441" s="8">
        <f>IF(OR(B441="",L441=""),"",COUNTIFS($B$5:$B$504,B441,$L$5:$L$504,"&gt;"&amp;L441)+1)</f>
        <v>0</v>
      </c>
      <c r="AD441" s="8">
        <f>IF(G441="","",IF(COUNTIFS($G$5:$G$504,G441)&gt;1,"Repeat","Once"))</f>
        <v>0</v>
      </c>
      <c r="AE441" s="8">
        <f>IF(G441="","",IF(IFERROR(INDEX(Recipes!$X$5:$X$204,MATCH(G441,Recipes!$A$5:$A$204,0)),"")="","",IFERROR(B441-IFERROR(INDEX(Recipes!$X$5:$X$204,MATCH(G441,Recipes!$A$5:$A$204,0)),""),"")))</f>
        <v>0</v>
      </c>
      <c r="AF441" s="8">
        <f>IF(G441="","",IF(AE441="","Yes",IF(AE441&gt;=Rotation_Gap_Days,"Yes","No")))</f>
        <v>0</v>
      </c>
      <c r="AG441" s="8">
        <f>IF(G441="","",IF(COUNTIFS('Recipe Ingredients'!$A$5:$A$1204,G441,'Recipe Ingredients'!$AC$5:$AC$1204,"Check")&gt;0,"Check","OK"))</f>
        <v>0</v>
      </c>
    </row>
    <row r="442" spans="1:33">
      <c r="A442" s="7"/>
      <c r="B442" s="30"/>
      <c r="C442" s="8">
        <f>IF(B442="","",B442-WEEKDAY(B442,2)+1)</f>
        <v>0</v>
      </c>
      <c r="D442" s="8">
        <f>IF(B442="","",TEXT(B442,"ddd"))</f>
        <v>0</v>
      </c>
      <c r="E442" s="8">
        <f>IF(B442="","",TEXT(B442,"mmm yyyy"))</f>
        <v>0</v>
      </c>
      <c r="F442" s="27"/>
      <c r="G442" s="7"/>
      <c r="H442" s="26"/>
      <c r="I442" s="8">
        <f>IF(G442="","",IFERROR(INDEX(Recipes!$D$5:$D$204,MATCH(G442,Recipes!$A$5:$A$204,0)),""))</f>
        <v>0</v>
      </c>
      <c r="J442" s="8">
        <f>IF(OR(G442="",H442="",I442="",I442=0),"",H442/I442)</f>
        <v>0</v>
      </c>
      <c r="K442" s="8">
        <f>IF(B442="","",Household_Size)</f>
        <v>0</v>
      </c>
      <c r="L442" s="8">
        <f>IF(OR(G442="",H442=""),"",IFERROR(IFERROR(INDEX(Recipes!$H$5:$H$204,MATCH(G442,Recipes!$A$5:$A$204,0)),"")*H442,""))</f>
        <v>0</v>
      </c>
      <c r="M442" s="8">
        <f>IF(OR(G442="",H442=""),"",IFERROR(IFERROR(INDEX(Recipes!$I$5:$I$204,MATCH(G442,Recipes!$A$5:$A$204,0)),"")*H442,""))</f>
        <v>0</v>
      </c>
      <c r="N442" s="8">
        <f>IF(OR(G442="",H442=""),"",IFERROR(IFERROR(INDEX(Recipes!$J$5:$J$204,MATCH(G442,Recipes!$A$5:$A$204,0)),"")*H442,""))</f>
        <v>0</v>
      </c>
      <c r="O442" s="8">
        <f>IF(OR(G442="",H442=""),"",IFERROR(IFERROR(INDEX(Recipes!$K$5:$K$204,MATCH(G442,Recipes!$A$5:$A$204,0)),"")*H442,""))</f>
        <v>0</v>
      </c>
      <c r="P442" s="8">
        <f>IF(OR(G442="",H442=""),"",IFERROR(IFERROR(INDEX(Recipes!$L$5:$L$204,MATCH(G442,Recipes!$A$5:$A$204,0)),"")*H442,""))</f>
        <v>0</v>
      </c>
      <c r="Q442" s="8">
        <f>IF(OR(G442="",H442=""),"",IFERROR(IFERROR(INDEX(Recipes!$Q$5:$Q$204,MATCH(G442,Recipes!$A$5:$A$204,0)),"")*H442,""))</f>
        <v>0</v>
      </c>
      <c r="R442" s="8">
        <f>IF(F442="","",Weekly_Budget/21)</f>
        <v>0</v>
      </c>
      <c r="S442" s="27"/>
      <c r="T442" s="27"/>
      <c r="U442" s="26"/>
      <c r="V442" s="7"/>
      <c r="W442" s="7"/>
      <c r="X442" s="26"/>
      <c r="Y442" s="8">
        <f>IF(G442="","",IF(COUNTIFS('Meal Prep'!$D$5:$D$124,G442)&gt;0,"Yes","No"))</f>
        <v>0</v>
      </c>
      <c r="Z442" s="8">
        <f>IF(G442="","",COUNTIFS('Recipe Ingredients'!$A$5:$A$1204,G442))</f>
        <v>0</v>
      </c>
      <c r="AA442" s="25"/>
      <c r="AB442" s="8">
        <f>IF(OR(B442="",Q442=""),"",COUNTIFS($B$5:$B$504,B442,$Q$5:$Q$504,"&gt;"&amp;Q442)+1)</f>
        <v>0</v>
      </c>
      <c r="AC442" s="8">
        <f>IF(OR(B442="",L442=""),"",COUNTIFS($B$5:$B$504,B442,$L$5:$L$504,"&gt;"&amp;L442)+1)</f>
        <v>0</v>
      </c>
      <c r="AD442" s="8">
        <f>IF(G442="","",IF(COUNTIFS($G$5:$G$504,G442)&gt;1,"Repeat","Once"))</f>
        <v>0</v>
      </c>
      <c r="AE442" s="8">
        <f>IF(G442="","",IF(IFERROR(INDEX(Recipes!$X$5:$X$204,MATCH(G442,Recipes!$A$5:$A$204,0)),"")="","",IFERROR(B442-IFERROR(INDEX(Recipes!$X$5:$X$204,MATCH(G442,Recipes!$A$5:$A$204,0)),""),"")))</f>
        <v>0</v>
      </c>
      <c r="AF442" s="8">
        <f>IF(G442="","",IF(AE442="","Yes",IF(AE442&gt;=Rotation_Gap_Days,"Yes","No")))</f>
        <v>0</v>
      </c>
      <c r="AG442" s="8">
        <f>IF(G442="","",IF(COUNTIFS('Recipe Ingredients'!$A$5:$A$1204,G442,'Recipe Ingredients'!$AC$5:$AC$1204,"Check")&gt;0,"Check","OK"))</f>
        <v>0</v>
      </c>
    </row>
    <row r="443" spans="1:33">
      <c r="A443" s="7"/>
      <c r="B443" s="30"/>
      <c r="C443" s="8">
        <f>IF(B443="","",B443-WEEKDAY(B443,2)+1)</f>
        <v>0</v>
      </c>
      <c r="D443" s="8">
        <f>IF(B443="","",TEXT(B443,"ddd"))</f>
        <v>0</v>
      </c>
      <c r="E443" s="8">
        <f>IF(B443="","",TEXT(B443,"mmm yyyy"))</f>
        <v>0</v>
      </c>
      <c r="F443" s="27"/>
      <c r="G443" s="7"/>
      <c r="H443" s="26"/>
      <c r="I443" s="8">
        <f>IF(G443="","",IFERROR(INDEX(Recipes!$D$5:$D$204,MATCH(G443,Recipes!$A$5:$A$204,0)),""))</f>
        <v>0</v>
      </c>
      <c r="J443" s="8">
        <f>IF(OR(G443="",H443="",I443="",I443=0),"",H443/I443)</f>
        <v>0</v>
      </c>
      <c r="K443" s="8">
        <f>IF(B443="","",Household_Size)</f>
        <v>0</v>
      </c>
      <c r="L443" s="8">
        <f>IF(OR(G443="",H443=""),"",IFERROR(IFERROR(INDEX(Recipes!$H$5:$H$204,MATCH(G443,Recipes!$A$5:$A$204,0)),"")*H443,""))</f>
        <v>0</v>
      </c>
      <c r="M443" s="8">
        <f>IF(OR(G443="",H443=""),"",IFERROR(IFERROR(INDEX(Recipes!$I$5:$I$204,MATCH(G443,Recipes!$A$5:$A$204,0)),"")*H443,""))</f>
        <v>0</v>
      </c>
      <c r="N443" s="8">
        <f>IF(OR(G443="",H443=""),"",IFERROR(IFERROR(INDEX(Recipes!$J$5:$J$204,MATCH(G443,Recipes!$A$5:$A$204,0)),"")*H443,""))</f>
        <v>0</v>
      </c>
      <c r="O443" s="8">
        <f>IF(OR(G443="",H443=""),"",IFERROR(IFERROR(INDEX(Recipes!$K$5:$K$204,MATCH(G443,Recipes!$A$5:$A$204,0)),"")*H443,""))</f>
        <v>0</v>
      </c>
      <c r="P443" s="8">
        <f>IF(OR(G443="",H443=""),"",IFERROR(IFERROR(INDEX(Recipes!$L$5:$L$204,MATCH(G443,Recipes!$A$5:$A$204,0)),"")*H443,""))</f>
        <v>0</v>
      </c>
      <c r="Q443" s="8">
        <f>IF(OR(G443="",H443=""),"",IFERROR(IFERROR(INDEX(Recipes!$Q$5:$Q$204,MATCH(G443,Recipes!$A$5:$A$204,0)),"")*H443,""))</f>
        <v>0</v>
      </c>
      <c r="R443" s="8">
        <f>IF(F443="","",Weekly_Budget/21)</f>
        <v>0</v>
      </c>
      <c r="S443" s="27"/>
      <c r="T443" s="27"/>
      <c r="U443" s="26"/>
      <c r="V443" s="7"/>
      <c r="W443" s="7"/>
      <c r="X443" s="26"/>
      <c r="Y443" s="8">
        <f>IF(G443="","",IF(COUNTIFS('Meal Prep'!$D$5:$D$124,G443)&gt;0,"Yes","No"))</f>
        <v>0</v>
      </c>
      <c r="Z443" s="8">
        <f>IF(G443="","",COUNTIFS('Recipe Ingredients'!$A$5:$A$1204,G443))</f>
        <v>0</v>
      </c>
      <c r="AA443" s="25"/>
      <c r="AB443" s="8">
        <f>IF(OR(B443="",Q443=""),"",COUNTIFS($B$5:$B$504,B443,$Q$5:$Q$504,"&gt;"&amp;Q443)+1)</f>
        <v>0</v>
      </c>
      <c r="AC443" s="8">
        <f>IF(OR(B443="",L443=""),"",COUNTIFS($B$5:$B$504,B443,$L$5:$L$504,"&gt;"&amp;L443)+1)</f>
        <v>0</v>
      </c>
      <c r="AD443" s="8">
        <f>IF(G443="","",IF(COUNTIFS($G$5:$G$504,G443)&gt;1,"Repeat","Once"))</f>
        <v>0</v>
      </c>
      <c r="AE443" s="8">
        <f>IF(G443="","",IF(IFERROR(INDEX(Recipes!$X$5:$X$204,MATCH(G443,Recipes!$A$5:$A$204,0)),"")="","",IFERROR(B443-IFERROR(INDEX(Recipes!$X$5:$X$204,MATCH(G443,Recipes!$A$5:$A$204,0)),""),"")))</f>
        <v>0</v>
      </c>
      <c r="AF443" s="8">
        <f>IF(G443="","",IF(AE443="","Yes",IF(AE443&gt;=Rotation_Gap_Days,"Yes","No")))</f>
        <v>0</v>
      </c>
      <c r="AG443" s="8">
        <f>IF(G443="","",IF(COUNTIFS('Recipe Ingredients'!$A$5:$A$1204,G443,'Recipe Ingredients'!$AC$5:$AC$1204,"Check")&gt;0,"Check","OK"))</f>
        <v>0</v>
      </c>
    </row>
    <row r="444" spans="1:33">
      <c r="A444" s="7"/>
      <c r="B444" s="30"/>
      <c r="C444" s="8">
        <f>IF(B444="","",B444-WEEKDAY(B444,2)+1)</f>
        <v>0</v>
      </c>
      <c r="D444" s="8">
        <f>IF(B444="","",TEXT(B444,"ddd"))</f>
        <v>0</v>
      </c>
      <c r="E444" s="8">
        <f>IF(B444="","",TEXT(B444,"mmm yyyy"))</f>
        <v>0</v>
      </c>
      <c r="F444" s="27"/>
      <c r="G444" s="7"/>
      <c r="H444" s="26"/>
      <c r="I444" s="8">
        <f>IF(G444="","",IFERROR(INDEX(Recipes!$D$5:$D$204,MATCH(G444,Recipes!$A$5:$A$204,0)),""))</f>
        <v>0</v>
      </c>
      <c r="J444" s="8">
        <f>IF(OR(G444="",H444="",I444="",I444=0),"",H444/I444)</f>
        <v>0</v>
      </c>
      <c r="K444" s="8">
        <f>IF(B444="","",Household_Size)</f>
        <v>0</v>
      </c>
      <c r="L444" s="8">
        <f>IF(OR(G444="",H444=""),"",IFERROR(IFERROR(INDEX(Recipes!$H$5:$H$204,MATCH(G444,Recipes!$A$5:$A$204,0)),"")*H444,""))</f>
        <v>0</v>
      </c>
      <c r="M444" s="8">
        <f>IF(OR(G444="",H444=""),"",IFERROR(IFERROR(INDEX(Recipes!$I$5:$I$204,MATCH(G444,Recipes!$A$5:$A$204,0)),"")*H444,""))</f>
        <v>0</v>
      </c>
      <c r="N444" s="8">
        <f>IF(OR(G444="",H444=""),"",IFERROR(IFERROR(INDEX(Recipes!$J$5:$J$204,MATCH(G444,Recipes!$A$5:$A$204,0)),"")*H444,""))</f>
        <v>0</v>
      </c>
      <c r="O444" s="8">
        <f>IF(OR(G444="",H444=""),"",IFERROR(IFERROR(INDEX(Recipes!$K$5:$K$204,MATCH(G444,Recipes!$A$5:$A$204,0)),"")*H444,""))</f>
        <v>0</v>
      </c>
      <c r="P444" s="8">
        <f>IF(OR(G444="",H444=""),"",IFERROR(IFERROR(INDEX(Recipes!$L$5:$L$204,MATCH(G444,Recipes!$A$5:$A$204,0)),"")*H444,""))</f>
        <v>0</v>
      </c>
      <c r="Q444" s="8">
        <f>IF(OR(G444="",H444=""),"",IFERROR(IFERROR(INDEX(Recipes!$Q$5:$Q$204,MATCH(G444,Recipes!$A$5:$A$204,0)),"")*H444,""))</f>
        <v>0</v>
      </c>
      <c r="R444" s="8">
        <f>IF(F444="","",Weekly_Budget/21)</f>
        <v>0</v>
      </c>
      <c r="S444" s="27"/>
      <c r="T444" s="27"/>
      <c r="U444" s="26"/>
      <c r="V444" s="7"/>
      <c r="W444" s="7"/>
      <c r="X444" s="26"/>
      <c r="Y444" s="8">
        <f>IF(G444="","",IF(COUNTIFS('Meal Prep'!$D$5:$D$124,G444)&gt;0,"Yes","No"))</f>
        <v>0</v>
      </c>
      <c r="Z444" s="8">
        <f>IF(G444="","",COUNTIFS('Recipe Ingredients'!$A$5:$A$1204,G444))</f>
        <v>0</v>
      </c>
      <c r="AA444" s="25"/>
      <c r="AB444" s="8">
        <f>IF(OR(B444="",Q444=""),"",COUNTIFS($B$5:$B$504,B444,$Q$5:$Q$504,"&gt;"&amp;Q444)+1)</f>
        <v>0</v>
      </c>
      <c r="AC444" s="8">
        <f>IF(OR(B444="",L444=""),"",COUNTIFS($B$5:$B$504,B444,$L$5:$L$504,"&gt;"&amp;L444)+1)</f>
        <v>0</v>
      </c>
      <c r="AD444" s="8">
        <f>IF(G444="","",IF(COUNTIFS($G$5:$G$504,G444)&gt;1,"Repeat","Once"))</f>
        <v>0</v>
      </c>
      <c r="AE444" s="8">
        <f>IF(G444="","",IF(IFERROR(INDEX(Recipes!$X$5:$X$204,MATCH(G444,Recipes!$A$5:$A$204,0)),"")="","",IFERROR(B444-IFERROR(INDEX(Recipes!$X$5:$X$204,MATCH(G444,Recipes!$A$5:$A$204,0)),""),"")))</f>
        <v>0</v>
      </c>
      <c r="AF444" s="8">
        <f>IF(G444="","",IF(AE444="","Yes",IF(AE444&gt;=Rotation_Gap_Days,"Yes","No")))</f>
        <v>0</v>
      </c>
      <c r="AG444" s="8">
        <f>IF(G444="","",IF(COUNTIFS('Recipe Ingredients'!$A$5:$A$1204,G444,'Recipe Ingredients'!$AC$5:$AC$1204,"Check")&gt;0,"Check","OK"))</f>
        <v>0</v>
      </c>
    </row>
    <row r="445" spans="1:33">
      <c r="A445" s="7"/>
      <c r="B445" s="30"/>
      <c r="C445" s="8">
        <f>IF(B445="","",B445-WEEKDAY(B445,2)+1)</f>
        <v>0</v>
      </c>
      <c r="D445" s="8">
        <f>IF(B445="","",TEXT(B445,"ddd"))</f>
        <v>0</v>
      </c>
      <c r="E445" s="8">
        <f>IF(B445="","",TEXT(B445,"mmm yyyy"))</f>
        <v>0</v>
      </c>
      <c r="F445" s="27"/>
      <c r="G445" s="7"/>
      <c r="H445" s="26"/>
      <c r="I445" s="8">
        <f>IF(G445="","",IFERROR(INDEX(Recipes!$D$5:$D$204,MATCH(G445,Recipes!$A$5:$A$204,0)),""))</f>
        <v>0</v>
      </c>
      <c r="J445" s="8">
        <f>IF(OR(G445="",H445="",I445="",I445=0),"",H445/I445)</f>
        <v>0</v>
      </c>
      <c r="K445" s="8">
        <f>IF(B445="","",Household_Size)</f>
        <v>0</v>
      </c>
      <c r="L445" s="8">
        <f>IF(OR(G445="",H445=""),"",IFERROR(IFERROR(INDEX(Recipes!$H$5:$H$204,MATCH(G445,Recipes!$A$5:$A$204,0)),"")*H445,""))</f>
        <v>0</v>
      </c>
      <c r="M445" s="8">
        <f>IF(OR(G445="",H445=""),"",IFERROR(IFERROR(INDEX(Recipes!$I$5:$I$204,MATCH(G445,Recipes!$A$5:$A$204,0)),"")*H445,""))</f>
        <v>0</v>
      </c>
      <c r="N445" s="8">
        <f>IF(OR(G445="",H445=""),"",IFERROR(IFERROR(INDEX(Recipes!$J$5:$J$204,MATCH(G445,Recipes!$A$5:$A$204,0)),"")*H445,""))</f>
        <v>0</v>
      </c>
      <c r="O445" s="8">
        <f>IF(OR(G445="",H445=""),"",IFERROR(IFERROR(INDEX(Recipes!$K$5:$K$204,MATCH(G445,Recipes!$A$5:$A$204,0)),"")*H445,""))</f>
        <v>0</v>
      </c>
      <c r="P445" s="8">
        <f>IF(OR(G445="",H445=""),"",IFERROR(IFERROR(INDEX(Recipes!$L$5:$L$204,MATCH(G445,Recipes!$A$5:$A$204,0)),"")*H445,""))</f>
        <v>0</v>
      </c>
      <c r="Q445" s="8">
        <f>IF(OR(G445="",H445=""),"",IFERROR(IFERROR(INDEX(Recipes!$Q$5:$Q$204,MATCH(G445,Recipes!$A$5:$A$204,0)),"")*H445,""))</f>
        <v>0</v>
      </c>
      <c r="R445" s="8">
        <f>IF(F445="","",Weekly_Budget/21)</f>
        <v>0</v>
      </c>
      <c r="S445" s="27"/>
      <c r="T445" s="27"/>
      <c r="U445" s="26"/>
      <c r="V445" s="7"/>
      <c r="W445" s="7"/>
      <c r="X445" s="26"/>
      <c r="Y445" s="8">
        <f>IF(G445="","",IF(COUNTIFS('Meal Prep'!$D$5:$D$124,G445)&gt;0,"Yes","No"))</f>
        <v>0</v>
      </c>
      <c r="Z445" s="8">
        <f>IF(G445="","",COUNTIFS('Recipe Ingredients'!$A$5:$A$1204,G445))</f>
        <v>0</v>
      </c>
      <c r="AA445" s="25"/>
      <c r="AB445" s="8">
        <f>IF(OR(B445="",Q445=""),"",COUNTIFS($B$5:$B$504,B445,$Q$5:$Q$504,"&gt;"&amp;Q445)+1)</f>
        <v>0</v>
      </c>
      <c r="AC445" s="8">
        <f>IF(OR(B445="",L445=""),"",COUNTIFS($B$5:$B$504,B445,$L$5:$L$504,"&gt;"&amp;L445)+1)</f>
        <v>0</v>
      </c>
      <c r="AD445" s="8">
        <f>IF(G445="","",IF(COUNTIFS($G$5:$G$504,G445)&gt;1,"Repeat","Once"))</f>
        <v>0</v>
      </c>
      <c r="AE445" s="8">
        <f>IF(G445="","",IF(IFERROR(INDEX(Recipes!$X$5:$X$204,MATCH(G445,Recipes!$A$5:$A$204,0)),"")="","",IFERROR(B445-IFERROR(INDEX(Recipes!$X$5:$X$204,MATCH(G445,Recipes!$A$5:$A$204,0)),""),"")))</f>
        <v>0</v>
      </c>
      <c r="AF445" s="8">
        <f>IF(G445="","",IF(AE445="","Yes",IF(AE445&gt;=Rotation_Gap_Days,"Yes","No")))</f>
        <v>0</v>
      </c>
      <c r="AG445" s="8">
        <f>IF(G445="","",IF(COUNTIFS('Recipe Ingredients'!$A$5:$A$1204,G445,'Recipe Ingredients'!$AC$5:$AC$1204,"Check")&gt;0,"Check","OK"))</f>
        <v>0</v>
      </c>
    </row>
    <row r="446" spans="1:33">
      <c r="A446" s="7"/>
      <c r="B446" s="30"/>
      <c r="C446" s="8">
        <f>IF(B446="","",B446-WEEKDAY(B446,2)+1)</f>
        <v>0</v>
      </c>
      <c r="D446" s="8">
        <f>IF(B446="","",TEXT(B446,"ddd"))</f>
        <v>0</v>
      </c>
      <c r="E446" s="8">
        <f>IF(B446="","",TEXT(B446,"mmm yyyy"))</f>
        <v>0</v>
      </c>
      <c r="F446" s="27"/>
      <c r="G446" s="7"/>
      <c r="H446" s="26"/>
      <c r="I446" s="8">
        <f>IF(G446="","",IFERROR(INDEX(Recipes!$D$5:$D$204,MATCH(G446,Recipes!$A$5:$A$204,0)),""))</f>
        <v>0</v>
      </c>
      <c r="J446" s="8">
        <f>IF(OR(G446="",H446="",I446="",I446=0),"",H446/I446)</f>
        <v>0</v>
      </c>
      <c r="K446" s="8">
        <f>IF(B446="","",Household_Size)</f>
        <v>0</v>
      </c>
      <c r="L446" s="8">
        <f>IF(OR(G446="",H446=""),"",IFERROR(IFERROR(INDEX(Recipes!$H$5:$H$204,MATCH(G446,Recipes!$A$5:$A$204,0)),"")*H446,""))</f>
        <v>0</v>
      </c>
      <c r="M446" s="8">
        <f>IF(OR(G446="",H446=""),"",IFERROR(IFERROR(INDEX(Recipes!$I$5:$I$204,MATCH(G446,Recipes!$A$5:$A$204,0)),"")*H446,""))</f>
        <v>0</v>
      </c>
      <c r="N446" s="8">
        <f>IF(OR(G446="",H446=""),"",IFERROR(IFERROR(INDEX(Recipes!$J$5:$J$204,MATCH(G446,Recipes!$A$5:$A$204,0)),"")*H446,""))</f>
        <v>0</v>
      </c>
      <c r="O446" s="8">
        <f>IF(OR(G446="",H446=""),"",IFERROR(IFERROR(INDEX(Recipes!$K$5:$K$204,MATCH(G446,Recipes!$A$5:$A$204,0)),"")*H446,""))</f>
        <v>0</v>
      </c>
      <c r="P446" s="8">
        <f>IF(OR(G446="",H446=""),"",IFERROR(IFERROR(INDEX(Recipes!$L$5:$L$204,MATCH(G446,Recipes!$A$5:$A$204,0)),"")*H446,""))</f>
        <v>0</v>
      </c>
      <c r="Q446" s="8">
        <f>IF(OR(G446="",H446=""),"",IFERROR(IFERROR(INDEX(Recipes!$Q$5:$Q$204,MATCH(G446,Recipes!$A$5:$A$204,0)),"")*H446,""))</f>
        <v>0</v>
      </c>
      <c r="R446" s="8">
        <f>IF(F446="","",Weekly_Budget/21)</f>
        <v>0</v>
      </c>
      <c r="S446" s="27"/>
      <c r="T446" s="27"/>
      <c r="U446" s="26"/>
      <c r="V446" s="7"/>
      <c r="W446" s="7"/>
      <c r="X446" s="26"/>
      <c r="Y446" s="8">
        <f>IF(G446="","",IF(COUNTIFS('Meal Prep'!$D$5:$D$124,G446)&gt;0,"Yes","No"))</f>
        <v>0</v>
      </c>
      <c r="Z446" s="8">
        <f>IF(G446="","",COUNTIFS('Recipe Ingredients'!$A$5:$A$1204,G446))</f>
        <v>0</v>
      </c>
      <c r="AA446" s="25"/>
      <c r="AB446" s="8">
        <f>IF(OR(B446="",Q446=""),"",COUNTIFS($B$5:$B$504,B446,$Q$5:$Q$504,"&gt;"&amp;Q446)+1)</f>
        <v>0</v>
      </c>
      <c r="AC446" s="8">
        <f>IF(OR(B446="",L446=""),"",COUNTIFS($B$5:$B$504,B446,$L$5:$L$504,"&gt;"&amp;L446)+1)</f>
        <v>0</v>
      </c>
      <c r="AD446" s="8">
        <f>IF(G446="","",IF(COUNTIFS($G$5:$G$504,G446)&gt;1,"Repeat","Once"))</f>
        <v>0</v>
      </c>
      <c r="AE446" s="8">
        <f>IF(G446="","",IF(IFERROR(INDEX(Recipes!$X$5:$X$204,MATCH(G446,Recipes!$A$5:$A$204,0)),"")="","",IFERROR(B446-IFERROR(INDEX(Recipes!$X$5:$X$204,MATCH(G446,Recipes!$A$5:$A$204,0)),""),"")))</f>
        <v>0</v>
      </c>
      <c r="AF446" s="8">
        <f>IF(G446="","",IF(AE446="","Yes",IF(AE446&gt;=Rotation_Gap_Days,"Yes","No")))</f>
        <v>0</v>
      </c>
      <c r="AG446" s="8">
        <f>IF(G446="","",IF(COUNTIFS('Recipe Ingredients'!$A$5:$A$1204,G446,'Recipe Ingredients'!$AC$5:$AC$1204,"Check")&gt;0,"Check","OK"))</f>
        <v>0</v>
      </c>
    </row>
    <row r="447" spans="1:33">
      <c r="A447" s="7"/>
      <c r="B447" s="30"/>
      <c r="C447" s="8">
        <f>IF(B447="","",B447-WEEKDAY(B447,2)+1)</f>
        <v>0</v>
      </c>
      <c r="D447" s="8">
        <f>IF(B447="","",TEXT(B447,"ddd"))</f>
        <v>0</v>
      </c>
      <c r="E447" s="8">
        <f>IF(B447="","",TEXT(B447,"mmm yyyy"))</f>
        <v>0</v>
      </c>
      <c r="F447" s="27"/>
      <c r="G447" s="7"/>
      <c r="H447" s="26"/>
      <c r="I447" s="8">
        <f>IF(G447="","",IFERROR(INDEX(Recipes!$D$5:$D$204,MATCH(G447,Recipes!$A$5:$A$204,0)),""))</f>
        <v>0</v>
      </c>
      <c r="J447" s="8">
        <f>IF(OR(G447="",H447="",I447="",I447=0),"",H447/I447)</f>
        <v>0</v>
      </c>
      <c r="K447" s="8">
        <f>IF(B447="","",Household_Size)</f>
        <v>0</v>
      </c>
      <c r="L447" s="8">
        <f>IF(OR(G447="",H447=""),"",IFERROR(IFERROR(INDEX(Recipes!$H$5:$H$204,MATCH(G447,Recipes!$A$5:$A$204,0)),"")*H447,""))</f>
        <v>0</v>
      </c>
      <c r="M447" s="8">
        <f>IF(OR(G447="",H447=""),"",IFERROR(IFERROR(INDEX(Recipes!$I$5:$I$204,MATCH(G447,Recipes!$A$5:$A$204,0)),"")*H447,""))</f>
        <v>0</v>
      </c>
      <c r="N447" s="8">
        <f>IF(OR(G447="",H447=""),"",IFERROR(IFERROR(INDEX(Recipes!$J$5:$J$204,MATCH(G447,Recipes!$A$5:$A$204,0)),"")*H447,""))</f>
        <v>0</v>
      </c>
      <c r="O447" s="8">
        <f>IF(OR(G447="",H447=""),"",IFERROR(IFERROR(INDEX(Recipes!$K$5:$K$204,MATCH(G447,Recipes!$A$5:$A$204,0)),"")*H447,""))</f>
        <v>0</v>
      </c>
      <c r="P447" s="8">
        <f>IF(OR(G447="",H447=""),"",IFERROR(IFERROR(INDEX(Recipes!$L$5:$L$204,MATCH(G447,Recipes!$A$5:$A$204,0)),"")*H447,""))</f>
        <v>0</v>
      </c>
      <c r="Q447" s="8">
        <f>IF(OR(G447="",H447=""),"",IFERROR(IFERROR(INDEX(Recipes!$Q$5:$Q$204,MATCH(G447,Recipes!$A$5:$A$204,0)),"")*H447,""))</f>
        <v>0</v>
      </c>
      <c r="R447" s="8">
        <f>IF(F447="","",Weekly_Budget/21)</f>
        <v>0</v>
      </c>
      <c r="S447" s="27"/>
      <c r="T447" s="27"/>
      <c r="U447" s="26"/>
      <c r="V447" s="7"/>
      <c r="W447" s="7"/>
      <c r="X447" s="26"/>
      <c r="Y447" s="8">
        <f>IF(G447="","",IF(COUNTIFS('Meal Prep'!$D$5:$D$124,G447)&gt;0,"Yes","No"))</f>
        <v>0</v>
      </c>
      <c r="Z447" s="8">
        <f>IF(G447="","",COUNTIFS('Recipe Ingredients'!$A$5:$A$1204,G447))</f>
        <v>0</v>
      </c>
      <c r="AA447" s="25"/>
      <c r="AB447" s="8">
        <f>IF(OR(B447="",Q447=""),"",COUNTIFS($B$5:$B$504,B447,$Q$5:$Q$504,"&gt;"&amp;Q447)+1)</f>
        <v>0</v>
      </c>
      <c r="AC447" s="8">
        <f>IF(OR(B447="",L447=""),"",COUNTIFS($B$5:$B$504,B447,$L$5:$L$504,"&gt;"&amp;L447)+1)</f>
        <v>0</v>
      </c>
      <c r="AD447" s="8">
        <f>IF(G447="","",IF(COUNTIFS($G$5:$G$504,G447)&gt;1,"Repeat","Once"))</f>
        <v>0</v>
      </c>
      <c r="AE447" s="8">
        <f>IF(G447="","",IF(IFERROR(INDEX(Recipes!$X$5:$X$204,MATCH(G447,Recipes!$A$5:$A$204,0)),"")="","",IFERROR(B447-IFERROR(INDEX(Recipes!$X$5:$X$204,MATCH(G447,Recipes!$A$5:$A$204,0)),""),"")))</f>
        <v>0</v>
      </c>
      <c r="AF447" s="8">
        <f>IF(G447="","",IF(AE447="","Yes",IF(AE447&gt;=Rotation_Gap_Days,"Yes","No")))</f>
        <v>0</v>
      </c>
      <c r="AG447" s="8">
        <f>IF(G447="","",IF(COUNTIFS('Recipe Ingredients'!$A$5:$A$1204,G447,'Recipe Ingredients'!$AC$5:$AC$1204,"Check")&gt;0,"Check","OK"))</f>
        <v>0</v>
      </c>
    </row>
    <row r="448" spans="1:33">
      <c r="A448" s="7"/>
      <c r="B448" s="30"/>
      <c r="C448" s="8">
        <f>IF(B448="","",B448-WEEKDAY(B448,2)+1)</f>
        <v>0</v>
      </c>
      <c r="D448" s="8">
        <f>IF(B448="","",TEXT(B448,"ddd"))</f>
        <v>0</v>
      </c>
      <c r="E448" s="8">
        <f>IF(B448="","",TEXT(B448,"mmm yyyy"))</f>
        <v>0</v>
      </c>
      <c r="F448" s="27"/>
      <c r="G448" s="7"/>
      <c r="H448" s="26"/>
      <c r="I448" s="8">
        <f>IF(G448="","",IFERROR(INDEX(Recipes!$D$5:$D$204,MATCH(G448,Recipes!$A$5:$A$204,0)),""))</f>
        <v>0</v>
      </c>
      <c r="J448" s="8">
        <f>IF(OR(G448="",H448="",I448="",I448=0),"",H448/I448)</f>
        <v>0</v>
      </c>
      <c r="K448" s="8">
        <f>IF(B448="","",Household_Size)</f>
        <v>0</v>
      </c>
      <c r="L448" s="8">
        <f>IF(OR(G448="",H448=""),"",IFERROR(IFERROR(INDEX(Recipes!$H$5:$H$204,MATCH(G448,Recipes!$A$5:$A$204,0)),"")*H448,""))</f>
        <v>0</v>
      </c>
      <c r="M448" s="8">
        <f>IF(OR(G448="",H448=""),"",IFERROR(IFERROR(INDEX(Recipes!$I$5:$I$204,MATCH(G448,Recipes!$A$5:$A$204,0)),"")*H448,""))</f>
        <v>0</v>
      </c>
      <c r="N448" s="8">
        <f>IF(OR(G448="",H448=""),"",IFERROR(IFERROR(INDEX(Recipes!$J$5:$J$204,MATCH(G448,Recipes!$A$5:$A$204,0)),"")*H448,""))</f>
        <v>0</v>
      </c>
      <c r="O448" s="8">
        <f>IF(OR(G448="",H448=""),"",IFERROR(IFERROR(INDEX(Recipes!$K$5:$K$204,MATCH(G448,Recipes!$A$5:$A$204,0)),"")*H448,""))</f>
        <v>0</v>
      </c>
      <c r="P448" s="8">
        <f>IF(OR(G448="",H448=""),"",IFERROR(IFERROR(INDEX(Recipes!$L$5:$L$204,MATCH(G448,Recipes!$A$5:$A$204,0)),"")*H448,""))</f>
        <v>0</v>
      </c>
      <c r="Q448" s="8">
        <f>IF(OR(G448="",H448=""),"",IFERROR(IFERROR(INDEX(Recipes!$Q$5:$Q$204,MATCH(G448,Recipes!$A$5:$A$204,0)),"")*H448,""))</f>
        <v>0</v>
      </c>
      <c r="R448" s="8">
        <f>IF(F448="","",Weekly_Budget/21)</f>
        <v>0</v>
      </c>
      <c r="S448" s="27"/>
      <c r="T448" s="27"/>
      <c r="U448" s="26"/>
      <c r="V448" s="7"/>
      <c r="W448" s="7"/>
      <c r="X448" s="26"/>
      <c r="Y448" s="8">
        <f>IF(G448="","",IF(COUNTIFS('Meal Prep'!$D$5:$D$124,G448)&gt;0,"Yes","No"))</f>
        <v>0</v>
      </c>
      <c r="Z448" s="8">
        <f>IF(G448="","",COUNTIFS('Recipe Ingredients'!$A$5:$A$1204,G448))</f>
        <v>0</v>
      </c>
      <c r="AA448" s="25"/>
      <c r="AB448" s="8">
        <f>IF(OR(B448="",Q448=""),"",COUNTIFS($B$5:$B$504,B448,$Q$5:$Q$504,"&gt;"&amp;Q448)+1)</f>
        <v>0</v>
      </c>
      <c r="AC448" s="8">
        <f>IF(OR(B448="",L448=""),"",COUNTIFS($B$5:$B$504,B448,$L$5:$L$504,"&gt;"&amp;L448)+1)</f>
        <v>0</v>
      </c>
      <c r="AD448" s="8">
        <f>IF(G448="","",IF(COUNTIFS($G$5:$G$504,G448)&gt;1,"Repeat","Once"))</f>
        <v>0</v>
      </c>
      <c r="AE448" s="8">
        <f>IF(G448="","",IF(IFERROR(INDEX(Recipes!$X$5:$X$204,MATCH(G448,Recipes!$A$5:$A$204,0)),"")="","",IFERROR(B448-IFERROR(INDEX(Recipes!$X$5:$X$204,MATCH(G448,Recipes!$A$5:$A$204,0)),""),"")))</f>
        <v>0</v>
      </c>
      <c r="AF448" s="8">
        <f>IF(G448="","",IF(AE448="","Yes",IF(AE448&gt;=Rotation_Gap_Days,"Yes","No")))</f>
        <v>0</v>
      </c>
      <c r="AG448" s="8">
        <f>IF(G448="","",IF(COUNTIFS('Recipe Ingredients'!$A$5:$A$1204,G448,'Recipe Ingredients'!$AC$5:$AC$1204,"Check")&gt;0,"Check","OK"))</f>
        <v>0</v>
      </c>
    </row>
    <row r="449" spans="1:33">
      <c r="A449" s="7"/>
      <c r="B449" s="30"/>
      <c r="C449" s="8">
        <f>IF(B449="","",B449-WEEKDAY(B449,2)+1)</f>
        <v>0</v>
      </c>
      <c r="D449" s="8">
        <f>IF(B449="","",TEXT(B449,"ddd"))</f>
        <v>0</v>
      </c>
      <c r="E449" s="8">
        <f>IF(B449="","",TEXT(B449,"mmm yyyy"))</f>
        <v>0</v>
      </c>
      <c r="F449" s="27"/>
      <c r="G449" s="7"/>
      <c r="H449" s="26"/>
      <c r="I449" s="8">
        <f>IF(G449="","",IFERROR(INDEX(Recipes!$D$5:$D$204,MATCH(G449,Recipes!$A$5:$A$204,0)),""))</f>
        <v>0</v>
      </c>
      <c r="J449" s="8">
        <f>IF(OR(G449="",H449="",I449="",I449=0),"",H449/I449)</f>
        <v>0</v>
      </c>
      <c r="K449" s="8">
        <f>IF(B449="","",Household_Size)</f>
        <v>0</v>
      </c>
      <c r="L449" s="8">
        <f>IF(OR(G449="",H449=""),"",IFERROR(IFERROR(INDEX(Recipes!$H$5:$H$204,MATCH(G449,Recipes!$A$5:$A$204,0)),"")*H449,""))</f>
        <v>0</v>
      </c>
      <c r="M449" s="8">
        <f>IF(OR(G449="",H449=""),"",IFERROR(IFERROR(INDEX(Recipes!$I$5:$I$204,MATCH(G449,Recipes!$A$5:$A$204,0)),"")*H449,""))</f>
        <v>0</v>
      </c>
      <c r="N449" s="8">
        <f>IF(OR(G449="",H449=""),"",IFERROR(IFERROR(INDEX(Recipes!$J$5:$J$204,MATCH(G449,Recipes!$A$5:$A$204,0)),"")*H449,""))</f>
        <v>0</v>
      </c>
      <c r="O449" s="8">
        <f>IF(OR(G449="",H449=""),"",IFERROR(IFERROR(INDEX(Recipes!$K$5:$K$204,MATCH(G449,Recipes!$A$5:$A$204,0)),"")*H449,""))</f>
        <v>0</v>
      </c>
      <c r="P449" s="8">
        <f>IF(OR(G449="",H449=""),"",IFERROR(IFERROR(INDEX(Recipes!$L$5:$L$204,MATCH(G449,Recipes!$A$5:$A$204,0)),"")*H449,""))</f>
        <v>0</v>
      </c>
      <c r="Q449" s="8">
        <f>IF(OR(G449="",H449=""),"",IFERROR(IFERROR(INDEX(Recipes!$Q$5:$Q$204,MATCH(G449,Recipes!$A$5:$A$204,0)),"")*H449,""))</f>
        <v>0</v>
      </c>
      <c r="R449" s="8">
        <f>IF(F449="","",Weekly_Budget/21)</f>
        <v>0</v>
      </c>
      <c r="S449" s="27"/>
      <c r="T449" s="27"/>
      <c r="U449" s="26"/>
      <c r="V449" s="7"/>
      <c r="W449" s="7"/>
      <c r="X449" s="26"/>
      <c r="Y449" s="8">
        <f>IF(G449="","",IF(COUNTIFS('Meal Prep'!$D$5:$D$124,G449)&gt;0,"Yes","No"))</f>
        <v>0</v>
      </c>
      <c r="Z449" s="8">
        <f>IF(G449="","",COUNTIFS('Recipe Ingredients'!$A$5:$A$1204,G449))</f>
        <v>0</v>
      </c>
      <c r="AA449" s="25"/>
      <c r="AB449" s="8">
        <f>IF(OR(B449="",Q449=""),"",COUNTIFS($B$5:$B$504,B449,$Q$5:$Q$504,"&gt;"&amp;Q449)+1)</f>
        <v>0</v>
      </c>
      <c r="AC449" s="8">
        <f>IF(OR(B449="",L449=""),"",COUNTIFS($B$5:$B$504,B449,$L$5:$L$504,"&gt;"&amp;L449)+1)</f>
        <v>0</v>
      </c>
      <c r="AD449" s="8">
        <f>IF(G449="","",IF(COUNTIFS($G$5:$G$504,G449)&gt;1,"Repeat","Once"))</f>
        <v>0</v>
      </c>
      <c r="AE449" s="8">
        <f>IF(G449="","",IF(IFERROR(INDEX(Recipes!$X$5:$X$204,MATCH(G449,Recipes!$A$5:$A$204,0)),"")="","",IFERROR(B449-IFERROR(INDEX(Recipes!$X$5:$X$204,MATCH(G449,Recipes!$A$5:$A$204,0)),""),"")))</f>
        <v>0</v>
      </c>
      <c r="AF449" s="8">
        <f>IF(G449="","",IF(AE449="","Yes",IF(AE449&gt;=Rotation_Gap_Days,"Yes","No")))</f>
        <v>0</v>
      </c>
      <c r="AG449" s="8">
        <f>IF(G449="","",IF(COUNTIFS('Recipe Ingredients'!$A$5:$A$1204,G449,'Recipe Ingredients'!$AC$5:$AC$1204,"Check")&gt;0,"Check","OK"))</f>
        <v>0</v>
      </c>
    </row>
    <row r="450" spans="1:33">
      <c r="A450" s="7"/>
      <c r="B450" s="30"/>
      <c r="C450" s="8">
        <f>IF(B450="","",B450-WEEKDAY(B450,2)+1)</f>
        <v>0</v>
      </c>
      <c r="D450" s="8">
        <f>IF(B450="","",TEXT(B450,"ddd"))</f>
        <v>0</v>
      </c>
      <c r="E450" s="8">
        <f>IF(B450="","",TEXT(B450,"mmm yyyy"))</f>
        <v>0</v>
      </c>
      <c r="F450" s="27"/>
      <c r="G450" s="7"/>
      <c r="H450" s="26"/>
      <c r="I450" s="8">
        <f>IF(G450="","",IFERROR(INDEX(Recipes!$D$5:$D$204,MATCH(G450,Recipes!$A$5:$A$204,0)),""))</f>
        <v>0</v>
      </c>
      <c r="J450" s="8">
        <f>IF(OR(G450="",H450="",I450="",I450=0),"",H450/I450)</f>
        <v>0</v>
      </c>
      <c r="K450" s="8">
        <f>IF(B450="","",Household_Size)</f>
        <v>0</v>
      </c>
      <c r="L450" s="8">
        <f>IF(OR(G450="",H450=""),"",IFERROR(IFERROR(INDEX(Recipes!$H$5:$H$204,MATCH(G450,Recipes!$A$5:$A$204,0)),"")*H450,""))</f>
        <v>0</v>
      </c>
      <c r="M450" s="8">
        <f>IF(OR(G450="",H450=""),"",IFERROR(IFERROR(INDEX(Recipes!$I$5:$I$204,MATCH(G450,Recipes!$A$5:$A$204,0)),"")*H450,""))</f>
        <v>0</v>
      </c>
      <c r="N450" s="8">
        <f>IF(OR(G450="",H450=""),"",IFERROR(IFERROR(INDEX(Recipes!$J$5:$J$204,MATCH(G450,Recipes!$A$5:$A$204,0)),"")*H450,""))</f>
        <v>0</v>
      </c>
      <c r="O450" s="8">
        <f>IF(OR(G450="",H450=""),"",IFERROR(IFERROR(INDEX(Recipes!$K$5:$K$204,MATCH(G450,Recipes!$A$5:$A$204,0)),"")*H450,""))</f>
        <v>0</v>
      </c>
      <c r="P450" s="8">
        <f>IF(OR(G450="",H450=""),"",IFERROR(IFERROR(INDEX(Recipes!$L$5:$L$204,MATCH(G450,Recipes!$A$5:$A$204,0)),"")*H450,""))</f>
        <v>0</v>
      </c>
      <c r="Q450" s="8">
        <f>IF(OR(G450="",H450=""),"",IFERROR(IFERROR(INDEX(Recipes!$Q$5:$Q$204,MATCH(G450,Recipes!$A$5:$A$204,0)),"")*H450,""))</f>
        <v>0</v>
      </c>
      <c r="R450" s="8">
        <f>IF(F450="","",Weekly_Budget/21)</f>
        <v>0</v>
      </c>
      <c r="S450" s="27"/>
      <c r="T450" s="27"/>
      <c r="U450" s="26"/>
      <c r="V450" s="7"/>
      <c r="W450" s="7"/>
      <c r="X450" s="26"/>
      <c r="Y450" s="8">
        <f>IF(G450="","",IF(COUNTIFS('Meal Prep'!$D$5:$D$124,G450)&gt;0,"Yes","No"))</f>
        <v>0</v>
      </c>
      <c r="Z450" s="8">
        <f>IF(G450="","",COUNTIFS('Recipe Ingredients'!$A$5:$A$1204,G450))</f>
        <v>0</v>
      </c>
      <c r="AA450" s="25"/>
      <c r="AB450" s="8">
        <f>IF(OR(B450="",Q450=""),"",COUNTIFS($B$5:$B$504,B450,$Q$5:$Q$504,"&gt;"&amp;Q450)+1)</f>
        <v>0</v>
      </c>
      <c r="AC450" s="8">
        <f>IF(OR(B450="",L450=""),"",COUNTIFS($B$5:$B$504,B450,$L$5:$L$504,"&gt;"&amp;L450)+1)</f>
        <v>0</v>
      </c>
      <c r="AD450" s="8">
        <f>IF(G450="","",IF(COUNTIFS($G$5:$G$504,G450)&gt;1,"Repeat","Once"))</f>
        <v>0</v>
      </c>
      <c r="AE450" s="8">
        <f>IF(G450="","",IF(IFERROR(INDEX(Recipes!$X$5:$X$204,MATCH(G450,Recipes!$A$5:$A$204,0)),"")="","",IFERROR(B450-IFERROR(INDEX(Recipes!$X$5:$X$204,MATCH(G450,Recipes!$A$5:$A$204,0)),""),"")))</f>
        <v>0</v>
      </c>
      <c r="AF450" s="8">
        <f>IF(G450="","",IF(AE450="","Yes",IF(AE450&gt;=Rotation_Gap_Days,"Yes","No")))</f>
        <v>0</v>
      </c>
      <c r="AG450" s="8">
        <f>IF(G450="","",IF(COUNTIFS('Recipe Ingredients'!$A$5:$A$1204,G450,'Recipe Ingredients'!$AC$5:$AC$1204,"Check")&gt;0,"Check","OK"))</f>
        <v>0</v>
      </c>
    </row>
    <row r="451" spans="1:33">
      <c r="A451" s="7"/>
      <c r="B451" s="30"/>
      <c r="C451" s="8">
        <f>IF(B451="","",B451-WEEKDAY(B451,2)+1)</f>
        <v>0</v>
      </c>
      <c r="D451" s="8">
        <f>IF(B451="","",TEXT(B451,"ddd"))</f>
        <v>0</v>
      </c>
      <c r="E451" s="8">
        <f>IF(B451="","",TEXT(B451,"mmm yyyy"))</f>
        <v>0</v>
      </c>
      <c r="F451" s="27"/>
      <c r="G451" s="7"/>
      <c r="H451" s="26"/>
      <c r="I451" s="8">
        <f>IF(G451="","",IFERROR(INDEX(Recipes!$D$5:$D$204,MATCH(G451,Recipes!$A$5:$A$204,0)),""))</f>
        <v>0</v>
      </c>
      <c r="J451" s="8">
        <f>IF(OR(G451="",H451="",I451="",I451=0),"",H451/I451)</f>
        <v>0</v>
      </c>
      <c r="K451" s="8">
        <f>IF(B451="","",Household_Size)</f>
        <v>0</v>
      </c>
      <c r="L451" s="8">
        <f>IF(OR(G451="",H451=""),"",IFERROR(IFERROR(INDEX(Recipes!$H$5:$H$204,MATCH(G451,Recipes!$A$5:$A$204,0)),"")*H451,""))</f>
        <v>0</v>
      </c>
      <c r="M451" s="8">
        <f>IF(OR(G451="",H451=""),"",IFERROR(IFERROR(INDEX(Recipes!$I$5:$I$204,MATCH(G451,Recipes!$A$5:$A$204,0)),"")*H451,""))</f>
        <v>0</v>
      </c>
      <c r="N451" s="8">
        <f>IF(OR(G451="",H451=""),"",IFERROR(IFERROR(INDEX(Recipes!$J$5:$J$204,MATCH(G451,Recipes!$A$5:$A$204,0)),"")*H451,""))</f>
        <v>0</v>
      </c>
      <c r="O451" s="8">
        <f>IF(OR(G451="",H451=""),"",IFERROR(IFERROR(INDEX(Recipes!$K$5:$K$204,MATCH(G451,Recipes!$A$5:$A$204,0)),"")*H451,""))</f>
        <v>0</v>
      </c>
      <c r="P451" s="8">
        <f>IF(OR(G451="",H451=""),"",IFERROR(IFERROR(INDEX(Recipes!$L$5:$L$204,MATCH(G451,Recipes!$A$5:$A$204,0)),"")*H451,""))</f>
        <v>0</v>
      </c>
      <c r="Q451" s="8">
        <f>IF(OR(G451="",H451=""),"",IFERROR(IFERROR(INDEX(Recipes!$Q$5:$Q$204,MATCH(G451,Recipes!$A$5:$A$204,0)),"")*H451,""))</f>
        <v>0</v>
      </c>
      <c r="R451" s="8">
        <f>IF(F451="","",Weekly_Budget/21)</f>
        <v>0</v>
      </c>
      <c r="S451" s="27"/>
      <c r="T451" s="27"/>
      <c r="U451" s="26"/>
      <c r="V451" s="7"/>
      <c r="W451" s="7"/>
      <c r="X451" s="26"/>
      <c r="Y451" s="8">
        <f>IF(G451="","",IF(COUNTIFS('Meal Prep'!$D$5:$D$124,G451)&gt;0,"Yes","No"))</f>
        <v>0</v>
      </c>
      <c r="Z451" s="8">
        <f>IF(G451="","",COUNTIFS('Recipe Ingredients'!$A$5:$A$1204,G451))</f>
        <v>0</v>
      </c>
      <c r="AA451" s="25"/>
      <c r="AB451" s="8">
        <f>IF(OR(B451="",Q451=""),"",COUNTIFS($B$5:$B$504,B451,$Q$5:$Q$504,"&gt;"&amp;Q451)+1)</f>
        <v>0</v>
      </c>
      <c r="AC451" s="8">
        <f>IF(OR(B451="",L451=""),"",COUNTIFS($B$5:$B$504,B451,$L$5:$L$504,"&gt;"&amp;L451)+1)</f>
        <v>0</v>
      </c>
      <c r="AD451" s="8">
        <f>IF(G451="","",IF(COUNTIFS($G$5:$G$504,G451)&gt;1,"Repeat","Once"))</f>
        <v>0</v>
      </c>
      <c r="AE451" s="8">
        <f>IF(G451="","",IF(IFERROR(INDEX(Recipes!$X$5:$X$204,MATCH(G451,Recipes!$A$5:$A$204,0)),"")="","",IFERROR(B451-IFERROR(INDEX(Recipes!$X$5:$X$204,MATCH(G451,Recipes!$A$5:$A$204,0)),""),"")))</f>
        <v>0</v>
      </c>
      <c r="AF451" s="8">
        <f>IF(G451="","",IF(AE451="","Yes",IF(AE451&gt;=Rotation_Gap_Days,"Yes","No")))</f>
        <v>0</v>
      </c>
      <c r="AG451" s="8">
        <f>IF(G451="","",IF(COUNTIFS('Recipe Ingredients'!$A$5:$A$1204,G451,'Recipe Ingredients'!$AC$5:$AC$1204,"Check")&gt;0,"Check","OK"))</f>
        <v>0</v>
      </c>
    </row>
    <row r="452" spans="1:33">
      <c r="A452" s="7"/>
      <c r="B452" s="30"/>
      <c r="C452" s="8">
        <f>IF(B452="","",B452-WEEKDAY(B452,2)+1)</f>
        <v>0</v>
      </c>
      <c r="D452" s="8">
        <f>IF(B452="","",TEXT(B452,"ddd"))</f>
        <v>0</v>
      </c>
      <c r="E452" s="8">
        <f>IF(B452="","",TEXT(B452,"mmm yyyy"))</f>
        <v>0</v>
      </c>
      <c r="F452" s="27"/>
      <c r="G452" s="7"/>
      <c r="H452" s="26"/>
      <c r="I452" s="8">
        <f>IF(G452="","",IFERROR(INDEX(Recipes!$D$5:$D$204,MATCH(G452,Recipes!$A$5:$A$204,0)),""))</f>
        <v>0</v>
      </c>
      <c r="J452" s="8">
        <f>IF(OR(G452="",H452="",I452="",I452=0),"",H452/I452)</f>
        <v>0</v>
      </c>
      <c r="K452" s="8">
        <f>IF(B452="","",Household_Size)</f>
        <v>0</v>
      </c>
      <c r="L452" s="8">
        <f>IF(OR(G452="",H452=""),"",IFERROR(IFERROR(INDEX(Recipes!$H$5:$H$204,MATCH(G452,Recipes!$A$5:$A$204,0)),"")*H452,""))</f>
        <v>0</v>
      </c>
      <c r="M452" s="8">
        <f>IF(OR(G452="",H452=""),"",IFERROR(IFERROR(INDEX(Recipes!$I$5:$I$204,MATCH(G452,Recipes!$A$5:$A$204,0)),"")*H452,""))</f>
        <v>0</v>
      </c>
      <c r="N452" s="8">
        <f>IF(OR(G452="",H452=""),"",IFERROR(IFERROR(INDEX(Recipes!$J$5:$J$204,MATCH(G452,Recipes!$A$5:$A$204,0)),"")*H452,""))</f>
        <v>0</v>
      </c>
      <c r="O452" s="8">
        <f>IF(OR(G452="",H452=""),"",IFERROR(IFERROR(INDEX(Recipes!$K$5:$K$204,MATCH(G452,Recipes!$A$5:$A$204,0)),"")*H452,""))</f>
        <v>0</v>
      </c>
      <c r="P452" s="8">
        <f>IF(OR(G452="",H452=""),"",IFERROR(IFERROR(INDEX(Recipes!$L$5:$L$204,MATCH(G452,Recipes!$A$5:$A$204,0)),"")*H452,""))</f>
        <v>0</v>
      </c>
      <c r="Q452" s="8">
        <f>IF(OR(G452="",H452=""),"",IFERROR(IFERROR(INDEX(Recipes!$Q$5:$Q$204,MATCH(G452,Recipes!$A$5:$A$204,0)),"")*H452,""))</f>
        <v>0</v>
      </c>
      <c r="R452" s="8">
        <f>IF(F452="","",Weekly_Budget/21)</f>
        <v>0</v>
      </c>
      <c r="S452" s="27"/>
      <c r="T452" s="27"/>
      <c r="U452" s="26"/>
      <c r="V452" s="7"/>
      <c r="W452" s="7"/>
      <c r="X452" s="26"/>
      <c r="Y452" s="8">
        <f>IF(G452="","",IF(COUNTIFS('Meal Prep'!$D$5:$D$124,G452)&gt;0,"Yes","No"))</f>
        <v>0</v>
      </c>
      <c r="Z452" s="8">
        <f>IF(G452="","",COUNTIFS('Recipe Ingredients'!$A$5:$A$1204,G452))</f>
        <v>0</v>
      </c>
      <c r="AA452" s="25"/>
      <c r="AB452" s="8">
        <f>IF(OR(B452="",Q452=""),"",COUNTIFS($B$5:$B$504,B452,$Q$5:$Q$504,"&gt;"&amp;Q452)+1)</f>
        <v>0</v>
      </c>
      <c r="AC452" s="8">
        <f>IF(OR(B452="",L452=""),"",COUNTIFS($B$5:$B$504,B452,$L$5:$L$504,"&gt;"&amp;L452)+1)</f>
        <v>0</v>
      </c>
      <c r="AD452" s="8">
        <f>IF(G452="","",IF(COUNTIFS($G$5:$G$504,G452)&gt;1,"Repeat","Once"))</f>
        <v>0</v>
      </c>
      <c r="AE452" s="8">
        <f>IF(G452="","",IF(IFERROR(INDEX(Recipes!$X$5:$X$204,MATCH(G452,Recipes!$A$5:$A$204,0)),"")="","",IFERROR(B452-IFERROR(INDEX(Recipes!$X$5:$X$204,MATCH(G452,Recipes!$A$5:$A$204,0)),""),"")))</f>
        <v>0</v>
      </c>
      <c r="AF452" s="8">
        <f>IF(G452="","",IF(AE452="","Yes",IF(AE452&gt;=Rotation_Gap_Days,"Yes","No")))</f>
        <v>0</v>
      </c>
      <c r="AG452" s="8">
        <f>IF(G452="","",IF(COUNTIFS('Recipe Ingredients'!$A$5:$A$1204,G452,'Recipe Ingredients'!$AC$5:$AC$1204,"Check")&gt;0,"Check","OK"))</f>
        <v>0</v>
      </c>
    </row>
    <row r="453" spans="1:33">
      <c r="A453" s="7"/>
      <c r="B453" s="30"/>
      <c r="C453" s="8">
        <f>IF(B453="","",B453-WEEKDAY(B453,2)+1)</f>
        <v>0</v>
      </c>
      <c r="D453" s="8">
        <f>IF(B453="","",TEXT(B453,"ddd"))</f>
        <v>0</v>
      </c>
      <c r="E453" s="8">
        <f>IF(B453="","",TEXT(B453,"mmm yyyy"))</f>
        <v>0</v>
      </c>
      <c r="F453" s="27"/>
      <c r="G453" s="7"/>
      <c r="H453" s="26"/>
      <c r="I453" s="8">
        <f>IF(G453="","",IFERROR(INDEX(Recipes!$D$5:$D$204,MATCH(G453,Recipes!$A$5:$A$204,0)),""))</f>
        <v>0</v>
      </c>
      <c r="J453" s="8">
        <f>IF(OR(G453="",H453="",I453="",I453=0),"",H453/I453)</f>
        <v>0</v>
      </c>
      <c r="K453" s="8">
        <f>IF(B453="","",Household_Size)</f>
        <v>0</v>
      </c>
      <c r="L453" s="8">
        <f>IF(OR(G453="",H453=""),"",IFERROR(IFERROR(INDEX(Recipes!$H$5:$H$204,MATCH(G453,Recipes!$A$5:$A$204,0)),"")*H453,""))</f>
        <v>0</v>
      </c>
      <c r="M453" s="8">
        <f>IF(OR(G453="",H453=""),"",IFERROR(IFERROR(INDEX(Recipes!$I$5:$I$204,MATCH(G453,Recipes!$A$5:$A$204,0)),"")*H453,""))</f>
        <v>0</v>
      </c>
      <c r="N453" s="8">
        <f>IF(OR(G453="",H453=""),"",IFERROR(IFERROR(INDEX(Recipes!$J$5:$J$204,MATCH(G453,Recipes!$A$5:$A$204,0)),"")*H453,""))</f>
        <v>0</v>
      </c>
      <c r="O453" s="8">
        <f>IF(OR(G453="",H453=""),"",IFERROR(IFERROR(INDEX(Recipes!$K$5:$K$204,MATCH(G453,Recipes!$A$5:$A$204,0)),"")*H453,""))</f>
        <v>0</v>
      </c>
      <c r="P453" s="8">
        <f>IF(OR(G453="",H453=""),"",IFERROR(IFERROR(INDEX(Recipes!$L$5:$L$204,MATCH(G453,Recipes!$A$5:$A$204,0)),"")*H453,""))</f>
        <v>0</v>
      </c>
      <c r="Q453" s="8">
        <f>IF(OR(G453="",H453=""),"",IFERROR(IFERROR(INDEX(Recipes!$Q$5:$Q$204,MATCH(G453,Recipes!$A$5:$A$204,0)),"")*H453,""))</f>
        <v>0</v>
      </c>
      <c r="R453" s="8">
        <f>IF(F453="","",Weekly_Budget/21)</f>
        <v>0</v>
      </c>
      <c r="S453" s="27"/>
      <c r="T453" s="27"/>
      <c r="U453" s="26"/>
      <c r="V453" s="7"/>
      <c r="W453" s="7"/>
      <c r="X453" s="26"/>
      <c r="Y453" s="8">
        <f>IF(G453="","",IF(COUNTIFS('Meal Prep'!$D$5:$D$124,G453)&gt;0,"Yes","No"))</f>
        <v>0</v>
      </c>
      <c r="Z453" s="8">
        <f>IF(G453="","",COUNTIFS('Recipe Ingredients'!$A$5:$A$1204,G453))</f>
        <v>0</v>
      </c>
      <c r="AA453" s="25"/>
      <c r="AB453" s="8">
        <f>IF(OR(B453="",Q453=""),"",COUNTIFS($B$5:$B$504,B453,$Q$5:$Q$504,"&gt;"&amp;Q453)+1)</f>
        <v>0</v>
      </c>
      <c r="AC453" s="8">
        <f>IF(OR(B453="",L453=""),"",COUNTIFS($B$5:$B$504,B453,$L$5:$L$504,"&gt;"&amp;L453)+1)</f>
        <v>0</v>
      </c>
      <c r="AD453" s="8">
        <f>IF(G453="","",IF(COUNTIFS($G$5:$G$504,G453)&gt;1,"Repeat","Once"))</f>
        <v>0</v>
      </c>
      <c r="AE453" s="8">
        <f>IF(G453="","",IF(IFERROR(INDEX(Recipes!$X$5:$X$204,MATCH(G453,Recipes!$A$5:$A$204,0)),"")="","",IFERROR(B453-IFERROR(INDEX(Recipes!$X$5:$X$204,MATCH(G453,Recipes!$A$5:$A$204,0)),""),"")))</f>
        <v>0</v>
      </c>
      <c r="AF453" s="8">
        <f>IF(G453="","",IF(AE453="","Yes",IF(AE453&gt;=Rotation_Gap_Days,"Yes","No")))</f>
        <v>0</v>
      </c>
      <c r="AG453" s="8">
        <f>IF(G453="","",IF(COUNTIFS('Recipe Ingredients'!$A$5:$A$1204,G453,'Recipe Ingredients'!$AC$5:$AC$1204,"Check")&gt;0,"Check","OK"))</f>
        <v>0</v>
      </c>
    </row>
    <row r="454" spans="1:33">
      <c r="A454" s="7"/>
      <c r="B454" s="30"/>
      <c r="C454" s="8">
        <f>IF(B454="","",B454-WEEKDAY(B454,2)+1)</f>
        <v>0</v>
      </c>
      <c r="D454" s="8">
        <f>IF(B454="","",TEXT(B454,"ddd"))</f>
        <v>0</v>
      </c>
      <c r="E454" s="8">
        <f>IF(B454="","",TEXT(B454,"mmm yyyy"))</f>
        <v>0</v>
      </c>
      <c r="F454" s="27"/>
      <c r="G454" s="7"/>
      <c r="H454" s="26"/>
      <c r="I454" s="8">
        <f>IF(G454="","",IFERROR(INDEX(Recipes!$D$5:$D$204,MATCH(G454,Recipes!$A$5:$A$204,0)),""))</f>
        <v>0</v>
      </c>
      <c r="J454" s="8">
        <f>IF(OR(G454="",H454="",I454="",I454=0),"",H454/I454)</f>
        <v>0</v>
      </c>
      <c r="K454" s="8">
        <f>IF(B454="","",Household_Size)</f>
        <v>0</v>
      </c>
      <c r="L454" s="8">
        <f>IF(OR(G454="",H454=""),"",IFERROR(IFERROR(INDEX(Recipes!$H$5:$H$204,MATCH(G454,Recipes!$A$5:$A$204,0)),"")*H454,""))</f>
        <v>0</v>
      </c>
      <c r="M454" s="8">
        <f>IF(OR(G454="",H454=""),"",IFERROR(IFERROR(INDEX(Recipes!$I$5:$I$204,MATCH(G454,Recipes!$A$5:$A$204,0)),"")*H454,""))</f>
        <v>0</v>
      </c>
      <c r="N454" s="8">
        <f>IF(OR(G454="",H454=""),"",IFERROR(IFERROR(INDEX(Recipes!$J$5:$J$204,MATCH(G454,Recipes!$A$5:$A$204,0)),"")*H454,""))</f>
        <v>0</v>
      </c>
      <c r="O454" s="8">
        <f>IF(OR(G454="",H454=""),"",IFERROR(IFERROR(INDEX(Recipes!$K$5:$K$204,MATCH(G454,Recipes!$A$5:$A$204,0)),"")*H454,""))</f>
        <v>0</v>
      </c>
      <c r="P454" s="8">
        <f>IF(OR(G454="",H454=""),"",IFERROR(IFERROR(INDEX(Recipes!$L$5:$L$204,MATCH(G454,Recipes!$A$5:$A$204,0)),"")*H454,""))</f>
        <v>0</v>
      </c>
      <c r="Q454" s="8">
        <f>IF(OR(G454="",H454=""),"",IFERROR(IFERROR(INDEX(Recipes!$Q$5:$Q$204,MATCH(G454,Recipes!$A$5:$A$204,0)),"")*H454,""))</f>
        <v>0</v>
      </c>
      <c r="R454" s="8">
        <f>IF(F454="","",Weekly_Budget/21)</f>
        <v>0</v>
      </c>
      <c r="S454" s="27"/>
      <c r="T454" s="27"/>
      <c r="U454" s="26"/>
      <c r="V454" s="7"/>
      <c r="W454" s="7"/>
      <c r="X454" s="26"/>
      <c r="Y454" s="8">
        <f>IF(G454="","",IF(COUNTIFS('Meal Prep'!$D$5:$D$124,G454)&gt;0,"Yes","No"))</f>
        <v>0</v>
      </c>
      <c r="Z454" s="8">
        <f>IF(G454="","",COUNTIFS('Recipe Ingredients'!$A$5:$A$1204,G454))</f>
        <v>0</v>
      </c>
      <c r="AA454" s="25"/>
      <c r="AB454" s="8">
        <f>IF(OR(B454="",Q454=""),"",COUNTIFS($B$5:$B$504,B454,$Q$5:$Q$504,"&gt;"&amp;Q454)+1)</f>
        <v>0</v>
      </c>
      <c r="AC454" s="8">
        <f>IF(OR(B454="",L454=""),"",COUNTIFS($B$5:$B$504,B454,$L$5:$L$504,"&gt;"&amp;L454)+1)</f>
        <v>0</v>
      </c>
      <c r="AD454" s="8">
        <f>IF(G454="","",IF(COUNTIFS($G$5:$G$504,G454)&gt;1,"Repeat","Once"))</f>
        <v>0</v>
      </c>
      <c r="AE454" s="8">
        <f>IF(G454="","",IF(IFERROR(INDEX(Recipes!$X$5:$X$204,MATCH(G454,Recipes!$A$5:$A$204,0)),"")="","",IFERROR(B454-IFERROR(INDEX(Recipes!$X$5:$X$204,MATCH(G454,Recipes!$A$5:$A$204,0)),""),"")))</f>
        <v>0</v>
      </c>
      <c r="AF454" s="8">
        <f>IF(G454="","",IF(AE454="","Yes",IF(AE454&gt;=Rotation_Gap_Days,"Yes","No")))</f>
        <v>0</v>
      </c>
      <c r="AG454" s="8">
        <f>IF(G454="","",IF(COUNTIFS('Recipe Ingredients'!$A$5:$A$1204,G454,'Recipe Ingredients'!$AC$5:$AC$1204,"Check")&gt;0,"Check","OK"))</f>
        <v>0</v>
      </c>
    </row>
    <row r="455" spans="1:33">
      <c r="A455" s="7"/>
      <c r="B455" s="30"/>
      <c r="C455" s="8">
        <f>IF(B455="","",B455-WEEKDAY(B455,2)+1)</f>
        <v>0</v>
      </c>
      <c r="D455" s="8">
        <f>IF(B455="","",TEXT(B455,"ddd"))</f>
        <v>0</v>
      </c>
      <c r="E455" s="8">
        <f>IF(B455="","",TEXT(B455,"mmm yyyy"))</f>
        <v>0</v>
      </c>
      <c r="F455" s="27"/>
      <c r="G455" s="7"/>
      <c r="H455" s="26"/>
      <c r="I455" s="8">
        <f>IF(G455="","",IFERROR(INDEX(Recipes!$D$5:$D$204,MATCH(G455,Recipes!$A$5:$A$204,0)),""))</f>
        <v>0</v>
      </c>
      <c r="J455" s="8">
        <f>IF(OR(G455="",H455="",I455="",I455=0),"",H455/I455)</f>
        <v>0</v>
      </c>
      <c r="K455" s="8">
        <f>IF(B455="","",Household_Size)</f>
        <v>0</v>
      </c>
      <c r="L455" s="8">
        <f>IF(OR(G455="",H455=""),"",IFERROR(IFERROR(INDEX(Recipes!$H$5:$H$204,MATCH(G455,Recipes!$A$5:$A$204,0)),"")*H455,""))</f>
        <v>0</v>
      </c>
      <c r="M455" s="8">
        <f>IF(OR(G455="",H455=""),"",IFERROR(IFERROR(INDEX(Recipes!$I$5:$I$204,MATCH(G455,Recipes!$A$5:$A$204,0)),"")*H455,""))</f>
        <v>0</v>
      </c>
      <c r="N455" s="8">
        <f>IF(OR(G455="",H455=""),"",IFERROR(IFERROR(INDEX(Recipes!$J$5:$J$204,MATCH(G455,Recipes!$A$5:$A$204,0)),"")*H455,""))</f>
        <v>0</v>
      </c>
      <c r="O455" s="8">
        <f>IF(OR(G455="",H455=""),"",IFERROR(IFERROR(INDEX(Recipes!$K$5:$K$204,MATCH(G455,Recipes!$A$5:$A$204,0)),"")*H455,""))</f>
        <v>0</v>
      </c>
      <c r="P455" s="8">
        <f>IF(OR(G455="",H455=""),"",IFERROR(IFERROR(INDEX(Recipes!$L$5:$L$204,MATCH(G455,Recipes!$A$5:$A$204,0)),"")*H455,""))</f>
        <v>0</v>
      </c>
      <c r="Q455" s="8">
        <f>IF(OR(G455="",H455=""),"",IFERROR(IFERROR(INDEX(Recipes!$Q$5:$Q$204,MATCH(G455,Recipes!$A$5:$A$204,0)),"")*H455,""))</f>
        <v>0</v>
      </c>
      <c r="R455" s="8">
        <f>IF(F455="","",Weekly_Budget/21)</f>
        <v>0</v>
      </c>
      <c r="S455" s="27"/>
      <c r="T455" s="27"/>
      <c r="U455" s="26"/>
      <c r="V455" s="7"/>
      <c r="W455" s="7"/>
      <c r="X455" s="26"/>
      <c r="Y455" s="8">
        <f>IF(G455="","",IF(COUNTIFS('Meal Prep'!$D$5:$D$124,G455)&gt;0,"Yes","No"))</f>
        <v>0</v>
      </c>
      <c r="Z455" s="8">
        <f>IF(G455="","",COUNTIFS('Recipe Ingredients'!$A$5:$A$1204,G455))</f>
        <v>0</v>
      </c>
      <c r="AA455" s="25"/>
      <c r="AB455" s="8">
        <f>IF(OR(B455="",Q455=""),"",COUNTIFS($B$5:$B$504,B455,$Q$5:$Q$504,"&gt;"&amp;Q455)+1)</f>
        <v>0</v>
      </c>
      <c r="AC455" s="8">
        <f>IF(OR(B455="",L455=""),"",COUNTIFS($B$5:$B$504,B455,$L$5:$L$504,"&gt;"&amp;L455)+1)</f>
        <v>0</v>
      </c>
      <c r="AD455" s="8">
        <f>IF(G455="","",IF(COUNTIFS($G$5:$G$504,G455)&gt;1,"Repeat","Once"))</f>
        <v>0</v>
      </c>
      <c r="AE455" s="8">
        <f>IF(G455="","",IF(IFERROR(INDEX(Recipes!$X$5:$X$204,MATCH(G455,Recipes!$A$5:$A$204,0)),"")="","",IFERROR(B455-IFERROR(INDEX(Recipes!$X$5:$X$204,MATCH(G455,Recipes!$A$5:$A$204,0)),""),"")))</f>
        <v>0</v>
      </c>
      <c r="AF455" s="8">
        <f>IF(G455="","",IF(AE455="","Yes",IF(AE455&gt;=Rotation_Gap_Days,"Yes","No")))</f>
        <v>0</v>
      </c>
      <c r="AG455" s="8">
        <f>IF(G455="","",IF(COUNTIFS('Recipe Ingredients'!$A$5:$A$1204,G455,'Recipe Ingredients'!$AC$5:$AC$1204,"Check")&gt;0,"Check","OK"))</f>
        <v>0</v>
      </c>
    </row>
    <row r="456" spans="1:33">
      <c r="A456" s="7"/>
      <c r="B456" s="30"/>
      <c r="C456" s="8">
        <f>IF(B456="","",B456-WEEKDAY(B456,2)+1)</f>
        <v>0</v>
      </c>
      <c r="D456" s="8">
        <f>IF(B456="","",TEXT(B456,"ddd"))</f>
        <v>0</v>
      </c>
      <c r="E456" s="8">
        <f>IF(B456="","",TEXT(B456,"mmm yyyy"))</f>
        <v>0</v>
      </c>
      <c r="F456" s="27"/>
      <c r="G456" s="7"/>
      <c r="H456" s="26"/>
      <c r="I456" s="8">
        <f>IF(G456="","",IFERROR(INDEX(Recipes!$D$5:$D$204,MATCH(G456,Recipes!$A$5:$A$204,0)),""))</f>
        <v>0</v>
      </c>
      <c r="J456" s="8">
        <f>IF(OR(G456="",H456="",I456="",I456=0),"",H456/I456)</f>
        <v>0</v>
      </c>
      <c r="K456" s="8">
        <f>IF(B456="","",Household_Size)</f>
        <v>0</v>
      </c>
      <c r="L456" s="8">
        <f>IF(OR(G456="",H456=""),"",IFERROR(IFERROR(INDEX(Recipes!$H$5:$H$204,MATCH(G456,Recipes!$A$5:$A$204,0)),"")*H456,""))</f>
        <v>0</v>
      </c>
      <c r="M456" s="8">
        <f>IF(OR(G456="",H456=""),"",IFERROR(IFERROR(INDEX(Recipes!$I$5:$I$204,MATCH(G456,Recipes!$A$5:$A$204,0)),"")*H456,""))</f>
        <v>0</v>
      </c>
      <c r="N456" s="8">
        <f>IF(OR(G456="",H456=""),"",IFERROR(IFERROR(INDEX(Recipes!$J$5:$J$204,MATCH(G456,Recipes!$A$5:$A$204,0)),"")*H456,""))</f>
        <v>0</v>
      </c>
      <c r="O456" s="8">
        <f>IF(OR(G456="",H456=""),"",IFERROR(IFERROR(INDEX(Recipes!$K$5:$K$204,MATCH(G456,Recipes!$A$5:$A$204,0)),"")*H456,""))</f>
        <v>0</v>
      </c>
      <c r="P456" s="8">
        <f>IF(OR(G456="",H456=""),"",IFERROR(IFERROR(INDEX(Recipes!$L$5:$L$204,MATCH(G456,Recipes!$A$5:$A$204,0)),"")*H456,""))</f>
        <v>0</v>
      </c>
      <c r="Q456" s="8">
        <f>IF(OR(G456="",H456=""),"",IFERROR(IFERROR(INDEX(Recipes!$Q$5:$Q$204,MATCH(G456,Recipes!$A$5:$A$204,0)),"")*H456,""))</f>
        <v>0</v>
      </c>
      <c r="R456" s="8">
        <f>IF(F456="","",Weekly_Budget/21)</f>
        <v>0</v>
      </c>
      <c r="S456" s="27"/>
      <c r="T456" s="27"/>
      <c r="U456" s="26"/>
      <c r="V456" s="7"/>
      <c r="W456" s="7"/>
      <c r="X456" s="26"/>
      <c r="Y456" s="8">
        <f>IF(G456="","",IF(COUNTIFS('Meal Prep'!$D$5:$D$124,G456)&gt;0,"Yes","No"))</f>
        <v>0</v>
      </c>
      <c r="Z456" s="8">
        <f>IF(G456="","",COUNTIFS('Recipe Ingredients'!$A$5:$A$1204,G456))</f>
        <v>0</v>
      </c>
      <c r="AA456" s="25"/>
      <c r="AB456" s="8">
        <f>IF(OR(B456="",Q456=""),"",COUNTIFS($B$5:$B$504,B456,$Q$5:$Q$504,"&gt;"&amp;Q456)+1)</f>
        <v>0</v>
      </c>
      <c r="AC456" s="8">
        <f>IF(OR(B456="",L456=""),"",COUNTIFS($B$5:$B$504,B456,$L$5:$L$504,"&gt;"&amp;L456)+1)</f>
        <v>0</v>
      </c>
      <c r="AD456" s="8">
        <f>IF(G456="","",IF(COUNTIFS($G$5:$G$504,G456)&gt;1,"Repeat","Once"))</f>
        <v>0</v>
      </c>
      <c r="AE456" s="8">
        <f>IF(G456="","",IF(IFERROR(INDEX(Recipes!$X$5:$X$204,MATCH(G456,Recipes!$A$5:$A$204,0)),"")="","",IFERROR(B456-IFERROR(INDEX(Recipes!$X$5:$X$204,MATCH(G456,Recipes!$A$5:$A$204,0)),""),"")))</f>
        <v>0</v>
      </c>
      <c r="AF456" s="8">
        <f>IF(G456="","",IF(AE456="","Yes",IF(AE456&gt;=Rotation_Gap_Days,"Yes","No")))</f>
        <v>0</v>
      </c>
      <c r="AG456" s="8">
        <f>IF(G456="","",IF(COUNTIFS('Recipe Ingredients'!$A$5:$A$1204,G456,'Recipe Ingredients'!$AC$5:$AC$1204,"Check")&gt;0,"Check","OK"))</f>
        <v>0</v>
      </c>
    </row>
    <row r="457" spans="1:33">
      <c r="A457" s="7"/>
      <c r="B457" s="30"/>
      <c r="C457" s="8">
        <f>IF(B457="","",B457-WEEKDAY(B457,2)+1)</f>
        <v>0</v>
      </c>
      <c r="D457" s="8">
        <f>IF(B457="","",TEXT(B457,"ddd"))</f>
        <v>0</v>
      </c>
      <c r="E457" s="8">
        <f>IF(B457="","",TEXT(B457,"mmm yyyy"))</f>
        <v>0</v>
      </c>
      <c r="F457" s="27"/>
      <c r="G457" s="7"/>
      <c r="H457" s="26"/>
      <c r="I457" s="8">
        <f>IF(G457="","",IFERROR(INDEX(Recipes!$D$5:$D$204,MATCH(G457,Recipes!$A$5:$A$204,0)),""))</f>
        <v>0</v>
      </c>
      <c r="J457" s="8">
        <f>IF(OR(G457="",H457="",I457="",I457=0),"",H457/I457)</f>
        <v>0</v>
      </c>
      <c r="K457" s="8">
        <f>IF(B457="","",Household_Size)</f>
        <v>0</v>
      </c>
      <c r="L457" s="8">
        <f>IF(OR(G457="",H457=""),"",IFERROR(IFERROR(INDEX(Recipes!$H$5:$H$204,MATCH(G457,Recipes!$A$5:$A$204,0)),"")*H457,""))</f>
        <v>0</v>
      </c>
      <c r="M457" s="8">
        <f>IF(OR(G457="",H457=""),"",IFERROR(IFERROR(INDEX(Recipes!$I$5:$I$204,MATCH(G457,Recipes!$A$5:$A$204,0)),"")*H457,""))</f>
        <v>0</v>
      </c>
      <c r="N457" s="8">
        <f>IF(OR(G457="",H457=""),"",IFERROR(IFERROR(INDEX(Recipes!$J$5:$J$204,MATCH(G457,Recipes!$A$5:$A$204,0)),"")*H457,""))</f>
        <v>0</v>
      </c>
      <c r="O457" s="8">
        <f>IF(OR(G457="",H457=""),"",IFERROR(IFERROR(INDEX(Recipes!$K$5:$K$204,MATCH(G457,Recipes!$A$5:$A$204,0)),"")*H457,""))</f>
        <v>0</v>
      </c>
      <c r="P457" s="8">
        <f>IF(OR(G457="",H457=""),"",IFERROR(IFERROR(INDEX(Recipes!$L$5:$L$204,MATCH(G457,Recipes!$A$5:$A$204,0)),"")*H457,""))</f>
        <v>0</v>
      </c>
      <c r="Q457" s="8">
        <f>IF(OR(G457="",H457=""),"",IFERROR(IFERROR(INDEX(Recipes!$Q$5:$Q$204,MATCH(G457,Recipes!$A$5:$A$204,0)),"")*H457,""))</f>
        <v>0</v>
      </c>
      <c r="R457" s="8">
        <f>IF(F457="","",Weekly_Budget/21)</f>
        <v>0</v>
      </c>
      <c r="S457" s="27"/>
      <c r="T457" s="27"/>
      <c r="U457" s="26"/>
      <c r="V457" s="7"/>
      <c r="W457" s="7"/>
      <c r="X457" s="26"/>
      <c r="Y457" s="8">
        <f>IF(G457="","",IF(COUNTIFS('Meal Prep'!$D$5:$D$124,G457)&gt;0,"Yes","No"))</f>
        <v>0</v>
      </c>
      <c r="Z457" s="8">
        <f>IF(G457="","",COUNTIFS('Recipe Ingredients'!$A$5:$A$1204,G457))</f>
        <v>0</v>
      </c>
      <c r="AA457" s="25"/>
      <c r="AB457" s="8">
        <f>IF(OR(B457="",Q457=""),"",COUNTIFS($B$5:$B$504,B457,$Q$5:$Q$504,"&gt;"&amp;Q457)+1)</f>
        <v>0</v>
      </c>
      <c r="AC457" s="8">
        <f>IF(OR(B457="",L457=""),"",COUNTIFS($B$5:$B$504,B457,$L$5:$L$504,"&gt;"&amp;L457)+1)</f>
        <v>0</v>
      </c>
      <c r="AD457" s="8">
        <f>IF(G457="","",IF(COUNTIFS($G$5:$G$504,G457)&gt;1,"Repeat","Once"))</f>
        <v>0</v>
      </c>
      <c r="AE457" s="8">
        <f>IF(G457="","",IF(IFERROR(INDEX(Recipes!$X$5:$X$204,MATCH(G457,Recipes!$A$5:$A$204,0)),"")="","",IFERROR(B457-IFERROR(INDEX(Recipes!$X$5:$X$204,MATCH(G457,Recipes!$A$5:$A$204,0)),""),"")))</f>
        <v>0</v>
      </c>
      <c r="AF457" s="8">
        <f>IF(G457="","",IF(AE457="","Yes",IF(AE457&gt;=Rotation_Gap_Days,"Yes","No")))</f>
        <v>0</v>
      </c>
      <c r="AG457" s="8">
        <f>IF(G457="","",IF(COUNTIFS('Recipe Ingredients'!$A$5:$A$1204,G457,'Recipe Ingredients'!$AC$5:$AC$1204,"Check")&gt;0,"Check","OK"))</f>
        <v>0</v>
      </c>
    </row>
    <row r="458" spans="1:33">
      <c r="A458" s="7"/>
      <c r="B458" s="30"/>
      <c r="C458" s="8">
        <f>IF(B458="","",B458-WEEKDAY(B458,2)+1)</f>
        <v>0</v>
      </c>
      <c r="D458" s="8">
        <f>IF(B458="","",TEXT(B458,"ddd"))</f>
        <v>0</v>
      </c>
      <c r="E458" s="8">
        <f>IF(B458="","",TEXT(B458,"mmm yyyy"))</f>
        <v>0</v>
      </c>
      <c r="F458" s="27"/>
      <c r="G458" s="7"/>
      <c r="H458" s="26"/>
      <c r="I458" s="8">
        <f>IF(G458="","",IFERROR(INDEX(Recipes!$D$5:$D$204,MATCH(G458,Recipes!$A$5:$A$204,0)),""))</f>
        <v>0</v>
      </c>
      <c r="J458" s="8">
        <f>IF(OR(G458="",H458="",I458="",I458=0),"",H458/I458)</f>
        <v>0</v>
      </c>
      <c r="K458" s="8">
        <f>IF(B458="","",Household_Size)</f>
        <v>0</v>
      </c>
      <c r="L458" s="8">
        <f>IF(OR(G458="",H458=""),"",IFERROR(IFERROR(INDEX(Recipes!$H$5:$H$204,MATCH(G458,Recipes!$A$5:$A$204,0)),"")*H458,""))</f>
        <v>0</v>
      </c>
      <c r="M458" s="8">
        <f>IF(OR(G458="",H458=""),"",IFERROR(IFERROR(INDEX(Recipes!$I$5:$I$204,MATCH(G458,Recipes!$A$5:$A$204,0)),"")*H458,""))</f>
        <v>0</v>
      </c>
      <c r="N458" s="8">
        <f>IF(OR(G458="",H458=""),"",IFERROR(IFERROR(INDEX(Recipes!$J$5:$J$204,MATCH(G458,Recipes!$A$5:$A$204,0)),"")*H458,""))</f>
        <v>0</v>
      </c>
      <c r="O458" s="8">
        <f>IF(OR(G458="",H458=""),"",IFERROR(IFERROR(INDEX(Recipes!$K$5:$K$204,MATCH(G458,Recipes!$A$5:$A$204,0)),"")*H458,""))</f>
        <v>0</v>
      </c>
      <c r="P458" s="8">
        <f>IF(OR(G458="",H458=""),"",IFERROR(IFERROR(INDEX(Recipes!$L$5:$L$204,MATCH(G458,Recipes!$A$5:$A$204,0)),"")*H458,""))</f>
        <v>0</v>
      </c>
      <c r="Q458" s="8">
        <f>IF(OR(G458="",H458=""),"",IFERROR(IFERROR(INDEX(Recipes!$Q$5:$Q$204,MATCH(G458,Recipes!$A$5:$A$204,0)),"")*H458,""))</f>
        <v>0</v>
      </c>
      <c r="R458" s="8">
        <f>IF(F458="","",Weekly_Budget/21)</f>
        <v>0</v>
      </c>
      <c r="S458" s="27"/>
      <c r="T458" s="27"/>
      <c r="U458" s="26"/>
      <c r="V458" s="7"/>
      <c r="W458" s="7"/>
      <c r="X458" s="26"/>
      <c r="Y458" s="8">
        <f>IF(G458="","",IF(COUNTIFS('Meal Prep'!$D$5:$D$124,G458)&gt;0,"Yes","No"))</f>
        <v>0</v>
      </c>
      <c r="Z458" s="8">
        <f>IF(G458="","",COUNTIFS('Recipe Ingredients'!$A$5:$A$1204,G458))</f>
        <v>0</v>
      </c>
      <c r="AA458" s="25"/>
      <c r="AB458" s="8">
        <f>IF(OR(B458="",Q458=""),"",COUNTIFS($B$5:$B$504,B458,$Q$5:$Q$504,"&gt;"&amp;Q458)+1)</f>
        <v>0</v>
      </c>
      <c r="AC458" s="8">
        <f>IF(OR(B458="",L458=""),"",COUNTIFS($B$5:$B$504,B458,$L$5:$L$504,"&gt;"&amp;L458)+1)</f>
        <v>0</v>
      </c>
      <c r="AD458" s="8">
        <f>IF(G458="","",IF(COUNTIFS($G$5:$G$504,G458)&gt;1,"Repeat","Once"))</f>
        <v>0</v>
      </c>
      <c r="AE458" s="8">
        <f>IF(G458="","",IF(IFERROR(INDEX(Recipes!$X$5:$X$204,MATCH(G458,Recipes!$A$5:$A$204,0)),"")="","",IFERROR(B458-IFERROR(INDEX(Recipes!$X$5:$X$204,MATCH(G458,Recipes!$A$5:$A$204,0)),""),"")))</f>
        <v>0</v>
      </c>
      <c r="AF458" s="8">
        <f>IF(G458="","",IF(AE458="","Yes",IF(AE458&gt;=Rotation_Gap_Days,"Yes","No")))</f>
        <v>0</v>
      </c>
      <c r="AG458" s="8">
        <f>IF(G458="","",IF(COUNTIFS('Recipe Ingredients'!$A$5:$A$1204,G458,'Recipe Ingredients'!$AC$5:$AC$1204,"Check")&gt;0,"Check","OK"))</f>
        <v>0</v>
      </c>
    </row>
    <row r="459" spans="1:33">
      <c r="A459" s="7"/>
      <c r="B459" s="30"/>
      <c r="C459" s="8">
        <f>IF(B459="","",B459-WEEKDAY(B459,2)+1)</f>
        <v>0</v>
      </c>
      <c r="D459" s="8">
        <f>IF(B459="","",TEXT(B459,"ddd"))</f>
        <v>0</v>
      </c>
      <c r="E459" s="8">
        <f>IF(B459="","",TEXT(B459,"mmm yyyy"))</f>
        <v>0</v>
      </c>
      <c r="F459" s="27"/>
      <c r="G459" s="7"/>
      <c r="H459" s="26"/>
      <c r="I459" s="8">
        <f>IF(G459="","",IFERROR(INDEX(Recipes!$D$5:$D$204,MATCH(G459,Recipes!$A$5:$A$204,0)),""))</f>
        <v>0</v>
      </c>
      <c r="J459" s="8">
        <f>IF(OR(G459="",H459="",I459="",I459=0),"",H459/I459)</f>
        <v>0</v>
      </c>
      <c r="K459" s="8">
        <f>IF(B459="","",Household_Size)</f>
        <v>0</v>
      </c>
      <c r="L459" s="8">
        <f>IF(OR(G459="",H459=""),"",IFERROR(IFERROR(INDEX(Recipes!$H$5:$H$204,MATCH(G459,Recipes!$A$5:$A$204,0)),"")*H459,""))</f>
        <v>0</v>
      </c>
      <c r="M459" s="8">
        <f>IF(OR(G459="",H459=""),"",IFERROR(IFERROR(INDEX(Recipes!$I$5:$I$204,MATCH(G459,Recipes!$A$5:$A$204,0)),"")*H459,""))</f>
        <v>0</v>
      </c>
      <c r="N459" s="8">
        <f>IF(OR(G459="",H459=""),"",IFERROR(IFERROR(INDEX(Recipes!$J$5:$J$204,MATCH(G459,Recipes!$A$5:$A$204,0)),"")*H459,""))</f>
        <v>0</v>
      </c>
      <c r="O459" s="8">
        <f>IF(OR(G459="",H459=""),"",IFERROR(IFERROR(INDEX(Recipes!$K$5:$K$204,MATCH(G459,Recipes!$A$5:$A$204,0)),"")*H459,""))</f>
        <v>0</v>
      </c>
      <c r="P459" s="8">
        <f>IF(OR(G459="",H459=""),"",IFERROR(IFERROR(INDEX(Recipes!$L$5:$L$204,MATCH(G459,Recipes!$A$5:$A$204,0)),"")*H459,""))</f>
        <v>0</v>
      </c>
      <c r="Q459" s="8">
        <f>IF(OR(G459="",H459=""),"",IFERROR(IFERROR(INDEX(Recipes!$Q$5:$Q$204,MATCH(G459,Recipes!$A$5:$A$204,0)),"")*H459,""))</f>
        <v>0</v>
      </c>
      <c r="R459" s="8">
        <f>IF(F459="","",Weekly_Budget/21)</f>
        <v>0</v>
      </c>
      <c r="S459" s="27"/>
      <c r="T459" s="27"/>
      <c r="U459" s="26"/>
      <c r="V459" s="7"/>
      <c r="W459" s="7"/>
      <c r="X459" s="26"/>
      <c r="Y459" s="8">
        <f>IF(G459="","",IF(COUNTIFS('Meal Prep'!$D$5:$D$124,G459)&gt;0,"Yes","No"))</f>
        <v>0</v>
      </c>
      <c r="Z459" s="8">
        <f>IF(G459="","",COUNTIFS('Recipe Ingredients'!$A$5:$A$1204,G459))</f>
        <v>0</v>
      </c>
      <c r="AA459" s="25"/>
      <c r="AB459" s="8">
        <f>IF(OR(B459="",Q459=""),"",COUNTIFS($B$5:$B$504,B459,$Q$5:$Q$504,"&gt;"&amp;Q459)+1)</f>
        <v>0</v>
      </c>
      <c r="AC459" s="8">
        <f>IF(OR(B459="",L459=""),"",COUNTIFS($B$5:$B$504,B459,$L$5:$L$504,"&gt;"&amp;L459)+1)</f>
        <v>0</v>
      </c>
      <c r="AD459" s="8">
        <f>IF(G459="","",IF(COUNTIFS($G$5:$G$504,G459)&gt;1,"Repeat","Once"))</f>
        <v>0</v>
      </c>
      <c r="AE459" s="8">
        <f>IF(G459="","",IF(IFERROR(INDEX(Recipes!$X$5:$X$204,MATCH(G459,Recipes!$A$5:$A$204,0)),"")="","",IFERROR(B459-IFERROR(INDEX(Recipes!$X$5:$X$204,MATCH(G459,Recipes!$A$5:$A$204,0)),""),"")))</f>
        <v>0</v>
      </c>
      <c r="AF459" s="8">
        <f>IF(G459="","",IF(AE459="","Yes",IF(AE459&gt;=Rotation_Gap_Days,"Yes","No")))</f>
        <v>0</v>
      </c>
      <c r="AG459" s="8">
        <f>IF(G459="","",IF(COUNTIFS('Recipe Ingredients'!$A$5:$A$1204,G459,'Recipe Ingredients'!$AC$5:$AC$1204,"Check")&gt;0,"Check","OK"))</f>
        <v>0</v>
      </c>
    </row>
    <row r="460" spans="1:33">
      <c r="A460" s="7"/>
      <c r="B460" s="30"/>
      <c r="C460" s="8">
        <f>IF(B460="","",B460-WEEKDAY(B460,2)+1)</f>
        <v>0</v>
      </c>
      <c r="D460" s="8">
        <f>IF(B460="","",TEXT(B460,"ddd"))</f>
        <v>0</v>
      </c>
      <c r="E460" s="8">
        <f>IF(B460="","",TEXT(B460,"mmm yyyy"))</f>
        <v>0</v>
      </c>
      <c r="F460" s="27"/>
      <c r="G460" s="7"/>
      <c r="H460" s="26"/>
      <c r="I460" s="8">
        <f>IF(G460="","",IFERROR(INDEX(Recipes!$D$5:$D$204,MATCH(G460,Recipes!$A$5:$A$204,0)),""))</f>
        <v>0</v>
      </c>
      <c r="J460" s="8">
        <f>IF(OR(G460="",H460="",I460="",I460=0),"",H460/I460)</f>
        <v>0</v>
      </c>
      <c r="K460" s="8">
        <f>IF(B460="","",Household_Size)</f>
        <v>0</v>
      </c>
      <c r="L460" s="8">
        <f>IF(OR(G460="",H460=""),"",IFERROR(IFERROR(INDEX(Recipes!$H$5:$H$204,MATCH(G460,Recipes!$A$5:$A$204,0)),"")*H460,""))</f>
        <v>0</v>
      </c>
      <c r="M460" s="8">
        <f>IF(OR(G460="",H460=""),"",IFERROR(IFERROR(INDEX(Recipes!$I$5:$I$204,MATCH(G460,Recipes!$A$5:$A$204,0)),"")*H460,""))</f>
        <v>0</v>
      </c>
      <c r="N460" s="8">
        <f>IF(OR(G460="",H460=""),"",IFERROR(IFERROR(INDEX(Recipes!$J$5:$J$204,MATCH(G460,Recipes!$A$5:$A$204,0)),"")*H460,""))</f>
        <v>0</v>
      </c>
      <c r="O460" s="8">
        <f>IF(OR(G460="",H460=""),"",IFERROR(IFERROR(INDEX(Recipes!$K$5:$K$204,MATCH(G460,Recipes!$A$5:$A$204,0)),"")*H460,""))</f>
        <v>0</v>
      </c>
      <c r="P460" s="8">
        <f>IF(OR(G460="",H460=""),"",IFERROR(IFERROR(INDEX(Recipes!$L$5:$L$204,MATCH(G460,Recipes!$A$5:$A$204,0)),"")*H460,""))</f>
        <v>0</v>
      </c>
      <c r="Q460" s="8">
        <f>IF(OR(G460="",H460=""),"",IFERROR(IFERROR(INDEX(Recipes!$Q$5:$Q$204,MATCH(G460,Recipes!$A$5:$A$204,0)),"")*H460,""))</f>
        <v>0</v>
      </c>
      <c r="R460" s="8">
        <f>IF(F460="","",Weekly_Budget/21)</f>
        <v>0</v>
      </c>
      <c r="S460" s="27"/>
      <c r="T460" s="27"/>
      <c r="U460" s="26"/>
      <c r="V460" s="7"/>
      <c r="W460" s="7"/>
      <c r="X460" s="26"/>
      <c r="Y460" s="8">
        <f>IF(G460="","",IF(COUNTIFS('Meal Prep'!$D$5:$D$124,G460)&gt;0,"Yes","No"))</f>
        <v>0</v>
      </c>
      <c r="Z460" s="8">
        <f>IF(G460="","",COUNTIFS('Recipe Ingredients'!$A$5:$A$1204,G460))</f>
        <v>0</v>
      </c>
      <c r="AA460" s="25"/>
      <c r="AB460" s="8">
        <f>IF(OR(B460="",Q460=""),"",COUNTIFS($B$5:$B$504,B460,$Q$5:$Q$504,"&gt;"&amp;Q460)+1)</f>
        <v>0</v>
      </c>
      <c r="AC460" s="8">
        <f>IF(OR(B460="",L460=""),"",COUNTIFS($B$5:$B$504,B460,$L$5:$L$504,"&gt;"&amp;L460)+1)</f>
        <v>0</v>
      </c>
      <c r="AD460" s="8">
        <f>IF(G460="","",IF(COUNTIFS($G$5:$G$504,G460)&gt;1,"Repeat","Once"))</f>
        <v>0</v>
      </c>
      <c r="AE460" s="8">
        <f>IF(G460="","",IF(IFERROR(INDEX(Recipes!$X$5:$X$204,MATCH(G460,Recipes!$A$5:$A$204,0)),"")="","",IFERROR(B460-IFERROR(INDEX(Recipes!$X$5:$X$204,MATCH(G460,Recipes!$A$5:$A$204,0)),""),"")))</f>
        <v>0</v>
      </c>
      <c r="AF460" s="8">
        <f>IF(G460="","",IF(AE460="","Yes",IF(AE460&gt;=Rotation_Gap_Days,"Yes","No")))</f>
        <v>0</v>
      </c>
      <c r="AG460" s="8">
        <f>IF(G460="","",IF(COUNTIFS('Recipe Ingredients'!$A$5:$A$1204,G460,'Recipe Ingredients'!$AC$5:$AC$1204,"Check")&gt;0,"Check","OK"))</f>
        <v>0</v>
      </c>
    </row>
    <row r="461" spans="1:33">
      <c r="A461" s="7"/>
      <c r="B461" s="30"/>
      <c r="C461" s="8">
        <f>IF(B461="","",B461-WEEKDAY(B461,2)+1)</f>
        <v>0</v>
      </c>
      <c r="D461" s="8">
        <f>IF(B461="","",TEXT(B461,"ddd"))</f>
        <v>0</v>
      </c>
      <c r="E461" s="8">
        <f>IF(B461="","",TEXT(B461,"mmm yyyy"))</f>
        <v>0</v>
      </c>
      <c r="F461" s="27"/>
      <c r="G461" s="7"/>
      <c r="H461" s="26"/>
      <c r="I461" s="8">
        <f>IF(G461="","",IFERROR(INDEX(Recipes!$D$5:$D$204,MATCH(G461,Recipes!$A$5:$A$204,0)),""))</f>
        <v>0</v>
      </c>
      <c r="J461" s="8">
        <f>IF(OR(G461="",H461="",I461="",I461=0),"",H461/I461)</f>
        <v>0</v>
      </c>
      <c r="K461" s="8">
        <f>IF(B461="","",Household_Size)</f>
        <v>0</v>
      </c>
      <c r="L461" s="8">
        <f>IF(OR(G461="",H461=""),"",IFERROR(IFERROR(INDEX(Recipes!$H$5:$H$204,MATCH(G461,Recipes!$A$5:$A$204,0)),"")*H461,""))</f>
        <v>0</v>
      </c>
      <c r="M461" s="8">
        <f>IF(OR(G461="",H461=""),"",IFERROR(IFERROR(INDEX(Recipes!$I$5:$I$204,MATCH(G461,Recipes!$A$5:$A$204,0)),"")*H461,""))</f>
        <v>0</v>
      </c>
      <c r="N461" s="8">
        <f>IF(OR(G461="",H461=""),"",IFERROR(IFERROR(INDEX(Recipes!$J$5:$J$204,MATCH(G461,Recipes!$A$5:$A$204,0)),"")*H461,""))</f>
        <v>0</v>
      </c>
      <c r="O461" s="8">
        <f>IF(OR(G461="",H461=""),"",IFERROR(IFERROR(INDEX(Recipes!$K$5:$K$204,MATCH(G461,Recipes!$A$5:$A$204,0)),"")*H461,""))</f>
        <v>0</v>
      </c>
      <c r="P461" s="8">
        <f>IF(OR(G461="",H461=""),"",IFERROR(IFERROR(INDEX(Recipes!$L$5:$L$204,MATCH(G461,Recipes!$A$5:$A$204,0)),"")*H461,""))</f>
        <v>0</v>
      </c>
      <c r="Q461" s="8">
        <f>IF(OR(G461="",H461=""),"",IFERROR(IFERROR(INDEX(Recipes!$Q$5:$Q$204,MATCH(G461,Recipes!$A$5:$A$204,0)),"")*H461,""))</f>
        <v>0</v>
      </c>
      <c r="R461" s="8">
        <f>IF(F461="","",Weekly_Budget/21)</f>
        <v>0</v>
      </c>
      <c r="S461" s="27"/>
      <c r="T461" s="27"/>
      <c r="U461" s="26"/>
      <c r="V461" s="7"/>
      <c r="W461" s="7"/>
      <c r="X461" s="26"/>
      <c r="Y461" s="8">
        <f>IF(G461="","",IF(COUNTIFS('Meal Prep'!$D$5:$D$124,G461)&gt;0,"Yes","No"))</f>
        <v>0</v>
      </c>
      <c r="Z461" s="8">
        <f>IF(G461="","",COUNTIFS('Recipe Ingredients'!$A$5:$A$1204,G461))</f>
        <v>0</v>
      </c>
      <c r="AA461" s="25"/>
      <c r="AB461" s="8">
        <f>IF(OR(B461="",Q461=""),"",COUNTIFS($B$5:$B$504,B461,$Q$5:$Q$504,"&gt;"&amp;Q461)+1)</f>
        <v>0</v>
      </c>
      <c r="AC461" s="8">
        <f>IF(OR(B461="",L461=""),"",COUNTIFS($B$5:$B$504,B461,$L$5:$L$504,"&gt;"&amp;L461)+1)</f>
        <v>0</v>
      </c>
      <c r="AD461" s="8">
        <f>IF(G461="","",IF(COUNTIFS($G$5:$G$504,G461)&gt;1,"Repeat","Once"))</f>
        <v>0</v>
      </c>
      <c r="AE461" s="8">
        <f>IF(G461="","",IF(IFERROR(INDEX(Recipes!$X$5:$X$204,MATCH(G461,Recipes!$A$5:$A$204,0)),"")="","",IFERROR(B461-IFERROR(INDEX(Recipes!$X$5:$X$204,MATCH(G461,Recipes!$A$5:$A$204,0)),""),"")))</f>
        <v>0</v>
      </c>
      <c r="AF461" s="8">
        <f>IF(G461="","",IF(AE461="","Yes",IF(AE461&gt;=Rotation_Gap_Days,"Yes","No")))</f>
        <v>0</v>
      </c>
      <c r="AG461" s="8">
        <f>IF(G461="","",IF(COUNTIFS('Recipe Ingredients'!$A$5:$A$1204,G461,'Recipe Ingredients'!$AC$5:$AC$1204,"Check")&gt;0,"Check","OK"))</f>
        <v>0</v>
      </c>
    </row>
    <row r="462" spans="1:33">
      <c r="A462" s="7"/>
      <c r="B462" s="30"/>
      <c r="C462" s="8">
        <f>IF(B462="","",B462-WEEKDAY(B462,2)+1)</f>
        <v>0</v>
      </c>
      <c r="D462" s="8">
        <f>IF(B462="","",TEXT(B462,"ddd"))</f>
        <v>0</v>
      </c>
      <c r="E462" s="8">
        <f>IF(B462="","",TEXT(B462,"mmm yyyy"))</f>
        <v>0</v>
      </c>
      <c r="F462" s="27"/>
      <c r="G462" s="7"/>
      <c r="H462" s="26"/>
      <c r="I462" s="8">
        <f>IF(G462="","",IFERROR(INDEX(Recipes!$D$5:$D$204,MATCH(G462,Recipes!$A$5:$A$204,0)),""))</f>
        <v>0</v>
      </c>
      <c r="J462" s="8">
        <f>IF(OR(G462="",H462="",I462="",I462=0),"",H462/I462)</f>
        <v>0</v>
      </c>
      <c r="K462" s="8">
        <f>IF(B462="","",Household_Size)</f>
        <v>0</v>
      </c>
      <c r="L462" s="8">
        <f>IF(OR(G462="",H462=""),"",IFERROR(IFERROR(INDEX(Recipes!$H$5:$H$204,MATCH(G462,Recipes!$A$5:$A$204,0)),"")*H462,""))</f>
        <v>0</v>
      </c>
      <c r="M462" s="8">
        <f>IF(OR(G462="",H462=""),"",IFERROR(IFERROR(INDEX(Recipes!$I$5:$I$204,MATCH(G462,Recipes!$A$5:$A$204,0)),"")*H462,""))</f>
        <v>0</v>
      </c>
      <c r="N462" s="8">
        <f>IF(OR(G462="",H462=""),"",IFERROR(IFERROR(INDEX(Recipes!$J$5:$J$204,MATCH(G462,Recipes!$A$5:$A$204,0)),"")*H462,""))</f>
        <v>0</v>
      </c>
      <c r="O462" s="8">
        <f>IF(OR(G462="",H462=""),"",IFERROR(IFERROR(INDEX(Recipes!$K$5:$K$204,MATCH(G462,Recipes!$A$5:$A$204,0)),"")*H462,""))</f>
        <v>0</v>
      </c>
      <c r="P462" s="8">
        <f>IF(OR(G462="",H462=""),"",IFERROR(IFERROR(INDEX(Recipes!$L$5:$L$204,MATCH(G462,Recipes!$A$5:$A$204,0)),"")*H462,""))</f>
        <v>0</v>
      </c>
      <c r="Q462" s="8">
        <f>IF(OR(G462="",H462=""),"",IFERROR(IFERROR(INDEX(Recipes!$Q$5:$Q$204,MATCH(G462,Recipes!$A$5:$A$204,0)),"")*H462,""))</f>
        <v>0</v>
      </c>
      <c r="R462" s="8">
        <f>IF(F462="","",Weekly_Budget/21)</f>
        <v>0</v>
      </c>
      <c r="S462" s="27"/>
      <c r="T462" s="27"/>
      <c r="U462" s="26"/>
      <c r="V462" s="7"/>
      <c r="W462" s="7"/>
      <c r="X462" s="26"/>
      <c r="Y462" s="8">
        <f>IF(G462="","",IF(COUNTIFS('Meal Prep'!$D$5:$D$124,G462)&gt;0,"Yes","No"))</f>
        <v>0</v>
      </c>
      <c r="Z462" s="8">
        <f>IF(G462="","",COUNTIFS('Recipe Ingredients'!$A$5:$A$1204,G462))</f>
        <v>0</v>
      </c>
      <c r="AA462" s="25"/>
      <c r="AB462" s="8">
        <f>IF(OR(B462="",Q462=""),"",COUNTIFS($B$5:$B$504,B462,$Q$5:$Q$504,"&gt;"&amp;Q462)+1)</f>
        <v>0</v>
      </c>
      <c r="AC462" s="8">
        <f>IF(OR(B462="",L462=""),"",COUNTIFS($B$5:$B$504,B462,$L$5:$L$504,"&gt;"&amp;L462)+1)</f>
        <v>0</v>
      </c>
      <c r="AD462" s="8">
        <f>IF(G462="","",IF(COUNTIFS($G$5:$G$504,G462)&gt;1,"Repeat","Once"))</f>
        <v>0</v>
      </c>
      <c r="AE462" s="8">
        <f>IF(G462="","",IF(IFERROR(INDEX(Recipes!$X$5:$X$204,MATCH(G462,Recipes!$A$5:$A$204,0)),"")="","",IFERROR(B462-IFERROR(INDEX(Recipes!$X$5:$X$204,MATCH(G462,Recipes!$A$5:$A$204,0)),""),"")))</f>
        <v>0</v>
      </c>
      <c r="AF462" s="8">
        <f>IF(G462="","",IF(AE462="","Yes",IF(AE462&gt;=Rotation_Gap_Days,"Yes","No")))</f>
        <v>0</v>
      </c>
      <c r="AG462" s="8">
        <f>IF(G462="","",IF(COUNTIFS('Recipe Ingredients'!$A$5:$A$1204,G462,'Recipe Ingredients'!$AC$5:$AC$1204,"Check")&gt;0,"Check","OK"))</f>
        <v>0</v>
      </c>
    </row>
    <row r="463" spans="1:33">
      <c r="A463" s="7"/>
      <c r="B463" s="30"/>
      <c r="C463" s="8">
        <f>IF(B463="","",B463-WEEKDAY(B463,2)+1)</f>
        <v>0</v>
      </c>
      <c r="D463" s="8">
        <f>IF(B463="","",TEXT(B463,"ddd"))</f>
        <v>0</v>
      </c>
      <c r="E463" s="8">
        <f>IF(B463="","",TEXT(B463,"mmm yyyy"))</f>
        <v>0</v>
      </c>
      <c r="F463" s="27"/>
      <c r="G463" s="7"/>
      <c r="H463" s="26"/>
      <c r="I463" s="8">
        <f>IF(G463="","",IFERROR(INDEX(Recipes!$D$5:$D$204,MATCH(G463,Recipes!$A$5:$A$204,0)),""))</f>
        <v>0</v>
      </c>
      <c r="J463" s="8">
        <f>IF(OR(G463="",H463="",I463="",I463=0),"",H463/I463)</f>
        <v>0</v>
      </c>
      <c r="K463" s="8">
        <f>IF(B463="","",Household_Size)</f>
        <v>0</v>
      </c>
      <c r="L463" s="8">
        <f>IF(OR(G463="",H463=""),"",IFERROR(IFERROR(INDEX(Recipes!$H$5:$H$204,MATCH(G463,Recipes!$A$5:$A$204,0)),"")*H463,""))</f>
        <v>0</v>
      </c>
      <c r="M463" s="8">
        <f>IF(OR(G463="",H463=""),"",IFERROR(IFERROR(INDEX(Recipes!$I$5:$I$204,MATCH(G463,Recipes!$A$5:$A$204,0)),"")*H463,""))</f>
        <v>0</v>
      </c>
      <c r="N463" s="8">
        <f>IF(OR(G463="",H463=""),"",IFERROR(IFERROR(INDEX(Recipes!$J$5:$J$204,MATCH(G463,Recipes!$A$5:$A$204,0)),"")*H463,""))</f>
        <v>0</v>
      </c>
      <c r="O463" s="8">
        <f>IF(OR(G463="",H463=""),"",IFERROR(IFERROR(INDEX(Recipes!$K$5:$K$204,MATCH(G463,Recipes!$A$5:$A$204,0)),"")*H463,""))</f>
        <v>0</v>
      </c>
      <c r="P463" s="8">
        <f>IF(OR(G463="",H463=""),"",IFERROR(IFERROR(INDEX(Recipes!$L$5:$L$204,MATCH(G463,Recipes!$A$5:$A$204,0)),"")*H463,""))</f>
        <v>0</v>
      </c>
      <c r="Q463" s="8">
        <f>IF(OR(G463="",H463=""),"",IFERROR(IFERROR(INDEX(Recipes!$Q$5:$Q$204,MATCH(G463,Recipes!$A$5:$A$204,0)),"")*H463,""))</f>
        <v>0</v>
      </c>
      <c r="R463" s="8">
        <f>IF(F463="","",Weekly_Budget/21)</f>
        <v>0</v>
      </c>
      <c r="S463" s="27"/>
      <c r="T463" s="27"/>
      <c r="U463" s="26"/>
      <c r="V463" s="7"/>
      <c r="W463" s="7"/>
      <c r="X463" s="26"/>
      <c r="Y463" s="8">
        <f>IF(G463="","",IF(COUNTIFS('Meal Prep'!$D$5:$D$124,G463)&gt;0,"Yes","No"))</f>
        <v>0</v>
      </c>
      <c r="Z463" s="8">
        <f>IF(G463="","",COUNTIFS('Recipe Ingredients'!$A$5:$A$1204,G463))</f>
        <v>0</v>
      </c>
      <c r="AA463" s="25"/>
      <c r="AB463" s="8">
        <f>IF(OR(B463="",Q463=""),"",COUNTIFS($B$5:$B$504,B463,$Q$5:$Q$504,"&gt;"&amp;Q463)+1)</f>
        <v>0</v>
      </c>
      <c r="AC463" s="8">
        <f>IF(OR(B463="",L463=""),"",COUNTIFS($B$5:$B$504,B463,$L$5:$L$504,"&gt;"&amp;L463)+1)</f>
        <v>0</v>
      </c>
      <c r="AD463" s="8">
        <f>IF(G463="","",IF(COUNTIFS($G$5:$G$504,G463)&gt;1,"Repeat","Once"))</f>
        <v>0</v>
      </c>
      <c r="AE463" s="8">
        <f>IF(G463="","",IF(IFERROR(INDEX(Recipes!$X$5:$X$204,MATCH(G463,Recipes!$A$5:$A$204,0)),"")="","",IFERROR(B463-IFERROR(INDEX(Recipes!$X$5:$X$204,MATCH(G463,Recipes!$A$5:$A$204,0)),""),"")))</f>
        <v>0</v>
      </c>
      <c r="AF463" s="8">
        <f>IF(G463="","",IF(AE463="","Yes",IF(AE463&gt;=Rotation_Gap_Days,"Yes","No")))</f>
        <v>0</v>
      </c>
      <c r="AG463" s="8">
        <f>IF(G463="","",IF(COUNTIFS('Recipe Ingredients'!$A$5:$A$1204,G463,'Recipe Ingredients'!$AC$5:$AC$1204,"Check")&gt;0,"Check","OK"))</f>
        <v>0</v>
      </c>
    </row>
    <row r="464" spans="1:33">
      <c r="A464" s="7"/>
      <c r="B464" s="30"/>
      <c r="C464" s="8">
        <f>IF(B464="","",B464-WEEKDAY(B464,2)+1)</f>
        <v>0</v>
      </c>
      <c r="D464" s="8">
        <f>IF(B464="","",TEXT(B464,"ddd"))</f>
        <v>0</v>
      </c>
      <c r="E464" s="8">
        <f>IF(B464="","",TEXT(B464,"mmm yyyy"))</f>
        <v>0</v>
      </c>
      <c r="F464" s="27"/>
      <c r="G464" s="7"/>
      <c r="H464" s="26"/>
      <c r="I464" s="8">
        <f>IF(G464="","",IFERROR(INDEX(Recipes!$D$5:$D$204,MATCH(G464,Recipes!$A$5:$A$204,0)),""))</f>
        <v>0</v>
      </c>
      <c r="J464" s="8">
        <f>IF(OR(G464="",H464="",I464="",I464=0),"",H464/I464)</f>
        <v>0</v>
      </c>
      <c r="K464" s="8">
        <f>IF(B464="","",Household_Size)</f>
        <v>0</v>
      </c>
      <c r="L464" s="8">
        <f>IF(OR(G464="",H464=""),"",IFERROR(IFERROR(INDEX(Recipes!$H$5:$H$204,MATCH(G464,Recipes!$A$5:$A$204,0)),"")*H464,""))</f>
        <v>0</v>
      </c>
      <c r="M464" s="8">
        <f>IF(OR(G464="",H464=""),"",IFERROR(IFERROR(INDEX(Recipes!$I$5:$I$204,MATCH(G464,Recipes!$A$5:$A$204,0)),"")*H464,""))</f>
        <v>0</v>
      </c>
      <c r="N464" s="8">
        <f>IF(OR(G464="",H464=""),"",IFERROR(IFERROR(INDEX(Recipes!$J$5:$J$204,MATCH(G464,Recipes!$A$5:$A$204,0)),"")*H464,""))</f>
        <v>0</v>
      </c>
      <c r="O464" s="8">
        <f>IF(OR(G464="",H464=""),"",IFERROR(IFERROR(INDEX(Recipes!$K$5:$K$204,MATCH(G464,Recipes!$A$5:$A$204,0)),"")*H464,""))</f>
        <v>0</v>
      </c>
      <c r="P464" s="8">
        <f>IF(OR(G464="",H464=""),"",IFERROR(IFERROR(INDEX(Recipes!$L$5:$L$204,MATCH(G464,Recipes!$A$5:$A$204,0)),"")*H464,""))</f>
        <v>0</v>
      </c>
      <c r="Q464" s="8">
        <f>IF(OR(G464="",H464=""),"",IFERROR(IFERROR(INDEX(Recipes!$Q$5:$Q$204,MATCH(G464,Recipes!$A$5:$A$204,0)),"")*H464,""))</f>
        <v>0</v>
      </c>
      <c r="R464" s="8">
        <f>IF(F464="","",Weekly_Budget/21)</f>
        <v>0</v>
      </c>
      <c r="S464" s="27"/>
      <c r="T464" s="27"/>
      <c r="U464" s="26"/>
      <c r="V464" s="7"/>
      <c r="W464" s="7"/>
      <c r="X464" s="26"/>
      <c r="Y464" s="8">
        <f>IF(G464="","",IF(COUNTIFS('Meal Prep'!$D$5:$D$124,G464)&gt;0,"Yes","No"))</f>
        <v>0</v>
      </c>
      <c r="Z464" s="8">
        <f>IF(G464="","",COUNTIFS('Recipe Ingredients'!$A$5:$A$1204,G464))</f>
        <v>0</v>
      </c>
      <c r="AA464" s="25"/>
      <c r="AB464" s="8">
        <f>IF(OR(B464="",Q464=""),"",COUNTIFS($B$5:$B$504,B464,$Q$5:$Q$504,"&gt;"&amp;Q464)+1)</f>
        <v>0</v>
      </c>
      <c r="AC464" s="8">
        <f>IF(OR(B464="",L464=""),"",COUNTIFS($B$5:$B$504,B464,$L$5:$L$504,"&gt;"&amp;L464)+1)</f>
        <v>0</v>
      </c>
      <c r="AD464" s="8">
        <f>IF(G464="","",IF(COUNTIFS($G$5:$G$504,G464)&gt;1,"Repeat","Once"))</f>
        <v>0</v>
      </c>
      <c r="AE464" s="8">
        <f>IF(G464="","",IF(IFERROR(INDEX(Recipes!$X$5:$X$204,MATCH(G464,Recipes!$A$5:$A$204,0)),"")="","",IFERROR(B464-IFERROR(INDEX(Recipes!$X$5:$X$204,MATCH(G464,Recipes!$A$5:$A$204,0)),""),"")))</f>
        <v>0</v>
      </c>
      <c r="AF464" s="8">
        <f>IF(G464="","",IF(AE464="","Yes",IF(AE464&gt;=Rotation_Gap_Days,"Yes","No")))</f>
        <v>0</v>
      </c>
      <c r="AG464" s="8">
        <f>IF(G464="","",IF(COUNTIFS('Recipe Ingredients'!$A$5:$A$1204,G464,'Recipe Ingredients'!$AC$5:$AC$1204,"Check")&gt;0,"Check","OK"))</f>
        <v>0</v>
      </c>
    </row>
    <row r="465" spans="1:33">
      <c r="A465" s="7"/>
      <c r="B465" s="30"/>
      <c r="C465" s="8">
        <f>IF(B465="","",B465-WEEKDAY(B465,2)+1)</f>
        <v>0</v>
      </c>
      <c r="D465" s="8">
        <f>IF(B465="","",TEXT(B465,"ddd"))</f>
        <v>0</v>
      </c>
      <c r="E465" s="8">
        <f>IF(B465="","",TEXT(B465,"mmm yyyy"))</f>
        <v>0</v>
      </c>
      <c r="F465" s="27"/>
      <c r="G465" s="7"/>
      <c r="H465" s="26"/>
      <c r="I465" s="8">
        <f>IF(G465="","",IFERROR(INDEX(Recipes!$D$5:$D$204,MATCH(G465,Recipes!$A$5:$A$204,0)),""))</f>
        <v>0</v>
      </c>
      <c r="J465" s="8">
        <f>IF(OR(G465="",H465="",I465="",I465=0),"",H465/I465)</f>
        <v>0</v>
      </c>
      <c r="K465" s="8">
        <f>IF(B465="","",Household_Size)</f>
        <v>0</v>
      </c>
      <c r="L465" s="8">
        <f>IF(OR(G465="",H465=""),"",IFERROR(IFERROR(INDEX(Recipes!$H$5:$H$204,MATCH(G465,Recipes!$A$5:$A$204,0)),"")*H465,""))</f>
        <v>0</v>
      </c>
      <c r="M465" s="8">
        <f>IF(OR(G465="",H465=""),"",IFERROR(IFERROR(INDEX(Recipes!$I$5:$I$204,MATCH(G465,Recipes!$A$5:$A$204,0)),"")*H465,""))</f>
        <v>0</v>
      </c>
      <c r="N465" s="8">
        <f>IF(OR(G465="",H465=""),"",IFERROR(IFERROR(INDEX(Recipes!$J$5:$J$204,MATCH(G465,Recipes!$A$5:$A$204,0)),"")*H465,""))</f>
        <v>0</v>
      </c>
      <c r="O465" s="8">
        <f>IF(OR(G465="",H465=""),"",IFERROR(IFERROR(INDEX(Recipes!$K$5:$K$204,MATCH(G465,Recipes!$A$5:$A$204,0)),"")*H465,""))</f>
        <v>0</v>
      </c>
      <c r="P465" s="8">
        <f>IF(OR(G465="",H465=""),"",IFERROR(IFERROR(INDEX(Recipes!$L$5:$L$204,MATCH(G465,Recipes!$A$5:$A$204,0)),"")*H465,""))</f>
        <v>0</v>
      </c>
      <c r="Q465" s="8">
        <f>IF(OR(G465="",H465=""),"",IFERROR(IFERROR(INDEX(Recipes!$Q$5:$Q$204,MATCH(G465,Recipes!$A$5:$A$204,0)),"")*H465,""))</f>
        <v>0</v>
      </c>
      <c r="R465" s="8">
        <f>IF(F465="","",Weekly_Budget/21)</f>
        <v>0</v>
      </c>
      <c r="S465" s="27"/>
      <c r="T465" s="27"/>
      <c r="U465" s="26"/>
      <c r="V465" s="7"/>
      <c r="W465" s="7"/>
      <c r="X465" s="26"/>
      <c r="Y465" s="8">
        <f>IF(G465="","",IF(COUNTIFS('Meal Prep'!$D$5:$D$124,G465)&gt;0,"Yes","No"))</f>
        <v>0</v>
      </c>
      <c r="Z465" s="8">
        <f>IF(G465="","",COUNTIFS('Recipe Ingredients'!$A$5:$A$1204,G465))</f>
        <v>0</v>
      </c>
      <c r="AA465" s="25"/>
      <c r="AB465" s="8">
        <f>IF(OR(B465="",Q465=""),"",COUNTIFS($B$5:$B$504,B465,$Q$5:$Q$504,"&gt;"&amp;Q465)+1)</f>
        <v>0</v>
      </c>
      <c r="AC465" s="8">
        <f>IF(OR(B465="",L465=""),"",COUNTIFS($B$5:$B$504,B465,$L$5:$L$504,"&gt;"&amp;L465)+1)</f>
        <v>0</v>
      </c>
      <c r="AD465" s="8">
        <f>IF(G465="","",IF(COUNTIFS($G$5:$G$504,G465)&gt;1,"Repeat","Once"))</f>
        <v>0</v>
      </c>
      <c r="AE465" s="8">
        <f>IF(G465="","",IF(IFERROR(INDEX(Recipes!$X$5:$X$204,MATCH(G465,Recipes!$A$5:$A$204,0)),"")="","",IFERROR(B465-IFERROR(INDEX(Recipes!$X$5:$X$204,MATCH(G465,Recipes!$A$5:$A$204,0)),""),"")))</f>
        <v>0</v>
      </c>
      <c r="AF465" s="8">
        <f>IF(G465="","",IF(AE465="","Yes",IF(AE465&gt;=Rotation_Gap_Days,"Yes","No")))</f>
        <v>0</v>
      </c>
      <c r="AG465" s="8">
        <f>IF(G465="","",IF(COUNTIFS('Recipe Ingredients'!$A$5:$A$1204,G465,'Recipe Ingredients'!$AC$5:$AC$1204,"Check")&gt;0,"Check","OK"))</f>
        <v>0</v>
      </c>
    </row>
    <row r="466" spans="1:33">
      <c r="A466" s="7"/>
      <c r="B466" s="30"/>
      <c r="C466" s="8">
        <f>IF(B466="","",B466-WEEKDAY(B466,2)+1)</f>
        <v>0</v>
      </c>
      <c r="D466" s="8">
        <f>IF(B466="","",TEXT(B466,"ddd"))</f>
        <v>0</v>
      </c>
      <c r="E466" s="8">
        <f>IF(B466="","",TEXT(B466,"mmm yyyy"))</f>
        <v>0</v>
      </c>
      <c r="F466" s="27"/>
      <c r="G466" s="7"/>
      <c r="H466" s="26"/>
      <c r="I466" s="8">
        <f>IF(G466="","",IFERROR(INDEX(Recipes!$D$5:$D$204,MATCH(G466,Recipes!$A$5:$A$204,0)),""))</f>
        <v>0</v>
      </c>
      <c r="J466" s="8">
        <f>IF(OR(G466="",H466="",I466="",I466=0),"",H466/I466)</f>
        <v>0</v>
      </c>
      <c r="K466" s="8">
        <f>IF(B466="","",Household_Size)</f>
        <v>0</v>
      </c>
      <c r="L466" s="8">
        <f>IF(OR(G466="",H466=""),"",IFERROR(IFERROR(INDEX(Recipes!$H$5:$H$204,MATCH(G466,Recipes!$A$5:$A$204,0)),"")*H466,""))</f>
        <v>0</v>
      </c>
      <c r="M466" s="8">
        <f>IF(OR(G466="",H466=""),"",IFERROR(IFERROR(INDEX(Recipes!$I$5:$I$204,MATCH(G466,Recipes!$A$5:$A$204,0)),"")*H466,""))</f>
        <v>0</v>
      </c>
      <c r="N466" s="8">
        <f>IF(OR(G466="",H466=""),"",IFERROR(IFERROR(INDEX(Recipes!$J$5:$J$204,MATCH(G466,Recipes!$A$5:$A$204,0)),"")*H466,""))</f>
        <v>0</v>
      </c>
      <c r="O466" s="8">
        <f>IF(OR(G466="",H466=""),"",IFERROR(IFERROR(INDEX(Recipes!$K$5:$K$204,MATCH(G466,Recipes!$A$5:$A$204,0)),"")*H466,""))</f>
        <v>0</v>
      </c>
      <c r="P466" s="8">
        <f>IF(OR(G466="",H466=""),"",IFERROR(IFERROR(INDEX(Recipes!$L$5:$L$204,MATCH(G466,Recipes!$A$5:$A$204,0)),"")*H466,""))</f>
        <v>0</v>
      </c>
      <c r="Q466" s="8">
        <f>IF(OR(G466="",H466=""),"",IFERROR(IFERROR(INDEX(Recipes!$Q$5:$Q$204,MATCH(G466,Recipes!$A$5:$A$204,0)),"")*H466,""))</f>
        <v>0</v>
      </c>
      <c r="R466" s="8">
        <f>IF(F466="","",Weekly_Budget/21)</f>
        <v>0</v>
      </c>
      <c r="S466" s="27"/>
      <c r="T466" s="27"/>
      <c r="U466" s="26"/>
      <c r="V466" s="7"/>
      <c r="W466" s="7"/>
      <c r="X466" s="26"/>
      <c r="Y466" s="8">
        <f>IF(G466="","",IF(COUNTIFS('Meal Prep'!$D$5:$D$124,G466)&gt;0,"Yes","No"))</f>
        <v>0</v>
      </c>
      <c r="Z466" s="8">
        <f>IF(G466="","",COUNTIFS('Recipe Ingredients'!$A$5:$A$1204,G466))</f>
        <v>0</v>
      </c>
      <c r="AA466" s="25"/>
      <c r="AB466" s="8">
        <f>IF(OR(B466="",Q466=""),"",COUNTIFS($B$5:$B$504,B466,$Q$5:$Q$504,"&gt;"&amp;Q466)+1)</f>
        <v>0</v>
      </c>
      <c r="AC466" s="8">
        <f>IF(OR(B466="",L466=""),"",COUNTIFS($B$5:$B$504,B466,$L$5:$L$504,"&gt;"&amp;L466)+1)</f>
        <v>0</v>
      </c>
      <c r="AD466" s="8">
        <f>IF(G466="","",IF(COUNTIFS($G$5:$G$504,G466)&gt;1,"Repeat","Once"))</f>
        <v>0</v>
      </c>
      <c r="AE466" s="8">
        <f>IF(G466="","",IF(IFERROR(INDEX(Recipes!$X$5:$X$204,MATCH(G466,Recipes!$A$5:$A$204,0)),"")="","",IFERROR(B466-IFERROR(INDEX(Recipes!$X$5:$X$204,MATCH(G466,Recipes!$A$5:$A$204,0)),""),"")))</f>
        <v>0</v>
      </c>
      <c r="AF466" s="8">
        <f>IF(G466="","",IF(AE466="","Yes",IF(AE466&gt;=Rotation_Gap_Days,"Yes","No")))</f>
        <v>0</v>
      </c>
      <c r="AG466" s="8">
        <f>IF(G466="","",IF(COUNTIFS('Recipe Ingredients'!$A$5:$A$1204,G466,'Recipe Ingredients'!$AC$5:$AC$1204,"Check")&gt;0,"Check","OK"))</f>
        <v>0</v>
      </c>
    </row>
    <row r="467" spans="1:33">
      <c r="A467" s="7"/>
      <c r="B467" s="30"/>
      <c r="C467" s="8">
        <f>IF(B467="","",B467-WEEKDAY(B467,2)+1)</f>
        <v>0</v>
      </c>
      <c r="D467" s="8">
        <f>IF(B467="","",TEXT(B467,"ddd"))</f>
        <v>0</v>
      </c>
      <c r="E467" s="8">
        <f>IF(B467="","",TEXT(B467,"mmm yyyy"))</f>
        <v>0</v>
      </c>
      <c r="F467" s="27"/>
      <c r="G467" s="7"/>
      <c r="H467" s="26"/>
      <c r="I467" s="8">
        <f>IF(G467="","",IFERROR(INDEX(Recipes!$D$5:$D$204,MATCH(G467,Recipes!$A$5:$A$204,0)),""))</f>
        <v>0</v>
      </c>
      <c r="J467" s="8">
        <f>IF(OR(G467="",H467="",I467="",I467=0),"",H467/I467)</f>
        <v>0</v>
      </c>
      <c r="K467" s="8">
        <f>IF(B467="","",Household_Size)</f>
        <v>0</v>
      </c>
      <c r="L467" s="8">
        <f>IF(OR(G467="",H467=""),"",IFERROR(IFERROR(INDEX(Recipes!$H$5:$H$204,MATCH(G467,Recipes!$A$5:$A$204,0)),"")*H467,""))</f>
        <v>0</v>
      </c>
      <c r="M467" s="8">
        <f>IF(OR(G467="",H467=""),"",IFERROR(IFERROR(INDEX(Recipes!$I$5:$I$204,MATCH(G467,Recipes!$A$5:$A$204,0)),"")*H467,""))</f>
        <v>0</v>
      </c>
      <c r="N467" s="8">
        <f>IF(OR(G467="",H467=""),"",IFERROR(IFERROR(INDEX(Recipes!$J$5:$J$204,MATCH(G467,Recipes!$A$5:$A$204,0)),"")*H467,""))</f>
        <v>0</v>
      </c>
      <c r="O467" s="8">
        <f>IF(OR(G467="",H467=""),"",IFERROR(IFERROR(INDEX(Recipes!$K$5:$K$204,MATCH(G467,Recipes!$A$5:$A$204,0)),"")*H467,""))</f>
        <v>0</v>
      </c>
      <c r="P467" s="8">
        <f>IF(OR(G467="",H467=""),"",IFERROR(IFERROR(INDEX(Recipes!$L$5:$L$204,MATCH(G467,Recipes!$A$5:$A$204,0)),"")*H467,""))</f>
        <v>0</v>
      </c>
      <c r="Q467" s="8">
        <f>IF(OR(G467="",H467=""),"",IFERROR(IFERROR(INDEX(Recipes!$Q$5:$Q$204,MATCH(G467,Recipes!$A$5:$A$204,0)),"")*H467,""))</f>
        <v>0</v>
      </c>
      <c r="R467" s="8">
        <f>IF(F467="","",Weekly_Budget/21)</f>
        <v>0</v>
      </c>
      <c r="S467" s="27"/>
      <c r="T467" s="27"/>
      <c r="U467" s="26"/>
      <c r="V467" s="7"/>
      <c r="W467" s="7"/>
      <c r="X467" s="26"/>
      <c r="Y467" s="8">
        <f>IF(G467="","",IF(COUNTIFS('Meal Prep'!$D$5:$D$124,G467)&gt;0,"Yes","No"))</f>
        <v>0</v>
      </c>
      <c r="Z467" s="8">
        <f>IF(G467="","",COUNTIFS('Recipe Ingredients'!$A$5:$A$1204,G467))</f>
        <v>0</v>
      </c>
      <c r="AA467" s="25"/>
      <c r="AB467" s="8">
        <f>IF(OR(B467="",Q467=""),"",COUNTIFS($B$5:$B$504,B467,$Q$5:$Q$504,"&gt;"&amp;Q467)+1)</f>
        <v>0</v>
      </c>
      <c r="AC467" s="8">
        <f>IF(OR(B467="",L467=""),"",COUNTIFS($B$5:$B$504,B467,$L$5:$L$504,"&gt;"&amp;L467)+1)</f>
        <v>0</v>
      </c>
      <c r="AD467" s="8">
        <f>IF(G467="","",IF(COUNTIFS($G$5:$G$504,G467)&gt;1,"Repeat","Once"))</f>
        <v>0</v>
      </c>
      <c r="AE467" s="8">
        <f>IF(G467="","",IF(IFERROR(INDEX(Recipes!$X$5:$X$204,MATCH(G467,Recipes!$A$5:$A$204,0)),"")="","",IFERROR(B467-IFERROR(INDEX(Recipes!$X$5:$X$204,MATCH(G467,Recipes!$A$5:$A$204,0)),""),"")))</f>
        <v>0</v>
      </c>
      <c r="AF467" s="8">
        <f>IF(G467="","",IF(AE467="","Yes",IF(AE467&gt;=Rotation_Gap_Days,"Yes","No")))</f>
        <v>0</v>
      </c>
      <c r="AG467" s="8">
        <f>IF(G467="","",IF(COUNTIFS('Recipe Ingredients'!$A$5:$A$1204,G467,'Recipe Ingredients'!$AC$5:$AC$1204,"Check")&gt;0,"Check","OK"))</f>
        <v>0</v>
      </c>
    </row>
    <row r="468" spans="1:33">
      <c r="A468" s="7"/>
      <c r="B468" s="30"/>
      <c r="C468" s="8">
        <f>IF(B468="","",B468-WEEKDAY(B468,2)+1)</f>
        <v>0</v>
      </c>
      <c r="D468" s="8">
        <f>IF(B468="","",TEXT(B468,"ddd"))</f>
        <v>0</v>
      </c>
      <c r="E468" s="8">
        <f>IF(B468="","",TEXT(B468,"mmm yyyy"))</f>
        <v>0</v>
      </c>
      <c r="F468" s="27"/>
      <c r="G468" s="7"/>
      <c r="H468" s="26"/>
      <c r="I468" s="8">
        <f>IF(G468="","",IFERROR(INDEX(Recipes!$D$5:$D$204,MATCH(G468,Recipes!$A$5:$A$204,0)),""))</f>
        <v>0</v>
      </c>
      <c r="J468" s="8">
        <f>IF(OR(G468="",H468="",I468="",I468=0),"",H468/I468)</f>
        <v>0</v>
      </c>
      <c r="K468" s="8">
        <f>IF(B468="","",Household_Size)</f>
        <v>0</v>
      </c>
      <c r="L468" s="8">
        <f>IF(OR(G468="",H468=""),"",IFERROR(IFERROR(INDEX(Recipes!$H$5:$H$204,MATCH(G468,Recipes!$A$5:$A$204,0)),"")*H468,""))</f>
        <v>0</v>
      </c>
      <c r="M468" s="8">
        <f>IF(OR(G468="",H468=""),"",IFERROR(IFERROR(INDEX(Recipes!$I$5:$I$204,MATCH(G468,Recipes!$A$5:$A$204,0)),"")*H468,""))</f>
        <v>0</v>
      </c>
      <c r="N468" s="8">
        <f>IF(OR(G468="",H468=""),"",IFERROR(IFERROR(INDEX(Recipes!$J$5:$J$204,MATCH(G468,Recipes!$A$5:$A$204,0)),"")*H468,""))</f>
        <v>0</v>
      </c>
      <c r="O468" s="8">
        <f>IF(OR(G468="",H468=""),"",IFERROR(IFERROR(INDEX(Recipes!$K$5:$K$204,MATCH(G468,Recipes!$A$5:$A$204,0)),"")*H468,""))</f>
        <v>0</v>
      </c>
      <c r="P468" s="8">
        <f>IF(OR(G468="",H468=""),"",IFERROR(IFERROR(INDEX(Recipes!$L$5:$L$204,MATCH(G468,Recipes!$A$5:$A$204,0)),"")*H468,""))</f>
        <v>0</v>
      </c>
      <c r="Q468" s="8">
        <f>IF(OR(G468="",H468=""),"",IFERROR(IFERROR(INDEX(Recipes!$Q$5:$Q$204,MATCH(G468,Recipes!$A$5:$A$204,0)),"")*H468,""))</f>
        <v>0</v>
      </c>
      <c r="R468" s="8">
        <f>IF(F468="","",Weekly_Budget/21)</f>
        <v>0</v>
      </c>
      <c r="S468" s="27"/>
      <c r="T468" s="27"/>
      <c r="U468" s="26"/>
      <c r="V468" s="7"/>
      <c r="W468" s="7"/>
      <c r="X468" s="26"/>
      <c r="Y468" s="8">
        <f>IF(G468="","",IF(COUNTIFS('Meal Prep'!$D$5:$D$124,G468)&gt;0,"Yes","No"))</f>
        <v>0</v>
      </c>
      <c r="Z468" s="8">
        <f>IF(G468="","",COUNTIFS('Recipe Ingredients'!$A$5:$A$1204,G468))</f>
        <v>0</v>
      </c>
      <c r="AA468" s="25"/>
      <c r="AB468" s="8">
        <f>IF(OR(B468="",Q468=""),"",COUNTIFS($B$5:$B$504,B468,$Q$5:$Q$504,"&gt;"&amp;Q468)+1)</f>
        <v>0</v>
      </c>
      <c r="AC468" s="8">
        <f>IF(OR(B468="",L468=""),"",COUNTIFS($B$5:$B$504,B468,$L$5:$L$504,"&gt;"&amp;L468)+1)</f>
        <v>0</v>
      </c>
      <c r="AD468" s="8">
        <f>IF(G468="","",IF(COUNTIFS($G$5:$G$504,G468)&gt;1,"Repeat","Once"))</f>
        <v>0</v>
      </c>
      <c r="AE468" s="8">
        <f>IF(G468="","",IF(IFERROR(INDEX(Recipes!$X$5:$X$204,MATCH(G468,Recipes!$A$5:$A$204,0)),"")="","",IFERROR(B468-IFERROR(INDEX(Recipes!$X$5:$X$204,MATCH(G468,Recipes!$A$5:$A$204,0)),""),"")))</f>
        <v>0</v>
      </c>
      <c r="AF468" s="8">
        <f>IF(G468="","",IF(AE468="","Yes",IF(AE468&gt;=Rotation_Gap_Days,"Yes","No")))</f>
        <v>0</v>
      </c>
      <c r="AG468" s="8">
        <f>IF(G468="","",IF(COUNTIFS('Recipe Ingredients'!$A$5:$A$1204,G468,'Recipe Ingredients'!$AC$5:$AC$1204,"Check")&gt;0,"Check","OK"))</f>
        <v>0</v>
      </c>
    </row>
    <row r="469" spans="1:33">
      <c r="A469" s="7"/>
      <c r="B469" s="30"/>
      <c r="C469" s="8">
        <f>IF(B469="","",B469-WEEKDAY(B469,2)+1)</f>
        <v>0</v>
      </c>
      <c r="D469" s="8">
        <f>IF(B469="","",TEXT(B469,"ddd"))</f>
        <v>0</v>
      </c>
      <c r="E469" s="8">
        <f>IF(B469="","",TEXT(B469,"mmm yyyy"))</f>
        <v>0</v>
      </c>
      <c r="F469" s="27"/>
      <c r="G469" s="7"/>
      <c r="H469" s="26"/>
      <c r="I469" s="8">
        <f>IF(G469="","",IFERROR(INDEX(Recipes!$D$5:$D$204,MATCH(G469,Recipes!$A$5:$A$204,0)),""))</f>
        <v>0</v>
      </c>
      <c r="J469" s="8">
        <f>IF(OR(G469="",H469="",I469="",I469=0),"",H469/I469)</f>
        <v>0</v>
      </c>
      <c r="K469" s="8">
        <f>IF(B469="","",Household_Size)</f>
        <v>0</v>
      </c>
      <c r="L469" s="8">
        <f>IF(OR(G469="",H469=""),"",IFERROR(IFERROR(INDEX(Recipes!$H$5:$H$204,MATCH(G469,Recipes!$A$5:$A$204,0)),"")*H469,""))</f>
        <v>0</v>
      </c>
      <c r="M469" s="8">
        <f>IF(OR(G469="",H469=""),"",IFERROR(IFERROR(INDEX(Recipes!$I$5:$I$204,MATCH(G469,Recipes!$A$5:$A$204,0)),"")*H469,""))</f>
        <v>0</v>
      </c>
      <c r="N469" s="8">
        <f>IF(OR(G469="",H469=""),"",IFERROR(IFERROR(INDEX(Recipes!$J$5:$J$204,MATCH(G469,Recipes!$A$5:$A$204,0)),"")*H469,""))</f>
        <v>0</v>
      </c>
      <c r="O469" s="8">
        <f>IF(OR(G469="",H469=""),"",IFERROR(IFERROR(INDEX(Recipes!$K$5:$K$204,MATCH(G469,Recipes!$A$5:$A$204,0)),"")*H469,""))</f>
        <v>0</v>
      </c>
      <c r="P469" s="8">
        <f>IF(OR(G469="",H469=""),"",IFERROR(IFERROR(INDEX(Recipes!$L$5:$L$204,MATCH(G469,Recipes!$A$5:$A$204,0)),"")*H469,""))</f>
        <v>0</v>
      </c>
      <c r="Q469" s="8">
        <f>IF(OR(G469="",H469=""),"",IFERROR(IFERROR(INDEX(Recipes!$Q$5:$Q$204,MATCH(G469,Recipes!$A$5:$A$204,0)),"")*H469,""))</f>
        <v>0</v>
      </c>
      <c r="R469" s="8">
        <f>IF(F469="","",Weekly_Budget/21)</f>
        <v>0</v>
      </c>
      <c r="S469" s="27"/>
      <c r="T469" s="27"/>
      <c r="U469" s="26"/>
      <c r="V469" s="7"/>
      <c r="W469" s="7"/>
      <c r="X469" s="26"/>
      <c r="Y469" s="8">
        <f>IF(G469="","",IF(COUNTIFS('Meal Prep'!$D$5:$D$124,G469)&gt;0,"Yes","No"))</f>
        <v>0</v>
      </c>
      <c r="Z469" s="8">
        <f>IF(G469="","",COUNTIFS('Recipe Ingredients'!$A$5:$A$1204,G469))</f>
        <v>0</v>
      </c>
      <c r="AA469" s="25"/>
      <c r="AB469" s="8">
        <f>IF(OR(B469="",Q469=""),"",COUNTIFS($B$5:$B$504,B469,$Q$5:$Q$504,"&gt;"&amp;Q469)+1)</f>
        <v>0</v>
      </c>
      <c r="AC469" s="8">
        <f>IF(OR(B469="",L469=""),"",COUNTIFS($B$5:$B$504,B469,$L$5:$L$504,"&gt;"&amp;L469)+1)</f>
        <v>0</v>
      </c>
      <c r="AD469" s="8">
        <f>IF(G469="","",IF(COUNTIFS($G$5:$G$504,G469)&gt;1,"Repeat","Once"))</f>
        <v>0</v>
      </c>
      <c r="AE469" s="8">
        <f>IF(G469="","",IF(IFERROR(INDEX(Recipes!$X$5:$X$204,MATCH(G469,Recipes!$A$5:$A$204,0)),"")="","",IFERROR(B469-IFERROR(INDEX(Recipes!$X$5:$X$204,MATCH(G469,Recipes!$A$5:$A$204,0)),""),"")))</f>
        <v>0</v>
      </c>
      <c r="AF469" s="8">
        <f>IF(G469="","",IF(AE469="","Yes",IF(AE469&gt;=Rotation_Gap_Days,"Yes","No")))</f>
        <v>0</v>
      </c>
      <c r="AG469" s="8">
        <f>IF(G469="","",IF(COUNTIFS('Recipe Ingredients'!$A$5:$A$1204,G469,'Recipe Ingredients'!$AC$5:$AC$1204,"Check")&gt;0,"Check","OK"))</f>
        <v>0</v>
      </c>
    </row>
    <row r="470" spans="1:33">
      <c r="A470" s="7"/>
      <c r="B470" s="30"/>
      <c r="C470" s="8">
        <f>IF(B470="","",B470-WEEKDAY(B470,2)+1)</f>
        <v>0</v>
      </c>
      <c r="D470" s="8">
        <f>IF(B470="","",TEXT(B470,"ddd"))</f>
        <v>0</v>
      </c>
      <c r="E470" s="8">
        <f>IF(B470="","",TEXT(B470,"mmm yyyy"))</f>
        <v>0</v>
      </c>
      <c r="F470" s="27"/>
      <c r="G470" s="7"/>
      <c r="H470" s="26"/>
      <c r="I470" s="8">
        <f>IF(G470="","",IFERROR(INDEX(Recipes!$D$5:$D$204,MATCH(G470,Recipes!$A$5:$A$204,0)),""))</f>
        <v>0</v>
      </c>
      <c r="J470" s="8">
        <f>IF(OR(G470="",H470="",I470="",I470=0),"",H470/I470)</f>
        <v>0</v>
      </c>
      <c r="K470" s="8">
        <f>IF(B470="","",Household_Size)</f>
        <v>0</v>
      </c>
      <c r="L470" s="8">
        <f>IF(OR(G470="",H470=""),"",IFERROR(IFERROR(INDEX(Recipes!$H$5:$H$204,MATCH(G470,Recipes!$A$5:$A$204,0)),"")*H470,""))</f>
        <v>0</v>
      </c>
      <c r="M470" s="8">
        <f>IF(OR(G470="",H470=""),"",IFERROR(IFERROR(INDEX(Recipes!$I$5:$I$204,MATCH(G470,Recipes!$A$5:$A$204,0)),"")*H470,""))</f>
        <v>0</v>
      </c>
      <c r="N470" s="8">
        <f>IF(OR(G470="",H470=""),"",IFERROR(IFERROR(INDEX(Recipes!$J$5:$J$204,MATCH(G470,Recipes!$A$5:$A$204,0)),"")*H470,""))</f>
        <v>0</v>
      </c>
      <c r="O470" s="8">
        <f>IF(OR(G470="",H470=""),"",IFERROR(IFERROR(INDEX(Recipes!$K$5:$K$204,MATCH(G470,Recipes!$A$5:$A$204,0)),"")*H470,""))</f>
        <v>0</v>
      </c>
      <c r="P470" s="8">
        <f>IF(OR(G470="",H470=""),"",IFERROR(IFERROR(INDEX(Recipes!$L$5:$L$204,MATCH(G470,Recipes!$A$5:$A$204,0)),"")*H470,""))</f>
        <v>0</v>
      </c>
      <c r="Q470" s="8">
        <f>IF(OR(G470="",H470=""),"",IFERROR(IFERROR(INDEX(Recipes!$Q$5:$Q$204,MATCH(G470,Recipes!$A$5:$A$204,0)),"")*H470,""))</f>
        <v>0</v>
      </c>
      <c r="R470" s="8">
        <f>IF(F470="","",Weekly_Budget/21)</f>
        <v>0</v>
      </c>
      <c r="S470" s="27"/>
      <c r="T470" s="27"/>
      <c r="U470" s="26"/>
      <c r="V470" s="7"/>
      <c r="W470" s="7"/>
      <c r="X470" s="26"/>
      <c r="Y470" s="8">
        <f>IF(G470="","",IF(COUNTIFS('Meal Prep'!$D$5:$D$124,G470)&gt;0,"Yes","No"))</f>
        <v>0</v>
      </c>
      <c r="Z470" s="8">
        <f>IF(G470="","",COUNTIFS('Recipe Ingredients'!$A$5:$A$1204,G470))</f>
        <v>0</v>
      </c>
      <c r="AA470" s="25"/>
      <c r="AB470" s="8">
        <f>IF(OR(B470="",Q470=""),"",COUNTIFS($B$5:$B$504,B470,$Q$5:$Q$504,"&gt;"&amp;Q470)+1)</f>
        <v>0</v>
      </c>
      <c r="AC470" s="8">
        <f>IF(OR(B470="",L470=""),"",COUNTIFS($B$5:$B$504,B470,$L$5:$L$504,"&gt;"&amp;L470)+1)</f>
        <v>0</v>
      </c>
      <c r="AD470" s="8">
        <f>IF(G470="","",IF(COUNTIFS($G$5:$G$504,G470)&gt;1,"Repeat","Once"))</f>
        <v>0</v>
      </c>
      <c r="AE470" s="8">
        <f>IF(G470="","",IF(IFERROR(INDEX(Recipes!$X$5:$X$204,MATCH(G470,Recipes!$A$5:$A$204,0)),"")="","",IFERROR(B470-IFERROR(INDEX(Recipes!$X$5:$X$204,MATCH(G470,Recipes!$A$5:$A$204,0)),""),"")))</f>
        <v>0</v>
      </c>
      <c r="AF470" s="8">
        <f>IF(G470="","",IF(AE470="","Yes",IF(AE470&gt;=Rotation_Gap_Days,"Yes","No")))</f>
        <v>0</v>
      </c>
      <c r="AG470" s="8">
        <f>IF(G470="","",IF(COUNTIFS('Recipe Ingredients'!$A$5:$A$1204,G470,'Recipe Ingredients'!$AC$5:$AC$1204,"Check")&gt;0,"Check","OK"))</f>
        <v>0</v>
      </c>
    </row>
    <row r="471" spans="1:33">
      <c r="A471" s="7"/>
      <c r="B471" s="30"/>
      <c r="C471" s="8">
        <f>IF(B471="","",B471-WEEKDAY(B471,2)+1)</f>
        <v>0</v>
      </c>
      <c r="D471" s="8">
        <f>IF(B471="","",TEXT(B471,"ddd"))</f>
        <v>0</v>
      </c>
      <c r="E471" s="8">
        <f>IF(B471="","",TEXT(B471,"mmm yyyy"))</f>
        <v>0</v>
      </c>
      <c r="F471" s="27"/>
      <c r="G471" s="7"/>
      <c r="H471" s="26"/>
      <c r="I471" s="8">
        <f>IF(G471="","",IFERROR(INDEX(Recipes!$D$5:$D$204,MATCH(G471,Recipes!$A$5:$A$204,0)),""))</f>
        <v>0</v>
      </c>
      <c r="J471" s="8">
        <f>IF(OR(G471="",H471="",I471="",I471=0),"",H471/I471)</f>
        <v>0</v>
      </c>
      <c r="K471" s="8">
        <f>IF(B471="","",Household_Size)</f>
        <v>0</v>
      </c>
      <c r="L471" s="8">
        <f>IF(OR(G471="",H471=""),"",IFERROR(IFERROR(INDEX(Recipes!$H$5:$H$204,MATCH(G471,Recipes!$A$5:$A$204,0)),"")*H471,""))</f>
        <v>0</v>
      </c>
      <c r="M471" s="8">
        <f>IF(OR(G471="",H471=""),"",IFERROR(IFERROR(INDEX(Recipes!$I$5:$I$204,MATCH(G471,Recipes!$A$5:$A$204,0)),"")*H471,""))</f>
        <v>0</v>
      </c>
      <c r="N471" s="8">
        <f>IF(OR(G471="",H471=""),"",IFERROR(IFERROR(INDEX(Recipes!$J$5:$J$204,MATCH(G471,Recipes!$A$5:$A$204,0)),"")*H471,""))</f>
        <v>0</v>
      </c>
      <c r="O471" s="8">
        <f>IF(OR(G471="",H471=""),"",IFERROR(IFERROR(INDEX(Recipes!$K$5:$K$204,MATCH(G471,Recipes!$A$5:$A$204,0)),"")*H471,""))</f>
        <v>0</v>
      </c>
      <c r="P471" s="8">
        <f>IF(OR(G471="",H471=""),"",IFERROR(IFERROR(INDEX(Recipes!$L$5:$L$204,MATCH(G471,Recipes!$A$5:$A$204,0)),"")*H471,""))</f>
        <v>0</v>
      </c>
      <c r="Q471" s="8">
        <f>IF(OR(G471="",H471=""),"",IFERROR(IFERROR(INDEX(Recipes!$Q$5:$Q$204,MATCH(G471,Recipes!$A$5:$A$204,0)),"")*H471,""))</f>
        <v>0</v>
      </c>
      <c r="R471" s="8">
        <f>IF(F471="","",Weekly_Budget/21)</f>
        <v>0</v>
      </c>
      <c r="S471" s="27"/>
      <c r="T471" s="27"/>
      <c r="U471" s="26"/>
      <c r="V471" s="7"/>
      <c r="W471" s="7"/>
      <c r="X471" s="26"/>
      <c r="Y471" s="8">
        <f>IF(G471="","",IF(COUNTIFS('Meal Prep'!$D$5:$D$124,G471)&gt;0,"Yes","No"))</f>
        <v>0</v>
      </c>
      <c r="Z471" s="8">
        <f>IF(G471="","",COUNTIFS('Recipe Ingredients'!$A$5:$A$1204,G471))</f>
        <v>0</v>
      </c>
      <c r="AA471" s="25"/>
      <c r="AB471" s="8">
        <f>IF(OR(B471="",Q471=""),"",COUNTIFS($B$5:$B$504,B471,$Q$5:$Q$504,"&gt;"&amp;Q471)+1)</f>
        <v>0</v>
      </c>
      <c r="AC471" s="8">
        <f>IF(OR(B471="",L471=""),"",COUNTIFS($B$5:$B$504,B471,$L$5:$L$504,"&gt;"&amp;L471)+1)</f>
        <v>0</v>
      </c>
      <c r="AD471" s="8">
        <f>IF(G471="","",IF(COUNTIFS($G$5:$G$504,G471)&gt;1,"Repeat","Once"))</f>
        <v>0</v>
      </c>
      <c r="AE471" s="8">
        <f>IF(G471="","",IF(IFERROR(INDEX(Recipes!$X$5:$X$204,MATCH(G471,Recipes!$A$5:$A$204,0)),"")="","",IFERROR(B471-IFERROR(INDEX(Recipes!$X$5:$X$204,MATCH(G471,Recipes!$A$5:$A$204,0)),""),"")))</f>
        <v>0</v>
      </c>
      <c r="AF471" s="8">
        <f>IF(G471="","",IF(AE471="","Yes",IF(AE471&gt;=Rotation_Gap_Days,"Yes","No")))</f>
        <v>0</v>
      </c>
      <c r="AG471" s="8">
        <f>IF(G471="","",IF(COUNTIFS('Recipe Ingredients'!$A$5:$A$1204,G471,'Recipe Ingredients'!$AC$5:$AC$1204,"Check")&gt;0,"Check","OK"))</f>
        <v>0</v>
      </c>
    </row>
    <row r="472" spans="1:33">
      <c r="A472" s="7"/>
      <c r="B472" s="30"/>
      <c r="C472" s="8">
        <f>IF(B472="","",B472-WEEKDAY(B472,2)+1)</f>
        <v>0</v>
      </c>
      <c r="D472" s="8">
        <f>IF(B472="","",TEXT(B472,"ddd"))</f>
        <v>0</v>
      </c>
      <c r="E472" s="8">
        <f>IF(B472="","",TEXT(B472,"mmm yyyy"))</f>
        <v>0</v>
      </c>
      <c r="F472" s="27"/>
      <c r="G472" s="7"/>
      <c r="H472" s="26"/>
      <c r="I472" s="8">
        <f>IF(G472="","",IFERROR(INDEX(Recipes!$D$5:$D$204,MATCH(G472,Recipes!$A$5:$A$204,0)),""))</f>
        <v>0</v>
      </c>
      <c r="J472" s="8">
        <f>IF(OR(G472="",H472="",I472="",I472=0),"",H472/I472)</f>
        <v>0</v>
      </c>
      <c r="K472" s="8">
        <f>IF(B472="","",Household_Size)</f>
        <v>0</v>
      </c>
      <c r="L472" s="8">
        <f>IF(OR(G472="",H472=""),"",IFERROR(IFERROR(INDEX(Recipes!$H$5:$H$204,MATCH(G472,Recipes!$A$5:$A$204,0)),"")*H472,""))</f>
        <v>0</v>
      </c>
      <c r="M472" s="8">
        <f>IF(OR(G472="",H472=""),"",IFERROR(IFERROR(INDEX(Recipes!$I$5:$I$204,MATCH(G472,Recipes!$A$5:$A$204,0)),"")*H472,""))</f>
        <v>0</v>
      </c>
      <c r="N472" s="8">
        <f>IF(OR(G472="",H472=""),"",IFERROR(IFERROR(INDEX(Recipes!$J$5:$J$204,MATCH(G472,Recipes!$A$5:$A$204,0)),"")*H472,""))</f>
        <v>0</v>
      </c>
      <c r="O472" s="8">
        <f>IF(OR(G472="",H472=""),"",IFERROR(IFERROR(INDEX(Recipes!$K$5:$K$204,MATCH(G472,Recipes!$A$5:$A$204,0)),"")*H472,""))</f>
        <v>0</v>
      </c>
      <c r="P472" s="8">
        <f>IF(OR(G472="",H472=""),"",IFERROR(IFERROR(INDEX(Recipes!$L$5:$L$204,MATCH(G472,Recipes!$A$5:$A$204,0)),"")*H472,""))</f>
        <v>0</v>
      </c>
      <c r="Q472" s="8">
        <f>IF(OR(G472="",H472=""),"",IFERROR(IFERROR(INDEX(Recipes!$Q$5:$Q$204,MATCH(G472,Recipes!$A$5:$A$204,0)),"")*H472,""))</f>
        <v>0</v>
      </c>
      <c r="R472" s="8">
        <f>IF(F472="","",Weekly_Budget/21)</f>
        <v>0</v>
      </c>
      <c r="S472" s="27"/>
      <c r="T472" s="27"/>
      <c r="U472" s="26"/>
      <c r="V472" s="7"/>
      <c r="W472" s="7"/>
      <c r="X472" s="26"/>
      <c r="Y472" s="8">
        <f>IF(G472="","",IF(COUNTIFS('Meal Prep'!$D$5:$D$124,G472)&gt;0,"Yes","No"))</f>
        <v>0</v>
      </c>
      <c r="Z472" s="8">
        <f>IF(G472="","",COUNTIFS('Recipe Ingredients'!$A$5:$A$1204,G472))</f>
        <v>0</v>
      </c>
      <c r="AA472" s="25"/>
      <c r="AB472" s="8">
        <f>IF(OR(B472="",Q472=""),"",COUNTIFS($B$5:$B$504,B472,$Q$5:$Q$504,"&gt;"&amp;Q472)+1)</f>
        <v>0</v>
      </c>
      <c r="AC472" s="8">
        <f>IF(OR(B472="",L472=""),"",COUNTIFS($B$5:$B$504,B472,$L$5:$L$504,"&gt;"&amp;L472)+1)</f>
        <v>0</v>
      </c>
      <c r="AD472" s="8">
        <f>IF(G472="","",IF(COUNTIFS($G$5:$G$504,G472)&gt;1,"Repeat","Once"))</f>
        <v>0</v>
      </c>
      <c r="AE472" s="8">
        <f>IF(G472="","",IF(IFERROR(INDEX(Recipes!$X$5:$X$204,MATCH(G472,Recipes!$A$5:$A$204,0)),"")="","",IFERROR(B472-IFERROR(INDEX(Recipes!$X$5:$X$204,MATCH(G472,Recipes!$A$5:$A$204,0)),""),"")))</f>
        <v>0</v>
      </c>
      <c r="AF472" s="8">
        <f>IF(G472="","",IF(AE472="","Yes",IF(AE472&gt;=Rotation_Gap_Days,"Yes","No")))</f>
        <v>0</v>
      </c>
      <c r="AG472" s="8">
        <f>IF(G472="","",IF(COUNTIFS('Recipe Ingredients'!$A$5:$A$1204,G472,'Recipe Ingredients'!$AC$5:$AC$1204,"Check")&gt;0,"Check","OK"))</f>
        <v>0</v>
      </c>
    </row>
    <row r="473" spans="1:33">
      <c r="A473" s="7"/>
      <c r="B473" s="30"/>
      <c r="C473" s="8">
        <f>IF(B473="","",B473-WEEKDAY(B473,2)+1)</f>
        <v>0</v>
      </c>
      <c r="D473" s="8">
        <f>IF(B473="","",TEXT(B473,"ddd"))</f>
        <v>0</v>
      </c>
      <c r="E473" s="8">
        <f>IF(B473="","",TEXT(B473,"mmm yyyy"))</f>
        <v>0</v>
      </c>
      <c r="F473" s="27"/>
      <c r="G473" s="7"/>
      <c r="H473" s="26"/>
      <c r="I473" s="8">
        <f>IF(G473="","",IFERROR(INDEX(Recipes!$D$5:$D$204,MATCH(G473,Recipes!$A$5:$A$204,0)),""))</f>
        <v>0</v>
      </c>
      <c r="J473" s="8">
        <f>IF(OR(G473="",H473="",I473="",I473=0),"",H473/I473)</f>
        <v>0</v>
      </c>
      <c r="K473" s="8">
        <f>IF(B473="","",Household_Size)</f>
        <v>0</v>
      </c>
      <c r="L473" s="8">
        <f>IF(OR(G473="",H473=""),"",IFERROR(IFERROR(INDEX(Recipes!$H$5:$H$204,MATCH(G473,Recipes!$A$5:$A$204,0)),"")*H473,""))</f>
        <v>0</v>
      </c>
      <c r="M473" s="8">
        <f>IF(OR(G473="",H473=""),"",IFERROR(IFERROR(INDEX(Recipes!$I$5:$I$204,MATCH(G473,Recipes!$A$5:$A$204,0)),"")*H473,""))</f>
        <v>0</v>
      </c>
      <c r="N473" s="8">
        <f>IF(OR(G473="",H473=""),"",IFERROR(IFERROR(INDEX(Recipes!$J$5:$J$204,MATCH(G473,Recipes!$A$5:$A$204,0)),"")*H473,""))</f>
        <v>0</v>
      </c>
      <c r="O473" s="8">
        <f>IF(OR(G473="",H473=""),"",IFERROR(IFERROR(INDEX(Recipes!$K$5:$K$204,MATCH(G473,Recipes!$A$5:$A$204,0)),"")*H473,""))</f>
        <v>0</v>
      </c>
      <c r="P473" s="8">
        <f>IF(OR(G473="",H473=""),"",IFERROR(IFERROR(INDEX(Recipes!$L$5:$L$204,MATCH(G473,Recipes!$A$5:$A$204,0)),"")*H473,""))</f>
        <v>0</v>
      </c>
      <c r="Q473" s="8">
        <f>IF(OR(G473="",H473=""),"",IFERROR(IFERROR(INDEX(Recipes!$Q$5:$Q$204,MATCH(G473,Recipes!$A$5:$A$204,0)),"")*H473,""))</f>
        <v>0</v>
      </c>
      <c r="R473" s="8">
        <f>IF(F473="","",Weekly_Budget/21)</f>
        <v>0</v>
      </c>
      <c r="S473" s="27"/>
      <c r="T473" s="27"/>
      <c r="U473" s="26"/>
      <c r="V473" s="7"/>
      <c r="W473" s="7"/>
      <c r="X473" s="26"/>
      <c r="Y473" s="8">
        <f>IF(G473="","",IF(COUNTIFS('Meal Prep'!$D$5:$D$124,G473)&gt;0,"Yes","No"))</f>
        <v>0</v>
      </c>
      <c r="Z473" s="8">
        <f>IF(G473="","",COUNTIFS('Recipe Ingredients'!$A$5:$A$1204,G473))</f>
        <v>0</v>
      </c>
      <c r="AA473" s="25"/>
      <c r="AB473" s="8">
        <f>IF(OR(B473="",Q473=""),"",COUNTIFS($B$5:$B$504,B473,$Q$5:$Q$504,"&gt;"&amp;Q473)+1)</f>
        <v>0</v>
      </c>
      <c r="AC473" s="8">
        <f>IF(OR(B473="",L473=""),"",COUNTIFS($B$5:$B$504,B473,$L$5:$L$504,"&gt;"&amp;L473)+1)</f>
        <v>0</v>
      </c>
      <c r="AD473" s="8">
        <f>IF(G473="","",IF(COUNTIFS($G$5:$G$504,G473)&gt;1,"Repeat","Once"))</f>
        <v>0</v>
      </c>
      <c r="AE473" s="8">
        <f>IF(G473="","",IF(IFERROR(INDEX(Recipes!$X$5:$X$204,MATCH(G473,Recipes!$A$5:$A$204,0)),"")="","",IFERROR(B473-IFERROR(INDEX(Recipes!$X$5:$X$204,MATCH(G473,Recipes!$A$5:$A$204,0)),""),"")))</f>
        <v>0</v>
      </c>
      <c r="AF473" s="8">
        <f>IF(G473="","",IF(AE473="","Yes",IF(AE473&gt;=Rotation_Gap_Days,"Yes","No")))</f>
        <v>0</v>
      </c>
      <c r="AG473" s="8">
        <f>IF(G473="","",IF(COUNTIFS('Recipe Ingredients'!$A$5:$A$1204,G473,'Recipe Ingredients'!$AC$5:$AC$1204,"Check")&gt;0,"Check","OK"))</f>
        <v>0</v>
      </c>
    </row>
    <row r="474" spans="1:33">
      <c r="A474" s="7"/>
      <c r="B474" s="30"/>
      <c r="C474" s="8">
        <f>IF(B474="","",B474-WEEKDAY(B474,2)+1)</f>
        <v>0</v>
      </c>
      <c r="D474" s="8">
        <f>IF(B474="","",TEXT(B474,"ddd"))</f>
        <v>0</v>
      </c>
      <c r="E474" s="8">
        <f>IF(B474="","",TEXT(B474,"mmm yyyy"))</f>
        <v>0</v>
      </c>
      <c r="F474" s="27"/>
      <c r="G474" s="7"/>
      <c r="H474" s="26"/>
      <c r="I474" s="8">
        <f>IF(G474="","",IFERROR(INDEX(Recipes!$D$5:$D$204,MATCH(G474,Recipes!$A$5:$A$204,0)),""))</f>
        <v>0</v>
      </c>
      <c r="J474" s="8">
        <f>IF(OR(G474="",H474="",I474="",I474=0),"",H474/I474)</f>
        <v>0</v>
      </c>
      <c r="K474" s="8">
        <f>IF(B474="","",Household_Size)</f>
        <v>0</v>
      </c>
      <c r="L474" s="8">
        <f>IF(OR(G474="",H474=""),"",IFERROR(IFERROR(INDEX(Recipes!$H$5:$H$204,MATCH(G474,Recipes!$A$5:$A$204,0)),"")*H474,""))</f>
        <v>0</v>
      </c>
      <c r="M474" s="8">
        <f>IF(OR(G474="",H474=""),"",IFERROR(IFERROR(INDEX(Recipes!$I$5:$I$204,MATCH(G474,Recipes!$A$5:$A$204,0)),"")*H474,""))</f>
        <v>0</v>
      </c>
      <c r="N474" s="8">
        <f>IF(OR(G474="",H474=""),"",IFERROR(IFERROR(INDEX(Recipes!$J$5:$J$204,MATCH(G474,Recipes!$A$5:$A$204,0)),"")*H474,""))</f>
        <v>0</v>
      </c>
      <c r="O474" s="8">
        <f>IF(OR(G474="",H474=""),"",IFERROR(IFERROR(INDEX(Recipes!$K$5:$K$204,MATCH(G474,Recipes!$A$5:$A$204,0)),"")*H474,""))</f>
        <v>0</v>
      </c>
      <c r="P474" s="8">
        <f>IF(OR(G474="",H474=""),"",IFERROR(IFERROR(INDEX(Recipes!$L$5:$L$204,MATCH(G474,Recipes!$A$5:$A$204,0)),"")*H474,""))</f>
        <v>0</v>
      </c>
      <c r="Q474" s="8">
        <f>IF(OR(G474="",H474=""),"",IFERROR(IFERROR(INDEX(Recipes!$Q$5:$Q$204,MATCH(G474,Recipes!$A$5:$A$204,0)),"")*H474,""))</f>
        <v>0</v>
      </c>
      <c r="R474" s="8">
        <f>IF(F474="","",Weekly_Budget/21)</f>
        <v>0</v>
      </c>
      <c r="S474" s="27"/>
      <c r="T474" s="27"/>
      <c r="U474" s="26"/>
      <c r="V474" s="7"/>
      <c r="W474" s="7"/>
      <c r="X474" s="26"/>
      <c r="Y474" s="8">
        <f>IF(G474="","",IF(COUNTIFS('Meal Prep'!$D$5:$D$124,G474)&gt;0,"Yes","No"))</f>
        <v>0</v>
      </c>
      <c r="Z474" s="8">
        <f>IF(G474="","",COUNTIFS('Recipe Ingredients'!$A$5:$A$1204,G474))</f>
        <v>0</v>
      </c>
      <c r="AA474" s="25"/>
      <c r="AB474" s="8">
        <f>IF(OR(B474="",Q474=""),"",COUNTIFS($B$5:$B$504,B474,$Q$5:$Q$504,"&gt;"&amp;Q474)+1)</f>
        <v>0</v>
      </c>
      <c r="AC474" s="8">
        <f>IF(OR(B474="",L474=""),"",COUNTIFS($B$5:$B$504,B474,$L$5:$L$504,"&gt;"&amp;L474)+1)</f>
        <v>0</v>
      </c>
      <c r="AD474" s="8">
        <f>IF(G474="","",IF(COUNTIFS($G$5:$G$504,G474)&gt;1,"Repeat","Once"))</f>
        <v>0</v>
      </c>
      <c r="AE474" s="8">
        <f>IF(G474="","",IF(IFERROR(INDEX(Recipes!$X$5:$X$204,MATCH(G474,Recipes!$A$5:$A$204,0)),"")="","",IFERROR(B474-IFERROR(INDEX(Recipes!$X$5:$X$204,MATCH(G474,Recipes!$A$5:$A$204,0)),""),"")))</f>
        <v>0</v>
      </c>
      <c r="AF474" s="8">
        <f>IF(G474="","",IF(AE474="","Yes",IF(AE474&gt;=Rotation_Gap_Days,"Yes","No")))</f>
        <v>0</v>
      </c>
      <c r="AG474" s="8">
        <f>IF(G474="","",IF(COUNTIFS('Recipe Ingredients'!$A$5:$A$1204,G474,'Recipe Ingredients'!$AC$5:$AC$1204,"Check")&gt;0,"Check","OK"))</f>
        <v>0</v>
      </c>
    </row>
    <row r="475" spans="1:33">
      <c r="A475" s="7"/>
      <c r="B475" s="30"/>
      <c r="C475" s="8">
        <f>IF(B475="","",B475-WEEKDAY(B475,2)+1)</f>
        <v>0</v>
      </c>
      <c r="D475" s="8">
        <f>IF(B475="","",TEXT(B475,"ddd"))</f>
        <v>0</v>
      </c>
      <c r="E475" s="8">
        <f>IF(B475="","",TEXT(B475,"mmm yyyy"))</f>
        <v>0</v>
      </c>
      <c r="F475" s="27"/>
      <c r="G475" s="7"/>
      <c r="H475" s="26"/>
      <c r="I475" s="8">
        <f>IF(G475="","",IFERROR(INDEX(Recipes!$D$5:$D$204,MATCH(G475,Recipes!$A$5:$A$204,0)),""))</f>
        <v>0</v>
      </c>
      <c r="J475" s="8">
        <f>IF(OR(G475="",H475="",I475="",I475=0),"",H475/I475)</f>
        <v>0</v>
      </c>
      <c r="K475" s="8">
        <f>IF(B475="","",Household_Size)</f>
        <v>0</v>
      </c>
      <c r="L475" s="8">
        <f>IF(OR(G475="",H475=""),"",IFERROR(IFERROR(INDEX(Recipes!$H$5:$H$204,MATCH(G475,Recipes!$A$5:$A$204,0)),"")*H475,""))</f>
        <v>0</v>
      </c>
      <c r="M475" s="8">
        <f>IF(OR(G475="",H475=""),"",IFERROR(IFERROR(INDEX(Recipes!$I$5:$I$204,MATCH(G475,Recipes!$A$5:$A$204,0)),"")*H475,""))</f>
        <v>0</v>
      </c>
      <c r="N475" s="8">
        <f>IF(OR(G475="",H475=""),"",IFERROR(IFERROR(INDEX(Recipes!$J$5:$J$204,MATCH(G475,Recipes!$A$5:$A$204,0)),"")*H475,""))</f>
        <v>0</v>
      </c>
      <c r="O475" s="8">
        <f>IF(OR(G475="",H475=""),"",IFERROR(IFERROR(INDEX(Recipes!$K$5:$K$204,MATCH(G475,Recipes!$A$5:$A$204,0)),"")*H475,""))</f>
        <v>0</v>
      </c>
      <c r="P475" s="8">
        <f>IF(OR(G475="",H475=""),"",IFERROR(IFERROR(INDEX(Recipes!$L$5:$L$204,MATCH(G475,Recipes!$A$5:$A$204,0)),"")*H475,""))</f>
        <v>0</v>
      </c>
      <c r="Q475" s="8">
        <f>IF(OR(G475="",H475=""),"",IFERROR(IFERROR(INDEX(Recipes!$Q$5:$Q$204,MATCH(G475,Recipes!$A$5:$A$204,0)),"")*H475,""))</f>
        <v>0</v>
      </c>
      <c r="R475" s="8">
        <f>IF(F475="","",Weekly_Budget/21)</f>
        <v>0</v>
      </c>
      <c r="S475" s="27"/>
      <c r="T475" s="27"/>
      <c r="U475" s="26"/>
      <c r="V475" s="7"/>
      <c r="W475" s="7"/>
      <c r="X475" s="26"/>
      <c r="Y475" s="8">
        <f>IF(G475="","",IF(COUNTIFS('Meal Prep'!$D$5:$D$124,G475)&gt;0,"Yes","No"))</f>
        <v>0</v>
      </c>
      <c r="Z475" s="8">
        <f>IF(G475="","",COUNTIFS('Recipe Ingredients'!$A$5:$A$1204,G475))</f>
        <v>0</v>
      </c>
      <c r="AA475" s="25"/>
      <c r="AB475" s="8">
        <f>IF(OR(B475="",Q475=""),"",COUNTIFS($B$5:$B$504,B475,$Q$5:$Q$504,"&gt;"&amp;Q475)+1)</f>
        <v>0</v>
      </c>
      <c r="AC475" s="8">
        <f>IF(OR(B475="",L475=""),"",COUNTIFS($B$5:$B$504,B475,$L$5:$L$504,"&gt;"&amp;L475)+1)</f>
        <v>0</v>
      </c>
      <c r="AD475" s="8">
        <f>IF(G475="","",IF(COUNTIFS($G$5:$G$504,G475)&gt;1,"Repeat","Once"))</f>
        <v>0</v>
      </c>
      <c r="AE475" s="8">
        <f>IF(G475="","",IF(IFERROR(INDEX(Recipes!$X$5:$X$204,MATCH(G475,Recipes!$A$5:$A$204,0)),"")="","",IFERROR(B475-IFERROR(INDEX(Recipes!$X$5:$X$204,MATCH(G475,Recipes!$A$5:$A$204,0)),""),"")))</f>
        <v>0</v>
      </c>
      <c r="AF475" s="8">
        <f>IF(G475="","",IF(AE475="","Yes",IF(AE475&gt;=Rotation_Gap_Days,"Yes","No")))</f>
        <v>0</v>
      </c>
      <c r="AG475" s="8">
        <f>IF(G475="","",IF(COUNTIFS('Recipe Ingredients'!$A$5:$A$1204,G475,'Recipe Ingredients'!$AC$5:$AC$1204,"Check")&gt;0,"Check","OK"))</f>
        <v>0</v>
      </c>
    </row>
    <row r="476" spans="1:33">
      <c r="A476" s="7"/>
      <c r="B476" s="30"/>
      <c r="C476" s="8">
        <f>IF(B476="","",B476-WEEKDAY(B476,2)+1)</f>
        <v>0</v>
      </c>
      <c r="D476" s="8">
        <f>IF(B476="","",TEXT(B476,"ddd"))</f>
        <v>0</v>
      </c>
      <c r="E476" s="8">
        <f>IF(B476="","",TEXT(B476,"mmm yyyy"))</f>
        <v>0</v>
      </c>
      <c r="F476" s="27"/>
      <c r="G476" s="7"/>
      <c r="H476" s="26"/>
      <c r="I476" s="8">
        <f>IF(G476="","",IFERROR(INDEX(Recipes!$D$5:$D$204,MATCH(G476,Recipes!$A$5:$A$204,0)),""))</f>
        <v>0</v>
      </c>
      <c r="J476" s="8">
        <f>IF(OR(G476="",H476="",I476="",I476=0),"",H476/I476)</f>
        <v>0</v>
      </c>
      <c r="K476" s="8">
        <f>IF(B476="","",Household_Size)</f>
        <v>0</v>
      </c>
      <c r="L476" s="8">
        <f>IF(OR(G476="",H476=""),"",IFERROR(IFERROR(INDEX(Recipes!$H$5:$H$204,MATCH(G476,Recipes!$A$5:$A$204,0)),"")*H476,""))</f>
        <v>0</v>
      </c>
      <c r="M476" s="8">
        <f>IF(OR(G476="",H476=""),"",IFERROR(IFERROR(INDEX(Recipes!$I$5:$I$204,MATCH(G476,Recipes!$A$5:$A$204,0)),"")*H476,""))</f>
        <v>0</v>
      </c>
      <c r="N476" s="8">
        <f>IF(OR(G476="",H476=""),"",IFERROR(IFERROR(INDEX(Recipes!$J$5:$J$204,MATCH(G476,Recipes!$A$5:$A$204,0)),"")*H476,""))</f>
        <v>0</v>
      </c>
      <c r="O476" s="8">
        <f>IF(OR(G476="",H476=""),"",IFERROR(IFERROR(INDEX(Recipes!$K$5:$K$204,MATCH(G476,Recipes!$A$5:$A$204,0)),"")*H476,""))</f>
        <v>0</v>
      </c>
      <c r="P476" s="8">
        <f>IF(OR(G476="",H476=""),"",IFERROR(IFERROR(INDEX(Recipes!$L$5:$L$204,MATCH(G476,Recipes!$A$5:$A$204,0)),"")*H476,""))</f>
        <v>0</v>
      </c>
      <c r="Q476" s="8">
        <f>IF(OR(G476="",H476=""),"",IFERROR(IFERROR(INDEX(Recipes!$Q$5:$Q$204,MATCH(G476,Recipes!$A$5:$A$204,0)),"")*H476,""))</f>
        <v>0</v>
      </c>
      <c r="R476" s="8">
        <f>IF(F476="","",Weekly_Budget/21)</f>
        <v>0</v>
      </c>
      <c r="S476" s="27"/>
      <c r="T476" s="27"/>
      <c r="U476" s="26"/>
      <c r="V476" s="7"/>
      <c r="W476" s="7"/>
      <c r="X476" s="26"/>
      <c r="Y476" s="8">
        <f>IF(G476="","",IF(COUNTIFS('Meal Prep'!$D$5:$D$124,G476)&gt;0,"Yes","No"))</f>
        <v>0</v>
      </c>
      <c r="Z476" s="8">
        <f>IF(G476="","",COUNTIFS('Recipe Ingredients'!$A$5:$A$1204,G476))</f>
        <v>0</v>
      </c>
      <c r="AA476" s="25"/>
      <c r="AB476" s="8">
        <f>IF(OR(B476="",Q476=""),"",COUNTIFS($B$5:$B$504,B476,$Q$5:$Q$504,"&gt;"&amp;Q476)+1)</f>
        <v>0</v>
      </c>
      <c r="AC476" s="8">
        <f>IF(OR(B476="",L476=""),"",COUNTIFS($B$5:$B$504,B476,$L$5:$L$504,"&gt;"&amp;L476)+1)</f>
        <v>0</v>
      </c>
      <c r="AD476" s="8">
        <f>IF(G476="","",IF(COUNTIFS($G$5:$G$504,G476)&gt;1,"Repeat","Once"))</f>
        <v>0</v>
      </c>
      <c r="AE476" s="8">
        <f>IF(G476="","",IF(IFERROR(INDEX(Recipes!$X$5:$X$204,MATCH(G476,Recipes!$A$5:$A$204,0)),"")="","",IFERROR(B476-IFERROR(INDEX(Recipes!$X$5:$X$204,MATCH(G476,Recipes!$A$5:$A$204,0)),""),"")))</f>
        <v>0</v>
      </c>
      <c r="AF476" s="8">
        <f>IF(G476="","",IF(AE476="","Yes",IF(AE476&gt;=Rotation_Gap_Days,"Yes","No")))</f>
        <v>0</v>
      </c>
      <c r="AG476" s="8">
        <f>IF(G476="","",IF(COUNTIFS('Recipe Ingredients'!$A$5:$A$1204,G476,'Recipe Ingredients'!$AC$5:$AC$1204,"Check")&gt;0,"Check","OK"))</f>
        <v>0</v>
      </c>
    </row>
    <row r="477" spans="1:33">
      <c r="A477" s="7"/>
      <c r="B477" s="30"/>
      <c r="C477" s="8">
        <f>IF(B477="","",B477-WEEKDAY(B477,2)+1)</f>
        <v>0</v>
      </c>
      <c r="D477" s="8">
        <f>IF(B477="","",TEXT(B477,"ddd"))</f>
        <v>0</v>
      </c>
      <c r="E477" s="8">
        <f>IF(B477="","",TEXT(B477,"mmm yyyy"))</f>
        <v>0</v>
      </c>
      <c r="F477" s="27"/>
      <c r="G477" s="7"/>
      <c r="H477" s="26"/>
      <c r="I477" s="8">
        <f>IF(G477="","",IFERROR(INDEX(Recipes!$D$5:$D$204,MATCH(G477,Recipes!$A$5:$A$204,0)),""))</f>
        <v>0</v>
      </c>
      <c r="J477" s="8">
        <f>IF(OR(G477="",H477="",I477="",I477=0),"",H477/I477)</f>
        <v>0</v>
      </c>
      <c r="K477" s="8">
        <f>IF(B477="","",Household_Size)</f>
        <v>0</v>
      </c>
      <c r="L477" s="8">
        <f>IF(OR(G477="",H477=""),"",IFERROR(IFERROR(INDEX(Recipes!$H$5:$H$204,MATCH(G477,Recipes!$A$5:$A$204,0)),"")*H477,""))</f>
        <v>0</v>
      </c>
      <c r="M477" s="8">
        <f>IF(OR(G477="",H477=""),"",IFERROR(IFERROR(INDEX(Recipes!$I$5:$I$204,MATCH(G477,Recipes!$A$5:$A$204,0)),"")*H477,""))</f>
        <v>0</v>
      </c>
      <c r="N477" s="8">
        <f>IF(OR(G477="",H477=""),"",IFERROR(IFERROR(INDEX(Recipes!$J$5:$J$204,MATCH(G477,Recipes!$A$5:$A$204,0)),"")*H477,""))</f>
        <v>0</v>
      </c>
      <c r="O477" s="8">
        <f>IF(OR(G477="",H477=""),"",IFERROR(IFERROR(INDEX(Recipes!$K$5:$K$204,MATCH(G477,Recipes!$A$5:$A$204,0)),"")*H477,""))</f>
        <v>0</v>
      </c>
      <c r="P477" s="8">
        <f>IF(OR(G477="",H477=""),"",IFERROR(IFERROR(INDEX(Recipes!$L$5:$L$204,MATCH(G477,Recipes!$A$5:$A$204,0)),"")*H477,""))</f>
        <v>0</v>
      </c>
      <c r="Q477" s="8">
        <f>IF(OR(G477="",H477=""),"",IFERROR(IFERROR(INDEX(Recipes!$Q$5:$Q$204,MATCH(G477,Recipes!$A$5:$A$204,0)),"")*H477,""))</f>
        <v>0</v>
      </c>
      <c r="R477" s="8">
        <f>IF(F477="","",Weekly_Budget/21)</f>
        <v>0</v>
      </c>
      <c r="S477" s="27"/>
      <c r="T477" s="27"/>
      <c r="U477" s="26"/>
      <c r="V477" s="7"/>
      <c r="W477" s="7"/>
      <c r="X477" s="26"/>
      <c r="Y477" s="8">
        <f>IF(G477="","",IF(COUNTIFS('Meal Prep'!$D$5:$D$124,G477)&gt;0,"Yes","No"))</f>
        <v>0</v>
      </c>
      <c r="Z477" s="8">
        <f>IF(G477="","",COUNTIFS('Recipe Ingredients'!$A$5:$A$1204,G477))</f>
        <v>0</v>
      </c>
      <c r="AA477" s="25"/>
      <c r="AB477" s="8">
        <f>IF(OR(B477="",Q477=""),"",COUNTIFS($B$5:$B$504,B477,$Q$5:$Q$504,"&gt;"&amp;Q477)+1)</f>
        <v>0</v>
      </c>
      <c r="AC477" s="8">
        <f>IF(OR(B477="",L477=""),"",COUNTIFS($B$5:$B$504,B477,$L$5:$L$504,"&gt;"&amp;L477)+1)</f>
        <v>0</v>
      </c>
      <c r="AD477" s="8">
        <f>IF(G477="","",IF(COUNTIFS($G$5:$G$504,G477)&gt;1,"Repeat","Once"))</f>
        <v>0</v>
      </c>
      <c r="AE477" s="8">
        <f>IF(G477="","",IF(IFERROR(INDEX(Recipes!$X$5:$X$204,MATCH(G477,Recipes!$A$5:$A$204,0)),"")="","",IFERROR(B477-IFERROR(INDEX(Recipes!$X$5:$X$204,MATCH(G477,Recipes!$A$5:$A$204,0)),""),"")))</f>
        <v>0</v>
      </c>
      <c r="AF477" s="8">
        <f>IF(G477="","",IF(AE477="","Yes",IF(AE477&gt;=Rotation_Gap_Days,"Yes","No")))</f>
        <v>0</v>
      </c>
      <c r="AG477" s="8">
        <f>IF(G477="","",IF(COUNTIFS('Recipe Ingredients'!$A$5:$A$1204,G477,'Recipe Ingredients'!$AC$5:$AC$1204,"Check")&gt;0,"Check","OK"))</f>
        <v>0</v>
      </c>
    </row>
    <row r="478" spans="1:33">
      <c r="A478" s="7"/>
      <c r="B478" s="30"/>
      <c r="C478" s="8">
        <f>IF(B478="","",B478-WEEKDAY(B478,2)+1)</f>
        <v>0</v>
      </c>
      <c r="D478" s="8">
        <f>IF(B478="","",TEXT(B478,"ddd"))</f>
        <v>0</v>
      </c>
      <c r="E478" s="8">
        <f>IF(B478="","",TEXT(B478,"mmm yyyy"))</f>
        <v>0</v>
      </c>
      <c r="F478" s="27"/>
      <c r="G478" s="7"/>
      <c r="H478" s="26"/>
      <c r="I478" s="8">
        <f>IF(G478="","",IFERROR(INDEX(Recipes!$D$5:$D$204,MATCH(G478,Recipes!$A$5:$A$204,0)),""))</f>
        <v>0</v>
      </c>
      <c r="J478" s="8">
        <f>IF(OR(G478="",H478="",I478="",I478=0),"",H478/I478)</f>
        <v>0</v>
      </c>
      <c r="K478" s="8">
        <f>IF(B478="","",Household_Size)</f>
        <v>0</v>
      </c>
      <c r="L478" s="8">
        <f>IF(OR(G478="",H478=""),"",IFERROR(IFERROR(INDEX(Recipes!$H$5:$H$204,MATCH(G478,Recipes!$A$5:$A$204,0)),"")*H478,""))</f>
        <v>0</v>
      </c>
      <c r="M478" s="8">
        <f>IF(OR(G478="",H478=""),"",IFERROR(IFERROR(INDEX(Recipes!$I$5:$I$204,MATCH(G478,Recipes!$A$5:$A$204,0)),"")*H478,""))</f>
        <v>0</v>
      </c>
      <c r="N478" s="8">
        <f>IF(OR(G478="",H478=""),"",IFERROR(IFERROR(INDEX(Recipes!$J$5:$J$204,MATCH(G478,Recipes!$A$5:$A$204,0)),"")*H478,""))</f>
        <v>0</v>
      </c>
      <c r="O478" s="8">
        <f>IF(OR(G478="",H478=""),"",IFERROR(IFERROR(INDEX(Recipes!$K$5:$K$204,MATCH(G478,Recipes!$A$5:$A$204,0)),"")*H478,""))</f>
        <v>0</v>
      </c>
      <c r="P478" s="8">
        <f>IF(OR(G478="",H478=""),"",IFERROR(IFERROR(INDEX(Recipes!$L$5:$L$204,MATCH(G478,Recipes!$A$5:$A$204,0)),"")*H478,""))</f>
        <v>0</v>
      </c>
      <c r="Q478" s="8">
        <f>IF(OR(G478="",H478=""),"",IFERROR(IFERROR(INDEX(Recipes!$Q$5:$Q$204,MATCH(G478,Recipes!$A$5:$A$204,0)),"")*H478,""))</f>
        <v>0</v>
      </c>
      <c r="R478" s="8">
        <f>IF(F478="","",Weekly_Budget/21)</f>
        <v>0</v>
      </c>
      <c r="S478" s="27"/>
      <c r="T478" s="27"/>
      <c r="U478" s="26"/>
      <c r="V478" s="7"/>
      <c r="W478" s="7"/>
      <c r="X478" s="26"/>
      <c r="Y478" s="8">
        <f>IF(G478="","",IF(COUNTIFS('Meal Prep'!$D$5:$D$124,G478)&gt;0,"Yes","No"))</f>
        <v>0</v>
      </c>
      <c r="Z478" s="8">
        <f>IF(G478="","",COUNTIFS('Recipe Ingredients'!$A$5:$A$1204,G478))</f>
        <v>0</v>
      </c>
      <c r="AA478" s="25"/>
      <c r="AB478" s="8">
        <f>IF(OR(B478="",Q478=""),"",COUNTIFS($B$5:$B$504,B478,$Q$5:$Q$504,"&gt;"&amp;Q478)+1)</f>
        <v>0</v>
      </c>
      <c r="AC478" s="8">
        <f>IF(OR(B478="",L478=""),"",COUNTIFS($B$5:$B$504,B478,$L$5:$L$504,"&gt;"&amp;L478)+1)</f>
        <v>0</v>
      </c>
      <c r="AD478" s="8">
        <f>IF(G478="","",IF(COUNTIFS($G$5:$G$504,G478)&gt;1,"Repeat","Once"))</f>
        <v>0</v>
      </c>
      <c r="AE478" s="8">
        <f>IF(G478="","",IF(IFERROR(INDEX(Recipes!$X$5:$X$204,MATCH(G478,Recipes!$A$5:$A$204,0)),"")="","",IFERROR(B478-IFERROR(INDEX(Recipes!$X$5:$X$204,MATCH(G478,Recipes!$A$5:$A$204,0)),""),"")))</f>
        <v>0</v>
      </c>
      <c r="AF478" s="8">
        <f>IF(G478="","",IF(AE478="","Yes",IF(AE478&gt;=Rotation_Gap_Days,"Yes","No")))</f>
        <v>0</v>
      </c>
      <c r="AG478" s="8">
        <f>IF(G478="","",IF(COUNTIFS('Recipe Ingredients'!$A$5:$A$1204,G478,'Recipe Ingredients'!$AC$5:$AC$1204,"Check")&gt;0,"Check","OK"))</f>
        <v>0</v>
      </c>
    </row>
    <row r="479" spans="1:33">
      <c r="A479" s="7"/>
      <c r="B479" s="30"/>
      <c r="C479" s="8">
        <f>IF(B479="","",B479-WEEKDAY(B479,2)+1)</f>
        <v>0</v>
      </c>
      <c r="D479" s="8">
        <f>IF(B479="","",TEXT(B479,"ddd"))</f>
        <v>0</v>
      </c>
      <c r="E479" s="8">
        <f>IF(B479="","",TEXT(B479,"mmm yyyy"))</f>
        <v>0</v>
      </c>
      <c r="F479" s="27"/>
      <c r="G479" s="7"/>
      <c r="H479" s="26"/>
      <c r="I479" s="8">
        <f>IF(G479="","",IFERROR(INDEX(Recipes!$D$5:$D$204,MATCH(G479,Recipes!$A$5:$A$204,0)),""))</f>
        <v>0</v>
      </c>
      <c r="J479" s="8">
        <f>IF(OR(G479="",H479="",I479="",I479=0),"",H479/I479)</f>
        <v>0</v>
      </c>
      <c r="K479" s="8">
        <f>IF(B479="","",Household_Size)</f>
        <v>0</v>
      </c>
      <c r="L479" s="8">
        <f>IF(OR(G479="",H479=""),"",IFERROR(IFERROR(INDEX(Recipes!$H$5:$H$204,MATCH(G479,Recipes!$A$5:$A$204,0)),"")*H479,""))</f>
        <v>0</v>
      </c>
      <c r="M479" s="8">
        <f>IF(OR(G479="",H479=""),"",IFERROR(IFERROR(INDEX(Recipes!$I$5:$I$204,MATCH(G479,Recipes!$A$5:$A$204,0)),"")*H479,""))</f>
        <v>0</v>
      </c>
      <c r="N479" s="8">
        <f>IF(OR(G479="",H479=""),"",IFERROR(IFERROR(INDEX(Recipes!$J$5:$J$204,MATCH(G479,Recipes!$A$5:$A$204,0)),"")*H479,""))</f>
        <v>0</v>
      </c>
      <c r="O479" s="8">
        <f>IF(OR(G479="",H479=""),"",IFERROR(IFERROR(INDEX(Recipes!$K$5:$K$204,MATCH(G479,Recipes!$A$5:$A$204,0)),"")*H479,""))</f>
        <v>0</v>
      </c>
      <c r="P479" s="8">
        <f>IF(OR(G479="",H479=""),"",IFERROR(IFERROR(INDEX(Recipes!$L$5:$L$204,MATCH(G479,Recipes!$A$5:$A$204,0)),"")*H479,""))</f>
        <v>0</v>
      </c>
      <c r="Q479" s="8">
        <f>IF(OR(G479="",H479=""),"",IFERROR(IFERROR(INDEX(Recipes!$Q$5:$Q$204,MATCH(G479,Recipes!$A$5:$A$204,0)),"")*H479,""))</f>
        <v>0</v>
      </c>
      <c r="R479" s="8">
        <f>IF(F479="","",Weekly_Budget/21)</f>
        <v>0</v>
      </c>
      <c r="S479" s="27"/>
      <c r="T479" s="27"/>
      <c r="U479" s="26"/>
      <c r="V479" s="7"/>
      <c r="W479" s="7"/>
      <c r="X479" s="26"/>
      <c r="Y479" s="8">
        <f>IF(G479="","",IF(COUNTIFS('Meal Prep'!$D$5:$D$124,G479)&gt;0,"Yes","No"))</f>
        <v>0</v>
      </c>
      <c r="Z479" s="8">
        <f>IF(G479="","",COUNTIFS('Recipe Ingredients'!$A$5:$A$1204,G479))</f>
        <v>0</v>
      </c>
      <c r="AA479" s="25"/>
      <c r="AB479" s="8">
        <f>IF(OR(B479="",Q479=""),"",COUNTIFS($B$5:$B$504,B479,$Q$5:$Q$504,"&gt;"&amp;Q479)+1)</f>
        <v>0</v>
      </c>
      <c r="AC479" s="8">
        <f>IF(OR(B479="",L479=""),"",COUNTIFS($B$5:$B$504,B479,$L$5:$L$504,"&gt;"&amp;L479)+1)</f>
        <v>0</v>
      </c>
      <c r="AD479" s="8">
        <f>IF(G479="","",IF(COUNTIFS($G$5:$G$504,G479)&gt;1,"Repeat","Once"))</f>
        <v>0</v>
      </c>
      <c r="AE479" s="8">
        <f>IF(G479="","",IF(IFERROR(INDEX(Recipes!$X$5:$X$204,MATCH(G479,Recipes!$A$5:$A$204,0)),"")="","",IFERROR(B479-IFERROR(INDEX(Recipes!$X$5:$X$204,MATCH(G479,Recipes!$A$5:$A$204,0)),""),"")))</f>
        <v>0</v>
      </c>
      <c r="AF479" s="8">
        <f>IF(G479="","",IF(AE479="","Yes",IF(AE479&gt;=Rotation_Gap_Days,"Yes","No")))</f>
        <v>0</v>
      </c>
      <c r="AG479" s="8">
        <f>IF(G479="","",IF(COUNTIFS('Recipe Ingredients'!$A$5:$A$1204,G479,'Recipe Ingredients'!$AC$5:$AC$1204,"Check")&gt;0,"Check","OK"))</f>
        <v>0</v>
      </c>
    </row>
    <row r="480" spans="1:33">
      <c r="A480" s="7"/>
      <c r="B480" s="30"/>
      <c r="C480" s="8">
        <f>IF(B480="","",B480-WEEKDAY(B480,2)+1)</f>
        <v>0</v>
      </c>
      <c r="D480" s="8">
        <f>IF(B480="","",TEXT(B480,"ddd"))</f>
        <v>0</v>
      </c>
      <c r="E480" s="8">
        <f>IF(B480="","",TEXT(B480,"mmm yyyy"))</f>
        <v>0</v>
      </c>
      <c r="F480" s="27"/>
      <c r="G480" s="7"/>
      <c r="H480" s="26"/>
      <c r="I480" s="8">
        <f>IF(G480="","",IFERROR(INDEX(Recipes!$D$5:$D$204,MATCH(G480,Recipes!$A$5:$A$204,0)),""))</f>
        <v>0</v>
      </c>
      <c r="J480" s="8">
        <f>IF(OR(G480="",H480="",I480="",I480=0),"",H480/I480)</f>
        <v>0</v>
      </c>
      <c r="K480" s="8">
        <f>IF(B480="","",Household_Size)</f>
        <v>0</v>
      </c>
      <c r="L480" s="8">
        <f>IF(OR(G480="",H480=""),"",IFERROR(IFERROR(INDEX(Recipes!$H$5:$H$204,MATCH(G480,Recipes!$A$5:$A$204,0)),"")*H480,""))</f>
        <v>0</v>
      </c>
      <c r="M480" s="8">
        <f>IF(OR(G480="",H480=""),"",IFERROR(IFERROR(INDEX(Recipes!$I$5:$I$204,MATCH(G480,Recipes!$A$5:$A$204,0)),"")*H480,""))</f>
        <v>0</v>
      </c>
      <c r="N480" s="8">
        <f>IF(OR(G480="",H480=""),"",IFERROR(IFERROR(INDEX(Recipes!$J$5:$J$204,MATCH(G480,Recipes!$A$5:$A$204,0)),"")*H480,""))</f>
        <v>0</v>
      </c>
      <c r="O480" s="8">
        <f>IF(OR(G480="",H480=""),"",IFERROR(IFERROR(INDEX(Recipes!$K$5:$K$204,MATCH(G480,Recipes!$A$5:$A$204,0)),"")*H480,""))</f>
        <v>0</v>
      </c>
      <c r="P480" s="8">
        <f>IF(OR(G480="",H480=""),"",IFERROR(IFERROR(INDEX(Recipes!$L$5:$L$204,MATCH(G480,Recipes!$A$5:$A$204,0)),"")*H480,""))</f>
        <v>0</v>
      </c>
      <c r="Q480" s="8">
        <f>IF(OR(G480="",H480=""),"",IFERROR(IFERROR(INDEX(Recipes!$Q$5:$Q$204,MATCH(G480,Recipes!$A$5:$A$204,0)),"")*H480,""))</f>
        <v>0</v>
      </c>
      <c r="R480" s="8">
        <f>IF(F480="","",Weekly_Budget/21)</f>
        <v>0</v>
      </c>
      <c r="S480" s="27"/>
      <c r="T480" s="27"/>
      <c r="U480" s="26"/>
      <c r="V480" s="7"/>
      <c r="W480" s="7"/>
      <c r="X480" s="26"/>
      <c r="Y480" s="8">
        <f>IF(G480="","",IF(COUNTIFS('Meal Prep'!$D$5:$D$124,G480)&gt;0,"Yes","No"))</f>
        <v>0</v>
      </c>
      <c r="Z480" s="8">
        <f>IF(G480="","",COUNTIFS('Recipe Ingredients'!$A$5:$A$1204,G480))</f>
        <v>0</v>
      </c>
      <c r="AA480" s="25"/>
      <c r="AB480" s="8">
        <f>IF(OR(B480="",Q480=""),"",COUNTIFS($B$5:$B$504,B480,$Q$5:$Q$504,"&gt;"&amp;Q480)+1)</f>
        <v>0</v>
      </c>
      <c r="AC480" s="8">
        <f>IF(OR(B480="",L480=""),"",COUNTIFS($B$5:$B$504,B480,$L$5:$L$504,"&gt;"&amp;L480)+1)</f>
        <v>0</v>
      </c>
      <c r="AD480" s="8">
        <f>IF(G480="","",IF(COUNTIFS($G$5:$G$504,G480)&gt;1,"Repeat","Once"))</f>
        <v>0</v>
      </c>
      <c r="AE480" s="8">
        <f>IF(G480="","",IF(IFERROR(INDEX(Recipes!$X$5:$X$204,MATCH(G480,Recipes!$A$5:$A$204,0)),"")="","",IFERROR(B480-IFERROR(INDEX(Recipes!$X$5:$X$204,MATCH(G480,Recipes!$A$5:$A$204,0)),""),"")))</f>
        <v>0</v>
      </c>
      <c r="AF480" s="8">
        <f>IF(G480="","",IF(AE480="","Yes",IF(AE480&gt;=Rotation_Gap_Days,"Yes","No")))</f>
        <v>0</v>
      </c>
      <c r="AG480" s="8">
        <f>IF(G480="","",IF(COUNTIFS('Recipe Ingredients'!$A$5:$A$1204,G480,'Recipe Ingredients'!$AC$5:$AC$1204,"Check")&gt;0,"Check","OK"))</f>
        <v>0</v>
      </c>
    </row>
    <row r="481" spans="1:33">
      <c r="A481" s="7"/>
      <c r="B481" s="30"/>
      <c r="C481" s="8">
        <f>IF(B481="","",B481-WEEKDAY(B481,2)+1)</f>
        <v>0</v>
      </c>
      <c r="D481" s="8">
        <f>IF(B481="","",TEXT(B481,"ddd"))</f>
        <v>0</v>
      </c>
      <c r="E481" s="8">
        <f>IF(B481="","",TEXT(B481,"mmm yyyy"))</f>
        <v>0</v>
      </c>
      <c r="F481" s="27"/>
      <c r="G481" s="7"/>
      <c r="H481" s="26"/>
      <c r="I481" s="8">
        <f>IF(G481="","",IFERROR(INDEX(Recipes!$D$5:$D$204,MATCH(G481,Recipes!$A$5:$A$204,0)),""))</f>
        <v>0</v>
      </c>
      <c r="J481" s="8">
        <f>IF(OR(G481="",H481="",I481="",I481=0),"",H481/I481)</f>
        <v>0</v>
      </c>
      <c r="K481" s="8">
        <f>IF(B481="","",Household_Size)</f>
        <v>0</v>
      </c>
      <c r="L481" s="8">
        <f>IF(OR(G481="",H481=""),"",IFERROR(IFERROR(INDEX(Recipes!$H$5:$H$204,MATCH(G481,Recipes!$A$5:$A$204,0)),"")*H481,""))</f>
        <v>0</v>
      </c>
      <c r="M481" s="8">
        <f>IF(OR(G481="",H481=""),"",IFERROR(IFERROR(INDEX(Recipes!$I$5:$I$204,MATCH(G481,Recipes!$A$5:$A$204,0)),"")*H481,""))</f>
        <v>0</v>
      </c>
      <c r="N481" s="8">
        <f>IF(OR(G481="",H481=""),"",IFERROR(IFERROR(INDEX(Recipes!$J$5:$J$204,MATCH(G481,Recipes!$A$5:$A$204,0)),"")*H481,""))</f>
        <v>0</v>
      </c>
      <c r="O481" s="8">
        <f>IF(OR(G481="",H481=""),"",IFERROR(IFERROR(INDEX(Recipes!$K$5:$K$204,MATCH(G481,Recipes!$A$5:$A$204,0)),"")*H481,""))</f>
        <v>0</v>
      </c>
      <c r="P481" s="8">
        <f>IF(OR(G481="",H481=""),"",IFERROR(IFERROR(INDEX(Recipes!$L$5:$L$204,MATCH(G481,Recipes!$A$5:$A$204,0)),"")*H481,""))</f>
        <v>0</v>
      </c>
      <c r="Q481" s="8">
        <f>IF(OR(G481="",H481=""),"",IFERROR(IFERROR(INDEX(Recipes!$Q$5:$Q$204,MATCH(G481,Recipes!$A$5:$A$204,0)),"")*H481,""))</f>
        <v>0</v>
      </c>
      <c r="R481" s="8">
        <f>IF(F481="","",Weekly_Budget/21)</f>
        <v>0</v>
      </c>
      <c r="S481" s="27"/>
      <c r="T481" s="27"/>
      <c r="U481" s="26"/>
      <c r="V481" s="7"/>
      <c r="W481" s="7"/>
      <c r="X481" s="26"/>
      <c r="Y481" s="8">
        <f>IF(G481="","",IF(COUNTIFS('Meal Prep'!$D$5:$D$124,G481)&gt;0,"Yes","No"))</f>
        <v>0</v>
      </c>
      <c r="Z481" s="8">
        <f>IF(G481="","",COUNTIFS('Recipe Ingredients'!$A$5:$A$1204,G481))</f>
        <v>0</v>
      </c>
      <c r="AA481" s="25"/>
      <c r="AB481" s="8">
        <f>IF(OR(B481="",Q481=""),"",COUNTIFS($B$5:$B$504,B481,$Q$5:$Q$504,"&gt;"&amp;Q481)+1)</f>
        <v>0</v>
      </c>
      <c r="AC481" s="8">
        <f>IF(OR(B481="",L481=""),"",COUNTIFS($B$5:$B$504,B481,$L$5:$L$504,"&gt;"&amp;L481)+1)</f>
        <v>0</v>
      </c>
      <c r="AD481" s="8">
        <f>IF(G481="","",IF(COUNTIFS($G$5:$G$504,G481)&gt;1,"Repeat","Once"))</f>
        <v>0</v>
      </c>
      <c r="AE481" s="8">
        <f>IF(G481="","",IF(IFERROR(INDEX(Recipes!$X$5:$X$204,MATCH(G481,Recipes!$A$5:$A$204,0)),"")="","",IFERROR(B481-IFERROR(INDEX(Recipes!$X$5:$X$204,MATCH(G481,Recipes!$A$5:$A$204,0)),""),"")))</f>
        <v>0</v>
      </c>
      <c r="AF481" s="8">
        <f>IF(G481="","",IF(AE481="","Yes",IF(AE481&gt;=Rotation_Gap_Days,"Yes","No")))</f>
        <v>0</v>
      </c>
      <c r="AG481" s="8">
        <f>IF(G481="","",IF(COUNTIFS('Recipe Ingredients'!$A$5:$A$1204,G481,'Recipe Ingredients'!$AC$5:$AC$1204,"Check")&gt;0,"Check","OK"))</f>
        <v>0</v>
      </c>
    </row>
    <row r="482" spans="1:33">
      <c r="A482" s="7"/>
      <c r="B482" s="30"/>
      <c r="C482" s="8">
        <f>IF(B482="","",B482-WEEKDAY(B482,2)+1)</f>
        <v>0</v>
      </c>
      <c r="D482" s="8">
        <f>IF(B482="","",TEXT(B482,"ddd"))</f>
        <v>0</v>
      </c>
      <c r="E482" s="8">
        <f>IF(B482="","",TEXT(B482,"mmm yyyy"))</f>
        <v>0</v>
      </c>
      <c r="F482" s="27"/>
      <c r="G482" s="7"/>
      <c r="H482" s="26"/>
      <c r="I482" s="8">
        <f>IF(G482="","",IFERROR(INDEX(Recipes!$D$5:$D$204,MATCH(G482,Recipes!$A$5:$A$204,0)),""))</f>
        <v>0</v>
      </c>
      <c r="J482" s="8">
        <f>IF(OR(G482="",H482="",I482="",I482=0),"",H482/I482)</f>
        <v>0</v>
      </c>
      <c r="K482" s="8">
        <f>IF(B482="","",Household_Size)</f>
        <v>0</v>
      </c>
      <c r="L482" s="8">
        <f>IF(OR(G482="",H482=""),"",IFERROR(IFERROR(INDEX(Recipes!$H$5:$H$204,MATCH(G482,Recipes!$A$5:$A$204,0)),"")*H482,""))</f>
        <v>0</v>
      </c>
      <c r="M482" s="8">
        <f>IF(OR(G482="",H482=""),"",IFERROR(IFERROR(INDEX(Recipes!$I$5:$I$204,MATCH(G482,Recipes!$A$5:$A$204,0)),"")*H482,""))</f>
        <v>0</v>
      </c>
      <c r="N482" s="8">
        <f>IF(OR(G482="",H482=""),"",IFERROR(IFERROR(INDEX(Recipes!$J$5:$J$204,MATCH(G482,Recipes!$A$5:$A$204,0)),"")*H482,""))</f>
        <v>0</v>
      </c>
      <c r="O482" s="8">
        <f>IF(OR(G482="",H482=""),"",IFERROR(IFERROR(INDEX(Recipes!$K$5:$K$204,MATCH(G482,Recipes!$A$5:$A$204,0)),"")*H482,""))</f>
        <v>0</v>
      </c>
      <c r="P482" s="8">
        <f>IF(OR(G482="",H482=""),"",IFERROR(IFERROR(INDEX(Recipes!$L$5:$L$204,MATCH(G482,Recipes!$A$5:$A$204,0)),"")*H482,""))</f>
        <v>0</v>
      </c>
      <c r="Q482" s="8">
        <f>IF(OR(G482="",H482=""),"",IFERROR(IFERROR(INDEX(Recipes!$Q$5:$Q$204,MATCH(G482,Recipes!$A$5:$A$204,0)),"")*H482,""))</f>
        <v>0</v>
      </c>
      <c r="R482" s="8">
        <f>IF(F482="","",Weekly_Budget/21)</f>
        <v>0</v>
      </c>
      <c r="S482" s="27"/>
      <c r="T482" s="27"/>
      <c r="U482" s="26"/>
      <c r="V482" s="7"/>
      <c r="W482" s="7"/>
      <c r="X482" s="26"/>
      <c r="Y482" s="8">
        <f>IF(G482="","",IF(COUNTIFS('Meal Prep'!$D$5:$D$124,G482)&gt;0,"Yes","No"))</f>
        <v>0</v>
      </c>
      <c r="Z482" s="8">
        <f>IF(G482="","",COUNTIFS('Recipe Ingredients'!$A$5:$A$1204,G482))</f>
        <v>0</v>
      </c>
      <c r="AA482" s="25"/>
      <c r="AB482" s="8">
        <f>IF(OR(B482="",Q482=""),"",COUNTIFS($B$5:$B$504,B482,$Q$5:$Q$504,"&gt;"&amp;Q482)+1)</f>
        <v>0</v>
      </c>
      <c r="AC482" s="8">
        <f>IF(OR(B482="",L482=""),"",COUNTIFS($B$5:$B$504,B482,$L$5:$L$504,"&gt;"&amp;L482)+1)</f>
        <v>0</v>
      </c>
      <c r="AD482" s="8">
        <f>IF(G482="","",IF(COUNTIFS($G$5:$G$504,G482)&gt;1,"Repeat","Once"))</f>
        <v>0</v>
      </c>
      <c r="AE482" s="8">
        <f>IF(G482="","",IF(IFERROR(INDEX(Recipes!$X$5:$X$204,MATCH(G482,Recipes!$A$5:$A$204,0)),"")="","",IFERROR(B482-IFERROR(INDEX(Recipes!$X$5:$X$204,MATCH(G482,Recipes!$A$5:$A$204,0)),""),"")))</f>
        <v>0</v>
      </c>
      <c r="AF482" s="8">
        <f>IF(G482="","",IF(AE482="","Yes",IF(AE482&gt;=Rotation_Gap_Days,"Yes","No")))</f>
        <v>0</v>
      </c>
      <c r="AG482" s="8">
        <f>IF(G482="","",IF(COUNTIFS('Recipe Ingredients'!$A$5:$A$1204,G482,'Recipe Ingredients'!$AC$5:$AC$1204,"Check")&gt;0,"Check","OK"))</f>
        <v>0</v>
      </c>
    </row>
    <row r="483" spans="1:33">
      <c r="A483" s="7"/>
      <c r="B483" s="30"/>
      <c r="C483" s="8">
        <f>IF(B483="","",B483-WEEKDAY(B483,2)+1)</f>
        <v>0</v>
      </c>
      <c r="D483" s="8">
        <f>IF(B483="","",TEXT(B483,"ddd"))</f>
        <v>0</v>
      </c>
      <c r="E483" s="8">
        <f>IF(B483="","",TEXT(B483,"mmm yyyy"))</f>
        <v>0</v>
      </c>
      <c r="F483" s="27"/>
      <c r="G483" s="7"/>
      <c r="H483" s="26"/>
      <c r="I483" s="8">
        <f>IF(G483="","",IFERROR(INDEX(Recipes!$D$5:$D$204,MATCH(G483,Recipes!$A$5:$A$204,0)),""))</f>
        <v>0</v>
      </c>
      <c r="J483" s="8">
        <f>IF(OR(G483="",H483="",I483="",I483=0),"",H483/I483)</f>
        <v>0</v>
      </c>
      <c r="K483" s="8">
        <f>IF(B483="","",Household_Size)</f>
        <v>0</v>
      </c>
      <c r="L483" s="8">
        <f>IF(OR(G483="",H483=""),"",IFERROR(IFERROR(INDEX(Recipes!$H$5:$H$204,MATCH(G483,Recipes!$A$5:$A$204,0)),"")*H483,""))</f>
        <v>0</v>
      </c>
      <c r="M483" s="8">
        <f>IF(OR(G483="",H483=""),"",IFERROR(IFERROR(INDEX(Recipes!$I$5:$I$204,MATCH(G483,Recipes!$A$5:$A$204,0)),"")*H483,""))</f>
        <v>0</v>
      </c>
      <c r="N483" s="8">
        <f>IF(OR(G483="",H483=""),"",IFERROR(IFERROR(INDEX(Recipes!$J$5:$J$204,MATCH(G483,Recipes!$A$5:$A$204,0)),"")*H483,""))</f>
        <v>0</v>
      </c>
      <c r="O483" s="8">
        <f>IF(OR(G483="",H483=""),"",IFERROR(IFERROR(INDEX(Recipes!$K$5:$K$204,MATCH(G483,Recipes!$A$5:$A$204,0)),"")*H483,""))</f>
        <v>0</v>
      </c>
      <c r="P483" s="8">
        <f>IF(OR(G483="",H483=""),"",IFERROR(IFERROR(INDEX(Recipes!$L$5:$L$204,MATCH(G483,Recipes!$A$5:$A$204,0)),"")*H483,""))</f>
        <v>0</v>
      </c>
      <c r="Q483" s="8">
        <f>IF(OR(G483="",H483=""),"",IFERROR(IFERROR(INDEX(Recipes!$Q$5:$Q$204,MATCH(G483,Recipes!$A$5:$A$204,0)),"")*H483,""))</f>
        <v>0</v>
      </c>
      <c r="R483" s="8">
        <f>IF(F483="","",Weekly_Budget/21)</f>
        <v>0</v>
      </c>
      <c r="S483" s="27"/>
      <c r="T483" s="27"/>
      <c r="U483" s="26"/>
      <c r="V483" s="7"/>
      <c r="W483" s="7"/>
      <c r="X483" s="26"/>
      <c r="Y483" s="8">
        <f>IF(G483="","",IF(COUNTIFS('Meal Prep'!$D$5:$D$124,G483)&gt;0,"Yes","No"))</f>
        <v>0</v>
      </c>
      <c r="Z483" s="8">
        <f>IF(G483="","",COUNTIFS('Recipe Ingredients'!$A$5:$A$1204,G483))</f>
        <v>0</v>
      </c>
      <c r="AA483" s="25"/>
      <c r="AB483" s="8">
        <f>IF(OR(B483="",Q483=""),"",COUNTIFS($B$5:$B$504,B483,$Q$5:$Q$504,"&gt;"&amp;Q483)+1)</f>
        <v>0</v>
      </c>
      <c r="AC483" s="8">
        <f>IF(OR(B483="",L483=""),"",COUNTIFS($B$5:$B$504,B483,$L$5:$L$504,"&gt;"&amp;L483)+1)</f>
        <v>0</v>
      </c>
      <c r="AD483" s="8">
        <f>IF(G483="","",IF(COUNTIFS($G$5:$G$504,G483)&gt;1,"Repeat","Once"))</f>
        <v>0</v>
      </c>
      <c r="AE483" s="8">
        <f>IF(G483="","",IF(IFERROR(INDEX(Recipes!$X$5:$X$204,MATCH(G483,Recipes!$A$5:$A$204,0)),"")="","",IFERROR(B483-IFERROR(INDEX(Recipes!$X$5:$X$204,MATCH(G483,Recipes!$A$5:$A$204,0)),""),"")))</f>
        <v>0</v>
      </c>
      <c r="AF483" s="8">
        <f>IF(G483="","",IF(AE483="","Yes",IF(AE483&gt;=Rotation_Gap_Days,"Yes","No")))</f>
        <v>0</v>
      </c>
      <c r="AG483" s="8">
        <f>IF(G483="","",IF(COUNTIFS('Recipe Ingredients'!$A$5:$A$1204,G483,'Recipe Ingredients'!$AC$5:$AC$1204,"Check")&gt;0,"Check","OK"))</f>
        <v>0</v>
      </c>
    </row>
    <row r="484" spans="1:33">
      <c r="A484" s="7"/>
      <c r="B484" s="30"/>
      <c r="C484" s="8">
        <f>IF(B484="","",B484-WEEKDAY(B484,2)+1)</f>
        <v>0</v>
      </c>
      <c r="D484" s="8">
        <f>IF(B484="","",TEXT(B484,"ddd"))</f>
        <v>0</v>
      </c>
      <c r="E484" s="8">
        <f>IF(B484="","",TEXT(B484,"mmm yyyy"))</f>
        <v>0</v>
      </c>
      <c r="F484" s="27"/>
      <c r="G484" s="7"/>
      <c r="H484" s="26"/>
      <c r="I484" s="8">
        <f>IF(G484="","",IFERROR(INDEX(Recipes!$D$5:$D$204,MATCH(G484,Recipes!$A$5:$A$204,0)),""))</f>
        <v>0</v>
      </c>
      <c r="J484" s="8">
        <f>IF(OR(G484="",H484="",I484="",I484=0),"",H484/I484)</f>
        <v>0</v>
      </c>
      <c r="K484" s="8">
        <f>IF(B484="","",Household_Size)</f>
        <v>0</v>
      </c>
      <c r="L484" s="8">
        <f>IF(OR(G484="",H484=""),"",IFERROR(IFERROR(INDEX(Recipes!$H$5:$H$204,MATCH(G484,Recipes!$A$5:$A$204,0)),"")*H484,""))</f>
        <v>0</v>
      </c>
      <c r="M484" s="8">
        <f>IF(OR(G484="",H484=""),"",IFERROR(IFERROR(INDEX(Recipes!$I$5:$I$204,MATCH(G484,Recipes!$A$5:$A$204,0)),"")*H484,""))</f>
        <v>0</v>
      </c>
      <c r="N484" s="8">
        <f>IF(OR(G484="",H484=""),"",IFERROR(IFERROR(INDEX(Recipes!$J$5:$J$204,MATCH(G484,Recipes!$A$5:$A$204,0)),"")*H484,""))</f>
        <v>0</v>
      </c>
      <c r="O484" s="8">
        <f>IF(OR(G484="",H484=""),"",IFERROR(IFERROR(INDEX(Recipes!$K$5:$K$204,MATCH(G484,Recipes!$A$5:$A$204,0)),"")*H484,""))</f>
        <v>0</v>
      </c>
      <c r="P484" s="8">
        <f>IF(OR(G484="",H484=""),"",IFERROR(IFERROR(INDEX(Recipes!$L$5:$L$204,MATCH(G484,Recipes!$A$5:$A$204,0)),"")*H484,""))</f>
        <v>0</v>
      </c>
      <c r="Q484" s="8">
        <f>IF(OR(G484="",H484=""),"",IFERROR(IFERROR(INDEX(Recipes!$Q$5:$Q$204,MATCH(G484,Recipes!$A$5:$A$204,0)),"")*H484,""))</f>
        <v>0</v>
      </c>
      <c r="R484" s="8">
        <f>IF(F484="","",Weekly_Budget/21)</f>
        <v>0</v>
      </c>
      <c r="S484" s="27"/>
      <c r="T484" s="27"/>
      <c r="U484" s="26"/>
      <c r="V484" s="7"/>
      <c r="W484" s="7"/>
      <c r="X484" s="26"/>
      <c r="Y484" s="8">
        <f>IF(G484="","",IF(COUNTIFS('Meal Prep'!$D$5:$D$124,G484)&gt;0,"Yes","No"))</f>
        <v>0</v>
      </c>
      <c r="Z484" s="8">
        <f>IF(G484="","",COUNTIFS('Recipe Ingredients'!$A$5:$A$1204,G484))</f>
        <v>0</v>
      </c>
      <c r="AA484" s="25"/>
      <c r="AB484" s="8">
        <f>IF(OR(B484="",Q484=""),"",COUNTIFS($B$5:$B$504,B484,$Q$5:$Q$504,"&gt;"&amp;Q484)+1)</f>
        <v>0</v>
      </c>
      <c r="AC484" s="8">
        <f>IF(OR(B484="",L484=""),"",COUNTIFS($B$5:$B$504,B484,$L$5:$L$504,"&gt;"&amp;L484)+1)</f>
        <v>0</v>
      </c>
      <c r="AD484" s="8">
        <f>IF(G484="","",IF(COUNTIFS($G$5:$G$504,G484)&gt;1,"Repeat","Once"))</f>
        <v>0</v>
      </c>
      <c r="AE484" s="8">
        <f>IF(G484="","",IF(IFERROR(INDEX(Recipes!$X$5:$X$204,MATCH(G484,Recipes!$A$5:$A$204,0)),"")="","",IFERROR(B484-IFERROR(INDEX(Recipes!$X$5:$X$204,MATCH(G484,Recipes!$A$5:$A$204,0)),""),"")))</f>
        <v>0</v>
      </c>
      <c r="AF484" s="8">
        <f>IF(G484="","",IF(AE484="","Yes",IF(AE484&gt;=Rotation_Gap_Days,"Yes","No")))</f>
        <v>0</v>
      </c>
      <c r="AG484" s="8">
        <f>IF(G484="","",IF(COUNTIFS('Recipe Ingredients'!$A$5:$A$1204,G484,'Recipe Ingredients'!$AC$5:$AC$1204,"Check")&gt;0,"Check","OK"))</f>
        <v>0</v>
      </c>
    </row>
    <row r="485" spans="1:33">
      <c r="A485" s="7"/>
      <c r="B485" s="30"/>
      <c r="C485" s="8">
        <f>IF(B485="","",B485-WEEKDAY(B485,2)+1)</f>
        <v>0</v>
      </c>
      <c r="D485" s="8">
        <f>IF(B485="","",TEXT(B485,"ddd"))</f>
        <v>0</v>
      </c>
      <c r="E485" s="8">
        <f>IF(B485="","",TEXT(B485,"mmm yyyy"))</f>
        <v>0</v>
      </c>
      <c r="F485" s="27"/>
      <c r="G485" s="7"/>
      <c r="H485" s="26"/>
      <c r="I485" s="8">
        <f>IF(G485="","",IFERROR(INDEX(Recipes!$D$5:$D$204,MATCH(G485,Recipes!$A$5:$A$204,0)),""))</f>
        <v>0</v>
      </c>
      <c r="J485" s="8">
        <f>IF(OR(G485="",H485="",I485="",I485=0),"",H485/I485)</f>
        <v>0</v>
      </c>
      <c r="K485" s="8">
        <f>IF(B485="","",Household_Size)</f>
        <v>0</v>
      </c>
      <c r="L485" s="8">
        <f>IF(OR(G485="",H485=""),"",IFERROR(IFERROR(INDEX(Recipes!$H$5:$H$204,MATCH(G485,Recipes!$A$5:$A$204,0)),"")*H485,""))</f>
        <v>0</v>
      </c>
      <c r="M485" s="8">
        <f>IF(OR(G485="",H485=""),"",IFERROR(IFERROR(INDEX(Recipes!$I$5:$I$204,MATCH(G485,Recipes!$A$5:$A$204,0)),"")*H485,""))</f>
        <v>0</v>
      </c>
      <c r="N485" s="8">
        <f>IF(OR(G485="",H485=""),"",IFERROR(IFERROR(INDEX(Recipes!$J$5:$J$204,MATCH(G485,Recipes!$A$5:$A$204,0)),"")*H485,""))</f>
        <v>0</v>
      </c>
      <c r="O485" s="8">
        <f>IF(OR(G485="",H485=""),"",IFERROR(IFERROR(INDEX(Recipes!$K$5:$K$204,MATCH(G485,Recipes!$A$5:$A$204,0)),"")*H485,""))</f>
        <v>0</v>
      </c>
      <c r="P485" s="8">
        <f>IF(OR(G485="",H485=""),"",IFERROR(IFERROR(INDEX(Recipes!$L$5:$L$204,MATCH(G485,Recipes!$A$5:$A$204,0)),"")*H485,""))</f>
        <v>0</v>
      </c>
      <c r="Q485" s="8">
        <f>IF(OR(G485="",H485=""),"",IFERROR(IFERROR(INDEX(Recipes!$Q$5:$Q$204,MATCH(G485,Recipes!$A$5:$A$204,0)),"")*H485,""))</f>
        <v>0</v>
      </c>
      <c r="R485" s="8">
        <f>IF(F485="","",Weekly_Budget/21)</f>
        <v>0</v>
      </c>
      <c r="S485" s="27"/>
      <c r="T485" s="27"/>
      <c r="U485" s="26"/>
      <c r="V485" s="7"/>
      <c r="W485" s="7"/>
      <c r="X485" s="26"/>
      <c r="Y485" s="8">
        <f>IF(G485="","",IF(COUNTIFS('Meal Prep'!$D$5:$D$124,G485)&gt;0,"Yes","No"))</f>
        <v>0</v>
      </c>
      <c r="Z485" s="8">
        <f>IF(G485="","",COUNTIFS('Recipe Ingredients'!$A$5:$A$1204,G485))</f>
        <v>0</v>
      </c>
      <c r="AA485" s="25"/>
      <c r="AB485" s="8">
        <f>IF(OR(B485="",Q485=""),"",COUNTIFS($B$5:$B$504,B485,$Q$5:$Q$504,"&gt;"&amp;Q485)+1)</f>
        <v>0</v>
      </c>
      <c r="AC485" s="8">
        <f>IF(OR(B485="",L485=""),"",COUNTIFS($B$5:$B$504,B485,$L$5:$L$504,"&gt;"&amp;L485)+1)</f>
        <v>0</v>
      </c>
      <c r="AD485" s="8">
        <f>IF(G485="","",IF(COUNTIFS($G$5:$G$504,G485)&gt;1,"Repeat","Once"))</f>
        <v>0</v>
      </c>
      <c r="AE485" s="8">
        <f>IF(G485="","",IF(IFERROR(INDEX(Recipes!$X$5:$X$204,MATCH(G485,Recipes!$A$5:$A$204,0)),"")="","",IFERROR(B485-IFERROR(INDEX(Recipes!$X$5:$X$204,MATCH(G485,Recipes!$A$5:$A$204,0)),""),"")))</f>
        <v>0</v>
      </c>
      <c r="AF485" s="8">
        <f>IF(G485="","",IF(AE485="","Yes",IF(AE485&gt;=Rotation_Gap_Days,"Yes","No")))</f>
        <v>0</v>
      </c>
      <c r="AG485" s="8">
        <f>IF(G485="","",IF(COUNTIFS('Recipe Ingredients'!$A$5:$A$1204,G485,'Recipe Ingredients'!$AC$5:$AC$1204,"Check")&gt;0,"Check","OK"))</f>
        <v>0</v>
      </c>
    </row>
    <row r="486" spans="1:33">
      <c r="A486" s="7"/>
      <c r="B486" s="30"/>
      <c r="C486" s="8">
        <f>IF(B486="","",B486-WEEKDAY(B486,2)+1)</f>
        <v>0</v>
      </c>
      <c r="D486" s="8">
        <f>IF(B486="","",TEXT(B486,"ddd"))</f>
        <v>0</v>
      </c>
      <c r="E486" s="8">
        <f>IF(B486="","",TEXT(B486,"mmm yyyy"))</f>
        <v>0</v>
      </c>
      <c r="F486" s="27"/>
      <c r="G486" s="7"/>
      <c r="H486" s="26"/>
      <c r="I486" s="8">
        <f>IF(G486="","",IFERROR(INDEX(Recipes!$D$5:$D$204,MATCH(G486,Recipes!$A$5:$A$204,0)),""))</f>
        <v>0</v>
      </c>
      <c r="J486" s="8">
        <f>IF(OR(G486="",H486="",I486="",I486=0),"",H486/I486)</f>
        <v>0</v>
      </c>
      <c r="K486" s="8">
        <f>IF(B486="","",Household_Size)</f>
        <v>0</v>
      </c>
      <c r="L486" s="8">
        <f>IF(OR(G486="",H486=""),"",IFERROR(IFERROR(INDEX(Recipes!$H$5:$H$204,MATCH(G486,Recipes!$A$5:$A$204,0)),"")*H486,""))</f>
        <v>0</v>
      </c>
      <c r="M486" s="8">
        <f>IF(OR(G486="",H486=""),"",IFERROR(IFERROR(INDEX(Recipes!$I$5:$I$204,MATCH(G486,Recipes!$A$5:$A$204,0)),"")*H486,""))</f>
        <v>0</v>
      </c>
      <c r="N486" s="8">
        <f>IF(OR(G486="",H486=""),"",IFERROR(IFERROR(INDEX(Recipes!$J$5:$J$204,MATCH(G486,Recipes!$A$5:$A$204,0)),"")*H486,""))</f>
        <v>0</v>
      </c>
      <c r="O486" s="8">
        <f>IF(OR(G486="",H486=""),"",IFERROR(IFERROR(INDEX(Recipes!$K$5:$K$204,MATCH(G486,Recipes!$A$5:$A$204,0)),"")*H486,""))</f>
        <v>0</v>
      </c>
      <c r="P486" s="8">
        <f>IF(OR(G486="",H486=""),"",IFERROR(IFERROR(INDEX(Recipes!$L$5:$L$204,MATCH(G486,Recipes!$A$5:$A$204,0)),"")*H486,""))</f>
        <v>0</v>
      </c>
      <c r="Q486" s="8">
        <f>IF(OR(G486="",H486=""),"",IFERROR(IFERROR(INDEX(Recipes!$Q$5:$Q$204,MATCH(G486,Recipes!$A$5:$A$204,0)),"")*H486,""))</f>
        <v>0</v>
      </c>
      <c r="R486" s="8">
        <f>IF(F486="","",Weekly_Budget/21)</f>
        <v>0</v>
      </c>
      <c r="S486" s="27"/>
      <c r="T486" s="27"/>
      <c r="U486" s="26"/>
      <c r="V486" s="7"/>
      <c r="W486" s="7"/>
      <c r="X486" s="26"/>
      <c r="Y486" s="8">
        <f>IF(G486="","",IF(COUNTIFS('Meal Prep'!$D$5:$D$124,G486)&gt;0,"Yes","No"))</f>
        <v>0</v>
      </c>
      <c r="Z486" s="8">
        <f>IF(G486="","",COUNTIFS('Recipe Ingredients'!$A$5:$A$1204,G486))</f>
        <v>0</v>
      </c>
      <c r="AA486" s="25"/>
      <c r="AB486" s="8">
        <f>IF(OR(B486="",Q486=""),"",COUNTIFS($B$5:$B$504,B486,$Q$5:$Q$504,"&gt;"&amp;Q486)+1)</f>
        <v>0</v>
      </c>
      <c r="AC486" s="8">
        <f>IF(OR(B486="",L486=""),"",COUNTIFS($B$5:$B$504,B486,$L$5:$L$504,"&gt;"&amp;L486)+1)</f>
        <v>0</v>
      </c>
      <c r="AD486" s="8">
        <f>IF(G486="","",IF(COUNTIFS($G$5:$G$504,G486)&gt;1,"Repeat","Once"))</f>
        <v>0</v>
      </c>
      <c r="AE486" s="8">
        <f>IF(G486="","",IF(IFERROR(INDEX(Recipes!$X$5:$X$204,MATCH(G486,Recipes!$A$5:$A$204,0)),"")="","",IFERROR(B486-IFERROR(INDEX(Recipes!$X$5:$X$204,MATCH(G486,Recipes!$A$5:$A$204,0)),""),"")))</f>
        <v>0</v>
      </c>
      <c r="AF486" s="8">
        <f>IF(G486="","",IF(AE486="","Yes",IF(AE486&gt;=Rotation_Gap_Days,"Yes","No")))</f>
        <v>0</v>
      </c>
      <c r="AG486" s="8">
        <f>IF(G486="","",IF(COUNTIFS('Recipe Ingredients'!$A$5:$A$1204,G486,'Recipe Ingredients'!$AC$5:$AC$1204,"Check")&gt;0,"Check","OK"))</f>
        <v>0</v>
      </c>
    </row>
    <row r="487" spans="1:33">
      <c r="A487" s="7"/>
      <c r="B487" s="30"/>
      <c r="C487" s="8">
        <f>IF(B487="","",B487-WEEKDAY(B487,2)+1)</f>
        <v>0</v>
      </c>
      <c r="D487" s="8">
        <f>IF(B487="","",TEXT(B487,"ddd"))</f>
        <v>0</v>
      </c>
      <c r="E487" s="8">
        <f>IF(B487="","",TEXT(B487,"mmm yyyy"))</f>
        <v>0</v>
      </c>
      <c r="F487" s="27"/>
      <c r="G487" s="7"/>
      <c r="H487" s="26"/>
      <c r="I487" s="8">
        <f>IF(G487="","",IFERROR(INDEX(Recipes!$D$5:$D$204,MATCH(G487,Recipes!$A$5:$A$204,0)),""))</f>
        <v>0</v>
      </c>
      <c r="J487" s="8">
        <f>IF(OR(G487="",H487="",I487="",I487=0),"",H487/I487)</f>
        <v>0</v>
      </c>
      <c r="K487" s="8">
        <f>IF(B487="","",Household_Size)</f>
        <v>0</v>
      </c>
      <c r="L487" s="8">
        <f>IF(OR(G487="",H487=""),"",IFERROR(IFERROR(INDEX(Recipes!$H$5:$H$204,MATCH(G487,Recipes!$A$5:$A$204,0)),"")*H487,""))</f>
        <v>0</v>
      </c>
      <c r="M487" s="8">
        <f>IF(OR(G487="",H487=""),"",IFERROR(IFERROR(INDEX(Recipes!$I$5:$I$204,MATCH(G487,Recipes!$A$5:$A$204,0)),"")*H487,""))</f>
        <v>0</v>
      </c>
      <c r="N487" s="8">
        <f>IF(OR(G487="",H487=""),"",IFERROR(IFERROR(INDEX(Recipes!$J$5:$J$204,MATCH(G487,Recipes!$A$5:$A$204,0)),"")*H487,""))</f>
        <v>0</v>
      </c>
      <c r="O487" s="8">
        <f>IF(OR(G487="",H487=""),"",IFERROR(IFERROR(INDEX(Recipes!$K$5:$K$204,MATCH(G487,Recipes!$A$5:$A$204,0)),"")*H487,""))</f>
        <v>0</v>
      </c>
      <c r="P487" s="8">
        <f>IF(OR(G487="",H487=""),"",IFERROR(IFERROR(INDEX(Recipes!$L$5:$L$204,MATCH(G487,Recipes!$A$5:$A$204,0)),"")*H487,""))</f>
        <v>0</v>
      </c>
      <c r="Q487" s="8">
        <f>IF(OR(G487="",H487=""),"",IFERROR(IFERROR(INDEX(Recipes!$Q$5:$Q$204,MATCH(G487,Recipes!$A$5:$A$204,0)),"")*H487,""))</f>
        <v>0</v>
      </c>
      <c r="R487" s="8">
        <f>IF(F487="","",Weekly_Budget/21)</f>
        <v>0</v>
      </c>
      <c r="S487" s="27"/>
      <c r="T487" s="27"/>
      <c r="U487" s="26"/>
      <c r="V487" s="7"/>
      <c r="W487" s="7"/>
      <c r="X487" s="26"/>
      <c r="Y487" s="8">
        <f>IF(G487="","",IF(COUNTIFS('Meal Prep'!$D$5:$D$124,G487)&gt;0,"Yes","No"))</f>
        <v>0</v>
      </c>
      <c r="Z487" s="8">
        <f>IF(G487="","",COUNTIFS('Recipe Ingredients'!$A$5:$A$1204,G487))</f>
        <v>0</v>
      </c>
      <c r="AA487" s="25"/>
      <c r="AB487" s="8">
        <f>IF(OR(B487="",Q487=""),"",COUNTIFS($B$5:$B$504,B487,$Q$5:$Q$504,"&gt;"&amp;Q487)+1)</f>
        <v>0</v>
      </c>
      <c r="AC487" s="8">
        <f>IF(OR(B487="",L487=""),"",COUNTIFS($B$5:$B$504,B487,$L$5:$L$504,"&gt;"&amp;L487)+1)</f>
        <v>0</v>
      </c>
      <c r="AD487" s="8">
        <f>IF(G487="","",IF(COUNTIFS($G$5:$G$504,G487)&gt;1,"Repeat","Once"))</f>
        <v>0</v>
      </c>
      <c r="AE487" s="8">
        <f>IF(G487="","",IF(IFERROR(INDEX(Recipes!$X$5:$X$204,MATCH(G487,Recipes!$A$5:$A$204,0)),"")="","",IFERROR(B487-IFERROR(INDEX(Recipes!$X$5:$X$204,MATCH(G487,Recipes!$A$5:$A$204,0)),""),"")))</f>
        <v>0</v>
      </c>
      <c r="AF487" s="8">
        <f>IF(G487="","",IF(AE487="","Yes",IF(AE487&gt;=Rotation_Gap_Days,"Yes","No")))</f>
        <v>0</v>
      </c>
      <c r="AG487" s="8">
        <f>IF(G487="","",IF(COUNTIFS('Recipe Ingredients'!$A$5:$A$1204,G487,'Recipe Ingredients'!$AC$5:$AC$1204,"Check")&gt;0,"Check","OK"))</f>
        <v>0</v>
      </c>
    </row>
    <row r="488" spans="1:33">
      <c r="A488" s="7"/>
      <c r="B488" s="30"/>
      <c r="C488" s="8">
        <f>IF(B488="","",B488-WEEKDAY(B488,2)+1)</f>
        <v>0</v>
      </c>
      <c r="D488" s="8">
        <f>IF(B488="","",TEXT(B488,"ddd"))</f>
        <v>0</v>
      </c>
      <c r="E488" s="8">
        <f>IF(B488="","",TEXT(B488,"mmm yyyy"))</f>
        <v>0</v>
      </c>
      <c r="F488" s="27"/>
      <c r="G488" s="7"/>
      <c r="H488" s="26"/>
      <c r="I488" s="8">
        <f>IF(G488="","",IFERROR(INDEX(Recipes!$D$5:$D$204,MATCH(G488,Recipes!$A$5:$A$204,0)),""))</f>
        <v>0</v>
      </c>
      <c r="J488" s="8">
        <f>IF(OR(G488="",H488="",I488="",I488=0),"",H488/I488)</f>
        <v>0</v>
      </c>
      <c r="K488" s="8">
        <f>IF(B488="","",Household_Size)</f>
        <v>0</v>
      </c>
      <c r="L488" s="8">
        <f>IF(OR(G488="",H488=""),"",IFERROR(IFERROR(INDEX(Recipes!$H$5:$H$204,MATCH(G488,Recipes!$A$5:$A$204,0)),"")*H488,""))</f>
        <v>0</v>
      </c>
      <c r="M488" s="8">
        <f>IF(OR(G488="",H488=""),"",IFERROR(IFERROR(INDEX(Recipes!$I$5:$I$204,MATCH(G488,Recipes!$A$5:$A$204,0)),"")*H488,""))</f>
        <v>0</v>
      </c>
      <c r="N488" s="8">
        <f>IF(OR(G488="",H488=""),"",IFERROR(IFERROR(INDEX(Recipes!$J$5:$J$204,MATCH(G488,Recipes!$A$5:$A$204,0)),"")*H488,""))</f>
        <v>0</v>
      </c>
      <c r="O488" s="8">
        <f>IF(OR(G488="",H488=""),"",IFERROR(IFERROR(INDEX(Recipes!$K$5:$K$204,MATCH(G488,Recipes!$A$5:$A$204,0)),"")*H488,""))</f>
        <v>0</v>
      </c>
      <c r="P488" s="8">
        <f>IF(OR(G488="",H488=""),"",IFERROR(IFERROR(INDEX(Recipes!$L$5:$L$204,MATCH(G488,Recipes!$A$5:$A$204,0)),"")*H488,""))</f>
        <v>0</v>
      </c>
      <c r="Q488" s="8">
        <f>IF(OR(G488="",H488=""),"",IFERROR(IFERROR(INDEX(Recipes!$Q$5:$Q$204,MATCH(G488,Recipes!$A$5:$A$204,0)),"")*H488,""))</f>
        <v>0</v>
      </c>
      <c r="R488" s="8">
        <f>IF(F488="","",Weekly_Budget/21)</f>
        <v>0</v>
      </c>
      <c r="S488" s="27"/>
      <c r="T488" s="27"/>
      <c r="U488" s="26"/>
      <c r="V488" s="7"/>
      <c r="W488" s="7"/>
      <c r="X488" s="26"/>
      <c r="Y488" s="8">
        <f>IF(G488="","",IF(COUNTIFS('Meal Prep'!$D$5:$D$124,G488)&gt;0,"Yes","No"))</f>
        <v>0</v>
      </c>
      <c r="Z488" s="8">
        <f>IF(G488="","",COUNTIFS('Recipe Ingredients'!$A$5:$A$1204,G488))</f>
        <v>0</v>
      </c>
      <c r="AA488" s="25"/>
      <c r="AB488" s="8">
        <f>IF(OR(B488="",Q488=""),"",COUNTIFS($B$5:$B$504,B488,$Q$5:$Q$504,"&gt;"&amp;Q488)+1)</f>
        <v>0</v>
      </c>
      <c r="AC488" s="8">
        <f>IF(OR(B488="",L488=""),"",COUNTIFS($B$5:$B$504,B488,$L$5:$L$504,"&gt;"&amp;L488)+1)</f>
        <v>0</v>
      </c>
      <c r="AD488" s="8">
        <f>IF(G488="","",IF(COUNTIFS($G$5:$G$504,G488)&gt;1,"Repeat","Once"))</f>
        <v>0</v>
      </c>
      <c r="AE488" s="8">
        <f>IF(G488="","",IF(IFERROR(INDEX(Recipes!$X$5:$X$204,MATCH(G488,Recipes!$A$5:$A$204,0)),"")="","",IFERROR(B488-IFERROR(INDEX(Recipes!$X$5:$X$204,MATCH(G488,Recipes!$A$5:$A$204,0)),""),"")))</f>
        <v>0</v>
      </c>
      <c r="AF488" s="8">
        <f>IF(G488="","",IF(AE488="","Yes",IF(AE488&gt;=Rotation_Gap_Days,"Yes","No")))</f>
        <v>0</v>
      </c>
      <c r="AG488" s="8">
        <f>IF(G488="","",IF(COUNTIFS('Recipe Ingredients'!$A$5:$A$1204,G488,'Recipe Ingredients'!$AC$5:$AC$1204,"Check")&gt;0,"Check","OK"))</f>
        <v>0</v>
      </c>
    </row>
    <row r="489" spans="1:33">
      <c r="A489" s="7"/>
      <c r="B489" s="30"/>
      <c r="C489" s="8">
        <f>IF(B489="","",B489-WEEKDAY(B489,2)+1)</f>
        <v>0</v>
      </c>
      <c r="D489" s="8">
        <f>IF(B489="","",TEXT(B489,"ddd"))</f>
        <v>0</v>
      </c>
      <c r="E489" s="8">
        <f>IF(B489="","",TEXT(B489,"mmm yyyy"))</f>
        <v>0</v>
      </c>
      <c r="F489" s="27"/>
      <c r="G489" s="7"/>
      <c r="H489" s="26"/>
      <c r="I489" s="8">
        <f>IF(G489="","",IFERROR(INDEX(Recipes!$D$5:$D$204,MATCH(G489,Recipes!$A$5:$A$204,0)),""))</f>
        <v>0</v>
      </c>
      <c r="J489" s="8">
        <f>IF(OR(G489="",H489="",I489="",I489=0),"",H489/I489)</f>
        <v>0</v>
      </c>
      <c r="K489" s="8">
        <f>IF(B489="","",Household_Size)</f>
        <v>0</v>
      </c>
      <c r="L489" s="8">
        <f>IF(OR(G489="",H489=""),"",IFERROR(IFERROR(INDEX(Recipes!$H$5:$H$204,MATCH(G489,Recipes!$A$5:$A$204,0)),"")*H489,""))</f>
        <v>0</v>
      </c>
      <c r="M489" s="8">
        <f>IF(OR(G489="",H489=""),"",IFERROR(IFERROR(INDEX(Recipes!$I$5:$I$204,MATCH(G489,Recipes!$A$5:$A$204,0)),"")*H489,""))</f>
        <v>0</v>
      </c>
      <c r="N489" s="8">
        <f>IF(OR(G489="",H489=""),"",IFERROR(IFERROR(INDEX(Recipes!$J$5:$J$204,MATCH(G489,Recipes!$A$5:$A$204,0)),"")*H489,""))</f>
        <v>0</v>
      </c>
      <c r="O489" s="8">
        <f>IF(OR(G489="",H489=""),"",IFERROR(IFERROR(INDEX(Recipes!$K$5:$K$204,MATCH(G489,Recipes!$A$5:$A$204,0)),"")*H489,""))</f>
        <v>0</v>
      </c>
      <c r="P489" s="8">
        <f>IF(OR(G489="",H489=""),"",IFERROR(IFERROR(INDEX(Recipes!$L$5:$L$204,MATCH(G489,Recipes!$A$5:$A$204,0)),"")*H489,""))</f>
        <v>0</v>
      </c>
      <c r="Q489" s="8">
        <f>IF(OR(G489="",H489=""),"",IFERROR(IFERROR(INDEX(Recipes!$Q$5:$Q$204,MATCH(G489,Recipes!$A$5:$A$204,0)),"")*H489,""))</f>
        <v>0</v>
      </c>
      <c r="R489" s="8">
        <f>IF(F489="","",Weekly_Budget/21)</f>
        <v>0</v>
      </c>
      <c r="S489" s="27"/>
      <c r="T489" s="27"/>
      <c r="U489" s="26"/>
      <c r="V489" s="7"/>
      <c r="W489" s="7"/>
      <c r="X489" s="26"/>
      <c r="Y489" s="8">
        <f>IF(G489="","",IF(COUNTIFS('Meal Prep'!$D$5:$D$124,G489)&gt;0,"Yes","No"))</f>
        <v>0</v>
      </c>
      <c r="Z489" s="8">
        <f>IF(G489="","",COUNTIFS('Recipe Ingredients'!$A$5:$A$1204,G489))</f>
        <v>0</v>
      </c>
      <c r="AA489" s="25"/>
      <c r="AB489" s="8">
        <f>IF(OR(B489="",Q489=""),"",COUNTIFS($B$5:$B$504,B489,$Q$5:$Q$504,"&gt;"&amp;Q489)+1)</f>
        <v>0</v>
      </c>
      <c r="AC489" s="8">
        <f>IF(OR(B489="",L489=""),"",COUNTIFS($B$5:$B$504,B489,$L$5:$L$504,"&gt;"&amp;L489)+1)</f>
        <v>0</v>
      </c>
      <c r="AD489" s="8">
        <f>IF(G489="","",IF(COUNTIFS($G$5:$G$504,G489)&gt;1,"Repeat","Once"))</f>
        <v>0</v>
      </c>
      <c r="AE489" s="8">
        <f>IF(G489="","",IF(IFERROR(INDEX(Recipes!$X$5:$X$204,MATCH(G489,Recipes!$A$5:$A$204,0)),"")="","",IFERROR(B489-IFERROR(INDEX(Recipes!$X$5:$X$204,MATCH(G489,Recipes!$A$5:$A$204,0)),""),"")))</f>
        <v>0</v>
      </c>
      <c r="AF489" s="8">
        <f>IF(G489="","",IF(AE489="","Yes",IF(AE489&gt;=Rotation_Gap_Days,"Yes","No")))</f>
        <v>0</v>
      </c>
      <c r="AG489" s="8">
        <f>IF(G489="","",IF(COUNTIFS('Recipe Ingredients'!$A$5:$A$1204,G489,'Recipe Ingredients'!$AC$5:$AC$1204,"Check")&gt;0,"Check","OK"))</f>
        <v>0</v>
      </c>
    </row>
    <row r="490" spans="1:33">
      <c r="A490" s="7"/>
      <c r="B490" s="30"/>
      <c r="C490" s="8">
        <f>IF(B490="","",B490-WEEKDAY(B490,2)+1)</f>
        <v>0</v>
      </c>
      <c r="D490" s="8">
        <f>IF(B490="","",TEXT(B490,"ddd"))</f>
        <v>0</v>
      </c>
      <c r="E490" s="8">
        <f>IF(B490="","",TEXT(B490,"mmm yyyy"))</f>
        <v>0</v>
      </c>
      <c r="F490" s="27"/>
      <c r="G490" s="7"/>
      <c r="H490" s="26"/>
      <c r="I490" s="8">
        <f>IF(G490="","",IFERROR(INDEX(Recipes!$D$5:$D$204,MATCH(G490,Recipes!$A$5:$A$204,0)),""))</f>
        <v>0</v>
      </c>
      <c r="J490" s="8">
        <f>IF(OR(G490="",H490="",I490="",I490=0),"",H490/I490)</f>
        <v>0</v>
      </c>
      <c r="K490" s="8">
        <f>IF(B490="","",Household_Size)</f>
        <v>0</v>
      </c>
      <c r="L490" s="8">
        <f>IF(OR(G490="",H490=""),"",IFERROR(IFERROR(INDEX(Recipes!$H$5:$H$204,MATCH(G490,Recipes!$A$5:$A$204,0)),"")*H490,""))</f>
        <v>0</v>
      </c>
      <c r="M490" s="8">
        <f>IF(OR(G490="",H490=""),"",IFERROR(IFERROR(INDEX(Recipes!$I$5:$I$204,MATCH(G490,Recipes!$A$5:$A$204,0)),"")*H490,""))</f>
        <v>0</v>
      </c>
      <c r="N490" s="8">
        <f>IF(OR(G490="",H490=""),"",IFERROR(IFERROR(INDEX(Recipes!$J$5:$J$204,MATCH(G490,Recipes!$A$5:$A$204,0)),"")*H490,""))</f>
        <v>0</v>
      </c>
      <c r="O490" s="8">
        <f>IF(OR(G490="",H490=""),"",IFERROR(IFERROR(INDEX(Recipes!$K$5:$K$204,MATCH(G490,Recipes!$A$5:$A$204,0)),"")*H490,""))</f>
        <v>0</v>
      </c>
      <c r="P490" s="8">
        <f>IF(OR(G490="",H490=""),"",IFERROR(IFERROR(INDEX(Recipes!$L$5:$L$204,MATCH(G490,Recipes!$A$5:$A$204,0)),"")*H490,""))</f>
        <v>0</v>
      </c>
      <c r="Q490" s="8">
        <f>IF(OR(G490="",H490=""),"",IFERROR(IFERROR(INDEX(Recipes!$Q$5:$Q$204,MATCH(G490,Recipes!$A$5:$A$204,0)),"")*H490,""))</f>
        <v>0</v>
      </c>
      <c r="R490" s="8">
        <f>IF(F490="","",Weekly_Budget/21)</f>
        <v>0</v>
      </c>
      <c r="S490" s="27"/>
      <c r="T490" s="27"/>
      <c r="U490" s="26"/>
      <c r="V490" s="7"/>
      <c r="W490" s="7"/>
      <c r="X490" s="26"/>
      <c r="Y490" s="8">
        <f>IF(G490="","",IF(COUNTIFS('Meal Prep'!$D$5:$D$124,G490)&gt;0,"Yes","No"))</f>
        <v>0</v>
      </c>
      <c r="Z490" s="8">
        <f>IF(G490="","",COUNTIFS('Recipe Ingredients'!$A$5:$A$1204,G490))</f>
        <v>0</v>
      </c>
      <c r="AA490" s="25"/>
      <c r="AB490" s="8">
        <f>IF(OR(B490="",Q490=""),"",COUNTIFS($B$5:$B$504,B490,$Q$5:$Q$504,"&gt;"&amp;Q490)+1)</f>
        <v>0</v>
      </c>
      <c r="AC490" s="8">
        <f>IF(OR(B490="",L490=""),"",COUNTIFS($B$5:$B$504,B490,$L$5:$L$504,"&gt;"&amp;L490)+1)</f>
        <v>0</v>
      </c>
      <c r="AD490" s="8">
        <f>IF(G490="","",IF(COUNTIFS($G$5:$G$504,G490)&gt;1,"Repeat","Once"))</f>
        <v>0</v>
      </c>
      <c r="AE490" s="8">
        <f>IF(G490="","",IF(IFERROR(INDEX(Recipes!$X$5:$X$204,MATCH(G490,Recipes!$A$5:$A$204,0)),"")="","",IFERROR(B490-IFERROR(INDEX(Recipes!$X$5:$X$204,MATCH(G490,Recipes!$A$5:$A$204,0)),""),"")))</f>
        <v>0</v>
      </c>
      <c r="AF490" s="8">
        <f>IF(G490="","",IF(AE490="","Yes",IF(AE490&gt;=Rotation_Gap_Days,"Yes","No")))</f>
        <v>0</v>
      </c>
      <c r="AG490" s="8">
        <f>IF(G490="","",IF(COUNTIFS('Recipe Ingredients'!$A$5:$A$1204,G490,'Recipe Ingredients'!$AC$5:$AC$1204,"Check")&gt;0,"Check","OK"))</f>
        <v>0</v>
      </c>
    </row>
    <row r="491" spans="1:33">
      <c r="A491" s="7"/>
      <c r="B491" s="30"/>
      <c r="C491" s="8">
        <f>IF(B491="","",B491-WEEKDAY(B491,2)+1)</f>
        <v>0</v>
      </c>
      <c r="D491" s="8">
        <f>IF(B491="","",TEXT(B491,"ddd"))</f>
        <v>0</v>
      </c>
      <c r="E491" s="8">
        <f>IF(B491="","",TEXT(B491,"mmm yyyy"))</f>
        <v>0</v>
      </c>
      <c r="F491" s="27"/>
      <c r="G491" s="7"/>
      <c r="H491" s="26"/>
      <c r="I491" s="8">
        <f>IF(G491="","",IFERROR(INDEX(Recipes!$D$5:$D$204,MATCH(G491,Recipes!$A$5:$A$204,0)),""))</f>
        <v>0</v>
      </c>
      <c r="J491" s="8">
        <f>IF(OR(G491="",H491="",I491="",I491=0),"",H491/I491)</f>
        <v>0</v>
      </c>
      <c r="K491" s="8">
        <f>IF(B491="","",Household_Size)</f>
        <v>0</v>
      </c>
      <c r="L491" s="8">
        <f>IF(OR(G491="",H491=""),"",IFERROR(IFERROR(INDEX(Recipes!$H$5:$H$204,MATCH(G491,Recipes!$A$5:$A$204,0)),"")*H491,""))</f>
        <v>0</v>
      </c>
      <c r="M491" s="8">
        <f>IF(OR(G491="",H491=""),"",IFERROR(IFERROR(INDEX(Recipes!$I$5:$I$204,MATCH(G491,Recipes!$A$5:$A$204,0)),"")*H491,""))</f>
        <v>0</v>
      </c>
      <c r="N491" s="8">
        <f>IF(OR(G491="",H491=""),"",IFERROR(IFERROR(INDEX(Recipes!$J$5:$J$204,MATCH(G491,Recipes!$A$5:$A$204,0)),"")*H491,""))</f>
        <v>0</v>
      </c>
      <c r="O491" s="8">
        <f>IF(OR(G491="",H491=""),"",IFERROR(IFERROR(INDEX(Recipes!$K$5:$K$204,MATCH(G491,Recipes!$A$5:$A$204,0)),"")*H491,""))</f>
        <v>0</v>
      </c>
      <c r="P491" s="8">
        <f>IF(OR(G491="",H491=""),"",IFERROR(IFERROR(INDEX(Recipes!$L$5:$L$204,MATCH(G491,Recipes!$A$5:$A$204,0)),"")*H491,""))</f>
        <v>0</v>
      </c>
      <c r="Q491" s="8">
        <f>IF(OR(G491="",H491=""),"",IFERROR(IFERROR(INDEX(Recipes!$Q$5:$Q$204,MATCH(G491,Recipes!$A$5:$A$204,0)),"")*H491,""))</f>
        <v>0</v>
      </c>
      <c r="R491" s="8">
        <f>IF(F491="","",Weekly_Budget/21)</f>
        <v>0</v>
      </c>
      <c r="S491" s="27"/>
      <c r="T491" s="27"/>
      <c r="U491" s="26"/>
      <c r="V491" s="7"/>
      <c r="W491" s="7"/>
      <c r="X491" s="26"/>
      <c r="Y491" s="8">
        <f>IF(G491="","",IF(COUNTIFS('Meal Prep'!$D$5:$D$124,G491)&gt;0,"Yes","No"))</f>
        <v>0</v>
      </c>
      <c r="Z491" s="8">
        <f>IF(G491="","",COUNTIFS('Recipe Ingredients'!$A$5:$A$1204,G491))</f>
        <v>0</v>
      </c>
      <c r="AA491" s="25"/>
      <c r="AB491" s="8">
        <f>IF(OR(B491="",Q491=""),"",COUNTIFS($B$5:$B$504,B491,$Q$5:$Q$504,"&gt;"&amp;Q491)+1)</f>
        <v>0</v>
      </c>
      <c r="AC491" s="8">
        <f>IF(OR(B491="",L491=""),"",COUNTIFS($B$5:$B$504,B491,$L$5:$L$504,"&gt;"&amp;L491)+1)</f>
        <v>0</v>
      </c>
      <c r="AD491" s="8">
        <f>IF(G491="","",IF(COUNTIFS($G$5:$G$504,G491)&gt;1,"Repeat","Once"))</f>
        <v>0</v>
      </c>
      <c r="AE491" s="8">
        <f>IF(G491="","",IF(IFERROR(INDEX(Recipes!$X$5:$X$204,MATCH(G491,Recipes!$A$5:$A$204,0)),"")="","",IFERROR(B491-IFERROR(INDEX(Recipes!$X$5:$X$204,MATCH(G491,Recipes!$A$5:$A$204,0)),""),"")))</f>
        <v>0</v>
      </c>
      <c r="AF491" s="8">
        <f>IF(G491="","",IF(AE491="","Yes",IF(AE491&gt;=Rotation_Gap_Days,"Yes","No")))</f>
        <v>0</v>
      </c>
      <c r="AG491" s="8">
        <f>IF(G491="","",IF(COUNTIFS('Recipe Ingredients'!$A$5:$A$1204,G491,'Recipe Ingredients'!$AC$5:$AC$1204,"Check")&gt;0,"Check","OK"))</f>
        <v>0</v>
      </c>
    </row>
    <row r="492" spans="1:33">
      <c r="A492" s="7"/>
      <c r="B492" s="30"/>
      <c r="C492" s="8">
        <f>IF(B492="","",B492-WEEKDAY(B492,2)+1)</f>
        <v>0</v>
      </c>
      <c r="D492" s="8">
        <f>IF(B492="","",TEXT(B492,"ddd"))</f>
        <v>0</v>
      </c>
      <c r="E492" s="8">
        <f>IF(B492="","",TEXT(B492,"mmm yyyy"))</f>
        <v>0</v>
      </c>
      <c r="F492" s="27"/>
      <c r="G492" s="7"/>
      <c r="H492" s="26"/>
      <c r="I492" s="8">
        <f>IF(G492="","",IFERROR(INDEX(Recipes!$D$5:$D$204,MATCH(G492,Recipes!$A$5:$A$204,0)),""))</f>
        <v>0</v>
      </c>
      <c r="J492" s="8">
        <f>IF(OR(G492="",H492="",I492="",I492=0),"",H492/I492)</f>
        <v>0</v>
      </c>
      <c r="K492" s="8">
        <f>IF(B492="","",Household_Size)</f>
        <v>0</v>
      </c>
      <c r="L492" s="8">
        <f>IF(OR(G492="",H492=""),"",IFERROR(IFERROR(INDEX(Recipes!$H$5:$H$204,MATCH(G492,Recipes!$A$5:$A$204,0)),"")*H492,""))</f>
        <v>0</v>
      </c>
      <c r="M492" s="8">
        <f>IF(OR(G492="",H492=""),"",IFERROR(IFERROR(INDEX(Recipes!$I$5:$I$204,MATCH(G492,Recipes!$A$5:$A$204,0)),"")*H492,""))</f>
        <v>0</v>
      </c>
      <c r="N492" s="8">
        <f>IF(OR(G492="",H492=""),"",IFERROR(IFERROR(INDEX(Recipes!$J$5:$J$204,MATCH(G492,Recipes!$A$5:$A$204,0)),"")*H492,""))</f>
        <v>0</v>
      </c>
      <c r="O492" s="8">
        <f>IF(OR(G492="",H492=""),"",IFERROR(IFERROR(INDEX(Recipes!$K$5:$K$204,MATCH(G492,Recipes!$A$5:$A$204,0)),"")*H492,""))</f>
        <v>0</v>
      </c>
      <c r="P492" s="8">
        <f>IF(OR(G492="",H492=""),"",IFERROR(IFERROR(INDEX(Recipes!$L$5:$L$204,MATCH(G492,Recipes!$A$5:$A$204,0)),"")*H492,""))</f>
        <v>0</v>
      </c>
      <c r="Q492" s="8">
        <f>IF(OR(G492="",H492=""),"",IFERROR(IFERROR(INDEX(Recipes!$Q$5:$Q$204,MATCH(G492,Recipes!$A$5:$A$204,0)),"")*H492,""))</f>
        <v>0</v>
      </c>
      <c r="R492" s="8">
        <f>IF(F492="","",Weekly_Budget/21)</f>
        <v>0</v>
      </c>
      <c r="S492" s="27"/>
      <c r="T492" s="27"/>
      <c r="U492" s="26"/>
      <c r="V492" s="7"/>
      <c r="W492" s="7"/>
      <c r="X492" s="26"/>
      <c r="Y492" s="8">
        <f>IF(G492="","",IF(COUNTIFS('Meal Prep'!$D$5:$D$124,G492)&gt;0,"Yes","No"))</f>
        <v>0</v>
      </c>
      <c r="Z492" s="8">
        <f>IF(G492="","",COUNTIFS('Recipe Ingredients'!$A$5:$A$1204,G492))</f>
        <v>0</v>
      </c>
      <c r="AA492" s="25"/>
      <c r="AB492" s="8">
        <f>IF(OR(B492="",Q492=""),"",COUNTIFS($B$5:$B$504,B492,$Q$5:$Q$504,"&gt;"&amp;Q492)+1)</f>
        <v>0</v>
      </c>
      <c r="AC492" s="8">
        <f>IF(OR(B492="",L492=""),"",COUNTIFS($B$5:$B$504,B492,$L$5:$L$504,"&gt;"&amp;L492)+1)</f>
        <v>0</v>
      </c>
      <c r="AD492" s="8">
        <f>IF(G492="","",IF(COUNTIFS($G$5:$G$504,G492)&gt;1,"Repeat","Once"))</f>
        <v>0</v>
      </c>
      <c r="AE492" s="8">
        <f>IF(G492="","",IF(IFERROR(INDEX(Recipes!$X$5:$X$204,MATCH(G492,Recipes!$A$5:$A$204,0)),"")="","",IFERROR(B492-IFERROR(INDEX(Recipes!$X$5:$X$204,MATCH(G492,Recipes!$A$5:$A$204,0)),""),"")))</f>
        <v>0</v>
      </c>
      <c r="AF492" s="8">
        <f>IF(G492="","",IF(AE492="","Yes",IF(AE492&gt;=Rotation_Gap_Days,"Yes","No")))</f>
        <v>0</v>
      </c>
      <c r="AG492" s="8">
        <f>IF(G492="","",IF(COUNTIFS('Recipe Ingredients'!$A$5:$A$1204,G492,'Recipe Ingredients'!$AC$5:$AC$1204,"Check")&gt;0,"Check","OK"))</f>
        <v>0</v>
      </c>
    </row>
    <row r="493" spans="1:33">
      <c r="A493" s="7"/>
      <c r="B493" s="30"/>
      <c r="C493" s="8">
        <f>IF(B493="","",B493-WEEKDAY(B493,2)+1)</f>
        <v>0</v>
      </c>
      <c r="D493" s="8">
        <f>IF(B493="","",TEXT(B493,"ddd"))</f>
        <v>0</v>
      </c>
      <c r="E493" s="8">
        <f>IF(B493="","",TEXT(B493,"mmm yyyy"))</f>
        <v>0</v>
      </c>
      <c r="F493" s="27"/>
      <c r="G493" s="7"/>
      <c r="H493" s="26"/>
      <c r="I493" s="8">
        <f>IF(G493="","",IFERROR(INDEX(Recipes!$D$5:$D$204,MATCH(G493,Recipes!$A$5:$A$204,0)),""))</f>
        <v>0</v>
      </c>
      <c r="J493" s="8">
        <f>IF(OR(G493="",H493="",I493="",I493=0),"",H493/I493)</f>
        <v>0</v>
      </c>
      <c r="K493" s="8">
        <f>IF(B493="","",Household_Size)</f>
        <v>0</v>
      </c>
      <c r="L493" s="8">
        <f>IF(OR(G493="",H493=""),"",IFERROR(IFERROR(INDEX(Recipes!$H$5:$H$204,MATCH(G493,Recipes!$A$5:$A$204,0)),"")*H493,""))</f>
        <v>0</v>
      </c>
      <c r="M493" s="8">
        <f>IF(OR(G493="",H493=""),"",IFERROR(IFERROR(INDEX(Recipes!$I$5:$I$204,MATCH(G493,Recipes!$A$5:$A$204,0)),"")*H493,""))</f>
        <v>0</v>
      </c>
      <c r="N493" s="8">
        <f>IF(OR(G493="",H493=""),"",IFERROR(IFERROR(INDEX(Recipes!$J$5:$J$204,MATCH(G493,Recipes!$A$5:$A$204,0)),"")*H493,""))</f>
        <v>0</v>
      </c>
      <c r="O493" s="8">
        <f>IF(OR(G493="",H493=""),"",IFERROR(IFERROR(INDEX(Recipes!$K$5:$K$204,MATCH(G493,Recipes!$A$5:$A$204,0)),"")*H493,""))</f>
        <v>0</v>
      </c>
      <c r="P493" s="8">
        <f>IF(OR(G493="",H493=""),"",IFERROR(IFERROR(INDEX(Recipes!$L$5:$L$204,MATCH(G493,Recipes!$A$5:$A$204,0)),"")*H493,""))</f>
        <v>0</v>
      </c>
      <c r="Q493" s="8">
        <f>IF(OR(G493="",H493=""),"",IFERROR(IFERROR(INDEX(Recipes!$Q$5:$Q$204,MATCH(G493,Recipes!$A$5:$A$204,0)),"")*H493,""))</f>
        <v>0</v>
      </c>
      <c r="R493" s="8">
        <f>IF(F493="","",Weekly_Budget/21)</f>
        <v>0</v>
      </c>
      <c r="S493" s="27"/>
      <c r="T493" s="27"/>
      <c r="U493" s="26"/>
      <c r="V493" s="7"/>
      <c r="W493" s="7"/>
      <c r="X493" s="26"/>
      <c r="Y493" s="8">
        <f>IF(G493="","",IF(COUNTIFS('Meal Prep'!$D$5:$D$124,G493)&gt;0,"Yes","No"))</f>
        <v>0</v>
      </c>
      <c r="Z493" s="8">
        <f>IF(G493="","",COUNTIFS('Recipe Ingredients'!$A$5:$A$1204,G493))</f>
        <v>0</v>
      </c>
      <c r="AA493" s="25"/>
      <c r="AB493" s="8">
        <f>IF(OR(B493="",Q493=""),"",COUNTIFS($B$5:$B$504,B493,$Q$5:$Q$504,"&gt;"&amp;Q493)+1)</f>
        <v>0</v>
      </c>
      <c r="AC493" s="8">
        <f>IF(OR(B493="",L493=""),"",COUNTIFS($B$5:$B$504,B493,$L$5:$L$504,"&gt;"&amp;L493)+1)</f>
        <v>0</v>
      </c>
      <c r="AD493" s="8">
        <f>IF(G493="","",IF(COUNTIFS($G$5:$G$504,G493)&gt;1,"Repeat","Once"))</f>
        <v>0</v>
      </c>
      <c r="AE493" s="8">
        <f>IF(G493="","",IF(IFERROR(INDEX(Recipes!$X$5:$X$204,MATCH(G493,Recipes!$A$5:$A$204,0)),"")="","",IFERROR(B493-IFERROR(INDEX(Recipes!$X$5:$X$204,MATCH(G493,Recipes!$A$5:$A$204,0)),""),"")))</f>
        <v>0</v>
      </c>
      <c r="AF493" s="8">
        <f>IF(G493="","",IF(AE493="","Yes",IF(AE493&gt;=Rotation_Gap_Days,"Yes","No")))</f>
        <v>0</v>
      </c>
      <c r="AG493" s="8">
        <f>IF(G493="","",IF(COUNTIFS('Recipe Ingredients'!$A$5:$A$1204,G493,'Recipe Ingredients'!$AC$5:$AC$1204,"Check")&gt;0,"Check","OK"))</f>
        <v>0</v>
      </c>
    </row>
    <row r="494" spans="1:33">
      <c r="A494" s="7"/>
      <c r="B494" s="30"/>
      <c r="C494" s="8">
        <f>IF(B494="","",B494-WEEKDAY(B494,2)+1)</f>
        <v>0</v>
      </c>
      <c r="D494" s="8">
        <f>IF(B494="","",TEXT(B494,"ddd"))</f>
        <v>0</v>
      </c>
      <c r="E494" s="8">
        <f>IF(B494="","",TEXT(B494,"mmm yyyy"))</f>
        <v>0</v>
      </c>
      <c r="F494" s="27"/>
      <c r="G494" s="7"/>
      <c r="H494" s="26"/>
      <c r="I494" s="8">
        <f>IF(G494="","",IFERROR(INDEX(Recipes!$D$5:$D$204,MATCH(G494,Recipes!$A$5:$A$204,0)),""))</f>
        <v>0</v>
      </c>
      <c r="J494" s="8">
        <f>IF(OR(G494="",H494="",I494="",I494=0),"",H494/I494)</f>
        <v>0</v>
      </c>
      <c r="K494" s="8">
        <f>IF(B494="","",Household_Size)</f>
        <v>0</v>
      </c>
      <c r="L494" s="8">
        <f>IF(OR(G494="",H494=""),"",IFERROR(IFERROR(INDEX(Recipes!$H$5:$H$204,MATCH(G494,Recipes!$A$5:$A$204,0)),"")*H494,""))</f>
        <v>0</v>
      </c>
      <c r="M494" s="8">
        <f>IF(OR(G494="",H494=""),"",IFERROR(IFERROR(INDEX(Recipes!$I$5:$I$204,MATCH(G494,Recipes!$A$5:$A$204,0)),"")*H494,""))</f>
        <v>0</v>
      </c>
      <c r="N494" s="8">
        <f>IF(OR(G494="",H494=""),"",IFERROR(IFERROR(INDEX(Recipes!$J$5:$J$204,MATCH(G494,Recipes!$A$5:$A$204,0)),"")*H494,""))</f>
        <v>0</v>
      </c>
      <c r="O494" s="8">
        <f>IF(OR(G494="",H494=""),"",IFERROR(IFERROR(INDEX(Recipes!$K$5:$K$204,MATCH(G494,Recipes!$A$5:$A$204,0)),"")*H494,""))</f>
        <v>0</v>
      </c>
      <c r="P494" s="8">
        <f>IF(OR(G494="",H494=""),"",IFERROR(IFERROR(INDEX(Recipes!$L$5:$L$204,MATCH(G494,Recipes!$A$5:$A$204,0)),"")*H494,""))</f>
        <v>0</v>
      </c>
      <c r="Q494" s="8">
        <f>IF(OR(G494="",H494=""),"",IFERROR(IFERROR(INDEX(Recipes!$Q$5:$Q$204,MATCH(G494,Recipes!$A$5:$A$204,0)),"")*H494,""))</f>
        <v>0</v>
      </c>
      <c r="R494" s="8">
        <f>IF(F494="","",Weekly_Budget/21)</f>
        <v>0</v>
      </c>
      <c r="S494" s="27"/>
      <c r="T494" s="27"/>
      <c r="U494" s="26"/>
      <c r="V494" s="7"/>
      <c r="W494" s="7"/>
      <c r="X494" s="26"/>
      <c r="Y494" s="8">
        <f>IF(G494="","",IF(COUNTIFS('Meal Prep'!$D$5:$D$124,G494)&gt;0,"Yes","No"))</f>
        <v>0</v>
      </c>
      <c r="Z494" s="8">
        <f>IF(G494="","",COUNTIFS('Recipe Ingredients'!$A$5:$A$1204,G494))</f>
        <v>0</v>
      </c>
      <c r="AA494" s="25"/>
      <c r="AB494" s="8">
        <f>IF(OR(B494="",Q494=""),"",COUNTIFS($B$5:$B$504,B494,$Q$5:$Q$504,"&gt;"&amp;Q494)+1)</f>
        <v>0</v>
      </c>
      <c r="AC494" s="8">
        <f>IF(OR(B494="",L494=""),"",COUNTIFS($B$5:$B$504,B494,$L$5:$L$504,"&gt;"&amp;L494)+1)</f>
        <v>0</v>
      </c>
      <c r="AD494" s="8">
        <f>IF(G494="","",IF(COUNTIFS($G$5:$G$504,G494)&gt;1,"Repeat","Once"))</f>
        <v>0</v>
      </c>
      <c r="AE494" s="8">
        <f>IF(G494="","",IF(IFERROR(INDEX(Recipes!$X$5:$X$204,MATCH(G494,Recipes!$A$5:$A$204,0)),"")="","",IFERROR(B494-IFERROR(INDEX(Recipes!$X$5:$X$204,MATCH(G494,Recipes!$A$5:$A$204,0)),""),"")))</f>
        <v>0</v>
      </c>
      <c r="AF494" s="8">
        <f>IF(G494="","",IF(AE494="","Yes",IF(AE494&gt;=Rotation_Gap_Days,"Yes","No")))</f>
        <v>0</v>
      </c>
      <c r="AG494" s="8">
        <f>IF(G494="","",IF(COUNTIFS('Recipe Ingredients'!$A$5:$A$1204,G494,'Recipe Ingredients'!$AC$5:$AC$1204,"Check")&gt;0,"Check","OK"))</f>
        <v>0</v>
      </c>
    </row>
    <row r="495" spans="1:33">
      <c r="A495" s="7"/>
      <c r="B495" s="30"/>
      <c r="C495" s="8">
        <f>IF(B495="","",B495-WEEKDAY(B495,2)+1)</f>
        <v>0</v>
      </c>
      <c r="D495" s="8">
        <f>IF(B495="","",TEXT(B495,"ddd"))</f>
        <v>0</v>
      </c>
      <c r="E495" s="8">
        <f>IF(B495="","",TEXT(B495,"mmm yyyy"))</f>
        <v>0</v>
      </c>
      <c r="F495" s="27"/>
      <c r="G495" s="7"/>
      <c r="H495" s="26"/>
      <c r="I495" s="8">
        <f>IF(G495="","",IFERROR(INDEX(Recipes!$D$5:$D$204,MATCH(G495,Recipes!$A$5:$A$204,0)),""))</f>
        <v>0</v>
      </c>
      <c r="J495" s="8">
        <f>IF(OR(G495="",H495="",I495="",I495=0),"",H495/I495)</f>
        <v>0</v>
      </c>
      <c r="K495" s="8">
        <f>IF(B495="","",Household_Size)</f>
        <v>0</v>
      </c>
      <c r="L495" s="8">
        <f>IF(OR(G495="",H495=""),"",IFERROR(IFERROR(INDEX(Recipes!$H$5:$H$204,MATCH(G495,Recipes!$A$5:$A$204,0)),"")*H495,""))</f>
        <v>0</v>
      </c>
      <c r="M495" s="8">
        <f>IF(OR(G495="",H495=""),"",IFERROR(IFERROR(INDEX(Recipes!$I$5:$I$204,MATCH(G495,Recipes!$A$5:$A$204,0)),"")*H495,""))</f>
        <v>0</v>
      </c>
      <c r="N495" s="8">
        <f>IF(OR(G495="",H495=""),"",IFERROR(IFERROR(INDEX(Recipes!$J$5:$J$204,MATCH(G495,Recipes!$A$5:$A$204,0)),"")*H495,""))</f>
        <v>0</v>
      </c>
      <c r="O495" s="8">
        <f>IF(OR(G495="",H495=""),"",IFERROR(IFERROR(INDEX(Recipes!$K$5:$K$204,MATCH(G495,Recipes!$A$5:$A$204,0)),"")*H495,""))</f>
        <v>0</v>
      </c>
      <c r="P495" s="8">
        <f>IF(OR(G495="",H495=""),"",IFERROR(IFERROR(INDEX(Recipes!$L$5:$L$204,MATCH(G495,Recipes!$A$5:$A$204,0)),"")*H495,""))</f>
        <v>0</v>
      </c>
      <c r="Q495" s="8">
        <f>IF(OR(G495="",H495=""),"",IFERROR(IFERROR(INDEX(Recipes!$Q$5:$Q$204,MATCH(G495,Recipes!$A$5:$A$204,0)),"")*H495,""))</f>
        <v>0</v>
      </c>
      <c r="R495" s="8">
        <f>IF(F495="","",Weekly_Budget/21)</f>
        <v>0</v>
      </c>
      <c r="S495" s="27"/>
      <c r="T495" s="27"/>
      <c r="U495" s="26"/>
      <c r="V495" s="7"/>
      <c r="W495" s="7"/>
      <c r="X495" s="26"/>
      <c r="Y495" s="8">
        <f>IF(G495="","",IF(COUNTIFS('Meal Prep'!$D$5:$D$124,G495)&gt;0,"Yes","No"))</f>
        <v>0</v>
      </c>
      <c r="Z495" s="8">
        <f>IF(G495="","",COUNTIFS('Recipe Ingredients'!$A$5:$A$1204,G495))</f>
        <v>0</v>
      </c>
      <c r="AA495" s="25"/>
      <c r="AB495" s="8">
        <f>IF(OR(B495="",Q495=""),"",COUNTIFS($B$5:$B$504,B495,$Q$5:$Q$504,"&gt;"&amp;Q495)+1)</f>
        <v>0</v>
      </c>
      <c r="AC495" s="8">
        <f>IF(OR(B495="",L495=""),"",COUNTIFS($B$5:$B$504,B495,$L$5:$L$504,"&gt;"&amp;L495)+1)</f>
        <v>0</v>
      </c>
      <c r="AD495" s="8">
        <f>IF(G495="","",IF(COUNTIFS($G$5:$G$504,G495)&gt;1,"Repeat","Once"))</f>
        <v>0</v>
      </c>
      <c r="AE495" s="8">
        <f>IF(G495="","",IF(IFERROR(INDEX(Recipes!$X$5:$X$204,MATCH(G495,Recipes!$A$5:$A$204,0)),"")="","",IFERROR(B495-IFERROR(INDEX(Recipes!$X$5:$X$204,MATCH(G495,Recipes!$A$5:$A$204,0)),""),"")))</f>
        <v>0</v>
      </c>
      <c r="AF495" s="8">
        <f>IF(G495="","",IF(AE495="","Yes",IF(AE495&gt;=Rotation_Gap_Days,"Yes","No")))</f>
        <v>0</v>
      </c>
      <c r="AG495" s="8">
        <f>IF(G495="","",IF(COUNTIFS('Recipe Ingredients'!$A$5:$A$1204,G495,'Recipe Ingredients'!$AC$5:$AC$1204,"Check")&gt;0,"Check","OK"))</f>
        <v>0</v>
      </c>
    </row>
    <row r="496" spans="1:33">
      <c r="A496" s="7"/>
      <c r="B496" s="30"/>
      <c r="C496" s="8">
        <f>IF(B496="","",B496-WEEKDAY(B496,2)+1)</f>
        <v>0</v>
      </c>
      <c r="D496" s="8">
        <f>IF(B496="","",TEXT(B496,"ddd"))</f>
        <v>0</v>
      </c>
      <c r="E496" s="8">
        <f>IF(B496="","",TEXT(B496,"mmm yyyy"))</f>
        <v>0</v>
      </c>
      <c r="F496" s="27"/>
      <c r="G496" s="7"/>
      <c r="H496" s="26"/>
      <c r="I496" s="8">
        <f>IF(G496="","",IFERROR(INDEX(Recipes!$D$5:$D$204,MATCH(G496,Recipes!$A$5:$A$204,0)),""))</f>
        <v>0</v>
      </c>
      <c r="J496" s="8">
        <f>IF(OR(G496="",H496="",I496="",I496=0),"",H496/I496)</f>
        <v>0</v>
      </c>
      <c r="K496" s="8">
        <f>IF(B496="","",Household_Size)</f>
        <v>0</v>
      </c>
      <c r="L496" s="8">
        <f>IF(OR(G496="",H496=""),"",IFERROR(IFERROR(INDEX(Recipes!$H$5:$H$204,MATCH(G496,Recipes!$A$5:$A$204,0)),"")*H496,""))</f>
        <v>0</v>
      </c>
      <c r="M496" s="8">
        <f>IF(OR(G496="",H496=""),"",IFERROR(IFERROR(INDEX(Recipes!$I$5:$I$204,MATCH(G496,Recipes!$A$5:$A$204,0)),"")*H496,""))</f>
        <v>0</v>
      </c>
      <c r="N496" s="8">
        <f>IF(OR(G496="",H496=""),"",IFERROR(IFERROR(INDEX(Recipes!$J$5:$J$204,MATCH(G496,Recipes!$A$5:$A$204,0)),"")*H496,""))</f>
        <v>0</v>
      </c>
      <c r="O496" s="8">
        <f>IF(OR(G496="",H496=""),"",IFERROR(IFERROR(INDEX(Recipes!$K$5:$K$204,MATCH(G496,Recipes!$A$5:$A$204,0)),"")*H496,""))</f>
        <v>0</v>
      </c>
      <c r="P496" s="8">
        <f>IF(OR(G496="",H496=""),"",IFERROR(IFERROR(INDEX(Recipes!$L$5:$L$204,MATCH(G496,Recipes!$A$5:$A$204,0)),"")*H496,""))</f>
        <v>0</v>
      </c>
      <c r="Q496" s="8">
        <f>IF(OR(G496="",H496=""),"",IFERROR(IFERROR(INDEX(Recipes!$Q$5:$Q$204,MATCH(G496,Recipes!$A$5:$A$204,0)),"")*H496,""))</f>
        <v>0</v>
      </c>
      <c r="R496" s="8">
        <f>IF(F496="","",Weekly_Budget/21)</f>
        <v>0</v>
      </c>
      <c r="S496" s="27"/>
      <c r="T496" s="27"/>
      <c r="U496" s="26"/>
      <c r="V496" s="7"/>
      <c r="W496" s="7"/>
      <c r="X496" s="26"/>
      <c r="Y496" s="8">
        <f>IF(G496="","",IF(COUNTIFS('Meal Prep'!$D$5:$D$124,G496)&gt;0,"Yes","No"))</f>
        <v>0</v>
      </c>
      <c r="Z496" s="8">
        <f>IF(G496="","",COUNTIFS('Recipe Ingredients'!$A$5:$A$1204,G496))</f>
        <v>0</v>
      </c>
      <c r="AA496" s="25"/>
      <c r="AB496" s="8">
        <f>IF(OR(B496="",Q496=""),"",COUNTIFS($B$5:$B$504,B496,$Q$5:$Q$504,"&gt;"&amp;Q496)+1)</f>
        <v>0</v>
      </c>
      <c r="AC496" s="8">
        <f>IF(OR(B496="",L496=""),"",COUNTIFS($B$5:$B$504,B496,$L$5:$L$504,"&gt;"&amp;L496)+1)</f>
        <v>0</v>
      </c>
      <c r="AD496" s="8">
        <f>IF(G496="","",IF(COUNTIFS($G$5:$G$504,G496)&gt;1,"Repeat","Once"))</f>
        <v>0</v>
      </c>
      <c r="AE496" s="8">
        <f>IF(G496="","",IF(IFERROR(INDEX(Recipes!$X$5:$X$204,MATCH(G496,Recipes!$A$5:$A$204,0)),"")="","",IFERROR(B496-IFERROR(INDEX(Recipes!$X$5:$X$204,MATCH(G496,Recipes!$A$5:$A$204,0)),""),"")))</f>
        <v>0</v>
      </c>
      <c r="AF496" s="8">
        <f>IF(G496="","",IF(AE496="","Yes",IF(AE496&gt;=Rotation_Gap_Days,"Yes","No")))</f>
        <v>0</v>
      </c>
      <c r="AG496" s="8">
        <f>IF(G496="","",IF(COUNTIFS('Recipe Ingredients'!$A$5:$A$1204,G496,'Recipe Ingredients'!$AC$5:$AC$1204,"Check")&gt;0,"Check","OK"))</f>
        <v>0</v>
      </c>
    </row>
    <row r="497" spans="1:33">
      <c r="A497" s="7"/>
      <c r="B497" s="30"/>
      <c r="C497" s="8">
        <f>IF(B497="","",B497-WEEKDAY(B497,2)+1)</f>
        <v>0</v>
      </c>
      <c r="D497" s="8">
        <f>IF(B497="","",TEXT(B497,"ddd"))</f>
        <v>0</v>
      </c>
      <c r="E497" s="8">
        <f>IF(B497="","",TEXT(B497,"mmm yyyy"))</f>
        <v>0</v>
      </c>
      <c r="F497" s="27"/>
      <c r="G497" s="7"/>
      <c r="H497" s="26"/>
      <c r="I497" s="8">
        <f>IF(G497="","",IFERROR(INDEX(Recipes!$D$5:$D$204,MATCH(G497,Recipes!$A$5:$A$204,0)),""))</f>
        <v>0</v>
      </c>
      <c r="J497" s="8">
        <f>IF(OR(G497="",H497="",I497="",I497=0),"",H497/I497)</f>
        <v>0</v>
      </c>
      <c r="K497" s="8">
        <f>IF(B497="","",Household_Size)</f>
        <v>0</v>
      </c>
      <c r="L497" s="8">
        <f>IF(OR(G497="",H497=""),"",IFERROR(IFERROR(INDEX(Recipes!$H$5:$H$204,MATCH(G497,Recipes!$A$5:$A$204,0)),"")*H497,""))</f>
        <v>0</v>
      </c>
      <c r="M497" s="8">
        <f>IF(OR(G497="",H497=""),"",IFERROR(IFERROR(INDEX(Recipes!$I$5:$I$204,MATCH(G497,Recipes!$A$5:$A$204,0)),"")*H497,""))</f>
        <v>0</v>
      </c>
      <c r="N497" s="8">
        <f>IF(OR(G497="",H497=""),"",IFERROR(IFERROR(INDEX(Recipes!$J$5:$J$204,MATCH(G497,Recipes!$A$5:$A$204,0)),"")*H497,""))</f>
        <v>0</v>
      </c>
      <c r="O497" s="8">
        <f>IF(OR(G497="",H497=""),"",IFERROR(IFERROR(INDEX(Recipes!$K$5:$K$204,MATCH(G497,Recipes!$A$5:$A$204,0)),"")*H497,""))</f>
        <v>0</v>
      </c>
      <c r="P497" s="8">
        <f>IF(OR(G497="",H497=""),"",IFERROR(IFERROR(INDEX(Recipes!$L$5:$L$204,MATCH(G497,Recipes!$A$5:$A$204,0)),"")*H497,""))</f>
        <v>0</v>
      </c>
      <c r="Q497" s="8">
        <f>IF(OR(G497="",H497=""),"",IFERROR(IFERROR(INDEX(Recipes!$Q$5:$Q$204,MATCH(G497,Recipes!$A$5:$A$204,0)),"")*H497,""))</f>
        <v>0</v>
      </c>
      <c r="R497" s="8">
        <f>IF(F497="","",Weekly_Budget/21)</f>
        <v>0</v>
      </c>
      <c r="S497" s="27"/>
      <c r="T497" s="27"/>
      <c r="U497" s="26"/>
      <c r="V497" s="7"/>
      <c r="W497" s="7"/>
      <c r="X497" s="26"/>
      <c r="Y497" s="8">
        <f>IF(G497="","",IF(COUNTIFS('Meal Prep'!$D$5:$D$124,G497)&gt;0,"Yes","No"))</f>
        <v>0</v>
      </c>
      <c r="Z497" s="8">
        <f>IF(G497="","",COUNTIFS('Recipe Ingredients'!$A$5:$A$1204,G497))</f>
        <v>0</v>
      </c>
      <c r="AA497" s="25"/>
      <c r="AB497" s="8">
        <f>IF(OR(B497="",Q497=""),"",COUNTIFS($B$5:$B$504,B497,$Q$5:$Q$504,"&gt;"&amp;Q497)+1)</f>
        <v>0</v>
      </c>
      <c r="AC497" s="8">
        <f>IF(OR(B497="",L497=""),"",COUNTIFS($B$5:$B$504,B497,$L$5:$L$504,"&gt;"&amp;L497)+1)</f>
        <v>0</v>
      </c>
      <c r="AD497" s="8">
        <f>IF(G497="","",IF(COUNTIFS($G$5:$G$504,G497)&gt;1,"Repeat","Once"))</f>
        <v>0</v>
      </c>
      <c r="AE497" s="8">
        <f>IF(G497="","",IF(IFERROR(INDEX(Recipes!$X$5:$X$204,MATCH(G497,Recipes!$A$5:$A$204,0)),"")="","",IFERROR(B497-IFERROR(INDEX(Recipes!$X$5:$X$204,MATCH(G497,Recipes!$A$5:$A$204,0)),""),"")))</f>
        <v>0</v>
      </c>
      <c r="AF497" s="8">
        <f>IF(G497="","",IF(AE497="","Yes",IF(AE497&gt;=Rotation_Gap_Days,"Yes","No")))</f>
        <v>0</v>
      </c>
      <c r="AG497" s="8">
        <f>IF(G497="","",IF(COUNTIFS('Recipe Ingredients'!$A$5:$A$1204,G497,'Recipe Ingredients'!$AC$5:$AC$1204,"Check")&gt;0,"Check","OK"))</f>
        <v>0</v>
      </c>
    </row>
    <row r="498" spans="1:33">
      <c r="A498" s="7"/>
      <c r="B498" s="30"/>
      <c r="C498" s="8">
        <f>IF(B498="","",B498-WEEKDAY(B498,2)+1)</f>
        <v>0</v>
      </c>
      <c r="D498" s="8">
        <f>IF(B498="","",TEXT(B498,"ddd"))</f>
        <v>0</v>
      </c>
      <c r="E498" s="8">
        <f>IF(B498="","",TEXT(B498,"mmm yyyy"))</f>
        <v>0</v>
      </c>
      <c r="F498" s="27"/>
      <c r="G498" s="7"/>
      <c r="H498" s="26"/>
      <c r="I498" s="8">
        <f>IF(G498="","",IFERROR(INDEX(Recipes!$D$5:$D$204,MATCH(G498,Recipes!$A$5:$A$204,0)),""))</f>
        <v>0</v>
      </c>
      <c r="J498" s="8">
        <f>IF(OR(G498="",H498="",I498="",I498=0),"",H498/I498)</f>
        <v>0</v>
      </c>
      <c r="K498" s="8">
        <f>IF(B498="","",Household_Size)</f>
        <v>0</v>
      </c>
      <c r="L498" s="8">
        <f>IF(OR(G498="",H498=""),"",IFERROR(IFERROR(INDEX(Recipes!$H$5:$H$204,MATCH(G498,Recipes!$A$5:$A$204,0)),"")*H498,""))</f>
        <v>0</v>
      </c>
      <c r="M498" s="8">
        <f>IF(OR(G498="",H498=""),"",IFERROR(IFERROR(INDEX(Recipes!$I$5:$I$204,MATCH(G498,Recipes!$A$5:$A$204,0)),"")*H498,""))</f>
        <v>0</v>
      </c>
      <c r="N498" s="8">
        <f>IF(OR(G498="",H498=""),"",IFERROR(IFERROR(INDEX(Recipes!$J$5:$J$204,MATCH(G498,Recipes!$A$5:$A$204,0)),"")*H498,""))</f>
        <v>0</v>
      </c>
      <c r="O498" s="8">
        <f>IF(OR(G498="",H498=""),"",IFERROR(IFERROR(INDEX(Recipes!$K$5:$K$204,MATCH(G498,Recipes!$A$5:$A$204,0)),"")*H498,""))</f>
        <v>0</v>
      </c>
      <c r="P498" s="8">
        <f>IF(OR(G498="",H498=""),"",IFERROR(IFERROR(INDEX(Recipes!$L$5:$L$204,MATCH(G498,Recipes!$A$5:$A$204,0)),"")*H498,""))</f>
        <v>0</v>
      </c>
      <c r="Q498" s="8">
        <f>IF(OR(G498="",H498=""),"",IFERROR(IFERROR(INDEX(Recipes!$Q$5:$Q$204,MATCH(G498,Recipes!$A$5:$A$204,0)),"")*H498,""))</f>
        <v>0</v>
      </c>
      <c r="R498" s="8">
        <f>IF(F498="","",Weekly_Budget/21)</f>
        <v>0</v>
      </c>
      <c r="S498" s="27"/>
      <c r="T498" s="27"/>
      <c r="U498" s="26"/>
      <c r="V498" s="7"/>
      <c r="W498" s="7"/>
      <c r="X498" s="26"/>
      <c r="Y498" s="8">
        <f>IF(G498="","",IF(COUNTIFS('Meal Prep'!$D$5:$D$124,G498)&gt;0,"Yes","No"))</f>
        <v>0</v>
      </c>
      <c r="Z498" s="8">
        <f>IF(G498="","",COUNTIFS('Recipe Ingredients'!$A$5:$A$1204,G498))</f>
        <v>0</v>
      </c>
      <c r="AA498" s="25"/>
      <c r="AB498" s="8">
        <f>IF(OR(B498="",Q498=""),"",COUNTIFS($B$5:$B$504,B498,$Q$5:$Q$504,"&gt;"&amp;Q498)+1)</f>
        <v>0</v>
      </c>
      <c r="AC498" s="8">
        <f>IF(OR(B498="",L498=""),"",COUNTIFS($B$5:$B$504,B498,$L$5:$L$504,"&gt;"&amp;L498)+1)</f>
        <v>0</v>
      </c>
      <c r="AD498" s="8">
        <f>IF(G498="","",IF(COUNTIFS($G$5:$G$504,G498)&gt;1,"Repeat","Once"))</f>
        <v>0</v>
      </c>
      <c r="AE498" s="8">
        <f>IF(G498="","",IF(IFERROR(INDEX(Recipes!$X$5:$X$204,MATCH(G498,Recipes!$A$5:$A$204,0)),"")="","",IFERROR(B498-IFERROR(INDEX(Recipes!$X$5:$X$204,MATCH(G498,Recipes!$A$5:$A$204,0)),""),"")))</f>
        <v>0</v>
      </c>
      <c r="AF498" s="8">
        <f>IF(G498="","",IF(AE498="","Yes",IF(AE498&gt;=Rotation_Gap_Days,"Yes","No")))</f>
        <v>0</v>
      </c>
      <c r="AG498" s="8">
        <f>IF(G498="","",IF(COUNTIFS('Recipe Ingredients'!$A$5:$A$1204,G498,'Recipe Ingredients'!$AC$5:$AC$1204,"Check")&gt;0,"Check","OK"))</f>
        <v>0</v>
      </c>
    </row>
    <row r="499" spans="1:33">
      <c r="A499" s="7"/>
      <c r="B499" s="30"/>
      <c r="C499" s="8">
        <f>IF(B499="","",B499-WEEKDAY(B499,2)+1)</f>
        <v>0</v>
      </c>
      <c r="D499" s="8">
        <f>IF(B499="","",TEXT(B499,"ddd"))</f>
        <v>0</v>
      </c>
      <c r="E499" s="8">
        <f>IF(B499="","",TEXT(B499,"mmm yyyy"))</f>
        <v>0</v>
      </c>
      <c r="F499" s="27"/>
      <c r="G499" s="7"/>
      <c r="H499" s="26"/>
      <c r="I499" s="8">
        <f>IF(G499="","",IFERROR(INDEX(Recipes!$D$5:$D$204,MATCH(G499,Recipes!$A$5:$A$204,0)),""))</f>
        <v>0</v>
      </c>
      <c r="J499" s="8">
        <f>IF(OR(G499="",H499="",I499="",I499=0),"",H499/I499)</f>
        <v>0</v>
      </c>
      <c r="K499" s="8">
        <f>IF(B499="","",Household_Size)</f>
        <v>0</v>
      </c>
      <c r="L499" s="8">
        <f>IF(OR(G499="",H499=""),"",IFERROR(IFERROR(INDEX(Recipes!$H$5:$H$204,MATCH(G499,Recipes!$A$5:$A$204,0)),"")*H499,""))</f>
        <v>0</v>
      </c>
      <c r="M499" s="8">
        <f>IF(OR(G499="",H499=""),"",IFERROR(IFERROR(INDEX(Recipes!$I$5:$I$204,MATCH(G499,Recipes!$A$5:$A$204,0)),"")*H499,""))</f>
        <v>0</v>
      </c>
      <c r="N499" s="8">
        <f>IF(OR(G499="",H499=""),"",IFERROR(IFERROR(INDEX(Recipes!$J$5:$J$204,MATCH(G499,Recipes!$A$5:$A$204,0)),"")*H499,""))</f>
        <v>0</v>
      </c>
      <c r="O499" s="8">
        <f>IF(OR(G499="",H499=""),"",IFERROR(IFERROR(INDEX(Recipes!$K$5:$K$204,MATCH(G499,Recipes!$A$5:$A$204,0)),"")*H499,""))</f>
        <v>0</v>
      </c>
      <c r="P499" s="8">
        <f>IF(OR(G499="",H499=""),"",IFERROR(IFERROR(INDEX(Recipes!$L$5:$L$204,MATCH(G499,Recipes!$A$5:$A$204,0)),"")*H499,""))</f>
        <v>0</v>
      </c>
      <c r="Q499" s="8">
        <f>IF(OR(G499="",H499=""),"",IFERROR(IFERROR(INDEX(Recipes!$Q$5:$Q$204,MATCH(G499,Recipes!$A$5:$A$204,0)),"")*H499,""))</f>
        <v>0</v>
      </c>
      <c r="R499" s="8">
        <f>IF(F499="","",Weekly_Budget/21)</f>
        <v>0</v>
      </c>
      <c r="S499" s="27"/>
      <c r="T499" s="27"/>
      <c r="U499" s="26"/>
      <c r="V499" s="7"/>
      <c r="W499" s="7"/>
      <c r="X499" s="26"/>
      <c r="Y499" s="8">
        <f>IF(G499="","",IF(COUNTIFS('Meal Prep'!$D$5:$D$124,G499)&gt;0,"Yes","No"))</f>
        <v>0</v>
      </c>
      <c r="Z499" s="8">
        <f>IF(G499="","",COUNTIFS('Recipe Ingredients'!$A$5:$A$1204,G499))</f>
        <v>0</v>
      </c>
      <c r="AA499" s="25"/>
      <c r="AB499" s="8">
        <f>IF(OR(B499="",Q499=""),"",COUNTIFS($B$5:$B$504,B499,$Q$5:$Q$504,"&gt;"&amp;Q499)+1)</f>
        <v>0</v>
      </c>
      <c r="AC499" s="8">
        <f>IF(OR(B499="",L499=""),"",COUNTIFS($B$5:$B$504,B499,$L$5:$L$504,"&gt;"&amp;L499)+1)</f>
        <v>0</v>
      </c>
      <c r="AD499" s="8">
        <f>IF(G499="","",IF(COUNTIFS($G$5:$G$504,G499)&gt;1,"Repeat","Once"))</f>
        <v>0</v>
      </c>
      <c r="AE499" s="8">
        <f>IF(G499="","",IF(IFERROR(INDEX(Recipes!$X$5:$X$204,MATCH(G499,Recipes!$A$5:$A$204,0)),"")="","",IFERROR(B499-IFERROR(INDEX(Recipes!$X$5:$X$204,MATCH(G499,Recipes!$A$5:$A$204,0)),""),"")))</f>
        <v>0</v>
      </c>
      <c r="AF499" s="8">
        <f>IF(G499="","",IF(AE499="","Yes",IF(AE499&gt;=Rotation_Gap_Days,"Yes","No")))</f>
        <v>0</v>
      </c>
      <c r="AG499" s="8">
        <f>IF(G499="","",IF(COUNTIFS('Recipe Ingredients'!$A$5:$A$1204,G499,'Recipe Ingredients'!$AC$5:$AC$1204,"Check")&gt;0,"Check","OK"))</f>
        <v>0</v>
      </c>
    </row>
    <row r="500" spans="1:33">
      <c r="A500" s="7"/>
      <c r="B500" s="30"/>
      <c r="C500" s="8">
        <f>IF(B500="","",B500-WEEKDAY(B500,2)+1)</f>
        <v>0</v>
      </c>
      <c r="D500" s="8">
        <f>IF(B500="","",TEXT(B500,"ddd"))</f>
        <v>0</v>
      </c>
      <c r="E500" s="8">
        <f>IF(B500="","",TEXT(B500,"mmm yyyy"))</f>
        <v>0</v>
      </c>
      <c r="F500" s="27"/>
      <c r="G500" s="7"/>
      <c r="H500" s="26"/>
      <c r="I500" s="8">
        <f>IF(G500="","",IFERROR(INDEX(Recipes!$D$5:$D$204,MATCH(G500,Recipes!$A$5:$A$204,0)),""))</f>
        <v>0</v>
      </c>
      <c r="J500" s="8">
        <f>IF(OR(G500="",H500="",I500="",I500=0),"",H500/I500)</f>
        <v>0</v>
      </c>
      <c r="K500" s="8">
        <f>IF(B500="","",Household_Size)</f>
        <v>0</v>
      </c>
      <c r="L500" s="8">
        <f>IF(OR(G500="",H500=""),"",IFERROR(IFERROR(INDEX(Recipes!$H$5:$H$204,MATCH(G500,Recipes!$A$5:$A$204,0)),"")*H500,""))</f>
        <v>0</v>
      </c>
      <c r="M500" s="8">
        <f>IF(OR(G500="",H500=""),"",IFERROR(IFERROR(INDEX(Recipes!$I$5:$I$204,MATCH(G500,Recipes!$A$5:$A$204,0)),"")*H500,""))</f>
        <v>0</v>
      </c>
      <c r="N500" s="8">
        <f>IF(OR(G500="",H500=""),"",IFERROR(IFERROR(INDEX(Recipes!$J$5:$J$204,MATCH(G500,Recipes!$A$5:$A$204,0)),"")*H500,""))</f>
        <v>0</v>
      </c>
      <c r="O500" s="8">
        <f>IF(OR(G500="",H500=""),"",IFERROR(IFERROR(INDEX(Recipes!$K$5:$K$204,MATCH(G500,Recipes!$A$5:$A$204,0)),"")*H500,""))</f>
        <v>0</v>
      </c>
      <c r="P500" s="8">
        <f>IF(OR(G500="",H500=""),"",IFERROR(IFERROR(INDEX(Recipes!$L$5:$L$204,MATCH(G500,Recipes!$A$5:$A$204,0)),"")*H500,""))</f>
        <v>0</v>
      </c>
      <c r="Q500" s="8">
        <f>IF(OR(G500="",H500=""),"",IFERROR(IFERROR(INDEX(Recipes!$Q$5:$Q$204,MATCH(G500,Recipes!$A$5:$A$204,0)),"")*H500,""))</f>
        <v>0</v>
      </c>
      <c r="R500" s="8">
        <f>IF(F500="","",Weekly_Budget/21)</f>
        <v>0</v>
      </c>
      <c r="S500" s="27"/>
      <c r="T500" s="27"/>
      <c r="U500" s="26"/>
      <c r="V500" s="7"/>
      <c r="W500" s="7"/>
      <c r="X500" s="26"/>
      <c r="Y500" s="8">
        <f>IF(G500="","",IF(COUNTIFS('Meal Prep'!$D$5:$D$124,G500)&gt;0,"Yes","No"))</f>
        <v>0</v>
      </c>
      <c r="Z500" s="8">
        <f>IF(G500="","",COUNTIFS('Recipe Ingredients'!$A$5:$A$1204,G500))</f>
        <v>0</v>
      </c>
      <c r="AA500" s="25"/>
      <c r="AB500" s="8">
        <f>IF(OR(B500="",Q500=""),"",COUNTIFS($B$5:$B$504,B500,$Q$5:$Q$504,"&gt;"&amp;Q500)+1)</f>
        <v>0</v>
      </c>
      <c r="AC500" s="8">
        <f>IF(OR(B500="",L500=""),"",COUNTIFS($B$5:$B$504,B500,$L$5:$L$504,"&gt;"&amp;L500)+1)</f>
        <v>0</v>
      </c>
      <c r="AD500" s="8">
        <f>IF(G500="","",IF(COUNTIFS($G$5:$G$504,G500)&gt;1,"Repeat","Once"))</f>
        <v>0</v>
      </c>
      <c r="AE500" s="8">
        <f>IF(G500="","",IF(IFERROR(INDEX(Recipes!$X$5:$X$204,MATCH(G500,Recipes!$A$5:$A$204,0)),"")="","",IFERROR(B500-IFERROR(INDEX(Recipes!$X$5:$X$204,MATCH(G500,Recipes!$A$5:$A$204,0)),""),"")))</f>
        <v>0</v>
      </c>
      <c r="AF500" s="8">
        <f>IF(G500="","",IF(AE500="","Yes",IF(AE500&gt;=Rotation_Gap_Days,"Yes","No")))</f>
        <v>0</v>
      </c>
      <c r="AG500" s="8">
        <f>IF(G500="","",IF(COUNTIFS('Recipe Ingredients'!$A$5:$A$1204,G500,'Recipe Ingredients'!$AC$5:$AC$1204,"Check")&gt;0,"Check","OK"))</f>
        <v>0</v>
      </c>
    </row>
    <row r="501" spans="1:33">
      <c r="A501" s="7"/>
      <c r="B501" s="30"/>
      <c r="C501" s="8">
        <f>IF(B501="","",B501-WEEKDAY(B501,2)+1)</f>
        <v>0</v>
      </c>
      <c r="D501" s="8">
        <f>IF(B501="","",TEXT(B501,"ddd"))</f>
        <v>0</v>
      </c>
      <c r="E501" s="8">
        <f>IF(B501="","",TEXT(B501,"mmm yyyy"))</f>
        <v>0</v>
      </c>
      <c r="F501" s="27"/>
      <c r="G501" s="7"/>
      <c r="H501" s="26"/>
      <c r="I501" s="8">
        <f>IF(G501="","",IFERROR(INDEX(Recipes!$D$5:$D$204,MATCH(G501,Recipes!$A$5:$A$204,0)),""))</f>
        <v>0</v>
      </c>
      <c r="J501" s="8">
        <f>IF(OR(G501="",H501="",I501="",I501=0),"",H501/I501)</f>
        <v>0</v>
      </c>
      <c r="K501" s="8">
        <f>IF(B501="","",Household_Size)</f>
        <v>0</v>
      </c>
      <c r="L501" s="8">
        <f>IF(OR(G501="",H501=""),"",IFERROR(IFERROR(INDEX(Recipes!$H$5:$H$204,MATCH(G501,Recipes!$A$5:$A$204,0)),"")*H501,""))</f>
        <v>0</v>
      </c>
      <c r="M501" s="8">
        <f>IF(OR(G501="",H501=""),"",IFERROR(IFERROR(INDEX(Recipes!$I$5:$I$204,MATCH(G501,Recipes!$A$5:$A$204,0)),"")*H501,""))</f>
        <v>0</v>
      </c>
      <c r="N501" s="8">
        <f>IF(OR(G501="",H501=""),"",IFERROR(IFERROR(INDEX(Recipes!$J$5:$J$204,MATCH(G501,Recipes!$A$5:$A$204,0)),"")*H501,""))</f>
        <v>0</v>
      </c>
      <c r="O501" s="8">
        <f>IF(OR(G501="",H501=""),"",IFERROR(IFERROR(INDEX(Recipes!$K$5:$K$204,MATCH(G501,Recipes!$A$5:$A$204,0)),"")*H501,""))</f>
        <v>0</v>
      </c>
      <c r="P501" s="8">
        <f>IF(OR(G501="",H501=""),"",IFERROR(IFERROR(INDEX(Recipes!$L$5:$L$204,MATCH(G501,Recipes!$A$5:$A$204,0)),"")*H501,""))</f>
        <v>0</v>
      </c>
      <c r="Q501" s="8">
        <f>IF(OR(G501="",H501=""),"",IFERROR(IFERROR(INDEX(Recipes!$Q$5:$Q$204,MATCH(G501,Recipes!$A$5:$A$204,0)),"")*H501,""))</f>
        <v>0</v>
      </c>
      <c r="R501" s="8">
        <f>IF(F501="","",Weekly_Budget/21)</f>
        <v>0</v>
      </c>
      <c r="S501" s="27"/>
      <c r="T501" s="27"/>
      <c r="U501" s="26"/>
      <c r="V501" s="7"/>
      <c r="W501" s="7"/>
      <c r="X501" s="26"/>
      <c r="Y501" s="8">
        <f>IF(G501="","",IF(COUNTIFS('Meal Prep'!$D$5:$D$124,G501)&gt;0,"Yes","No"))</f>
        <v>0</v>
      </c>
      <c r="Z501" s="8">
        <f>IF(G501="","",COUNTIFS('Recipe Ingredients'!$A$5:$A$1204,G501))</f>
        <v>0</v>
      </c>
      <c r="AA501" s="25"/>
      <c r="AB501" s="8">
        <f>IF(OR(B501="",Q501=""),"",COUNTIFS($B$5:$B$504,B501,$Q$5:$Q$504,"&gt;"&amp;Q501)+1)</f>
        <v>0</v>
      </c>
      <c r="AC501" s="8">
        <f>IF(OR(B501="",L501=""),"",COUNTIFS($B$5:$B$504,B501,$L$5:$L$504,"&gt;"&amp;L501)+1)</f>
        <v>0</v>
      </c>
      <c r="AD501" s="8">
        <f>IF(G501="","",IF(COUNTIFS($G$5:$G$504,G501)&gt;1,"Repeat","Once"))</f>
        <v>0</v>
      </c>
      <c r="AE501" s="8">
        <f>IF(G501="","",IF(IFERROR(INDEX(Recipes!$X$5:$X$204,MATCH(G501,Recipes!$A$5:$A$204,0)),"")="","",IFERROR(B501-IFERROR(INDEX(Recipes!$X$5:$X$204,MATCH(G501,Recipes!$A$5:$A$204,0)),""),"")))</f>
        <v>0</v>
      </c>
      <c r="AF501" s="8">
        <f>IF(G501="","",IF(AE501="","Yes",IF(AE501&gt;=Rotation_Gap_Days,"Yes","No")))</f>
        <v>0</v>
      </c>
      <c r="AG501" s="8">
        <f>IF(G501="","",IF(COUNTIFS('Recipe Ingredients'!$A$5:$A$1204,G501,'Recipe Ingredients'!$AC$5:$AC$1204,"Check")&gt;0,"Check","OK"))</f>
        <v>0</v>
      </c>
    </row>
    <row r="502" spans="1:33">
      <c r="A502" s="7"/>
      <c r="B502" s="30"/>
      <c r="C502" s="8">
        <f>IF(B502="","",B502-WEEKDAY(B502,2)+1)</f>
        <v>0</v>
      </c>
      <c r="D502" s="8">
        <f>IF(B502="","",TEXT(B502,"ddd"))</f>
        <v>0</v>
      </c>
      <c r="E502" s="8">
        <f>IF(B502="","",TEXT(B502,"mmm yyyy"))</f>
        <v>0</v>
      </c>
      <c r="F502" s="27"/>
      <c r="G502" s="7"/>
      <c r="H502" s="26"/>
      <c r="I502" s="8">
        <f>IF(G502="","",IFERROR(INDEX(Recipes!$D$5:$D$204,MATCH(G502,Recipes!$A$5:$A$204,0)),""))</f>
        <v>0</v>
      </c>
      <c r="J502" s="8">
        <f>IF(OR(G502="",H502="",I502="",I502=0),"",H502/I502)</f>
        <v>0</v>
      </c>
      <c r="K502" s="8">
        <f>IF(B502="","",Household_Size)</f>
        <v>0</v>
      </c>
      <c r="L502" s="8">
        <f>IF(OR(G502="",H502=""),"",IFERROR(IFERROR(INDEX(Recipes!$H$5:$H$204,MATCH(G502,Recipes!$A$5:$A$204,0)),"")*H502,""))</f>
        <v>0</v>
      </c>
      <c r="M502" s="8">
        <f>IF(OR(G502="",H502=""),"",IFERROR(IFERROR(INDEX(Recipes!$I$5:$I$204,MATCH(G502,Recipes!$A$5:$A$204,0)),"")*H502,""))</f>
        <v>0</v>
      </c>
      <c r="N502" s="8">
        <f>IF(OR(G502="",H502=""),"",IFERROR(IFERROR(INDEX(Recipes!$J$5:$J$204,MATCH(G502,Recipes!$A$5:$A$204,0)),"")*H502,""))</f>
        <v>0</v>
      </c>
      <c r="O502" s="8">
        <f>IF(OR(G502="",H502=""),"",IFERROR(IFERROR(INDEX(Recipes!$K$5:$K$204,MATCH(G502,Recipes!$A$5:$A$204,0)),"")*H502,""))</f>
        <v>0</v>
      </c>
      <c r="P502" s="8">
        <f>IF(OR(G502="",H502=""),"",IFERROR(IFERROR(INDEX(Recipes!$L$5:$L$204,MATCH(G502,Recipes!$A$5:$A$204,0)),"")*H502,""))</f>
        <v>0</v>
      </c>
      <c r="Q502" s="8">
        <f>IF(OR(G502="",H502=""),"",IFERROR(IFERROR(INDEX(Recipes!$Q$5:$Q$204,MATCH(G502,Recipes!$A$5:$A$204,0)),"")*H502,""))</f>
        <v>0</v>
      </c>
      <c r="R502" s="8">
        <f>IF(F502="","",Weekly_Budget/21)</f>
        <v>0</v>
      </c>
      <c r="S502" s="27"/>
      <c r="T502" s="27"/>
      <c r="U502" s="26"/>
      <c r="V502" s="7"/>
      <c r="W502" s="7"/>
      <c r="X502" s="26"/>
      <c r="Y502" s="8">
        <f>IF(G502="","",IF(COUNTIFS('Meal Prep'!$D$5:$D$124,G502)&gt;0,"Yes","No"))</f>
        <v>0</v>
      </c>
      <c r="Z502" s="8">
        <f>IF(G502="","",COUNTIFS('Recipe Ingredients'!$A$5:$A$1204,G502))</f>
        <v>0</v>
      </c>
      <c r="AA502" s="25"/>
      <c r="AB502" s="8">
        <f>IF(OR(B502="",Q502=""),"",COUNTIFS($B$5:$B$504,B502,$Q$5:$Q$504,"&gt;"&amp;Q502)+1)</f>
        <v>0</v>
      </c>
      <c r="AC502" s="8">
        <f>IF(OR(B502="",L502=""),"",COUNTIFS($B$5:$B$504,B502,$L$5:$L$504,"&gt;"&amp;L502)+1)</f>
        <v>0</v>
      </c>
      <c r="AD502" s="8">
        <f>IF(G502="","",IF(COUNTIFS($G$5:$G$504,G502)&gt;1,"Repeat","Once"))</f>
        <v>0</v>
      </c>
      <c r="AE502" s="8">
        <f>IF(G502="","",IF(IFERROR(INDEX(Recipes!$X$5:$X$204,MATCH(G502,Recipes!$A$5:$A$204,0)),"")="","",IFERROR(B502-IFERROR(INDEX(Recipes!$X$5:$X$204,MATCH(G502,Recipes!$A$5:$A$204,0)),""),"")))</f>
        <v>0</v>
      </c>
      <c r="AF502" s="8">
        <f>IF(G502="","",IF(AE502="","Yes",IF(AE502&gt;=Rotation_Gap_Days,"Yes","No")))</f>
        <v>0</v>
      </c>
      <c r="AG502" s="8">
        <f>IF(G502="","",IF(COUNTIFS('Recipe Ingredients'!$A$5:$A$1204,G502,'Recipe Ingredients'!$AC$5:$AC$1204,"Check")&gt;0,"Check","OK"))</f>
        <v>0</v>
      </c>
    </row>
    <row r="503" spans="1:33">
      <c r="A503" s="7"/>
      <c r="B503" s="30"/>
      <c r="C503" s="8">
        <f>IF(B503="","",B503-WEEKDAY(B503,2)+1)</f>
        <v>0</v>
      </c>
      <c r="D503" s="8">
        <f>IF(B503="","",TEXT(B503,"ddd"))</f>
        <v>0</v>
      </c>
      <c r="E503" s="8">
        <f>IF(B503="","",TEXT(B503,"mmm yyyy"))</f>
        <v>0</v>
      </c>
      <c r="F503" s="27"/>
      <c r="G503" s="7"/>
      <c r="H503" s="26"/>
      <c r="I503" s="8">
        <f>IF(G503="","",IFERROR(INDEX(Recipes!$D$5:$D$204,MATCH(G503,Recipes!$A$5:$A$204,0)),""))</f>
        <v>0</v>
      </c>
      <c r="J503" s="8">
        <f>IF(OR(G503="",H503="",I503="",I503=0),"",H503/I503)</f>
        <v>0</v>
      </c>
      <c r="K503" s="8">
        <f>IF(B503="","",Household_Size)</f>
        <v>0</v>
      </c>
      <c r="L503" s="8">
        <f>IF(OR(G503="",H503=""),"",IFERROR(IFERROR(INDEX(Recipes!$H$5:$H$204,MATCH(G503,Recipes!$A$5:$A$204,0)),"")*H503,""))</f>
        <v>0</v>
      </c>
      <c r="M503" s="8">
        <f>IF(OR(G503="",H503=""),"",IFERROR(IFERROR(INDEX(Recipes!$I$5:$I$204,MATCH(G503,Recipes!$A$5:$A$204,0)),"")*H503,""))</f>
        <v>0</v>
      </c>
      <c r="N503" s="8">
        <f>IF(OR(G503="",H503=""),"",IFERROR(IFERROR(INDEX(Recipes!$J$5:$J$204,MATCH(G503,Recipes!$A$5:$A$204,0)),"")*H503,""))</f>
        <v>0</v>
      </c>
      <c r="O503" s="8">
        <f>IF(OR(G503="",H503=""),"",IFERROR(IFERROR(INDEX(Recipes!$K$5:$K$204,MATCH(G503,Recipes!$A$5:$A$204,0)),"")*H503,""))</f>
        <v>0</v>
      </c>
      <c r="P503" s="8">
        <f>IF(OR(G503="",H503=""),"",IFERROR(IFERROR(INDEX(Recipes!$L$5:$L$204,MATCH(G503,Recipes!$A$5:$A$204,0)),"")*H503,""))</f>
        <v>0</v>
      </c>
      <c r="Q503" s="8">
        <f>IF(OR(G503="",H503=""),"",IFERROR(IFERROR(INDEX(Recipes!$Q$5:$Q$204,MATCH(G503,Recipes!$A$5:$A$204,0)),"")*H503,""))</f>
        <v>0</v>
      </c>
      <c r="R503" s="8">
        <f>IF(F503="","",Weekly_Budget/21)</f>
        <v>0</v>
      </c>
      <c r="S503" s="27"/>
      <c r="T503" s="27"/>
      <c r="U503" s="26"/>
      <c r="V503" s="7"/>
      <c r="W503" s="7"/>
      <c r="X503" s="26"/>
      <c r="Y503" s="8">
        <f>IF(G503="","",IF(COUNTIFS('Meal Prep'!$D$5:$D$124,G503)&gt;0,"Yes","No"))</f>
        <v>0</v>
      </c>
      <c r="Z503" s="8">
        <f>IF(G503="","",COUNTIFS('Recipe Ingredients'!$A$5:$A$1204,G503))</f>
        <v>0</v>
      </c>
      <c r="AA503" s="25"/>
      <c r="AB503" s="8">
        <f>IF(OR(B503="",Q503=""),"",COUNTIFS($B$5:$B$504,B503,$Q$5:$Q$504,"&gt;"&amp;Q503)+1)</f>
        <v>0</v>
      </c>
      <c r="AC503" s="8">
        <f>IF(OR(B503="",L503=""),"",COUNTIFS($B$5:$B$504,B503,$L$5:$L$504,"&gt;"&amp;L503)+1)</f>
        <v>0</v>
      </c>
      <c r="AD503" s="8">
        <f>IF(G503="","",IF(COUNTIFS($G$5:$G$504,G503)&gt;1,"Repeat","Once"))</f>
        <v>0</v>
      </c>
      <c r="AE503" s="8">
        <f>IF(G503="","",IF(IFERROR(INDEX(Recipes!$X$5:$X$204,MATCH(G503,Recipes!$A$5:$A$204,0)),"")="","",IFERROR(B503-IFERROR(INDEX(Recipes!$X$5:$X$204,MATCH(G503,Recipes!$A$5:$A$204,0)),""),"")))</f>
        <v>0</v>
      </c>
      <c r="AF503" s="8">
        <f>IF(G503="","",IF(AE503="","Yes",IF(AE503&gt;=Rotation_Gap_Days,"Yes","No")))</f>
        <v>0</v>
      </c>
      <c r="AG503" s="8">
        <f>IF(G503="","",IF(COUNTIFS('Recipe Ingredients'!$A$5:$A$1204,G503,'Recipe Ingredients'!$AC$5:$AC$1204,"Check")&gt;0,"Check","OK"))</f>
        <v>0</v>
      </c>
    </row>
    <row r="504" spans="1:33">
      <c r="A504" s="7"/>
      <c r="B504" s="30"/>
      <c r="C504" s="8">
        <f>IF(B504="","",B504-WEEKDAY(B504,2)+1)</f>
        <v>0</v>
      </c>
      <c r="D504" s="8">
        <f>IF(B504="","",TEXT(B504,"ddd"))</f>
        <v>0</v>
      </c>
      <c r="E504" s="8">
        <f>IF(B504="","",TEXT(B504,"mmm yyyy"))</f>
        <v>0</v>
      </c>
      <c r="F504" s="27"/>
      <c r="G504" s="7"/>
      <c r="H504" s="26"/>
      <c r="I504" s="8">
        <f>IF(G504="","",IFERROR(INDEX(Recipes!$D$5:$D$204,MATCH(G504,Recipes!$A$5:$A$204,0)),""))</f>
        <v>0</v>
      </c>
      <c r="J504" s="8">
        <f>IF(OR(G504="",H504="",I504="",I504=0),"",H504/I504)</f>
        <v>0</v>
      </c>
      <c r="K504" s="8">
        <f>IF(B504="","",Household_Size)</f>
        <v>0</v>
      </c>
      <c r="L504" s="8">
        <f>IF(OR(G504="",H504=""),"",IFERROR(IFERROR(INDEX(Recipes!$H$5:$H$204,MATCH(G504,Recipes!$A$5:$A$204,0)),"")*H504,""))</f>
        <v>0</v>
      </c>
      <c r="M504" s="8">
        <f>IF(OR(G504="",H504=""),"",IFERROR(IFERROR(INDEX(Recipes!$I$5:$I$204,MATCH(G504,Recipes!$A$5:$A$204,0)),"")*H504,""))</f>
        <v>0</v>
      </c>
      <c r="N504" s="8">
        <f>IF(OR(G504="",H504=""),"",IFERROR(IFERROR(INDEX(Recipes!$J$5:$J$204,MATCH(G504,Recipes!$A$5:$A$204,0)),"")*H504,""))</f>
        <v>0</v>
      </c>
      <c r="O504" s="8">
        <f>IF(OR(G504="",H504=""),"",IFERROR(IFERROR(INDEX(Recipes!$K$5:$K$204,MATCH(G504,Recipes!$A$5:$A$204,0)),"")*H504,""))</f>
        <v>0</v>
      </c>
      <c r="P504" s="8">
        <f>IF(OR(G504="",H504=""),"",IFERROR(IFERROR(INDEX(Recipes!$L$5:$L$204,MATCH(G504,Recipes!$A$5:$A$204,0)),"")*H504,""))</f>
        <v>0</v>
      </c>
      <c r="Q504" s="8">
        <f>IF(OR(G504="",H504=""),"",IFERROR(IFERROR(INDEX(Recipes!$Q$5:$Q$204,MATCH(G504,Recipes!$A$5:$A$204,0)),"")*H504,""))</f>
        <v>0</v>
      </c>
      <c r="R504" s="8">
        <f>IF(F504="","",Weekly_Budget/21)</f>
        <v>0</v>
      </c>
      <c r="S504" s="27"/>
      <c r="T504" s="27"/>
      <c r="U504" s="26"/>
      <c r="V504" s="7"/>
      <c r="W504" s="7"/>
      <c r="X504" s="26"/>
      <c r="Y504" s="8">
        <f>IF(G504="","",IF(COUNTIFS('Meal Prep'!$D$5:$D$124,G504)&gt;0,"Yes","No"))</f>
        <v>0</v>
      </c>
      <c r="Z504" s="8">
        <f>IF(G504="","",COUNTIFS('Recipe Ingredients'!$A$5:$A$1204,G504))</f>
        <v>0</v>
      </c>
      <c r="AA504" s="25"/>
      <c r="AB504" s="8">
        <f>IF(OR(B504="",Q504=""),"",COUNTIFS($B$5:$B$504,B504,$Q$5:$Q$504,"&gt;"&amp;Q504)+1)</f>
        <v>0</v>
      </c>
      <c r="AC504" s="8">
        <f>IF(OR(B504="",L504=""),"",COUNTIFS($B$5:$B$504,B504,$L$5:$L$504,"&gt;"&amp;L504)+1)</f>
        <v>0</v>
      </c>
      <c r="AD504" s="8">
        <f>IF(G504="","",IF(COUNTIFS($G$5:$G$504,G504)&gt;1,"Repeat","Once"))</f>
        <v>0</v>
      </c>
      <c r="AE504" s="8">
        <f>IF(G504="","",IF(IFERROR(INDEX(Recipes!$X$5:$X$204,MATCH(G504,Recipes!$A$5:$A$204,0)),"")="","",IFERROR(B504-IFERROR(INDEX(Recipes!$X$5:$X$204,MATCH(G504,Recipes!$A$5:$A$204,0)),""),"")))</f>
        <v>0</v>
      </c>
      <c r="AF504" s="8">
        <f>IF(G504="","",IF(AE504="","Yes",IF(AE504&gt;=Rotation_Gap_Days,"Yes","No")))</f>
        <v>0</v>
      </c>
      <c r="AG504" s="8">
        <f>IF(G504="","",IF(COUNTIFS('Recipe Ingredients'!$A$5:$A$1204,G504,'Recipe Ingredients'!$AC$5:$AC$1204,"Check")&gt;0,"Check","OK"))</f>
        <v>0</v>
      </c>
    </row>
  </sheetData>
  <sheetProtection password="EC7C" sheet="1" objects="1" scenarios="1" selectLockedCells="1" selectUnlockedCells="1"/>
  <autoFilter ref="A4:AG504"/>
  <conditionalFormatting sqref="A101:AG101">
    <cfRule type="expression" dxfId="0" priority="49">
      <formula>MOD(ROW(),2)=0</formula>
    </cfRule>
  </conditionalFormatting>
  <conditionalFormatting sqref="A103:AG103">
    <cfRule type="expression" dxfId="0" priority="50">
      <formula>MOD(ROW(),2)=0</formula>
    </cfRule>
  </conditionalFormatting>
  <conditionalFormatting sqref="A105:AG105">
    <cfRule type="expression" dxfId="0" priority="51">
      <formula>MOD(ROW(),2)=0</formula>
    </cfRule>
  </conditionalFormatting>
  <conditionalFormatting sqref="A107:AG107">
    <cfRule type="expression" dxfId="0" priority="52">
      <formula>MOD(ROW(),2)=0</formula>
    </cfRule>
  </conditionalFormatting>
  <conditionalFormatting sqref="A109:AG109">
    <cfRule type="expression" dxfId="0" priority="53">
      <formula>MOD(ROW(),2)=0</formula>
    </cfRule>
  </conditionalFormatting>
  <conditionalFormatting sqref="A111:AG111">
    <cfRule type="expression" dxfId="0" priority="54">
      <formula>MOD(ROW(),2)=0</formula>
    </cfRule>
  </conditionalFormatting>
  <conditionalFormatting sqref="A113:AG113">
    <cfRule type="expression" dxfId="0" priority="55">
      <formula>MOD(ROW(),2)=0</formula>
    </cfRule>
  </conditionalFormatting>
  <conditionalFormatting sqref="A115:AG115">
    <cfRule type="expression" dxfId="0" priority="56">
      <formula>MOD(ROW(),2)=0</formula>
    </cfRule>
  </conditionalFormatting>
  <conditionalFormatting sqref="A117:AG117">
    <cfRule type="expression" dxfId="0" priority="57">
      <formula>MOD(ROW(),2)=0</formula>
    </cfRule>
  </conditionalFormatting>
  <conditionalFormatting sqref="A119:AG119">
    <cfRule type="expression" dxfId="0" priority="58">
      <formula>MOD(ROW(),2)=0</formula>
    </cfRule>
  </conditionalFormatting>
  <conditionalFormatting sqref="A11:AG11">
    <cfRule type="expression" dxfId="0" priority="4">
      <formula>MOD(ROW(),2)=0</formula>
    </cfRule>
  </conditionalFormatting>
  <conditionalFormatting sqref="A121:AG121">
    <cfRule type="expression" dxfId="0" priority="59">
      <formula>MOD(ROW(),2)=0</formula>
    </cfRule>
  </conditionalFormatting>
  <conditionalFormatting sqref="A123:AG123">
    <cfRule type="expression" dxfId="0" priority="60">
      <formula>MOD(ROW(),2)=0</formula>
    </cfRule>
  </conditionalFormatting>
  <conditionalFormatting sqref="A125:AG125">
    <cfRule type="expression" dxfId="0" priority="61">
      <formula>MOD(ROW(),2)=0</formula>
    </cfRule>
  </conditionalFormatting>
  <conditionalFormatting sqref="A127:AG127">
    <cfRule type="expression" dxfId="0" priority="62">
      <formula>MOD(ROW(),2)=0</formula>
    </cfRule>
  </conditionalFormatting>
  <conditionalFormatting sqref="A129:AG129">
    <cfRule type="expression" dxfId="0" priority="63">
      <formula>MOD(ROW(),2)=0</formula>
    </cfRule>
  </conditionalFormatting>
  <conditionalFormatting sqref="A131:AG131">
    <cfRule type="expression" dxfId="0" priority="64">
      <formula>MOD(ROW(),2)=0</formula>
    </cfRule>
  </conditionalFormatting>
  <conditionalFormatting sqref="A133:AG133">
    <cfRule type="expression" dxfId="0" priority="65">
      <formula>MOD(ROW(),2)=0</formula>
    </cfRule>
  </conditionalFormatting>
  <conditionalFormatting sqref="A135:AG135">
    <cfRule type="expression" dxfId="0" priority="66">
      <formula>MOD(ROW(),2)=0</formula>
    </cfRule>
  </conditionalFormatting>
  <conditionalFormatting sqref="A137:AG137">
    <cfRule type="expression" dxfId="0" priority="67">
      <formula>MOD(ROW(),2)=0</formula>
    </cfRule>
  </conditionalFormatting>
  <conditionalFormatting sqref="A139:AG139">
    <cfRule type="expression" dxfId="0" priority="68">
      <formula>MOD(ROW(),2)=0</formula>
    </cfRule>
  </conditionalFormatting>
  <conditionalFormatting sqref="A13:AG13">
    <cfRule type="expression" dxfId="0" priority="5">
      <formula>MOD(ROW(),2)=0</formula>
    </cfRule>
  </conditionalFormatting>
  <conditionalFormatting sqref="A141:AG141">
    <cfRule type="expression" dxfId="0" priority="69">
      <formula>MOD(ROW(),2)=0</formula>
    </cfRule>
  </conditionalFormatting>
  <conditionalFormatting sqref="A143:AG143">
    <cfRule type="expression" dxfId="0" priority="70">
      <formula>MOD(ROW(),2)=0</formula>
    </cfRule>
  </conditionalFormatting>
  <conditionalFormatting sqref="A145:AG145">
    <cfRule type="expression" dxfId="0" priority="71">
      <formula>MOD(ROW(),2)=0</formula>
    </cfRule>
  </conditionalFormatting>
  <conditionalFormatting sqref="A147:AG147">
    <cfRule type="expression" dxfId="0" priority="72">
      <formula>MOD(ROW(),2)=0</formula>
    </cfRule>
  </conditionalFormatting>
  <conditionalFormatting sqref="A149:AG149">
    <cfRule type="expression" dxfId="0" priority="73">
      <formula>MOD(ROW(),2)=0</formula>
    </cfRule>
  </conditionalFormatting>
  <conditionalFormatting sqref="A151:AG151">
    <cfRule type="expression" dxfId="0" priority="74">
      <formula>MOD(ROW(),2)=0</formula>
    </cfRule>
  </conditionalFormatting>
  <conditionalFormatting sqref="A153:AG153">
    <cfRule type="expression" dxfId="0" priority="75">
      <formula>MOD(ROW(),2)=0</formula>
    </cfRule>
  </conditionalFormatting>
  <conditionalFormatting sqref="A155:AG155">
    <cfRule type="expression" dxfId="0" priority="76">
      <formula>MOD(ROW(),2)=0</formula>
    </cfRule>
  </conditionalFormatting>
  <conditionalFormatting sqref="A157:AG157">
    <cfRule type="expression" dxfId="0" priority="77">
      <formula>MOD(ROW(),2)=0</formula>
    </cfRule>
  </conditionalFormatting>
  <conditionalFormatting sqref="A159:AG159">
    <cfRule type="expression" dxfId="0" priority="78">
      <formula>MOD(ROW(),2)=0</formula>
    </cfRule>
  </conditionalFormatting>
  <conditionalFormatting sqref="A15:AG15">
    <cfRule type="expression" dxfId="0" priority="6">
      <formula>MOD(ROW(),2)=0</formula>
    </cfRule>
  </conditionalFormatting>
  <conditionalFormatting sqref="A161:AG161">
    <cfRule type="expression" dxfId="0" priority="79">
      <formula>MOD(ROW(),2)=0</formula>
    </cfRule>
  </conditionalFormatting>
  <conditionalFormatting sqref="A163:AG163">
    <cfRule type="expression" dxfId="0" priority="80">
      <formula>MOD(ROW(),2)=0</formula>
    </cfRule>
  </conditionalFormatting>
  <conditionalFormatting sqref="A165:AG165">
    <cfRule type="expression" dxfId="0" priority="81">
      <formula>MOD(ROW(),2)=0</formula>
    </cfRule>
  </conditionalFormatting>
  <conditionalFormatting sqref="A167:AG167">
    <cfRule type="expression" dxfId="0" priority="82">
      <formula>MOD(ROW(),2)=0</formula>
    </cfRule>
  </conditionalFormatting>
  <conditionalFormatting sqref="A169:AG169">
    <cfRule type="expression" dxfId="0" priority="83">
      <formula>MOD(ROW(),2)=0</formula>
    </cfRule>
  </conditionalFormatting>
  <conditionalFormatting sqref="A171:AG171">
    <cfRule type="expression" dxfId="0" priority="84">
      <formula>MOD(ROW(),2)=0</formula>
    </cfRule>
  </conditionalFormatting>
  <conditionalFormatting sqref="A173:AG173">
    <cfRule type="expression" dxfId="0" priority="85">
      <formula>MOD(ROW(),2)=0</formula>
    </cfRule>
  </conditionalFormatting>
  <conditionalFormatting sqref="A175:AG175">
    <cfRule type="expression" dxfId="0" priority="86">
      <formula>MOD(ROW(),2)=0</formula>
    </cfRule>
  </conditionalFormatting>
  <conditionalFormatting sqref="A177:AG177">
    <cfRule type="expression" dxfId="0" priority="87">
      <formula>MOD(ROW(),2)=0</formula>
    </cfRule>
  </conditionalFormatting>
  <conditionalFormatting sqref="A179:AG179">
    <cfRule type="expression" dxfId="0" priority="88">
      <formula>MOD(ROW(),2)=0</formula>
    </cfRule>
  </conditionalFormatting>
  <conditionalFormatting sqref="A17:AG17">
    <cfRule type="expression" dxfId="0" priority="7">
      <formula>MOD(ROW(),2)=0</formula>
    </cfRule>
  </conditionalFormatting>
  <conditionalFormatting sqref="A181:AG181">
    <cfRule type="expression" dxfId="0" priority="89">
      <formula>MOD(ROW(),2)=0</formula>
    </cfRule>
  </conditionalFormatting>
  <conditionalFormatting sqref="A183:AG183">
    <cfRule type="expression" dxfId="0" priority="90">
      <formula>MOD(ROW(),2)=0</formula>
    </cfRule>
  </conditionalFormatting>
  <conditionalFormatting sqref="A185:AG185">
    <cfRule type="expression" dxfId="0" priority="91">
      <formula>MOD(ROW(),2)=0</formula>
    </cfRule>
  </conditionalFormatting>
  <conditionalFormatting sqref="A187:AG187">
    <cfRule type="expression" dxfId="0" priority="92">
      <formula>MOD(ROW(),2)=0</formula>
    </cfRule>
  </conditionalFormatting>
  <conditionalFormatting sqref="A189:AG189">
    <cfRule type="expression" dxfId="0" priority="93">
      <formula>MOD(ROW(),2)=0</formula>
    </cfRule>
  </conditionalFormatting>
  <conditionalFormatting sqref="A191:AG191">
    <cfRule type="expression" dxfId="0" priority="94">
      <formula>MOD(ROW(),2)=0</formula>
    </cfRule>
  </conditionalFormatting>
  <conditionalFormatting sqref="A193:AG193">
    <cfRule type="expression" dxfId="0" priority="95">
      <formula>MOD(ROW(),2)=0</formula>
    </cfRule>
  </conditionalFormatting>
  <conditionalFormatting sqref="A195:AG195">
    <cfRule type="expression" dxfId="0" priority="96">
      <formula>MOD(ROW(),2)=0</formula>
    </cfRule>
  </conditionalFormatting>
  <conditionalFormatting sqref="A197:AG197">
    <cfRule type="expression" dxfId="0" priority="97">
      <formula>MOD(ROW(),2)=0</formula>
    </cfRule>
  </conditionalFormatting>
  <conditionalFormatting sqref="A199:AG199">
    <cfRule type="expression" dxfId="0" priority="98">
      <formula>MOD(ROW(),2)=0</formula>
    </cfRule>
  </conditionalFormatting>
  <conditionalFormatting sqref="A19:AG19">
    <cfRule type="expression" dxfId="0" priority="8">
      <formula>MOD(ROW(),2)=0</formula>
    </cfRule>
  </conditionalFormatting>
  <conditionalFormatting sqref="A201:AG201">
    <cfRule type="expression" dxfId="0" priority="99">
      <formula>MOD(ROW(),2)=0</formula>
    </cfRule>
  </conditionalFormatting>
  <conditionalFormatting sqref="A203:AG203">
    <cfRule type="expression" dxfId="0" priority="100">
      <formula>MOD(ROW(),2)=0</formula>
    </cfRule>
  </conditionalFormatting>
  <conditionalFormatting sqref="A205:AG205">
    <cfRule type="expression" dxfId="0" priority="101">
      <formula>MOD(ROW(),2)=0</formula>
    </cfRule>
  </conditionalFormatting>
  <conditionalFormatting sqref="A207:AG207">
    <cfRule type="expression" dxfId="0" priority="102">
      <formula>MOD(ROW(),2)=0</formula>
    </cfRule>
  </conditionalFormatting>
  <conditionalFormatting sqref="A209:AG209">
    <cfRule type="expression" dxfId="0" priority="103">
      <formula>MOD(ROW(),2)=0</formula>
    </cfRule>
  </conditionalFormatting>
  <conditionalFormatting sqref="A211:AG211">
    <cfRule type="expression" dxfId="0" priority="104">
      <formula>MOD(ROW(),2)=0</formula>
    </cfRule>
  </conditionalFormatting>
  <conditionalFormatting sqref="A213:AG213">
    <cfRule type="expression" dxfId="0" priority="105">
      <formula>MOD(ROW(),2)=0</formula>
    </cfRule>
  </conditionalFormatting>
  <conditionalFormatting sqref="A215:AG215">
    <cfRule type="expression" dxfId="0" priority="106">
      <formula>MOD(ROW(),2)=0</formula>
    </cfRule>
  </conditionalFormatting>
  <conditionalFormatting sqref="A217:AG217">
    <cfRule type="expression" dxfId="0" priority="107">
      <formula>MOD(ROW(),2)=0</formula>
    </cfRule>
  </conditionalFormatting>
  <conditionalFormatting sqref="A219:AG219">
    <cfRule type="expression" dxfId="0" priority="108">
      <formula>MOD(ROW(),2)=0</formula>
    </cfRule>
  </conditionalFormatting>
  <conditionalFormatting sqref="A21:AG21">
    <cfRule type="expression" dxfId="0" priority="9">
      <formula>MOD(ROW(),2)=0</formula>
    </cfRule>
  </conditionalFormatting>
  <conditionalFormatting sqref="A221:AG221">
    <cfRule type="expression" dxfId="0" priority="109">
      <formula>MOD(ROW(),2)=0</formula>
    </cfRule>
  </conditionalFormatting>
  <conditionalFormatting sqref="A223:AG223">
    <cfRule type="expression" dxfId="0" priority="110">
      <formula>MOD(ROW(),2)=0</formula>
    </cfRule>
  </conditionalFormatting>
  <conditionalFormatting sqref="A225:AG225">
    <cfRule type="expression" dxfId="0" priority="111">
      <formula>MOD(ROW(),2)=0</formula>
    </cfRule>
  </conditionalFormatting>
  <conditionalFormatting sqref="A227:AG227">
    <cfRule type="expression" dxfId="0" priority="112">
      <formula>MOD(ROW(),2)=0</formula>
    </cfRule>
  </conditionalFormatting>
  <conditionalFormatting sqref="A229:AG229">
    <cfRule type="expression" dxfId="0" priority="113">
      <formula>MOD(ROW(),2)=0</formula>
    </cfRule>
  </conditionalFormatting>
  <conditionalFormatting sqref="A231:AG231">
    <cfRule type="expression" dxfId="0" priority="114">
      <formula>MOD(ROW(),2)=0</formula>
    </cfRule>
  </conditionalFormatting>
  <conditionalFormatting sqref="A233:AG233">
    <cfRule type="expression" dxfId="0" priority="115">
      <formula>MOD(ROW(),2)=0</formula>
    </cfRule>
  </conditionalFormatting>
  <conditionalFormatting sqref="A235:AG235">
    <cfRule type="expression" dxfId="0" priority="116">
      <formula>MOD(ROW(),2)=0</formula>
    </cfRule>
  </conditionalFormatting>
  <conditionalFormatting sqref="A237:AG237">
    <cfRule type="expression" dxfId="0" priority="117">
      <formula>MOD(ROW(),2)=0</formula>
    </cfRule>
  </conditionalFormatting>
  <conditionalFormatting sqref="A239:AG239">
    <cfRule type="expression" dxfId="0" priority="118">
      <formula>MOD(ROW(),2)=0</formula>
    </cfRule>
  </conditionalFormatting>
  <conditionalFormatting sqref="A23:AG23">
    <cfRule type="expression" dxfId="0" priority="10">
      <formula>MOD(ROW(),2)=0</formula>
    </cfRule>
  </conditionalFormatting>
  <conditionalFormatting sqref="A241:AG241">
    <cfRule type="expression" dxfId="0" priority="119">
      <formula>MOD(ROW(),2)=0</formula>
    </cfRule>
  </conditionalFormatting>
  <conditionalFormatting sqref="A243:AG243">
    <cfRule type="expression" dxfId="0" priority="120">
      <formula>MOD(ROW(),2)=0</formula>
    </cfRule>
  </conditionalFormatting>
  <conditionalFormatting sqref="A245:AG245">
    <cfRule type="expression" dxfId="0" priority="121">
      <formula>MOD(ROW(),2)=0</formula>
    </cfRule>
  </conditionalFormatting>
  <conditionalFormatting sqref="A247:AG247">
    <cfRule type="expression" dxfId="0" priority="122">
      <formula>MOD(ROW(),2)=0</formula>
    </cfRule>
  </conditionalFormatting>
  <conditionalFormatting sqref="A249:AG249">
    <cfRule type="expression" dxfId="0" priority="123">
      <formula>MOD(ROW(),2)=0</formula>
    </cfRule>
  </conditionalFormatting>
  <conditionalFormatting sqref="A251:AG251">
    <cfRule type="expression" dxfId="0" priority="124">
      <formula>MOD(ROW(),2)=0</formula>
    </cfRule>
  </conditionalFormatting>
  <conditionalFormatting sqref="A253:AG253">
    <cfRule type="expression" dxfId="0" priority="125">
      <formula>MOD(ROW(),2)=0</formula>
    </cfRule>
  </conditionalFormatting>
  <conditionalFormatting sqref="A255:AG255">
    <cfRule type="expression" dxfId="0" priority="126">
      <formula>MOD(ROW(),2)=0</formula>
    </cfRule>
  </conditionalFormatting>
  <conditionalFormatting sqref="A257:AG257">
    <cfRule type="expression" dxfId="0" priority="127">
      <formula>MOD(ROW(),2)=0</formula>
    </cfRule>
  </conditionalFormatting>
  <conditionalFormatting sqref="A259:AG259">
    <cfRule type="expression" dxfId="0" priority="128">
      <formula>MOD(ROW(),2)=0</formula>
    </cfRule>
  </conditionalFormatting>
  <conditionalFormatting sqref="A25:AG25">
    <cfRule type="expression" dxfId="0" priority="11">
      <formula>MOD(ROW(),2)=0</formula>
    </cfRule>
  </conditionalFormatting>
  <conditionalFormatting sqref="A261:AG261">
    <cfRule type="expression" dxfId="0" priority="129">
      <formula>MOD(ROW(),2)=0</formula>
    </cfRule>
  </conditionalFormatting>
  <conditionalFormatting sqref="A263:AG263">
    <cfRule type="expression" dxfId="0" priority="130">
      <formula>MOD(ROW(),2)=0</formula>
    </cfRule>
  </conditionalFormatting>
  <conditionalFormatting sqref="A265:AG265">
    <cfRule type="expression" dxfId="0" priority="131">
      <formula>MOD(ROW(),2)=0</formula>
    </cfRule>
  </conditionalFormatting>
  <conditionalFormatting sqref="A267:AG267">
    <cfRule type="expression" dxfId="0" priority="132">
      <formula>MOD(ROW(),2)=0</formula>
    </cfRule>
  </conditionalFormatting>
  <conditionalFormatting sqref="A269:AG269">
    <cfRule type="expression" dxfId="0" priority="133">
      <formula>MOD(ROW(),2)=0</formula>
    </cfRule>
  </conditionalFormatting>
  <conditionalFormatting sqref="A271:AG271">
    <cfRule type="expression" dxfId="0" priority="134">
      <formula>MOD(ROW(),2)=0</formula>
    </cfRule>
  </conditionalFormatting>
  <conditionalFormatting sqref="A273:AG273">
    <cfRule type="expression" dxfId="0" priority="135">
      <formula>MOD(ROW(),2)=0</formula>
    </cfRule>
  </conditionalFormatting>
  <conditionalFormatting sqref="A275:AG275">
    <cfRule type="expression" dxfId="0" priority="136">
      <formula>MOD(ROW(),2)=0</formula>
    </cfRule>
  </conditionalFormatting>
  <conditionalFormatting sqref="A277:AG277">
    <cfRule type="expression" dxfId="0" priority="137">
      <formula>MOD(ROW(),2)=0</formula>
    </cfRule>
  </conditionalFormatting>
  <conditionalFormatting sqref="A279:AG279">
    <cfRule type="expression" dxfId="0" priority="138">
      <formula>MOD(ROW(),2)=0</formula>
    </cfRule>
  </conditionalFormatting>
  <conditionalFormatting sqref="A27:AG27">
    <cfRule type="expression" dxfId="0" priority="12">
      <formula>MOD(ROW(),2)=0</formula>
    </cfRule>
  </conditionalFormatting>
  <conditionalFormatting sqref="A281:AG281">
    <cfRule type="expression" dxfId="0" priority="139">
      <formula>MOD(ROW(),2)=0</formula>
    </cfRule>
  </conditionalFormatting>
  <conditionalFormatting sqref="A283:AG283">
    <cfRule type="expression" dxfId="0" priority="140">
      <formula>MOD(ROW(),2)=0</formula>
    </cfRule>
  </conditionalFormatting>
  <conditionalFormatting sqref="A285:AG285">
    <cfRule type="expression" dxfId="0" priority="141">
      <formula>MOD(ROW(),2)=0</formula>
    </cfRule>
  </conditionalFormatting>
  <conditionalFormatting sqref="A287:AG287">
    <cfRule type="expression" dxfId="0" priority="142">
      <formula>MOD(ROW(),2)=0</formula>
    </cfRule>
  </conditionalFormatting>
  <conditionalFormatting sqref="A289:AG289">
    <cfRule type="expression" dxfId="0" priority="143">
      <formula>MOD(ROW(),2)=0</formula>
    </cfRule>
  </conditionalFormatting>
  <conditionalFormatting sqref="A291:AG291">
    <cfRule type="expression" dxfId="0" priority="144">
      <formula>MOD(ROW(),2)=0</formula>
    </cfRule>
  </conditionalFormatting>
  <conditionalFormatting sqref="A293:AG293">
    <cfRule type="expression" dxfId="0" priority="145">
      <formula>MOD(ROW(),2)=0</formula>
    </cfRule>
  </conditionalFormatting>
  <conditionalFormatting sqref="A295:AG295">
    <cfRule type="expression" dxfId="0" priority="146">
      <formula>MOD(ROW(),2)=0</formula>
    </cfRule>
  </conditionalFormatting>
  <conditionalFormatting sqref="A297:AG297">
    <cfRule type="expression" dxfId="0" priority="147">
      <formula>MOD(ROW(),2)=0</formula>
    </cfRule>
  </conditionalFormatting>
  <conditionalFormatting sqref="A299:AG299">
    <cfRule type="expression" dxfId="0" priority="148">
      <formula>MOD(ROW(),2)=0</formula>
    </cfRule>
  </conditionalFormatting>
  <conditionalFormatting sqref="A29:AG29">
    <cfRule type="expression" dxfId="0" priority="13">
      <formula>MOD(ROW(),2)=0</formula>
    </cfRule>
  </conditionalFormatting>
  <conditionalFormatting sqref="A301:AG301">
    <cfRule type="expression" dxfId="0" priority="149">
      <formula>MOD(ROW(),2)=0</formula>
    </cfRule>
  </conditionalFormatting>
  <conditionalFormatting sqref="A303:AG303">
    <cfRule type="expression" dxfId="0" priority="150">
      <formula>MOD(ROW(),2)=0</formula>
    </cfRule>
  </conditionalFormatting>
  <conditionalFormatting sqref="A305:AG305">
    <cfRule type="expression" dxfId="0" priority="151">
      <formula>MOD(ROW(),2)=0</formula>
    </cfRule>
  </conditionalFormatting>
  <conditionalFormatting sqref="A307:AG307">
    <cfRule type="expression" dxfId="0" priority="152">
      <formula>MOD(ROW(),2)=0</formula>
    </cfRule>
  </conditionalFormatting>
  <conditionalFormatting sqref="A309:AG309">
    <cfRule type="expression" dxfId="0" priority="153">
      <formula>MOD(ROW(),2)=0</formula>
    </cfRule>
  </conditionalFormatting>
  <conditionalFormatting sqref="A311:AG311">
    <cfRule type="expression" dxfId="0" priority="154">
      <formula>MOD(ROW(),2)=0</formula>
    </cfRule>
  </conditionalFormatting>
  <conditionalFormatting sqref="A313:AG313">
    <cfRule type="expression" dxfId="0" priority="155">
      <formula>MOD(ROW(),2)=0</formula>
    </cfRule>
  </conditionalFormatting>
  <conditionalFormatting sqref="A315:AG315">
    <cfRule type="expression" dxfId="0" priority="156">
      <formula>MOD(ROW(),2)=0</formula>
    </cfRule>
  </conditionalFormatting>
  <conditionalFormatting sqref="A317:AG317">
    <cfRule type="expression" dxfId="0" priority="157">
      <formula>MOD(ROW(),2)=0</formula>
    </cfRule>
  </conditionalFormatting>
  <conditionalFormatting sqref="A319:AG319">
    <cfRule type="expression" dxfId="0" priority="158">
      <formula>MOD(ROW(),2)=0</formula>
    </cfRule>
  </conditionalFormatting>
  <conditionalFormatting sqref="A31:AG31">
    <cfRule type="expression" dxfId="0" priority="14">
      <formula>MOD(ROW(),2)=0</formula>
    </cfRule>
  </conditionalFormatting>
  <conditionalFormatting sqref="A321:AG321">
    <cfRule type="expression" dxfId="0" priority="159">
      <formula>MOD(ROW(),2)=0</formula>
    </cfRule>
  </conditionalFormatting>
  <conditionalFormatting sqref="A323:AG323">
    <cfRule type="expression" dxfId="0" priority="160">
      <formula>MOD(ROW(),2)=0</formula>
    </cfRule>
  </conditionalFormatting>
  <conditionalFormatting sqref="A325:AG325">
    <cfRule type="expression" dxfId="0" priority="161">
      <formula>MOD(ROW(),2)=0</formula>
    </cfRule>
  </conditionalFormatting>
  <conditionalFormatting sqref="A327:AG327">
    <cfRule type="expression" dxfId="0" priority="162">
      <formula>MOD(ROW(),2)=0</formula>
    </cfRule>
  </conditionalFormatting>
  <conditionalFormatting sqref="A329:AG329">
    <cfRule type="expression" dxfId="0" priority="163">
      <formula>MOD(ROW(),2)=0</formula>
    </cfRule>
  </conditionalFormatting>
  <conditionalFormatting sqref="A331:AG331">
    <cfRule type="expression" dxfId="0" priority="164">
      <formula>MOD(ROW(),2)=0</formula>
    </cfRule>
  </conditionalFormatting>
  <conditionalFormatting sqref="A333:AG333">
    <cfRule type="expression" dxfId="0" priority="165">
      <formula>MOD(ROW(),2)=0</formula>
    </cfRule>
  </conditionalFormatting>
  <conditionalFormatting sqref="A335:AG335">
    <cfRule type="expression" dxfId="0" priority="166">
      <formula>MOD(ROW(),2)=0</formula>
    </cfRule>
  </conditionalFormatting>
  <conditionalFormatting sqref="A337:AG337">
    <cfRule type="expression" dxfId="0" priority="167">
      <formula>MOD(ROW(),2)=0</formula>
    </cfRule>
  </conditionalFormatting>
  <conditionalFormatting sqref="A339:AG339">
    <cfRule type="expression" dxfId="0" priority="168">
      <formula>MOD(ROW(),2)=0</formula>
    </cfRule>
  </conditionalFormatting>
  <conditionalFormatting sqref="A33:AG33">
    <cfRule type="expression" dxfId="0" priority="15">
      <formula>MOD(ROW(),2)=0</formula>
    </cfRule>
  </conditionalFormatting>
  <conditionalFormatting sqref="A341:AG341">
    <cfRule type="expression" dxfId="0" priority="169">
      <formula>MOD(ROW(),2)=0</formula>
    </cfRule>
  </conditionalFormatting>
  <conditionalFormatting sqref="A343:AG343">
    <cfRule type="expression" dxfId="0" priority="170">
      <formula>MOD(ROW(),2)=0</formula>
    </cfRule>
  </conditionalFormatting>
  <conditionalFormatting sqref="A345:AG345">
    <cfRule type="expression" dxfId="0" priority="171">
      <formula>MOD(ROW(),2)=0</formula>
    </cfRule>
  </conditionalFormatting>
  <conditionalFormatting sqref="A347:AG347">
    <cfRule type="expression" dxfId="0" priority="172">
      <formula>MOD(ROW(),2)=0</formula>
    </cfRule>
  </conditionalFormatting>
  <conditionalFormatting sqref="A349:AG349">
    <cfRule type="expression" dxfId="0" priority="173">
      <formula>MOD(ROW(),2)=0</formula>
    </cfRule>
  </conditionalFormatting>
  <conditionalFormatting sqref="A351:AG351">
    <cfRule type="expression" dxfId="0" priority="174">
      <formula>MOD(ROW(),2)=0</formula>
    </cfRule>
  </conditionalFormatting>
  <conditionalFormatting sqref="A353:AG353">
    <cfRule type="expression" dxfId="0" priority="175">
      <formula>MOD(ROW(),2)=0</formula>
    </cfRule>
  </conditionalFormatting>
  <conditionalFormatting sqref="A355:AG355">
    <cfRule type="expression" dxfId="0" priority="176">
      <formula>MOD(ROW(),2)=0</formula>
    </cfRule>
  </conditionalFormatting>
  <conditionalFormatting sqref="A357:AG357">
    <cfRule type="expression" dxfId="0" priority="177">
      <formula>MOD(ROW(),2)=0</formula>
    </cfRule>
  </conditionalFormatting>
  <conditionalFormatting sqref="A359:AG359">
    <cfRule type="expression" dxfId="0" priority="178">
      <formula>MOD(ROW(),2)=0</formula>
    </cfRule>
  </conditionalFormatting>
  <conditionalFormatting sqref="A35:AG35">
    <cfRule type="expression" dxfId="0" priority="16">
      <formula>MOD(ROW(),2)=0</formula>
    </cfRule>
  </conditionalFormatting>
  <conditionalFormatting sqref="A361:AG361">
    <cfRule type="expression" dxfId="0" priority="179">
      <formula>MOD(ROW(),2)=0</formula>
    </cfRule>
  </conditionalFormatting>
  <conditionalFormatting sqref="A363:AG363">
    <cfRule type="expression" dxfId="0" priority="180">
      <formula>MOD(ROW(),2)=0</formula>
    </cfRule>
  </conditionalFormatting>
  <conditionalFormatting sqref="A365:AG365">
    <cfRule type="expression" dxfId="0" priority="181">
      <formula>MOD(ROW(),2)=0</formula>
    </cfRule>
  </conditionalFormatting>
  <conditionalFormatting sqref="A367:AG367">
    <cfRule type="expression" dxfId="0" priority="182">
      <formula>MOD(ROW(),2)=0</formula>
    </cfRule>
  </conditionalFormatting>
  <conditionalFormatting sqref="A369:AG369">
    <cfRule type="expression" dxfId="0" priority="183">
      <formula>MOD(ROW(),2)=0</formula>
    </cfRule>
  </conditionalFormatting>
  <conditionalFormatting sqref="A371:AG371">
    <cfRule type="expression" dxfId="0" priority="184">
      <formula>MOD(ROW(),2)=0</formula>
    </cfRule>
  </conditionalFormatting>
  <conditionalFormatting sqref="A373:AG373">
    <cfRule type="expression" dxfId="0" priority="185">
      <formula>MOD(ROW(),2)=0</formula>
    </cfRule>
  </conditionalFormatting>
  <conditionalFormatting sqref="A375:AG375">
    <cfRule type="expression" dxfId="0" priority="186">
      <formula>MOD(ROW(),2)=0</formula>
    </cfRule>
  </conditionalFormatting>
  <conditionalFormatting sqref="A377:AG377">
    <cfRule type="expression" dxfId="0" priority="187">
      <formula>MOD(ROW(),2)=0</formula>
    </cfRule>
  </conditionalFormatting>
  <conditionalFormatting sqref="A379:AG379">
    <cfRule type="expression" dxfId="0" priority="188">
      <formula>MOD(ROW(),2)=0</formula>
    </cfRule>
  </conditionalFormatting>
  <conditionalFormatting sqref="A37:AG37">
    <cfRule type="expression" dxfId="0" priority="17">
      <formula>MOD(ROW(),2)=0</formula>
    </cfRule>
  </conditionalFormatting>
  <conditionalFormatting sqref="A381:AG381">
    <cfRule type="expression" dxfId="0" priority="189">
      <formula>MOD(ROW(),2)=0</formula>
    </cfRule>
  </conditionalFormatting>
  <conditionalFormatting sqref="A383:AG383">
    <cfRule type="expression" dxfId="0" priority="190">
      <formula>MOD(ROW(),2)=0</formula>
    </cfRule>
  </conditionalFormatting>
  <conditionalFormatting sqref="A385:AG385">
    <cfRule type="expression" dxfId="0" priority="191">
      <formula>MOD(ROW(),2)=0</formula>
    </cfRule>
  </conditionalFormatting>
  <conditionalFormatting sqref="A387:AG387">
    <cfRule type="expression" dxfId="0" priority="192">
      <formula>MOD(ROW(),2)=0</formula>
    </cfRule>
  </conditionalFormatting>
  <conditionalFormatting sqref="A389:AG389">
    <cfRule type="expression" dxfId="0" priority="193">
      <formula>MOD(ROW(),2)=0</formula>
    </cfRule>
  </conditionalFormatting>
  <conditionalFormatting sqref="A391:AG391">
    <cfRule type="expression" dxfId="0" priority="194">
      <formula>MOD(ROW(),2)=0</formula>
    </cfRule>
  </conditionalFormatting>
  <conditionalFormatting sqref="A393:AG393">
    <cfRule type="expression" dxfId="0" priority="195">
      <formula>MOD(ROW(),2)=0</formula>
    </cfRule>
  </conditionalFormatting>
  <conditionalFormatting sqref="A395:AG395">
    <cfRule type="expression" dxfId="0" priority="196">
      <formula>MOD(ROW(),2)=0</formula>
    </cfRule>
  </conditionalFormatting>
  <conditionalFormatting sqref="A397:AG397">
    <cfRule type="expression" dxfId="0" priority="197">
      <formula>MOD(ROW(),2)=0</formula>
    </cfRule>
  </conditionalFormatting>
  <conditionalFormatting sqref="A399:AG399">
    <cfRule type="expression" dxfId="0" priority="198">
      <formula>MOD(ROW(),2)=0</formula>
    </cfRule>
  </conditionalFormatting>
  <conditionalFormatting sqref="A39:AG39">
    <cfRule type="expression" dxfId="0" priority="18">
      <formula>MOD(ROW(),2)=0</formula>
    </cfRule>
  </conditionalFormatting>
  <conditionalFormatting sqref="A401:AG401">
    <cfRule type="expression" dxfId="0" priority="199">
      <formula>MOD(ROW(),2)=0</formula>
    </cfRule>
  </conditionalFormatting>
  <conditionalFormatting sqref="A403:AG403">
    <cfRule type="expression" dxfId="0" priority="200">
      <formula>MOD(ROW(),2)=0</formula>
    </cfRule>
  </conditionalFormatting>
  <conditionalFormatting sqref="A405:AG405">
    <cfRule type="expression" dxfId="0" priority="201">
      <formula>MOD(ROW(),2)=0</formula>
    </cfRule>
  </conditionalFormatting>
  <conditionalFormatting sqref="A407:AG407">
    <cfRule type="expression" dxfId="0" priority="202">
      <formula>MOD(ROW(),2)=0</formula>
    </cfRule>
  </conditionalFormatting>
  <conditionalFormatting sqref="A409:AG409">
    <cfRule type="expression" dxfId="0" priority="203">
      <formula>MOD(ROW(),2)=0</formula>
    </cfRule>
  </conditionalFormatting>
  <conditionalFormatting sqref="A411:AG411">
    <cfRule type="expression" dxfId="0" priority="204">
      <formula>MOD(ROW(),2)=0</formula>
    </cfRule>
  </conditionalFormatting>
  <conditionalFormatting sqref="A413:AG413">
    <cfRule type="expression" dxfId="0" priority="205">
      <formula>MOD(ROW(),2)=0</formula>
    </cfRule>
  </conditionalFormatting>
  <conditionalFormatting sqref="A415:AG415">
    <cfRule type="expression" dxfId="0" priority="206">
      <formula>MOD(ROW(),2)=0</formula>
    </cfRule>
  </conditionalFormatting>
  <conditionalFormatting sqref="A417:AG417">
    <cfRule type="expression" dxfId="0" priority="207">
      <formula>MOD(ROW(),2)=0</formula>
    </cfRule>
  </conditionalFormatting>
  <conditionalFormatting sqref="A419:AG419">
    <cfRule type="expression" dxfId="0" priority="208">
      <formula>MOD(ROW(),2)=0</formula>
    </cfRule>
  </conditionalFormatting>
  <conditionalFormatting sqref="A41:AG41">
    <cfRule type="expression" dxfId="0" priority="19">
      <formula>MOD(ROW(),2)=0</formula>
    </cfRule>
  </conditionalFormatting>
  <conditionalFormatting sqref="A421:AG421">
    <cfRule type="expression" dxfId="0" priority="209">
      <formula>MOD(ROW(),2)=0</formula>
    </cfRule>
  </conditionalFormatting>
  <conditionalFormatting sqref="A423:AG423">
    <cfRule type="expression" dxfId="0" priority="210">
      <formula>MOD(ROW(),2)=0</formula>
    </cfRule>
  </conditionalFormatting>
  <conditionalFormatting sqref="A425:AG425">
    <cfRule type="expression" dxfId="0" priority="211">
      <formula>MOD(ROW(),2)=0</formula>
    </cfRule>
  </conditionalFormatting>
  <conditionalFormatting sqref="A427:AG427">
    <cfRule type="expression" dxfId="0" priority="212">
      <formula>MOD(ROW(),2)=0</formula>
    </cfRule>
  </conditionalFormatting>
  <conditionalFormatting sqref="A429:AG429">
    <cfRule type="expression" dxfId="0" priority="213">
      <formula>MOD(ROW(),2)=0</formula>
    </cfRule>
  </conditionalFormatting>
  <conditionalFormatting sqref="A431:AG431">
    <cfRule type="expression" dxfId="0" priority="214">
      <formula>MOD(ROW(),2)=0</formula>
    </cfRule>
  </conditionalFormatting>
  <conditionalFormatting sqref="A433:AG433">
    <cfRule type="expression" dxfId="0" priority="215">
      <formula>MOD(ROW(),2)=0</formula>
    </cfRule>
  </conditionalFormatting>
  <conditionalFormatting sqref="A435:AG435">
    <cfRule type="expression" dxfId="0" priority="216">
      <formula>MOD(ROW(),2)=0</formula>
    </cfRule>
  </conditionalFormatting>
  <conditionalFormatting sqref="A437:AG437">
    <cfRule type="expression" dxfId="0" priority="217">
      <formula>MOD(ROW(),2)=0</formula>
    </cfRule>
  </conditionalFormatting>
  <conditionalFormatting sqref="A439:AG439">
    <cfRule type="expression" dxfId="0" priority="218">
      <formula>MOD(ROW(),2)=0</formula>
    </cfRule>
  </conditionalFormatting>
  <conditionalFormatting sqref="A43:AG43">
    <cfRule type="expression" dxfId="0" priority="20">
      <formula>MOD(ROW(),2)=0</formula>
    </cfRule>
  </conditionalFormatting>
  <conditionalFormatting sqref="A441:AG441">
    <cfRule type="expression" dxfId="0" priority="219">
      <formula>MOD(ROW(),2)=0</formula>
    </cfRule>
  </conditionalFormatting>
  <conditionalFormatting sqref="A443:AG443">
    <cfRule type="expression" dxfId="0" priority="220">
      <formula>MOD(ROW(),2)=0</formula>
    </cfRule>
  </conditionalFormatting>
  <conditionalFormatting sqref="A445:AG445">
    <cfRule type="expression" dxfId="0" priority="221">
      <formula>MOD(ROW(),2)=0</formula>
    </cfRule>
  </conditionalFormatting>
  <conditionalFormatting sqref="A447:AG447">
    <cfRule type="expression" dxfId="0" priority="222">
      <formula>MOD(ROW(),2)=0</formula>
    </cfRule>
  </conditionalFormatting>
  <conditionalFormatting sqref="A449:AG449">
    <cfRule type="expression" dxfId="0" priority="223">
      <formula>MOD(ROW(),2)=0</formula>
    </cfRule>
  </conditionalFormatting>
  <conditionalFormatting sqref="A451:AG451">
    <cfRule type="expression" dxfId="0" priority="224">
      <formula>MOD(ROW(),2)=0</formula>
    </cfRule>
  </conditionalFormatting>
  <conditionalFormatting sqref="A453:AG453">
    <cfRule type="expression" dxfId="0" priority="225">
      <formula>MOD(ROW(),2)=0</formula>
    </cfRule>
  </conditionalFormatting>
  <conditionalFormatting sqref="A455:AG455">
    <cfRule type="expression" dxfId="0" priority="226">
      <formula>MOD(ROW(),2)=0</formula>
    </cfRule>
  </conditionalFormatting>
  <conditionalFormatting sqref="A457:AG457">
    <cfRule type="expression" dxfId="0" priority="227">
      <formula>MOD(ROW(),2)=0</formula>
    </cfRule>
  </conditionalFormatting>
  <conditionalFormatting sqref="A459:AG459">
    <cfRule type="expression" dxfId="0" priority="228">
      <formula>MOD(ROW(),2)=0</formula>
    </cfRule>
  </conditionalFormatting>
  <conditionalFormatting sqref="A45:AG45">
    <cfRule type="expression" dxfId="0" priority="21">
      <formula>MOD(ROW(),2)=0</formula>
    </cfRule>
  </conditionalFormatting>
  <conditionalFormatting sqref="A461:AG461">
    <cfRule type="expression" dxfId="0" priority="229">
      <formula>MOD(ROW(),2)=0</formula>
    </cfRule>
  </conditionalFormatting>
  <conditionalFormatting sqref="A463:AG463">
    <cfRule type="expression" dxfId="0" priority="230">
      <formula>MOD(ROW(),2)=0</formula>
    </cfRule>
  </conditionalFormatting>
  <conditionalFormatting sqref="A465:AG465">
    <cfRule type="expression" dxfId="0" priority="231">
      <formula>MOD(ROW(),2)=0</formula>
    </cfRule>
  </conditionalFormatting>
  <conditionalFormatting sqref="A467:AG467">
    <cfRule type="expression" dxfId="0" priority="232">
      <formula>MOD(ROW(),2)=0</formula>
    </cfRule>
  </conditionalFormatting>
  <conditionalFormatting sqref="A469:AG469">
    <cfRule type="expression" dxfId="0" priority="233">
      <formula>MOD(ROW(),2)=0</formula>
    </cfRule>
  </conditionalFormatting>
  <conditionalFormatting sqref="A471:AG471">
    <cfRule type="expression" dxfId="0" priority="234">
      <formula>MOD(ROW(),2)=0</formula>
    </cfRule>
  </conditionalFormatting>
  <conditionalFormatting sqref="A473:AG473">
    <cfRule type="expression" dxfId="0" priority="235">
      <formula>MOD(ROW(),2)=0</formula>
    </cfRule>
  </conditionalFormatting>
  <conditionalFormatting sqref="A475:AG475">
    <cfRule type="expression" dxfId="0" priority="236">
      <formula>MOD(ROW(),2)=0</formula>
    </cfRule>
  </conditionalFormatting>
  <conditionalFormatting sqref="A477:AG477">
    <cfRule type="expression" dxfId="0" priority="237">
      <formula>MOD(ROW(),2)=0</formula>
    </cfRule>
  </conditionalFormatting>
  <conditionalFormatting sqref="A479:AG479">
    <cfRule type="expression" dxfId="0" priority="238">
      <formula>MOD(ROW(),2)=0</formula>
    </cfRule>
  </conditionalFormatting>
  <conditionalFormatting sqref="A47:AG47">
    <cfRule type="expression" dxfId="0" priority="22">
      <formula>MOD(ROW(),2)=0</formula>
    </cfRule>
  </conditionalFormatting>
  <conditionalFormatting sqref="A481:AG481">
    <cfRule type="expression" dxfId="0" priority="239">
      <formula>MOD(ROW(),2)=0</formula>
    </cfRule>
  </conditionalFormatting>
  <conditionalFormatting sqref="A483:AG483">
    <cfRule type="expression" dxfId="0" priority="240">
      <formula>MOD(ROW(),2)=0</formula>
    </cfRule>
  </conditionalFormatting>
  <conditionalFormatting sqref="A485:AG485">
    <cfRule type="expression" dxfId="0" priority="241">
      <formula>MOD(ROW(),2)=0</formula>
    </cfRule>
  </conditionalFormatting>
  <conditionalFormatting sqref="A487:AG487">
    <cfRule type="expression" dxfId="0" priority="242">
      <formula>MOD(ROW(),2)=0</formula>
    </cfRule>
  </conditionalFormatting>
  <conditionalFormatting sqref="A489:AG489">
    <cfRule type="expression" dxfId="0" priority="243">
      <formula>MOD(ROW(),2)=0</formula>
    </cfRule>
  </conditionalFormatting>
  <conditionalFormatting sqref="A491:AG491">
    <cfRule type="expression" dxfId="0" priority="244">
      <formula>MOD(ROW(),2)=0</formula>
    </cfRule>
  </conditionalFormatting>
  <conditionalFormatting sqref="A493:AG493">
    <cfRule type="expression" dxfId="0" priority="245">
      <formula>MOD(ROW(),2)=0</formula>
    </cfRule>
  </conditionalFormatting>
  <conditionalFormatting sqref="A495:AG495">
    <cfRule type="expression" dxfId="0" priority="246">
      <formula>MOD(ROW(),2)=0</formula>
    </cfRule>
  </conditionalFormatting>
  <conditionalFormatting sqref="A497:AG497">
    <cfRule type="expression" dxfId="0" priority="247">
      <formula>MOD(ROW(),2)=0</formula>
    </cfRule>
  </conditionalFormatting>
  <conditionalFormatting sqref="A499:AG499">
    <cfRule type="expression" dxfId="0" priority="248">
      <formula>MOD(ROW(),2)=0</formula>
    </cfRule>
  </conditionalFormatting>
  <conditionalFormatting sqref="A49:AG49">
    <cfRule type="expression" dxfId="0" priority="23">
      <formula>MOD(ROW(),2)=0</formula>
    </cfRule>
  </conditionalFormatting>
  <conditionalFormatting sqref="A501:AG501">
    <cfRule type="expression" dxfId="0" priority="249">
      <formula>MOD(ROW(),2)=0</formula>
    </cfRule>
  </conditionalFormatting>
  <conditionalFormatting sqref="A503:AG503">
    <cfRule type="expression" dxfId="0" priority="250">
      <formula>MOD(ROW(),2)=0</formula>
    </cfRule>
  </conditionalFormatting>
  <conditionalFormatting sqref="A51:AG51">
    <cfRule type="expression" dxfId="0" priority="24">
      <formula>MOD(ROW(),2)=0</formula>
    </cfRule>
  </conditionalFormatting>
  <conditionalFormatting sqref="A53:AG53">
    <cfRule type="expression" dxfId="0" priority="25">
      <formula>MOD(ROW(),2)=0</formula>
    </cfRule>
  </conditionalFormatting>
  <conditionalFormatting sqref="A55:AG55">
    <cfRule type="expression" dxfId="0" priority="26">
      <formula>MOD(ROW(),2)=0</formula>
    </cfRule>
  </conditionalFormatting>
  <conditionalFormatting sqref="A57:AG57">
    <cfRule type="expression" dxfId="0" priority="27">
      <formula>MOD(ROW(),2)=0</formula>
    </cfRule>
  </conditionalFormatting>
  <conditionalFormatting sqref="A59:AG59">
    <cfRule type="expression" dxfId="0" priority="28">
      <formula>MOD(ROW(),2)=0</formula>
    </cfRule>
  </conditionalFormatting>
  <conditionalFormatting sqref="A5:AG5">
    <cfRule type="expression" dxfId="0" priority="1">
      <formula>MOD(ROW(),2)=0</formula>
    </cfRule>
  </conditionalFormatting>
  <conditionalFormatting sqref="A61:AG61">
    <cfRule type="expression" dxfId="0" priority="29">
      <formula>MOD(ROW(),2)=0</formula>
    </cfRule>
  </conditionalFormatting>
  <conditionalFormatting sqref="A63:AG63">
    <cfRule type="expression" dxfId="0" priority="30">
      <formula>MOD(ROW(),2)=0</formula>
    </cfRule>
  </conditionalFormatting>
  <conditionalFormatting sqref="A65:AG65">
    <cfRule type="expression" dxfId="0" priority="31">
      <formula>MOD(ROW(),2)=0</formula>
    </cfRule>
  </conditionalFormatting>
  <conditionalFormatting sqref="A67:AG67">
    <cfRule type="expression" dxfId="0" priority="32">
      <formula>MOD(ROW(),2)=0</formula>
    </cfRule>
  </conditionalFormatting>
  <conditionalFormatting sqref="A69:AG69">
    <cfRule type="expression" dxfId="0" priority="33">
      <formula>MOD(ROW(),2)=0</formula>
    </cfRule>
  </conditionalFormatting>
  <conditionalFormatting sqref="A71:AG71">
    <cfRule type="expression" dxfId="0" priority="34">
      <formula>MOD(ROW(),2)=0</formula>
    </cfRule>
  </conditionalFormatting>
  <conditionalFormatting sqref="A73:AG73">
    <cfRule type="expression" dxfId="0" priority="35">
      <formula>MOD(ROW(),2)=0</formula>
    </cfRule>
  </conditionalFormatting>
  <conditionalFormatting sqref="A75:AG75">
    <cfRule type="expression" dxfId="0" priority="36">
      <formula>MOD(ROW(),2)=0</formula>
    </cfRule>
  </conditionalFormatting>
  <conditionalFormatting sqref="A77:AG77">
    <cfRule type="expression" dxfId="0" priority="37">
      <formula>MOD(ROW(),2)=0</formula>
    </cfRule>
  </conditionalFormatting>
  <conditionalFormatting sqref="A79:AG79">
    <cfRule type="expression" dxfId="0" priority="38">
      <formula>MOD(ROW(),2)=0</formula>
    </cfRule>
  </conditionalFormatting>
  <conditionalFormatting sqref="A7:AG7">
    <cfRule type="expression" dxfId="0" priority="2">
      <formula>MOD(ROW(),2)=0</formula>
    </cfRule>
  </conditionalFormatting>
  <conditionalFormatting sqref="A81:AG81">
    <cfRule type="expression" dxfId="0" priority="39">
      <formula>MOD(ROW(),2)=0</formula>
    </cfRule>
  </conditionalFormatting>
  <conditionalFormatting sqref="A83:AG83">
    <cfRule type="expression" dxfId="0" priority="40">
      <formula>MOD(ROW(),2)=0</formula>
    </cfRule>
  </conditionalFormatting>
  <conditionalFormatting sqref="A85:AG85">
    <cfRule type="expression" dxfId="0" priority="41">
      <formula>MOD(ROW(),2)=0</formula>
    </cfRule>
  </conditionalFormatting>
  <conditionalFormatting sqref="A87:AG87">
    <cfRule type="expression" dxfId="0" priority="42">
      <formula>MOD(ROW(),2)=0</formula>
    </cfRule>
  </conditionalFormatting>
  <conditionalFormatting sqref="A89:AG89">
    <cfRule type="expression" dxfId="0" priority="43">
      <formula>MOD(ROW(),2)=0</formula>
    </cfRule>
  </conditionalFormatting>
  <conditionalFormatting sqref="A91:AG91">
    <cfRule type="expression" dxfId="0" priority="44">
      <formula>MOD(ROW(),2)=0</formula>
    </cfRule>
  </conditionalFormatting>
  <conditionalFormatting sqref="A93:AG93">
    <cfRule type="expression" dxfId="0" priority="45">
      <formula>MOD(ROW(),2)=0</formula>
    </cfRule>
  </conditionalFormatting>
  <conditionalFormatting sqref="A95:AG95">
    <cfRule type="expression" dxfId="0" priority="46">
      <formula>MOD(ROW(),2)=0</formula>
    </cfRule>
  </conditionalFormatting>
  <conditionalFormatting sqref="A97:AG97">
    <cfRule type="expression" dxfId="0" priority="47">
      <formula>MOD(ROW(),2)=0</formula>
    </cfRule>
  </conditionalFormatting>
  <conditionalFormatting sqref="A99:AG99">
    <cfRule type="expression" dxfId="0" priority="48">
      <formula>MOD(ROW(),2)=0</formula>
    </cfRule>
  </conditionalFormatting>
  <conditionalFormatting sqref="A9:AG9">
    <cfRule type="expression" dxfId="0" priority="3">
      <formula>MOD(ROW(),2)=0</formula>
    </cfRule>
  </conditionalFormatting>
  <dataValidations count="4000">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Spreadsheet&amp;R&amp;"Calibri,Italic"Meal Plan</oddHeader>
    <oddFooter>&amp;LPage &amp;P of &amp;N&amp;R&amp;D</oddFooter>
  </headerFooter>
  <legacyDrawing r:id="rId1"/>
</worksheet>
</file>

<file path=xl/worksheets/sheet12.xml><?xml version="1.0" encoding="utf-8"?>
<worksheet xmlns="http://schemas.openxmlformats.org/spreadsheetml/2006/main" xmlns:r="http://schemas.openxmlformats.org/officeDocument/2006/relationships">
  <sheetPr>
    <tabColor rgb="FFD9703C"/>
    <pageSetUpPr fitToPage="1"/>
  </sheetPr>
  <dimension ref="A4:AA3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6.7109375" customWidth="1"/>
    <col min="2" max="2" width="17.7109375" customWidth="1"/>
    <col min="3" max="4" width="10.7109375" customWidth="1"/>
    <col min="5" max="5" width="18.7109375" customWidth="1"/>
    <col min="6" max="6" width="16.7109375" customWidth="1"/>
    <col min="7" max="8" width="11.7109375" customWidth="1"/>
    <col min="9" max="9" width="10.7109375" customWidth="1"/>
    <col min="10" max="10" width="9.7109375" customWidth="1"/>
    <col min="11" max="11" width="11.7109375" customWidth="1"/>
    <col min="12" max="12" width="10.7109375" customWidth="1"/>
    <col min="13" max="13" width="11.7109375" customWidth="1"/>
    <col min="14" max="14" width="8.7109375" customWidth="1"/>
    <col min="15" max="15" width="9.7109375" customWidth="1"/>
    <col min="16" max="16" width="12.7109375" customWidth="1"/>
    <col min="17" max="18" width="11.7109375" customWidth="1"/>
    <col min="19" max="19" width="10.7109375" customWidth="1"/>
    <col min="20" max="20" width="9.7109375" customWidth="1"/>
    <col min="21" max="21" width="10.7109375" customWidth="1"/>
    <col min="22" max="22" width="13.7109375" customWidth="1"/>
    <col min="23" max="23" width="12.7109375" customWidth="1"/>
    <col min="24" max="24" width="22.7109375" customWidth="1"/>
    <col min="25" max="25" width="9.7109375" customWidth="1"/>
    <col min="26" max="26" width="13.7109375" customWidth="1"/>
    <col min="27" max="27" width="30.7109375" customWidth="1"/>
  </cols>
  <sheetData>
    <row r="4" spans="1:27" ht="32" customHeight="1">
      <c r="A4" s="9" t="s">
        <v>147</v>
      </c>
      <c r="B4" s="9" t="s">
        <v>383</v>
      </c>
      <c r="C4" s="9" t="s">
        <v>149</v>
      </c>
      <c r="D4" s="9" t="s">
        <v>323</v>
      </c>
      <c r="E4" s="9" t="s">
        <v>384</v>
      </c>
      <c r="F4" s="9" t="s">
        <v>385</v>
      </c>
      <c r="G4" s="9" t="s">
        <v>325</v>
      </c>
      <c r="H4" s="9" t="s">
        <v>386</v>
      </c>
      <c r="I4" s="9" t="s">
        <v>331</v>
      </c>
      <c r="J4" s="9" t="s">
        <v>387</v>
      </c>
      <c r="K4" s="9" t="s">
        <v>388</v>
      </c>
      <c r="L4" s="9" t="s">
        <v>329</v>
      </c>
      <c r="M4" s="9" t="s">
        <v>389</v>
      </c>
      <c r="N4" s="9" t="s">
        <v>390</v>
      </c>
      <c r="O4" s="9" t="s">
        <v>391</v>
      </c>
      <c r="P4" s="9" t="s">
        <v>392</v>
      </c>
      <c r="Q4" s="9" t="s">
        <v>393</v>
      </c>
      <c r="R4" s="9" t="s">
        <v>394</v>
      </c>
      <c r="S4" s="9" t="s">
        <v>355</v>
      </c>
      <c r="T4" s="9" t="s">
        <v>395</v>
      </c>
      <c r="U4" s="9" t="s">
        <v>396</v>
      </c>
      <c r="V4" s="9" t="s">
        <v>397</v>
      </c>
      <c r="W4" s="9" t="s">
        <v>107</v>
      </c>
      <c r="X4" s="9" t="s">
        <v>398</v>
      </c>
      <c r="Y4" s="9" t="s">
        <v>337</v>
      </c>
      <c r="Z4" s="9" t="s">
        <v>135</v>
      </c>
      <c r="AA4" s="9" t="s">
        <v>173</v>
      </c>
    </row>
    <row r="5" spans="1:27">
      <c r="A5" s="7"/>
      <c r="B5" s="8">
        <f>IF(A5="","",IFERROR(INDEX(Ingredients!$B$5:$B$304,MATCH(A5,Ingredients!$A$5:$A$304,0)),""))</f>
        <v>0</v>
      </c>
      <c r="C5" s="26"/>
      <c r="D5" s="27"/>
      <c r="E5" s="27"/>
      <c r="F5" s="7"/>
      <c r="G5" s="8">
        <f>IF(A5="","",IFERROR(INDEX(Ingredients!$D$5:$D$304,MATCH(A5,Ingredients!$A$5:$A$304,0)),""))</f>
        <v>0</v>
      </c>
      <c r="H5" s="8">
        <f>IF(OR(A5="",C5="",G5=""),"",C5*G5)</f>
        <v>0</v>
      </c>
      <c r="I5" s="26"/>
      <c r="J5" s="8">
        <f>IF(OR(C5="",I5="",I5=0),"",CEILING(C5/I5,1))</f>
        <v>0</v>
      </c>
      <c r="K5" s="8">
        <f>IF(OR(J5="",I5="",G5=""),"",J5*I5*G5)</f>
        <v>0</v>
      </c>
      <c r="L5" s="8">
        <f>IF(A5="","",SUMIFS(Pantry!$C$5:$C$304,Pantry!$A$5:$A$304,A5))</f>
        <v>0</v>
      </c>
      <c r="M5" s="8">
        <f>IF(OR(A5="",C5=""),"",MAX(0,C5-L5))</f>
        <v>0</v>
      </c>
      <c r="N5" s="27"/>
      <c r="O5" s="27"/>
      <c r="P5" s="30"/>
      <c r="Q5" s="28"/>
      <c r="R5" s="8">
        <f>IF(OR(Q5="",H5=""),"",Q5-H5)</f>
        <v>0</v>
      </c>
      <c r="S5" s="8">
        <f>IF(M5="","",COUNTIFS($M$5:$M$304,"&gt;"&amp;M5)+1)</f>
        <v>0</v>
      </c>
      <c r="T5" s="8">
        <f>IF(H5="","",H5+ROW()/1000000)</f>
        <v>0</v>
      </c>
      <c r="U5" s="8">
        <f>IF(OR(N5&lt;&gt;"Yes",T5=""),"",COUNTIFS($N$5:$N$304,"Yes",$T$5:$T$304,"&lt;"&amp;T5)+1)</f>
        <v>0</v>
      </c>
      <c r="V5" s="8">
        <f>IF(A5="","",IF(O5="Yes","Bought",IF(M5&lt;=0,"Have it",IF(N5&lt;&gt;"Yes","Skip",IF(S5&lt;=10,"Must have","Nice to have")))))</f>
        <v>0</v>
      </c>
      <c r="W5" s="30"/>
      <c r="X5" s="8">
        <f>IF(A5="","",IFERROR(INDEX('Recipe Ingredients'!$A$5:$A$1204,MATCH(A5,'Recipe Ingredients'!$B$5:$B$1204,0)),""))</f>
        <v>0</v>
      </c>
      <c r="Y5" s="8">
        <f>IF(A5="","",IFERROR(INDEX(Ingredients!$O$5:$O$304,MATCH(A5,Ingredients!$A$5:$A$304,0)),""))</f>
        <v>0</v>
      </c>
      <c r="Z5" s="8">
        <f>IF(A5="","",IF(O5="Yes","Bought",IF(N5="Yes","To buy","Not needed")))</f>
        <v>0</v>
      </c>
      <c r="AA5" s="25"/>
    </row>
    <row r="6" spans="1:27">
      <c r="A6" s="7"/>
      <c r="B6" s="8">
        <f>IF(A6="","",IFERROR(INDEX(Ingredients!$B$5:$B$304,MATCH(A6,Ingredients!$A$5:$A$304,0)),""))</f>
        <v>0</v>
      </c>
      <c r="C6" s="26"/>
      <c r="D6" s="27"/>
      <c r="E6" s="27"/>
      <c r="F6" s="7"/>
      <c r="G6" s="8">
        <f>IF(A6="","",IFERROR(INDEX(Ingredients!$D$5:$D$304,MATCH(A6,Ingredients!$A$5:$A$304,0)),""))</f>
        <v>0</v>
      </c>
      <c r="H6" s="8">
        <f>IF(OR(A6="",C6="",G6=""),"",C6*G6)</f>
        <v>0</v>
      </c>
      <c r="I6" s="26"/>
      <c r="J6" s="8">
        <f>IF(OR(C6="",I6="",I6=0),"",CEILING(C6/I6,1))</f>
        <v>0</v>
      </c>
      <c r="K6" s="8">
        <f>IF(OR(J6="",I6="",G6=""),"",J6*I6*G6)</f>
        <v>0</v>
      </c>
      <c r="L6" s="8">
        <f>IF(A6="","",SUMIFS(Pantry!$C$5:$C$304,Pantry!$A$5:$A$304,A6))</f>
        <v>0</v>
      </c>
      <c r="M6" s="8">
        <f>IF(OR(A6="",C6=""),"",MAX(0,C6-L6))</f>
        <v>0</v>
      </c>
      <c r="N6" s="27"/>
      <c r="O6" s="27"/>
      <c r="P6" s="30"/>
      <c r="Q6" s="28"/>
      <c r="R6" s="8">
        <f>IF(OR(Q6="",H6=""),"",Q6-H6)</f>
        <v>0</v>
      </c>
      <c r="S6" s="8">
        <f>IF(M6="","",COUNTIFS($M$5:$M$304,"&gt;"&amp;M6)+1)</f>
        <v>0</v>
      </c>
      <c r="T6" s="8">
        <f>IF(H6="","",H6+ROW()/1000000)</f>
        <v>0</v>
      </c>
      <c r="U6" s="8">
        <f>IF(OR(N6&lt;&gt;"Yes",T6=""),"",COUNTIFS($N$5:$N$304,"Yes",$T$5:$T$304,"&lt;"&amp;T6)+1)</f>
        <v>0</v>
      </c>
      <c r="V6" s="8">
        <f>IF(A6="","",IF(O6="Yes","Bought",IF(M6&lt;=0,"Have it",IF(N6&lt;&gt;"Yes","Skip",IF(S6&lt;=10,"Must have","Nice to have")))))</f>
        <v>0</v>
      </c>
      <c r="W6" s="30"/>
      <c r="X6" s="8">
        <f>IF(A6="","",IFERROR(INDEX('Recipe Ingredients'!$A$5:$A$1204,MATCH(A6,'Recipe Ingredients'!$B$5:$B$1204,0)),""))</f>
        <v>0</v>
      </c>
      <c r="Y6" s="8">
        <f>IF(A6="","",IFERROR(INDEX(Ingredients!$O$5:$O$304,MATCH(A6,Ingredients!$A$5:$A$304,0)),""))</f>
        <v>0</v>
      </c>
      <c r="Z6" s="8">
        <f>IF(A6="","",IF(O6="Yes","Bought",IF(N6="Yes","To buy","Not needed")))</f>
        <v>0</v>
      </c>
      <c r="AA6" s="25"/>
    </row>
    <row r="7" spans="1:27">
      <c r="A7" s="7"/>
      <c r="B7" s="8">
        <f>IF(A7="","",IFERROR(INDEX(Ingredients!$B$5:$B$304,MATCH(A7,Ingredients!$A$5:$A$304,0)),""))</f>
        <v>0</v>
      </c>
      <c r="C7" s="26"/>
      <c r="D7" s="27"/>
      <c r="E7" s="27"/>
      <c r="F7" s="7"/>
      <c r="G7" s="8">
        <f>IF(A7="","",IFERROR(INDEX(Ingredients!$D$5:$D$304,MATCH(A7,Ingredients!$A$5:$A$304,0)),""))</f>
        <v>0</v>
      </c>
      <c r="H7" s="8">
        <f>IF(OR(A7="",C7="",G7=""),"",C7*G7)</f>
        <v>0</v>
      </c>
      <c r="I7" s="26"/>
      <c r="J7" s="8">
        <f>IF(OR(C7="",I7="",I7=0),"",CEILING(C7/I7,1))</f>
        <v>0</v>
      </c>
      <c r="K7" s="8">
        <f>IF(OR(J7="",I7="",G7=""),"",J7*I7*G7)</f>
        <v>0</v>
      </c>
      <c r="L7" s="8">
        <f>IF(A7="","",SUMIFS(Pantry!$C$5:$C$304,Pantry!$A$5:$A$304,A7))</f>
        <v>0</v>
      </c>
      <c r="M7" s="8">
        <f>IF(OR(A7="",C7=""),"",MAX(0,C7-L7))</f>
        <v>0</v>
      </c>
      <c r="N7" s="27"/>
      <c r="O7" s="27"/>
      <c r="P7" s="30"/>
      <c r="Q7" s="28"/>
      <c r="R7" s="8">
        <f>IF(OR(Q7="",H7=""),"",Q7-H7)</f>
        <v>0</v>
      </c>
      <c r="S7" s="8">
        <f>IF(M7="","",COUNTIFS($M$5:$M$304,"&gt;"&amp;M7)+1)</f>
        <v>0</v>
      </c>
      <c r="T7" s="8">
        <f>IF(H7="","",H7+ROW()/1000000)</f>
        <v>0</v>
      </c>
      <c r="U7" s="8">
        <f>IF(OR(N7&lt;&gt;"Yes",T7=""),"",COUNTIFS($N$5:$N$304,"Yes",$T$5:$T$304,"&lt;"&amp;T7)+1)</f>
        <v>0</v>
      </c>
      <c r="V7" s="8">
        <f>IF(A7="","",IF(O7="Yes","Bought",IF(M7&lt;=0,"Have it",IF(N7&lt;&gt;"Yes","Skip",IF(S7&lt;=10,"Must have","Nice to have")))))</f>
        <v>0</v>
      </c>
      <c r="W7" s="30"/>
      <c r="X7" s="8">
        <f>IF(A7="","",IFERROR(INDEX('Recipe Ingredients'!$A$5:$A$1204,MATCH(A7,'Recipe Ingredients'!$B$5:$B$1204,0)),""))</f>
        <v>0</v>
      </c>
      <c r="Y7" s="8">
        <f>IF(A7="","",IFERROR(INDEX(Ingredients!$O$5:$O$304,MATCH(A7,Ingredients!$A$5:$A$304,0)),""))</f>
        <v>0</v>
      </c>
      <c r="Z7" s="8">
        <f>IF(A7="","",IF(O7="Yes","Bought",IF(N7="Yes","To buy","Not needed")))</f>
        <v>0</v>
      </c>
      <c r="AA7" s="25"/>
    </row>
    <row r="8" spans="1:27">
      <c r="A8" s="7"/>
      <c r="B8" s="8">
        <f>IF(A8="","",IFERROR(INDEX(Ingredients!$B$5:$B$304,MATCH(A8,Ingredients!$A$5:$A$304,0)),""))</f>
        <v>0</v>
      </c>
      <c r="C8" s="26"/>
      <c r="D8" s="27"/>
      <c r="E8" s="27"/>
      <c r="F8" s="7"/>
      <c r="G8" s="8">
        <f>IF(A8="","",IFERROR(INDEX(Ingredients!$D$5:$D$304,MATCH(A8,Ingredients!$A$5:$A$304,0)),""))</f>
        <v>0</v>
      </c>
      <c r="H8" s="8">
        <f>IF(OR(A8="",C8="",G8=""),"",C8*G8)</f>
        <v>0</v>
      </c>
      <c r="I8" s="26"/>
      <c r="J8" s="8">
        <f>IF(OR(C8="",I8="",I8=0),"",CEILING(C8/I8,1))</f>
        <v>0</v>
      </c>
      <c r="K8" s="8">
        <f>IF(OR(J8="",I8="",G8=""),"",J8*I8*G8)</f>
        <v>0</v>
      </c>
      <c r="L8" s="8">
        <f>IF(A8="","",SUMIFS(Pantry!$C$5:$C$304,Pantry!$A$5:$A$304,A8))</f>
        <v>0</v>
      </c>
      <c r="M8" s="8">
        <f>IF(OR(A8="",C8=""),"",MAX(0,C8-L8))</f>
        <v>0</v>
      </c>
      <c r="N8" s="27"/>
      <c r="O8" s="27"/>
      <c r="P8" s="30"/>
      <c r="Q8" s="28"/>
      <c r="R8" s="8">
        <f>IF(OR(Q8="",H8=""),"",Q8-H8)</f>
        <v>0</v>
      </c>
      <c r="S8" s="8">
        <f>IF(M8="","",COUNTIFS($M$5:$M$304,"&gt;"&amp;M8)+1)</f>
        <v>0</v>
      </c>
      <c r="T8" s="8">
        <f>IF(H8="","",H8+ROW()/1000000)</f>
        <v>0</v>
      </c>
      <c r="U8" s="8">
        <f>IF(OR(N8&lt;&gt;"Yes",T8=""),"",COUNTIFS($N$5:$N$304,"Yes",$T$5:$T$304,"&lt;"&amp;T8)+1)</f>
        <v>0</v>
      </c>
      <c r="V8" s="8">
        <f>IF(A8="","",IF(O8="Yes","Bought",IF(M8&lt;=0,"Have it",IF(N8&lt;&gt;"Yes","Skip",IF(S8&lt;=10,"Must have","Nice to have")))))</f>
        <v>0</v>
      </c>
      <c r="W8" s="30"/>
      <c r="X8" s="8">
        <f>IF(A8="","",IFERROR(INDEX('Recipe Ingredients'!$A$5:$A$1204,MATCH(A8,'Recipe Ingredients'!$B$5:$B$1204,0)),""))</f>
        <v>0</v>
      </c>
      <c r="Y8" s="8">
        <f>IF(A8="","",IFERROR(INDEX(Ingredients!$O$5:$O$304,MATCH(A8,Ingredients!$A$5:$A$304,0)),""))</f>
        <v>0</v>
      </c>
      <c r="Z8" s="8">
        <f>IF(A8="","",IF(O8="Yes","Bought",IF(N8="Yes","To buy","Not needed")))</f>
        <v>0</v>
      </c>
      <c r="AA8" s="25"/>
    </row>
    <row r="9" spans="1:27">
      <c r="A9" s="7"/>
      <c r="B9" s="8">
        <f>IF(A9="","",IFERROR(INDEX(Ingredients!$B$5:$B$304,MATCH(A9,Ingredients!$A$5:$A$304,0)),""))</f>
        <v>0</v>
      </c>
      <c r="C9" s="26"/>
      <c r="D9" s="27"/>
      <c r="E9" s="27"/>
      <c r="F9" s="7"/>
      <c r="G9" s="8">
        <f>IF(A9="","",IFERROR(INDEX(Ingredients!$D$5:$D$304,MATCH(A9,Ingredients!$A$5:$A$304,0)),""))</f>
        <v>0</v>
      </c>
      <c r="H9" s="8">
        <f>IF(OR(A9="",C9="",G9=""),"",C9*G9)</f>
        <v>0</v>
      </c>
      <c r="I9" s="26"/>
      <c r="J9" s="8">
        <f>IF(OR(C9="",I9="",I9=0),"",CEILING(C9/I9,1))</f>
        <v>0</v>
      </c>
      <c r="K9" s="8">
        <f>IF(OR(J9="",I9="",G9=""),"",J9*I9*G9)</f>
        <v>0</v>
      </c>
      <c r="L9" s="8">
        <f>IF(A9="","",SUMIFS(Pantry!$C$5:$C$304,Pantry!$A$5:$A$304,A9))</f>
        <v>0</v>
      </c>
      <c r="M9" s="8">
        <f>IF(OR(A9="",C9=""),"",MAX(0,C9-L9))</f>
        <v>0</v>
      </c>
      <c r="N9" s="27"/>
      <c r="O9" s="27"/>
      <c r="P9" s="30"/>
      <c r="Q9" s="28"/>
      <c r="R9" s="8">
        <f>IF(OR(Q9="",H9=""),"",Q9-H9)</f>
        <v>0</v>
      </c>
      <c r="S9" s="8">
        <f>IF(M9="","",COUNTIFS($M$5:$M$304,"&gt;"&amp;M9)+1)</f>
        <v>0</v>
      </c>
      <c r="T9" s="8">
        <f>IF(H9="","",H9+ROW()/1000000)</f>
        <v>0</v>
      </c>
      <c r="U9" s="8">
        <f>IF(OR(N9&lt;&gt;"Yes",T9=""),"",COUNTIFS($N$5:$N$304,"Yes",$T$5:$T$304,"&lt;"&amp;T9)+1)</f>
        <v>0</v>
      </c>
      <c r="V9" s="8">
        <f>IF(A9="","",IF(O9="Yes","Bought",IF(M9&lt;=0,"Have it",IF(N9&lt;&gt;"Yes","Skip",IF(S9&lt;=10,"Must have","Nice to have")))))</f>
        <v>0</v>
      </c>
      <c r="W9" s="30"/>
      <c r="X9" s="8">
        <f>IF(A9="","",IFERROR(INDEX('Recipe Ingredients'!$A$5:$A$1204,MATCH(A9,'Recipe Ingredients'!$B$5:$B$1204,0)),""))</f>
        <v>0</v>
      </c>
      <c r="Y9" s="8">
        <f>IF(A9="","",IFERROR(INDEX(Ingredients!$O$5:$O$304,MATCH(A9,Ingredients!$A$5:$A$304,0)),""))</f>
        <v>0</v>
      </c>
      <c r="Z9" s="8">
        <f>IF(A9="","",IF(O9="Yes","Bought",IF(N9="Yes","To buy","Not needed")))</f>
        <v>0</v>
      </c>
      <c r="AA9" s="25"/>
    </row>
    <row r="10" spans="1:27">
      <c r="A10" s="7"/>
      <c r="B10" s="8">
        <f>IF(A10="","",IFERROR(INDEX(Ingredients!$B$5:$B$304,MATCH(A10,Ingredients!$A$5:$A$304,0)),""))</f>
        <v>0</v>
      </c>
      <c r="C10" s="26"/>
      <c r="D10" s="27"/>
      <c r="E10" s="27"/>
      <c r="F10" s="7"/>
      <c r="G10" s="8">
        <f>IF(A10="","",IFERROR(INDEX(Ingredients!$D$5:$D$304,MATCH(A10,Ingredients!$A$5:$A$304,0)),""))</f>
        <v>0</v>
      </c>
      <c r="H10" s="8">
        <f>IF(OR(A10="",C10="",G10=""),"",C10*G10)</f>
        <v>0</v>
      </c>
      <c r="I10" s="26"/>
      <c r="J10" s="8">
        <f>IF(OR(C10="",I10="",I10=0),"",CEILING(C10/I10,1))</f>
        <v>0</v>
      </c>
      <c r="K10" s="8">
        <f>IF(OR(J10="",I10="",G10=""),"",J10*I10*G10)</f>
        <v>0</v>
      </c>
      <c r="L10" s="8">
        <f>IF(A10="","",SUMIFS(Pantry!$C$5:$C$304,Pantry!$A$5:$A$304,A10))</f>
        <v>0</v>
      </c>
      <c r="M10" s="8">
        <f>IF(OR(A10="",C10=""),"",MAX(0,C10-L10))</f>
        <v>0</v>
      </c>
      <c r="N10" s="27"/>
      <c r="O10" s="27"/>
      <c r="P10" s="30"/>
      <c r="Q10" s="28"/>
      <c r="R10" s="8">
        <f>IF(OR(Q10="",H10=""),"",Q10-H10)</f>
        <v>0</v>
      </c>
      <c r="S10" s="8">
        <f>IF(M10="","",COUNTIFS($M$5:$M$304,"&gt;"&amp;M10)+1)</f>
        <v>0</v>
      </c>
      <c r="T10" s="8">
        <f>IF(H10="","",H10+ROW()/1000000)</f>
        <v>0</v>
      </c>
      <c r="U10" s="8">
        <f>IF(OR(N10&lt;&gt;"Yes",T10=""),"",COUNTIFS($N$5:$N$304,"Yes",$T$5:$T$304,"&lt;"&amp;T10)+1)</f>
        <v>0</v>
      </c>
      <c r="V10" s="8">
        <f>IF(A10="","",IF(O10="Yes","Bought",IF(M10&lt;=0,"Have it",IF(N10&lt;&gt;"Yes","Skip",IF(S10&lt;=10,"Must have","Nice to have")))))</f>
        <v>0</v>
      </c>
      <c r="W10" s="30"/>
      <c r="X10" s="8">
        <f>IF(A10="","",IFERROR(INDEX('Recipe Ingredients'!$A$5:$A$1204,MATCH(A10,'Recipe Ingredients'!$B$5:$B$1204,0)),""))</f>
        <v>0</v>
      </c>
      <c r="Y10" s="8">
        <f>IF(A10="","",IFERROR(INDEX(Ingredients!$O$5:$O$304,MATCH(A10,Ingredients!$A$5:$A$304,0)),""))</f>
        <v>0</v>
      </c>
      <c r="Z10" s="8">
        <f>IF(A10="","",IF(O10="Yes","Bought",IF(N10="Yes","To buy","Not needed")))</f>
        <v>0</v>
      </c>
      <c r="AA10" s="25"/>
    </row>
    <row r="11" spans="1:27">
      <c r="A11" s="7"/>
      <c r="B11" s="8">
        <f>IF(A11="","",IFERROR(INDEX(Ingredients!$B$5:$B$304,MATCH(A11,Ingredients!$A$5:$A$304,0)),""))</f>
        <v>0</v>
      </c>
      <c r="C11" s="26"/>
      <c r="D11" s="27"/>
      <c r="E11" s="27"/>
      <c r="F11" s="7"/>
      <c r="G11" s="8">
        <f>IF(A11="","",IFERROR(INDEX(Ingredients!$D$5:$D$304,MATCH(A11,Ingredients!$A$5:$A$304,0)),""))</f>
        <v>0</v>
      </c>
      <c r="H11" s="8">
        <f>IF(OR(A11="",C11="",G11=""),"",C11*G11)</f>
        <v>0</v>
      </c>
      <c r="I11" s="26"/>
      <c r="J11" s="8">
        <f>IF(OR(C11="",I11="",I11=0),"",CEILING(C11/I11,1))</f>
        <v>0</v>
      </c>
      <c r="K11" s="8">
        <f>IF(OR(J11="",I11="",G11=""),"",J11*I11*G11)</f>
        <v>0</v>
      </c>
      <c r="L11" s="8">
        <f>IF(A11="","",SUMIFS(Pantry!$C$5:$C$304,Pantry!$A$5:$A$304,A11))</f>
        <v>0</v>
      </c>
      <c r="M11" s="8">
        <f>IF(OR(A11="",C11=""),"",MAX(0,C11-L11))</f>
        <v>0</v>
      </c>
      <c r="N11" s="27"/>
      <c r="O11" s="27"/>
      <c r="P11" s="30"/>
      <c r="Q11" s="28"/>
      <c r="R11" s="8">
        <f>IF(OR(Q11="",H11=""),"",Q11-H11)</f>
        <v>0</v>
      </c>
      <c r="S11" s="8">
        <f>IF(M11="","",COUNTIFS($M$5:$M$304,"&gt;"&amp;M11)+1)</f>
        <v>0</v>
      </c>
      <c r="T11" s="8">
        <f>IF(H11="","",H11+ROW()/1000000)</f>
        <v>0</v>
      </c>
      <c r="U11" s="8">
        <f>IF(OR(N11&lt;&gt;"Yes",T11=""),"",COUNTIFS($N$5:$N$304,"Yes",$T$5:$T$304,"&lt;"&amp;T11)+1)</f>
        <v>0</v>
      </c>
      <c r="V11" s="8">
        <f>IF(A11="","",IF(O11="Yes","Bought",IF(M11&lt;=0,"Have it",IF(N11&lt;&gt;"Yes","Skip",IF(S11&lt;=10,"Must have","Nice to have")))))</f>
        <v>0</v>
      </c>
      <c r="W11" s="30"/>
      <c r="X11" s="8">
        <f>IF(A11="","",IFERROR(INDEX('Recipe Ingredients'!$A$5:$A$1204,MATCH(A11,'Recipe Ingredients'!$B$5:$B$1204,0)),""))</f>
        <v>0</v>
      </c>
      <c r="Y11" s="8">
        <f>IF(A11="","",IFERROR(INDEX(Ingredients!$O$5:$O$304,MATCH(A11,Ingredients!$A$5:$A$304,0)),""))</f>
        <v>0</v>
      </c>
      <c r="Z11" s="8">
        <f>IF(A11="","",IF(O11="Yes","Bought",IF(N11="Yes","To buy","Not needed")))</f>
        <v>0</v>
      </c>
      <c r="AA11" s="25"/>
    </row>
    <row r="12" spans="1:27">
      <c r="A12" s="7"/>
      <c r="B12" s="8">
        <f>IF(A12="","",IFERROR(INDEX(Ingredients!$B$5:$B$304,MATCH(A12,Ingredients!$A$5:$A$304,0)),""))</f>
        <v>0</v>
      </c>
      <c r="C12" s="26"/>
      <c r="D12" s="27"/>
      <c r="E12" s="27"/>
      <c r="F12" s="7"/>
      <c r="G12" s="8">
        <f>IF(A12="","",IFERROR(INDEX(Ingredients!$D$5:$D$304,MATCH(A12,Ingredients!$A$5:$A$304,0)),""))</f>
        <v>0</v>
      </c>
      <c r="H12" s="8">
        <f>IF(OR(A12="",C12="",G12=""),"",C12*G12)</f>
        <v>0</v>
      </c>
      <c r="I12" s="26"/>
      <c r="J12" s="8">
        <f>IF(OR(C12="",I12="",I12=0),"",CEILING(C12/I12,1))</f>
        <v>0</v>
      </c>
      <c r="K12" s="8">
        <f>IF(OR(J12="",I12="",G12=""),"",J12*I12*G12)</f>
        <v>0</v>
      </c>
      <c r="L12" s="8">
        <f>IF(A12="","",SUMIFS(Pantry!$C$5:$C$304,Pantry!$A$5:$A$304,A12))</f>
        <v>0</v>
      </c>
      <c r="M12" s="8">
        <f>IF(OR(A12="",C12=""),"",MAX(0,C12-L12))</f>
        <v>0</v>
      </c>
      <c r="N12" s="27"/>
      <c r="O12" s="27"/>
      <c r="P12" s="30"/>
      <c r="Q12" s="28"/>
      <c r="R12" s="8">
        <f>IF(OR(Q12="",H12=""),"",Q12-H12)</f>
        <v>0</v>
      </c>
      <c r="S12" s="8">
        <f>IF(M12="","",COUNTIFS($M$5:$M$304,"&gt;"&amp;M12)+1)</f>
        <v>0</v>
      </c>
      <c r="T12" s="8">
        <f>IF(H12="","",H12+ROW()/1000000)</f>
        <v>0</v>
      </c>
      <c r="U12" s="8">
        <f>IF(OR(N12&lt;&gt;"Yes",T12=""),"",COUNTIFS($N$5:$N$304,"Yes",$T$5:$T$304,"&lt;"&amp;T12)+1)</f>
        <v>0</v>
      </c>
      <c r="V12" s="8">
        <f>IF(A12="","",IF(O12="Yes","Bought",IF(M12&lt;=0,"Have it",IF(N12&lt;&gt;"Yes","Skip",IF(S12&lt;=10,"Must have","Nice to have")))))</f>
        <v>0</v>
      </c>
      <c r="W12" s="30"/>
      <c r="X12" s="8">
        <f>IF(A12="","",IFERROR(INDEX('Recipe Ingredients'!$A$5:$A$1204,MATCH(A12,'Recipe Ingredients'!$B$5:$B$1204,0)),""))</f>
        <v>0</v>
      </c>
      <c r="Y12" s="8">
        <f>IF(A12="","",IFERROR(INDEX(Ingredients!$O$5:$O$304,MATCH(A12,Ingredients!$A$5:$A$304,0)),""))</f>
        <v>0</v>
      </c>
      <c r="Z12" s="8">
        <f>IF(A12="","",IF(O12="Yes","Bought",IF(N12="Yes","To buy","Not needed")))</f>
        <v>0</v>
      </c>
      <c r="AA12" s="25"/>
    </row>
    <row r="13" spans="1:27">
      <c r="A13" s="7"/>
      <c r="B13" s="8">
        <f>IF(A13="","",IFERROR(INDEX(Ingredients!$B$5:$B$304,MATCH(A13,Ingredients!$A$5:$A$304,0)),""))</f>
        <v>0</v>
      </c>
      <c r="C13" s="26"/>
      <c r="D13" s="27"/>
      <c r="E13" s="27"/>
      <c r="F13" s="7"/>
      <c r="G13" s="8">
        <f>IF(A13="","",IFERROR(INDEX(Ingredients!$D$5:$D$304,MATCH(A13,Ingredients!$A$5:$A$304,0)),""))</f>
        <v>0</v>
      </c>
      <c r="H13" s="8">
        <f>IF(OR(A13="",C13="",G13=""),"",C13*G13)</f>
        <v>0</v>
      </c>
      <c r="I13" s="26"/>
      <c r="J13" s="8">
        <f>IF(OR(C13="",I13="",I13=0),"",CEILING(C13/I13,1))</f>
        <v>0</v>
      </c>
      <c r="K13" s="8">
        <f>IF(OR(J13="",I13="",G13=""),"",J13*I13*G13)</f>
        <v>0</v>
      </c>
      <c r="L13" s="8">
        <f>IF(A13="","",SUMIFS(Pantry!$C$5:$C$304,Pantry!$A$5:$A$304,A13))</f>
        <v>0</v>
      </c>
      <c r="M13" s="8">
        <f>IF(OR(A13="",C13=""),"",MAX(0,C13-L13))</f>
        <v>0</v>
      </c>
      <c r="N13" s="27"/>
      <c r="O13" s="27"/>
      <c r="P13" s="30"/>
      <c r="Q13" s="28"/>
      <c r="R13" s="8">
        <f>IF(OR(Q13="",H13=""),"",Q13-H13)</f>
        <v>0</v>
      </c>
      <c r="S13" s="8">
        <f>IF(M13="","",COUNTIFS($M$5:$M$304,"&gt;"&amp;M13)+1)</f>
        <v>0</v>
      </c>
      <c r="T13" s="8">
        <f>IF(H13="","",H13+ROW()/1000000)</f>
        <v>0</v>
      </c>
      <c r="U13" s="8">
        <f>IF(OR(N13&lt;&gt;"Yes",T13=""),"",COUNTIFS($N$5:$N$304,"Yes",$T$5:$T$304,"&lt;"&amp;T13)+1)</f>
        <v>0</v>
      </c>
      <c r="V13" s="8">
        <f>IF(A13="","",IF(O13="Yes","Bought",IF(M13&lt;=0,"Have it",IF(N13&lt;&gt;"Yes","Skip",IF(S13&lt;=10,"Must have","Nice to have")))))</f>
        <v>0</v>
      </c>
      <c r="W13" s="30"/>
      <c r="X13" s="8">
        <f>IF(A13="","",IFERROR(INDEX('Recipe Ingredients'!$A$5:$A$1204,MATCH(A13,'Recipe Ingredients'!$B$5:$B$1204,0)),""))</f>
        <v>0</v>
      </c>
      <c r="Y13" s="8">
        <f>IF(A13="","",IFERROR(INDEX(Ingredients!$O$5:$O$304,MATCH(A13,Ingredients!$A$5:$A$304,0)),""))</f>
        <v>0</v>
      </c>
      <c r="Z13" s="8">
        <f>IF(A13="","",IF(O13="Yes","Bought",IF(N13="Yes","To buy","Not needed")))</f>
        <v>0</v>
      </c>
      <c r="AA13" s="25"/>
    </row>
    <row r="14" spans="1:27">
      <c r="A14" s="7"/>
      <c r="B14" s="8">
        <f>IF(A14="","",IFERROR(INDEX(Ingredients!$B$5:$B$304,MATCH(A14,Ingredients!$A$5:$A$304,0)),""))</f>
        <v>0</v>
      </c>
      <c r="C14" s="26"/>
      <c r="D14" s="27"/>
      <c r="E14" s="27"/>
      <c r="F14" s="7"/>
      <c r="G14" s="8">
        <f>IF(A14="","",IFERROR(INDEX(Ingredients!$D$5:$D$304,MATCH(A14,Ingredients!$A$5:$A$304,0)),""))</f>
        <v>0</v>
      </c>
      <c r="H14" s="8">
        <f>IF(OR(A14="",C14="",G14=""),"",C14*G14)</f>
        <v>0</v>
      </c>
      <c r="I14" s="26"/>
      <c r="J14" s="8">
        <f>IF(OR(C14="",I14="",I14=0),"",CEILING(C14/I14,1))</f>
        <v>0</v>
      </c>
      <c r="K14" s="8">
        <f>IF(OR(J14="",I14="",G14=""),"",J14*I14*G14)</f>
        <v>0</v>
      </c>
      <c r="L14" s="8">
        <f>IF(A14="","",SUMIFS(Pantry!$C$5:$C$304,Pantry!$A$5:$A$304,A14))</f>
        <v>0</v>
      </c>
      <c r="M14" s="8">
        <f>IF(OR(A14="",C14=""),"",MAX(0,C14-L14))</f>
        <v>0</v>
      </c>
      <c r="N14" s="27"/>
      <c r="O14" s="27"/>
      <c r="P14" s="30"/>
      <c r="Q14" s="28"/>
      <c r="R14" s="8">
        <f>IF(OR(Q14="",H14=""),"",Q14-H14)</f>
        <v>0</v>
      </c>
      <c r="S14" s="8">
        <f>IF(M14="","",COUNTIFS($M$5:$M$304,"&gt;"&amp;M14)+1)</f>
        <v>0</v>
      </c>
      <c r="T14" s="8">
        <f>IF(H14="","",H14+ROW()/1000000)</f>
        <v>0</v>
      </c>
      <c r="U14" s="8">
        <f>IF(OR(N14&lt;&gt;"Yes",T14=""),"",COUNTIFS($N$5:$N$304,"Yes",$T$5:$T$304,"&lt;"&amp;T14)+1)</f>
        <v>0</v>
      </c>
      <c r="V14" s="8">
        <f>IF(A14="","",IF(O14="Yes","Bought",IF(M14&lt;=0,"Have it",IF(N14&lt;&gt;"Yes","Skip",IF(S14&lt;=10,"Must have","Nice to have")))))</f>
        <v>0</v>
      </c>
      <c r="W14" s="30"/>
      <c r="X14" s="8">
        <f>IF(A14="","",IFERROR(INDEX('Recipe Ingredients'!$A$5:$A$1204,MATCH(A14,'Recipe Ingredients'!$B$5:$B$1204,0)),""))</f>
        <v>0</v>
      </c>
      <c r="Y14" s="8">
        <f>IF(A14="","",IFERROR(INDEX(Ingredients!$O$5:$O$304,MATCH(A14,Ingredients!$A$5:$A$304,0)),""))</f>
        <v>0</v>
      </c>
      <c r="Z14" s="8">
        <f>IF(A14="","",IF(O14="Yes","Bought",IF(N14="Yes","To buy","Not needed")))</f>
        <v>0</v>
      </c>
      <c r="AA14" s="25"/>
    </row>
    <row r="15" spans="1:27">
      <c r="A15" s="7"/>
      <c r="B15" s="8">
        <f>IF(A15="","",IFERROR(INDEX(Ingredients!$B$5:$B$304,MATCH(A15,Ingredients!$A$5:$A$304,0)),""))</f>
        <v>0</v>
      </c>
      <c r="C15" s="26"/>
      <c r="D15" s="27"/>
      <c r="E15" s="27"/>
      <c r="F15" s="7"/>
      <c r="G15" s="8">
        <f>IF(A15="","",IFERROR(INDEX(Ingredients!$D$5:$D$304,MATCH(A15,Ingredients!$A$5:$A$304,0)),""))</f>
        <v>0</v>
      </c>
      <c r="H15" s="8">
        <f>IF(OR(A15="",C15="",G15=""),"",C15*G15)</f>
        <v>0</v>
      </c>
      <c r="I15" s="26"/>
      <c r="J15" s="8">
        <f>IF(OR(C15="",I15="",I15=0),"",CEILING(C15/I15,1))</f>
        <v>0</v>
      </c>
      <c r="K15" s="8">
        <f>IF(OR(J15="",I15="",G15=""),"",J15*I15*G15)</f>
        <v>0</v>
      </c>
      <c r="L15" s="8">
        <f>IF(A15="","",SUMIFS(Pantry!$C$5:$C$304,Pantry!$A$5:$A$304,A15))</f>
        <v>0</v>
      </c>
      <c r="M15" s="8">
        <f>IF(OR(A15="",C15=""),"",MAX(0,C15-L15))</f>
        <v>0</v>
      </c>
      <c r="N15" s="27"/>
      <c r="O15" s="27"/>
      <c r="P15" s="30"/>
      <c r="Q15" s="28"/>
      <c r="R15" s="8">
        <f>IF(OR(Q15="",H15=""),"",Q15-H15)</f>
        <v>0</v>
      </c>
      <c r="S15" s="8">
        <f>IF(M15="","",COUNTIFS($M$5:$M$304,"&gt;"&amp;M15)+1)</f>
        <v>0</v>
      </c>
      <c r="T15" s="8">
        <f>IF(H15="","",H15+ROW()/1000000)</f>
        <v>0</v>
      </c>
      <c r="U15" s="8">
        <f>IF(OR(N15&lt;&gt;"Yes",T15=""),"",COUNTIFS($N$5:$N$304,"Yes",$T$5:$T$304,"&lt;"&amp;T15)+1)</f>
        <v>0</v>
      </c>
      <c r="V15" s="8">
        <f>IF(A15="","",IF(O15="Yes","Bought",IF(M15&lt;=0,"Have it",IF(N15&lt;&gt;"Yes","Skip",IF(S15&lt;=10,"Must have","Nice to have")))))</f>
        <v>0</v>
      </c>
      <c r="W15" s="30"/>
      <c r="X15" s="8">
        <f>IF(A15="","",IFERROR(INDEX('Recipe Ingredients'!$A$5:$A$1204,MATCH(A15,'Recipe Ingredients'!$B$5:$B$1204,0)),""))</f>
        <v>0</v>
      </c>
      <c r="Y15" s="8">
        <f>IF(A15="","",IFERROR(INDEX(Ingredients!$O$5:$O$304,MATCH(A15,Ingredients!$A$5:$A$304,0)),""))</f>
        <v>0</v>
      </c>
      <c r="Z15" s="8">
        <f>IF(A15="","",IF(O15="Yes","Bought",IF(N15="Yes","To buy","Not needed")))</f>
        <v>0</v>
      </c>
      <c r="AA15" s="25"/>
    </row>
    <row r="16" spans="1:27">
      <c r="A16" s="7"/>
      <c r="B16" s="8">
        <f>IF(A16="","",IFERROR(INDEX(Ingredients!$B$5:$B$304,MATCH(A16,Ingredients!$A$5:$A$304,0)),""))</f>
        <v>0</v>
      </c>
      <c r="C16" s="26"/>
      <c r="D16" s="27"/>
      <c r="E16" s="27"/>
      <c r="F16" s="7"/>
      <c r="G16" s="8">
        <f>IF(A16="","",IFERROR(INDEX(Ingredients!$D$5:$D$304,MATCH(A16,Ingredients!$A$5:$A$304,0)),""))</f>
        <v>0</v>
      </c>
      <c r="H16" s="8">
        <f>IF(OR(A16="",C16="",G16=""),"",C16*G16)</f>
        <v>0</v>
      </c>
      <c r="I16" s="26"/>
      <c r="J16" s="8">
        <f>IF(OR(C16="",I16="",I16=0),"",CEILING(C16/I16,1))</f>
        <v>0</v>
      </c>
      <c r="K16" s="8">
        <f>IF(OR(J16="",I16="",G16=""),"",J16*I16*G16)</f>
        <v>0</v>
      </c>
      <c r="L16" s="8">
        <f>IF(A16="","",SUMIFS(Pantry!$C$5:$C$304,Pantry!$A$5:$A$304,A16))</f>
        <v>0</v>
      </c>
      <c r="M16" s="8">
        <f>IF(OR(A16="",C16=""),"",MAX(0,C16-L16))</f>
        <v>0</v>
      </c>
      <c r="N16" s="27"/>
      <c r="O16" s="27"/>
      <c r="P16" s="30"/>
      <c r="Q16" s="28"/>
      <c r="R16" s="8">
        <f>IF(OR(Q16="",H16=""),"",Q16-H16)</f>
        <v>0</v>
      </c>
      <c r="S16" s="8">
        <f>IF(M16="","",COUNTIFS($M$5:$M$304,"&gt;"&amp;M16)+1)</f>
        <v>0</v>
      </c>
      <c r="T16" s="8">
        <f>IF(H16="","",H16+ROW()/1000000)</f>
        <v>0</v>
      </c>
      <c r="U16" s="8">
        <f>IF(OR(N16&lt;&gt;"Yes",T16=""),"",COUNTIFS($N$5:$N$304,"Yes",$T$5:$T$304,"&lt;"&amp;T16)+1)</f>
        <v>0</v>
      </c>
      <c r="V16" s="8">
        <f>IF(A16="","",IF(O16="Yes","Bought",IF(M16&lt;=0,"Have it",IF(N16&lt;&gt;"Yes","Skip",IF(S16&lt;=10,"Must have","Nice to have")))))</f>
        <v>0</v>
      </c>
      <c r="W16" s="30"/>
      <c r="X16" s="8">
        <f>IF(A16="","",IFERROR(INDEX('Recipe Ingredients'!$A$5:$A$1204,MATCH(A16,'Recipe Ingredients'!$B$5:$B$1204,0)),""))</f>
        <v>0</v>
      </c>
      <c r="Y16" s="8">
        <f>IF(A16="","",IFERROR(INDEX(Ingredients!$O$5:$O$304,MATCH(A16,Ingredients!$A$5:$A$304,0)),""))</f>
        <v>0</v>
      </c>
      <c r="Z16" s="8">
        <f>IF(A16="","",IF(O16="Yes","Bought",IF(N16="Yes","To buy","Not needed")))</f>
        <v>0</v>
      </c>
      <c r="AA16" s="25"/>
    </row>
    <row r="17" spans="1:27">
      <c r="A17" s="7"/>
      <c r="B17" s="8">
        <f>IF(A17="","",IFERROR(INDEX(Ingredients!$B$5:$B$304,MATCH(A17,Ingredients!$A$5:$A$304,0)),""))</f>
        <v>0</v>
      </c>
      <c r="C17" s="26"/>
      <c r="D17" s="27"/>
      <c r="E17" s="27"/>
      <c r="F17" s="7"/>
      <c r="G17" s="8">
        <f>IF(A17="","",IFERROR(INDEX(Ingredients!$D$5:$D$304,MATCH(A17,Ingredients!$A$5:$A$304,0)),""))</f>
        <v>0</v>
      </c>
      <c r="H17" s="8">
        <f>IF(OR(A17="",C17="",G17=""),"",C17*G17)</f>
        <v>0</v>
      </c>
      <c r="I17" s="26"/>
      <c r="J17" s="8">
        <f>IF(OR(C17="",I17="",I17=0),"",CEILING(C17/I17,1))</f>
        <v>0</v>
      </c>
      <c r="K17" s="8">
        <f>IF(OR(J17="",I17="",G17=""),"",J17*I17*G17)</f>
        <v>0</v>
      </c>
      <c r="L17" s="8">
        <f>IF(A17="","",SUMIFS(Pantry!$C$5:$C$304,Pantry!$A$5:$A$304,A17))</f>
        <v>0</v>
      </c>
      <c r="M17" s="8">
        <f>IF(OR(A17="",C17=""),"",MAX(0,C17-L17))</f>
        <v>0</v>
      </c>
      <c r="N17" s="27"/>
      <c r="O17" s="27"/>
      <c r="P17" s="30"/>
      <c r="Q17" s="28"/>
      <c r="R17" s="8">
        <f>IF(OR(Q17="",H17=""),"",Q17-H17)</f>
        <v>0</v>
      </c>
      <c r="S17" s="8">
        <f>IF(M17="","",COUNTIFS($M$5:$M$304,"&gt;"&amp;M17)+1)</f>
        <v>0</v>
      </c>
      <c r="T17" s="8">
        <f>IF(H17="","",H17+ROW()/1000000)</f>
        <v>0</v>
      </c>
      <c r="U17" s="8">
        <f>IF(OR(N17&lt;&gt;"Yes",T17=""),"",COUNTIFS($N$5:$N$304,"Yes",$T$5:$T$304,"&lt;"&amp;T17)+1)</f>
        <v>0</v>
      </c>
      <c r="V17" s="8">
        <f>IF(A17="","",IF(O17="Yes","Bought",IF(M17&lt;=0,"Have it",IF(N17&lt;&gt;"Yes","Skip",IF(S17&lt;=10,"Must have","Nice to have")))))</f>
        <v>0</v>
      </c>
      <c r="W17" s="30"/>
      <c r="X17" s="8">
        <f>IF(A17="","",IFERROR(INDEX('Recipe Ingredients'!$A$5:$A$1204,MATCH(A17,'Recipe Ingredients'!$B$5:$B$1204,0)),""))</f>
        <v>0</v>
      </c>
      <c r="Y17" s="8">
        <f>IF(A17="","",IFERROR(INDEX(Ingredients!$O$5:$O$304,MATCH(A17,Ingredients!$A$5:$A$304,0)),""))</f>
        <v>0</v>
      </c>
      <c r="Z17" s="8">
        <f>IF(A17="","",IF(O17="Yes","Bought",IF(N17="Yes","To buy","Not needed")))</f>
        <v>0</v>
      </c>
      <c r="AA17" s="25"/>
    </row>
    <row r="18" spans="1:27">
      <c r="A18" s="7"/>
      <c r="B18" s="8">
        <f>IF(A18="","",IFERROR(INDEX(Ingredients!$B$5:$B$304,MATCH(A18,Ingredients!$A$5:$A$304,0)),""))</f>
        <v>0</v>
      </c>
      <c r="C18" s="26"/>
      <c r="D18" s="27"/>
      <c r="E18" s="27"/>
      <c r="F18" s="7"/>
      <c r="G18" s="8">
        <f>IF(A18="","",IFERROR(INDEX(Ingredients!$D$5:$D$304,MATCH(A18,Ingredients!$A$5:$A$304,0)),""))</f>
        <v>0</v>
      </c>
      <c r="H18" s="8">
        <f>IF(OR(A18="",C18="",G18=""),"",C18*G18)</f>
        <v>0</v>
      </c>
      <c r="I18" s="26"/>
      <c r="J18" s="8">
        <f>IF(OR(C18="",I18="",I18=0),"",CEILING(C18/I18,1))</f>
        <v>0</v>
      </c>
      <c r="K18" s="8">
        <f>IF(OR(J18="",I18="",G18=""),"",J18*I18*G18)</f>
        <v>0</v>
      </c>
      <c r="L18" s="8">
        <f>IF(A18="","",SUMIFS(Pantry!$C$5:$C$304,Pantry!$A$5:$A$304,A18))</f>
        <v>0</v>
      </c>
      <c r="M18" s="8">
        <f>IF(OR(A18="",C18=""),"",MAX(0,C18-L18))</f>
        <v>0</v>
      </c>
      <c r="N18" s="27"/>
      <c r="O18" s="27"/>
      <c r="P18" s="30"/>
      <c r="Q18" s="28"/>
      <c r="R18" s="8">
        <f>IF(OR(Q18="",H18=""),"",Q18-H18)</f>
        <v>0</v>
      </c>
      <c r="S18" s="8">
        <f>IF(M18="","",COUNTIFS($M$5:$M$304,"&gt;"&amp;M18)+1)</f>
        <v>0</v>
      </c>
      <c r="T18" s="8">
        <f>IF(H18="","",H18+ROW()/1000000)</f>
        <v>0</v>
      </c>
      <c r="U18" s="8">
        <f>IF(OR(N18&lt;&gt;"Yes",T18=""),"",COUNTIFS($N$5:$N$304,"Yes",$T$5:$T$304,"&lt;"&amp;T18)+1)</f>
        <v>0</v>
      </c>
      <c r="V18" s="8">
        <f>IF(A18="","",IF(O18="Yes","Bought",IF(M18&lt;=0,"Have it",IF(N18&lt;&gt;"Yes","Skip",IF(S18&lt;=10,"Must have","Nice to have")))))</f>
        <v>0</v>
      </c>
      <c r="W18" s="30"/>
      <c r="X18" s="8">
        <f>IF(A18="","",IFERROR(INDEX('Recipe Ingredients'!$A$5:$A$1204,MATCH(A18,'Recipe Ingredients'!$B$5:$B$1204,0)),""))</f>
        <v>0</v>
      </c>
      <c r="Y18" s="8">
        <f>IF(A18="","",IFERROR(INDEX(Ingredients!$O$5:$O$304,MATCH(A18,Ingredients!$A$5:$A$304,0)),""))</f>
        <v>0</v>
      </c>
      <c r="Z18" s="8">
        <f>IF(A18="","",IF(O18="Yes","Bought",IF(N18="Yes","To buy","Not needed")))</f>
        <v>0</v>
      </c>
      <c r="AA18" s="25"/>
    </row>
    <row r="19" spans="1:27">
      <c r="A19" s="7"/>
      <c r="B19" s="8">
        <f>IF(A19="","",IFERROR(INDEX(Ingredients!$B$5:$B$304,MATCH(A19,Ingredients!$A$5:$A$304,0)),""))</f>
        <v>0</v>
      </c>
      <c r="C19" s="26"/>
      <c r="D19" s="27"/>
      <c r="E19" s="27"/>
      <c r="F19" s="7"/>
      <c r="G19" s="8">
        <f>IF(A19="","",IFERROR(INDEX(Ingredients!$D$5:$D$304,MATCH(A19,Ingredients!$A$5:$A$304,0)),""))</f>
        <v>0</v>
      </c>
      <c r="H19" s="8">
        <f>IF(OR(A19="",C19="",G19=""),"",C19*G19)</f>
        <v>0</v>
      </c>
      <c r="I19" s="26"/>
      <c r="J19" s="8">
        <f>IF(OR(C19="",I19="",I19=0),"",CEILING(C19/I19,1))</f>
        <v>0</v>
      </c>
      <c r="K19" s="8">
        <f>IF(OR(J19="",I19="",G19=""),"",J19*I19*G19)</f>
        <v>0</v>
      </c>
      <c r="L19" s="8">
        <f>IF(A19="","",SUMIFS(Pantry!$C$5:$C$304,Pantry!$A$5:$A$304,A19))</f>
        <v>0</v>
      </c>
      <c r="M19" s="8">
        <f>IF(OR(A19="",C19=""),"",MAX(0,C19-L19))</f>
        <v>0</v>
      </c>
      <c r="N19" s="27"/>
      <c r="O19" s="27"/>
      <c r="P19" s="30"/>
      <c r="Q19" s="28"/>
      <c r="R19" s="8">
        <f>IF(OR(Q19="",H19=""),"",Q19-H19)</f>
        <v>0</v>
      </c>
      <c r="S19" s="8">
        <f>IF(M19="","",COUNTIFS($M$5:$M$304,"&gt;"&amp;M19)+1)</f>
        <v>0</v>
      </c>
      <c r="T19" s="8">
        <f>IF(H19="","",H19+ROW()/1000000)</f>
        <v>0</v>
      </c>
      <c r="U19" s="8">
        <f>IF(OR(N19&lt;&gt;"Yes",T19=""),"",COUNTIFS($N$5:$N$304,"Yes",$T$5:$T$304,"&lt;"&amp;T19)+1)</f>
        <v>0</v>
      </c>
      <c r="V19" s="8">
        <f>IF(A19="","",IF(O19="Yes","Bought",IF(M19&lt;=0,"Have it",IF(N19&lt;&gt;"Yes","Skip",IF(S19&lt;=10,"Must have","Nice to have")))))</f>
        <v>0</v>
      </c>
      <c r="W19" s="30"/>
      <c r="X19" s="8">
        <f>IF(A19="","",IFERROR(INDEX('Recipe Ingredients'!$A$5:$A$1204,MATCH(A19,'Recipe Ingredients'!$B$5:$B$1204,0)),""))</f>
        <v>0</v>
      </c>
      <c r="Y19" s="8">
        <f>IF(A19="","",IFERROR(INDEX(Ingredients!$O$5:$O$304,MATCH(A19,Ingredients!$A$5:$A$304,0)),""))</f>
        <v>0</v>
      </c>
      <c r="Z19" s="8">
        <f>IF(A19="","",IF(O19="Yes","Bought",IF(N19="Yes","To buy","Not needed")))</f>
        <v>0</v>
      </c>
      <c r="AA19" s="25"/>
    </row>
    <row r="20" spans="1:27">
      <c r="A20" s="7"/>
      <c r="B20" s="8">
        <f>IF(A20="","",IFERROR(INDEX(Ingredients!$B$5:$B$304,MATCH(A20,Ingredients!$A$5:$A$304,0)),""))</f>
        <v>0</v>
      </c>
      <c r="C20" s="26"/>
      <c r="D20" s="27"/>
      <c r="E20" s="27"/>
      <c r="F20" s="7"/>
      <c r="G20" s="8">
        <f>IF(A20="","",IFERROR(INDEX(Ingredients!$D$5:$D$304,MATCH(A20,Ingredients!$A$5:$A$304,0)),""))</f>
        <v>0</v>
      </c>
      <c r="H20" s="8">
        <f>IF(OR(A20="",C20="",G20=""),"",C20*G20)</f>
        <v>0</v>
      </c>
      <c r="I20" s="26"/>
      <c r="J20" s="8">
        <f>IF(OR(C20="",I20="",I20=0),"",CEILING(C20/I20,1))</f>
        <v>0</v>
      </c>
      <c r="K20" s="8">
        <f>IF(OR(J20="",I20="",G20=""),"",J20*I20*G20)</f>
        <v>0</v>
      </c>
      <c r="L20" s="8">
        <f>IF(A20="","",SUMIFS(Pantry!$C$5:$C$304,Pantry!$A$5:$A$304,A20))</f>
        <v>0</v>
      </c>
      <c r="M20" s="8">
        <f>IF(OR(A20="",C20=""),"",MAX(0,C20-L20))</f>
        <v>0</v>
      </c>
      <c r="N20" s="27"/>
      <c r="O20" s="27"/>
      <c r="P20" s="30"/>
      <c r="Q20" s="28"/>
      <c r="R20" s="8">
        <f>IF(OR(Q20="",H20=""),"",Q20-H20)</f>
        <v>0</v>
      </c>
      <c r="S20" s="8">
        <f>IF(M20="","",COUNTIFS($M$5:$M$304,"&gt;"&amp;M20)+1)</f>
        <v>0</v>
      </c>
      <c r="T20" s="8">
        <f>IF(H20="","",H20+ROW()/1000000)</f>
        <v>0</v>
      </c>
      <c r="U20" s="8">
        <f>IF(OR(N20&lt;&gt;"Yes",T20=""),"",COUNTIFS($N$5:$N$304,"Yes",$T$5:$T$304,"&lt;"&amp;T20)+1)</f>
        <v>0</v>
      </c>
      <c r="V20" s="8">
        <f>IF(A20="","",IF(O20="Yes","Bought",IF(M20&lt;=0,"Have it",IF(N20&lt;&gt;"Yes","Skip",IF(S20&lt;=10,"Must have","Nice to have")))))</f>
        <v>0</v>
      </c>
      <c r="W20" s="30"/>
      <c r="X20" s="8">
        <f>IF(A20="","",IFERROR(INDEX('Recipe Ingredients'!$A$5:$A$1204,MATCH(A20,'Recipe Ingredients'!$B$5:$B$1204,0)),""))</f>
        <v>0</v>
      </c>
      <c r="Y20" s="8">
        <f>IF(A20="","",IFERROR(INDEX(Ingredients!$O$5:$O$304,MATCH(A20,Ingredients!$A$5:$A$304,0)),""))</f>
        <v>0</v>
      </c>
      <c r="Z20" s="8">
        <f>IF(A20="","",IF(O20="Yes","Bought",IF(N20="Yes","To buy","Not needed")))</f>
        <v>0</v>
      </c>
      <c r="AA20" s="25"/>
    </row>
    <row r="21" spans="1:27">
      <c r="A21" s="7"/>
      <c r="B21" s="8">
        <f>IF(A21="","",IFERROR(INDEX(Ingredients!$B$5:$B$304,MATCH(A21,Ingredients!$A$5:$A$304,0)),""))</f>
        <v>0</v>
      </c>
      <c r="C21" s="26"/>
      <c r="D21" s="27"/>
      <c r="E21" s="27"/>
      <c r="F21" s="7"/>
      <c r="G21" s="8">
        <f>IF(A21="","",IFERROR(INDEX(Ingredients!$D$5:$D$304,MATCH(A21,Ingredients!$A$5:$A$304,0)),""))</f>
        <v>0</v>
      </c>
      <c r="H21" s="8">
        <f>IF(OR(A21="",C21="",G21=""),"",C21*G21)</f>
        <v>0</v>
      </c>
      <c r="I21" s="26"/>
      <c r="J21" s="8">
        <f>IF(OR(C21="",I21="",I21=0),"",CEILING(C21/I21,1))</f>
        <v>0</v>
      </c>
      <c r="K21" s="8">
        <f>IF(OR(J21="",I21="",G21=""),"",J21*I21*G21)</f>
        <v>0</v>
      </c>
      <c r="L21" s="8">
        <f>IF(A21="","",SUMIFS(Pantry!$C$5:$C$304,Pantry!$A$5:$A$304,A21))</f>
        <v>0</v>
      </c>
      <c r="M21" s="8">
        <f>IF(OR(A21="",C21=""),"",MAX(0,C21-L21))</f>
        <v>0</v>
      </c>
      <c r="N21" s="27"/>
      <c r="O21" s="27"/>
      <c r="P21" s="30"/>
      <c r="Q21" s="28"/>
      <c r="R21" s="8">
        <f>IF(OR(Q21="",H21=""),"",Q21-H21)</f>
        <v>0</v>
      </c>
      <c r="S21" s="8">
        <f>IF(M21="","",COUNTIFS($M$5:$M$304,"&gt;"&amp;M21)+1)</f>
        <v>0</v>
      </c>
      <c r="T21" s="8">
        <f>IF(H21="","",H21+ROW()/1000000)</f>
        <v>0</v>
      </c>
      <c r="U21" s="8">
        <f>IF(OR(N21&lt;&gt;"Yes",T21=""),"",COUNTIFS($N$5:$N$304,"Yes",$T$5:$T$304,"&lt;"&amp;T21)+1)</f>
        <v>0</v>
      </c>
      <c r="V21" s="8">
        <f>IF(A21="","",IF(O21="Yes","Bought",IF(M21&lt;=0,"Have it",IF(N21&lt;&gt;"Yes","Skip",IF(S21&lt;=10,"Must have","Nice to have")))))</f>
        <v>0</v>
      </c>
      <c r="W21" s="30"/>
      <c r="X21" s="8">
        <f>IF(A21="","",IFERROR(INDEX('Recipe Ingredients'!$A$5:$A$1204,MATCH(A21,'Recipe Ingredients'!$B$5:$B$1204,0)),""))</f>
        <v>0</v>
      </c>
      <c r="Y21" s="8">
        <f>IF(A21="","",IFERROR(INDEX(Ingredients!$O$5:$O$304,MATCH(A21,Ingredients!$A$5:$A$304,0)),""))</f>
        <v>0</v>
      </c>
      <c r="Z21" s="8">
        <f>IF(A21="","",IF(O21="Yes","Bought",IF(N21="Yes","To buy","Not needed")))</f>
        <v>0</v>
      </c>
      <c r="AA21" s="25"/>
    </row>
    <row r="22" spans="1:27">
      <c r="A22" s="7"/>
      <c r="B22" s="8">
        <f>IF(A22="","",IFERROR(INDEX(Ingredients!$B$5:$B$304,MATCH(A22,Ingredients!$A$5:$A$304,0)),""))</f>
        <v>0</v>
      </c>
      <c r="C22" s="26"/>
      <c r="D22" s="27"/>
      <c r="E22" s="27"/>
      <c r="F22" s="7"/>
      <c r="G22" s="8">
        <f>IF(A22="","",IFERROR(INDEX(Ingredients!$D$5:$D$304,MATCH(A22,Ingredients!$A$5:$A$304,0)),""))</f>
        <v>0</v>
      </c>
      <c r="H22" s="8">
        <f>IF(OR(A22="",C22="",G22=""),"",C22*G22)</f>
        <v>0</v>
      </c>
      <c r="I22" s="26"/>
      <c r="J22" s="8">
        <f>IF(OR(C22="",I22="",I22=0),"",CEILING(C22/I22,1))</f>
        <v>0</v>
      </c>
      <c r="K22" s="8">
        <f>IF(OR(J22="",I22="",G22=""),"",J22*I22*G22)</f>
        <v>0</v>
      </c>
      <c r="L22" s="8">
        <f>IF(A22="","",SUMIFS(Pantry!$C$5:$C$304,Pantry!$A$5:$A$304,A22))</f>
        <v>0</v>
      </c>
      <c r="M22" s="8">
        <f>IF(OR(A22="",C22=""),"",MAX(0,C22-L22))</f>
        <v>0</v>
      </c>
      <c r="N22" s="27"/>
      <c r="O22" s="27"/>
      <c r="P22" s="30"/>
      <c r="Q22" s="28"/>
      <c r="R22" s="8">
        <f>IF(OR(Q22="",H22=""),"",Q22-H22)</f>
        <v>0</v>
      </c>
      <c r="S22" s="8">
        <f>IF(M22="","",COUNTIFS($M$5:$M$304,"&gt;"&amp;M22)+1)</f>
        <v>0</v>
      </c>
      <c r="T22" s="8">
        <f>IF(H22="","",H22+ROW()/1000000)</f>
        <v>0</v>
      </c>
      <c r="U22" s="8">
        <f>IF(OR(N22&lt;&gt;"Yes",T22=""),"",COUNTIFS($N$5:$N$304,"Yes",$T$5:$T$304,"&lt;"&amp;T22)+1)</f>
        <v>0</v>
      </c>
      <c r="V22" s="8">
        <f>IF(A22="","",IF(O22="Yes","Bought",IF(M22&lt;=0,"Have it",IF(N22&lt;&gt;"Yes","Skip",IF(S22&lt;=10,"Must have","Nice to have")))))</f>
        <v>0</v>
      </c>
      <c r="W22" s="30"/>
      <c r="X22" s="8">
        <f>IF(A22="","",IFERROR(INDEX('Recipe Ingredients'!$A$5:$A$1204,MATCH(A22,'Recipe Ingredients'!$B$5:$B$1204,0)),""))</f>
        <v>0</v>
      </c>
      <c r="Y22" s="8">
        <f>IF(A22="","",IFERROR(INDEX(Ingredients!$O$5:$O$304,MATCH(A22,Ingredients!$A$5:$A$304,0)),""))</f>
        <v>0</v>
      </c>
      <c r="Z22" s="8">
        <f>IF(A22="","",IF(O22="Yes","Bought",IF(N22="Yes","To buy","Not needed")))</f>
        <v>0</v>
      </c>
      <c r="AA22" s="25"/>
    </row>
    <row r="23" spans="1:27">
      <c r="A23" s="7"/>
      <c r="B23" s="8">
        <f>IF(A23="","",IFERROR(INDEX(Ingredients!$B$5:$B$304,MATCH(A23,Ingredients!$A$5:$A$304,0)),""))</f>
        <v>0</v>
      </c>
      <c r="C23" s="26"/>
      <c r="D23" s="27"/>
      <c r="E23" s="27"/>
      <c r="F23" s="7"/>
      <c r="G23" s="8">
        <f>IF(A23="","",IFERROR(INDEX(Ingredients!$D$5:$D$304,MATCH(A23,Ingredients!$A$5:$A$304,0)),""))</f>
        <v>0</v>
      </c>
      <c r="H23" s="8">
        <f>IF(OR(A23="",C23="",G23=""),"",C23*G23)</f>
        <v>0</v>
      </c>
      <c r="I23" s="26"/>
      <c r="J23" s="8">
        <f>IF(OR(C23="",I23="",I23=0),"",CEILING(C23/I23,1))</f>
        <v>0</v>
      </c>
      <c r="K23" s="8">
        <f>IF(OR(J23="",I23="",G23=""),"",J23*I23*G23)</f>
        <v>0</v>
      </c>
      <c r="L23" s="8">
        <f>IF(A23="","",SUMIFS(Pantry!$C$5:$C$304,Pantry!$A$5:$A$304,A23))</f>
        <v>0</v>
      </c>
      <c r="M23" s="8">
        <f>IF(OR(A23="",C23=""),"",MAX(0,C23-L23))</f>
        <v>0</v>
      </c>
      <c r="N23" s="27"/>
      <c r="O23" s="27"/>
      <c r="P23" s="30"/>
      <c r="Q23" s="28"/>
      <c r="R23" s="8">
        <f>IF(OR(Q23="",H23=""),"",Q23-H23)</f>
        <v>0</v>
      </c>
      <c r="S23" s="8">
        <f>IF(M23="","",COUNTIFS($M$5:$M$304,"&gt;"&amp;M23)+1)</f>
        <v>0</v>
      </c>
      <c r="T23" s="8">
        <f>IF(H23="","",H23+ROW()/1000000)</f>
        <v>0</v>
      </c>
      <c r="U23" s="8">
        <f>IF(OR(N23&lt;&gt;"Yes",T23=""),"",COUNTIFS($N$5:$N$304,"Yes",$T$5:$T$304,"&lt;"&amp;T23)+1)</f>
        <v>0</v>
      </c>
      <c r="V23" s="8">
        <f>IF(A23="","",IF(O23="Yes","Bought",IF(M23&lt;=0,"Have it",IF(N23&lt;&gt;"Yes","Skip",IF(S23&lt;=10,"Must have","Nice to have")))))</f>
        <v>0</v>
      </c>
      <c r="W23" s="30"/>
      <c r="X23" s="8">
        <f>IF(A23="","",IFERROR(INDEX('Recipe Ingredients'!$A$5:$A$1204,MATCH(A23,'Recipe Ingredients'!$B$5:$B$1204,0)),""))</f>
        <v>0</v>
      </c>
      <c r="Y23" s="8">
        <f>IF(A23="","",IFERROR(INDEX(Ingredients!$O$5:$O$304,MATCH(A23,Ingredients!$A$5:$A$304,0)),""))</f>
        <v>0</v>
      </c>
      <c r="Z23" s="8">
        <f>IF(A23="","",IF(O23="Yes","Bought",IF(N23="Yes","To buy","Not needed")))</f>
        <v>0</v>
      </c>
      <c r="AA23" s="25"/>
    </row>
    <row r="24" spans="1:27">
      <c r="A24" s="7"/>
      <c r="B24" s="8">
        <f>IF(A24="","",IFERROR(INDEX(Ingredients!$B$5:$B$304,MATCH(A24,Ingredients!$A$5:$A$304,0)),""))</f>
        <v>0</v>
      </c>
      <c r="C24" s="26"/>
      <c r="D24" s="27"/>
      <c r="E24" s="27"/>
      <c r="F24" s="7"/>
      <c r="G24" s="8">
        <f>IF(A24="","",IFERROR(INDEX(Ingredients!$D$5:$D$304,MATCH(A24,Ingredients!$A$5:$A$304,0)),""))</f>
        <v>0</v>
      </c>
      <c r="H24" s="8">
        <f>IF(OR(A24="",C24="",G24=""),"",C24*G24)</f>
        <v>0</v>
      </c>
      <c r="I24" s="26"/>
      <c r="J24" s="8">
        <f>IF(OR(C24="",I24="",I24=0),"",CEILING(C24/I24,1))</f>
        <v>0</v>
      </c>
      <c r="K24" s="8">
        <f>IF(OR(J24="",I24="",G24=""),"",J24*I24*G24)</f>
        <v>0</v>
      </c>
      <c r="L24" s="8">
        <f>IF(A24="","",SUMIFS(Pantry!$C$5:$C$304,Pantry!$A$5:$A$304,A24))</f>
        <v>0</v>
      </c>
      <c r="M24" s="8">
        <f>IF(OR(A24="",C24=""),"",MAX(0,C24-L24))</f>
        <v>0</v>
      </c>
      <c r="N24" s="27"/>
      <c r="O24" s="27"/>
      <c r="P24" s="30"/>
      <c r="Q24" s="28"/>
      <c r="R24" s="8">
        <f>IF(OR(Q24="",H24=""),"",Q24-H24)</f>
        <v>0</v>
      </c>
      <c r="S24" s="8">
        <f>IF(M24="","",COUNTIFS($M$5:$M$304,"&gt;"&amp;M24)+1)</f>
        <v>0</v>
      </c>
      <c r="T24" s="8">
        <f>IF(H24="","",H24+ROW()/1000000)</f>
        <v>0</v>
      </c>
      <c r="U24" s="8">
        <f>IF(OR(N24&lt;&gt;"Yes",T24=""),"",COUNTIFS($N$5:$N$304,"Yes",$T$5:$T$304,"&lt;"&amp;T24)+1)</f>
        <v>0</v>
      </c>
      <c r="V24" s="8">
        <f>IF(A24="","",IF(O24="Yes","Bought",IF(M24&lt;=0,"Have it",IF(N24&lt;&gt;"Yes","Skip",IF(S24&lt;=10,"Must have","Nice to have")))))</f>
        <v>0</v>
      </c>
      <c r="W24" s="30"/>
      <c r="X24" s="8">
        <f>IF(A24="","",IFERROR(INDEX('Recipe Ingredients'!$A$5:$A$1204,MATCH(A24,'Recipe Ingredients'!$B$5:$B$1204,0)),""))</f>
        <v>0</v>
      </c>
      <c r="Y24" s="8">
        <f>IF(A24="","",IFERROR(INDEX(Ingredients!$O$5:$O$304,MATCH(A24,Ingredients!$A$5:$A$304,0)),""))</f>
        <v>0</v>
      </c>
      <c r="Z24" s="8">
        <f>IF(A24="","",IF(O24="Yes","Bought",IF(N24="Yes","To buy","Not needed")))</f>
        <v>0</v>
      </c>
      <c r="AA24" s="25"/>
    </row>
    <row r="25" spans="1:27">
      <c r="A25" s="7"/>
      <c r="B25" s="8">
        <f>IF(A25="","",IFERROR(INDEX(Ingredients!$B$5:$B$304,MATCH(A25,Ingredients!$A$5:$A$304,0)),""))</f>
        <v>0</v>
      </c>
      <c r="C25" s="26"/>
      <c r="D25" s="27"/>
      <c r="E25" s="27"/>
      <c r="F25" s="7"/>
      <c r="G25" s="8">
        <f>IF(A25="","",IFERROR(INDEX(Ingredients!$D$5:$D$304,MATCH(A25,Ingredients!$A$5:$A$304,0)),""))</f>
        <v>0</v>
      </c>
      <c r="H25" s="8">
        <f>IF(OR(A25="",C25="",G25=""),"",C25*G25)</f>
        <v>0</v>
      </c>
      <c r="I25" s="26"/>
      <c r="J25" s="8">
        <f>IF(OR(C25="",I25="",I25=0),"",CEILING(C25/I25,1))</f>
        <v>0</v>
      </c>
      <c r="K25" s="8">
        <f>IF(OR(J25="",I25="",G25=""),"",J25*I25*G25)</f>
        <v>0</v>
      </c>
      <c r="L25" s="8">
        <f>IF(A25="","",SUMIFS(Pantry!$C$5:$C$304,Pantry!$A$5:$A$304,A25))</f>
        <v>0</v>
      </c>
      <c r="M25" s="8">
        <f>IF(OR(A25="",C25=""),"",MAX(0,C25-L25))</f>
        <v>0</v>
      </c>
      <c r="N25" s="27"/>
      <c r="O25" s="27"/>
      <c r="P25" s="30"/>
      <c r="Q25" s="28"/>
      <c r="R25" s="8">
        <f>IF(OR(Q25="",H25=""),"",Q25-H25)</f>
        <v>0</v>
      </c>
      <c r="S25" s="8">
        <f>IF(M25="","",COUNTIFS($M$5:$M$304,"&gt;"&amp;M25)+1)</f>
        <v>0</v>
      </c>
      <c r="T25" s="8">
        <f>IF(H25="","",H25+ROW()/1000000)</f>
        <v>0</v>
      </c>
      <c r="U25" s="8">
        <f>IF(OR(N25&lt;&gt;"Yes",T25=""),"",COUNTIFS($N$5:$N$304,"Yes",$T$5:$T$304,"&lt;"&amp;T25)+1)</f>
        <v>0</v>
      </c>
      <c r="V25" s="8">
        <f>IF(A25="","",IF(O25="Yes","Bought",IF(M25&lt;=0,"Have it",IF(N25&lt;&gt;"Yes","Skip",IF(S25&lt;=10,"Must have","Nice to have")))))</f>
        <v>0</v>
      </c>
      <c r="W25" s="30"/>
      <c r="X25" s="8">
        <f>IF(A25="","",IFERROR(INDEX('Recipe Ingredients'!$A$5:$A$1204,MATCH(A25,'Recipe Ingredients'!$B$5:$B$1204,0)),""))</f>
        <v>0</v>
      </c>
      <c r="Y25" s="8">
        <f>IF(A25="","",IFERROR(INDEX(Ingredients!$O$5:$O$304,MATCH(A25,Ingredients!$A$5:$A$304,0)),""))</f>
        <v>0</v>
      </c>
      <c r="Z25" s="8">
        <f>IF(A25="","",IF(O25="Yes","Bought",IF(N25="Yes","To buy","Not needed")))</f>
        <v>0</v>
      </c>
      <c r="AA25" s="25"/>
    </row>
    <row r="26" spans="1:27">
      <c r="A26" s="7"/>
      <c r="B26" s="8">
        <f>IF(A26="","",IFERROR(INDEX(Ingredients!$B$5:$B$304,MATCH(A26,Ingredients!$A$5:$A$304,0)),""))</f>
        <v>0</v>
      </c>
      <c r="C26" s="26"/>
      <c r="D26" s="27"/>
      <c r="E26" s="27"/>
      <c r="F26" s="7"/>
      <c r="G26" s="8">
        <f>IF(A26="","",IFERROR(INDEX(Ingredients!$D$5:$D$304,MATCH(A26,Ingredients!$A$5:$A$304,0)),""))</f>
        <v>0</v>
      </c>
      <c r="H26" s="8">
        <f>IF(OR(A26="",C26="",G26=""),"",C26*G26)</f>
        <v>0</v>
      </c>
      <c r="I26" s="26"/>
      <c r="J26" s="8">
        <f>IF(OR(C26="",I26="",I26=0),"",CEILING(C26/I26,1))</f>
        <v>0</v>
      </c>
      <c r="K26" s="8">
        <f>IF(OR(J26="",I26="",G26=""),"",J26*I26*G26)</f>
        <v>0</v>
      </c>
      <c r="L26" s="8">
        <f>IF(A26="","",SUMIFS(Pantry!$C$5:$C$304,Pantry!$A$5:$A$304,A26))</f>
        <v>0</v>
      </c>
      <c r="M26" s="8">
        <f>IF(OR(A26="",C26=""),"",MAX(0,C26-L26))</f>
        <v>0</v>
      </c>
      <c r="N26" s="27"/>
      <c r="O26" s="27"/>
      <c r="P26" s="30"/>
      <c r="Q26" s="28"/>
      <c r="R26" s="8">
        <f>IF(OR(Q26="",H26=""),"",Q26-H26)</f>
        <v>0</v>
      </c>
      <c r="S26" s="8">
        <f>IF(M26="","",COUNTIFS($M$5:$M$304,"&gt;"&amp;M26)+1)</f>
        <v>0</v>
      </c>
      <c r="T26" s="8">
        <f>IF(H26="","",H26+ROW()/1000000)</f>
        <v>0</v>
      </c>
      <c r="U26" s="8">
        <f>IF(OR(N26&lt;&gt;"Yes",T26=""),"",COUNTIFS($N$5:$N$304,"Yes",$T$5:$T$304,"&lt;"&amp;T26)+1)</f>
        <v>0</v>
      </c>
      <c r="V26" s="8">
        <f>IF(A26="","",IF(O26="Yes","Bought",IF(M26&lt;=0,"Have it",IF(N26&lt;&gt;"Yes","Skip",IF(S26&lt;=10,"Must have","Nice to have")))))</f>
        <v>0</v>
      </c>
      <c r="W26" s="30"/>
      <c r="X26" s="8">
        <f>IF(A26="","",IFERROR(INDEX('Recipe Ingredients'!$A$5:$A$1204,MATCH(A26,'Recipe Ingredients'!$B$5:$B$1204,0)),""))</f>
        <v>0</v>
      </c>
      <c r="Y26" s="8">
        <f>IF(A26="","",IFERROR(INDEX(Ingredients!$O$5:$O$304,MATCH(A26,Ingredients!$A$5:$A$304,0)),""))</f>
        <v>0</v>
      </c>
      <c r="Z26" s="8">
        <f>IF(A26="","",IF(O26="Yes","Bought",IF(N26="Yes","To buy","Not needed")))</f>
        <v>0</v>
      </c>
      <c r="AA26" s="25"/>
    </row>
    <row r="27" spans="1:27">
      <c r="A27" s="7"/>
      <c r="B27" s="8">
        <f>IF(A27="","",IFERROR(INDEX(Ingredients!$B$5:$B$304,MATCH(A27,Ingredients!$A$5:$A$304,0)),""))</f>
        <v>0</v>
      </c>
      <c r="C27" s="26"/>
      <c r="D27" s="27"/>
      <c r="E27" s="27"/>
      <c r="F27" s="7"/>
      <c r="G27" s="8">
        <f>IF(A27="","",IFERROR(INDEX(Ingredients!$D$5:$D$304,MATCH(A27,Ingredients!$A$5:$A$304,0)),""))</f>
        <v>0</v>
      </c>
      <c r="H27" s="8">
        <f>IF(OR(A27="",C27="",G27=""),"",C27*G27)</f>
        <v>0</v>
      </c>
      <c r="I27" s="26"/>
      <c r="J27" s="8">
        <f>IF(OR(C27="",I27="",I27=0),"",CEILING(C27/I27,1))</f>
        <v>0</v>
      </c>
      <c r="K27" s="8">
        <f>IF(OR(J27="",I27="",G27=""),"",J27*I27*G27)</f>
        <v>0</v>
      </c>
      <c r="L27" s="8">
        <f>IF(A27="","",SUMIFS(Pantry!$C$5:$C$304,Pantry!$A$5:$A$304,A27))</f>
        <v>0</v>
      </c>
      <c r="M27" s="8">
        <f>IF(OR(A27="",C27=""),"",MAX(0,C27-L27))</f>
        <v>0</v>
      </c>
      <c r="N27" s="27"/>
      <c r="O27" s="27"/>
      <c r="P27" s="30"/>
      <c r="Q27" s="28"/>
      <c r="R27" s="8">
        <f>IF(OR(Q27="",H27=""),"",Q27-H27)</f>
        <v>0</v>
      </c>
      <c r="S27" s="8">
        <f>IF(M27="","",COUNTIFS($M$5:$M$304,"&gt;"&amp;M27)+1)</f>
        <v>0</v>
      </c>
      <c r="T27" s="8">
        <f>IF(H27="","",H27+ROW()/1000000)</f>
        <v>0</v>
      </c>
      <c r="U27" s="8">
        <f>IF(OR(N27&lt;&gt;"Yes",T27=""),"",COUNTIFS($N$5:$N$304,"Yes",$T$5:$T$304,"&lt;"&amp;T27)+1)</f>
        <v>0</v>
      </c>
      <c r="V27" s="8">
        <f>IF(A27="","",IF(O27="Yes","Bought",IF(M27&lt;=0,"Have it",IF(N27&lt;&gt;"Yes","Skip",IF(S27&lt;=10,"Must have","Nice to have")))))</f>
        <v>0</v>
      </c>
      <c r="W27" s="30"/>
      <c r="X27" s="8">
        <f>IF(A27="","",IFERROR(INDEX('Recipe Ingredients'!$A$5:$A$1204,MATCH(A27,'Recipe Ingredients'!$B$5:$B$1204,0)),""))</f>
        <v>0</v>
      </c>
      <c r="Y27" s="8">
        <f>IF(A27="","",IFERROR(INDEX(Ingredients!$O$5:$O$304,MATCH(A27,Ingredients!$A$5:$A$304,0)),""))</f>
        <v>0</v>
      </c>
      <c r="Z27" s="8">
        <f>IF(A27="","",IF(O27="Yes","Bought",IF(N27="Yes","To buy","Not needed")))</f>
        <v>0</v>
      </c>
      <c r="AA27" s="25"/>
    </row>
    <row r="28" spans="1:27">
      <c r="A28" s="7"/>
      <c r="B28" s="8">
        <f>IF(A28="","",IFERROR(INDEX(Ingredients!$B$5:$B$304,MATCH(A28,Ingredients!$A$5:$A$304,0)),""))</f>
        <v>0</v>
      </c>
      <c r="C28" s="26"/>
      <c r="D28" s="27"/>
      <c r="E28" s="27"/>
      <c r="F28" s="7"/>
      <c r="G28" s="8">
        <f>IF(A28="","",IFERROR(INDEX(Ingredients!$D$5:$D$304,MATCH(A28,Ingredients!$A$5:$A$304,0)),""))</f>
        <v>0</v>
      </c>
      <c r="H28" s="8">
        <f>IF(OR(A28="",C28="",G28=""),"",C28*G28)</f>
        <v>0</v>
      </c>
      <c r="I28" s="26"/>
      <c r="J28" s="8">
        <f>IF(OR(C28="",I28="",I28=0),"",CEILING(C28/I28,1))</f>
        <v>0</v>
      </c>
      <c r="K28" s="8">
        <f>IF(OR(J28="",I28="",G28=""),"",J28*I28*G28)</f>
        <v>0</v>
      </c>
      <c r="L28" s="8">
        <f>IF(A28="","",SUMIFS(Pantry!$C$5:$C$304,Pantry!$A$5:$A$304,A28))</f>
        <v>0</v>
      </c>
      <c r="M28" s="8">
        <f>IF(OR(A28="",C28=""),"",MAX(0,C28-L28))</f>
        <v>0</v>
      </c>
      <c r="N28" s="27"/>
      <c r="O28" s="27"/>
      <c r="P28" s="30"/>
      <c r="Q28" s="28"/>
      <c r="R28" s="8">
        <f>IF(OR(Q28="",H28=""),"",Q28-H28)</f>
        <v>0</v>
      </c>
      <c r="S28" s="8">
        <f>IF(M28="","",COUNTIFS($M$5:$M$304,"&gt;"&amp;M28)+1)</f>
        <v>0</v>
      </c>
      <c r="T28" s="8">
        <f>IF(H28="","",H28+ROW()/1000000)</f>
        <v>0</v>
      </c>
      <c r="U28" s="8">
        <f>IF(OR(N28&lt;&gt;"Yes",T28=""),"",COUNTIFS($N$5:$N$304,"Yes",$T$5:$T$304,"&lt;"&amp;T28)+1)</f>
        <v>0</v>
      </c>
      <c r="V28" s="8">
        <f>IF(A28="","",IF(O28="Yes","Bought",IF(M28&lt;=0,"Have it",IF(N28&lt;&gt;"Yes","Skip",IF(S28&lt;=10,"Must have","Nice to have")))))</f>
        <v>0</v>
      </c>
      <c r="W28" s="30"/>
      <c r="X28" s="8">
        <f>IF(A28="","",IFERROR(INDEX('Recipe Ingredients'!$A$5:$A$1204,MATCH(A28,'Recipe Ingredients'!$B$5:$B$1204,0)),""))</f>
        <v>0</v>
      </c>
      <c r="Y28" s="8">
        <f>IF(A28="","",IFERROR(INDEX(Ingredients!$O$5:$O$304,MATCH(A28,Ingredients!$A$5:$A$304,0)),""))</f>
        <v>0</v>
      </c>
      <c r="Z28" s="8">
        <f>IF(A28="","",IF(O28="Yes","Bought",IF(N28="Yes","To buy","Not needed")))</f>
        <v>0</v>
      </c>
      <c r="AA28" s="25"/>
    </row>
    <row r="29" spans="1:27">
      <c r="A29" s="7"/>
      <c r="B29" s="8">
        <f>IF(A29="","",IFERROR(INDEX(Ingredients!$B$5:$B$304,MATCH(A29,Ingredients!$A$5:$A$304,0)),""))</f>
        <v>0</v>
      </c>
      <c r="C29" s="26"/>
      <c r="D29" s="27"/>
      <c r="E29" s="27"/>
      <c r="F29" s="7"/>
      <c r="G29" s="8">
        <f>IF(A29="","",IFERROR(INDEX(Ingredients!$D$5:$D$304,MATCH(A29,Ingredients!$A$5:$A$304,0)),""))</f>
        <v>0</v>
      </c>
      <c r="H29" s="8">
        <f>IF(OR(A29="",C29="",G29=""),"",C29*G29)</f>
        <v>0</v>
      </c>
      <c r="I29" s="26"/>
      <c r="J29" s="8">
        <f>IF(OR(C29="",I29="",I29=0),"",CEILING(C29/I29,1))</f>
        <v>0</v>
      </c>
      <c r="K29" s="8">
        <f>IF(OR(J29="",I29="",G29=""),"",J29*I29*G29)</f>
        <v>0</v>
      </c>
      <c r="L29" s="8">
        <f>IF(A29="","",SUMIFS(Pantry!$C$5:$C$304,Pantry!$A$5:$A$304,A29))</f>
        <v>0</v>
      </c>
      <c r="M29" s="8">
        <f>IF(OR(A29="",C29=""),"",MAX(0,C29-L29))</f>
        <v>0</v>
      </c>
      <c r="N29" s="27"/>
      <c r="O29" s="27"/>
      <c r="P29" s="30"/>
      <c r="Q29" s="28"/>
      <c r="R29" s="8">
        <f>IF(OR(Q29="",H29=""),"",Q29-H29)</f>
        <v>0</v>
      </c>
      <c r="S29" s="8">
        <f>IF(M29="","",COUNTIFS($M$5:$M$304,"&gt;"&amp;M29)+1)</f>
        <v>0</v>
      </c>
      <c r="T29" s="8">
        <f>IF(H29="","",H29+ROW()/1000000)</f>
        <v>0</v>
      </c>
      <c r="U29" s="8">
        <f>IF(OR(N29&lt;&gt;"Yes",T29=""),"",COUNTIFS($N$5:$N$304,"Yes",$T$5:$T$304,"&lt;"&amp;T29)+1)</f>
        <v>0</v>
      </c>
      <c r="V29" s="8">
        <f>IF(A29="","",IF(O29="Yes","Bought",IF(M29&lt;=0,"Have it",IF(N29&lt;&gt;"Yes","Skip",IF(S29&lt;=10,"Must have","Nice to have")))))</f>
        <v>0</v>
      </c>
      <c r="W29" s="30"/>
      <c r="X29" s="8">
        <f>IF(A29="","",IFERROR(INDEX('Recipe Ingredients'!$A$5:$A$1204,MATCH(A29,'Recipe Ingredients'!$B$5:$B$1204,0)),""))</f>
        <v>0</v>
      </c>
      <c r="Y29" s="8">
        <f>IF(A29="","",IFERROR(INDEX(Ingredients!$O$5:$O$304,MATCH(A29,Ingredients!$A$5:$A$304,0)),""))</f>
        <v>0</v>
      </c>
      <c r="Z29" s="8">
        <f>IF(A29="","",IF(O29="Yes","Bought",IF(N29="Yes","To buy","Not needed")))</f>
        <v>0</v>
      </c>
      <c r="AA29" s="25"/>
    </row>
    <row r="30" spans="1:27">
      <c r="A30" s="7"/>
      <c r="B30" s="8">
        <f>IF(A30="","",IFERROR(INDEX(Ingredients!$B$5:$B$304,MATCH(A30,Ingredients!$A$5:$A$304,0)),""))</f>
        <v>0</v>
      </c>
      <c r="C30" s="26"/>
      <c r="D30" s="27"/>
      <c r="E30" s="27"/>
      <c r="F30" s="7"/>
      <c r="G30" s="8">
        <f>IF(A30="","",IFERROR(INDEX(Ingredients!$D$5:$D$304,MATCH(A30,Ingredients!$A$5:$A$304,0)),""))</f>
        <v>0</v>
      </c>
      <c r="H30" s="8">
        <f>IF(OR(A30="",C30="",G30=""),"",C30*G30)</f>
        <v>0</v>
      </c>
      <c r="I30" s="26"/>
      <c r="J30" s="8">
        <f>IF(OR(C30="",I30="",I30=0),"",CEILING(C30/I30,1))</f>
        <v>0</v>
      </c>
      <c r="K30" s="8">
        <f>IF(OR(J30="",I30="",G30=""),"",J30*I30*G30)</f>
        <v>0</v>
      </c>
      <c r="L30" s="8">
        <f>IF(A30="","",SUMIFS(Pantry!$C$5:$C$304,Pantry!$A$5:$A$304,A30))</f>
        <v>0</v>
      </c>
      <c r="M30" s="8">
        <f>IF(OR(A30="",C30=""),"",MAX(0,C30-L30))</f>
        <v>0</v>
      </c>
      <c r="N30" s="27"/>
      <c r="O30" s="27"/>
      <c r="P30" s="30"/>
      <c r="Q30" s="28"/>
      <c r="R30" s="8">
        <f>IF(OR(Q30="",H30=""),"",Q30-H30)</f>
        <v>0</v>
      </c>
      <c r="S30" s="8">
        <f>IF(M30="","",COUNTIFS($M$5:$M$304,"&gt;"&amp;M30)+1)</f>
        <v>0</v>
      </c>
      <c r="T30" s="8">
        <f>IF(H30="","",H30+ROW()/1000000)</f>
        <v>0</v>
      </c>
      <c r="U30" s="8">
        <f>IF(OR(N30&lt;&gt;"Yes",T30=""),"",COUNTIFS($N$5:$N$304,"Yes",$T$5:$T$304,"&lt;"&amp;T30)+1)</f>
        <v>0</v>
      </c>
      <c r="V30" s="8">
        <f>IF(A30="","",IF(O30="Yes","Bought",IF(M30&lt;=0,"Have it",IF(N30&lt;&gt;"Yes","Skip",IF(S30&lt;=10,"Must have","Nice to have")))))</f>
        <v>0</v>
      </c>
      <c r="W30" s="30"/>
      <c r="X30" s="8">
        <f>IF(A30="","",IFERROR(INDEX('Recipe Ingredients'!$A$5:$A$1204,MATCH(A30,'Recipe Ingredients'!$B$5:$B$1204,0)),""))</f>
        <v>0</v>
      </c>
      <c r="Y30" s="8">
        <f>IF(A30="","",IFERROR(INDEX(Ingredients!$O$5:$O$304,MATCH(A30,Ingredients!$A$5:$A$304,0)),""))</f>
        <v>0</v>
      </c>
      <c r="Z30" s="8">
        <f>IF(A30="","",IF(O30="Yes","Bought",IF(N30="Yes","To buy","Not needed")))</f>
        <v>0</v>
      </c>
      <c r="AA30" s="25"/>
    </row>
    <row r="31" spans="1:27">
      <c r="A31" s="7"/>
      <c r="B31" s="8">
        <f>IF(A31="","",IFERROR(INDEX(Ingredients!$B$5:$B$304,MATCH(A31,Ingredients!$A$5:$A$304,0)),""))</f>
        <v>0</v>
      </c>
      <c r="C31" s="26"/>
      <c r="D31" s="27"/>
      <c r="E31" s="27"/>
      <c r="F31" s="7"/>
      <c r="G31" s="8">
        <f>IF(A31="","",IFERROR(INDEX(Ingredients!$D$5:$D$304,MATCH(A31,Ingredients!$A$5:$A$304,0)),""))</f>
        <v>0</v>
      </c>
      <c r="H31" s="8">
        <f>IF(OR(A31="",C31="",G31=""),"",C31*G31)</f>
        <v>0</v>
      </c>
      <c r="I31" s="26"/>
      <c r="J31" s="8">
        <f>IF(OR(C31="",I31="",I31=0),"",CEILING(C31/I31,1))</f>
        <v>0</v>
      </c>
      <c r="K31" s="8">
        <f>IF(OR(J31="",I31="",G31=""),"",J31*I31*G31)</f>
        <v>0</v>
      </c>
      <c r="L31" s="8">
        <f>IF(A31="","",SUMIFS(Pantry!$C$5:$C$304,Pantry!$A$5:$A$304,A31))</f>
        <v>0</v>
      </c>
      <c r="M31" s="8">
        <f>IF(OR(A31="",C31=""),"",MAX(0,C31-L31))</f>
        <v>0</v>
      </c>
      <c r="N31" s="27"/>
      <c r="O31" s="27"/>
      <c r="P31" s="30"/>
      <c r="Q31" s="28"/>
      <c r="R31" s="8">
        <f>IF(OR(Q31="",H31=""),"",Q31-H31)</f>
        <v>0</v>
      </c>
      <c r="S31" s="8">
        <f>IF(M31="","",COUNTIFS($M$5:$M$304,"&gt;"&amp;M31)+1)</f>
        <v>0</v>
      </c>
      <c r="T31" s="8">
        <f>IF(H31="","",H31+ROW()/1000000)</f>
        <v>0</v>
      </c>
      <c r="U31" s="8">
        <f>IF(OR(N31&lt;&gt;"Yes",T31=""),"",COUNTIFS($N$5:$N$304,"Yes",$T$5:$T$304,"&lt;"&amp;T31)+1)</f>
        <v>0</v>
      </c>
      <c r="V31" s="8">
        <f>IF(A31="","",IF(O31="Yes","Bought",IF(M31&lt;=0,"Have it",IF(N31&lt;&gt;"Yes","Skip",IF(S31&lt;=10,"Must have","Nice to have")))))</f>
        <v>0</v>
      </c>
      <c r="W31" s="30"/>
      <c r="X31" s="8">
        <f>IF(A31="","",IFERROR(INDEX('Recipe Ingredients'!$A$5:$A$1204,MATCH(A31,'Recipe Ingredients'!$B$5:$B$1204,0)),""))</f>
        <v>0</v>
      </c>
      <c r="Y31" s="8">
        <f>IF(A31="","",IFERROR(INDEX(Ingredients!$O$5:$O$304,MATCH(A31,Ingredients!$A$5:$A$304,0)),""))</f>
        <v>0</v>
      </c>
      <c r="Z31" s="8">
        <f>IF(A31="","",IF(O31="Yes","Bought",IF(N31="Yes","To buy","Not needed")))</f>
        <v>0</v>
      </c>
      <c r="AA31" s="25"/>
    </row>
    <row r="32" spans="1:27">
      <c r="A32" s="7"/>
      <c r="B32" s="8">
        <f>IF(A32="","",IFERROR(INDEX(Ingredients!$B$5:$B$304,MATCH(A32,Ingredients!$A$5:$A$304,0)),""))</f>
        <v>0</v>
      </c>
      <c r="C32" s="26"/>
      <c r="D32" s="27"/>
      <c r="E32" s="27"/>
      <c r="F32" s="7"/>
      <c r="G32" s="8">
        <f>IF(A32="","",IFERROR(INDEX(Ingredients!$D$5:$D$304,MATCH(A32,Ingredients!$A$5:$A$304,0)),""))</f>
        <v>0</v>
      </c>
      <c r="H32" s="8">
        <f>IF(OR(A32="",C32="",G32=""),"",C32*G32)</f>
        <v>0</v>
      </c>
      <c r="I32" s="26"/>
      <c r="J32" s="8">
        <f>IF(OR(C32="",I32="",I32=0),"",CEILING(C32/I32,1))</f>
        <v>0</v>
      </c>
      <c r="K32" s="8">
        <f>IF(OR(J32="",I32="",G32=""),"",J32*I32*G32)</f>
        <v>0</v>
      </c>
      <c r="L32" s="8">
        <f>IF(A32="","",SUMIFS(Pantry!$C$5:$C$304,Pantry!$A$5:$A$304,A32))</f>
        <v>0</v>
      </c>
      <c r="M32" s="8">
        <f>IF(OR(A32="",C32=""),"",MAX(0,C32-L32))</f>
        <v>0</v>
      </c>
      <c r="N32" s="27"/>
      <c r="O32" s="27"/>
      <c r="P32" s="30"/>
      <c r="Q32" s="28"/>
      <c r="R32" s="8">
        <f>IF(OR(Q32="",H32=""),"",Q32-H32)</f>
        <v>0</v>
      </c>
      <c r="S32" s="8">
        <f>IF(M32="","",COUNTIFS($M$5:$M$304,"&gt;"&amp;M32)+1)</f>
        <v>0</v>
      </c>
      <c r="T32" s="8">
        <f>IF(H32="","",H32+ROW()/1000000)</f>
        <v>0</v>
      </c>
      <c r="U32" s="8">
        <f>IF(OR(N32&lt;&gt;"Yes",T32=""),"",COUNTIFS($N$5:$N$304,"Yes",$T$5:$T$304,"&lt;"&amp;T32)+1)</f>
        <v>0</v>
      </c>
      <c r="V32" s="8">
        <f>IF(A32="","",IF(O32="Yes","Bought",IF(M32&lt;=0,"Have it",IF(N32&lt;&gt;"Yes","Skip",IF(S32&lt;=10,"Must have","Nice to have")))))</f>
        <v>0</v>
      </c>
      <c r="W32" s="30"/>
      <c r="X32" s="8">
        <f>IF(A32="","",IFERROR(INDEX('Recipe Ingredients'!$A$5:$A$1204,MATCH(A32,'Recipe Ingredients'!$B$5:$B$1204,0)),""))</f>
        <v>0</v>
      </c>
      <c r="Y32" s="8">
        <f>IF(A32="","",IFERROR(INDEX(Ingredients!$O$5:$O$304,MATCH(A32,Ingredients!$A$5:$A$304,0)),""))</f>
        <v>0</v>
      </c>
      <c r="Z32" s="8">
        <f>IF(A32="","",IF(O32="Yes","Bought",IF(N32="Yes","To buy","Not needed")))</f>
        <v>0</v>
      </c>
      <c r="AA32" s="25"/>
    </row>
    <row r="33" spans="1:27">
      <c r="A33" s="7"/>
      <c r="B33" s="8">
        <f>IF(A33="","",IFERROR(INDEX(Ingredients!$B$5:$B$304,MATCH(A33,Ingredients!$A$5:$A$304,0)),""))</f>
        <v>0</v>
      </c>
      <c r="C33" s="26"/>
      <c r="D33" s="27"/>
      <c r="E33" s="27"/>
      <c r="F33" s="7"/>
      <c r="G33" s="8">
        <f>IF(A33="","",IFERROR(INDEX(Ingredients!$D$5:$D$304,MATCH(A33,Ingredients!$A$5:$A$304,0)),""))</f>
        <v>0</v>
      </c>
      <c r="H33" s="8">
        <f>IF(OR(A33="",C33="",G33=""),"",C33*G33)</f>
        <v>0</v>
      </c>
      <c r="I33" s="26"/>
      <c r="J33" s="8">
        <f>IF(OR(C33="",I33="",I33=0),"",CEILING(C33/I33,1))</f>
        <v>0</v>
      </c>
      <c r="K33" s="8">
        <f>IF(OR(J33="",I33="",G33=""),"",J33*I33*G33)</f>
        <v>0</v>
      </c>
      <c r="L33" s="8">
        <f>IF(A33="","",SUMIFS(Pantry!$C$5:$C$304,Pantry!$A$5:$A$304,A33))</f>
        <v>0</v>
      </c>
      <c r="M33" s="8">
        <f>IF(OR(A33="",C33=""),"",MAX(0,C33-L33))</f>
        <v>0</v>
      </c>
      <c r="N33" s="27"/>
      <c r="O33" s="27"/>
      <c r="P33" s="30"/>
      <c r="Q33" s="28"/>
      <c r="R33" s="8">
        <f>IF(OR(Q33="",H33=""),"",Q33-H33)</f>
        <v>0</v>
      </c>
      <c r="S33" s="8">
        <f>IF(M33="","",COUNTIFS($M$5:$M$304,"&gt;"&amp;M33)+1)</f>
        <v>0</v>
      </c>
      <c r="T33" s="8">
        <f>IF(H33="","",H33+ROW()/1000000)</f>
        <v>0</v>
      </c>
      <c r="U33" s="8">
        <f>IF(OR(N33&lt;&gt;"Yes",T33=""),"",COUNTIFS($N$5:$N$304,"Yes",$T$5:$T$304,"&lt;"&amp;T33)+1)</f>
        <v>0</v>
      </c>
      <c r="V33" s="8">
        <f>IF(A33="","",IF(O33="Yes","Bought",IF(M33&lt;=0,"Have it",IF(N33&lt;&gt;"Yes","Skip",IF(S33&lt;=10,"Must have","Nice to have")))))</f>
        <v>0</v>
      </c>
      <c r="W33" s="30"/>
      <c r="X33" s="8">
        <f>IF(A33="","",IFERROR(INDEX('Recipe Ingredients'!$A$5:$A$1204,MATCH(A33,'Recipe Ingredients'!$B$5:$B$1204,0)),""))</f>
        <v>0</v>
      </c>
      <c r="Y33" s="8">
        <f>IF(A33="","",IFERROR(INDEX(Ingredients!$O$5:$O$304,MATCH(A33,Ingredients!$A$5:$A$304,0)),""))</f>
        <v>0</v>
      </c>
      <c r="Z33" s="8">
        <f>IF(A33="","",IF(O33="Yes","Bought",IF(N33="Yes","To buy","Not needed")))</f>
        <v>0</v>
      </c>
      <c r="AA33" s="25"/>
    </row>
    <row r="34" spans="1:27">
      <c r="A34" s="7"/>
      <c r="B34" s="8">
        <f>IF(A34="","",IFERROR(INDEX(Ingredients!$B$5:$B$304,MATCH(A34,Ingredients!$A$5:$A$304,0)),""))</f>
        <v>0</v>
      </c>
      <c r="C34" s="26"/>
      <c r="D34" s="27"/>
      <c r="E34" s="27"/>
      <c r="F34" s="7"/>
      <c r="G34" s="8">
        <f>IF(A34="","",IFERROR(INDEX(Ingredients!$D$5:$D$304,MATCH(A34,Ingredients!$A$5:$A$304,0)),""))</f>
        <v>0</v>
      </c>
      <c r="H34" s="8">
        <f>IF(OR(A34="",C34="",G34=""),"",C34*G34)</f>
        <v>0</v>
      </c>
      <c r="I34" s="26"/>
      <c r="J34" s="8">
        <f>IF(OR(C34="",I34="",I34=0),"",CEILING(C34/I34,1))</f>
        <v>0</v>
      </c>
      <c r="K34" s="8">
        <f>IF(OR(J34="",I34="",G34=""),"",J34*I34*G34)</f>
        <v>0</v>
      </c>
      <c r="L34" s="8">
        <f>IF(A34="","",SUMIFS(Pantry!$C$5:$C$304,Pantry!$A$5:$A$304,A34))</f>
        <v>0</v>
      </c>
      <c r="M34" s="8">
        <f>IF(OR(A34="",C34=""),"",MAX(0,C34-L34))</f>
        <v>0</v>
      </c>
      <c r="N34" s="27"/>
      <c r="O34" s="27"/>
      <c r="P34" s="30"/>
      <c r="Q34" s="28"/>
      <c r="R34" s="8">
        <f>IF(OR(Q34="",H34=""),"",Q34-H34)</f>
        <v>0</v>
      </c>
      <c r="S34" s="8">
        <f>IF(M34="","",COUNTIFS($M$5:$M$304,"&gt;"&amp;M34)+1)</f>
        <v>0</v>
      </c>
      <c r="T34" s="8">
        <f>IF(H34="","",H34+ROW()/1000000)</f>
        <v>0</v>
      </c>
      <c r="U34" s="8">
        <f>IF(OR(N34&lt;&gt;"Yes",T34=""),"",COUNTIFS($N$5:$N$304,"Yes",$T$5:$T$304,"&lt;"&amp;T34)+1)</f>
        <v>0</v>
      </c>
      <c r="V34" s="8">
        <f>IF(A34="","",IF(O34="Yes","Bought",IF(M34&lt;=0,"Have it",IF(N34&lt;&gt;"Yes","Skip",IF(S34&lt;=10,"Must have","Nice to have")))))</f>
        <v>0</v>
      </c>
      <c r="W34" s="30"/>
      <c r="X34" s="8">
        <f>IF(A34="","",IFERROR(INDEX('Recipe Ingredients'!$A$5:$A$1204,MATCH(A34,'Recipe Ingredients'!$B$5:$B$1204,0)),""))</f>
        <v>0</v>
      </c>
      <c r="Y34" s="8">
        <f>IF(A34="","",IFERROR(INDEX(Ingredients!$O$5:$O$304,MATCH(A34,Ingredients!$A$5:$A$304,0)),""))</f>
        <v>0</v>
      </c>
      <c r="Z34" s="8">
        <f>IF(A34="","",IF(O34="Yes","Bought",IF(N34="Yes","To buy","Not needed")))</f>
        <v>0</v>
      </c>
      <c r="AA34" s="25"/>
    </row>
    <row r="35" spans="1:27">
      <c r="A35" s="7"/>
      <c r="B35" s="8">
        <f>IF(A35="","",IFERROR(INDEX(Ingredients!$B$5:$B$304,MATCH(A35,Ingredients!$A$5:$A$304,0)),""))</f>
        <v>0</v>
      </c>
      <c r="C35" s="26"/>
      <c r="D35" s="27"/>
      <c r="E35" s="27"/>
      <c r="F35" s="7"/>
      <c r="G35" s="8">
        <f>IF(A35="","",IFERROR(INDEX(Ingredients!$D$5:$D$304,MATCH(A35,Ingredients!$A$5:$A$304,0)),""))</f>
        <v>0</v>
      </c>
      <c r="H35" s="8">
        <f>IF(OR(A35="",C35="",G35=""),"",C35*G35)</f>
        <v>0</v>
      </c>
      <c r="I35" s="26"/>
      <c r="J35" s="8">
        <f>IF(OR(C35="",I35="",I35=0),"",CEILING(C35/I35,1))</f>
        <v>0</v>
      </c>
      <c r="K35" s="8">
        <f>IF(OR(J35="",I35="",G35=""),"",J35*I35*G35)</f>
        <v>0</v>
      </c>
      <c r="L35" s="8">
        <f>IF(A35="","",SUMIFS(Pantry!$C$5:$C$304,Pantry!$A$5:$A$304,A35))</f>
        <v>0</v>
      </c>
      <c r="M35" s="8">
        <f>IF(OR(A35="",C35=""),"",MAX(0,C35-L35))</f>
        <v>0</v>
      </c>
      <c r="N35" s="27"/>
      <c r="O35" s="27"/>
      <c r="P35" s="30"/>
      <c r="Q35" s="28"/>
      <c r="R35" s="8">
        <f>IF(OR(Q35="",H35=""),"",Q35-H35)</f>
        <v>0</v>
      </c>
      <c r="S35" s="8">
        <f>IF(M35="","",COUNTIFS($M$5:$M$304,"&gt;"&amp;M35)+1)</f>
        <v>0</v>
      </c>
      <c r="T35" s="8">
        <f>IF(H35="","",H35+ROW()/1000000)</f>
        <v>0</v>
      </c>
      <c r="U35" s="8">
        <f>IF(OR(N35&lt;&gt;"Yes",T35=""),"",COUNTIFS($N$5:$N$304,"Yes",$T$5:$T$304,"&lt;"&amp;T35)+1)</f>
        <v>0</v>
      </c>
      <c r="V35" s="8">
        <f>IF(A35="","",IF(O35="Yes","Bought",IF(M35&lt;=0,"Have it",IF(N35&lt;&gt;"Yes","Skip",IF(S35&lt;=10,"Must have","Nice to have")))))</f>
        <v>0</v>
      </c>
      <c r="W35" s="30"/>
      <c r="X35" s="8">
        <f>IF(A35="","",IFERROR(INDEX('Recipe Ingredients'!$A$5:$A$1204,MATCH(A35,'Recipe Ingredients'!$B$5:$B$1204,0)),""))</f>
        <v>0</v>
      </c>
      <c r="Y35" s="8">
        <f>IF(A35="","",IFERROR(INDEX(Ingredients!$O$5:$O$304,MATCH(A35,Ingredients!$A$5:$A$304,0)),""))</f>
        <v>0</v>
      </c>
      <c r="Z35" s="8">
        <f>IF(A35="","",IF(O35="Yes","Bought",IF(N35="Yes","To buy","Not needed")))</f>
        <v>0</v>
      </c>
      <c r="AA35" s="25"/>
    </row>
    <row r="36" spans="1:27">
      <c r="A36" s="7"/>
      <c r="B36" s="8">
        <f>IF(A36="","",IFERROR(INDEX(Ingredients!$B$5:$B$304,MATCH(A36,Ingredients!$A$5:$A$304,0)),""))</f>
        <v>0</v>
      </c>
      <c r="C36" s="26"/>
      <c r="D36" s="27"/>
      <c r="E36" s="27"/>
      <c r="F36" s="7"/>
      <c r="G36" s="8">
        <f>IF(A36="","",IFERROR(INDEX(Ingredients!$D$5:$D$304,MATCH(A36,Ingredients!$A$5:$A$304,0)),""))</f>
        <v>0</v>
      </c>
      <c r="H36" s="8">
        <f>IF(OR(A36="",C36="",G36=""),"",C36*G36)</f>
        <v>0</v>
      </c>
      <c r="I36" s="26"/>
      <c r="J36" s="8">
        <f>IF(OR(C36="",I36="",I36=0),"",CEILING(C36/I36,1))</f>
        <v>0</v>
      </c>
      <c r="K36" s="8">
        <f>IF(OR(J36="",I36="",G36=""),"",J36*I36*G36)</f>
        <v>0</v>
      </c>
      <c r="L36" s="8">
        <f>IF(A36="","",SUMIFS(Pantry!$C$5:$C$304,Pantry!$A$5:$A$304,A36))</f>
        <v>0</v>
      </c>
      <c r="M36" s="8">
        <f>IF(OR(A36="",C36=""),"",MAX(0,C36-L36))</f>
        <v>0</v>
      </c>
      <c r="N36" s="27"/>
      <c r="O36" s="27"/>
      <c r="P36" s="30"/>
      <c r="Q36" s="28"/>
      <c r="R36" s="8">
        <f>IF(OR(Q36="",H36=""),"",Q36-H36)</f>
        <v>0</v>
      </c>
      <c r="S36" s="8">
        <f>IF(M36="","",COUNTIFS($M$5:$M$304,"&gt;"&amp;M36)+1)</f>
        <v>0</v>
      </c>
      <c r="T36" s="8">
        <f>IF(H36="","",H36+ROW()/1000000)</f>
        <v>0</v>
      </c>
      <c r="U36" s="8">
        <f>IF(OR(N36&lt;&gt;"Yes",T36=""),"",COUNTIFS($N$5:$N$304,"Yes",$T$5:$T$304,"&lt;"&amp;T36)+1)</f>
        <v>0</v>
      </c>
      <c r="V36" s="8">
        <f>IF(A36="","",IF(O36="Yes","Bought",IF(M36&lt;=0,"Have it",IF(N36&lt;&gt;"Yes","Skip",IF(S36&lt;=10,"Must have","Nice to have")))))</f>
        <v>0</v>
      </c>
      <c r="W36" s="30"/>
      <c r="X36" s="8">
        <f>IF(A36="","",IFERROR(INDEX('Recipe Ingredients'!$A$5:$A$1204,MATCH(A36,'Recipe Ingredients'!$B$5:$B$1204,0)),""))</f>
        <v>0</v>
      </c>
      <c r="Y36" s="8">
        <f>IF(A36="","",IFERROR(INDEX(Ingredients!$O$5:$O$304,MATCH(A36,Ingredients!$A$5:$A$304,0)),""))</f>
        <v>0</v>
      </c>
      <c r="Z36" s="8">
        <f>IF(A36="","",IF(O36="Yes","Bought",IF(N36="Yes","To buy","Not needed")))</f>
        <v>0</v>
      </c>
      <c r="AA36" s="25"/>
    </row>
    <row r="37" spans="1:27">
      <c r="A37" s="7"/>
      <c r="B37" s="8">
        <f>IF(A37="","",IFERROR(INDEX(Ingredients!$B$5:$B$304,MATCH(A37,Ingredients!$A$5:$A$304,0)),""))</f>
        <v>0</v>
      </c>
      <c r="C37" s="26"/>
      <c r="D37" s="27"/>
      <c r="E37" s="27"/>
      <c r="F37" s="7"/>
      <c r="G37" s="8">
        <f>IF(A37="","",IFERROR(INDEX(Ingredients!$D$5:$D$304,MATCH(A37,Ingredients!$A$5:$A$304,0)),""))</f>
        <v>0</v>
      </c>
      <c r="H37" s="8">
        <f>IF(OR(A37="",C37="",G37=""),"",C37*G37)</f>
        <v>0</v>
      </c>
      <c r="I37" s="26"/>
      <c r="J37" s="8">
        <f>IF(OR(C37="",I37="",I37=0),"",CEILING(C37/I37,1))</f>
        <v>0</v>
      </c>
      <c r="K37" s="8">
        <f>IF(OR(J37="",I37="",G37=""),"",J37*I37*G37)</f>
        <v>0</v>
      </c>
      <c r="L37" s="8">
        <f>IF(A37="","",SUMIFS(Pantry!$C$5:$C$304,Pantry!$A$5:$A$304,A37))</f>
        <v>0</v>
      </c>
      <c r="M37" s="8">
        <f>IF(OR(A37="",C37=""),"",MAX(0,C37-L37))</f>
        <v>0</v>
      </c>
      <c r="N37" s="27"/>
      <c r="O37" s="27"/>
      <c r="P37" s="30"/>
      <c r="Q37" s="28"/>
      <c r="R37" s="8">
        <f>IF(OR(Q37="",H37=""),"",Q37-H37)</f>
        <v>0</v>
      </c>
      <c r="S37" s="8">
        <f>IF(M37="","",COUNTIFS($M$5:$M$304,"&gt;"&amp;M37)+1)</f>
        <v>0</v>
      </c>
      <c r="T37" s="8">
        <f>IF(H37="","",H37+ROW()/1000000)</f>
        <v>0</v>
      </c>
      <c r="U37" s="8">
        <f>IF(OR(N37&lt;&gt;"Yes",T37=""),"",COUNTIFS($N$5:$N$304,"Yes",$T$5:$T$304,"&lt;"&amp;T37)+1)</f>
        <v>0</v>
      </c>
      <c r="V37" s="8">
        <f>IF(A37="","",IF(O37="Yes","Bought",IF(M37&lt;=0,"Have it",IF(N37&lt;&gt;"Yes","Skip",IF(S37&lt;=10,"Must have","Nice to have")))))</f>
        <v>0</v>
      </c>
      <c r="W37" s="30"/>
      <c r="X37" s="8">
        <f>IF(A37="","",IFERROR(INDEX('Recipe Ingredients'!$A$5:$A$1204,MATCH(A37,'Recipe Ingredients'!$B$5:$B$1204,0)),""))</f>
        <v>0</v>
      </c>
      <c r="Y37" s="8">
        <f>IF(A37="","",IFERROR(INDEX(Ingredients!$O$5:$O$304,MATCH(A37,Ingredients!$A$5:$A$304,0)),""))</f>
        <v>0</v>
      </c>
      <c r="Z37" s="8">
        <f>IF(A37="","",IF(O37="Yes","Bought",IF(N37="Yes","To buy","Not needed")))</f>
        <v>0</v>
      </c>
      <c r="AA37" s="25"/>
    </row>
    <row r="38" spans="1:27">
      <c r="A38" s="7"/>
      <c r="B38" s="8">
        <f>IF(A38="","",IFERROR(INDEX(Ingredients!$B$5:$B$304,MATCH(A38,Ingredients!$A$5:$A$304,0)),""))</f>
        <v>0</v>
      </c>
      <c r="C38" s="26"/>
      <c r="D38" s="27"/>
      <c r="E38" s="27"/>
      <c r="F38" s="7"/>
      <c r="G38" s="8">
        <f>IF(A38="","",IFERROR(INDEX(Ingredients!$D$5:$D$304,MATCH(A38,Ingredients!$A$5:$A$304,0)),""))</f>
        <v>0</v>
      </c>
      <c r="H38" s="8">
        <f>IF(OR(A38="",C38="",G38=""),"",C38*G38)</f>
        <v>0</v>
      </c>
      <c r="I38" s="26"/>
      <c r="J38" s="8">
        <f>IF(OR(C38="",I38="",I38=0),"",CEILING(C38/I38,1))</f>
        <v>0</v>
      </c>
      <c r="K38" s="8">
        <f>IF(OR(J38="",I38="",G38=""),"",J38*I38*G38)</f>
        <v>0</v>
      </c>
      <c r="L38" s="8">
        <f>IF(A38="","",SUMIFS(Pantry!$C$5:$C$304,Pantry!$A$5:$A$304,A38))</f>
        <v>0</v>
      </c>
      <c r="M38" s="8">
        <f>IF(OR(A38="",C38=""),"",MAX(0,C38-L38))</f>
        <v>0</v>
      </c>
      <c r="N38" s="27"/>
      <c r="O38" s="27"/>
      <c r="P38" s="30"/>
      <c r="Q38" s="28"/>
      <c r="R38" s="8">
        <f>IF(OR(Q38="",H38=""),"",Q38-H38)</f>
        <v>0</v>
      </c>
      <c r="S38" s="8">
        <f>IF(M38="","",COUNTIFS($M$5:$M$304,"&gt;"&amp;M38)+1)</f>
        <v>0</v>
      </c>
      <c r="T38" s="8">
        <f>IF(H38="","",H38+ROW()/1000000)</f>
        <v>0</v>
      </c>
      <c r="U38" s="8">
        <f>IF(OR(N38&lt;&gt;"Yes",T38=""),"",COUNTIFS($N$5:$N$304,"Yes",$T$5:$T$304,"&lt;"&amp;T38)+1)</f>
        <v>0</v>
      </c>
      <c r="V38" s="8">
        <f>IF(A38="","",IF(O38="Yes","Bought",IF(M38&lt;=0,"Have it",IF(N38&lt;&gt;"Yes","Skip",IF(S38&lt;=10,"Must have","Nice to have")))))</f>
        <v>0</v>
      </c>
      <c r="W38" s="30"/>
      <c r="X38" s="8">
        <f>IF(A38="","",IFERROR(INDEX('Recipe Ingredients'!$A$5:$A$1204,MATCH(A38,'Recipe Ingredients'!$B$5:$B$1204,0)),""))</f>
        <v>0</v>
      </c>
      <c r="Y38" s="8">
        <f>IF(A38="","",IFERROR(INDEX(Ingredients!$O$5:$O$304,MATCH(A38,Ingredients!$A$5:$A$304,0)),""))</f>
        <v>0</v>
      </c>
      <c r="Z38" s="8">
        <f>IF(A38="","",IF(O38="Yes","Bought",IF(N38="Yes","To buy","Not needed")))</f>
        <v>0</v>
      </c>
      <c r="AA38" s="25"/>
    </row>
    <row r="39" spans="1:27">
      <c r="A39" s="7"/>
      <c r="B39" s="8">
        <f>IF(A39="","",IFERROR(INDEX(Ingredients!$B$5:$B$304,MATCH(A39,Ingredients!$A$5:$A$304,0)),""))</f>
        <v>0</v>
      </c>
      <c r="C39" s="26"/>
      <c r="D39" s="27"/>
      <c r="E39" s="27"/>
      <c r="F39" s="7"/>
      <c r="G39" s="8">
        <f>IF(A39="","",IFERROR(INDEX(Ingredients!$D$5:$D$304,MATCH(A39,Ingredients!$A$5:$A$304,0)),""))</f>
        <v>0</v>
      </c>
      <c r="H39" s="8">
        <f>IF(OR(A39="",C39="",G39=""),"",C39*G39)</f>
        <v>0</v>
      </c>
      <c r="I39" s="26"/>
      <c r="J39" s="8">
        <f>IF(OR(C39="",I39="",I39=0),"",CEILING(C39/I39,1))</f>
        <v>0</v>
      </c>
      <c r="K39" s="8">
        <f>IF(OR(J39="",I39="",G39=""),"",J39*I39*G39)</f>
        <v>0</v>
      </c>
      <c r="L39" s="8">
        <f>IF(A39="","",SUMIFS(Pantry!$C$5:$C$304,Pantry!$A$5:$A$304,A39))</f>
        <v>0</v>
      </c>
      <c r="M39" s="8">
        <f>IF(OR(A39="",C39=""),"",MAX(0,C39-L39))</f>
        <v>0</v>
      </c>
      <c r="N39" s="27"/>
      <c r="O39" s="27"/>
      <c r="P39" s="30"/>
      <c r="Q39" s="28"/>
      <c r="R39" s="8">
        <f>IF(OR(Q39="",H39=""),"",Q39-H39)</f>
        <v>0</v>
      </c>
      <c r="S39" s="8">
        <f>IF(M39="","",COUNTIFS($M$5:$M$304,"&gt;"&amp;M39)+1)</f>
        <v>0</v>
      </c>
      <c r="T39" s="8">
        <f>IF(H39="","",H39+ROW()/1000000)</f>
        <v>0</v>
      </c>
      <c r="U39" s="8">
        <f>IF(OR(N39&lt;&gt;"Yes",T39=""),"",COUNTIFS($N$5:$N$304,"Yes",$T$5:$T$304,"&lt;"&amp;T39)+1)</f>
        <v>0</v>
      </c>
      <c r="V39" s="8">
        <f>IF(A39="","",IF(O39="Yes","Bought",IF(M39&lt;=0,"Have it",IF(N39&lt;&gt;"Yes","Skip",IF(S39&lt;=10,"Must have","Nice to have")))))</f>
        <v>0</v>
      </c>
      <c r="W39" s="30"/>
      <c r="X39" s="8">
        <f>IF(A39="","",IFERROR(INDEX('Recipe Ingredients'!$A$5:$A$1204,MATCH(A39,'Recipe Ingredients'!$B$5:$B$1204,0)),""))</f>
        <v>0</v>
      </c>
      <c r="Y39" s="8">
        <f>IF(A39="","",IFERROR(INDEX(Ingredients!$O$5:$O$304,MATCH(A39,Ingredients!$A$5:$A$304,0)),""))</f>
        <v>0</v>
      </c>
      <c r="Z39" s="8">
        <f>IF(A39="","",IF(O39="Yes","Bought",IF(N39="Yes","To buy","Not needed")))</f>
        <v>0</v>
      </c>
      <c r="AA39" s="25"/>
    </row>
    <row r="40" spans="1:27">
      <c r="A40" s="7"/>
      <c r="B40" s="8">
        <f>IF(A40="","",IFERROR(INDEX(Ingredients!$B$5:$B$304,MATCH(A40,Ingredients!$A$5:$A$304,0)),""))</f>
        <v>0</v>
      </c>
      <c r="C40" s="26"/>
      <c r="D40" s="27"/>
      <c r="E40" s="27"/>
      <c r="F40" s="7"/>
      <c r="G40" s="8">
        <f>IF(A40="","",IFERROR(INDEX(Ingredients!$D$5:$D$304,MATCH(A40,Ingredients!$A$5:$A$304,0)),""))</f>
        <v>0</v>
      </c>
      <c r="H40" s="8">
        <f>IF(OR(A40="",C40="",G40=""),"",C40*G40)</f>
        <v>0</v>
      </c>
      <c r="I40" s="26"/>
      <c r="J40" s="8">
        <f>IF(OR(C40="",I40="",I40=0),"",CEILING(C40/I40,1))</f>
        <v>0</v>
      </c>
      <c r="K40" s="8">
        <f>IF(OR(J40="",I40="",G40=""),"",J40*I40*G40)</f>
        <v>0</v>
      </c>
      <c r="L40" s="8">
        <f>IF(A40="","",SUMIFS(Pantry!$C$5:$C$304,Pantry!$A$5:$A$304,A40))</f>
        <v>0</v>
      </c>
      <c r="M40" s="8">
        <f>IF(OR(A40="",C40=""),"",MAX(0,C40-L40))</f>
        <v>0</v>
      </c>
      <c r="N40" s="27"/>
      <c r="O40" s="27"/>
      <c r="P40" s="30"/>
      <c r="Q40" s="28"/>
      <c r="R40" s="8">
        <f>IF(OR(Q40="",H40=""),"",Q40-H40)</f>
        <v>0</v>
      </c>
      <c r="S40" s="8">
        <f>IF(M40="","",COUNTIFS($M$5:$M$304,"&gt;"&amp;M40)+1)</f>
        <v>0</v>
      </c>
      <c r="T40" s="8">
        <f>IF(H40="","",H40+ROW()/1000000)</f>
        <v>0</v>
      </c>
      <c r="U40" s="8">
        <f>IF(OR(N40&lt;&gt;"Yes",T40=""),"",COUNTIFS($N$5:$N$304,"Yes",$T$5:$T$304,"&lt;"&amp;T40)+1)</f>
        <v>0</v>
      </c>
      <c r="V40" s="8">
        <f>IF(A40="","",IF(O40="Yes","Bought",IF(M40&lt;=0,"Have it",IF(N40&lt;&gt;"Yes","Skip",IF(S40&lt;=10,"Must have","Nice to have")))))</f>
        <v>0</v>
      </c>
      <c r="W40" s="30"/>
      <c r="X40" s="8">
        <f>IF(A40="","",IFERROR(INDEX('Recipe Ingredients'!$A$5:$A$1204,MATCH(A40,'Recipe Ingredients'!$B$5:$B$1204,0)),""))</f>
        <v>0</v>
      </c>
      <c r="Y40" s="8">
        <f>IF(A40="","",IFERROR(INDEX(Ingredients!$O$5:$O$304,MATCH(A40,Ingredients!$A$5:$A$304,0)),""))</f>
        <v>0</v>
      </c>
      <c r="Z40" s="8">
        <f>IF(A40="","",IF(O40="Yes","Bought",IF(N40="Yes","To buy","Not needed")))</f>
        <v>0</v>
      </c>
      <c r="AA40" s="25"/>
    </row>
    <row r="41" spans="1:27">
      <c r="A41" s="7"/>
      <c r="B41" s="8">
        <f>IF(A41="","",IFERROR(INDEX(Ingredients!$B$5:$B$304,MATCH(A41,Ingredients!$A$5:$A$304,0)),""))</f>
        <v>0</v>
      </c>
      <c r="C41" s="26"/>
      <c r="D41" s="27"/>
      <c r="E41" s="27"/>
      <c r="F41" s="7"/>
      <c r="G41" s="8">
        <f>IF(A41="","",IFERROR(INDEX(Ingredients!$D$5:$D$304,MATCH(A41,Ingredients!$A$5:$A$304,0)),""))</f>
        <v>0</v>
      </c>
      <c r="H41" s="8">
        <f>IF(OR(A41="",C41="",G41=""),"",C41*G41)</f>
        <v>0</v>
      </c>
      <c r="I41" s="26"/>
      <c r="J41" s="8">
        <f>IF(OR(C41="",I41="",I41=0),"",CEILING(C41/I41,1))</f>
        <v>0</v>
      </c>
      <c r="K41" s="8">
        <f>IF(OR(J41="",I41="",G41=""),"",J41*I41*G41)</f>
        <v>0</v>
      </c>
      <c r="L41" s="8">
        <f>IF(A41="","",SUMIFS(Pantry!$C$5:$C$304,Pantry!$A$5:$A$304,A41))</f>
        <v>0</v>
      </c>
      <c r="M41" s="8">
        <f>IF(OR(A41="",C41=""),"",MAX(0,C41-L41))</f>
        <v>0</v>
      </c>
      <c r="N41" s="27"/>
      <c r="O41" s="27"/>
      <c r="P41" s="30"/>
      <c r="Q41" s="28"/>
      <c r="R41" s="8">
        <f>IF(OR(Q41="",H41=""),"",Q41-H41)</f>
        <v>0</v>
      </c>
      <c r="S41" s="8">
        <f>IF(M41="","",COUNTIFS($M$5:$M$304,"&gt;"&amp;M41)+1)</f>
        <v>0</v>
      </c>
      <c r="T41" s="8">
        <f>IF(H41="","",H41+ROW()/1000000)</f>
        <v>0</v>
      </c>
      <c r="U41" s="8">
        <f>IF(OR(N41&lt;&gt;"Yes",T41=""),"",COUNTIFS($N$5:$N$304,"Yes",$T$5:$T$304,"&lt;"&amp;T41)+1)</f>
        <v>0</v>
      </c>
      <c r="V41" s="8">
        <f>IF(A41="","",IF(O41="Yes","Bought",IF(M41&lt;=0,"Have it",IF(N41&lt;&gt;"Yes","Skip",IF(S41&lt;=10,"Must have","Nice to have")))))</f>
        <v>0</v>
      </c>
      <c r="W41" s="30"/>
      <c r="X41" s="8">
        <f>IF(A41="","",IFERROR(INDEX('Recipe Ingredients'!$A$5:$A$1204,MATCH(A41,'Recipe Ingredients'!$B$5:$B$1204,0)),""))</f>
        <v>0</v>
      </c>
      <c r="Y41" s="8">
        <f>IF(A41="","",IFERROR(INDEX(Ingredients!$O$5:$O$304,MATCH(A41,Ingredients!$A$5:$A$304,0)),""))</f>
        <v>0</v>
      </c>
      <c r="Z41" s="8">
        <f>IF(A41="","",IF(O41="Yes","Bought",IF(N41="Yes","To buy","Not needed")))</f>
        <v>0</v>
      </c>
      <c r="AA41" s="25"/>
    </row>
    <row r="42" spans="1:27">
      <c r="A42" s="7"/>
      <c r="B42" s="8">
        <f>IF(A42="","",IFERROR(INDEX(Ingredients!$B$5:$B$304,MATCH(A42,Ingredients!$A$5:$A$304,0)),""))</f>
        <v>0</v>
      </c>
      <c r="C42" s="26"/>
      <c r="D42" s="27"/>
      <c r="E42" s="27"/>
      <c r="F42" s="7"/>
      <c r="G42" s="8">
        <f>IF(A42="","",IFERROR(INDEX(Ingredients!$D$5:$D$304,MATCH(A42,Ingredients!$A$5:$A$304,0)),""))</f>
        <v>0</v>
      </c>
      <c r="H42" s="8">
        <f>IF(OR(A42="",C42="",G42=""),"",C42*G42)</f>
        <v>0</v>
      </c>
      <c r="I42" s="26"/>
      <c r="J42" s="8">
        <f>IF(OR(C42="",I42="",I42=0),"",CEILING(C42/I42,1))</f>
        <v>0</v>
      </c>
      <c r="K42" s="8">
        <f>IF(OR(J42="",I42="",G42=""),"",J42*I42*G42)</f>
        <v>0</v>
      </c>
      <c r="L42" s="8">
        <f>IF(A42="","",SUMIFS(Pantry!$C$5:$C$304,Pantry!$A$5:$A$304,A42))</f>
        <v>0</v>
      </c>
      <c r="M42" s="8">
        <f>IF(OR(A42="",C42=""),"",MAX(0,C42-L42))</f>
        <v>0</v>
      </c>
      <c r="N42" s="27"/>
      <c r="O42" s="27"/>
      <c r="P42" s="30"/>
      <c r="Q42" s="28"/>
      <c r="R42" s="8">
        <f>IF(OR(Q42="",H42=""),"",Q42-H42)</f>
        <v>0</v>
      </c>
      <c r="S42" s="8">
        <f>IF(M42="","",COUNTIFS($M$5:$M$304,"&gt;"&amp;M42)+1)</f>
        <v>0</v>
      </c>
      <c r="T42" s="8">
        <f>IF(H42="","",H42+ROW()/1000000)</f>
        <v>0</v>
      </c>
      <c r="U42" s="8">
        <f>IF(OR(N42&lt;&gt;"Yes",T42=""),"",COUNTIFS($N$5:$N$304,"Yes",$T$5:$T$304,"&lt;"&amp;T42)+1)</f>
        <v>0</v>
      </c>
      <c r="V42" s="8">
        <f>IF(A42="","",IF(O42="Yes","Bought",IF(M42&lt;=0,"Have it",IF(N42&lt;&gt;"Yes","Skip",IF(S42&lt;=10,"Must have","Nice to have")))))</f>
        <v>0</v>
      </c>
      <c r="W42" s="30"/>
      <c r="X42" s="8">
        <f>IF(A42="","",IFERROR(INDEX('Recipe Ingredients'!$A$5:$A$1204,MATCH(A42,'Recipe Ingredients'!$B$5:$B$1204,0)),""))</f>
        <v>0</v>
      </c>
      <c r="Y42" s="8">
        <f>IF(A42="","",IFERROR(INDEX(Ingredients!$O$5:$O$304,MATCH(A42,Ingredients!$A$5:$A$304,0)),""))</f>
        <v>0</v>
      </c>
      <c r="Z42" s="8">
        <f>IF(A42="","",IF(O42="Yes","Bought",IF(N42="Yes","To buy","Not needed")))</f>
        <v>0</v>
      </c>
      <c r="AA42" s="25"/>
    </row>
    <row r="43" spans="1:27">
      <c r="A43" s="7"/>
      <c r="B43" s="8">
        <f>IF(A43="","",IFERROR(INDEX(Ingredients!$B$5:$B$304,MATCH(A43,Ingredients!$A$5:$A$304,0)),""))</f>
        <v>0</v>
      </c>
      <c r="C43" s="26"/>
      <c r="D43" s="27"/>
      <c r="E43" s="27"/>
      <c r="F43" s="7"/>
      <c r="G43" s="8">
        <f>IF(A43="","",IFERROR(INDEX(Ingredients!$D$5:$D$304,MATCH(A43,Ingredients!$A$5:$A$304,0)),""))</f>
        <v>0</v>
      </c>
      <c r="H43" s="8">
        <f>IF(OR(A43="",C43="",G43=""),"",C43*G43)</f>
        <v>0</v>
      </c>
      <c r="I43" s="26"/>
      <c r="J43" s="8">
        <f>IF(OR(C43="",I43="",I43=0),"",CEILING(C43/I43,1))</f>
        <v>0</v>
      </c>
      <c r="K43" s="8">
        <f>IF(OR(J43="",I43="",G43=""),"",J43*I43*G43)</f>
        <v>0</v>
      </c>
      <c r="L43" s="8">
        <f>IF(A43="","",SUMIFS(Pantry!$C$5:$C$304,Pantry!$A$5:$A$304,A43))</f>
        <v>0</v>
      </c>
      <c r="M43" s="8">
        <f>IF(OR(A43="",C43=""),"",MAX(0,C43-L43))</f>
        <v>0</v>
      </c>
      <c r="N43" s="27"/>
      <c r="O43" s="27"/>
      <c r="P43" s="30"/>
      <c r="Q43" s="28"/>
      <c r="R43" s="8">
        <f>IF(OR(Q43="",H43=""),"",Q43-H43)</f>
        <v>0</v>
      </c>
      <c r="S43" s="8">
        <f>IF(M43="","",COUNTIFS($M$5:$M$304,"&gt;"&amp;M43)+1)</f>
        <v>0</v>
      </c>
      <c r="T43" s="8">
        <f>IF(H43="","",H43+ROW()/1000000)</f>
        <v>0</v>
      </c>
      <c r="U43" s="8">
        <f>IF(OR(N43&lt;&gt;"Yes",T43=""),"",COUNTIFS($N$5:$N$304,"Yes",$T$5:$T$304,"&lt;"&amp;T43)+1)</f>
        <v>0</v>
      </c>
      <c r="V43" s="8">
        <f>IF(A43="","",IF(O43="Yes","Bought",IF(M43&lt;=0,"Have it",IF(N43&lt;&gt;"Yes","Skip",IF(S43&lt;=10,"Must have","Nice to have")))))</f>
        <v>0</v>
      </c>
      <c r="W43" s="30"/>
      <c r="X43" s="8">
        <f>IF(A43="","",IFERROR(INDEX('Recipe Ingredients'!$A$5:$A$1204,MATCH(A43,'Recipe Ingredients'!$B$5:$B$1204,0)),""))</f>
        <v>0</v>
      </c>
      <c r="Y43" s="8">
        <f>IF(A43="","",IFERROR(INDEX(Ingredients!$O$5:$O$304,MATCH(A43,Ingredients!$A$5:$A$304,0)),""))</f>
        <v>0</v>
      </c>
      <c r="Z43" s="8">
        <f>IF(A43="","",IF(O43="Yes","Bought",IF(N43="Yes","To buy","Not needed")))</f>
        <v>0</v>
      </c>
      <c r="AA43" s="25"/>
    </row>
    <row r="44" spans="1:27">
      <c r="A44" s="7"/>
      <c r="B44" s="8">
        <f>IF(A44="","",IFERROR(INDEX(Ingredients!$B$5:$B$304,MATCH(A44,Ingredients!$A$5:$A$304,0)),""))</f>
        <v>0</v>
      </c>
      <c r="C44" s="26"/>
      <c r="D44" s="27"/>
      <c r="E44" s="27"/>
      <c r="F44" s="7"/>
      <c r="G44" s="8">
        <f>IF(A44="","",IFERROR(INDEX(Ingredients!$D$5:$D$304,MATCH(A44,Ingredients!$A$5:$A$304,0)),""))</f>
        <v>0</v>
      </c>
      <c r="H44" s="8">
        <f>IF(OR(A44="",C44="",G44=""),"",C44*G44)</f>
        <v>0</v>
      </c>
      <c r="I44" s="26"/>
      <c r="J44" s="8">
        <f>IF(OR(C44="",I44="",I44=0),"",CEILING(C44/I44,1))</f>
        <v>0</v>
      </c>
      <c r="K44" s="8">
        <f>IF(OR(J44="",I44="",G44=""),"",J44*I44*G44)</f>
        <v>0</v>
      </c>
      <c r="L44" s="8">
        <f>IF(A44="","",SUMIFS(Pantry!$C$5:$C$304,Pantry!$A$5:$A$304,A44))</f>
        <v>0</v>
      </c>
      <c r="M44" s="8">
        <f>IF(OR(A44="",C44=""),"",MAX(0,C44-L44))</f>
        <v>0</v>
      </c>
      <c r="N44" s="27"/>
      <c r="O44" s="27"/>
      <c r="P44" s="30"/>
      <c r="Q44" s="28"/>
      <c r="R44" s="8">
        <f>IF(OR(Q44="",H44=""),"",Q44-H44)</f>
        <v>0</v>
      </c>
      <c r="S44" s="8">
        <f>IF(M44="","",COUNTIFS($M$5:$M$304,"&gt;"&amp;M44)+1)</f>
        <v>0</v>
      </c>
      <c r="T44" s="8">
        <f>IF(H44="","",H44+ROW()/1000000)</f>
        <v>0</v>
      </c>
      <c r="U44" s="8">
        <f>IF(OR(N44&lt;&gt;"Yes",T44=""),"",COUNTIFS($N$5:$N$304,"Yes",$T$5:$T$304,"&lt;"&amp;T44)+1)</f>
        <v>0</v>
      </c>
      <c r="V44" s="8">
        <f>IF(A44="","",IF(O44="Yes","Bought",IF(M44&lt;=0,"Have it",IF(N44&lt;&gt;"Yes","Skip",IF(S44&lt;=10,"Must have","Nice to have")))))</f>
        <v>0</v>
      </c>
      <c r="W44" s="30"/>
      <c r="X44" s="8">
        <f>IF(A44="","",IFERROR(INDEX('Recipe Ingredients'!$A$5:$A$1204,MATCH(A44,'Recipe Ingredients'!$B$5:$B$1204,0)),""))</f>
        <v>0</v>
      </c>
      <c r="Y44" s="8">
        <f>IF(A44="","",IFERROR(INDEX(Ingredients!$O$5:$O$304,MATCH(A44,Ingredients!$A$5:$A$304,0)),""))</f>
        <v>0</v>
      </c>
      <c r="Z44" s="8">
        <f>IF(A44="","",IF(O44="Yes","Bought",IF(N44="Yes","To buy","Not needed")))</f>
        <v>0</v>
      </c>
      <c r="AA44" s="25"/>
    </row>
    <row r="45" spans="1:27">
      <c r="A45" s="7"/>
      <c r="B45" s="8">
        <f>IF(A45="","",IFERROR(INDEX(Ingredients!$B$5:$B$304,MATCH(A45,Ingredients!$A$5:$A$304,0)),""))</f>
        <v>0</v>
      </c>
      <c r="C45" s="26"/>
      <c r="D45" s="27"/>
      <c r="E45" s="27"/>
      <c r="F45" s="7"/>
      <c r="G45" s="8">
        <f>IF(A45="","",IFERROR(INDEX(Ingredients!$D$5:$D$304,MATCH(A45,Ingredients!$A$5:$A$304,0)),""))</f>
        <v>0</v>
      </c>
      <c r="H45" s="8">
        <f>IF(OR(A45="",C45="",G45=""),"",C45*G45)</f>
        <v>0</v>
      </c>
      <c r="I45" s="26"/>
      <c r="J45" s="8">
        <f>IF(OR(C45="",I45="",I45=0),"",CEILING(C45/I45,1))</f>
        <v>0</v>
      </c>
      <c r="K45" s="8">
        <f>IF(OR(J45="",I45="",G45=""),"",J45*I45*G45)</f>
        <v>0</v>
      </c>
      <c r="L45" s="8">
        <f>IF(A45="","",SUMIFS(Pantry!$C$5:$C$304,Pantry!$A$5:$A$304,A45))</f>
        <v>0</v>
      </c>
      <c r="M45" s="8">
        <f>IF(OR(A45="",C45=""),"",MAX(0,C45-L45))</f>
        <v>0</v>
      </c>
      <c r="N45" s="27"/>
      <c r="O45" s="27"/>
      <c r="P45" s="30"/>
      <c r="Q45" s="28"/>
      <c r="R45" s="8">
        <f>IF(OR(Q45="",H45=""),"",Q45-H45)</f>
        <v>0</v>
      </c>
      <c r="S45" s="8">
        <f>IF(M45="","",COUNTIFS($M$5:$M$304,"&gt;"&amp;M45)+1)</f>
        <v>0</v>
      </c>
      <c r="T45" s="8">
        <f>IF(H45="","",H45+ROW()/1000000)</f>
        <v>0</v>
      </c>
      <c r="U45" s="8">
        <f>IF(OR(N45&lt;&gt;"Yes",T45=""),"",COUNTIFS($N$5:$N$304,"Yes",$T$5:$T$304,"&lt;"&amp;T45)+1)</f>
        <v>0</v>
      </c>
      <c r="V45" s="8">
        <f>IF(A45="","",IF(O45="Yes","Bought",IF(M45&lt;=0,"Have it",IF(N45&lt;&gt;"Yes","Skip",IF(S45&lt;=10,"Must have","Nice to have")))))</f>
        <v>0</v>
      </c>
      <c r="W45" s="30"/>
      <c r="X45" s="8">
        <f>IF(A45="","",IFERROR(INDEX('Recipe Ingredients'!$A$5:$A$1204,MATCH(A45,'Recipe Ingredients'!$B$5:$B$1204,0)),""))</f>
        <v>0</v>
      </c>
      <c r="Y45" s="8">
        <f>IF(A45="","",IFERROR(INDEX(Ingredients!$O$5:$O$304,MATCH(A45,Ingredients!$A$5:$A$304,0)),""))</f>
        <v>0</v>
      </c>
      <c r="Z45" s="8">
        <f>IF(A45="","",IF(O45="Yes","Bought",IF(N45="Yes","To buy","Not needed")))</f>
        <v>0</v>
      </c>
      <c r="AA45" s="25"/>
    </row>
    <row r="46" spans="1:27">
      <c r="A46" s="7"/>
      <c r="B46" s="8">
        <f>IF(A46="","",IFERROR(INDEX(Ingredients!$B$5:$B$304,MATCH(A46,Ingredients!$A$5:$A$304,0)),""))</f>
        <v>0</v>
      </c>
      <c r="C46" s="26"/>
      <c r="D46" s="27"/>
      <c r="E46" s="27"/>
      <c r="F46" s="7"/>
      <c r="G46" s="8">
        <f>IF(A46="","",IFERROR(INDEX(Ingredients!$D$5:$D$304,MATCH(A46,Ingredients!$A$5:$A$304,0)),""))</f>
        <v>0</v>
      </c>
      <c r="H46" s="8">
        <f>IF(OR(A46="",C46="",G46=""),"",C46*G46)</f>
        <v>0</v>
      </c>
      <c r="I46" s="26"/>
      <c r="J46" s="8">
        <f>IF(OR(C46="",I46="",I46=0),"",CEILING(C46/I46,1))</f>
        <v>0</v>
      </c>
      <c r="K46" s="8">
        <f>IF(OR(J46="",I46="",G46=""),"",J46*I46*G46)</f>
        <v>0</v>
      </c>
      <c r="L46" s="8">
        <f>IF(A46="","",SUMIFS(Pantry!$C$5:$C$304,Pantry!$A$5:$A$304,A46))</f>
        <v>0</v>
      </c>
      <c r="M46" s="8">
        <f>IF(OR(A46="",C46=""),"",MAX(0,C46-L46))</f>
        <v>0</v>
      </c>
      <c r="N46" s="27"/>
      <c r="O46" s="27"/>
      <c r="P46" s="30"/>
      <c r="Q46" s="28"/>
      <c r="R46" s="8">
        <f>IF(OR(Q46="",H46=""),"",Q46-H46)</f>
        <v>0</v>
      </c>
      <c r="S46" s="8">
        <f>IF(M46="","",COUNTIFS($M$5:$M$304,"&gt;"&amp;M46)+1)</f>
        <v>0</v>
      </c>
      <c r="T46" s="8">
        <f>IF(H46="","",H46+ROW()/1000000)</f>
        <v>0</v>
      </c>
      <c r="U46" s="8">
        <f>IF(OR(N46&lt;&gt;"Yes",T46=""),"",COUNTIFS($N$5:$N$304,"Yes",$T$5:$T$304,"&lt;"&amp;T46)+1)</f>
        <v>0</v>
      </c>
      <c r="V46" s="8">
        <f>IF(A46="","",IF(O46="Yes","Bought",IF(M46&lt;=0,"Have it",IF(N46&lt;&gt;"Yes","Skip",IF(S46&lt;=10,"Must have","Nice to have")))))</f>
        <v>0</v>
      </c>
      <c r="W46" s="30"/>
      <c r="X46" s="8">
        <f>IF(A46="","",IFERROR(INDEX('Recipe Ingredients'!$A$5:$A$1204,MATCH(A46,'Recipe Ingredients'!$B$5:$B$1204,0)),""))</f>
        <v>0</v>
      </c>
      <c r="Y46" s="8">
        <f>IF(A46="","",IFERROR(INDEX(Ingredients!$O$5:$O$304,MATCH(A46,Ingredients!$A$5:$A$304,0)),""))</f>
        <v>0</v>
      </c>
      <c r="Z46" s="8">
        <f>IF(A46="","",IF(O46="Yes","Bought",IF(N46="Yes","To buy","Not needed")))</f>
        <v>0</v>
      </c>
      <c r="AA46" s="25"/>
    </row>
    <row r="47" spans="1:27">
      <c r="A47" s="7"/>
      <c r="B47" s="8">
        <f>IF(A47="","",IFERROR(INDEX(Ingredients!$B$5:$B$304,MATCH(A47,Ingredients!$A$5:$A$304,0)),""))</f>
        <v>0</v>
      </c>
      <c r="C47" s="26"/>
      <c r="D47" s="27"/>
      <c r="E47" s="27"/>
      <c r="F47" s="7"/>
      <c r="G47" s="8">
        <f>IF(A47="","",IFERROR(INDEX(Ingredients!$D$5:$D$304,MATCH(A47,Ingredients!$A$5:$A$304,0)),""))</f>
        <v>0</v>
      </c>
      <c r="H47" s="8">
        <f>IF(OR(A47="",C47="",G47=""),"",C47*G47)</f>
        <v>0</v>
      </c>
      <c r="I47" s="26"/>
      <c r="J47" s="8">
        <f>IF(OR(C47="",I47="",I47=0),"",CEILING(C47/I47,1))</f>
        <v>0</v>
      </c>
      <c r="K47" s="8">
        <f>IF(OR(J47="",I47="",G47=""),"",J47*I47*G47)</f>
        <v>0</v>
      </c>
      <c r="L47" s="8">
        <f>IF(A47="","",SUMIFS(Pantry!$C$5:$C$304,Pantry!$A$5:$A$304,A47))</f>
        <v>0</v>
      </c>
      <c r="M47" s="8">
        <f>IF(OR(A47="",C47=""),"",MAX(0,C47-L47))</f>
        <v>0</v>
      </c>
      <c r="N47" s="27"/>
      <c r="O47" s="27"/>
      <c r="P47" s="30"/>
      <c r="Q47" s="28"/>
      <c r="R47" s="8">
        <f>IF(OR(Q47="",H47=""),"",Q47-H47)</f>
        <v>0</v>
      </c>
      <c r="S47" s="8">
        <f>IF(M47="","",COUNTIFS($M$5:$M$304,"&gt;"&amp;M47)+1)</f>
        <v>0</v>
      </c>
      <c r="T47" s="8">
        <f>IF(H47="","",H47+ROW()/1000000)</f>
        <v>0</v>
      </c>
      <c r="U47" s="8">
        <f>IF(OR(N47&lt;&gt;"Yes",T47=""),"",COUNTIFS($N$5:$N$304,"Yes",$T$5:$T$304,"&lt;"&amp;T47)+1)</f>
        <v>0</v>
      </c>
      <c r="V47" s="8">
        <f>IF(A47="","",IF(O47="Yes","Bought",IF(M47&lt;=0,"Have it",IF(N47&lt;&gt;"Yes","Skip",IF(S47&lt;=10,"Must have","Nice to have")))))</f>
        <v>0</v>
      </c>
      <c r="W47" s="30"/>
      <c r="X47" s="8">
        <f>IF(A47="","",IFERROR(INDEX('Recipe Ingredients'!$A$5:$A$1204,MATCH(A47,'Recipe Ingredients'!$B$5:$B$1204,0)),""))</f>
        <v>0</v>
      </c>
      <c r="Y47" s="8">
        <f>IF(A47="","",IFERROR(INDEX(Ingredients!$O$5:$O$304,MATCH(A47,Ingredients!$A$5:$A$304,0)),""))</f>
        <v>0</v>
      </c>
      <c r="Z47" s="8">
        <f>IF(A47="","",IF(O47="Yes","Bought",IF(N47="Yes","To buy","Not needed")))</f>
        <v>0</v>
      </c>
      <c r="AA47" s="25"/>
    </row>
    <row r="48" spans="1:27">
      <c r="A48" s="7"/>
      <c r="B48" s="8">
        <f>IF(A48="","",IFERROR(INDEX(Ingredients!$B$5:$B$304,MATCH(A48,Ingredients!$A$5:$A$304,0)),""))</f>
        <v>0</v>
      </c>
      <c r="C48" s="26"/>
      <c r="D48" s="27"/>
      <c r="E48" s="27"/>
      <c r="F48" s="7"/>
      <c r="G48" s="8">
        <f>IF(A48="","",IFERROR(INDEX(Ingredients!$D$5:$D$304,MATCH(A48,Ingredients!$A$5:$A$304,0)),""))</f>
        <v>0</v>
      </c>
      <c r="H48" s="8">
        <f>IF(OR(A48="",C48="",G48=""),"",C48*G48)</f>
        <v>0</v>
      </c>
      <c r="I48" s="26"/>
      <c r="J48" s="8">
        <f>IF(OR(C48="",I48="",I48=0),"",CEILING(C48/I48,1))</f>
        <v>0</v>
      </c>
      <c r="K48" s="8">
        <f>IF(OR(J48="",I48="",G48=""),"",J48*I48*G48)</f>
        <v>0</v>
      </c>
      <c r="L48" s="8">
        <f>IF(A48="","",SUMIFS(Pantry!$C$5:$C$304,Pantry!$A$5:$A$304,A48))</f>
        <v>0</v>
      </c>
      <c r="M48" s="8">
        <f>IF(OR(A48="",C48=""),"",MAX(0,C48-L48))</f>
        <v>0</v>
      </c>
      <c r="N48" s="27"/>
      <c r="O48" s="27"/>
      <c r="P48" s="30"/>
      <c r="Q48" s="28"/>
      <c r="R48" s="8">
        <f>IF(OR(Q48="",H48=""),"",Q48-H48)</f>
        <v>0</v>
      </c>
      <c r="S48" s="8">
        <f>IF(M48="","",COUNTIFS($M$5:$M$304,"&gt;"&amp;M48)+1)</f>
        <v>0</v>
      </c>
      <c r="T48" s="8">
        <f>IF(H48="","",H48+ROW()/1000000)</f>
        <v>0</v>
      </c>
      <c r="U48" s="8">
        <f>IF(OR(N48&lt;&gt;"Yes",T48=""),"",COUNTIFS($N$5:$N$304,"Yes",$T$5:$T$304,"&lt;"&amp;T48)+1)</f>
        <v>0</v>
      </c>
      <c r="V48" s="8">
        <f>IF(A48="","",IF(O48="Yes","Bought",IF(M48&lt;=0,"Have it",IF(N48&lt;&gt;"Yes","Skip",IF(S48&lt;=10,"Must have","Nice to have")))))</f>
        <v>0</v>
      </c>
      <c r="W48" s="30"/>
      <c r="X48" s="8">
        <f>IF(A48="","",IFERROR(INDEX('Recipe Ingredients'!$A$5:$A$1204,MATCH(A48,'Recipe Ingredients'!$B$5:$B$1204,0)),""))</f>
        <v>0</v>
      </c>
      <c r="Y48" s="8">
        <f>IF(A48="","",IFERROR(INDEX(Ingredients!$O$5:$O$304,MATCH(A48,Ingredients!$A$5:$A$304,0)),""))</f>
        <v>0</v>
      </c>
      <c r="Z48" s="8">
        <f>IF(A48="","",IF(O48="Yes","Bought",IF(N48="Yes","To buy","Not needed")))</f>
        <v>0</v>
      </c>
      <c r="AA48" s="25"/>
    </row>
    <row r="49" spans="1:27">
      <c r="A49" s="7"/>
      <c r="B49" s="8">
        <f>IF(A49="","",IFERROR(INDEX(Ingredients!$B$5:$B$304,MATCH(A49,Ingredients!$A$5:$A$304,0)),""))</f>
        <v>0</v>
      </c>
      <c r="C49" s="26"/>
      <c r="D49" s="27"/>
      <c r="E49" s="27"/>
      <c r="F49" s="7"/>
      <c r="G49" s="8">
        <f>IF(A49="","",IFERROR(INDEX(Ingredients!$D$5:$D$304,MATCH(A49,Ingredients!$A$5:$A$304,0)),""))</f>
        <v>0</v>
      </c>
      <c r="H49" s="8">
        <f>IF(OR(A49="",C49="",G49=""),"",C49*G49)</f>
        <v>0</v>
      </c>
      <c r="I49" s="26"/>
      <c r="J49" s="8">
        <f>IF(OR(C49="",I49="",I49=0),"",CEILING(C49/I49,1))</f>
        <v>0</v>
      </c>
      <c r="K49" s="8">
        <f>IF(OR(J49="",I49="",G49=""),"",J49*I49*G49)</f>
        <v>0</v>
      </c>
      <c r="L49" s="8">
        <f>IF(A49="","",SUMIFS(Pantry!$C$5:$C$304,Pantry!$A$5:$A$304,A49))</f>
        <v>0</v>
      </c>
      <c r="M49" s="8">
        <f>IF(OR(A49="",C49=""),"",MAX(0,C49-L49))</f>
        <v>0</v>
      </c>
      <c r="N49" s="27"/>
      <c r="O49" s="27"/>
      <c r="P49" s="30"/>
      <c r="Q49" s="28"/>
      <c r="R49" s="8">
        <f>IF(OR(Q49="",H49=""),"",Q49-H49)</f>
        <v>0</v>
      </c>
      <c r="S49" s="8">
        <f>IF(M49="","",COUNTIFS($M$5:$M$304,"&gt;"&amp;M49)+1)</f>
        <v>0</v>
      </c>
      <c r="T49" s="8">
        <f>IF(H49="","",H49+ROW()/1000000)</f>
        <v>0</v>
      </c>
      <c r="U49" s="8">
        <f>IF(OR(N49&lt;&gt;"Yes",T49=""),"",COUNTIFS($N$5:$N$304,"Yes",$T$5:$T$304,"&lt;"&amp;T49)+1)</f>
        <v>0</v>
      </c>
      <c r="V49" s="8">
        <f>IF(A49="","",IF(O49="Yes","Bought",IF(M49&lt;=0,"Have it",IF(N49&lt;&gt;"Yes","Skip",IF(S49&lt;=10,"Must have","Nice to have")))))</f>
        <v>0</v>
      </c>
      <c r="W49" s="30"/>
      <c r="X49" s="8">
        <f>IF(A49="","",IFERROR(INDEX('Recipe Ingredients'!$A$5:$A$1204,MATCH(A49,'Recipe Ingredients'!$B$5:$B$1204,0)),""))</f>
        <v>0</v>
      </c>
      <c r="Y49" s="8">
        <f>IF(A49="","",IFERROR(INDEX(Ingredients!$O$5:$O$304,MATCH(A49,Ingredients!$A$5:$A$304,0)),""))</f>
        <v>0</v>
      </c>
      <c r="Z49" s="8">
        <f>IF(A49="","",IF(O49="Yes","Bought",IF(N49="Yes","To buy","Not needed")))</f>
        <v>0</v>
      </c>
      <c r="AA49" s="25"/>
    </row>
    <row r="50" spans="1:27">
      <c r="A50" s="7"/>
      <c r="B50" s="8">
        <f>IF(A50="","",IFERROR(INDEX(Ingredients!$B$5:$B$304,MATCH(A50,Ingredients!$A$5:$A$304,0)),""))</f>
        <v>0</v>
      </c>
      <c r="C50" s="26"/>
      <c r="D50" s="27"/>
      <c r="E50" s="27"/>
      <c r="F50" s="7"/>
      <c r="G50" s="8">
        <f>IF(A50="","",IFERROR(INDEX(Ingredients!$D$5:$D$304,MATCH(A50,Ingredients!$A$5:$A$304,0)),""))</f>
        <v>0</v>
      </c>
      <c r="H50" s="8">
        <f>IF(OR(A50="",C50="",G50=""),"",C50*G50)</f>
        <v>0</v>
      </c>
      <c r="I50" s="26"/>
      <c r="J50" s="8">
        <f>IF(OR(C50="",I50="",I50=0),"",CEILING(C50/I50,1))</f>
        <v>0</v>
      </c>
      <c r="K50" s="8">
        <f>IF(OR(J50="",I50="",G50=""),"",J50*I50*G50)</f>
        <v>0</v>
      </c>
      <c r="L50" s="8">
        <f>IF(A50="","",SUMIFS(Pantry!$C$5:$C$304,Pantry!$A$5:$A$304,A50))</f>
        <v>0</v>
      </c>
      <c r="M50" s="8">
        <f>IF(OR(A50="",C50=""),"",MAX(0,C50-L50))</f>
        <v>0</v>
      </c>
      <c r="N50" s="27"/>
      <c r="O50" s="27"/>
      <c r="P50" s="30"/>
      <c r="Q50" s="28"/>
      <c r="R50" s="8">
        <f>IF(OR(Q50="",H50=""),"",Q50-H50)</f>
        <v>0</v>
      </c>
      <c r="S50" s="8">
        <f>IF(M50="","",COUNTIFS($M$5:$M$304,"&gt;"&amp;M50)+1)</f>
        <v>0</v>
      </c>
      <c r="T50" s="8">
        <f>IF(H50="","",H50+ROW()/1000000)</f>
        <v>0</v>
      </c>
      <c r="U50" s="8">
        <f>IF(OR(N50&lt;&gt;"Yes",T50=""),"",COUNTIFS($N$5:$N$304,"Yes",$T$5:$T$304,"&lt;"&amp;T50)+1)</f>
        <v>0</v>
      </c>
      <c r="V50" s="8">
        <f>IF(A50="","",IF(O50="Yes","Bought",IF(M50&lt;=0,"Have it",IF(N50&lt;&gt;"Yes","Skip",IF(S50&lt;=10,"Must have","Nice to have")))))</f>
        <v>0</v>
      </c>
      <c r="W50" s="30"/>
      <c r="X50" s="8">
        <f>IF(A50="","",IFERROR(INDEX('Recipe Ingredients'!$A$5:$A$1204,MATCH(A50,'Recipe Ingredients'!$B$5:$B$1204,0)),""))</f>
        <v>0</v>
      </c>
      <c r="Y50" s="8">
        <f>IF(A50="","",IFERROR(INDEX(Ingredients!$O$5:$O$304,MATCH(A50,Ingredients!$A$5:$A$304,0)),""))</f>
        <v>0</v>
      </c>
      <c r="Z50" s="8">
        <f>IF(A50="","",IF(O50="Yes","Bought",IF(N50="Yes","To buy","Not needed")))</f>
        <v>0</v>
      </c>
      <c r="AA50" s="25"/>
    </row>
    <row r="51" spans="1:27">
      <c r="A51" s="7"/>
      <c r="B51" s="8">
        <f>IF(A51="","",IFERROR(INDEX(Ingredients!$B$5:$B$304,MATCH(A51,Ingredients!$A$5:$A$304,0)),""))</f>
        <v>0</v>
      </c>
      <c r="C51" s="26"/>
      <c r="D51" s="27"/>
      <c r="E51" s="27"/>
      <c r="F51" s="7"/>
      <c r="G51" s="8">
        <f>IF(A51="","",IFERROR(INDEX(Ingredients!$D$5:$D$304,MATCH(A51,Ingredients!$A$5:$A$304,0)),""))</f>
        <v>0</v>
      </c>
      <c r="H51" s="8">
        <f>IF(OR(A51="",C51="",G51=""),"",C51*G51)</f>
        <v>0</v>
      </c>
      <c r="I51" s="26"/>
      <c r="J51" s="8">
        <f>IF(OR(C51="",I51="",I51=0),"",CEILING(C51/I51,1))</f>
        <v>0</v>
      </c>
      <c r="K51" s="8">
        <f>IF(OR(J51="",I51="",G51=""),"",J51*I51*G51)</f>
        <v>0</v>
      </c>
      <c r="L51" s="8">
        <f>IF(A51="","",SUMIFS(Pantry!$C$5:$C$304,Pantry!$A$5:$A$304,A51))</f>
        <v>0</v>
      </c>
      <c r="M51" s="8">
        <f>IF(OR(A51="",C51=""),"",MAX(0,C51-L51))</f>
        <v>0</v>
      </c>
      <c r="N51" s="27"/>
      <c r="O51" s="27"/>
      <c r="P51" s="30"/>
      <c r="Q51" s="28"/>
      <c r="R51" s="8">
        <f>IF(OR(Q51="",H51=""),"",Q51-H51)</f>
        <v>0</v>
      </c>
      <c r="S51" s="8">
        <f>IF(M51="","",COUNTIFS($M$5:$M$304,"&gt;"&amp;M51)+1)</f>
        <v>0</v>
      </c>
      <c r="T51" s="8">
        <f>IF(H51="","",H51+ROW()/1000000)</f>
        <v>0</v>
      </c>
      <c r="U51" s="8">
        <f>IF(OR(N51&lt;&gt;"Yes",T51=""),"",COUNTIFS($N$5:$N$304,"Yes",$T$5:$T$304,"&lt;"&amp;T51)+1)</f>
        <v>0</v>
      </c>
      <c r="V51" s="8">
        <f>IF(A51="","",IF(O51="Yes","Bought",IF(M51&lt;=0,"Have it",IF(N51&lt;&gt;"Yes","Skip",IF(S51&lt;=10,"Must have","Nice to have")))))</f>
        <v>0</v>
      </c>
      <c r="W51" s="30"/>
      <c r="X51" s="8">
        <f>IF(A51="","",IFERROR(INDEX('Recipe Ingredients'!$A$5:$A$1204,MATCH(A51,'Recipe Ingredients'!$B$5:$B$1204,0)),""))</f>
        <v>0</v>
      </c>
      <c r="Y51" s="8">
        <f>IF(A51="","",IFERROR(INDEX(Ingredients!$O$5:$O$304,MATCH(A51,Ingredients!$A$5:$A$304,0)),""))</f>
        <v>0</v>
      </c>
      <c r="Z51" s="8">
        <f>IF(A51="","",IF(O51="Yes","Bought",IF(N51="Yes","To buy","Not needed")))</f>
        <v>0</v>
      </c>
      <c r="AA51" s="25"/>
    </row>
    <row r="52" spans="1:27">
      <c r="A52" s="7"/>
      <c r="B52" s="8">
        <f>IF(A52="","",IFERROR(INDEX(Ingredients!$B$5:$B$304,MATCH(A52,Ingredients!$A$5:$A$304,0)),""))</f>
        <v>0</v>
      </c>
      <c r="C52" s="26"/>
      <c r="D52" s="27"/>
      <c r="E52" s="27"/>
      <c r="F52" s="7"/>
      <c r="G52" s="8">
        <f>IF(A52="","",IFERROR(INDEX(Ingredients!$D$5:$D$304,MATCH(A52,Ingredients!$A$5:$A$304,0)),""))</f>
        <v>0</v>
      </c>
      <c r="H52" s="8">
        <f>IF(OR(A52="",C52="",G52=""),"",C52*G52)</f>
        <v>0</v>
      </c>
      <c r="I52" s="26"/>
      <c r="J52" s="8">
        <f>IF(OR(C52="",I52="",I52=0),"",CEILING(C52/I52,1))</f>
        <v>0</v>
      </c>
      <c r="K52" s="8">
        <f>IF(OR(J52="",I52="",G52=""),"",J52*I52*G52)</f>
        <v>0</v>
      </c>
      <c r="L52" s="8">
        <f>IF(A52="","",SUMIFS(Pantry!$C$5:$C$304,Pantry!$A$5:$A$304,A52))</f>
        <v>0</v>
      </c>
      <c r="M52" s="8">
        <f>IF(OR(A52="",C52=""),"",MAX(0,C52-L52))</f>
        <v>0</v>
      </c>
      <c r="N52" s="27"/>
      <c r="O52" s="27"/>
      <c r="P52" s="30"/>
      <c r="Q52" s="28"/>
      <c r="R52" s="8">
        <f>IF(OR(Q52="",H52=""),"",Q52-H52)</f>
        <v>0</v>
      </c>
      <c r="S52" s="8">
        <f>IF(M52="","",COUNTIFS($M$5:$M$304,"&gt;"&amp;M52)+1)</f>
        <v>0</v>
      </c>
      <c r="T52" s="8">
        <f>IF(H52="","",H52+ROW()/1000000)</f>
        <v>0</v>
      </c>
      <c r="U52" s="8">
        <f>IF(OR(N52&lt;&gt;"Yes",T52=""),"",COUNTIFS($N$5:$N$304,"Yes",$T$5:$T$304,"&lt;"&amp;T52)+1)</f>
        <v>0</v>
      </c>
      <c r="V52" s="8">
        <f>IF(A52="","",IF(O52="Yes","Bought",IF(M52&lt;=0,"Have it",IF(N52&lt;&gt;"Yes","Skip",IF(S52&lt;=10,"Must have","Nice to have")))))</f>
        <v>0</v>
      </c>
      <c r="W52" s="30"/>
      <c r="X52" s="8">
        <f>IF(A52="","",IFERROR(INDEX('Recipe Ingredients'!$A$5:$A$1204,MATCH(A52,'Recipe Ingredients'!$B$5:$B$1204,0)),""))</f>
        <v>0</v>
      </c>
      <c r="Y52" s="8">
        <f>IF(A52="","",IFERROR(INDEX(Ingredients!$O$5:$O$304,MATCH(A52,Ingredients!$A$5:$A$304,0)),""))</f>
        <v>0</v>
      </c>
      <c r="Z52" s="8">
        <f>IF(A52="","",IF(O52="Yes","Bought",IF(N52="Yes","To buy","Not needed")))</f>
        <v>0</v>
      </c>
      <c r="AA52" s="25"/>
    </row>
    <row r="53" spans="1:27">
      <c r="A53" s="7"/>
      <c r="B53" s="8">
        <f>IF(A53="","",IFERROR(INDEX(Ingredients!$B$5:$B$304,MATCH(A53,Ingredients!$A$5:$A$304,0)),""))</f>
        <v>0</v>
      </c>
      <c r="C53" s="26"/>
      <c r="D53" s="27"/>
      <c r="E53" s="27"/>
      <c r="F53" s="7"/>
      <c r="G53" s="8">
        <f>IF(A53="","",IFERROR(INDEX(Ingredients!$D$5:$D$304,MATCH(A53,Ingredients!$A$5:$A$304,0)),""))</f>
        <v>0</v>
      </c>
      <c r="H53" s="8">
        <f>IF(OR(A53="",C53="",G53=""),"",C53*G53)</f>
        <v>0</v>
      </c>
      <c r="I53" s="26"/>
      <c r="J53" s="8">
        <f>IF(OR(C53="",I53="",I53=0),"",CEILING(C53/I53,1))</f>
        <v>0</v>
      </c>
      <c r="K53" s="8">
        <f>IF(OR(J53="",I53="",G53=""),"",J53*I53*G53)</f>
        <v>0</v>
      </c>
      <c r="L53" s="8">
        <f>IF(A53="","",SUMIFS(Pantry!$C$5:$C$304,Pantry!$A$5:$A$304,A53))</f>
        <v>0</v>
      </c>
      <c r="M53" s="8">
        <f>IF(OR(A53="",C53=""),"",MAX(0,C53-L53))</f>
        <v>0</v>
      </c>
      <c r="N53" s="27"/>
      <c r="O53" s="27"/>
      <c r="P53" s="30"/>
      <c r="Q53" s="28"/>
      <c r="R53" s="8">
        <f>IF(OR(Q53="",H53=""),"",Q53-H53)</f>
        <v>0</v>
      </c>
      <c r="S53" s="8">
        <f>IF(M53="","",COUNTIFS($M$5:$M$304,"&gt;"&amp;M53)+1)</f>
        <v>0</v>
      </c>
      <c r="T53" s="8">
        <f>IF(H53="","",H53+ROW()/1000000)</f>
        <v>0</v>
      </c>
      <c r="U53" s="8">
        <f>IF(OR(N53&lt;&gt;"Yes",T53=""),"",COUNTIFS($N$5:$N$304,"Yes",$T$5:$T$304,"&lt;"&amp;T53)+1)</f>
        <v>0</v>
      </c>
      <c r="V53" s="8">
        <f>IF(A53="","",IF(O53="Yes","Bought",IF(M53&lt;=0,"Have it",IF(N53&lt;&gt;"Yes","Skip",IF(S53&lt;=10,"Must have","Nice to have")))))</f>
        <v>0</v>
      </c>
      <c r="W53" s="30"/>
      <c r="X53" s="8">
        <f>IF(A53="","",IFERROR(INDEX('Recipe Ingredients'!$A$5:$A$1204,MATCH(A53,'Recipe Ingredients'!$B$5:$B$1204,0)),""))</f>
        <v>0</v>
      </c>
      <c r="Y53" s="8">
        <f>IF(A53="","",IFERROR(INDEX(Ingredients!$O$5:$O$304,MATCH(A53,Ingredients!$A$5:$A$304,0)),""))</f>
        <v>0</v>
      </c>
      <c r="Z53" s="8">
        <f>IF(A53="","",IF(O53="Yes","Bought",IF(N53="Yes","To buy","Not needed")))</f>
        <v>0</v>
      </c>
      <c r="AA53" s="25"/>
    </row>
    <row r="54" spans="1:27">
      <c r="A54" s="7"/>
      <c r="B54" s="8">
        <f>IF(A54="","",IFERROR(INDEX(Ingredients!$B$5:$B$304,MATCH(A54,Ingredients!$A$5:$A$304,0)),""))</f>
        <v>0</v>
      </c>
      <c r="C54" s="26"/>
      <c r="D54" s="27"/>
      <c r="E54" s="27"/>
      <c r="F54" s="7"/>
      <c r="G54" s="8">
        <f>IF(A54="","",IFERROR(INDEX(Ingredients!$D$5:$D$304,MATCH(A54,Ingredients!$A$5:$A$304,0)),""))</f>
        <v>0</v>
      </c>
      <c r="H54" s="8">
        <f>IF(OR(A54="",C54="",G54=""),"",C54*G54)</f>
        <v>0</v>
      </c>
      <c r="I54" s="26"/>
      <c r="J54" s="8">
        <f>IF(OR(C54="",I54="",I54=0),"",CEILING(C54/I54,1))</f>
        <v>0</v>
      </c>
      <c r="K54" s="8">
        <f>IF(OR(J54="",I54="",G54=""),"",J54*I54*G54)</f>
        <v>0</v>
      </c>
      <c r="L54" s="8">
        <f>IF(A54="","",SUMIFS(Pantry!$C$5:$C$304,Pantry!$A$5:$A$304,A54))</f>
        <v>0</v>
      </c>
      <c r="M54" s="8">
        <f>IF(OR(A54="",C54=""),"",MAX(0,C54-L54))</f>
        <v>0</v>
      </c>
      <c r="N54" s="27"/>
      <c r="O54" s="27"/>
      <c r="P54" s="30"/>
      <c r="Q54" s="28"/>
      <c r="R54" s="8">
        <f>IF(OR(Q54="",H54=""),"",Q54-H54)</f>
        <v>0</v>
      </c>
      <c r="S54" s="8">
        <f>IF(M54="","",COUNTIFS($M$5:$M$304,"&gt;"&amp;M54)+1)</f>
        <v>0</v>
      </c>
      <c r="T54" s="8">
        <f>IF(H54="","",H54+ROW()/1000000)</f>
        <v>0</v>
      </c>
      <c r="U54" s="8">
        <f>IF(OR(N54&lt;&gt;"Yes",T54=""),"",COUNTIFS($N$5:$N$304,"Yes",$T$5:$T$304,"&lt;"&amp;T54)+1)</f>
        <v>0</v>
      </c>
      <c r="V54" s="8">
        <f>IF(A54="","",IF(O54="Yes","Bought",IF(M54&lt;=0,"Have it",IF(N54&lt;&gt;"Yes","Skip",IF(S54&lt;=10,"Must have","Nice to have")))))</f>
        <v>0</v>
      </c>
      <c r="W54" s="30"/>
      <c r="X54" s="8">
        <f>IF(A54="","",IFERROR(INDEX('Recipe Ingredients'!$A$5:$A$1204,MATCH(A54,'Recipe Ingredients'!$B$5:$B$1204,0)),""))</f>
        <v>0</v>
      </c>
      <c r="Y54" s="8">
        <f>IF(A54="","",IFERROR(INDEX(Ingredients!$O$5:$O$304,MATCH(A54,Ingredients!$A$5:$A$304,0)),""))</f>
        <v>0</v>
      </c>
      <c r="Z54" s="8">
        <f>IF(A54="","",IF(O54="Yes","Bought",IF(N54="Yes","To buy","Not needed")))</f>
        <v>0</v>
      </c>
      <c r="AA54" s="25"/>
    </row>
    <row r="55" spans="1:27">
      <c r="A55" s="7"/>
      <c r="B55" s="8">
        <f>IF(A55="","",IFERROR(INDEX(Ingredients!$B$5:$B$304,MATCH(A55,Ingredients!$A$5:$A$304,0)),""))</f>
        <v>0</v>
      </c>
      <c r="C55" s="26"/>
      <c r="D55" s="27"/>
      <c r="E55" s="27"/>
      <c r="F55" s="7"/>
      <c r="G55" s="8">
        <f>IF(A55="","",IFERROR(INDEX(Ingredients!$D$5:$D$304,MATCH(A55,Ingredients!$A$5:$A$304,0)),""))</f>
        <v>0</v>
      </c>
      <c r="H55" s="8">
        <f>IF(OR(A55="",C55="",G55=""),"",C55*G55)</f>
        <v>0</v>
      </c>
      <c r="I55" s="26"/>
      <c r="J55" s="8">
        <f>IF(OR(C55="",I55="",I55=0),"",CEILING(C55/I55,1))</f>
        <v>0</v>
      </c>
      <c r="K55" s="8">
        <f>IF(OR(J55="",I55="",G55=""),"",J55*I55*G55)</f>
        <v>0</v>
      </c>
      <c r="L55" s="8">
        <f>IF(A55="","",SUMIFS(Pantry!$C$5:$C$304,Pantry!$A$5:$A$304,A55))</f>
        <v>0</v>
      </c>
      <c r="M55" s="8">
        <f>IF(OR(A55="",C55=""),"",MAX(0,C55-L55))</f>
        <v>0</v>
      </c>
      <c r="N55" s="27"/>
      <c r="O55" s="27"/>
      <c r="P55" s="30"/>
      <c r="Q55" s="28"/>
      <c r="R55" s="8">
        <f>IF(OR(Q55="",H55=""),"",Q55-H55)</f>
        <v>0</v>
      </c>
      <c r="S55" s="8">
        <f>IF(M55="","",COUNTIFS($M$5:$M$304,"&gt;"&amp;M55)+1)</f>
        <v>0</v>
      </c>
      <c r="T55" s="8">
        <f>IF(H55="","",H55+ROW()/1000000)</f>
        <v>0</v>
      </c>
      <c r="U55" s="8">
        <f>IF(OR(N55&lt;&gt;"Yes",T55=""),"",COUNTIFS($N$5:$N$304,"Yes",$T$5:$T$304,"&lt;"&amp;T55)+1)</f>
        <v>0</v>
      </c>
      <c r="V55" s="8">
        <f>IF(A55="","",IF(O55="Yes","Bought",IF(M55&lt;=0,"Have it",IF(N55&lt;&gt;"Yes","Skip",IF(S55&lt;=10,"Must have","Nice to have")))))</f>
        <v>0</v>
      </c>
      <c r="W55" s="30"/>
      <c r="X55" s="8">
        <f>IF(A55="","",IFERROR(INDEX('Recipe Ingredients'!$A$5:$A$1204,MATCH(A55,'Recipe Ingredients'!$B$5:$B$1204,0)),""))</f>
        <v>0</v>
      </c>
      <c r="Y55" s="8">
        <f>IF(A55="","",IFERROR(INDEX(Ingredients!$O$5:$O$304,MATCH(A55,Ingredients!$A$5:$A$304,0)),""))</f>
        <v>0</v>
      </c>
      <c r="Z55" s="8">
        <f>IF(A55="","",IF(O55="Yes","Bought",IF(N55="Yes","To buy","Not needed")))</f>
        <v>0</v>
      </c>
      <c r="AA55" s="25"/>
    </row>
    <row r="56" spans="1:27">
      <c r="A56" s="7"/>
      <c r="B56" s="8">
        <f>IF(A56="","",IFERROR(INDEX(Ingredients!$B$5:$B$304,MATCH(A56,Ingredients!$A$5:$A$304,0)),""))</f>
        <v>0</v>
      </c>
      <c r="C56" s="26"/>
      <c r="D56" s="27"/>
      <c r="E56" s="27"/>
      <c r="F56" s="7"/>
      <c r="G56" s="8">
        <f>IF(A56="","",IFERROR(INDEX(Ingredients!$D$5:$D$304,MATCH(A56,Ingredients!$A$5:$A$304,0)),""))</f>
        <v>0</v>
      </c>
      <c r="H56" s="8">
        <f>IF(OR(A56="",C56="",G56=""),"",C56*G56)</f>
        <v>0</v>
      </c>
      <c r="I56" s="26"/>
      <c r="J56" s="8">
        <f>IF(OR(C56="",I56="",I56=0),"",CEILING(C56/I56,1))</f>
        <v>0</v>
      </c>
      <c r="K56" s="8">
        <f>IF(OR(J56="",I56="",G56=""),"",J56*I56*G56)</f>
        <v>0</v>
      </c>
      <c r="L56" s="8">
        <f>IF(A56="","",SUMIFS(Pantry!$C$5:$C$304,Pantry!$A$5:$A$304,A56))</f>
        <v>0</v>
      </c>
      <c r="M56" s="8">
        <f>IF(OR(A56="",C56=""),"",MAX(0,C56-L56))</f>
        <v>0</v>
      </c>
      <c r="N56" s="27"/>
      <c r="O56" s="27"/>
      <c r="P56" s="30"/>
      <c r="Q56" s="28"/>
      <c r="R56" s="8">
        <f>IF(OR(Q56="",H56=""),"",Q56-H56)</f>
        <v>0</v>
      </c>
      <c r="S56" s="8">
        <f>IF(M56="","",COUNTIFS($M$5:$M$304,"&gt;"&amp;M56)+1)</f>
        <v>0</v>
      </c>
      <c r="T56" s="8">
        <f>IF(H56="","",H56+ROW()/1000000)</f>
        <v>0</v>
      </c>
      <c r="U56" s="8">
        <f>IF(OR(N56&lt;&gt;"Yes",T56=""),"",COUNTIFS($N$5:$N$304,"Yes",$T$5:$T$304,"&lt;"&amp;T56)+1)</f>
        <v>0</v>
      </c>
      <c r="V56" s="8">
        <f>IF(A56="","",IF(O56="Yes","Bought",IF(M56&lt;=0,"Have it",IF(N56&lt;&gt;"Yes","Skip",IF(S56&lt;=10,"Must have","Nice to have")))))</f>
        <v>0</v>
      </c>
      <c r="W56" s="30"/>
      <c r="X56" s="8">
        <f>IF(A56="","",IFERROR(INDEX('Recipe Ingredients'!$A$5:$A$1204,MATCH(A56,'Recipe Ingredients'!$B$5:$B$1204,0)),""))</f>
        <v>0</v>
      </c>
      <c r="Y56" s="8">
        <f>IF(A56="","",IFERROR(INDEX(Ingredients!$O$5:$O$304,MATCH(A56,Ingredients!$A$5:$A$304,0)),""))</f>
        <v>0</v>
      </c>
      <c r="Z56" s="8">
        <f>IF(A56="","",IF(O56="Yes","Bought",IF(N56="Yes","To buy","Not needed")))</f>
        <v>0</v>
      </c>
      <c r="AA56" s="25"/>
    </row>
    <row r="57" spans="1:27">
      <c r="A57" s="7"/>
      <c r="B57" s="8">
        <f>IF(A57="","",IFERROR(INDEX(Ingredients!$B$5:$B$304,MATCH(A57,Ingredients!$A$5:$A$304,0)),""))</f>
        <v>0</v>
      </c>
      <c r="C57" s="26"/>
      <c r="D57" s="27"/>
      <c r="E57" s="27"/>
      <c r="F57" s="7"/>
      <c r="G57" s="8">
        <f>IF(A57="","",IFERROR(INDEX(Ingredients!$D$5:$D$304,MATCH(A57,Ingredients!$A$5:$A$304,0)),""))</f>
        <v>0</v>
      </c>
      <c r="H57" s="8">
        <f>IF(OR(A57="",C57="",G57=""),"",C57*G57)</f>
        <v>0</v>
      </c>
      <c r="I57" s="26"/>
      <c r="J57" s="8">
        <f>IF(OR(C57="",I57="",I57=0),"",CEILING(C57/I57,1))</f>
        <v>0</v>
      </c>
      <c r="K57" s="8">
        <f>IF(OR(J57="",I57="",G57=""),"",J57*I57*G57)</f>
        <v>0</v>
      </c>
      <c r="L57" s="8">
        <f>IF(A57="","",SUMIFS(Pantry!$C$5:$C$304,Pantry!$A$5:$A$304,A57))</f>
        <v>0</v>
      </c>
      <c r="M57" s="8">
        <f>IF(OR(A57="",C57=""),"",MAX(0,C57-L57))</f>
        <v>0</v>
      </c>
      <c r="N57" s="27"/>
      <c r="O57" s="27"/>
      <c r="P57" s="30"/>
      <c r="Q57" s="28"/>
      <c r="R57" s="8">
        <f>IF(OR(Q57="",H57=""),"",Q57-H57)</f>
        <v>0</v>
      </c>
      <c r="S57" s="8">
        <f>IF(M57="","",COUNTIFS($M$5:$M$304,"&gt;"&amp;M57)+1)</f>
        <v>0</v>
      </c>
      <c r="T57" s="8">
        <f>IF(H57="","",H57+ROW()/1000000)</f>
        <v>0</v>
      </c>
      <c r="U57" s="8">
        <f>IF(OR(N57&lt;&gt;"Yes",T57=""),"",COUNTIFS($N$5:$N$304,"Yes",$T$5:$T$304,"&lt;"&amp;T57)+1)</f>
        <v>0</v>
      </c>
      <c r="V57" s="8">
        <f>IF(A57="","",IF(O57="Yes","Bought",IF(M57&lt;=0,"Have it",IF(N57&lt;&gt;"Yes","Skip",IF(S57&lt;=10,"Must have","Nice to have")))))</f>
        <v>0</v>
      </c>
      <c r="W57" s="30"/>
      <c r="X57" s="8">
        <f>IF(A57="","",IFERROR(INDEX('Recipe Ingredients'!$A$5:$A$1204,MATCH(A57,'Recipe Ingredients'!$B$5:$B$1204,0)),""))</f>
        <v>0</v>
      </c>
      <c r="Y57" s="8">
        <f>IF(A57="","",IFERROR(INDEX(Ingredients!$O$5:$O$304,MATCH(A57,Ingredients!$A$5:$A$304,0)),""))</f>
        <v>0</v>
      </c>
      <c r="Z57" s="8">
        <f>IF(A57="","",IF(O57="Yes","Bought",IF(N57="Yes","To buy","Not needed")))</f>
        <v>0</v>
      </c>
      <c r="AA57" s="25"/>
    </row>
    <row r="58" spans="1:27">
      <c r="A58" s="7"/>
      <c r="B58" s="8">
        <f>IF(A58="","",IFERROR(INDEX(Ingredients!$B$5:$B$304,MATCH(A58,Ingredients!$A$5:$A$304,0)),""))</f>
        <v>0</v>
      </c>
      <c r="C58" s="26"/>
      <c r="D58" s="27"/>
      <c r="E58" s="27"/>
      <c r="F58" s="7"/>
      <c r="G58" s="8">
        <f>IF(A58="","",IFERROR(INDEX(Ingredients!$D$5:$D$304,MATCH(A58,Ingredients!$A$5:$A$304,0)),""))</f>
        <v>0</v>
      </c>
      <c r="H58" s="8">
        <f>IF(OR(A58="",C58="",G58=""),"",C58*G58)</f>
        <v>0</v>
      </c>
      <c r="I58" s="26"/>
      <c r="J58" s="8">
        <f>IF(OR(C58="",I58="",I58=0),"",CEILING(C58/I58,1))</f>
        <v>0</v>
      </c>
      <c r="K58" s="8">
        <f>IF(OR(J58="",I58="",G58=""),"",J58*I58*G58)</f>
        <v>0</v>
      </c>
      <c r="L58" s="8">
        <f>IF(A58="","",SUMIFS(Pantry!$C$5:$C$304,Pantry!$A$5:$A$304,A58))</f>
        <v>0</v>
      </c>
      <c r="M58" s="8">
        <f>IF(OR(A58="",C58=""),"",MAX(0,C58-L58))</f>
        <v>0</v>
      </c>
      <c r="N58" s="27"/>
      <c r="O58" s="27"/>
      <c r="P58" s="30"/>
      <c r="Q58" s="28"/>
      <c r="R58" s="8">
        <f>IF(OR(Q58="",H58=""),"",Q58-H58)</f>
        <v>0</v>
      </c>
      <c r="S58" s="8">
        <f>IF(M58="","",COUNTIFS($M$5:$M$304,"&gt;"&amp;M58)+1)</f>
        <v>0</v>
      </c>
      <c r="T58" s="8">
        <f>IF(H58="","",H58+ROW()/1000000)</f>
        <v>0</v>
      </c>
      <c r="U58" s="8">
        <f>IF(OR(N58&lt;&gt;"Yes",T58=""),"",COUNTIFS($N$5:$N$304,"Yes",$T$5:$T$304,"&lt;"&amp;T58)+1)</f>
        <v>0</v>
      </c>
      <c r="V58" s="8">
        <f>IF(A58="","",IF(O58="Yes","Bought",IF(M58&lt;=0,"Have it",IF(N58&lt;&gt;"Yes","Skip",IF(S58&lt;=10,"Must have","Nice to have")))))</f>
        <v>0</v>
      </c>
      <c r="W58" s="30"/>
      <c r="X58" s="8">
        <f>IF(A58="","",IFERROR(INDEX('Recipe Ingredients'!$A$5:$A$1204,MATCH(A58,'Recipe Ingredients'!$B$5:$B$1204,0)),""))</f>
        <v>0</v>
      </c>
      <c r="Y58" s="8">
        <f>IF(A58="","",IFERROR(INDEX(Ingredients!$O$5:$O$304,MATCH(A58,Ingredients!$A$5:$A$304,0)),""))</f>
        <v>0</v>
      </c>
      <c r="Z58" s="8">
        <f>IF(A58="","",IF(O58="Yes","Bought",IF(N58="Yes","To buy","Not needed")))</f>
        <v>0</v>
      </c>
      <c r="AA58" s="25"/>
    </row>
    <row r="59" spans="1:27">
      <c r="A59" s="7"/>
      <c r="B59" s="8">
        <f>IF(A59="","",IFERROR(INDEX(Ingredients!$B$5:$B$304,MATCH(A59,Ingredients!$A$5:$A$304,0)),""))</f>
        <v>0</v>
      </c>
      <c r="C59" s="26"/>
      <c r="D59" s="27"/>
      <c r="E59" s="27"/>
      <c r="F59" s="7"/>
      <c r="G59" s="8">
        <f>IF(A59="","",IFERROR(INDEX(Ingredients!$D$5:$D$304,MATCH(A59,Ingredients!$A$5:$A$304,0)),""))</f>
        <v>0</v>
      </c>
      <c r="H59" s="8">
        <f>IF(OR(A59="",C59="",G59=""),"",C59*G59)</f>
        <v>0</v>
      </c>
      <c r="I59" s="26"/>
      <c r="J59" s="8">
        <f>IF(OR(C59="",I59="",I59=0),"",CEILING(C59/I59,1))</f>
        <v>0</v>
      </c>
      <c r="K59" s="8">
        <f>IF(OR(J59="",I59="",G59=""),"",J59*I59*G59)</f>
        <v>0</v>
      </c>
      <c r="L59" s="8">
        <f>IF(A59="","",SUMIFS(Pantry!$C$5:$C$304,Pantry!$A$5:$A$304,A59))</f>
        <v>0</v>
      </c>
      <c r="M59" s="8">
        <f>IF(OR(A59="",C59=""),"",MAX(0,C59-L59))</f>
        <v>0</v>
      </c>
      <c r="N59" s="27"/>
      <c r="O59" s="27"/>
      <c r="P59" s="30"/>
      <c r="Q59" s="28"/>
      <c r="R59" s="8">
        <f>IF(OR(Q59="",H59=""),"",Q59-H59)</f>
        <v>0</v>
      </c>
      <c r="S59" s="8">
        <f>IF(M59="","",COUNTIFS($M$5:$M$304,"&gt;"&amp;M59)+1)</f>
        <v>0</v>
      </c>
      <c r="T59" s="8">
        <f>IF(H59="","",H59+ROW()/1000000)</f>
        <v>0</v>
      </c>
      <c r="U59" s="8">
        <f>IF(OR(N59&lt;&gt;"Yes",T59=""),"",COUNTIFS($N$5:$N$304,"Yes",$T$5:$T$304,"&lt;"&amp;T59)+1)</f>
        <v>0</v>
      </c>
      <c r="V59" s="8">
        <f>IF(A59="","",IF(O59="Yes","Bought",IF(M59&lt;=0,"Have it",IF(N59&lt;&gt;"Yes","Skip",IF(S59&lt;=10,"Must have","Nice to have")))))</f>
        <v>0</v>
      </c>
      <c r="W59" s="30"/>
      <c r="X59" s="8">
        <f>IF(A59="","",IFERROR(INDEX('Recipe Ingredients'!$A$5:$A$1204,MATCH(A59,'Recipe Ingredients'!$B$5:$B$1204,0)),""))</f>
        <v>0</v>
      </c>
      <c r="Y59" s="8">
        <f>IF(A59="","",IFERROR(INDEX(Ingredients!$O$5:$O$304,MATCH(A59,Ingredients!$A$5:$A$304,0)),""))</f>
        <v>0</v>
      </c>
      <c r="Z59" s="8">
        <f>IF(A59="","",IF(O59="Yes","Bought",IF(N59="Yes","To buy","Not needed")))</f>
        <v>0</v>
      </c>
      <c r="AA59" s="25"/>
    </row>
    <row r="60" spans="1:27">
      <c r="A60" s="7"/>
      <c r="B60" s="8">
        <f>IF(A60="","",IFERROR(INDEX(Ingredients!$B$5:$B$304,MATCH(A60,Ingredients!$A$5:$A$304,0)),""))</f>
        <v>0</v>
      </c>
      <c r="C60" s="26"/>
      <c r="D60" s="27"/>
      <c r="E60" s="27"/>
      <c r="F60" s="7"/>
      <c r="G60" s="8">
        <f>IF(A60="","",IFERROR(INDEX(Ingredients!$D$5:$D$304,MATCH(A60,Ingredients!$A$5:$A$304,0)),""))</f>
        <v>0</v>
      </c>
      <c r="H60" s="8">
        <f>IF(OR(A60="",C60="",G60=""),"",C60*G60)</f>
        <v>0</v>
      </c>
      <c r="I60" s="26"/>
      <c r="J60" s="8">
        <f>IF(OR(C60="",I60="",I60=0),"",CEILING(C60/I60,1))</f>
        <v>0</v>
      </c>
      <c r="K60" s="8">
        <f>IF(OR(J60="",I60="",G60=""),"",J60*I60*G60)</f>
        <v>0</v>
      </c>
      <c r="L60" s="8">
        <f>IF(A60="","",SUMIFS(Pantry!$C$5:$C$304,Pantry!$A$5:$A$304,A60))</f>
        <v>0</v>
      </c>
      <c r="M60" s="8">
        <f>IF(OR(A60="",C60=""),"",MAX(0,C60-L60))</f>
        <v>0</v>
      </c>
      <c r="N60" s="27"/>
      <c r="O60" s="27"/>
      <c r="P60" s="30"/>
      <c r="Q60" s="28"/>
      <c r="R60" s="8">
        <f>IF(OR(Q60="",H60=""),"",Q60-H60)</f>
        <v>0</v>
      </c>
      <c r="S60" s="8">
        <f>IF(M60="","",COUNTIFS($M$5:$M$304,"&gt;"&amp;M60)+1)</f>
        <v>0</v>
      </c>
      <c r="T60" s="8">
        <f>IF(H60="","",H60+ROW()/1000000)</f>
        <v>0</v>
      </c>
      <c r="U60" s="8">
        <f>IF(OR(N60&lt;&gt;"Yes",T60=""),"",COUNTIFS($N$5:$N$304,"Yes",$T$5:$T$304,"&lt;"&amp;T60)+1)</f>
        <v>0</v>
      </c>
      <c r="V60" s="8">
        <f>IF(A60="","",IF(O60="Yes","Bought",IF(M60&lt;=0,"Have it",IF(N60&lt;&gt;"Yes","Skip",IF(S60&lt;=10,"Must have","Nice to have")))))</f>
        <v>0</v>
      </c>
      <c r="W60" s="30"/>
      <c r="X60" s="8">
        <f>IF(A60="","",IFERROR(INDEX('Recipe Ingredients'!$A$5:$A$1204,MATCH(A60,'Recipe Ingredients'!$B$5:$B$1204,0)),""))</f>
        <v>0</v>
      </c>
      <c r="Y60" s="8">
        <f>IF(A60="","",IFERROR(INDEX(Ingredients!$O$5:$O$304,MATCH(A60,Ingredients!$A$5:$A$304,0)),""))</f>
        <v>0</v>
      </c>
      <c r="Z60" s="8">
        <f>IF(A60="","",IF(O60="Yes","Bought",IF(N60="Yes","To buy","Not needed")))</f>
        <v>0</v>
      </c>
      <c r="AA60" s="25"/>
    </row>
    <row r="61" spans="1:27">
      <c r="A61" s="7"/>
      <c r="B61" s="8">
        <f>IF(A61="","",IFERROR(INDEX(Ingredients!$B$5:$B$304,MATCH(A61,Ingredients!$A$5:$A$304,0)),""))</f>
        <v>0</v>
      </c>
      <c r="C61" s="26"/>
      <c r="D61" s="27"/>
      <c r="E61" s="27"/>
      <c r="F61" s="7"/>
      <c r="G61" s="8">
        <f>IF(A61="","",IFERROR(INDEX(Ingredients!$D$5:$D$304,MATCH(A61,Ingredients!$A$5:$A$304,0)),""))</f>
        <v>0</v>
      </c>
      <c r="H61" s="8">
        <f>IF(OR(A61="",C61="",G61=""),"",C61*G61)</f>
        <v>0</v>
      </c>
      <c r="I61" s="26"/>
      <c r="J61" s="8">
        <f>IF(OR(C61="",I61="",I61=0),"",CEILING(C61/I61,1))</f>
        <v>0</v>
      </c>
      <c r="K61" s="8">
        <f>IF(OR(J61="",I61="",G61=""),"",J61*I61*G61)</f>
        <v>0</v>
      </c>
      <c r="L61" s="8">
        <f>IF(A61="","",SUMIFS(Pantry!$C$5:$C$304,Pantry!$A$5:$A$304,A61))</f>
        <v>0</v>
      </c>
      <c r="M61" s="8">
        <f>IF(OR(A61="",C61=""),"",MAX(0,C61-L61))</f>
        <v>0</v>
      </c>
      <c r="N61" s="27"/>
      <c r="O61" s="27"/>
      <c r="P61" s="30"/>
      <c r="Q61" s="28"/>
      <c r="R61" s="8">
        <f>IF(OR(Q61="",H61=""),"",Q61-H61)</f>
        <v>0</v>
      </c>
      <c r="S61" s="8">
        <f>IF(M61="","",COUNTIFS($M$5:$M$304,"&gt;"&amp;M61)+1)</f>
        <v>0</v>
      </c>
      <c r="T61" s="8">
        <f>IF(H61="","",H61+ROW()/1000000)</f>
        <v>0</v>
      </c>
      <c r="U61" s="8">
        <f>IF(OR(N61&lt;&gt;"Yes",T61=""),"",COUNTIFS($N$5:$N$304,"Yes",$T$5:$T$304,"&lt;"&amp;T61)+1)</f>
        <v>0</v>
      </c>
      <c r="V61" s="8">
        <f>IF(A61="","",IF(O61="Yes","Bought",IF(M61&lt;=0,"Have it",IF(N61&lt;&gt;"Yes","Skip",IF(S61&lt;=10,"Must have","Nice to have")))))</f>
        <v>0</v>
      </c>
      <c r="W61" s="30"/>
      <c r="X61" s="8">
        <f>IF(A61="","",IFERROR(INDEX('Recipe Ingredients'!$A$5:$A$1204,MATCH(A61,'Recipe Ingredients'!$B$5:$B$1204,0)),""))</f>
        <v>0</v>
      </c>
      <c r="Y61" s="8">
        <f>IF(A61="","",IFERROR(INDEX(Ingredients!$O$5:$O$304,MATCH(A61,Ingredients!$A$5:$A$304,0)),""))</f>
        <v>0</v>
      </c>
      <c r="Z61" s="8">
        <f>IF(A61="","",IF(O61="Yes","Bought",IF(N61="Yes","To buy","Not needed")))</f>
        <v>0</v>
      </c>
      <c r="AA61" s="25"/>
    </row>
    <row r="62" spans="1:27">
      <c r="A62" s="7"/>
      <c r="B62" s="8">
        <f>IF(A62="","",IFERROR(INDEX(Ingredients!$B$5:$B$304,MATCH(A62,Ingredients!$A$5:$A$304,0)),""))</f>
        <v>0</v>
      </c>
      <c r="C62" s="26"/>
      <c r="D62" s="27"/>
      <c r="E62" s="27"/>
      <c r="F62" s="7"/>
      <c r="G62" s="8">
        <f>IF(A62="","",IFERROR(INDEX(Ingredients!$D$5:$D$304,MATCH(A62,Ingredients!$A$5:$A$304,0)),""))</f>
        <v>0</v>
      </c>
      <c r="H62" s="8">
        <f>IF(OR(A62="",C62="",G62=""),"",C62*G62)</f>
        <v>0</v>
      </c>
      <c r="I62" s="26"/>
      <c r="J62" s="8">
        <f>IF(OR(C62="",I62="",I62=0),"",CEILING(C62/I62,1))</f>
        <v>0</v>
      </c>
      <c r="K62" s="8">
        <f>IF(OR(J62="",I62="",G62=""),"",J62*I62*G62)</f>
        <v>0</v>
      </c>
      <c r="L62" s="8">
        <f>IF(A62="","",SUMIFS(Pantry!$C$5:$C$304,Pantry!$A$5:$A$304,A62))</f>
        <v>0</v>
      </c>
      <c r="M62" s="8">
        <f>IF(OR(A62="",C62=""),"",MAX(0,C62-L62))</f>
        <v>0</v>
      </c>
      <c r="N62" s="27"/>
      <c r="O62" s="27"/>
      <c r="P62" s="30"/>
      <c r="Q62" s="28"/>
      <c r="R62" s="8">
        <f>IF(OR(Q62="",H62=""),"",Q62-H62)</f>
        <v>0</v>
      </c>
      <c r="S62" s="8">
        <f>IF(M62="","",COUNTIFS($M$5:$M$304,"&gt;"&amp;M62)+1)</f>
        <v>0</v>
      </c>
      <c r="T62" s="8">
        <f>IF(H62="","",H62+ROW()/1000000)</f>
        <v>0</v>
      </c>
      <c r="U62" s="8">
        <f>IF(OR(N62&lt;&gt;"Yes",T62=""),"",COUNTIFS($N$5:$N$304,"Yes",$T$5:$T$304,"&lt;"&amp;T62)+1)</f>
        <v>0</v>
      </c>
      <c r="V62" s="8">
        <f>IF(A62="","",IF(O62="Yes","Bought",IF(M62&lt;=0,"Have it",IF(N62&lt;&gt;"Yes","Skip",IF(S62&lt;=10,"Must have","Nice to have")))))</f>
        <v>0</v>
      </c>
      <c r="W62" s="30"/>
      <c r="X62" s="8">
        <f>IF(A62="","",IFERROR(INDEX('Recipe Ingredients'!$A$5:$A$1204,MATCH(A62,'Recipe Ingredients'!$B$5:$B$1204,0)),""))</f>
        <v>0</v>
      </c>
      <c r="Y62" s="8">
        <f>IF(A62="","",IFERROR(INDEX(Ingredients!$O$5:$O$304,MATCH(A62,Ingredients!$A$5:$A$304,0)),""))</f>
        <v>0</v>
      </c>
      <c r="Z62" s="8">
        <f>IF(A62="","",IF(O62="Yes","Bought",IF(N62="Yes","To buy","Not needed")))</f>
        <v>0</v>
      </c>
      <c r="AA62" s="25"/>
    </row>
    <row r="63" spans="1:27">
      <c r="A63" s="7"/>
      <c r="B63" s="8">
        <f>IF(A63="","",IFERROR(INDEX(Ingredients!$B$5:$B$304,MATCH(A63,Ingredients!$A$5:$A$304,0)),""))</f>
        <v>0</v>
      </c>
      <c r="C63" s="26"/>
      <c r="D63" s="27"/>
      <c r="E63" s="27"/>
      <c r="F63" s="7"/>
      <c r="G63" s="8">
        <f>IF(A63="","",IFERROR(INDEX(Ingredients!$D$5:$D$304,MATCH(A63,Ingredients!$A$5:$A$304,0)),""))</f>
        <v>0</v>
      </c>
      <c r="H63" s="8">
        <f>IF(OR(A63="",C63="",G63=""),"",C63*G63)</f>
        <v>0</v>
      </c>
      <c r="I63" s="26"/>
      <c r="J63" s="8">
        <f>IF(OR(C63="",I63="",I63=0),"",CEILING(C63/I63,1))</f>
        <v>0</v>
      </c>
      <c r="K63" s="8">
        <f>IF(OR(J63="",I63="",G63=""),"",J63*I63*G63)</f>
        <v>0</v>
      </c>
      <c r="L63" s="8">
        <f>IF(A63="","",SUMIFS(Pantry!$C$5:$C$304,Pantry!$A$5:$A$304,A63))</f>
        <v>0</v>
      </c>
      <c r="M63" s="8">
        <f>IF(OR(A63="",C63=""),"",MAX(0,C63-L63))</f>
        <v>0</v>
      </c>
      <c r="N63" s="27"/>
      <c r="O63" s="27"/>
      <c r="P63" s="30"/>
      <c r="Q63" s="28"/>
      <c r="R63" s="8">
        <f>IF(OR(Q63="",H63=""),"",Q63-H63)</f>
        <v>0</v>
      </c>
      <c r="S63" s="8">
        <f>IF(M63="","",COUNTIFS($M$5:$M$304,"&gt;"&amp;M63)+1)</f>
        <v>0</v>
      </c>
      <c r="T63" s="8">
        <f>IF(H63="","",H63+ROW()/1000000)</f>
        <v>0</v>
      </c>
      <c r="U63" s="8">
        <f>IF(OR(N63&lt;&gt;"Yes",T63=""),"",COUNTIFS($N$5:$N$304,"Yes",$T$5:$T$304,"&lt;"&amp;T63)+1)</f>
        <v>0</v>
      </c>
      <c r="V63" s="8">
        <f>IF(A63="","",IF(O63="Yes","Bought",IF(M63&lt;=0,"Have it",IF(N63&lt;&gt;"Yes","Skip",IF(S63&lt;=10,"Must have","Nice to have")))))</f>
        <v>0</v>
      </c>
      <c r="W63" s="30"/>
      <c r="X63" s="8">
        <f>IF(A63="","",IFERROR(INDEX('Recipe Ingredients'!$A$5:$A$1204,MATCH(A63,'Recipe Ingredients'!$B$5:$B$1204,0)),""))</f>
        <v>0</v>
      </c>
      <c r="Y63" s="8">
        <f>IF(A63="","",IFERROR(INDEX(Ingredients!$O$5:$O$304,MATCH(A63,Ingredients!$A$5:$A$304,0)),""))</f>
        <v>0</v>
      </c>
      <c r="Z63" s="8">
        <f>IF(A63="","",IF(O63="Yes","Bought",IF(N63="Yes","To buy","Not needed")))</f>
        <v>0</v>
      </c>
      <c r="AA63" s="25"/>
    </row>
    <row r="64" spans="1:27">
      <c r="A64" s="7"/>
      <c r="B64" s="8">
        <f>IF(A64="","",IFERROR(INDEX(Ingredients!$B$5:$B$304,MATCH(A64,Ingredients!$A$5:$A$304,0)),""))</f>
        <v>0</v>
      </c>
      <c r="C64" s="26"/>
      <c r="D64" s="27"/>
      <c r="E64" s="27"/>
      <c r="F64" s="7"/>
      <c r="G64" s="8">
        <f>IF(A64="","",IFERROR(INDEX(Ingredients!$D$5:$D$304,MATCH(A64,Ingredients!$A$5:$A$304,0)),""))</f>
        <v>0</v>
      </c>
      <c r="H64" s="8">
        <f>IF(OR(A64="",C64="",G64=""),"",C64*G64)</f>
        <v>0</v>
      </c>
      <c r="I64" s="26"/>
      <c r="J64" s="8">
        <f>IF(OR(C64="",I64="",I64=0),"",CEILING(C64/I64,1))</f>
        <v>0</v>
      </c>
      <c r="K64" s="8">
        <f>IF(OR(J64="",I64="",G64=""),"",J64*I64*G64)</f>
        <v>0</v>
      </c>
      <c r="L64" s="8">
        <f>IF(A64="","",SUMIFS(Pantry!$C$5:$C$304,Pantry!$A$5:$A$304,A64))</f>
        <v>0</v>
      </c>
      <c r="M64" s="8">
        <f>IF(OR(A64="",C64=""),"",MAX(0,C64-L64))</f>
        <v>0</v>
      </c>
      <c r="N64" s="27"/>
      <c r="O64" s="27"/>
      <c r="P64" s="30"/>
      <c r="Q64" s="28"/>
      <c r="R64" s="8">
        <f>IF(OR(Q64="",H64=""),"",Q64-H64)</f>
        <v>0</v>
      </c>
      <c r="S64" s="8">
        <f>IF(M64="","",COUNTIFS($M$5:$M$304,"&gt;"&amp;M64)+1)</f>
        <v>0</v>
      </c>
      <c r="T64" s="8">
        <f>IF(H64="","",H64+ROW()/1000000)</f>
        <v>0</v>
      </c>
      <c r="U64" s="8">
        <f>IF(OR(N64&lt;&gt;"Yes",T64=""),"",COUNTIFS($N$5:$N$304,"Yes",$T$5:$T$304,"&lt;"&amp;T64)+1)</f>
        <v>0</v>
      </c>
      <c r="V64" s="8">
        <f>IF(A64="","",IF(O64="Yes","Bought",IF(M64&lt;=0,"Have it",IF(N64&lt;&gt;"Yes","Skip",IF(S64&lt;=10,"Must have","Nice to have")))))</f>
        <v>0</v>
      </c>
      <c r="W64" s="30"/>
      <c r="X64" s="8">
        <f>IF(A64="","",IFERROR(INDEX('Recipe Ingredients'!$A$5:$A$1204,MATCH(A64,'Recipe Ingredients'!$B$5:$B$1204,0)),""))</f>
        <v>0</v>
      </c>
      <c r="Y64" s="8">
        <f>IF(A64="","",IFERROR(INDEX(Ingredients!$O$5:$O$304,MATCH(A64,Ingredients!$A$5:$A$304,0)),""))</f>
        <v>0</v>
      </c>
      <c r="Z64" s="8">
        <f>IF(A64="","",IF(O64="Yes","Bought",IF(N64="Yes","To buy","Not needed")))</f>
        <v>0</v>
      </c>
      <c r="AA64" s="25"/>
    </row>
    <row r="65" spans="1:27">
      <c r="A65" s="7"/>
      <c r="B65" s="8">
        <f>IF(A65="","",IFERROR(INDEX(Ingredients!$B$5:$B$304,MATCH(A65,Ingredients!$A$5:$A$304,0)),""))</f>
        <v>0</v>
      </c>
      <c r="C65" s="26"/>
      <c r="D65" s="27"/>
      <c r="E65" s="27"/>
      <c r="F65" s="7"/>
      <c r="G65" s="8">
        <f>IF(A65="","",IFERROR(INDEX(Ingredients!$D$5:$D$304,MATCH(A65,Ingredients!$A$5:$A$304,0)),""))</f>
        <v>0</v>
      </c>
      <c r="H65" s="8">
        <f>IF(OR(A65="",C65="",G65=""),"",C65*G65)</f>
        <v>0</v>
      </c>
      <c r="I65" s="26"/>
      <c r="J65" s="8">
        <f>IF(OR(C65="",I65="",I65=0),"",CEILING(C65/I65,1))</f>
        <v>0</v>
      </c>
      <c r="K65" s="8">
        <f>IF(OR(J65="",I65="",G65=""),"",J65*I65*G65)</f>
        <v>0</v>
      </c>
      <c r="L65" s="8">
        <f>IF(A65="","",SUMIFS(Pantry!$C$5:$C$304,Pantry!$A$5:$A$304,A65))</f>
        <v>0</v>
      </c>
      <c r="M65" s="8">
        <f>IF(OR(A65="",C65=""),"",MAX(0,C65-L65))</f>
        <v>0</v>
      </c>
      <c r="N65" s="27"/>
      <c r="O65" s="27"/>
      <c r="P65" s="30"/>
      <c r="Q65" s="28"/>
      <c r="R65" s="8">
        <f>IF(OR(Q65="",H65=""),"",Q65-H65)</f>
        <v>0</v>
      </c>
      <c r="S65" s="8">
        <f>IF(M65="","",COUNTIFS($M$5:$M$304,"&gt;"&amp;M65)+1)</f>
        <v>0</v>
      </c>
      <c r="T65" s="8">
        <f>IF(H65="","",H65+ROW()/1000000)</f>
        <v>0</v>
      </c>
      <c r="U65" s="8">
        <f>IF(OR(N65&lt;&gt;"Yes",T65=""),"",COUNTIFS($N$5:$N$304,"Yes",$T$5:$T$304,"&lt;"&amp;T65)+1)</f>
        <v>0</v>
      </c>
      <c r="V65" s="8">
        <f>IF(A65="","",IF(O65="Yes","Bought",IF(M65&lt;=0,"Have it",IF(N65&lt;&gt;"Yes","Skip",IF(S65&lt;=10,"Must have","Nice to have")))))</f>
        <v>0</v>
      </c>
      <c r="W65" s="30"/>
      <c r="X65" s="8">
        <f>IF(A65="","",IFERROR(INDEX('Recipe Ingredients'!$A$5:$A$1204,MATCH(A65,'Recipe Ingredients'!$B$5:$B$1204,0)),""))</f>
        <v>0</v>
      </c>
      <c r="Y65" s="8">
        <f>IF(A65="","",IFERROR(INDEX(Ingredients!$O$5:$O$304,MATCH(A65,Ingredients!$A$5:$A$304,0)),""))</f>
        <v>0</v>
      </c>
      <c r="Z65" s="8">
        <f>IF(A65="","",IF(O65="Yes","Bought",IF(N65="Yes","To buy","Not needed")))</f>
        <v>0</v>
      </c>
      <c r="AA65" s="25"/>
    </row>
    <row r="66" spans="1:27">
      <c r="A66" s="7"/>
      <c r="B66" s="8">
        <f>IF(A66="","",IFERROR(INDEX(Ingredients!$B$5:$B$304,MATCH(A66,Ingredients!$A$5:$A$304,0)),""))</f>
        <v>0</v>
      </c>
      <c r="C66" s="26"/>
      <c r="D66" s="27"/>
      <c r="E66" s="27"/>
      <c r="F66" s="7"/>
      <c r="G66" s="8">
        <f>IF(A66="","",IFERROR(INDEX(Ingredients!$D$5:$D$304,MATCH(A66,Ingredients!$A$5:$A$304,0)),""))</f>
        <v>0</v>
      </c>
      <c r="H66" s="8">
        <f>IF(OR(A66="",C66="",G66=""),"",C66*G66)</f>
        <v>0</v>
      </c>
      <c r="I66" s="26"/>
      <c r="J66" s="8">
        <f>IF(OR(C66="",I66="",I66=0),"",CEILING(C66/I66,1))</f>
        <v>0</v>
      </c>
      <c r="K66" s="8">
        <f>IF(OR(J66="",I66="",G66=""),"",J66*I66*G66)</f>
        <v>0</v>
      </c>
      <c r="L66" s="8">
        <f>IF(A66="","",SUMIFS(Pantry!$C$5:$C$304,Pantry!$A$5:$A$304,A66))</f>
        <v>0</v>
      </c>
      <c r="M66" s="8">
        <f>IF(OR(A66="",C66=""),"",MAX(0,C66-L66))</f>
        <v>0</v>
      </c>
      <c r="N66" s="27"/>
      <c r="O66" s="27"/>
      <c r="P66" s="30"/>
      <c r="Q66" s="28"/>
      <c r="R66" s="8">
        <f>IF(OR(Q66="",H66=""),"",Q66-H66)</f>
        <v>0</v>
      </c>
      <c r="S66" s="8">
        <f>IF(M66="","",COUNTIFS($M$5:$M$304,"&gt;"&amp;M66)+1)</f>
        <v>0</v>
      </c>
      <c r="T66" s="8">
        <f>IF(H66="","",H66+ROW()/1000000)</f>
        <v>0</v>
      </c>
      <c r="U66" s="8">
        <f>IF(OR(N66&lt;&gt;"Yes",T66=""),"",COUNTIFS($N$5:$N$304,"Yes",$T$5:$T$304,"&lt;"&amp;T66)+1)</f>
        <v>0</v>
      </c>
      <c r="V66" s="8">
        <f>IF(A66="","",IF(O66="Yes","Bought",IF(M66&lt;=0,"Have it",IF(N66&lt;&gt;"Yes","Skip",IF(S66&lt;=10,"Must have","Nice to have")))))</f>
        <v>0</v>
      </c>
      <c r="W66" s="30"/>
      <c r="X66" s="8">
        <f>IF(A66="","",IFERROR(INDEX('Recipe Ingredients'!$A$5:$A$1204,MATCH(A66,'Recipe Ingredients'!$B$5:$B$1204,0)),""))</f>
        <v>0</v>
      </c>
      <c r="Y66" s="8">
        <f>IF(A66="","",IFERROR(INDEX(Ingredients!$O$5:$O$304,MATCH(A66,Ingredients!$A$5:$A$304,0)),""))</f>
        <v>0</v>
      </c>
      <c r="Z66" s="8">
        <f>IF(A66="","",IF(O66="Yes","Bought",IF(N66="Yes","To buy","Not needed")))</f>
        <v>0</v>
      </c>
      <c r="AA66" s="25"/>
    </row>
    <row r="67" spans="1:27">
      <c r="A67" s="7"/>
      <c r="B67" s="8">
        <f>IF(A67="","",IFERROR(INDEX(Ingredients!$B$5:$B$304,MATCH(A67,Ingredients!$A$5:$A$304,0)),""))</f>
        <v>0</v>
      </c>
      <c r="C67" s="26"/>
      <c r="D67" s="27"/>
      <c r="E67" s="27"/>
      <c r="F67" s="7"/>
      <c r="G67" s="8">
        <f>IF(A67="","",IFERROR(INDEX(Ingredients!$D$5:$D$304,MATCH(A67,Ingredients!$A$5:$A$304,0)),""))</f>
        <v>0</v>
      </c>
      <c r="H67" s="8">
        <f>IF(OR(A67="",C67="",G67=""),"",C67*G67)</f>
        <v>0</v>
      </c>
      <c r="I67" s="26"/>
      <c r="J67" s="8">
        <f>IF(OR(C67="",I67="",I67=0),"",CEILING(C67/I67,1))</f>
        <v>0</v>
      </c>
      <c r="K67" s="8">
        <f>IF(OR(J67="",I67="",G67=""),"",J67*I67*G67)</f>
        <v>0</v>
      </c>
      <c r="L67" s="8">
        <f>IF(A67="","",SUMIFS(Pantry!$C$5:$C$304,Pantry!$A$5:$A$304,A67))</f>
        <v>0</v>
      </c>
      <c r="M67" s="8">
        <f>IF(OR(A67="",C67=""),"",MAX(0,C67-L67))</f>
        <v>0</v>
      </c>
      <c r="N67" s="27"/>
      <c r="O67" s="27"/>
      <c r="P67" s="30"/>
      <c r="Q67" s="28"/>
      <c r="R67" s="8">
        <f>IF(OR(Q67="",H67=""),"",Q67-H67)</f>
        <v>0</v>
      </c>
      <c r="S67" s="8">
        <f>IF(M67="","",COUNTIFS($M$5:$M$304,"&gt;"&amp;M67)+1)</f>
        <v>0</v>
      </c>
      <c r="T67" s="8">
        <f>IF(H67="","",H67+ROW()/1000000)</f>
        <v>0</v>
      </c>
      <c r="U67" s="8">
        <f>IF(OR(N67&lt;&gt;"Yes",T67=""),"",COUNTIFS($N$5:$N$304,"Yes",$T$5:$T$304,"&lt;"&amp;T67)+1)</f>
        <v>0</v>
      </c>
      <c r="V67" s="8">
        <f>IF(A67="","",IF(O67="Yes","Bought",IF(M67&lt;=0,"Have it",IF(N67&lt;&gt;"Yes","Skip",IF(S67&lt;=10,"Must have","Nice to have")))))</f>
        <v>0</v>
      </c>
      <c r="W67" s="30"/>
      <c r="X67" s="8">
        <f>IF(A67="","",IFERROR(INDEX('Recipe Ingredients'!$A$5:$A$1204,MATCH(A67,'Recipe Ingredients'!$B$5:$B$1204,0)),""))</f>
        <v>0</v>
      </c>
      <c r="Y67" s="8">
        <f>IF(A67="","",IFERROR(INDEX(Ingredients!$O$5:$O$304,MATCH(A67,Ingredients!$A$5:$A$304,0)),""))</f>
        <v>0</v>
      </c>
      <c r="Z67" s="8">
        <f>IF(A67="","",IF(O67="Yes","Bought",IF(N67="Yes","To buy","Not needed")))</f>
        <v>0</v>
      </c>
      <c r="AA67" s="25"/>
    </row>
    <row r="68" spans="1:27">
      <c r="A68" s="7"/>
      <c r="B68" s="8">
        <f>IF(A68="","",IFERROR(INDEX(Ingredients!$B$5:$B$304,MATCH(A68,Ingredients!$A$5:$A$304,0)),""))</f>
        <v>0</v>
      </c>
      <c r="C68" s="26"/>
      <c r="D68" s="27"/>
      <c r="E68" s="27"/>
      <c r="F68" s="7"/>
      <c r="G68" s="8">
        <f>IF(A68="","",IFERROR(INDEX(Ingredients!$D$5:$D$304,MATCH(A68,Ingredients!$A$5:$A$304,0)),""))</f>
        <v>0</v>
      </c>
      <c r="H68" s="8">
        <f>IF(OR(A68="",C68="",G68=""),"",C68*G68)</f>
        <v>0</v>
      </c>
      <c r="I68" s="26"/>
      <c r="J68" s="8">
        <f>IF(OR(C68="",I68="",I68=0),"",CEILING(C68/I68,1))</f>
        <v>0</v>
      </c>
      <c r="K68" s="8">
        <f>IF(OR(J68="",I68="",G68=""),"",J68*I68*G68)</f>
        <v>0</v>
      </c>
      <c r="L68" s="8">
        <f>IF(A68="","",SUMIFS(Pantry!$C$5:$C$304,Pantry!$A$5:$A$304,A68))</f>
        <v>0</v>
      </c>
      <c r="M68" s="8">
        <f>IF(OR(A68="",C68=""),"",MAX(0,C68-L68))</f>
        <v>0</v>
      </c>
      <c r="N68" s="27"/>
      <c r="O68" s="27"/>
      <c r="P68" s="30"/>
      <c r="Q68" s="28"/>
      <c r="R68" s="8">
        <f>IF(OR(Q68="",H68=""),"",Q68-H68)</f>
        <v>0</v>
      </c>
      <c r="S68" s="8">
        <f>IF(M68="","",COUNTIFS($M$5:$M$304,"&gt;"&amp;M68)+1)</f>
        <v>0</v>
      </c>
      <c r="T68" s="8">
        <f>IF(H68="","",H68+ROW()/1000000)</f>
        <v>0</v>
      </c>
      <c r="U68" s="8">
        <f>IF(OR(N68&lt;&gt;"Yes",T68=""),"",COUNTIFS($N$5:$N$304,"Yes",$T$5:$T$304,"&lt;"&amp;T68)+1)</f>
        <v>0</v>
      </c>
      <c r="V68" s="8">
        <f>IF(A68="","",IF(O68="Yes","Bought",IF(M68&lt;=0,"Have it",IF(N68&lt;&gt;"Yes","Skip",IF(S68&lt;=10,"Must have","Nice to have")))))</f>
        <v>0</v>
      </c>
      <c r="W68" s="30"/>
      <c r="X68" s="8">
        <f>IF(A68="","",IFERROR(INDEX('Recipe Ingredients'!$A$5:$A$1204,MATCH(A68,'Recipe Ingredients'!$B$5:$B$1204,0)),""))</f>
        <v>0</v>
      </c>
      <c r="Y68" s="8">
        <f>IF(A68="","",IFERROR(INDEX(Ingredients!$O$5:$O$304,MATCH(A68,Ingredients!$A$5:$A$304,0)),""))</f>
        <v>0</v>
      </c>
      <c r="Z68" s="8">
        <f>IF(A68="","",IF(O68="Yes","Bought",IF(N68="Yes","To buy","Not needed")))</f>
        <v>0</v>
      </c>
      <c r="AA68" s="25"/>
    </row>
    <row r="69" spans="1:27">
      <c r="A69" s="7"/>
      <c r="B69" s="8">
        <f>IF(A69="","",IFERROR(INDEX(Ingredients!$B$5:$B$304,MATCH(A69,Ingredients!$A$5:$A$304,0)),""))</f>
        <v>0</v>
      </c>
      <c r="C69" s="26"/>
      <c r="D69" s="27"/>
      <c r="E69" s="27"/>
      <c r="F69" s="7"/>
      <c r="G69" s="8">
        <f>IF(A69="","",IFERROR(INDEX(Ingredients!$D$5:$D$304,MATCH(A69,Ingredients!$A$5:$A$304,0)),""))</f>
        <v>0</v>
      </c>
      <c r="H69" s="8">
        <f>IF(OR(A69="",C69="",G69=""),"",C69*G69)</f>
        <v>0</v>
      </c>
      <c r="I69" s="26"/>
      <c r="J69" s="8">
        <f>IF(OR(C69="",I69="",I69=0),"",CEILING(C69/I69,1))</f>
        <v>0</v>
      </c>
      <c r="K69" s="8">
        <f>IF(OR(J69="",I69="",G69=""),"",J69*I69*G69)</f>
        <v>0</v>
      </c>
      <c r="L69" s="8">
        <f>IF(A69="","",SUMIFS(Pantry!$C$5:$C$304,Pantry!$A$5:$A$304,A69))</f>
        <v>0</v>
      </c>
      <c r="M69" s="8">
        <f>IF(OR(A69="",C69=""),"",MAX(0,C69-L69))</f>
        <v>0</v>
      </c>
      <c r="N69" s="27"/>
      <c r="O69" s="27"/>
      <c r="P69" s="30"/>
      <c r="Q69" s="28"/>
      <c r="R69" s="8">
        <f>IF(OR(Q69="",H69=""),"",Q69-H69)</f>
        <v>0</v>
      </c>
      <c r="S69" s="8">
        <f>IF(M69="","",COUNTIFS($M$5:$M$304,"&gt;"&amp;M69)+1)</f>
        <v>0</v>
      </c>
      <c r="T69" s="8">
        <f>IF(H69="","",H69+ROW()/1000000)</f>
        <v>0</v>
      </c>
      <c r="U69" s="8">
        <f>IF(OR(N69&lt;&gt;"Yes",T69=""),"",COUNTIFS($N$5:$N$304,"Yes",$T$5:$T$304,"&lt;"&amp;T69)+1)</f>
        <v>0</v>
      </c>
      <c r="V69" s="8">
        <f>IF(A69="","",IF(O69="Yes","Bought",IF(M69&lt;=0,"Have it",IF(N69&lt;&gt;"Yes","Skip",IF(S69&lt;=10,"Must have","Nice to have")))))</f>
        <v>0</v>
      </c>
      <c r="W69" s="30"/>
      <c r="X69" s="8">
        <f>IF(A69="","",IFERROR(INDEX('Recipe Ingredients'!$A$5:$A$1204,MATCH(A69,'Recipe Ingredients'!$B$5:$B$1204,0)),""))</f>
        <v>0</v>
      </c>
      <c r="Y69" s="8">
        <f>IF(A69="","",IFERROR(INDEX(Ingredients!$O$5:$O$304,MATCH(A69,Ingredients!$A$5:$A$304,0)),""))</f>
        <v>0</v>
      </c>
      <c r="Z69" s="8">
        <f>IF(A69="","",IF(O69="Yes","Bought",IF(N69="Yes","To buy","Not needed")))</f>
        <v>0</v>
      </c>
      <c r="AA69" s="25"/>
    </row>
    <row r="70" spans="1:27">
      <c r="A70" s="7"/>
      <c r="B70" s="8">
        <f>IF(A70="","",IFERROR(INDEX(Ingredients!$B$5:$B$304,MATCH(A70,Ingredients!$A$5:$A$304,0)),""))</f>
        <v>0</v>
      </c>
      <c r="C70" s="26"/>
      <c r="D70" s="27"/>
      <c r="E70" s="27"/>
      <c r="F70" s="7"/>
      <c r="G70" s="8">
        <f>IF(A70="","",IFERROR(INDEX(Ingredients!$D$5:$D$304,MATCH(A70,Ingredients!$A$5:$A$304,0)),""))</f>
        <v>0</v>
      </c>
      <c r="H70" s="8">
        <f>IF(OR(A70="",C70="",G70=""),"",C70*G70)</f>
        <v>0</v>
      </c>
      <c r="I70" s="26"/>
      <c r="J70" s="8">
        <f>IF(OR(C70="",I70="",I70=0),"",CEILING(C70/I70,1))</f>
        <v>0</v>
      </c>
      <c r="K70" s="8">
        <f>IF(OR(J70="",I70="",G70=""),"",J70*I70*G70)</f>
        <v>0</v>
      </c>
      <c r="L70" s="8">
        <f>IF(A70="","",SUMIFS(Pantry!$C$5:$C$304,Pantry!$A$5:$A$304,A70))</f>
        <v>0</v>
      </c>
      <c r="M70" s="8">
        <f>IF(OR(A70="",C70=""),"",MAX(0,C70-L70))</f>
        <v>0</v>
      </c>
      <c r="N70" s="27"/>
      <c r="O70" s="27"/>
      <c r="P70" s="30"/>
      <c r="Q70" s="28"/>
      <c r="R70" s="8">
        <f>IF(OR(Q70="",H70=""),"",Q70-H70)</f>
        <v>0</v>
      </c>
      <c r="S70" s="8">
        <f>IF(M70="","",COUNTIFS($M$5:$M$304,"&gt;"&amp;M70)+1)</f>
        <v>0</v>
      </c>
      <c r="T70" s="8">
        <f>IF(H70="","",H70+ROW()/1000000)</f>
        <v>0</v>
      </c>
      <c r="U70" s="8">
        <f>IF(OR(N70&lt;&gt;"Yes",T70=""),"",COUNTIFS($N$5:$N$304,"Yes",$T$5:$T$304,"&lt;"&amp;T70)+1)</f>
        <v>0</v>
      </c>
      <c r="V70" s="8">
        <f>IF(A70="","",IF(O70="Yes","Bought",IF(M70&lt;=0,"Have it",IF(N70&lt;&gt;"Yes","Skip",IF(S70&lt;=10,"Must have","Nice to have")))))</f>
        <v>0</v>
      </c>
      <c r="W70" s="30"/>
      <c r="X70" s="8">
        <f>IF(A70="","",IFERROR(INDEX('Recipe Ingredients'!$A$5:$A$1204,MATCH(A70,'Recipe Ingredients'!$B$5:$B$1204,0)),""))</f>
        <v>0</v>
      </c>
      <c r="Y70" s="8">
        <f>IF(A70="","",IFERROR(INDEX(Ingredients!$O$5:$O$304,MATCH(A70,Ingredients!$A$5:$A$304,0)),""))</f>
        <v>0</v>
      </c>
      <c r="Z70" s="8">
        <f>IF(A70="","",IF(O70="Yes","Bought",IF(N70="Yes","To buy","Not needed")))</f>
        <v>0</v>
      </c>
      <c r="AA70" s="25"/>
    </row>
    <row r="71" spans="1:27">
      <c r="A71" s="7"/>
      <c r="B71" s="8">
        <f>IF(A71="","",IFERROR(INDEX(Ingredients!$B$5:$B$304,MATCH(A71,Ingredients!$A$5:$A$304,0)),""))</f>
        <v>0</v>
      </c>
      <c r="C71" s="26"/>
      <c r="D71" s="27"/>
      <c r="E71" s="27"/>
      <c r="F71" s="7"/>
      <c r="G71" s="8">
        <f>IF(A71="","",IFERROR(INDEX(Ingredients!$D$5:$D$304,MATCH(A71,Ingredients!$A$5:$A$304,0)),""))</f>
        <v>0</v>
      </c>
      <c r="H71" s="8">
        <f>IF(OR(A71="",C71="",G71=""),"",C71*G71)</f>
        <v>0</v>
      </c>
      <c r="I71" s="26"/>
      <c r="J71" s="8">
        <f>IF(OR(C71="",I71="",I71=0),"",CEILING(C71/I71,1))</f>
        <v>0</v>
      </c>
      <c r="K71" s="8">
        <f>IF(OR(J71="",I71="",G71=""),"",J71*I71*G71)</f>
        <v>0</v>
      </c>
      <c r="L71" s="8">
        <f>IF(A71="","",SUMIFS(Pantry!$C$5:$C$304,Pantry!$A$5:$A$304,A71))</f>
        <v>0</v>
      </c>
      <c r="M71" s="8">
        <f>IF(OR(A71="",C71=""),"",MAX(0,C71-L71))</f>
        <v>0</v>
      </c>
      <c r="N71" s="27"/>
      <c r="O71" s="27"/>
      <c r="P71" s="30"/>
      <c r="Q71" s="28"/>
      <c r="R71" s="8">
        <f>IF(OR(Q71="",H71=""),"",Q71-H71)</f>
        <v>0</v>
      </c>
      <c r="S71" s="8">
        <f>IF(M71="","",COUNTIFS($M$5:$M$304,"&gt;"&amp;M71)+1)</f>
        <v>0</v>
      </c>
      <c r="T71" s="8">
        <f>IF(H71="","",H71+ROW()/1000000)</f>
        <v>0</v>
      </c>
      <c r="U71" s="8">
        <f>IF(OR(N71&lt;&gt;"Yes",T71=""),"",COUNTIFS($N$5:$N$304,"Yes",$T$5:$T$304,"&lt;"&amp;T71)+1)</f>
        <v>0</v>
      </c>
      <c r="V71" s="8">
        <f>IF(A71="","",IF(O71="Yes","Bought",IF(M71&lt;=0,"Have it",IF(N71&lt;&gt;"Yes","Skip",IF(S71&lt;=10,"Must have","Nice to have")))))</f>
        <v>0</v>
      </c>
      <c r="W71" s="30"/>
      <c r="X71" s="8">
        <f>IF(A71="","",IFERROR(INDEX('Recipe Ingredients'!$A$5:$A$1204,MATCH(A71,'Recipe Ingredients'!$B$5:$B$1204,0)),""))</f>
        <v>0</v>
      </c>
      <c r="Y71" s="8">
        <f>IF(A71="","",IFERROR(INDEX(Ingredients!$O$5:$O$304,MATCH(A71,Ingredients!$A$5:$A$304,0)),""))</f>
        <v>0</v>
      </c>
      <c r="Z71" s="8">
        <f>IF(A71="","",IF(O71="Yes","Bought",IF(N71="Yes","To buy","Not needed")))</f>
        <v>0</v>
      </c>
      <c r="AA71" s="25"/>
    </row>
    <row r="72" spans="1:27">
      <c r="A72" s="7"/>
      <c r="B72" s="8">
        <f>IF(A72="","",IFERROR(INDEX(Ingredients!$B$5:$B$304,MATCH(A72,Ingredients!$A$5:$A$304,0)),""))</f>
        <v>0</v>
      </c>
      <c r="C72" s="26"/>
      <c r="D72" s="27"/>
      <c r="E72" s="27"/>
      <c r="F72" s="7"/>
      <c r="G72" s="8">
        <f>IF(A72="","",IFERROR(INDEX(Ingredients!$D$5:$D$304,MATCH(A72,Ingredients!$A$5:$A$304,0)),""))</f>
        <v>0</v>
      </c>
      <c r="H72" s="8">
        <f>IF(OR(A72="",C72="",G72=""),"",C72*G72)</f>
        <v>0</v>
      </c>
      <c r="I72" s="26"/>
      <c r="J72" s="8">
        <f>IF(OR(C72="",I72="",I72=0),"",CEILING(C72/I72,1))</f>
        <v>0</v>
      </c>
      <c r="K72" s="8">
        <f>IF(OR(J72="",I72="",G72=""),"",J72*I72*G72)</f>
        <v>0</v>
      </c>
      <c r="L72" s="8">
        <f>IF(A72="","",SUMIFS(Pantry!$C$5:$C$304,Pantry!$A$5:$A$304,A72))</f>
        <v>0</v>
      </c>
      <c r="M72" s="8">
        <f>IF(OR(A72="",C72=""),"",MAX(0,C72-L72))</f>
        <v>0</v>
      </c>
      <c r="N72" s="27"/>
      <c r="O72" s="27"/>
      <c r="P72" s="30"/>
      <c r="Q72" s="28"/>
      <c r="R72" s="8">
        <f>IF(OR(Q72="",H72=""),"",Q72-H72)</f>
        <v>0</v>
      </c>
      <c r="S72" s="8">
        <f>IF(M72="","",COUNTIFS($M$5:$M$304,"&gt;"&amp;M72)+1)</f>
        <v>0</v>
      </c>
      <c r="T72" s="8">
        <f>IF(H72="","",H72+ROW()/1000000)</f>
        <v>0</v>
      </c>
      <c r="U72" s="8">
        <f>IF(OR(N72&lt;&gt;"Yes",T72=""),"",COUNTIFS($N$5:$N$304,"Yes",$T$5:$T$304,"&lt;"&amp;T72)+1)</f>
        <v>0</v>
      </c>
      <c r="V72" s="8">
        <f>IF(A72="","",IF(O72="Yes","Bought",IF(M72&lt;=0,"Have it",IF(N72&lt;&gt;"Yes","Skip",IF(S72&lt;=10,"Must have","Nice to have")))))</f>
        <v>0</v>
      </c>
      <c r="W72" s="30"/>
      <c r="X72" s="8">
        <f>IF(A72="","",IFERROR(INDEX('Recipe Ingredients'!$A$5:$A$1204,MATCH(A72,'Recipe Ingredients'!$B$5:$B$1204,0)),""))</f>
        <v>0</v>
      </c>
      <c r="Y72" s="8">
        <f>IF(A72="","",IFERROR(INDEX(Ingredients!$O$5:$O$304,MATCH(A72,Ingredients!$A$5:$A$304,0)),""))</f>
        <v>0</v>
      </c>
      <c r="Z72" s="8">
        <f>IF(A72="","",IF(O72="Yes","Bought",IF(N72="Yes","To buy","Not needed")))</f>
        <v>0</v>
      </c>
      <c r="AA72" s="25"/>
    </row>
    <row r="73" spans="1:27">
      <c r="A73" s="7"/>
      <c r="B73" s="8">
        <f>IF(A73="","",IFERROR(INDEX(Ingredients!$B$5:$B$304,MATCH(A73,Ingredients!$A$5:$A$304,0)),""))</f>
        <v>0</v>
      </c>
      <c r="C73" s="26"/>
      <c r="D73" s="27"/>
      <c r="E73" s="27"/>
      <c r="F73" s="7"/>
      <c r="G73" s="8">
        <f>IF(A73="","",IFERROR(INDEX(Ingredients!$D$5:$D$304,MATCH(A73,Ingredients!$A$5:$A$304,0)),""))</f>
        <v>0</v>
      </c>
      <c r="H73" s="8">
        <f>IF(OR(A73="",C73="",G73=""),"",C73*G73)</f>
        <v>0</v>
      </c>
      <c r="I73" s="26"/>
      <c r="J73" s="8">
        <f>IF(OR(C73="",I73="",I73=0),"",CEILING(C73/I73,1))</f>
        <v>0</v>
      </c>
      <c r="K73" s="8">
        <f>IF(OR(J73="",I73="",G73=""),"",J73*I73*G73)</f>
        <v>0</v>
      </c>
      <c r="L73" s="8">
        <f>IF(A73="","",SUMIFS(Pantry!$C$5:$C$304,Pantry!$A$5:$A$304,A73))</f>
        <v>0</v>
      </c>
      <c r="M73" s="8">
        <f>IF(OR(A73="",C73=""),"",MAX(0,C73-L73))</f>
        <v>0</v>
      </c>
      <c r="N73" s="27"/>
      <c r="O73" s="27"/>
      <c r="P73" s="30"/>
      <c r="Q73" s="28"/>
      <c r="R73" s="8">
        <f>IF(OR(Q73="",H73=""),"",Q73-H73)</f>
        <v>0</v>
      </c>
      <c r="S73" s="8">
        <f>IF(M73="","",COUNTIFS($M$5:$M$304,"&gt;"&amp;M73)+1)</f>
        <v>0</v>
      </c>
      <c r="T73" s="8">
        <f>IF(H73="","",H73+ROW()/1000000)</f>
        <v>0</v>
      </c>
      <c r="U73" s="8">
        <f>IF(OR(N73&lt;&gt;"Yes",T73=""),"",COUNTIFS($N$5:$N$304,"Yes",$T$5:$T$304,"&lt;"&amp;T73)+1)</f>
        <v>0</v>
      </c>
      <c r="V73" s="8">
        <f>IF(A73="","",IF(O73="Yes","Bought",IF(M73&lt;=0,"Have it",IF(N73&lt;&gt;"Yes","Skip",IF(S73&lt;=10,"Must have","Nice to have")))))</f>
        <v>0</v>
      </c>
      <c r="W73" s="30"/>
      <c r="X73" s="8">
        <f>IF(A73="","",IFERROR(INDEX('Recipe Ingredients'!$A$5:$A$1204,MATCH(A73,'Recipe Ingredients'!$B$5:$B$1204,0)),""))</f>
        <v>0</v>
      </c>
      <c r="Y73" s="8">
        <f>IF(A73="","",IFERROR(INDEX(Ingredients!$O$5:$O$304,MATCH(A73,Ingredients!$A$5:$A$304,0)),""))</f>
        <v>0</v>
      </c>
      <c r="Z73" s="8">
        <f>IF(A73="","",IF(O73="Yes","Bought",IF(N73="Yes","To buy","Not needed")))</f>
        <v>0</v>
      </c>
      <c r="AA73" s="25"/>
    </row>
    <row r="74" spans="1:27">
      <c r="A74" s="7"/>
      <c r="B74" s="8">
        <f>IF(A74="","",IFERROR(INDEX(Ingredients!$B$5:$B$304,MATCH(A74,Ingredients!$A$5:$A$304,0)),""))</f>
        <v>0</v>
      </c>
      <c r="C74" s="26"/>
      <c r="D74" s="27"/>
      <c r="E74" s="27"/>
      <c r="F74" s="7"/>
      <c r="G74" s="8">
        <f>IF(A74="","",IFERROR(INDEX(Ingredients!$D$5:$D$304,MATCH(A74,Ingredients!$A$5:$A$304,0)),""))</f>
        <v>0</v>
      </c>
      <c r="H74" s="8">
        <f>IF(OR(A74="",C74="",G74=""),"",C74*G74)</f>
        <v>0</v>
      </c>
      <c r="I74" s="26"/>
      <c r="J74" s="8">
        <f>IF(OR(C74="",I74="",I74=0),"",CEILING(C74/I74,1))</f>
        <v>0</v>
      </c>
      <c r="K74" s="8">
        <f>IF(OR(J74="",I74="",G74=""),"",J74*I74*G74)</f>
        <v>0</v>
      </c>
      <c r="L74" s="8">
        <f>IF(A74="","",SUMIFS(Pantry!$C$5:$C$304,Pantry!$A$5:$A$304,A74))</f>
        <v>0</v>
      </c>
      <c r="M74" s="8">
        <f>IF(OR(A74="",C74=""),"",MAX(0,C74-L74))</f>
        <v>0</v>
      </c>
      <c r="N74" s="27"/>
      <c r="O74" s="27"/>
      <c r="P74" s="30"/>
      <c r="Q74" s="28"/>
      <c r="R74" s="8">
        <f>IF(OR(Q74="",H74=""),"",Q74-H74)</f>
        <v>0</v>
      </c>
      <c r="S74" s="8">
        <f>IF(M74="","",COUNTIFS($M$5:$M$304,"&gt;"&amp;M74)+1)</f>
        <v>0</v>
      </c>
      <c r="T74" s="8">
        <f>IF(H74="","",H74+ROW()/1000000)</f>
        <v>0</v>
      </c>
      <c r="U74" s="8">
        <f>IF(OR(N74&lt;&gt;"Yes",T74=""),"",COUNTIFS($N$5:$N$304,"Yes",$T$5:$T$304,"&lt;"&amp;T74)+1)</f>
        <v>0</v>
      </c>
      <c r="V74" s="8">
        <f>IF(A74="","",IF(O74="Yes","Bought",IF(M74&lt;=0,"Have it",IF(N74&lt;&gt;"Yes","Skip",IF(S74&lt;=10,"Must have","Nice to have")))))</f>
        <v>0</v>
      </c>
      <c r="W74" s="30"/>
      <c r="X74" s="8">
        <f>IF(A74="","",IFERROR(INDEX('Recipe Ingredients'!$A$5:$A$1204,MATCH(A74,'Recipe Ingredients'!$B$5:$B$1204,0)),""))</f>
        <v>0</v>
      </c>
      <c r="Y74" s="8">
        <f>IF(A74="","",IFERROR(INDEX(Ingredients!$O$5:$O$304,MATCH(A74,Ingredients!$A$5:$A$304,0)),""))</f>
        <v>0</v>
      </c>
      <c r="Z74" s="8">
        <f>IF(A74="","",IF(O74="Yes","Bought",IF(N74="Yes","To buy","Not needed")))</f>
        <v>0</v>
      </c>
      <c r="AA74" s="25"/>
    </row>
    <row r="75" spans="1:27">
      <c r="A75" s="7"/>
      <c r="B75" s="8">
        <f>IF(A75="","",IFERROR(INDEX(Ingredients!$B$5:$B$304,MATCH(A75,Ingredients!$A$5:$A$304,0)),""))</f>
        <v>0</v>
      </c>
      <c r="C75" s="26"/>
      <c r="D75" s="27"/>
      <c r="E75" s="27"/>
      <c r="F75" s="7"/>
      <c r="G75" s="8">
        <f>IF(A75="","",IFERROR(INDEX(Ingredients!$D$5:$D$304,MATCH(A75,Ingredients!$A$5:$A$304,0)),""))</f>
        <v>0</v>
      </c>
      <c r="H75" s="8">
        <f>IF(OR(A75="",C75="",G75=""),"",C75*G75)</f>
        <v>0</v>
      </c>
      <c r="I75" s="26"/>
      <c r="J75" s="8">
        <f>IF(OR(C75="",I75="",I75=0),"",CEILING(C75/I75,1))</f>
        <v>0</v>
      </c>
      <c r="K75" s="8">
        <f>IF(OR(J75="",I75="",G75=""),"",J75*I75*G75)</f>
        <v>0</v>
      </c>
      <c r="L75" s="8">
        <f>IF(A75="","",SUMIFS(Pantry!$C$5:$C$304,Pantry!$A$5:$A$304,A75))</f>
        <v>0</v>
      </c>
      <c r="M75" s="8">
        <f>IF(OR(A75="",C75=""),"",MAX(0,C75-L75))</f>
        <v>0</v>
      </c>
      <c r="N75" s="27"/>
      <c r="O75" s="27"/>
      <c r="P75" s="30"/>
      <c r="Q75" s="28"/>
      <c r="R75" s="8">
        <f>IF(OR(Q75="",H75=""),"",Q75-H75)</f>
        <v>0</v>
      </c>
      <c r="S75" s="8">
        <f>IF(M75="","",COUNTIFS($M$5:$M$304,"&gt;"&amp;M75)+1)</f>
        <v>0</v>
      </c>
      <c r="T75" s="8">
        <f>IF(H75="","",H75+ROW()/1000000)</f>
        <v>0</v>
      </c>
      <c r="U75" s="8">
        <f>IF(OR(N75&lt;&gt;"Yes",T75=""),"",COUNTIFS($N$5:$N$304,"Yes",$T$5:$T$304,"&lt;"&amp;T75)+1)</f>
        <v>0</v>
      </c>
      <c r="V75" s="8">
        <f>IF(A75="","",IF(O75="Yes","Bought",IF(M75&lt;=0,"Have it",IF(N75&lt;&gt;"Yes","Skip",IF(S75&lt;=10,"Must have","Nice to have")))))</f>
        <v>0</v>
      </c>
      <c r="W75" s="30"/>
      <c r="X75" s="8">
        <f>IF(A75="","",IFERROR(INDEX('Recipe Ingredients'!$A$5:$A$1204,MATCH(A75,'Recipe Ingredients'!$B$5:$B$1204,0)),""))</f>
        <v>0</v>
      </c>
      <c r="Y75" s="8">
        <f>IF(A75="","",IFERROR(INDEX(Ingredients!$O$5:$O$304,MATCH(A75,Ingredients!$A$5:$A$304,0)),""))</f>
        <v>0</v>
      </c>
      <c r="Z75" s="8">
        <f>IF(A75="","",IF(O75="Yes","Bought",IF(N75="Yes","To buy","Not needed")))</f>
        <v>0</v>
      </c>
      <c r="AA75" s="25"/>
    </row>
    <row r="76" spans="1:27">
      <c r="A76" s="7"/>
      <c r="B76" s="8">
        <f>IF(A76="","",IFERROR(INDEX(Ingredients!$B$5:$B$304,MATCH(A76,Ingredients!$A$5:$A$304,0)),""))</f>
        <v>0</v>
      </c>
      <c r="C76" s="26"/>
      <c r="D76" s="27"/>
      <c r="E76" s="27"/>
      <c r="F76" s="7"/>
      <c r="G76" s="8">
        <f>IF(A76="","",IFERROR(INDEX(Ingredients!$D$5:$D$304,MATCH(A76,Ingredients!$A$5:$A$304,0)),""))</f>
        <v>0</v>
      </c>
      <c r="H76" s="8">
        <f>IF(OR(A76="",C76="",G76=""),"",C76*G76)</f>
        <v>0</v>
      </c>
      <c r="I76" s="26"/>
      <c r="J76" s="8">
        <f>IF(OR(C76="",I76="",I76=0),"",CEILING(C76/I76,1))</f>
        <v>0</v>
      </c>
      <c r="K76" s="8">
        <f>IF(OR(J76="",I76="",G76=""),"",J76*I76*G76)</f>
        <v>0</v>
      </c>
      <c r="L76" s="8">
        <f>IF(A76="","",SUMIFS(Pantry!$C$5:$C$304,Pantry!$A$5:$A$304,A76))</f>
        <v>0</v>
      </c>
      <c r="M76" s="8">
        <f>IF(OR(A76="",C76=""),"",MAX(0,C76-L76))</f>
        <v>0</v>
      </c>
      <c r="N76" s="27"/>
      <c r="O76" s="27"/>
      <c r="P76" s="30"/>
      <c r="Q76" s="28"/>
      <c r="R76" s="8">
        <f>IF(OR(Q76="",H76=""),"",Q76-H76)</f>
        <v>0</v>
      </c>
      <c r="S76" s="8">
        <f>IF(M76="","",COUNTIFS($M$5:$M$304,"&gt;"&amp;M76)+1)</f>
        <v>0</v>
      </c>
      <c r="T76" s="8">
        <f>IF(H76="","",H76+ROW()/1000000)</f>
        <v>0</v>
      </c>
      <c r="U76" s="8">
        <f>IF(OR(N76&lt;&gt;"Yes",T76=""),"",COUNTIFS($N$5:$N$304,"Yes",$T$5:$T$304,"&lt;"&amp;T76)+1)</f>
        <v>0</v>
      </c>
      <c r="V76" s="8">
        <f>IF(A76="","",IF(O76="Yes","Bought",IF(M76&lt;=0,"Have it",IF(N76&lt;&gt;"Yes","Skip",IF(S76&lt;=10,"Must have","Nice to have")))))</f>
        <v>0</v>
      </c>
      <c r="W76" s="30"/>
      <c r="X76" s="8">
        <f>IF(A76="","",IFERROR(INDEX('Recipe Ingredients'!$A$5:$A$1204,MATCH(A76,'Recipe Ingredients'!$B$5:$B$1204,0)),""))</f>
        <v>0</v>
      </c>
      <c r="Y76" s="8">
        <f>IF(A76="","",IFERROR(INDEX(Ingredients!$O$5:$O$304,MATCH(A76,Ingredients!$A$5:$A$304,0)),""))</f>
        <v>0</v>
      </c>
      <c r="Z76" s="8">
        <f>IF(A76="","",IF(O76="Yes","Bought",IF(N76="Yes","To buy","Not needed")))</f>
        <v>0</v>
      </c>
      <c r="AA76" s="25"/>
    </row>
    <row r="77" spans="1:27">
      <c r="A77" s="7"/>
      <c r="B77" s="8">
        <f>IF(A77="","",IFERROR(INDEX(Ingredients!$B$5:$B$304,MATCH(A77,Ingredients!$A$5:$A$304,0)),""))</f>
        <v>0</v>
      </c>
      <c r="C77" s="26"/>
      <c r="D77" s="27"/>
      <c r="E77" s="27"/>
      <c r="F77" s="7"/>
      <c r="G77" s="8">
        <f>IF(A77="","",IFERROR(INDEX(Ingredients!$D$5:$D$304,MATCH(A77,Ingredients!$A$5:$A$304,0)),""))</f>
        <v>0</v>
      </c>
      <c r="H77" s="8">
        <f>IF(OR(A77="",C77="",G77=""),"",C77*G77)</f>
        <v>0</v>
      </c>
      <c r="I77" s="26"/>
      <c r="J77" s="8">
        <f>IF(OR(C77="",I77="",I77=0),"",CEILING(C77/I77,1))</f>
        <v>0</v>
      </c>
      <c r="K77" s="8">
        <f>IF(OR(J77="",I77="",G77=""),"",J77*I77*G77)</f>
        <v>0</v>
      </c>
      <c r="L77" s="8">
        <f>IF(A77="","",SUMIFS(Pantry!$C$5:$C$304,Pantry!$A$5:$A$304,A77))</f>
        <v>0</v>
      </c>
      <c r="M77" s="8">
        <f>IF(OR(A77="",C77=""),"",MAX(0,C77-L77))</f>
        <v>0</v>
      </c>
      <c r="N77" s="27"/>
      <c r="O77" s="27"/>
      <c r="P77" s="30"/>
      <c r="Q77" s="28"/>
      <c r="R77" s="8">
        <f>IF(OR(Q77="",H77=""),"",Q77-H77)</f>
        <v>0</v>
      </c>
      <c r="S77" s="8">
        <f>IF(M77="","",COUNTIFS($M$5:$M$304,"&gt;"&amp;M77)+1)</f>
        <v>0</v>
      </c>
      <c r="T77" s="8">
        <f>IF(H77="","",H77+ROW()/1000000)</f>
        <v>0</v>
      </c>
      <c r="U77" s="8">
        <f>IF(OR(N77&lt;&gt;"Yes",T77=""),"",COUNTIFS($N$5:$N$304,"Yes",$T$5:$T$304,"&lt;"&amp;T77)+1)</f>
        <v>0</v>
      </c>
      <c r="V77" s="8">
        <f>IF(A77="","",IF(O77="Yes","Bought",IF(M77&lt;=0,"Have it",IF(N77&lt;&gt;"Yes","Skip",IF(S77&lt;=10,"Must have","Nice to have")))))</f>
        <v>0</v>
      </c>
      <c r="W77" s="30"/>
      <c r="X77" s="8">
        <f>IF(A77="","",IFERROR(INDEX('Recipe Ingredients'!$A$5:$A$1204,MATCH(A77,'Recipe Ingredients'!$B$5:$B$1204,0)),""))</f>
        <v>0</v>
      </c>
      <c r="Y77" s="8">
        <f>IF(A77="","",IFERROR(INDEX(Ingredients!$O$5:$O$304,MATCH(A77,Ingredients!$A$5:$A$304,0)),""))</f>
        <v>0</v>
      </c>
      <c r="Z77" s="8">
        <f>IF(A77="","",IF(O77="Yes","Bought",IF(N77="Yes","To buy","Not needed")))</f>
        <v>0</v>
      </c>
      <c r="AA77" s="25"/>
    </row>
    <row r="78" spans="1:27">
      <c r="A78" s="7"/>
      <c r="B78" s="8">
        <f>IF(A78="","",IFERROR(INDEX(Ingredients!$B$5:$B$304,MATCH(A78,Ingredients!$A$5:$A$304,0)),""))</f>
        <v>0</v>
      </c>
      <c r="C78" s="26"/>
      <c r="D78" s="27"/>
      <c r="E78" s="27"/>
      <c r="F78" s="7"/>
      <c r="G78" s="8">
        <f>IF(A78="","",IFERROR(INDEX(Ingredients!$D$5:$D$304,MATCH(A78,Ingredients!$A$5:$A$304,0)),""))</f>
        <v>0</v>
      </c>
      <c r="H78" s="8">
        <f>IF(OR(A78="",C78="",G78=""),"",C78*G78)</f>
        <v>0</v>
      </c>
      <c r="I78" s="26"/>
      <c r="J78" s="8">
        <f>IF(OR(C78="",I78="",I78=0),"",CEILING(C78/I78,1))</f>
        <v>0</v>
      </c>
      <c r="K78" s="8">
        <f>IF(OR(J78="",I78="",G78=""),"",J78*I78*G78)</f>
        <v>0</v>
      </c>
      <c r="L78" s="8">
        <f>IF(A78="","",SUMIFS(Pantry!$C$5:$C$304,Pantry!$A$5:$A$304,A78))</f>
        <v>0</v>
      </c>
      <c r="M78" s="8">
        <f>IF(OR(A78="",C78=""),"",MAX(0,C78-L78))</f>
        <v>0</v>
      </c>
      <c r="N78" s="27"/>
      <c r="O78" s="27"/>
      <c r="P78" s="30"/>
      <c r="Q78" s="28"/>
      <c r="R78" s="8">
        <f>IF(OR(Q78="",H78=""),"",Q78-H78)</f>
        <v>0</v>
      </c>
      <c r="S78" s="8">
        <f>IF(M78="","",COUNTIFS($M$5:$M$304,"&gt;"&amp;M78)+1)</f>
        <v>0</v>
      </c>
      <c r="T78" s="8">
        <f>IF(H78="","",H78+ROW()/1000000)</f>
        <v>0</v>
      </c>
      <c r="U78" s="8">
        <f>IF(OR(N78&lt;&gt;"Yes",T78=""),"",COUNTIFS($N$5:$N$304,"Yes",$T$5:$T$304,"&lt;"&amp;T78)+1)</f>
        <v>0</v>
      </c>
      <c r="V78" s="8">
        <f>IF(A78="","",IF(O78="Yes","Bought",IF(M78&lt;=0,"Have it",IF(N78&lt;&gt;"Yes","Skip",IF(S78&lt;=10,"Must have","Nice to have")))))</f>
        <v>0</v>
      </c>
      <c r="W78" s="30"/>
      <c r="X78" s="8">
        <f>IF(A78="","",IFERROR(INDEX('Recipe Ingredients'!$A$5:$A$1204,MATCH(A78,'Recipe Ingredients'!$B$5:$B$1204,0)),""))</f>
        <v>0</v>
      </c>
      <c r="Y78" s="8">
        <f>IF(A78="","",IFERROR(INDEX(Ingredients!$O$5:$O$304,MATCH(A78,Ingredients!$A$5:$A$304,0)),""))</f>
        <v>0</v>
      </c>
      <c r="Z78" s="8">
        <f>IF(A78="","",IF(O78="Yes","Bought",IF(N78="Yes","To buy","Not needed")))</f>
        <v>0</v>
      </c>
      <c r="AA78" s="25"/>
    </row>
    <row r="79" spans="1:27">
      <c r="A79" s="7"/>
      <c r="B79" s="8">
        <f>IF(A79="","",IFERROR(INDEX(Ingredients!$B$5:$B$304,MATCH(A79,Ingredients!$A$5:$A$304,0)),""))</f>
        <v>0</v>
      </c>
      <c r="C79" s="26"/>
      <c r="D79" s="27"/>
      <c r="E79" s="27"/>
      <c r="F79" s="7"/>
      <c r="G79" s="8">
        <f>IF(A79="","",IFERROR(INDEX(Ingredients!$D$5:$D$304,MATCH(A79,Ingredients!$A$5:$A$304,0)),""))</f>
        <v>0</v>
      </c>
      <c r="H79" s="8">
        <f>IF(OR(A79="",C79="",G79=""),"",C79*G79)</f>
        <v>0</v>
      </c>
      <c r="I79" s="26"/>
      <c r="J79" s="8">
        <f>IF(OR(C79="",I79="",I79=0),"",CEILING(C79/I79,1))</f>
        <v>0</v>
      </c>
      <c r="K79" s="8">
        <f>IF(OR(J79="",I79="",G79=""),"",J79*I79*G79)</f>
        <v>0</v>
      </c>
      <c r="L79" s="8">
        <f>IF(A79="","",SUMIFS(Pantry!$C$5:$C$304,Pantry!$A$5:$A$304,A79))</f>
        <v>0</v>
      </c>
      <c r="M79" s="8">
        <f>IF(OR(A79="",C79=""),"",MAX(0,C79-L79))</f>
        <v>0</v>
      </c>
      <c r="N79" s="27"/>
      <c r="O79" s="27"/>
      <c r="P79" s="30"/>
      <c r="Q79" s="28"/>
      <c r="R79" s="8">
        <f>IF(OR(Q79="",H79=""),"",Q79-H79)</f>
        <v>0</v>
      </c>
      <c r="S79" s="8">
        <f>IF(M79="","",COUNTIFS($M$5:$M$304,"&gt;"&amp;M79)+1)</f>
        <v>0</v>
      </c>
      <c r="T79" s="8">
        <f>IF(H79="","",H79+ROW()/1000000)</f>
        <v>0</v>
      </c>
      <c r="U79" s="8">
        <f>IF(OR(N79&lt;&gt;"Yes",T79=""),"",COUNTIFS($N$5:$N$304,"Yes",$T$5:$T$304,"&lt;"&amp;T79)+1)</f>
        <v>0</v>
      </c>
      <c r="V79" s="8">
        <f>IF(A79="","",IF(O79="Yes","Bought",IF(M79&lt;=0,"Have it",IF(N79&lt;&gt;"Yes","Skip",IF(S79&lt;=10,"Must have","Nice to have")))))</f>
        <v>0</v>
      </c>
      <c r="W79" s="30"/>
      <c r="X79" s="8">
        <f>IF(A79="","",IFERROR(INDEX('Recipe Ingredients'!$A$5:$A$1204,MATCH(A79,'Recipe Ingredients'!$B$5:$B$1204,0)),""))</f>
        <v>0</v>
      </c>
      <c r="Y79" s="8">
        <f>IF(A79="","",IFERROR(INDEX(Ingredients!$O$5:$O$304,MATCH(A79,Ingredients!$A$5:$A$304,0)),""))</f>
        <v>0</v>
      </c>
      <c r="Z79" s="8">
        <f>IF(A79="","",IF(O79="Yes","Bought",IF(N79="Yes","To buy","Not needed")))</f>
        <v>0</v>
      </c>
      <c r="AA79" s="25"/>
    </row>
    <row r="80" spans="1:27">
      <c r="A80" s="7"/>
      <c r="B80" s="8">
        <f>IF(A80="","",IFERROR(INDEX(Ingredients!$B$5:$B$304,MATCH(A80,Ingredients!$A$5:$A$304,0)),""))</f>
        <v>0</v>
      </c>
      <c r="C80" s="26"/>
      <c r="D80" s="27"/>
      <c r="E80" s="27"/>
      <c r="F80" s="7"/>
      <c r="G80" s="8">
        <f>IF(A80="","",IFERROR(INDEX(Ingredients!$D$5:$D$304,MATCH(A80,Ingredients!$A$5:$A$304,0)),""))</f>
        <v>0</v>
      </c>
      <c r="H80" s="8">
        <f>IF(OR(A80="",C80="",G80=""),"",C80*G80)</f>
        <v>0</v>
      </c>
      <c r="I80" s="26"/>
      <c r="J80" s="8">
        <f>IF(OR(C80="",I80="",I80=0),"",CEILING(C80/I80,1))</f>
        <v>0</v>
      </c>
      <c r="K80" s="8">
        <f>IF(OR(J80="",I80="",G80=""),"",J80*I80*G80)</f>
        <v>0</v>
      </c>
      <c r="L80" s="8">
        <f>IF(A80="","",SUMIFS(Pantry!$C$5:$C$304,Pantry!$A$5:$A$304,A80))</f>
        <v>0</v>
      </c>
      <c r="M80" s="8">
        <f>IF(OR(A80="",C80=""),"",MAX(0,C80-L80))</f>
        <v>0</v>
      </c>
      <c r="N80" s="27"/>
      <c r="O80" s="27"/>
      <c r="P80" s="30"/>
      <c r="Q80" s="28"/>
      <c r="R80" s="8">
        <f>IF(OR(Q80="",H80=""),"",Q80-H80)</f>
        <v>0</v>
      </c>
      <c r="S80" s="8">
        <f>IF(M80="","",COUNTIFS($M$5:$M$304,"&gt;"&amp;M80)+1)</f>
        <v>0</v>
      </c>
      <c r="T80" s="8">
        <f>IF(H80="","",H80+ROW()/1000000)</f>
        <v>0</v>
      </c>
      <c r="U80" s="8">
        <f>IF(OR(N80&lt;&gt;"Yes",T80=""),"",COUNTIFS($N$5:$N$304,"Yes",$T$5:$T$304,"&lt;"&amp;T80)+1)</f>
        <v>0</v>
      </c>
      <c r="V80" s="8">
        <f>IF(A80="","",IF(O80="Yes","Bought",IF(M80&lt;=0,"Have it",IF(N80&lt;&gt;"Yes","Skip",IF(S80&lt;=10,"Must have","Nice to have")))))</f>
        <v>0</v>
      </c>
      <c r="W80" s="30"/>
      <c r="X80" s="8">
        <f>IF(A80="","",IFERROR(INDEX('Recipe Ingredients'!$A$5:$A$1204,MATCH(A80,'Recipe Ingredients'!$B$5:$B$1204,0)),""))</f>
        <v>0</v>
      </c>
      <c r="Y80" s="8">
        <f>IF(A80="","",IFERROR(INDEX(Ingredients!$O$5:$O$304,MATCH(A80,Ingredients!$A$5:$A$304,0)),""))</f>
        <v>0</v>
      </c>
      <c r="Z80" s="8">
        <f>IF(A80="","",IF(O80="Yes","Bought",IF(N80="Yes","To buy","Not needed")))</f>
        <v>0</v>
      </c>
      <c r="AA80" s="25"/>
    </row>
    <row r="81" spans="1:27">
      <c r="A81" s="7"/>
      <c r="B81" s="8">
        <f>IF(A81="","",IFERROR(INDEX(Ingredients!$B$5:$B$304,MATCH(A81,Ingredients!$A$5:$A$304,0)),""))</f>
        <v>0</v>
      </c>
      <c r="C81" s="26"/>
      <c r="D81" s="27"/>
      <c r="E81" s="27"/>
      <c r="F81" s="7"/>
      <c r="G81" s="8">
        <f>IF(A81="","",IFERROR(INDEX(Ingredients!$D$5:$D$304,MATCH(A81,Ingredients!$A$5:$A$304,0)),""))</f>
        <v>0</v>
      </c>
      <c r="H81" s="8">
        <f>IF(OR(A81="",C81="",G81=""),"",C81*G81)</f>
        <v>0</v>
      </c>
      <c r="I81" s="26"/>
      <c r="J81" s="8">
        <f>IF(OR(C81="",I81="",I81=0),"",CEILING(C81/I81,1))</f>
        <v>0</v>
      </c>
      <c r="K81" s="8">
        <f>IF(OR(J81="",I81="",G81=""),"",J81*I81*G81)</f>
        <v>0</v>
      </c>
      <c r="L81" s="8">
        <f>IF(A81="","",SUMIFS(Pantry!$C$5:$C$304,Pantry!$A$5:$A$304,A81))</f>
        <v>0</v>
      </c>
      <c r="M81" s="8">
        <f>IF(OR(A81="",C81=""),"",MAX(0,C81-L81))</f>
        <v>0</v>
      </c>
      <c r="N81" s="27"/>
      <c r="O81" s="27"/>
      <c r="P81" s="30"/>
      <c r="Q81" s="28"/>
      <c r="R81" s="8">
        <f>IF(OR(Q81="",H81=""),"",Q81-H81)</f>
        <v>0</v>
      </c>
      <c r="S81" s="8">
        <f>IF(M81="","",COUNTIFS($M$5:$M$304,"&gt;"&amp;M81)+1)</f>
        <v>0</v>
      </c>
      <c r="T81" s="8">
        <f>IF(H81="","",H81+ROW()/1000000)</f>
        <v>0</v>
      </c>
      <c r="U81" s="8">
        <f>IF(OR(N81&lt;&gt;"Yes",T81=""),"",COUNTIFS($N$5:$N$304,"Yes",$T$5:$T$304,"&lt;"&amp;T81)+1)</f>
        <v>0</v>
      </c>
      <c r="V81" s="8">
        <f>IF(A81="","",IF(O81="Yes","Bought",IF(M81&lt;=0,"Have it",IF(N81&lt;&gt;"Yes","Skip",IF(S81&lt;=10,"Must have","Nice to have")))))</f>
        <v>0</v>
      </c>
      <c r="W81" s="30"/>
      <c r="X81" s="8">
        <f>IF(A81="","",IFERROR(INDEX('Recipe Ingredients'!$A$5:$A$1204,MATCH(A81,'Recipe Ingredients'!$B$5:$B$1204,0)),""))</f>
        <v>0</v>
      </c>
      <c r="Y81" s="8">
        <f>IF(A81="","",IFERROR(INDEX(Ingredients!$O$5:$O$304,MATCH(A81,Ingredients!$A$5:$A$304,0)),""))</f>
        <v>0</v>
      </c>
      <c r="Z81" s="8">
        <f>IF(A81="","",IF(O81="Yes","Bought",IF(N81="Yes","To buy","Not needed")))</f>
        <v>0</v>
      </c>
      <c r="AA81" s="25"/>
    </row>
    <row r="82" spans="1:27">
      <c r="A82" s="7"/>
      <c r="B82" s="8">
        <f>IF(A82="","",IFERROR(INDEX(Ingredients!$B$5:$B$304,MATCH(A82,Ingredients!$A$5:$A$304,0)),""))</f>
        <v>0</v>
      </c>
      <c r="C82" s="26"/>
      <c r="D82" s="27"/>
      <c r="E82" s="27"/>
      <c r="F82" s="7"/>
      <c r="G82" s="8">
        <f>IF(A82="","",IFERROR(INDEX(Ingredients!$D$5:$D$304,MATCH(A82,Ingredients!$A$5:$A$304,0)),""))</f>
        <v>0</v>
      </c>
      <c r="H82" s="8">
        <f>IF(OR(A82="",C82="",G82=""),"",C82*G82)</f>
        <v>0</v>
      </c>
      <c r="I82" s="26"/>
      <c r="J82" s="8">
        <f>IF(OR(C82="",I82="",I82=0),"",CEILING(C82/I82,1))</f>
        <v>0</v>
      </c>
      <c r="K82" s="8">
        <f>IF(OR(J82="",I82="",G82=""),"",J82*I82*G82)</f>
        <v>0</v>
      </c>
      <c r="L82" s="8">
        <f>IF(A82="","",SUMIFS(Pantry!$C$5:$C$304,Pantry!$A$5:$A$304,A82))</f>
        <v>0</v>
      </c>
      <c r="M82" s="8">
        <f>IF(OR(A82="",C82=""),"",MAX(0,C82-L82))</f>
        <v>0</v>
      </c>
      <c r="N82" s="27"/>
      <c r="O82" s="27"/>
      <c r="P82" s="30"/>
      <c r="Q82" s="28"/>
      <c r="R82" s="8">
        <f>IF(OR(Q82="",H82=""),"",Q82-H82)</f>
        <v>0</v>
      </c>
      <c r="S82" s="8">
        <f>IF(M82="","",COUNTIFS($M$5:$M$304,"&gt;"&amp;M82)+1)</f>
        <v>0</v>
      </c>
      <c r="T82" s="8">
        <f>IF(H82="","",H82+ROW()/1000000)</f>
        <v>0</v>
      </c>
      <c r="U82" s="8">
        <f>IF(OR(N82&lt;&gt;"Yes",T82=""),"",COUNTIFS($N$5:$N$304,"Yes",$T$5:$T$304,"&lt;"&amp;T82)+1)</f>
        <v>0</v>
      </c>
      <c r="V82" s="8">
        <f>IF(A82="","",IF(O82="Yes","Bought",IF(M82&lt;=0,"Have it",IF(N82&lt;&gt;"Yes","Skip",IF(S82&lt;=10,"Must have","Nice to have")))))</f>
        <v>0</v>
      </c>
      <c r="W82" s="30"/>
      <c r="X82" s="8">
        <f>IF(A82="","",IFERROR(INDEX('Recipe Ingredients'!$A$5:$A$1204,MATCH(A82,'Recipe Ingredients'!$B$5:$B$1204,0)),""))</f>
        <v>0</v>
      </c>
      <c r="Y82" s="8">
        <f>IF(A82="","",IFERROR(INDEX(Ingredients!$O$5:$O$304,MATCH(A82,Ingredients!$A$5:$A$304,0)),""))</f>
        <v>0</v>
      </c>
      <c r="Z82" s="8">
        <f>IF(A82="","",IF(O82="Yes","Bought",IF(N82="Yes","To buy","Not needed")))</f>
        <v>0</v>
      </c>
      <c r="AA82" s="25"/>
    </row>
    <row r="83" spans="1:27">
      <c r="A83" s="7"/>
      <c r="B83" s="8">
        <f>IF(A83="","",IFERROR(INDEX(Ingredients!$B$5:$B$304,MATCH(A83,Ingredients!$A$5:$A$304,0)),""))</f>
        <v>0</v>
      </c>
      <c r="C83" s="26"/>
      <c r="D83" s="27"/>
      <c r="E83" s="27"/>
      <c r="F83" s="7"/>
      <c r="G83" s="8">
        <f>IF(A83="","",IFERROR(INDEX(Ingredients!$D$5:$D$304,MATCH(A83,Ingredients!$A$5:$A$304,0)),""))</f>
        <v>0</v>
      </c>
      <c r="H83" s="8">
        <f>IF(OR(A83="",C83="",G83=""),"",C83*G83)</f>
        <v>0</v>
      </c>
      <c r="I83" s="26"/>
      <c r="J83" s="8">
        <f>IF(OR(C83="",I83="",I83=0),"",CEILING(C83/I83,1))</f>
        <v>0</v>
      </c>
      <c r="K83" s="8">
        <f>IF(OR(J83="",I83="",G83=""),"",J83*I83*G83)</f>
        <v>0</v>
      </c>
      <c r="L83" s="8">
        <f>IF(A83="","",SUMIFS(Pantry!$C$5:$C$304,Pantry!$A$5:$A$304,A83))</f>
        <v>0</v>
      </c>
      <c r="M83" s="8">
        <f>IF(OR(A83="",C83=""),"",MAX(0,C83-L83))</f>
        <v>0</v>
      </c>
      <c r="N83" s="27"/>
      <c r="O83" s="27"/>
      <c r="P83" s="30"/>
      <c r="Q83" s="28"/>
      <c r="R83" s="8">
        <f>IF(OR(Q83="",H83=""),"",Q83-H83)</f>
        <v>0</v>
      </c>
      <c r="S83" s="8">
        <f>IF(M83="","",COUNTIFS($M$5:$M$304,"&gt;"&amp;M83)+1)</f>
        <v>0</v>
      </c>
      <c r="T83" s="8">
        <f>IF(H83="","",H83+ROW()/1000000)</f>
        <v>0</v>
      </c>
      <c r="U83" s="8">
        <f>IF(OR(N83&lt;&gt;"Yes",T83=""),"",COUNTIFS($N$5:$N$304,"Yes",$T$5:$T$304,"&lt;"&amp;T83)+1)</f>
        <v>0</v>
      </c>
      <c r="V83" s="8">
        <f>IF(A83="","",IF(O83="Yes","Bought",IF(M83&lt;=0,"Have it",IF(N83&lt;&gt;"Yes","Skip",IF(S83&lt;=10,"Must have","Nice to have")))))</f>
        <v>0</v>
      </c>
      <c r="W83" s="30"/>
      <c r="X83" s="8">
        <f>IF(A83="","",IFERROR(INDEX('Recipe Ingredients'!$A$5:$A$1204,MATCH(A83,'Recipe Ingredients'!$B$5:$B$1204,0)),""))</f>
        <v>0</v>
      </c>
      <c r="Y83" s="8">
        <f>IF(A83="","",IFERROR(INDEX(Ingredients!$O$5:$O$304,MATCH(A83,Ingredients!$A$5:$A$304,0)),""))</f>
        <v>0</v>
      </c>
      <c r="Z83" s="8">
        <f>IF(A83="","",IF(O83="Yes","Bought",IF(N83="Yes","To buy","Not needed")))</f>
        <v>0</v>
      </c>
      <c r="AA83" s="25"/>
    </row>
    <row r="84" spans="1:27">
      <c r="A84" s="7"/>
      <c r="B84" s="8">
        <f>IF(A84="","",IFERROR(INDEX(Ingredients!$B$5:$B$304,MATCH(A84,Ingredients!$A$5:$A$304,0)),""))</f>
        <v>0</v>
      </c>
      <c r="C84" s="26"/>
      <c r="D84" s="27"/>
      <c r="E84" s="27"/>
      <c r="F84" s="7"/>
      <c r="G84" s="8">
        <f>IF(A84="","",IFERROR(INDEX(Ingredients!$D$5:$D$304,MATCH(A84,Ingredients!$A$5:$A$304,0)),""))</f>
        <v>0</v>
      </c>
      <c r="H84" s="8">
        <f>IF(OR(A84="",C84="",G84=""),"",C84*G84)</f>
        <v>0</v>
      </c>
      <c r="I84" s="26"/>
      <c r="J84" s="8">
        <f>IF(OR(C84="",I84="",I84=0),"",CEILING(C84/I84,1))</f>
        <v>0</v>
      </c>
      <c r="K84" s="8">
        <f>IF(OR(J84="",I84="",G84=""),"",J84*I84*G84)</f>
        <v>0</v>
      </c>
      <c r="L84" s="8">
        <f>IF(A84="","",SUMIFS(Pantry!$C$5:$C$304,Pantry!$A$5:$A$304,A84))</f>
        <v>0</v>
      </c>
      <c r="M84" s="8">
        <f>IF(OR(A84="",C84=""),"",MAX(0,C84-L84))</f>
        <v>0</v>
      </c>
      <c r="N84" s="27"/>
      <c r="O84" s="27"/>
      <c r="P84" s="30"/>
      <c r="Q84" s="28"/>
      <c r="R84" s="8">
        <f>IF(OR(Q84="",H84=""),"",Q84-H84)</f>
        <v>0</v>
      </c>
      <c r="S84" s="8">
        <f>IF(M84="","",COUNTIFS($M$5:$M$304,"&gt;"&amp;M84)+1)</f>
        <v>0</v>
      </c>
      <c r="T84" s="8">
        <f>IF(H84="","",H84+ROW()/1000000)</f>
        <v>0</v>
      </c>
      <c r="U84" s="8">
        <f>IF(OR(N84&lt;&gt;"Yes",T84=""),"",COUNTIFS($N$5:$N$304,"Yes",$T$5:$T$304,"&lt;"&amp;T84)+1)</f>
        <v>0</v>
      </c>
      <c r="V84" s="8">
        <f>IF(A84="","",IF(O84="Yes","Bought",IF(M84&lt;=0,"Have it",IF(N84&lt;&gt;"Yes","Skip",IF(S84&lt;=10,"Must have","Nice to have")))))</f>
        <v>0</v>
      </c>
      <c r="W84" s="30"/>
      <c r="X84" s="8">
        <f>IF(A84="","",IFERROR(INDEX('Recipe Ingredients'!$A$5:$A$1204,MATCH(A84,'Recipe Ingredients'!$B$5:$B$1204,0)),""))</f>
        <v>0</v>
      </c>
      <c r="Y84" s="8">
        <f>IF(A84="","",IFERROR(INDEX(Ingredients!$O$5:$O$304,MATCH(A84,Ingredients!$A$5:$A$304,0)),""))</f>
        <v>0</v>
      </c>
      <c r="Z84" s="8">
        <f>IF(A84="","",IF(O84="Yes","Bought",IF(N84="Yes","To buy","Not needed")))</f>
        <v>0</v>
      </c>
      <c r="AA84" s="25"/>
    </row>
    <row r="85" spans="1:27">
      <c r="A85" s="7"/>
      <c r="B85" s="8">
        <f>IF(A85="","",IFERROR(INDEX(Ingredients!$B$5:$B$304,MATCH(A85,Ingredients!$A$5:$A$304,0)),""))</f>
        <v>0</v>
      </c>
      <c r="C85" s="26"/>
      <c r="D85" s="27"/>
      <c r="E85" s="27"/>
      <c r="F85" s="7"/>
      <c r="G85" s="8">
        <f>IF(A85="","",IFERROR(INDEX(Ingredients!$D$5:$D$304,MATCH(A85,Ingredients!$A$5:$A$304,0)),""))</f>
        <v>0</v>
      </c>
      <c r="H85" s="8">
        <f>IF(OR(A85="",C85="",G85=""),"",C85*G85)</f>
        <v>0</v>
      </c>
      <c r="I85" s="26"/>
      <c r="J85" s="8">
        <f>IF(OR(C85="",I85="",I85=0),"",CEILING(C85/I85,1))</f>
        <v>0</v>
      </c>
      <c r="K85" s="8">
        <f>IF(OR(J85="",I85="",G85=""),"",J85*I85*G85)</f>
        <v>0</v>
      </c>
      <c r="L85" s="8">
        <f>IF(A85="","",SUMIFS(Pantry!$C$5:$C$304,Pantry!$A$5:$A$304,A85))</f>
        <v>0</v>
      </c>
      <c r="M85" s="8">
        <f>IF(OR(A85="",C85=""),"",MAX(0,C85-L85))</f>
        <v>0</v>
      </c>
      <c r="N85" s="27"/>
      <c r="O85" s="27"/>
      <c r="P85" s="30"/>
      <c r="Q85" s="28"/>
      <c r="R85" s="8">
        <f>IF(OR(Q85="",H85=""),"",Q85-H85)</f>
        <v>0</v>
      </c>
      <c r="S85" s="8">
        <f>IF(M85="","",COUNTIFS($M$5:$M$304,"&gt;"&amp;M85)+1)</f>
        <v>0</v>
      </c>
      <c r="T85" s="8">
        <f>IF(H85="","",H85+ROW()/1000000)</f>
        <v>0</v>
      </c>
      <c r="U85" s="8">
        <f>IF(OR(N85&lt;&gt;"Yes",T85=""),"",COUNTIFS($N$5:$N$304,"Yes",$T$5:$T$304,"&lt;"&amp;T85)+1)</f>
        <v>0</v>
      </c>
      <c r="V85" s="8">
        <f>IF(A85="","",IF(O85="Yes","Bought",IF(M85&lt;=0,"Have it",IF(N85&lt;&gt;"Yes","Skip",IF(S85&lt;=10,"Must have","Nice to have")))))</f>
        <v>0</v>
      </c>
      <c r="W85" s="30"/>
      <c r="X85" s="8">
        <f>IF(A85="","",IFERROR(INDEX('Recipe Ingredients'!$A$5:$A$1204,MATCH(A85,'Recipe Ingredients'!$B$5:$B$1204,0)),""))</f>
        <v>0</v>
      </c>
      <c r="Y85" s="8">
        <f>IF(A85="","",IFERROR(INDEX(Ingredients!$O$5:$O$304,MATCH(A85,Ingredients!$A$5:$A$304,0)),""))</f>
        <v>0</v>
      </c>
      <c r="Z85" s="8">
        <f>IF(A85="","",IF(O85="Yes","Bought",IF(N85="Yes","To buy","Not needed")))</f>
        <v>0</v>
      </c>
      <c r="AA85" s="25"/>
    </row>
    <row r="86" spans="1:27">
      <c r="A86" s="7"/>
      <c r="B86" s="8">
        <f>IF(A86="","",IFERROR(INDEX(Ingredients!$B$5:$B$304,MATCH(A86,Ingredients!$A$5:$A$304,0)),""))</f>
        <v>0</v>
      </c>
      <c r="C86" s="26"/>
      <c r="D86" s="27"/>
      <c r="E86" s="27"/>
      <c r="F86" s="7"/>
      <c r="G86" s="8">
        <f>IF(A86="","",IFERROR(INDEX(Ingredients!$D$5:$D$304,MATCH(A86,Ingredients!$A$5:$A$304,0)),""))</f>
        <v>0</v>
      </c>
      <c r="H86" s="8">
        <f>IF(OR(A86="",C86="",G86=""),"",C86*G86)</f>
        <v>0</v>
      </c>
      <c r="I86" s="26"/>
      <c r="J86" s="8">
        <f>IF(OR(C86="",I86="",I86=0),"",CEILING(C86/I86,1))</f>
        <v>0</v>
      </c>
      <c r="K86" s="8">
        <f>IF(OR(J86="",I86="",G86=""),"",J86*I86*G86)</f>
        <v>0</v>
      </c>
      <c r="L86" s="8">
        <f>IF(A86="","",SUMIFS(Pantry!$C$5:$C$304,Pantry!$A$5:$A$304,A86))</f>
        <v>0</v>
      </c>
      <c r="M86" s="8">
        <f>IF(OR(A86="",C86=""),"",MAX(0,C86-L86))</f>
        <v>0</v>
      </c>
      <c r="N86" s="27"/>
      <c r="O86" s="27"/>
      <c r="P86" s="30"/>
      <c r="Q86" s="28"/>
      <c r="R86" s="8">
        <f>IF(OR(Q86="",H86=""),"",Q86-H86)</f>
        <v>0</v>
      </c>
      <c r="S86" s="8">
        <f>IF(M86="","",COUNTIFS($M$5:$M$304,"&gt;"&amp;M86)+1)</f>
        <v>0</v>
      </c>
      <c r="T86" s="8">
        <f>IF(H86="","",H86+ROW()/1000000)</f>
        <v>0</v>
      </c>
      <c r="U86" s="8">
        <f>IF(OR(N86&lt;&gt;"Yes",T86=""),"",COUNTIFS($N$5:$N$304,"Yes",$T$5:$T$304,"&lt;"&amp;T86)+1)</f>
        <v>0</v>
      </c>
      <c r="V86" s="8">
        <f>IF(A86="","",IF(O86="Yes","Bought",IF(M86&lt;=0,"Have it",IF(N86&lt;&gt;"Yes","Skip",IF(S86&lt;=10,"Must have","Nice to have")))))</f>
        <v>0</v>
      </c>
      <c r="W86" s="30"/>
      <c r="X86" s="8">
        <f>IF(A86="","",IFERROR(INDEX('Recipe Ingredients'!$A$5:$A$1204,MATCH(A86,'Recipe Ingredients'!$B$5:$B$1204,0)),""))</f>
        <v>0</v>
      </c>
      <c r="Y86" s="8">
        <f>IF(A86="","",IFERROR(INDEX(Ingredients!$O$5:$O$304,MATCH(A86,Ingredients!$A$5:$A$304,0)),""))</f>
        <v>0</v>
      </c>
      <c r="Z86" s="8">
        <f>IF(A86="","",IF(O86="Yes","Bought",IF(N86="Yes","To buy","Not needed")))</f>
        <v>0</v>
      </c>
      <c r="AA86" s="25"/>
    </row>
    <row r="87" spans="1:27">
      <c r="A87" s="7"/>
      <c r="B87" s="8">
        <f>IF(A87="","",IFERROR(INDEX(Ingredients!$B$5:$B$304,MATCH(A87,Ingredients!$A$5:$A$304,0)),""))</f>
        <v>0</v>
      </c>
      <c r="C87" s="26"/>
      <c r="D87" s="27"/>
      <c r="E87" s="27"/>
      <c r="F87" s="7"/>
      <c r="G87" s="8">
        <f>IF(A87="","",IFERROR(INDEX(Ingredients!$D$5:$D$304,MATCH(A87,Ingredients!$A$5:$A$304,0)),""))</f>
        <v>0</v>
      </c>
      <c r="H87" s="8">
        <f>IF(OR(A87="",C87="",G87=""),"",C87*G87)</f>
        <v>0</v>
      </c>
      <c r="I87" s="26"/>
      <c r="J87" s="8">
        <f>IF(OR(C87="",I87="",I87=0),"",CEILING(C87/I87,1))</f>
        <v>0</v>
      </c>
      <c r="K87" s="8">
        <f>IF(OR(J87="",I87="",G87=""),"",J87*I87*G87)</f>
        <v>0</v>
      </c>
      <c r="L87" s="8">
        <f>IF(A87="","",SUMIFS(Pantry!$C$5:$C$304,Pantry!$A$5:$A$304,A87))</f>
        <v>0</v>
      </c>
      <c r="M87" s="8">
        <f>IF(OR(A87="",C87=""),"",MAX(0,C87-L87))</f>
        <v>0</v>
      </c>
      <c r="N87" s="27"/>
      <c r="O87" s="27"/>
      <c r="P87" s="30"/>
      <c r="Q87" s="28"/>
      <c r="R87" s="8">
        <f>IF(OR(Q87="",H87=""),"",Q87-H87)</f>
        <v>0</v>
      </c>
      <c r="S87" s="8">
        <f>IF(M87="","",COUNTIFS($M$5:$M$304,"&gt;"&amp;M87)+1)</f>
        <v>0</v>
      </c>
      <c r="T87" s="8">
        <f>IF(H87="","",H87+ROW()/1000000)</f>
        <v>0</v>
      </c>
      <c r="U87" s="8">
        <f>IF(OR(N87&lt;&gt;"Yes",T87=""),"",COUNTIFS($N$5:$N$304,"Yes",$T$5:$T$304,"&lt;"&amp;T87)+1)</f>
        <v>0</v>
      </c>
      <c r="V87" s="8">
        <f>IF(A87="","",IF(O87="Yes","Bought",IF(M87&lt;=0,"Have it",IF(N87&lt;&gt;"Yes","Skip",IF(S87&lt;=10,"Must have","Nice to have")))))</f>
        <v>0</v>
      </c>
      <c r="W87" s="30"/>
      <c r="X87" s="8">
        <f>IF(A87="","",IFERROR(INDEX('Recipe Ingredients'!$A$5:$A$1204,MATCH(A87,'Recipe Ingredients'!$B$5:$B$1204,0)),""))</f>
        <v>0</v>
      </c>
      <c r="Y87" s="8">
        <f>IF(A87="","",IFERROR(INDEX(Ingredients!$O$5:$O$304,MATCH(A87,Ingredients!$A$5:$A$304,0)),""))</f>
        <v>0</v>
      </c>
      <c r="Z87" s="8">
        <f>IF(A87="","",IF(O87="Yes","Bought",IF(N87="Yes","To buy","Not needed")))</f>
        <v>0</v>
      </c>
      <c r="AA87" s="25"/>
    </row>
    <row r="88" spans="1:27">
      <c r="A88" s="7"/>
      <c r="B88" s="8">
        <f>IF(A88="","",IFERROR(INDEX(Ingredients!$B$5:$B$304,MATCH(A88,Ingredients!$A$5:$A$304,0)),""))</f>
        <v>0</v>
      </c>
      <c r="C88" s="26"/>
      <c r="D88" s="27"/>
      <c r="E88" s="27"/>
      <c r="F88" s="7"/>
      <c r="G88" s="8">
        <f>IF(A88="","",IFERROR(INDEX(Ingredients!$D$5:$D$304,MATCH(A88,Ingredients!$A$5:$A$304,0)),""))</f>
        <v>0</v>
      </c>
      <c r="H88" s="8">
        <f>IF(OR(A88="",C88="",G88=""),"",C88*G88)</f>
        <v>0</v>
      </c>
      <c r="I88" s="26"/>
      <c r="J88" s="8">
        <f>IF(OR(C88="",I88="",I88=0),"",CEILING(C88/I88,1))</f>
        <v>0</v>
      </c>
      <c r="K88" s="8">
        <f>IF(OR(J88="",I88="",G88=""),"",J88*I88*G88)</f>
        <v>0</v>
      </c>
      <c r="L88" s="8">
        <f>IF(A88="","",SUMIFS(Pantry!$C$5:$C$304,Pantry!$A$5:$A$304,A88))</f>
        <v>0</v>
      </c>
      <c r="M88" s="8">
        <f>IF(OR(A88="",C88=""),"",MAX(0,C88-L88))</f>
        <v>0</v>
      </c>
      <c r="N88" s="27"/>
      <c r="O88" s="27"/>
      <c r="P88" s="30"/>
      <c r="Q88" s="28"/>
      <c r="R88" s="8">
        <f>IF(OR(Q88="",H88=""),"",Q88-H88)</f>
        <v>0</v>
      </c>
      <c r="S88" s="8">
        <f>IF(M88="","",COUNTIFS($M$5:$M$304,"&gt;"&amp;M88)+1)</f>
        <v>0</v>
      </c>
      <c r="T88" s="8">
        <f>IF(H88="","",H88+ROW()/1000000)</f>
        <v>0</v>
      </c>
      <c r="U88" s="8">
        <f>IF(OR(N88&lt;&gt;"Yes",T88=""),"",COUNTIFS($N$5:$N$304,"Yes",$T$5:$T$304,"&lt;"&amp;T88)+1)</f>
        <v>0</v>
      </c>
      <c r="V88" s="8">
        <f>IF(A88="","",IF(O88="Yes","Bought",IF(M88&lt;=0,"Have it",IF(N88&lt;&gt;"Yes","Skip",IF(S88&lt;=10,"Must have","Nice to have")))))</f>
        <v>0</v>
      </c>
      <c r="W88" s="30"/>
      <c r="X88" s="8">
        <f>IF(A88="","",IFERROR(INDEX('Recipe Ingredients'!$A$5:$A$1204,MATCH(A88,'Recipe Ingredients'!$B$5:$B$1204,0)),""))</f>
        <v>0</v>
      </c>
      <c r="Y88" s="8">
        <f>IF(A88="","",IFERROR(INDEX(Ingredients!$O$5:$O$304,MATCH(A88,Ingredients!$A$5:$A$304,0)),""))</f>
        <v>0</v>
      </c>
      <c r="Z88" s="8">
        <f>IF(A88="","",IF(O88="Yes","Bought",IF(N88="Yes","To buy","Not needed")))</f>
        <v>0</v>
      </c>
      <c r="AA88" s="25"/>
    </row>
    <row r="89" spans="1:27">
      <c r="A89" s="7"/>
      <c r="B89" s="8">
        <f>IF(A89="","",IFERROR(INDEX(Ingredients!$B$5:$B$304,MATCH(A89,Ingredients!$A$5:$A$304,0)),""))</f>
        <v>0</v>
      </c>
      <c r="C89" s="26"/>
      <c r="D89" s="27"/>
      <c r="E89" s="27"/>
      <c r="F89" s="7"/>
      <c r="G89" s="8">
        <f>IF(A89="","",IFERROR(INDEX(Ingredients!$D$5:$D$304,MATCH(A89,Ingredients!$A$5:$A$304,0)),""))</f>
        <v>0</v>
      </c>
      <c r="H89" s="8">
        <f>IF(OR(A89="",C89="",G89=""),"",C89*G89)</f>
        <v>0</v>
      </c>
      <c r="I89" s="26"/>
      <c r="J89" s="8">
        <f>IF(OR(C89="",I89="",I89=0),"",CEILING(C89/I89,1))</f>
        <v>0</v>
      </c>
      <c r="K89" s="8">
        <f>IF(OR(J89="",I89="",G89=""),"",J89*I89*G89)</f>
        <v>0</v>
      </c>
      <c r="L89" s="8">
        <f>IF(A89="","",SUMIFS(Pantry!$C$5:$C$304,Pantry!$A$5:$A$304,A89))</f>
        <v>0</v>
      </c>
      <c r="M89" s="8">
        <f>IF(OR(A89="",C89=""),"",MAX(0,C89-L89))</f>
        <v>0</v>
      </c>
      <c r="N89" s="27"/>
      <c r="O89" s="27"/>
      <c r="P89" s="30"/>
      <c r="Q89" s="28"/>
      <c r="R89" s="8">
        <f>IF(OR(Q89="",H89=""),"",Q89-H89)</f>
        <v>0</v>
      </c>
      <c r="S89" s="8">
        <f>IF(M89="","",COUNTIFS($M$5:$M$304,"&gt;"&amp;M89)+1)</f>
        <v>0</v>
      </c>
      <c r="T89" s="8">
        <f>IF(H89="","",H89+ROW()/1000000)</f>
        <v>0</v>
      </c>
      <c r="U89" s="8">
        <f>IF(OR(N89&lt;&gt;"Yes",T89=""),"",COUNTIFS($N$5:$N$304,"Yes",$T$5:$T$304,"&lt;"&amp;T89)+1)</f>
        <v>0</v>
      </c>
      <c r="V89" s="8">
        <f>IF(A89="","",IF(O89="Yes","Bought",IF(M89&lt;=0,"Have it",IF(N89&lt;&gt;"Yes","Skip",IF(S89&lt;=10,"Must have","Nice to have")))))</f>
        <v>0</v>
      </c>
      <c r="W89" s="30"/>
      <c r="X89" s="8">
        <f>IF(A89="","",IFERROR(INDEX('Recipe Ingredients'!$A$5:$A$1204,MATCH(A89,'Recipe Ingredients'!$B$5:$B$1204,0)),""))</f>
        <v>0</v>
      </c>
      <c r="Y89" s="8">
        <f>IF(A89="","",IFERROR(INDEX(Ingredients!$O$5:$O$304,MATCH(A89,Ingredients!$A$5:$A$304,0)),""))</f>
        <v>0</v>
      </c>
      <c r="Z89" s="8">
        <f>IF(A89="","",IF(O89="Yes","Bought",IF(N89="Yes","To buy","Not needed")))</f>
        <v>0</v>
      </c>
      <c r="AA89" s="25"/>
    </row>
    <row r="90" spans="1:27">
      <c r="A90" s="7"/>
      <c r="B90" s="8">
        <f>IF(A90="","",IFERROR(INDEX(Ingredients!$B$5:$B$304,MATCH(A90,Ingredients!$A$5:$A$304,0)),""))</f>
        <v>0</v>
      </c>
      <c r="C90" s="26"/>
      <c r="D90" s="27"/>
      <c r="E90" s="27"/>
      <c r="F90" s="7"/>
      <c r="G90" s="8">
        <f>IF(A90="","",IFERROR(INDEX(Ingredients!$D$5:$D$304,MATCH(A90,Ingredients!$A$5:$A$304,0)),""))</f>
        <v>0</v>
      </c>
      <c r="H90" s="8">
        <f>IF(OR(A90="",C90="",G90=""),"",C90*G90)</f>
        <v>0</v>
      </c>
      <c r="I90" s="26"/>
      <c r="J90" s="8">
        <f>IF(OR(C90="",I90="",I90=0),"",CEILING(C90/I90,1))</f>
        <v>0</v>
      </c>
      <c r="K90" s="8">
        <f>IF(OR(J90="",I90="",G90=""),"",J90*I90*G90)</f>
        <v>0</v>
      </c>
      <c r="L90" s="8">
        <f>IF(A90="","",SUMIFS(Pantry!$C$5:$C$304,Pantry!$A$5:$A$304,A90))</f>
        <v>0</v>
      </c>
      <c r="M90" s="8">
        <f>IF(OR(A90="",C90=""),"",MAX(0,C90-L90))</f>
        <v>0</v>
      </c>
      <c r="N90" s="27"/>
      <c r="O90" s="27"/>
      <c r="P90" s="30"/>
      <c r="Q90" s="28"/>
      <c r="R90" s="8">
        <f>IF(OR(Q90="",H90=""),"",Q90-H90)</f>
        <v>0</v>
      </c>
      <c r="S90" s="8">
        <f>IF(M90="","",COUNTIFS($M$5:$M$304,"&gt;"&amp;M90)+1)</f>
        <v>0</v>
      </c>
      <c r="T90" s="8">
        <f>IF(H90="","",H90+ROW()/1000000)</f>
        <v>0</v>
      </c>
      <c r="U90" s="8">
        <f>IF(OR(N90&lt;&gt;"Yes",T90=""),"",COUNTIFS($N$5:$N$304,"Yes",$T$5:$T$304,"&lt;"&amp;T90)+1)</f>
        <v>0</v>
      </c>
      <c r="V90" s="8">
        <f>IF(A90="","",IF(O90="Yes","Bought",IF(M90&lt;=0,"Have it",IF(N90&lt;&gt;"Yes","Skip",IF(S90&lt;=10,"Must have","Nice to have")))))</f>
        <v>0</v>
      </c>
      <c r="W90" s="30"/>
      <c r="X90" s="8">
        <f>IF(A90="","",IFERROR(INDEX('Recipe Ingredients'!$A$5:$A$1204,MATCH(A90,'Recipe Ingredients'!$B$5:$B$1204,0)),""))</f>
        <v>0</v>
      </c>
      <c r="Y90" s="8">
        <f>IF(A90="","",IFERROR(INDEX(Ingredients!$O$5:$O$304,MATCH(A90,Ingredients!$A$5:$A$304,0)),""))</f>
        <v>0</v>
      </c>
      <c r="Z90" s="8">
        <f>IF(A90="","",IF(O90="Yes","Bought",IF(N90="Yes","To buy","Not needed")))</f>
        <v>0</v>
      </c>
      <c r="AA90" s="25"/>
    </row>
    <row r="91" spans="1:27">
      <c r="A91" s="7"/>
      <c r="B91" s="8">
        <f>IF(A91="","",IFERROR(INDEX(Ingredients!$B$5:$B$304,MATCH(A91,Ingredients!$A$5:$A$304,0)),""))</f>
        <v>0</v>
      </c>
      <c r="C91" s="26"/>
      <c r="D91" s="27"/>
      <c r="E91" s="27"/>
      <c r="F91" s="7"/>
      <c r="G91" s="8">
        <f>IF(A91="","",IFERROR(INDEX(Ingredients!$D$5:$D$304,MATCH(A91,Ingredients!$A$5:$A$304,0)),""))</f>
        <v>0</v>
      </c>
      <c r="H91" s="8">
        <f>IF(OR(A91="",C91="",G91=""),"",C91*G91)</f>
        <v>0</v>
      </c>
      <c r="I91" s="26"/>
      <c r="J91" s="8">
        <f>IF(OR(C91="",I91="",I91=0),"",CEILING(C91/I91,1))</f>
        <v>0</v>
      </c>
      <c r="K91" s="8">
        <f>IF(OR(J91="",I91="",G91=""),"",J91*I91*G91)</f>
        <v>0</v>
      </c>
      <c r="L91" s="8">
        <f>IF(A91="","",SUMIFS(Pantry!$C$5:$C$304,Pantry!$A$5:$A$304,A91))</f>
        <v>0</v>
      </c>
      <c r="M91" s="8">
        <f>IF(OR(A91="",C91=""),"",MAX(0,C91-L91))</f>
        <v>0</v>
      </c>
      <c r="N91" s="27"/>
      <c r="O91" s="27"/>
      <c r="P91" s="30"/>
      <c r="Q91" s="28"/>
      <c r="R91" s="8">
        <f>IF(OR(Q91="",H91=""),"",Q91-H91)</f>
        <v>0</v>
      </c>
      <c r="S91" s="8">
        <f>IF(M91="","",COUNTIFS($M$5:$M$304,"&gt;"&amp;M91)+1)</f>
        <v>0</v>
      </c>
      <c r="T91" s="8">
        <f>IF(H91="","",H91+ROW()/1000000)</f>
        <v>0</v>
      </c>
      <c r="U91" s="8">
        <f>IF(OR(N91&lt;&gt;"Yes",T91=""),"",COUNTIFS($N$5:$N$304,"Yes",$T$5:$T$304,"&lt;"&amp;T91)+1)</f>
        <v>0</v>
      </c>
      <c r="V91" s="8">
        <f>IF(A91="","",IF(O91="Yes","Bought",IF(M91&lt;=0,"Have it",IF(N91&lt;&gt;"Yes","Skip",IF(S91&lt;=10,"Must have","Nice to have")))))</f>
        <v>0</v>
      </c>
      <c r="W91" s="30"/>
      <c r="X91" s="8">
        <f>IF(A91="","",IFERROR(INDEX('Recipe Ingredients'!$A$5:$A$1204,MATCH(A91,'Recipe Ingredients'!$B$5:$B$1204,0)),""))</f>
        <v>0</v>
      </c>
      <c r="Y91" s="8">
        <f>IF(A91="","",IFERROR(INDEX(Ingredients!$O$5:$O$304,MATCH(A91,Ingredients!$A$5:$A$304,0)),""))</f>
        <v>0</v>
      </c>
      <c r="Z91" s="8">
        <f>IF(A91="","",IF(O91="Yes","Bought",IF(N91="Yes","To buy","Not needed")))</f>
        <v>0</v>
      </c>
      <c r="AA91" s="25"/>
    </row>
    <row r="92" spans="1:27">
      <c r="A92" s="7"/>
      <c r="B92" s="8">
        <f>IF(A92="","",IFERROR(INDEX(Ingredients!$B$5:$B$304,MATCH(A92,Ingredients!$A$5:$A$304,0)),""))</f>
        <v>0</v>
      </c>
      <c r="C92" s="26"/>
      <c r="D92" s="27"/>
      <c r="E92" s="27"/>
      <c r="F92" s="7"/>
      <c r="G92" s="8">
        <f>IF(A92="","",IFERROR(INDEX(Ingredients!$D$5:$D$304,MATCH(A92,Ingredients!$A$5:$A$304,0)),""))</f>
        <v>0</v>
      </c>
      <c r="H92" s="8">
        <f>IF(OR(A92="",C92="",G92=""),"",C92*G92)</f>
        <v>0</v>
      </c>
      <c r="I92" s="26"/>
      <c r="J92" s="8">
        <f>IF(OR(C92="",I92="",I92=0),"",CEILING(C92/I92,1))</f>
        <v>0</v>
      </c>
      <c r="K92" s="8">
        <f>IF(OR(J92="",I92="",G92=""),"",J92*I92*G92)</f>
        <v>0</v>
      </c>
      <c r="L92" s="8">
        <f>IF(A92="","",SUMIFS(Pantry!$C$5:$C$304,Pantry!$A$5:$A$304,A92))</f>
        <v>0</v>
      </c>
      <c r="M92" s="8">
        <f>IF(OR(A92="",C92=""),"",MAX(0,C92-L92))</f>
        <v>0</v>
      </c>
      <c r="N92" s="27"/>
      <c r="O92" s="27"/>
      <c r="P92" s="30"/>
      <c r="Q92" s="28"/>
      <c r="R92" s="8">
        <f>IF(OR(Q92="",H92=""),"",Q92-H92)</f>
        <v>0</v>
      </c>
      <c r="S92" s="8">
        <f>IF(M92="","",COUNTIFS($M$5:$M$304,"&gt;"&amp;M92)+1)</f>
        <v>0</v>
      </c>
      <c r="T92" s="8">
        <f>IF(H92="","",H92+ROW()/1000000)</f>
        <v>0</v>
      </c>
      <c r="U92" s="8">
        <f>IF(OR(N92&lt;&gt;"Yes",T92=""),"",COUNTIFS($N$5:$N$304,"Yes",$T$5:$T$304,"&lt;"&amp;T92)+1)</f>
        <v>0</v>
      </c>
      <c r="V92" s="8">
        <f>IF(A92="","",IF(O92="Yes","Bought",IF(M92&lt;=0,"Have it",IF(N92&lt;&gt;"Yes","Skip",IF(S92&lt;=10,"Must have","Nice to have")))))</f>
        <v>0</v>
      </c>
      <c r="W92" s="30"/>
      <c r="X92" s="8">
        <f>IF(A92="","",IFERROR(INDEX('Recipe Ingredients'!$A$5:$A$1204,MATCH(A92,'Recipe Ingredients'!$B$5:$B$1204,0)),""))</f>
        <v>0</v>
      </c>
      <c r="Y92" s="8">
        <f>IF(A92="","",IFERROR(INDEX(Ingredients!$O$5:$O$304,MATCH(A92,Ingredients!$A$5:$A$304,0)),""))</f>
        <v>0</v>
      </c>
      <c r="Z92" s="8">
        <f>IF(A92="","",IF(O92="Yes","Bought",IF(N92="Yes","To buy","Not needed")))</f>
        <v>0</v>
      </c>
      <c r="AA92" s="25"/>
    </row>
    <row r="93" spans="1:27">
      <c r="A93" s="7"/>
      <c r="B93" s="8">
        <f>IF(A93="","",IFERROR(INDEX(Ingredients!$B$5:$B$304,MATCH(A93,Ingredients!$A$5:$A$304,0)),""))</f>
        <v>0</v>
      </c>
      <c r="C93" s="26"/>
      <c r="D93" s="27"/>
      <c r="E93" s="27"/>
      <c r="F93" s="7"/>
      <c r="G93" s="8">
        <f>IF(A93="","",IFERROR(INDEX(Ingredients!$D$5:$D$304,MATCH(A93,Ingredients!$A$5:$A$304,0)),""))</f>
        <v>0</v>
      </c>
      <c r="H93" s="8">
        <f>IF(OR(A93="",C93="",G93=""),"",C93*G93)</f>
        <v>0</v>
      </c>
      <c r="I93" s="26"/>
      <c r="J93" s="8">
        <f>IF(OR(C93="",I93="",I93=0),"",CEILING(C93/I93,1))</f>
        <v>0</v>
      </c>
      <c r="K93" s="8">
        <f>IF(OR(J93="",I93="",G93=""),"",J93*I93*G93)</f>
        <v>0</v>
      </c>
      <c r="L93" s="8">
        <f>IF(A93="","",SUMIFS(Pantry!$C$5:$C$304,Pantry!$A$5:$A$304,A93))</f>
        <v>0</v>
      </c>
      <c r="M93" s="8">
        <f>IF(OR(A93="",C93=""),"",MAX(0,C93-L93))</f>
        <v>0</v>
      </c>
      <c r="N93" s="27"/>
      <c r="O93" s="27"/>
      <c r="P93" s="30"/>
      <c r="Q93" s="28"/>
      <c r="R93" s="8">
        <f>IF(OR(Q93="",H93=""),"",Q93-H93)</f>
        <v>0</v>
      </c>
      <c r="S93" s="8">
        <f>IF(M93="","",COUNTIFS($M$5:$M$304,"&gt;"&amp;M93)+1)</f>
        <v>0</v>
      </c>
      <c r="T93" s="8">
        <f>IF(H93="","",H93+ROW()/1000000)</f>
        <v>0</v>
      </c>
      <c r="U93" s="8">
        <f>IF(OR(N93&lt;&gt;"Yes",T93=""),"",COUNTIFS($N$5:$N$304,"Yes",$T$5:$T$304,"&lt;"&amp;T93)+1)</f>
        <v>0</v>
      </c>
      <c r="V93" s="8">
        <f>IF(A93="","",IF(O93="Yes","Bought",IF(M93&lt;=0,"Have it",IF(N93&lt;&gt;"Yes","Skip",IF(S93&lt;=10,"Must have","Nice to have")))))</f>
        <v>0</v>
      </c>
      <c r="W93" s="30"/>
      <c r="X93" s="8">
        <f>IF(A93="","",IFERROR(INDEX('Recipe Ingredients'!$A$5:$A$1204,MATCH(A93,'Recipe Ingredients'!$B$5:$B$1204,0)),""))</f>
        <v>0</v>
      </c>
      <c r="Y93" s="8">
        <f>IF(A93="","",IFERROR(INDEX(Ingredients!$O$5:$O$304,MATCH(A93,Ingredients!$A$5:$A$304,0)),""))</f>
        <v>0</v>
      </c>
      <c r="Z93" s="8">
        <f>IF(A93="","",IF(O93="Yes","Bought",IF(N93="Yes","To buy","Not needed")))</f>
        <v>0</v>
      </c>
      <c r="AA93" s="25"/>
    </row>
    <row r="94" spans="1:27">
      <c r="A94" s="7"/>
      <c r="B94" s="8">
        <f>IF(A94="","",IFERROR(INDEX(Ingredients!$B$5:$B$304,MATCH(A94,Ingredients!$A$5:$A$304,0)),""))</f>
        <v>0</v>
      </c>
      <c r="C94" s="26"/>
      <c r="D94" s="27"/>
      <c r="E94" s="27"/>
      <c r="F94" s="7"/>
      <c r="G94" s="8">
        <f>IF(A94="","",IFERROR(INDEX(Ingredients!$D$5:$D$304,MATCH(A94,Ingredients!$A$5:$A$304,0)),""))</f>
        <v>0</v>
      </c>
      <c r="H94" s="8">
        <f>IF(OR(A94="",C94="",G94=""),"",C94*G94)</f>
        <v>0</v>
      </c>
      <c r="I94" s="26"/>
      <c r="J94" s="8">
        <f>IF(OR(C94="",I94="",I94=0),"",CEILING(C94/I94,1))</f>
        <v>0</v>
      </c>
      <c r="K94" s="8">
        <f>IF(OR(J94="",I94="",G94=""),"",J94*I94*G94)</f>
        <v>0</v>
      </c>
      <c r="L94" s="8">
        <f>IF(A94="","",SUMIFS(Pantry!$C$5:$C$304,Pantry!$A$5:$A$304,A94))</f>
        <v>0</v>
      </c>
      <c r="M94" s="8">
        <f>IF(OR(A94="",C94=""),"",MAX(0,C94-L94))</f>
        <v>0</v>
      </c>
      <c r="N94" s="27"/>
      <c r="O94" s="27"/>
      <c r="P94" s="30"/>
      <c r="Q94" s="28"/>
      <c r="R94" s="8">
        <f>IF(OR(Q94="",H94=""),"",Q94-H94)</f>
        <v>0</v>
      </c>
      <c r="S94" s="8">
        <f>IF(M94="","",COUNTIFS($M$5:$M$304,"&gt;"&amp;M94)+1)</f>
        <v>0</v>
      </c>
      <c r="T94" s="8">
        <f>IF(H94="","",H94+ROW()/1000000)</f>
        <v>0</v>
      </c>
      <c r="U94" s="8">
        <f>IF(OR(N94&lt;&gt;"Yes",T94=""),"",COUNTIFS($N$5:$N$304,"Yes",$T$5:$T$304,"&lt;"&amp;T94)+1)</f>
        <v>0</v>
      </c>
      <c r="V94" s="8">
        <f>IF(A94="","",IF(O94="Yes","Bought",IF(M94&lt;=0,"Have it",IF(N94&lt;&gt;"Yes","Skip",IF(S94&lt;=10,"Must have","Nice to have")))))</f>
        <v>0</v>
      </c>
      <c r="W94" s="30"/>
      <c r="X94" s="8">
        <f>IF(A94="","",IFERROR(INDEX('Recipe Ingredients'!$A$5:$A$1204,MATCH(A94,'Recipe Ingredients'!$B$5:$B$1204,0)),""))</f>
        <v>0</v>
      </c>
      <c r="Y94" s="8">
        <f>IF(A94="","",IFERROR(INDEX(Ingredients!$O$5:$O$304,MATCH(A94,Ingredients!$A$5:$A$304,0)),""))</f>
        <v>0</v>
      </c>
      <c r="Z94" s="8">
        <f>IF(A94="","",IF(O94="Yes","Bought",IF(N94="Yes","To buy","Not needed")))</f>
        <v>0</v>
      </c>
      <c r="AA94" s="25"/>
    </row>
    <row r="95" spans="1:27">
      <c r="A95" s="7"/>
      <c r="B95" s="8">
        <f>IF(A95="","",IFERROR(INDEX(Ingredients!$B$5:$B$304,MATCH(A95,Ingredients!$A$5:$A$304,0)),""))</f>
        <v>0</v>
      </c>
      <c r="C95" s="26"/>
      <c r="D95" s="27"/>
      <c r="E95" s="27"/>
      <c r="F95" s="7"/>
      <c r="G95" s="8">
        <f>IF(A95="","",IFERROR(INDEX(Ingredients!$D$5:$D$304,MATCH(A95,Ingredients!$A$5:$A$304,0)),""))</f>
        <v>0</v>
      </c>
      <c r="H95" s="8">
        <f>IF(OR(A95="",C95="",G95=""),"",C95*G95)</f>
        <v>0</v>
      </c>
      <c r="I95" s="26"/>
      <c r="J95" s="8">
        <f>IF(OR(C95="",I95="",I95=0),"",CEILING(C95/I95,1))</f>
        <v>0</v>
      </c>
      <c r="K95" s="8">
        <f>IF(OR(J95="",I95="",G95=""),"",J95*I95*G95)</f>
        <v>0</v>
      </c>
      <c r="L95" s="8">
        <f>IF(A95="","",SUMIFS(Pantry!$C$5:$C$304,Pantry!$A$5:$A$304,A95))</f>
        <v>0</v>
      </c>
      <c r="M95" s="8">
        <f>IF(OR(A95="",C95=""),"",MAX(0,C95-L95))</f>
        <v>0</v>
      </c>
      <c r="N95" s="27"/>
      <c r="O95" s="27"/>
      <c r="P95" s="30"/>
      <c r="Q95" s="28"/>
      <c r="R95" s="8">
        <f>IF(OR(Q95="",H95=""),"",Q95-H95)</f>
        <v>0</v>
      </c>
      <c r="S95" s="8">
        <f>IF(M95="","",COUNTIFS($M$5:$M$304,"&gt;"&amp;M95)+1)</f>
        <v>0</v>
      </c>
      <c r="T95" s="8">
        <f>IF(H95="","",H95+ROW()/1000000)</f>
        <v>0</v>
      </c>
      <c r="U95" s="8">
        <f>IF(OR(N95&lt;&gt;"Yes",T95=""),"",COUNTIFS($N$5:$N$304,"Yes",$T$5:$T$304,"&lt;"&amp;T95)+1)</f>
        <v>0</v>
      </c>
      <c r="V95" s="8">
        <f>IF(A95="","",IF(O95="Yes","Bought",IF(M95&lt;=0,"Have it",IF(N95&lt;&gt;"Yes","Skip",IF(S95&lt;=10,"Must have","Nice to have")))))</f>
        <v>0</v>
      </c>
      <c r="W95" s="30"/>
      <c r="X95" s="8">
        <f>IF(A95="","",IFERROR(INDEX('Recipe Ingredients'!$A$5:$A$1204,MATCH(A95,'Recipe Ingredients'!$B$5:$B$1204,0)),""))</f>
        <v>0</v>
      </c>
      <c r="Y95" s="8">
        <f>IF(A95="","",IFERROR(INDEX(Ingredients!$O$5:$O$304,MATCH(A95,Ingredients!$A$5:$A$304,0)),""))</f>
        <v>0</v>
      </c>
      <c r="Z95" s="8">
        <f>IF(A95="","",IF(O95="Yes","Bought",IF(N95="Yes","To buy","Not needed")))</f>
        <v>0</v>
      </c>
      <c r="AA95" s="25"/>
    </row>
    <row r="96" spans="1:27">
      <c r="A96" s="7"/>
      <c r="B96" s="8">
        <f>IF(A96="","",IFERROR(INDEX(Ingredients!$B$5:$B$304,MATCH(A96,Ingredients!$A$5:$A$304,0)),""))</f>
        <v>0</v>
      </c>
      <c r="C96" s="26"/>
      <c r="D96" s="27"/>
      <c r="E96" s="27"/>
      <c r="F96" s="7"/>
      <c r="G96" s="8">
        <f>IF(A96="","",IFERROR(INDEX(Ingredients!$D$5:$D$304,MATCH(A96,Ingredients!$A$5:$A$304,0)),""))</f>
        <v>0</v>
      </c>
      <c r="H96" s="8">
        <f>IF(OR(A96="",C96="",G96=""),"",C96*G96)</f>
        <v>0</v>
      </c>
      <c r="I96" s="26"/>
      <c r="J96" s="8">
        <f>IF(OR(C96="",I96="",I96=0),"",CEILING(C96/I96,1))</f>
        <v>0</v>
      </c>
      <c r="K96" s="8">
        <f>IF(OR(J96="",I96="",G96=""),"",J96*I96*G96)</f>
        <v>0</v>
      </c>
      <c r="L96" s="8">
        <f>IF(A96="","",SUMIFS(Pantry!$C$5:$C$304,Pantry!$A$5:$A$304,A96))</f>
        <v>0</v>
      </c>
      <c r="M96" s="8">
        <f>IF(OR(A96="",C96=""),"",MAX(0,C96-L96))</f>
        <v>0</v>
      </c>
      <c r="N96" s="27"/>
      <c r="O96" s="27"/>
      <c r="P96" s="30"/>
      <c r="Q96" s="28"/>
      <c r="R96" s="8">
        <f>IF(OR(Q96="",H96=""),"",Q96-H96)</f>
        <v>0</v>
      </c>
      <c r="S96" s="8">
        <f>IF(M96="","",COUNTIFS($M$5:$M$304,"&gt;"&amp;M96)+1)</f>
        <v>0</v>
      </c>
      <c r="T96" s="8">
        <f>IF(H96="","",H96+ROW()/1000000)</f>
        <v>0</v>
      </c>
      <c r="U96" s="8">
        <f>IF(OR(N96&lt;&gt;"Yes",T96=""),"",COUNTIFS($N$5:$N$304,"Yes",$T$5:$T$304,"&lt;"&amp;T96)+1)</f>
        <v>0</v>
      </c>
      <c r="V96" s="8">
        <f>IF(A96="","",IF(O96="Yes","Bought",IF(M96&lt;=0,"Have it",IF(N96&lt;&gt;"Yes","Skip",IF(S96&lt;=10,"Must have","Nice to have")))))</f>
        <v>0</v>
      </c>
      <c r="W96" s="30"/>
      <c r="X96" s="8">
        <f>IF(A96="","",IFERROR(INDEX('Recipe Ingredients'!$A$5:$A$1204,MATCH(A96,'Recipe Ingredients'!$B$5:$B$1204,0)),""))</f>
        <v>0</v>
      </c>
      <c r="Y96" s="8">
        <f>IF(A96="","",IFERROR(INDEX(Ingredients!$O$5:$O$304,MATCH(A96,Ingredients!$A$5:$A$304,0)),""))</f>
        <v>0</v>
      </c>
      <c r="Z96" s="8">
        <f>IF(A96="","",IF(O96="Yes","Bought",IF(N96="Yes","To buy","Not needed")))</f>
        <v>0</v>
      </c>
      <c r="AA96" s="25"/>
    </row>
    <row r="97" spans="1:27">
      <c r="A97" s="7"/>
      <c r="B97" s="8">
        <f>IF(A97="","",IFERROR(INDEX(Ingredients!$B$5:$B$304,MATCH(A97,Ingredients!$A$5:$A$304,0)),""))</f>
        <v>0</v>
      </c>
      <c r="C97" s="26"/>
      <c r="D97" s="27"/>
      <c r="E97" s="27"/>
      <c r="F97" s="7"/>
      <c r="G97" s="8">
        <f>IF(A97="","",IFERROR(INDEX(Ingredients!$D$5:$D$304,MATCH(A97,Ingredients!$A$5:$A$304,0)),""))</f>
        <v>0</v>
      </c>
      <c r="H97" s="8">
        <f>IF(OR(A97="",C97="",G97=""),"",C97*G97)</f>
        <v>0</v>
      </c>
      <c r="I97" s="26"/>
      <c r="J97" s="8">
        <f>IF(OR(C97="",I97="",I97=0),"",CEILING(C97/I97,1))</f>
        <v>0</v>
      </c>
      <c r="K97" s="8">
        <f>IF(OR(J97="",I97="",G97=""),"",J97*I97*G97)</f>
        <v>0</v>
      </c>
      <c r="L97" s="8">
        <f>IF(A97="","",SUMIFS(Pantry!$C$5:$C$304,Pantry!$A$5:$A$304,A97))</f>
        <v>0</v>
      </c>
      <c r="M97" s="8">
        <f>IF(OR(A97="",C97=""),"",MAX(0,C97-L97))</f>
        <v>0</v>
      </c>
      <c r="N97" s="27"/>
      <c r="O97" s="27"/>
      <c r="P97" s="30"/>
      <c r="Q97" s="28"/>
      <c r="R97" s="8">
        <f>IF(OR(Q97="",H97=""),"",Q97-H97)</f>
        <v>0</v>
      </c>
      <c r="S97" s="8">
        <f>IF(M97="","",COUNTIFS($M$5:$M$304,"&gt;"&amp;M97)+1)</f>
        <v>0</v>
      </c>
      <c r="T97" s="8">
        <f>IF(H97="","",H97+ROW()/1000000)</f>
        <v>0</v>
      </c>
      <c r="U97" s="8">
        <f>IF(OR(N97&lt;&gt;"Yes",T97=""),"",COUNTIFS($N$5:$N$304,"Yes",$T$5:$T$304,"&lt;"&amp;T97)+1)</f>
        <v>0</v>
      </c>
      <c r="V97" s="8">
        <f>IF(A97="","",IF(O97="Yes","Bought",IF(M97&lt;=0,"Have it",IF(N97&lt;&gt;"Yes","Skip",IF(S97&lt;=10,"Must have","Nice to have")))))</f>
        <v>0</v>
      </c>
      <c r="W97" s="30"/>
      <c r="X97" s="8">
        <f>IF(A97="","",IFERROR(INDEX('Recipe Ingredients'!$A$5:$A$1204,MATCH(A97,'Recipe Ingredients'!$B$5:$B$1204,0)),""))</f>
        <v>0</v>
      </c>
      <c r="Y97" s="8">
        <f>IF(A97="","",IFERROR(INDEX(Ingredients!$O$5:$O$304,MATCH(A97,Ingredients!$A$5:$A$304,0)),""))</f>
        <v>0</v>
      </c>
      <c r="Z97" s="8">
        <f>IF(A97="","",IF(O97="Yes","Bought",IF(N97="Yes","To buy","Not needed")))</f>
        <v>0</v>
      </c>
      <c r="AA97" s="25"/>
    </row>
    <row r="98" spans="1:27">
      <c r="A98" s="7"/>
      <c r="B98" s="8">
        <f>IF(A98="","",IFERROR(INDEX(Ingredients!$B$5:$B$304,MATCH(A98,Ingredients!$A$5:$A$304,0)),""))</f>
        <v>0</v>
      </c>
      <c r="C98" s="26"/>
      <c r="D98" s="27"/>
      <c r="E98" s="27"/>
      <c r="F98" s="7"/>
      <c r="G98" s="8">
        <f>IF(A98="","",IFERROR(INDEX(Ingredients!$D$5:$D$304,MATCH(A98,Ingredients!$A$5:$A$304,0)),""))</f>
        <v>0</v>
      </c>
      <c r="H98" s="8">
        <f>IF(OR(A98="",C98="",G98=""),"",C98*G98)</f>
        <v>0</v>
      </c>
      <c r="I98" s="26"/>
      <c r="J98" s="8">
        <f>IF(OR(C98="",I98="",I98=0),"",CEILING(C98/I98,1))</f>
        <v>0</v>
      </c>
      <c r="K98" s="8">
        <f>IF(OR(J98="",I98="",G98=""),"",J98*I98*G98)</f>
        <v>0</v>
      </c>
      <c r="L98" s="8">
        <f>IF(A98="","",SUMIFS(Pantry!$C$5:$C$304,Pantry!$A$5:$A$304,A98))</f>
        <v>0</v>
      </c>
      <c r="M98" s="8">
        <f>IF(OR(A98="",C98=""),"",MAX(0,C98-L98))</f>
        <v>0</v>
      </c>
      <c r="N98" s="27"/>
      <c r="O98" s="27"/>
      <c r="P98" s="30"/>
      <c r="Q98" s="28"/>
      <c r="R98" s="8">
        <f>IF(OR(Q98="",H98=""),"",Q98-H98)</f>
        <v>0</v>
      </c>
      <c r="S98" s="8">
        <f>IF(M98="","",COUNTIFS($M$5:$M$304,"&gt;"&amp;M98)+1)</f>
        <v>0</v>
      </c>
      <c r="T98" s="8">
        <f>IF(H98="","",H98+ROW()/1000000)</f>
        <v>0</v>
      </c>
      <c r="U98" s="8">
        <f>IF(OR(N98&lt;&gt;"Yes",T98=""),"",COUNTIFS($N$5:$N$304,"Yes",$T$5:$T$304,"&lt;"&amp;T98)+1)</f>
        <v>0</v>
      </c>
      <c r="V98" s="8">
        <f>IF(A98="","",IF(O98="Yes","Bought",IF(M98&lt;=0,"Have it",IF(N98&lt;&gt;"Yes","Skip",IF(S98&lt;=10,"Must have","Nice to have")))))</f>
        <v>0</v>
      </c>
      <c r="W98" s="30"/>
      <c r="X98" s="8">
        <f>IF(A98="","",IFERROR(INDEX('Recipe Ingredients'!$A$5:$A$1204,MATCH(A98,'Recipe Ingredients'!$B$5:$B$1204,0)),""))</f>
        <v>0</v>
      </c>
      <c r="Y98" s="8">
        <f>IF(A98="","",IFERROR(INDEX(Ingredients!$O$5:$O$304,MATCH(A98,Ingredients!$A$5:$A$304,0)),""))</f>
        <v>0</v>
      </c>
      <c r="Z98" s="8">
        <f>IF(A98="","",IF(O98="Yes","Bought",IF(N98="Yes","To buy","Not needed")))</f>
        <v>0</v>
      </c>
      <c r="AA98" s="25"/>
    </row>
    <row r="99" spans="1:27">
      <c r="A99" s="7"/>
      <c r="B99" s="8">
        <f>IF(A99="","",IFERROR(INDEX(Ingredients!$B$5:$B$304,MATCH(A99,Ingredients!$A$5:$A$304,0)),""))</f>
        <v>0</v>
      </c>
      <c r="C99" s="26"/>
      <c r="D99" s="27"/>
      <c r="E99" s="27"/>
      <c r="F99" s="7"/>
      <c r="G99" s="8">
        <f>IF(A99="","",IFERROR(INDEX(Ingredients!$D$5:$D$304,MATCH(A99,Ingredients!$A$5:$A$304,0)),""))</f>
        <v>0</v>
      </c>
      <c r="H99" s="8">
        <f>IF(OR(A99="",C99="",G99=""),"",C99*G99)</f>
        <v>0</v>
      </c>
      <c r="I99" s="26"/>
      <c r="J99" s="8">
        <f>IF(OR(C99="",I99="",I99=0),"",CEILING(C99/I99,1))</f>
        <v>0</v>
      </c>
      <c r="K99" s="8">
        <f>IF(OR(J99="",I99="",G99=""),"",J99*I99*G99)</f>
        <v>0</v>
      </c>
      <c r="L99" s="8">
        <f>IF(A99="","",SUMIFS(Pantry!$C$5:$C$304,Pantry!$A$5:$A$304,A99))</f>
        <v>0</v>
      </c>
      <c r="M99" s="8">
        <f>IF(OR(A99="",C99=""),"",MAX(0,C99-L99))</f>
        <v>0</v>
      </c>
      <c r="N99" s="27"/>
      <c r="O99" s="27"/>
      <c r="P99" s="30"/>
      <c r="Q99" s="28"/>
      <c r="R99" s="8">
        <f>IF(OR(Q99="",H99=""),"",Q99-H99)</f>
        <v>0</v>
      </c>
      <c r="S99" s="8">
        <f>IF(M99="","",COUNTIFS($M$5:$M$304,"&gt;"&amp;M99)+1)</f>
        <v>0</v>
      </c>
      <c r="T99" s="8">
        <f>IF(H99="","",H99+ROW()/1000000)</f>
        <v>0</v>
      </c>
      <c r="U99" s="8">
        <f>IF(OR(N99&lt;&gt;"Yes",T99=""),"",COUNTIFS($N$5:$N$304,"Yes",$T$5:$T$304,"&lt;"&amp;T99)+1)</f>
        <v>0</v>
      </c>
      <c r="V99" s="8">
        <f>IF(A99="","",IF(O99="Yes","Bought",IF(M99&lt;=0,"Have it",IF(N99&lt;&gt;"Yes","Skip",IF(S99&lt;=10,"Must have","Nice to have")))))</f>
        <v>0</v>
      </c>
      <c r="W99" s="30"/>
      <c r="X99" s="8">
        <f>IF(A99="","",IFERROR(INDEX('Recipe Ingredients'!$A$5:$A$1204,MATCH(A99,'Recipe Ingredients'!$B$5:$B$1204,0)),""))</f>
        <v>0</v>
      </c>
      <c r="Y99" s="8">
        <f>IF(A99="","",IFERROR(INDEX(Ingredients!$O$5:$O$304,MATCH(A99,Ingredients!$A$5:$A$304,0)),""))</f>
        <v>0</v>
      </c>
      <c r="Z99" s="8">
        <f>IF(A99="","",IF(O99="Yes","Bought",IF(N99="Yes","To buy","Not needed")))</f>
        <v>0</v>
      </c>
      <c r="AA99" s="25"/>
    </row>
    <row r="100" spans="1:27">
      <c r="A100" s="7"/>
      <c r="B100" s="8">
        <f>IF(A100="","",IFERROR(INDEX(Ingredients!$B$5:$B$304,MATCH(A100,Ingredients!$A$5:$A$304,0)),""))</f>
        <v>0</v>
      </c>
      <c r="C100" s="26"/>
      <c r="D100" s="27"/>
      <c r="E100" s="27"/>
      <c r="F100" s="7"/>
      <c r="G100" s="8">
        <f>IF(A100="","",IFERROR(INDEX(Ingredients!$D$5:$D$304,MATCH(A100,Ingredients!$A$5:$A$304,0)),""))</f>
        <v>0</v>
      </c>
      <c r="H100" s="8">
        <f>IF(OR(A100="",C100="",G100=""),"",C100*G100)</f>
        <v>0</v>
      </c>
      <c r="I100" s="26"/>
      <c r="J100" s="8">
        <f>IF(OR(C100="",I100="",I100=0),"",CEILING(C100/I100,1))</f>
        <v>0</v>
      </c>
      <c r="K100" s="8">
        <f>IF(OR(J100="",I100="",G100=""),"",J100*I100*G100)</f>
        <v>0</v>
      </c>
      <c r="L100" s="8">
        <f>IF(A100="","",SUMIFS(Pantry!$C$5:$C$304,Pantry!$A$5:$A$304,A100))</f>
        <v>0</v>
      </c>
      <c r="M100" s="8">
        <f>IF(OR(A100="",C100=""),"",MAX(0,C100-L100))</f>
        <v>0</v>
      </c>
      <c r="N100" s="27"/>
      <c r="O100" s="27"/>
      <c r="P100" s="30"/>
      <c r="Q100" s="28"/>
      <c r="R100" s="8">
        <f>IF(OR(Q100="",H100=""),"",Q100-H100)</f>
        <v>0</v>
      </c>
      <c r="S100" s="8">
        <f>IF(M100="","",COUNTIFS($M$5:$M$304,"&gt;"&amp;M100)+1)</f>
        <v>0</v>
      </c>
      <c r="T100" s="8">
        <f>IF(H100="","",H100+ROW()/1000000)</f>
        <v>0</v>
      </c>
      <c r="U100" s="8">
        <f>IF(OR(N100&lt;&gt;"Yes",T100=""),"",COUNTIFS($N$5:$N$304,"Yes",$T$5:$T$304,"&lt;"&amp;T100)+1)</f>
        <v>0</v>
      </c>
      <c r="V100" s="8">
        <f>IF(A100="","",IF(O100="Yes","Bought",IF(M100&lt;=0,"Have it",IF(N100&lt;&gt;"Yes","Skip",IF(S100&lt;=10,"Must have","Nice to have")))))</f>
        <v>0</v>
      </c>
      <c r="W100" s="30"/>
      <c r="X100" s="8">
        <f>IF(A100="","",IFERROR(INDEX('Recipe Ingredients'!$A$5:$A$1204,MATCH(A100,'Recipe Ingredients'!$B$5:$B$1204,0)),""))</f>
        <v>0</v>
      </c>
      <c r="Y100" s="8">
        <f>IF(A100="","",IFERROR(INDEX(Ingredients!$O$5:$O$304,MATCH(A100,Ingredients!$A$5:$A$304,0)),""))</f>
        <v>0</v>
      </c>
      <c r="Z100" s="8">
        <f>IF(A100="","",IF(O100="Yes","Bought",IF(N100="Yes","To buy","Not needed")))</f>
        <v>0</v>
      </c>
      <c r="AA100" s="25"/>
    </row>
    <row r="101" spans="1:27">
      <c r="A101" s="7"/>
      <c r="B101" s="8">
        <f>IF(A101="","",IFERROR(INDEX(Ingredients!$B$5:$B$304,MATCH(A101,Ingredients!$A$5:$A$304,0)),""))</f>
        <v>0</v>
      </c>
      <c r="C101" s="26"/>
      <c r="D101" s="27"/>
      <c r="E101" s="27"/>
      <c r="F101" s="7"/>
      <c r="G101" s="8">
        <f>IF(A101="","",IFERROR(INDEX(Ingredients!$D$5:$D$304,MATCH(A101,Ingredients!$A$5:$A$304,0)),""))</f>
        <v>0</v>
      </c>
      <c r="H101" s="8">
        <f>IF(OR(A101="",C101="",G101=""),"",C101*G101)</f>
        <v>0</v>
      </c>
      <c r="I101" s="26"/>
      <c r="J101" s="8">
        <f>IF(OR(C101="",I101="",I101=0),"",CEILING(C101/I101,1))</f>
        <v>0</v>
      </c>
      <c r="K101" s="8">
        <f>IF(OR(J101="",I101="",G101=""),"",J101*I101*G101)</f>
        <v>0</v>
      </c>
      <c r="L101" s="8">
        <f>IF(A101="","",SUMIFS(Pantry!$C$5:$C$304,Pantry!$A$5:$A$304,A101))</f>
        <v>0</v>
      </c>
      <c r="M101" s="8">
        <f>IF(OR(A101="",C101=""),"",MAX(0,C101-L101))</f>
        <v>0</v>
      </c>
      <c r="N101" s="27"/>
      <c r="O101" s="27"/>
      <c r="P101" s="30"/>
      <c r="Q101" s="28"/>
      <c r="R101" s="8">
        <f>IF(OR(Q101="",H101=""),"",Q101-H101)</f>
        <v>0</v>
      </c>
      <c r="S101" s="8">
        <f>IF(M101="","",COUNTIFS($M$5:$M$304,"&gt;"&amp;M101)+1)</f>
        <v>0</v>
      </c>
      <c r="T101" s="8">
        <f>IF(H101="","",H101+ROW()/1000000)</f>
        <v>0</v>
      </c>
      <c r="U101" s="8">
        <f>IF(OR(N101&lt;&gt;"Yes",T101=""),"",COUNTIFS($N$5:$N$304,"Yes",$T$5:$T$304,"&lt;"&amp;T101)+1)</f>
        <v>0</v>
      </c>
      <c r="V101" s="8">
        <f>IF(A101="","",IF(O101="Yes","Bought",IF(M101&lt;=0,"Have it",IF(N101&lt;&gt;"Yes","Skip",IF(S101&lt;=10,"Must have","Nice to have")))))</f>
        <v>0</v>
      </c>
      <c r="W101" s="30"/>
      <c r="X101" s="8">
        <f>IF(A101="","",IFERROR(INDEX('Recipe Ingredients'!$A$5:$A$1204,MATCH(A101,'Recipe Ingredients'!$B$5:$B$1204,0)),""))</f>
        <v>0</v>
      </c>
      <c r="Y101" s="8">
        <f>IF(A101="","",IFERROR(INDEX(Ingredients!$O$5:$O$304,MATCH(A101,Ingredients!$A$5:$A$304,0)),""))</f>
        <v>0</v>
      </c>
      <c r="Z101" s="8">
        <f>IF(A101="","",IF(O101="Yes","Bought",IF(N101="Yes","To buy","Not needed")))</f>
        <v>0</v>
      </c>
      <c r="AA101" s="25"/>
    </row>
    <row r="102" spans="1:27">
      <c r="A102" s="7"/>
      <c r="B102" s="8">
        <f>IF(A102="","",IFERROR(INDEX(Ingredients!$B$5:$B$304,MATCH(A102,Ingredients!$A$5:$A$304,0)),""))</f>
        <v>0</v>
      </c>
      <c r="C102" s="26"/>
      <c r="D102" s="27"/>
      <c r="E102" s="27"/>
      <c r="F102" s="7"/>
      <c r="G102" s="8">
        <f>IF(A102="","",IFERROR(INDEX(Ingredients!$D$5:$D$304,MATCH(A102,Ingredients!$A$5:$A$304,0)),""))</f>
        <v>0</v>
      </c>
      <c r="H102" s="8">
        <f>IF(OR(A102="",C102="",G102=""),"",C102*G102)</f>
        <v>0</v>
      </c>
      <c r="I102" s="26"/>
      <c r="J102" s="8">
        <f>IF(OR(C102="",I102="",I102=0),"",CEILING(C102/I102,1))</f>
        <v>0</v>
      </c>
      <c r="K102" s="8">
        <f>IF(OR(J102="",I102="",G102=""),"",J102*I102*G102)</f>
        <v>0</v>
      </c>
      <c r="L102" s="8">
        <f>IF(A102="","",SUMIFS(Pantry!$C$5:$C$304,Pantry!$A$5:$A$304,A102))</f>
        <v>0</v>
      </c>
      <c r="M102" s="8">
        <f>IF(OR(A102="",C102=""),"",MAX(0,C102-L102))</f>
        <v>0</v>
      </c>
      <c r="N102" s="27"/>
      <c r="O102" s="27"/>
      <c r="P102" s="30"/>
      <c r="Q102" s="28"/>
      <c r="R102" s="8">
        <f>IF(OR(Q102="",H102=""),"",Q102-H102)</f>
        <v>0</v>
      </c>
      <c r="S102" s="8">
        <f>IF(M102="","",COUNTIFS($M$5:$M$304,"&gt;"&amp;M102)+1)</f>
        <v>0</v>
      </c>
      <c r="T102" s="8">
        <f>IF(H102="","",H102+ROW()/1000000)</f>
        <v>0</v>
      </c>
      <c r="U102" s="8">
        <f>IF(OR(N102&lt;&gt;"Yes",T102=""),"",COUNTIFS($N$5:$N$304,"Yes",$T$5:$T$304,"&lt;"&amp;T102)+1)</f>
        <v>0</v>
      </c>
      <c r="V102" s="8">
        <f>IF(A102="","",IF(O102="Yes","Bought",IF(M102&lt;=0,"Have it",IF(N102&lt;&gt;"Yes","Skip",IF(S102&lt;=10,"Must have","Nice to have")))))</f>
        <v>0</v>
      </c>
      <c r="W102" s="30"/>
      <c r="X102" s="8">
        <f>IF(A102="","",IFERROR(INDEX('Recipe Ingredients'!$A$5:$A$1204,MATCH(A102,'Recipe Ingredients'!$B$5:$B$1204,0)),""))</f>
        <v>0</v>
      </c>
      <c r="Y102" s="8">
        <f>IF(A102="","",IFERROR(INDEX(Ingredients!$O$5:$O$304,MATCH(A102,Ingredients!$A$5:$A$304,0)),""))</f>
        <v>0</v>
      </c>
      <c r="Z102" s="8">
        <f>IF(A102="","",IF(O102="Yes","Bought",IF(N102="Yes","To buy","Not needed")))</f>
        <v>0</v>
      </c>
      <c r="AA102" s="25"/>
    </row>
    <row r="103" spans="1:27">
      <c r="A103" s="7"/>
      <c r="B103" s="8">
        <f>IF(A103="","",IFERROR(INDEX(Ingredients!$B$5:$B$304,MATCH(A103,Ingredients!$A$5:$A$304,0)),""))</f>
        <v>0</v>
      </c>
      <c r="C103" s="26"/>
      <c r="D103" s="27"/>
      <c r="E103" s="27"/>
      <c r="F103" s="7"/>
      <c r="G103" s="8">
        <f>IF(A103="","",IFERROR(INDEX(Ingredients!$D$5:$D$304,MATCH(A103,Ingredients!$A$5:$A$304,0)),""))</f>
        <v>0</v>
      </c>
      <c r="H103" s="8">
        <f>IF(OR(A103="",C103="",G103=""),"",C103*G103)</f>
        <v>0</v>
      </c>
      <c r="I103" s="26"/>
      <c r="J103" s="8">
        <f>IF(OR(C103="",I103="",I103=0),"",CEILING(C103/I103,1))</f>
        <v>0</v>
      </c>
      <c r="K103" s="8">
        <f>IF(OR(J103="",I103="",G103=""),"",J103*I103*G103)</f>
        <v>0</v>
      </c>
      <c r="L103" s="8">
        <f>IF(A103="","",SUMIFS(Pantry!$C$5:$C$304,Pantry!$A$5:$A$304,A103))</f>
        <v>0</v>
      </c>
      <c r="M103" s="8">
        <f>IF(OR(A103="",C103=""),"",MAX(0,C103-L103))</f>
        <v>0</v>
      </c>
      <c r="N103" s="27"/>
      <c r="O103" s="27"/>
      <c r="P103" s="30"/>
      <c r="Q103" s="28"/>
      <c r="R103" s="8">
        <f>IF(OR(Q103="",H103=""),"",Q103-H103)</f>
        <v>0</v>
      </c>
      <c r="S103" s="8">
        <f>IF(M103="","",COUNTIFS($M$5:$M$304,"&gt;"&amp;M103)+1)</f>
        <v>0</v>
      </c>
      <c r="T103" s="8">
        <f>IF(H103="","",H103+ROW()/1000000)</f>
        <v>0</v>
      </c>
      <c r="U103" s="8">
        <f>IF(OR(N103&lt;&gt;"Yes",T103=""),"",COUNTIFS($N$5:$N$304,"Yes",$T$5:$T$304,"&lt;"&amp;T103)+1)</f>
        <v>0</v>
      </c>
      <c r="V103" s="8">
        <f>IF(A103="","",IF(O103="Yes","Bought",IF(M103&lt;=0,"Have it",IF(N103&lt;&gt;"Yes","Skip",IF(S103&lt;=10,"Must have","Nice to have")))))</f>
        <v>0</v>
      </c>
      <c r="W103" s="30"/>
      <c r="X103" s="8">
        <f>IF(A103="","",IFERROR(INDEX('Recipe Ingredients'!$A$5:$A$1204,MATCH(A103,'Recipe Ingredients'!$B$5:$B$1204,0)),""))</f>
        <v>0</v>
      </c>
      <c r="Y103" s="8">
        <f>IF(A103="","",IFERROR(INDEX(Ingredients!$O$5:$O$304,MATCH(A103,Ingredients!$A$5:$A$304,0)),""))</f>
        <v>0</v>
      </c>
      <c r="Z103" s="8">
        <f>IF(A103="","",IF(O103="Yes","Bought",IF(N103="Yes","To buy","Not needed")))</f>
        <v>0</v>
      </c>
      <c r="AA103" s="25"/>
    </row>
    <row r="104" spans="1:27">
      <c r="A104" s="7"/>
      <c r="B104" s="8">
        <f>IF(A104="","",IFERROR(INDEX(Ingredients!$B$5:$B$304,MATCH(A104,Ingredients!$A$5:$A$304,0)),""))</f>
        <v>0</v>
      </c>
      <c r="C104" s="26"/>
      <c r="D104" s="27"/>
      <c r="E104" s="27"/>
      <c r="F104" s="7"/>
      <c r="G104" s="8">
        <f>IF(A104="","",IFERROR(INDEX(Ingredients!$D$5:$D$304,MATCH(A104,Ingredients!$A$5:$A$304,0)),""))</f>
        <v>0</v>
      </c>
      <c r="H104" s="8">
        <f>IF(OR(A104="",C104="",G104=""),"",C104*G104)</f>
        <v>0</v>
      </c>
      <c r="I104" s="26"/>
      <c r="J104" s="8">
        <f>IF(OR(C104="",I104="",I104=0),"",CEILING(C104/I104,1))</f>
        <v>0</v>
      </c>
      <c r="K104" s="8">
        <f>IF(OR(J104="",I104="",G104=""),"",J104*I104*G104)</f>
        <v>0</v>
      </c>
      <c r="L104" s="8">
        <f>IF(A104="","",SUMIFS(Pantry!$C$5:$C$304,Pantry!$A$5:$A$304,A104))</f>
        <v>0</v>
      </c>
      <c r="M104" s="8">
        <f>IF(OR(A104="",C104=""),"",MAX(0,C104-L104))</f>
        <v>0</v>
      </c>
      <c r="N104" s="27"/>
      <c r="O104" s="27"/>
      <c r="P104" s="30"/>
      <c r="Q104" s="28"/>
      <c r="R104" s="8">
        <f>IF(OR(Q104="",H104=""),"",Q104-H104)</f>
        <v>0</v>
      </c>
      <c r="S104" s="8">
        <f>IF(M104="","",COUNTIFS($M$5:$M$304,"&gt;"&amp;M104)+1)</f>
        <v>0</v>
      </c>
      <c r="T104" s="8">
        <f>IF(H104="","",H104+ROW()/1000000)</f>
        <v>0</v>
      </c>
      <c r="U104" s="8">
        <f>IF(OR(N104&lt;&gt;"Yes",T104=""),"",COUNTIFS($N$5:$N$304,"Yes",$T$5:$T$304,"&lt;"&amp;T104)+1)</f>
        <v>0</v>
      </c>
      <c r="V104" s="8">
        <f>IF(A104="","",IF(O104="Yes","Bought",IF(M104&lt;=0,"Have it",IF(N104&lt;&gt;"Yes","Skip",IF(S104&lt;=10,"Must have","Nice to have")))))</f>
        <v>0</v>
      </c>
      <c r="W104" s="30"/>
      <c r="X104" s="8">
        <f>IF(A104="","",IFERROR(INDEX('Recipe Ingredients'!$A$5:$A$1204,MATCH(A104,'Recipe Ingredients'!$B$5:$B$1204,0)),""))</f>
        <v>0</v>
      </c>
      <c r="Y104" s="8">
        <f>IF(A104="","",IFERROR(INDEX(Ingredients!$O$5:$O$304,MATCH(A104,Ingredients!$A$5:$A$304,0)),""))</f>
        <v>0</v>
      </c>
      <c r="Z104" s="8">
        <f>IF(A104="","",IF(O104="Yes","Bought",IF(N104="Yes","To buy","Not needed")))</f>
        <v>0</v>
      </c>
      <c r="AA104" s="25"/>
    </row>
    <row r="105" spans="1:27">
      <c r="A105" s="7"/>
      <c r="B105" s="8">
        <f>IF(A105="","",IFERROR(INDEX(Ingredients!$B$5:$B$304,MATCH(A105,Ingredients!$A$5:$A$304,0)),""))</f>
        <v>0</v>
      </c>
      <c r="C105" s="26"/>
      <c r="D105" s="27"/>
      <c r="E105" s="27"/>
      <c r="F105" s="7"/>
      <c r="G105" s="8">
        <f>IF(A105="","",IFERROR(INDEX(Ingredients!$D$5:$D$304,MATCH(A105,Ingredients!$A$5:$A$304,0)),""))</f>
        <v>0</v>
      </c>
      <c r="H105" s="8">
        <f>IF(OR(A105="",C105="",G105=""),"",C105*G105)</f>
        <v>0</v>
      </c>
      <c r="I105" s="26"/>
      <c r="J105" s="8">
        <f>IF(OR(C105="",I105="",I105=0),"",CEILING(C105/I105,1))</f>
        <v>0</v>
      </c>
      <c r="K105" s="8">
        <f>IF(OR(J105="",I105="",G105=""),"",J105*I105*G105)</f>
        <v>0</v>
      </c>
      <c r="L105" s="8">
        <f>IF(A105="","",SUMIFS(Pantry!$C$5:$C$304,Pantry!$A$5:$A$304,A105))</f>
        <v>0</v>
      </c>
      <c r="M105" s="8">
        <f>IF(OR(A105="",C105=""),"",MAX(0,C105-L105))</f>
        <v>0</v>
      </c>
      <c r="N105" s="27"/>
      <c r="O105" s="27"/>
      <c r="P105" s="30"/>
      <c r="Q105" s="28"/>
      <c r="R105" s="8">
        <f>IF(OR(Q105="",H105=""),"",Q105-H105)</f>
        <v>0</v>
      </c>
      <c r="S105" s="8">
        <f>IF(M105="","",COUNTIFS($M$5:$M$304,"&gt;"&amp;M105)+1)</f>
        <v>0</v>
      </c>
      <c r="T105" s="8">
        <f>IF(H105="","",H105+ROW()/1000000)</f>
        <v>0</v>
      </c>
      <c r="U105" s="8">
        <f>IF(OR(N105&lt;&gt;"Yes",T105=""),"",COUNTIFS($N$5:$N$304,"Yes",$T$5:$T$304,"&lt;"&amp;T105)+1)</f>
        <v>0</v>
      </c>
      <c r="V105" s="8">
        <f>IF(A105="","",IF(O105="Yes","Bought",IF(M105&lt;=0,"Have it",IF(N105&lt;&gt;"Yes","Skip",IF(S105&lt;=10,"Must have","Nice to have")))))</f>
        <v>0</v>
      </c>
      <c r="W105" s="30"/>
      <c r="X105" s="8">
        <f>IF(A105="","",IFERROR(INDEX('Recipe Ingredients'!$A$5:$A$1204,MATCH(A105,'Recipe Ingredients'!$B$5:$B$1204,0)),""))</f>
        <v>0</v>
      </c>
      <c r="Y105" s="8">
        <f>IF(A105="","",IFERROR(INDEX(Ingredients!$O$5:$O$304,MATCH(A105,Ingredients!$A$5:$A$304,0)),""))</f>
        <v>0</v>
      </c>
      <c r="Z105" s="8">
        <f>IF(A105="","",IF(O105="Yes","Bought",IF(N105="Yes","To buy","Not needed")))</f>
        <v>0</v>
      </c>
      <c r="AA105" s="25"/>
    </row>
    <row r="106" spans="1:27">
      <c r="A106" s="7"/>
      <c r="B106" s="8">
        <f>IF(A106="","",IFERROR(INDEX(Ingredients!$B$5:$B$304,MATCH(A106,Ingredients!$A$5:$A$304,0)),""))</f>
        <v>0</v>
      </c>
      <c r="C106" s="26"/>
      <c r="D106" s="27"/>
      <c r="E106" s="27"/>
      <c r="F106" s="7"/>
      <c r="G106" s="8">
        <f>IF(A106="","",IFERROR(INDEX(Ingredients!$D$5:$D$304,MATCH(A106,Ingredients!$A$5:$A$304,0)),""))</f>
        <v>0</v>
      </c>
      <c r="H106" s="8">
        <f>IF(OR(A106="",C106="",G106=""),"",C106*G106)</f>
        <v>0</v>
      </c>
      <c r="I106" s="26"/>
      <c r="J106" s="8">
        <f>IF(OR(C106="",I106="",I106=0),"",CEILING(C106/I106,1))</f>
        <v>0</v>
      </c>
      <c r="K106" s="8">
        <f>IF(OR(J106="",I106="",G106=""),"",J106*I106*G106)</f>
        <v>0</v>
      </c>
      <c r="L106" s="8">
        <f>IF(A106="","",SUMIFS(Pantry!$C$5:$C$304,Pantry!$A$5:$A$304,A106))</f>
        <v>0</v>
      </c>
      <c r="M106" s="8">
        <f>IF(OR(A106="",C106=""),"",MAX(0,C106-L106))</f>
        <v>0</v>
      </c>
      <c r="N106" s="27"/>
      <c r="O106" s="27"/>
      <c r="P106" s="30"/>
      <c r="Q106" s="28"/>
      <c r="R106" s="8">
        <f>IF(OR(Q106="",H106=""),"",Q106-H106)</f>
        <v>0</v>
      </c>
      <c r="S106" s="8">
        <f>IF(M106="","",COUNTIFS($M$5:$M$304,"&gt;"&amp;M106)+1)</f>
        <v>0</v>
      </c>
      <c r="T106" s="8">
        <f>IF(H106="","",H106+ROW()/1000000)</f>
        <v>0</v>
      </c>
      <c r="U106" s="8">
        <f>IF(OR(N106&lt;&gt;"Yes",T106=""),"",COUNTIFS($N$5:$N$304,"Yes",$T$5:$T$304,"&lt;"&amp;T106)+1)</f>
        <v>0</v>
      </c>
      <c r="V106" s="8">
        <f>IF(A106="","",IF(O106="Yes","Bought",IF(M106&lt;=0,"Have it",IF(N106&lt;&gt;"Yes","Skip",IF(S106&lt;=10,"Must have","Nice to have")))))</f>
        <v>0</v>
      </c>
      <c r="W106" s="30"/>
      <c r="X106" s="8">
        <f>IF(A106="","",IFERROR(INDEX('Recipe Ingredients'!$A$5:$A$1204,MATCH(A106,'Recipe Ingredients'!$B$5:$B$1204,0)),""))</f>
        <v>0</v>
      </c>
      <c r="Y106" s="8">
        <f>IF(A106="","",IFERROR(INDEX(Ingredients!$O$5:$O$304,MATCH(A106,Ingredients!$A$5:$A$304,0)),""))</f>
        <v>0</v>
      </c>
      <c r="Z106" s="8">
        <f>IF(A106="","",IF(O106="Yes","Bought",IF(N106="Yes","To buy","Not needed")))</f>
        <v>0</v>
      </c>
      <c r="AA106" s="25"/>
    </row>
    <row r="107" spans="1:27">
      <c r="A107" s="7"/>
      <c r="B107" s="8">
        <f>IF(A107="","",IFERROR(INDEX(Ingredients!$B$5:$B$304,MATCH(A107,Ingredients!$A$5:$A$304,0)),""))</f>
        <v>0</v>
      </c>
      <c r="C107" s="26"/>
      <c r="D107" s="27"/>
      <c r="E107" s="27"/>
      <c r="F107" s="7"/>
      <c r="G107" s="8">
        <f>IF(A107="","",IFERROR(INDEX(Ingredients!$D$5:$D$304,MATCH(A107,Ingredients!$A$5:$A$304,0)),""))</f>
        <v>0</v>
      </c>
      <c r="H107" s="8">
        <f>IF(OR(A107="",C107="",G107=""),"",C107*G107)</f>
        <v>0</v>
      </c>
      <c r="I107" s="26"/>
      <c r="J107" s="8">
        <f>IF(OR(C107="",I107="",I107=0),"",CEILING(C107/I107,1))</f>
        <v>0</v>
      </c>
      <c r="K107" s="8">
        <f>IF(OR(J107="",I107="",G107=""),"",J107*I107*G107)</f>
        <v>0</v>
      </c>
      <c r="L107" s="8">
        <f>IF(A107="","",SUMIFS(Pantry!$C$5:$C$304,Pantry!$A$5:$A$304,A107))</f>
        <v>0</v>
      </c>
      <c r="M107" s="8">
        <f>IF(OR(A107="",C107=""),"",MAX(0,C107-L107))</f>
        <v>0</v>
      </c>
      <c r="N107" s="27"/>
      <c r="O107" s="27"/>
      <c r="P107" s="30"/>
      <c r="Q107" s="28"/>
      <c r="R107" s="8">
        <f>IF(OR(Q107="",H107=""),"",Q107-H107)</f>
        <v>0</v>
      </c>
      <c r="S107" s="8">
        <f>IF(M107="","",COUNTIFS($M$5:$M$304,"&gt;"&amp;M107)+1)</f>
        <v>0</v>
      </c>
      <c r="T107" s="8">
        <f>IF(H107="","",H107+ROW()/1000000)</f>
        <v>0</v>
      </c>
      <c r="U107" s="8">
        <f>IF(OR(N107&lt;&gt;"Yes",T107=""),"",COUNTIFS($N$5:$N$304,"Yes",$T$5:$T$304,"&lt;"&amp;T107)+1)</f>
        <v>0</v>
      </c>
      <c r="V107" s="8">
        <f>IF(A107="","",IF(O107="Yes","Bought",IF(M107&lt;=0,"Have it",IF(N107&lt;&gt;"Yes","Skip",IF(S107&lt;=10,"Must have","Nice to have")))))</f>
        <v>0</v>
      </c>
      <c r="W107" s="30"/>
      <c r="X107" s="8">
        <f>IF(A107="","",IFERROR(INDEX('Recipe Ingredients'!$A$5:$A$1204,MATCH(A107,'Recipe Ingredients'!$B$5:$B$1204,0)),""))</f>
        <v>0</v>
      </c>
      <c r="Y107" s="8">
        <f>IF(A107="","",IFERROR(INDEX(Ingredients!$O$5:$O$304,MATCH(A107,Ingredients!$A$5:$A$304,0)),""))</f>
        <v>0</v>
      </c>
      <c r="Z107" s="8">
        <f>IF(A107="","",IF(O107="Yes","Bought",IF(N107="Yes","To buy","Not needed")))</f>
        <v>0</v>
      </c>
      <c r="AA107" s="25"/>
    </row>
    <row r="108" spans="1:27">
      <c r="A108" s="7"/>
      <c r="B108" s="8">
        <f>IF(A108="","",IFERROR(INDEX(Ingredients!$B$5:$B$304,MATCH(A108,Ingredients!$A$5:$A$304,0)),""))</f>
        <v>0</v>
      </c>
      <c r="C108" s="26"/>
      <c r="D108" s="27"/>
      <c r="E108" s="27"/>
      <c r="F108" s="7"/>
      <c r="G108" s="8">
        <f>IF(A108="","",IFERROR(INDEX(Ingredients!$D$5:$D$304,MATCH(A108,Ingredients!$A$5:$A$304,0)),""))</f>
        <v>0</v>
      </c>
      <c r="H108" s="8">
        <f>IF(OR(A108="",C108="",G108=""),"",C108*G108)</f>
        <v>0</v>
      </c>
      <c r="I108" s="26"/>
      <c r="J108" s="8">
        <f>IF(OR(C108="",I108="",I108=0),"",CEILING(C108/I108,1))</f>
        <v>0</v>
      </c>
      <c r="K108" s="8">
        <f>IF(OR(J108="",I108="",G108=""),"",J108*I108*G108)</f>
        <v>0</v>
      </c>
      <c r="L108" s="8">
        <f>IF(A108="","",SUMIFS(Pantry!$C$5:$C$304,Pantry!$A$5:$A$304,A108))</f>
        <v>0</v>
      </c>
      <c r="M108" s="8">
        <f>IF(OR(A108="",C108=""),"",MAX(0,C108-L108))</f>
        <v>0</v>
      </c>
      <c r="N108" s="27"/>
      <c r="O108" s="27"/>
      <c r="P108" s="30"/>
      <c r="Q108" s="28"/>
      <c r="R108" s="8">
        <f>IF(OR(Q108="",H108=""),"",Q108-H108)</f>
        <v>0</v>
      </c>
      <c r="S108" s="8">
        <f>IF(M108="","",COUNTIFS($M$5:$M$304,"&gt;"&amp;M108)+1)</f>
        <v>0</v>
      </c>
      <c r="T108" s="8">
        <f>IF(H108="","",H108+ROW()/1000000)</f>
        <v>0</v>
      </c>
      <c r="U108" s="8">
        <f>IF(OR(N108&lt;&gt;"Yes",T108=""),"",COUNTIFS($N$5:$N$304,"Yes",$T$5:$T$304,"&lt;"&amp;T108)+1)</f>
        <v>0</v>
      </c>
      <c r="V108" s="8">
        <f>IF(A108="","",IF(O108="Yes","Bought",IF(M108&lt;=0,"Have it",IF(N108&lt;&gt;"Yes","Skip",IF(S108&lt;=10,"Must have","Nice to have")))))</f>
        <v>0</v>
      </c>
      <c r="W108" s="30"/>
      <c r="X108" s="8">
        <f>IF(A108="","",IFERROR(INDEX('Recipe Ingredients'!$A$5:$A$1204,MATCH(A108,'Recipe Ingredients'!$B$5:$B$1204,0)),""))</f>
        <v>0</v>
      </c>
      <c r="Y108" s="8">
        <f>IF(A108="","",IFERROR(INDEX(Ingredients!$O$5:$O$304,MATCH(A108,Ingredients!$A$5:$A$304,0)),""))</f>
        <v>0</v>
      </c>
      <c r="Z108" s="8">
        <f>IF(A108="","",IF(O108="Yes","Bought",IF(N108="Yes","To buy","Not needed")))</f>
        <v>0</v>
      </c>
      <c r="AA108" s="25"/>
    </row>
    <row r="109" spans="1:27">
      <c r="A109" s="7"/>
      <c r="B109" s="8">
        <f>IF(A109="","",IFERROR(INDEX(Ingredients!$B$5:$B$304,MATCH(A109,Ingredients!$A$5:$A$304,0)),""))</f>
        <v>0</v>
      </c>
      <c r="C109" s="26"/>
      <c r="D109" s="27"/>
      <c r="E109" s="27"/>
      <c r="F109" s="7"/>
      <c r="G109" s="8">
        <f>IF(A109="","",IFERROR(INDEX(Ingredients!$D$5:$D$304,MATCH(A109,Ingredients!$A$5:$A$304,0)),""))</f>
        <v>0</v>
      </c>
      <c r="H109" s="8">
        <f>IF(OR(A109="",C109="",G109=""),"",C109*G109)</f>
        <v>0</v>
      </c>
      <c r="I109" s="26"/>
      <c r="J109" s="8">
        <f>IF(OR(C109="",I109="",I109=0),"",CEILING(C109/I109,1))</f>
        <v>0</v>
      </c>
      <c r="K109" s="8">
        <f>IF(OR(J109="",I109="",G109=""),"",J109*I109*G109)</f>
        <v>0</v>
      </c>
      <c r="L109" s="8">
        <f>IF(A109="","",SUMIFS(Pantry!$C$5:$C$304,Pantry!$A$5:$A$304,A109))</f>
        <v>0</v>
      </c>
      <c r="M109" s="8">
        <f>IF(OR(A109="",C109=""),"",MAX(0,C109-L109))</f>
        <v>0</v>
      </c>
      <c r="N109" s="27"/>
      <c r="O109" s="27"/>
      <c r="P109" s="30"/>
      <c r="Q109" s="28"/>
      <c r="R109" s="8">
        <f>IF(OR(Q109="",H109=""),"",Q109-H109)</f>
        <v>0</v>
      </c>
      <c r="S109" s="8">
        <f>IF(M109="","",COUNTIFS($M$5:$M$304,"&gt;"&amp;M109)+1)</f>
        <v>0</v>
      </c>
      <c r="T109" s="8">
        <f>IF(H109="","",H109+ROW()/1000000)</f>
        <v>0</v>
      </c>
      <c r="U109" s="8">
        <f>IF(OR(N109&lt;&gt;"Yes",T109=""),"",COUNTIFS($N$5:$N$304,"Yes",$T$5:$T$304,"&lt;"&amp;T109)+1)</f>
        <v>0</v>
      </c>
      <c r="V109" s="8">
        <f>IF(A109="","",IF(O109="Yes","Bought",IF(M109&lt;=0,"Have it",IF(N109&lt;&gt;"Yes","Skip",IF(S109&lt;=10,"Must have","Nice to have")))))</f>
        <v>0</v>
      </c>
      <c r="W109" s="30"/>
      <c r="X109" s="8">
        <f>IF(A109="","",IFERROR(INDEX('Recipe Ingredients'!$A$5:$A$1204,MATCH(A109,'Recipe Ingredients'!$B$5:$B$1204,0)),""))</f>
        <v>0</v>
      </c>
      <c r="Y109" s="8">
        <f>IF(A109="","",IFERROR(INDEX(Ingredients!$O$5:$O$304,MATCH(A109,Ingredients!$A$5:$A$304,0)),""))</f>
        <v>0</v>
      </c>
      <c r="Z109" s="8">
        <f>IF(A109="","",IF(O109="Yes","Bought",IF(N109="Yes","To buy","Not needed")))</f>
        <v>0</v>
      </c>
      <c r="AA109" s="25"/>
    </row>
    <row r="110" spans="1:27">
      <c r="A110" s="7"/>
      <c r="B110" s="8">
        <f>IF(A110="","",IFERROR(INDEX(Ingredients!$B$5:$B$304,MATCH(A110,Ingredients!$A$5:$A$304,0)),""))</f>
        <v>0</v>
      </c>
      <c r="C110" s="26"/>
      <c r="D110" s="27"/>
      <c r="E110" s="27"/>
      <c r="F110" s="7"/>
      <c r="G110" s="8">
        <f>IF(A110="","",IFERROR(INDEX(Ingredients!$D$5:$D$304,MATCH(A110,Ingredients!$A$5:$A$304,0)),""))</f>
        <v>0</v>
      </c>
      <c r="H110" s="8">
        <f>IF(OR(A110="",C110="",G110=""),"",C110*G110)</f>
        <v>0</v>
      </c>
      <c r="I110" s="26"/>
      <c r="J110" s="8">
        <f>IF(OR(C110="",I110="",I110=0),"",CEILING(C110/I110,1))</f>
        <v>0</v>
      </c>
      <c r="K110" s="8">
        <f>IF(OR(J110="",I110="",G110=""),"",J110*I110*G110)</f>
        <v>0</v>
      </c>
      <c r="L110" s="8">
        <f>IF(A110="","",SUMIFS(Pantry!$C$5:$C$304,Pantry!$A$5:$A$304,A110))</f>
        <v>0</v>
      </c>
      <c r="M110" s="8">
        <f>IF(OR(A110="",C110=""),"",MAX(0,C110-L110))</f>
        <v>0</v>
      </c>
      <c r="N110" s="27"/>
      <c r="O110" s="27"/>
      <c r="P110" s="30"/>
      <c r="Q110" s="28"/>
      <c r="R110" s="8">
        <f>IF(OR(Q110="",H110=""),"",Q110-H110)</f>
        <v>0</v>
      </c>
      <c r="S110" s="8">
        <f>IF(M110="","",COUNTIFS($M$5:$M$304,"&gt;"&amp;M110)+1)</f>
        <v>0</v>
      </c>
      <c r="T110" s="8">
        <f>IF(H110="","",H110+ROW()/1000000)</f>
        <v>0</v>
      </c>
      <c r="U110" s="8">
        <f>IF(OR(N110&lt;&gt;"Yes",T110=""),"",COUNTIFS($N$5:$N$304,"Yes",$T$5:$T$304,"&lt;"&amp;T110)+1)</f>
        <v>0</v>
      </c>
      <c r="V110" s="8">
        <f>IF(A110="","",IF(O110="Yes","Bought",IF(M110&lt;=0,"Have it",IF(N110&lt;&gt;"Yes","Skip",IF(S110&lt;=10,"Must have","Nice to have")))))</f>
        <v>0</v>
      </c>
      <c r="W110" s="30"/>
      <c r="X110" s="8">
        <f>IF(A110="","",IFERROR(INDEX('Recipe Ingredients'!$A$5:$A$1204,MATCH(A110,'Recipe Ingredients'!$B$5:$B$1204,0)),""))</f>
        <v>0</v>
      </c>
      <c r="Y110" s="8">
        <f>IF(A110="","",IFERROR(INDEX(Ingredients!$O$5:$O$304,MATCH(A110,Ingredients!$A$5:$A$304,0)),""))</f>
        <v>0</v>
      </c>
      <c r="Z110" s="8">
        <f>IF(A110="","",IF(O110="Yes","Bought",IF(N110="Yes","To buy","Not needed")))</f>
        <v>0</v>
      </c>
      <c r="AA110" s="25"/>
    </row>
    <row r="111" spans="1:27">
      <c r="A111" s="7"/>
      <c r="B111" s="8">
        <f>IF(A111="","",IFERROR(INDEX(Ingredients!$B$5:$B$304,MATCH(A111,Ingredients!$A$5:$A$304,0)),""))</f>
        <v>0</v>
      </c>
      <c r="C111" s="26"/>
      <c r="D111" s="27"/>
      <c r="E111" s="27"/>
      <c r="F111" s="7"/>
      <c r="G111" s="8">
        <f>IF(A111="","",IFERROR(INDEX(Ingredients!$D$5:$D$304,MATCH(A111,Ingredients!$A$5:$A$304,0)),""))</f>
        <v>0</v>
      </c>
      <c r="H111" s="8">
        <f>IF(OR(A111="",C111="",G111=""),"",C111*G111)</f>
        <v>0</v>
      </c>
      <c r="I111" s="26"/>
      <c r="J111" s="8">
        <f>IF(OR(C111="",I111="",I111=0),"",CEILING(C111/I111,1))</f>
        <v>0</v>
      </c>
      <c r="K111" s="8">
        <f>IF(OR(J111="",I111="",G111=""),"",J111*I111*G111)</f>
        <v>0</v>
      </c>
      <c r="L111" s="8">
        <f>IF(A111="","",SUMIFS(Pantry!$C$5:$C$304,Pantry!$A$5:$A$304,A111))</f>
        <v>0</v>
      </c>
      <c r="M111" s="8">
        <f>IF(OR(A111="",C111=""),"",MAX(0,C111-L111))</f>
        <v>0</v>
      </c>
      <c r="N111" s="27"/>
      <c r="O111" s="27"/>
      <c r="P111" s="30"/>
      <c r="Q111" s="28"/>
      <c r="R111" s="8">
        <f>IF(OR(Q111="",H111=""),"",Q111-H111)</f>
        <v>0</v>
      </c>
      <c r="S111" s="8">
        <f>IF(M111="","",COUNTIFS($M$5:$M$304,"&gt;"&amp;M111)+1)</f>
        <v>0</v>
      </c>
      <c r="T111" s="8">
        <f>IF(H111="","",H111+ROW()/1000000)</f>
        <v>0</v>
      </c>
      <c r="U111" s="8">
        <f>IF(OR(N111&lt;&gt;"Yes",T111=""),"",COUNTIFS($N$5:$N$304,"Yes",$T$5:$T$304,"&lt;"&amp;T111)+1)</f>
        <v>0</v>
      </c>
      <c r="V111" s="8">
        <f>IF(A111="","",IF(O111="Yes","Bought",IF(M111&lt;=0,"Have it",IF(N111&lt;&gt;"Yes","Skip",IF(S111&lt;=10,"Must have","Nice to have")))))</f>
        <v>0</v>
      </c>
      <c r="W111" s="30"/>
      <c r="X111" s="8">
        <f>IF(A111="","",IFERROR(INDEX('Recipe Ingredients'!$A$5:$A$1204,MATCH(A111,'Recipe Ingredients'!$B$5:$B$1204,0)),""))</f>
        <v>0</v>
      </c>
      <c r="Y111" s="8">
        <f>IF(A111="","",IFERROR(INDEX(Ingredients!$O$5:$O$304,MATCH(A111,Ingredients!$A$5:$A$304,0)),""))</f>
        <v>0</v>
      </c>
      <c r="Z111" s="8">
        <f>IF(A111="","",IF(O111="Yes","Bought",IF(N111="Yes","To buy","Not needed")))</f>
        <v>0</v>
      </c>
      <c r="AA111" s="25"/>
    </row>
    <row r="112" spans="1:27">
      <c r="A112" s="7"/>
      <c r="B112" s="8">
        <f>IF(A112="","",IFERROR(INDEX(Ingredients!$B$5:$B$304,MATCH(A112,Ingredients!$A$5:$A$304,0)),""))</f>
        <v>0</v>
      </c>
      <c r="C112" s="26"/>
      <c r="D112" s="27"/>
      <c r="E112" s="27"/>
      <c r="F112" s="7"/>
      <c r="G112" s="8">
        <f>IF(A112="","",IFERROR(INDEX(Ingredients!$D$5:$D$304,MATCH(A112,Ingredients!$A$5:$A$304,0)),""))</f>
        <v>0</v>
      </c>
      <c r="H112" s="8">
        <f>IF(OR(A112="",C112="",G112=""),"",C112*G112)</f>
        <v>0</v>
      </c>
      <c r="I112" s="26"/>
      <c r="J112" s="8">
        <f>IF(OR(C112="",I112="",I112=0),"",CEILING(C112/I112,1))</f>
        <v>0</v>
      </c>
      <c r="K112" s="8">
        <f>IF(OR(J112="",I112="",G112=""),"",J112*I112*G112)</f>
        <v>0</v>
      </c>
      <c r="L112" s="8">
        <f>IF(A112="","",SUMIFS(Pantry!$C$5:$C$304,Pantry!$A$5:$A$304,A112))</f>
        <v>0</v>
      </c>
      <c r="M112" s="8">
        <f>IF(OR(A112="",C112=""),"",MAX(0,C112-L112))</f>
        <v>0</v>
      </c>
      <c r="N112" s="27"/>
      <c r="O112" s="27"/>
      <c r="P112" s="30"/>
      <c r="Q112" s="28"/>
      <c r="R112" s="8">
        <f>IF(OR(Q112="",H112=""),"",Q112-H112)</f>
        <v>0</v>
      </c>
      <c r="S112" s="8">
        <f>IF(M112="","",COUNTIFS($M$5:$M$304,"&gt;"&amp;M112)+1)</f>
        <v>0</v>
      </c>
      <c r="T112" s="8">
        <f>IF(H112="","",H112+ROW()/1000000)</f>
        <v>0</v>
      </c>
      <c r="U112" s="8">
        <f>IF(OR(N112&lt;&gt;"Yes",T112=""),"",COUNTIFS($N$5:$N$304,"Yes",$T$5:$T$304,"&lt;"&amp;T112)+1)</f>
        <v>0</v>
      </c>
      <c r="V112" s="8">
        <f>IF(A112="","",IF(O112="Yes","Bought",IF(M112&lt;=0,"Have it",IF(N112&lt;&gt;"Yes","Skip",IF(S112&lt;=10,"Must have","Nice to have")))))</f>
        <v>0</v>
      </c>
      <c r="W112" s="30"/>
      <c r="X112" s="8">
        <f>IF(A112="","",IFERROR(INDEX('Recipe Ingredients'!$A$5:$A$1204,MATCH(A112,'Recipe Ingredients'!$B$5:$B$1204,0)),""))</f>
        <v>0</v>
      </c>
      <c r="Y112" s="8">
        <f>IF(A112="","",IFERROR(INDEX(Ingredients!$O$5:$O$304,MATCH(A112,Ingredients!$A$5:$A$304,0)),""))</f>
        <v>0</v>
      </c>
      <c r="Z112" s="8">
        <f>IF(A112="","",IF(O112="Yes","Bought",IF(N112="Yes","To buy","Not needed")))</f>
        <v>0</v>
      </c>
      <c r="AA112" s="25"/>
    </row>
    <row r="113" spans="1:27">
      <c r="A113" s="7"/>
      <c r="B113" s="8">
        <f>IF(A113="","",IFERROR(INDEX(Ingredients!$B$5:$B$304,MATCH(A113,Ingredients!$A$5:$A$304,0)),""))</f>
        <v>0</v>
      </c>
      <c r="C113" s="26"/>
      <c r="D113" s="27"/>
      <c r="E113" s="27"/>
      <c r="F113" s="7"/>
      <c r="G113" s="8">
        <f>IF(A113="","",IFERROR(INDEX(Ingredients!$D$5:$D$304,MATCH(A113,Ingredients!$A$5:$A$304,0)),""))</f>
        <v>0</v>
      </c>
      <c r="H113" s="8">
        <f>IF(OR(A113="",C113="",G113=""),"",C113*G113)</f>
        <v>0</v>
      </c>
      <c r="I113" s="26"/>
      <c r="J113" s="8">
        <f>IF(OR(C113="",I113="",I113=0),"",CEILING(C113/I113,1))</f>
        <v>0</v>
      </c>
      <c r="K113" s="8">
        <f>IF(OR(J113="",I113="",G113=""),"",J113*I113*G113)</f>
        <v>0</v>
      </c>
      <c r="L113" s="8">
        <f>IF(A113="","",SUMIFS(Pantry!$C$5:$C$304,Pantry!$A$5:$A$304,A113))</f>
        <v>0</v>
      </c>
      <c r="M113" s="8">
        <f>IF(OR(A113="",C113=""),"",MAX(0,C113-L113))</f>
        <v>0</v>
      </c>
      <c r="N113" s="27"/>
      <c r="O113" s="27"/>
      <c r="P113" s="30"/>
      <c r="Q113" s="28"/>
      <c r="R113" s="8">
        <f>IF(OR(Q113="",H113=""),"",Q113-H113)</f>
        <v>0</v>
      </c>
      <c r="S113" s="8">
        <f>IF(M113="","",COUNTIFS($M$5:$M$304,"&gt;"&amp;M113)+1)</f>
        <v>0</v>
      </c>
      <c r="T113" s="8">
        <f>IF(H113="","",H113+ROW()/1000000)</f>
        <v>0</v>
      </c>
      <c r="U113" s="8">
        <f>IF(OR(N113&lt;&gt;"Yes",T113=""),"",COUNTIFS($N$5:$N$304,"Yes",$T$5:$T$304,"&lt;"&amp;T113)+1)</f>
        <v>0</v>
      </c>
      <c r="V113" s="8">
        <f>IF(A113="","",IF(O113="Yes","Bought",IF(M113&lt;=0,"Have it",IF(N113&lt;&gt;"Yes","Skip",IF(S113&lt;=10,"Must have","Nice to have")))))</f>
        <v>0</v>
      </c>
      <c r="W113" s="30"/>
      <c r="X113" s="8">
        <f>IF(A113="","",IFERROR(INDEX('Recipe Ingredients'!$A$5:$A$1204,MATCH(A113,'Recipe Ingredients'!$B$5:$B$1204,0)),""))</f>
        <v>0</v>
      </c>
      <c r="Y113" s="8">
        <f>IF(A113="","",IFERROR(INDEX(Ingredients!$O$5:$O$304,MATCH(A113,Ingredients!$A$5:$A$304,0)),""))</f>
        <v>0</v>
      </c>
      <c r="Z113" s="8">
        <f>IF(A113="","",IF(O113="Yes","Bought",IF(N113="Yes","To buy","Not needed")))</f>
        <v>0</v>
      </c>
      <c r="AA113" s="25"/>
    </row>
    <row r="114" spans="1:27">
      <c r="A114" s="7"/>
      <c r="B114" s="8">
        <f>IF(A114="","",IFERROR(INDEX(Ingredients!$B$5:$B$304,MATCH(A114,Ingredients!$A$5:$A$304,0)),""))</f>
        <v>0</v>
      </c>
      <c r="C114" s="26"/>
      <c r="D114" s="27"/>
      <c r="E114" s="27"/>
      <c r="F114" s="7"/>
      <c r="G114" s="8">
        <f>IF(A114="","",IFERROR(INDEX(Ingredients!$D$5:$D$304,MATCH(A114,Ingredients!$A$5:$A$304,0)),""))</f>
        <v>0</v>
      </c>
      <c r="H114" s="8">
        <f>IF(OR(A114="",C114="",G114=""),"",C114*G114)</f>
        <v>0</v>
      </c>
      <c r="I114" s="26"/>
      <c r="J114" s="8">
        <f>IF(OR(C114="",I114="",I114=0),"",CEILING(C114/I114,1))</f>
        <v>0</v>
      </c>
      <c r="K114" s="8">
        <f>IF(OR(J114="",I114="",G114=""),"",J114*I114*G114)</f>
        <v>0</v>
      </c>
      <c r="L114" s="8">
        <f>IF(A114="","",SUMIFS(Pantry!$C$5:$C$304,Pantry!$A$5:$A$304,A114))</f>
        <v>0</v>
      </c>
      <c r="M114" s="8">
        <f>IF(OR(A114="",C114=""),"",MAX(0,C114-L114))</f>
        <v>0</v>
      </c>
      <c r="N114" s="27"/>
      <c r="O114" s="27"/>
      <c r="P114" s="30"/>
      <c r="Q114" s="28"/>
      <c r="R114" s="8">
        <f>IF(OR(Q114="",H114=""),"",Q114-H114)</f>
        <v>0</v>
      </c>
      <c r="S114" s="8">
        <f>IF(M114="","",COUNTIFS($M$5:$M$304,"&gt;"&amp;M114)+1)</f>
        <v>0</v>
      </c>
      <c r="T114" s="8">
        <f>IF(H114="","",H114+ROW()/1000000)</f>
        <v>0</v>
      </c>
      <c r="U114" s="8">
        <f>IF(OR(N114&lt;&gt;"Yes",T114=""),"",COUNTIFS($N$5:$N$304,"Yes",$T$5:$T$304,"&lt;"&amp;T114)+1)</f>
        <v>0</v>
      </c>
      <c r="V114" s="8">
        <f>IF(A114="","",IF(O114="Yes","Bought",IF(M114&lt;=0,"Have it",IF(N114&lt;&gt;"Yes","Skip",IF(S114&lt;=10,"Must have","Nice to have")))))</f>
        <v>0</v>
      </c>
      <c r="W114" s="30"/>
      <c r="X114" s="8">
        <f>IF(A114="","",IFERROR(INDEX('Recipe Ingredients'!$A$5:$A$1204,MATCH(A114,'Recipe Ingredients'!$B$5:$B$1204,0)),""))</f>
        <v>0</v>
      </c>
      <c r="Y114" s="8">
        <f>IF(A114="","",IFERROR(INDEX(Ingredients!$O$5:$O$304,MATCH(A114,Ingredients!$A$5:$A$304,0)),""))</f>
        <v>0</v>
      </c>
      <c r="Z114" s="8">
        <f>IF(A114="","",IF(O114="Yes","Bought",IF(N114="Yes","To buy","Not needed")))</f>
        <v>0</v>
      </c>
      <c r="AA114" s="25"/>
    </row>
    <row r="115" spans="1:27">
      <c r="A115" s="7"/>
      <c r="B115" s="8">
        <f>IF(A115="","",IFERROR(INDEX(Ingredients!$B$5:$B$304,MATCH(A115,Ingredients!$A$5:$A$304,0)),""))</f>
        <v>0</v>
      </c>
      <c r="C115" s="26"/>
      <c r="D115" s="27"/>
      <c r="E115" s="27"/>
      <c r="F115" s="7"/>
      <c r="G115" s="8">
        <f>IF(A115="","",IFERROR(INDEX(Ingredients!$D$5:$D$304,MATCH(A115,Ingredients!$A$5:$A$304,0)),""))</f>
        <v>0</v>
      </c>
      <c r="H115" s="8">
        <f>IF(OR(A115="",C115="",G115=""),"",C115*G115)</f>
        <v>0</v>
      </c>
      <c r="I115" s="26"/>
      <c r="J115" s="8">
        <f>IF(OR(C115="",I115="",I115=0),"",CEILING(C115/I115,1))</f>
        <v>0</v>
      </c>
      <c r="K115" s="8">
        <f>IF(OR(J115="",I115="",G115=""),"",J115*I115*G115)</f>
        <v>0</v>
      </c>
      <c r="L115" s="8">
        <f>IF(A115="","",SUMIFS(Pantry!$C$5:$C$304,Pantry!$A$5:$A$304,A115))</f>
        <v>0</v>
      </c>
      <c r="M115" s="8">
        <f>IF(OR(A115="",C115=""),"",MAX(0,C115-L115))</f>
        <v>0</v>
      </c>
      <c r="N115" s="27"/>
      <c r="O115" s="27"/>
      <c r="P115" s="30"/>
      <c r="Q115" s="28"/>
      <c r="R115" s="8">
        <f>IF(OR(Q115="",H115=""),"",Q115-H115)</f>
        <v>0</v>
      </c>
      <c r="S115" s="8">
        <f>IF(M115="","",COUNTIFS($M$5:$M$304,"&gt;"&amp;M115)+1)</f>
        <v>0</v>
      </c>
      <c r="T115" s="8">
        <f>IF(H115="","",H115+ROW()/1000000)</f>
        <v>0</v>
      </c>
      <c r="U115" s="8">
        <f>IF(OR(N115&lt;&gt;"Yes",T115=""),"",COUNTIFS($N$5:$N$304,"Yes",$T$5:$T$304,"&lt;"&amp;T115)+1)</f>
        <v>0</v>
      </c>
      <c r="V115" s="8">
        <f>IF(A115="","",IF(O115="Yes","Bought",IF(M115&lt;=0,"Have it",IF(N115&lt;&gt;"Yes","Skip",IF(S115&lt;=10,"Must have","Nice to have")))))</f>
        <v>0</v>
      </c>
      <c r="W115" s="30"/>
      <c r="X115" s="8">
        <f>IF(A115="","",IFERROR(INDEX('Recipe Ingredients'!$A$5:$A$1204,MATCH(A115,'Recipe Ingredients'!$B$5:$B$1204,0)),""))</f>
        <v>0</v>
      </c>
      <c r="Y115" s="8">
        <f>IF(A115="","",IFERROR(INDEX(Ingredients!$O$5:$O$304,MATCH(A115,Ingredients!$A$5:$A$304,0)),""))</f>
        <v>0</v>
      </c>
      <c r="Z115" s="8">
        <f>IF(A115="","",IF(O115="Yes","Bought",IF(N115="Yes","To buy","Not needed")))</f>
        <v>0</v>
      </c>
      <c r="AA115" s="25"/>
    </row>
    <row r="116" spans="1:27">
      <c r="A116" s="7"/>
      <c r="B116" s="8">
        <f>IF(A116="","",IFERROR(INDEX(Ingredients!$B$5:$B$304,MATCH(A116,Ingredients!$A$5:$A$304,0)),""))</f>
        <v>0</v>
      </c>
      <c r="C116" s="26"/>
      <c r="D116" s="27"/>
      <c r="E116" s="27"/>
      <c r="F116" s="7"/>
      <c r="G116" s="8">
        <f>IF(A116="","",IFERROR(INDEX(Ingredients!$D$5:$D$304,MATCH(A116,Ingredients!$A$5:$A$304,0)),""))</f>
        <v>0</v>
      </c>
      <c r="H116" s="8">
        <f>IF(OR(A116="",C116="",G116=""),"",C116*G116)</f>
        <v>0</v>
      </c>
      <c r="I116" s="26"/>
      <c r="J116" s="8">
        <f>IF(OR(C116="",I116="",I116=0),"",CEILING(C116/I116,1))</f>
        <v>0</v>
      </c>
      <c r="K116" s="8">
        <f>IF(OR(J116="",I116="",G116=""),"",J116*I116*G116)</f>
        <v>0</v>
      </c>
      <c r="L116" s="8">
        <f>IF(A116="","",SUMIFS(Pantry!$C$5:$C$304,Pantry!$A$5:$A$304,A116))</f>
        <v>0</v>
      </c>
      <c r="M116" s="8">
        <f>IF(OR(A116="",C116=""),"",MAX(0,C116-L116))</f>
        <v>0</v>
      </c>
      <c r="N116" s="27"/>
      <c r="O116" s="27"/>
      <c r="P116" s="30"/>
      <c r="Q116" s="28"/>
      <c r="R116" s="8">
        <f>IF(OR(Q116="",H116=""),"",Q116-H116)</f>
        <v>0</v>
      </c>
      <c r="S116" s="8">
        <f>IF(M116="","",COUNTIFS($M$5:$M$304,"&gt;"&amp;M116)+1)</f>
        <v>0</v>
      </c>
      <c r="T116" s="8">
        <f>IF(H116="","",H116+ROW()/1000000)</f>
        <v>0</v>
      </c>
      <c r="U116" s="8">
        <f>IF(OR(N116&lt;&gt;"Yes",T116=""),"",COUNTIFS($N$5:$N$304,"Yes",$T$5:$T$304,"&lt;"&amp;T116)+1)</f>
        <v>0</v>
      </c>
      <c r="V116" s="8">
        <f>IF(A116="","",IF(O116="Yes","Bought",IF(M116&lt;=0,"Have it",IF(N116&lt;&gt;"Yes","Skip",IF(S116&lt;=10,"Must have","Nice to have")))))</f>
        <v>0</v>
      </c>
      <c r="W116" s="30"/>
      <c r="X116" s="8">
        <f>IF(A116="","",IFERROR(INDEX('Recipe Ingredients'!$A$5:$A$1204,MATCH(A116,'Recipe Ingredients'!$B$5:$B$1204,0)),""))</f>
        <v>0</v>
      </c>
      <c r="Y116" s="8">
        <f>IF(A116="","",IFERROR(INDEX(Ingredients!$O$5:$O$304,MATCH(A116,Ingredients!$A$5:$A$304,0)),""))</f>
        <v>0</v>
      </c>
      <c r="Z116" s="8">
        <f>IF(A116="","",IF(O116="Yes","Bought",IF(N116="Yes","To buy","Not needed")))</f>
        <v>0</v>
      </c>
      <c r="AA116" s="25"/>
    </row>
    <row r="117" spans="1:27">
      <c r="A117" s="7"/>
      <c r="B117" s="8">
        <f>IF(A117="","",IFERROR(INDEX(Ingredients!$B$5:$B$304,MATCH(A117,Ingredients!$A$5:$A$304,0)),""))</f>
        <v>0</v>
      </c>
      <c r="C117" s="26"/>
      <c r="D117" s="27"/>
      <c r="E117" s="27"/>
      <c r="F117" s="7"/>
      <c r="G117" s="8">
        <f>IF(A117="","",IFERROR(INDEX(Ingredients!$D$5:$D$304,MATCH(A117,Ingredients!$A$5:$A$304,0)),""))</f>
        <v>0</v>
      </c>
      <c r="H117" s="8">
        <f>IF(OR(A117="",C117="",G117=""),"",C117*G117)</f>
        <v>0</v>
      </c>
      <c r="I117" s="26"/>
      <c r="J117" s="8">
        <f>IF(OR(C117="",I117="",I117=0),"",CEILING(C117/I117,1))</f>
        <v>0</v>
      </c>
      <c r="K117" s="8">
        <f>IF(OR(J117="",I117="",G117=""),"",J117*I117*G117)</f>
        <v>0</v>
      </c>
      <c r="L117" s="8">
        <f>IF(A117="","",SUMIFS(Pantry!$C$5:$C$304,Pantry!$A$5:$A$304,A117))</f>
        <v>0</v>
      </c>
      <c r="M117" s="8">
        <f>IF(OR(A117="",C117=""),"",MAX(0,C117-L117))</f>
        <v>0</v>
      </c>
      <c r="N117" s="27"/>
      <c r="O117" s="27"/>
      <c r="P117" s="30"/>
      <c r="Q117" s="28"/>
      <c r="R117" s="8">
        <f>IF(OR(Q117="",H117=""),"",Q117-H117)</f>
        <v>0</v>
      </c>
      <c r="S117" s="8">
        <f>IF(M117="","",COUNTIFS($M$5:$M$304,"&gt;"&amp;M117)+1)</f>
        <v>0</v>
      </c>
      <c r="T117" s="8">
        <f>IF(H117="","",H117+ROW()/1000000)</f>
        <v>0</v>
      </c>
      <c r="U117" s="8">
        <f>IF(OR(N117&lt;&gt;"Yes",T117=""),"",COUNTIFS($N$5:$N$304,"Yes",$T$5:$T$304,"&lt;"&amp;T117)+1)</f>
        <v>0</v>
      </c>
      <c r="V117" s="8">
        <f>IF(A117="","",IF(O117="Yes","Bought",IF(M117&lt;=0,"Have it",IF(N117&lt;&gt;"Yes","Skip",IF(S117&lt;=10,"Must have","Nice to have")))))</f>
        <v>0</v>
      </c>
      <c r="W117" s="30"/>
      <c r="X117" s="8">
        <f>IF(A117="","",IFERROR(INDEX('Recipe Ingredients'!$A$5:$A$1204,MATCH(A117,'Recipe Ingredients'!$B$5:$B$1204,0)),""))</f>
        <v>0</v>
      </c>
      <c r="Y117" s="8">
        <f>IF(A117="","",IFERROR(INDEX(Ingredients!$O$5:$O$304,MATCH(A117,Ingredients!$A$5:$A$304,0)),""))</f>
        <v>0</v>
      </c>
      <c r="Z117" s="8">
        <f>IF(A117="","",IF(O117="Yes","Bought",IF(N117="Yes","To buy","Not needed")))</f>
        <v>0</v>
      </c>
      <c r="AA117" s="25"/>
    </row>
    <row r="118" spans="1:27">
      <c r="A118" s="7"/>
      <c r="B118" s="8">
        <f>IF(A118="","",IFERROR(INDEX(Ingredients!$B$5:$B$304,MATCH(A118,Ingredients!$A$5:$A$304,0)),""))</f>
        <v>0</v>
      </c>
      <c r="C118" s="26"/>
      <c r="D118" s="27"/>
      <c r="E118" s="27"/>
      <c r="F118" s="7"/>
      <c r="G118" s="8">
        <f>IF(A118="","",IFERROR(INDEX(Ingredients!$D$5:$D$304,MATCH(A118,Ingredients!$A$5:$A$304,0)),""))</f>
        <v>0</v>
      </c>
      <c r="H118" s="8">
        <f>IF(OR(A118="",C118="",G118=""),"",C118*G118)</f>
        <v>0</v>
      </c>
      <c r="I118" s="26"/>
      <c r="J118" s="8">
        <f>IF(OR(C118="",I118="",I118=0),"",CEILING(C118/I118,1))</f>
        <v>0</v>
      </c>
      <c r="K118" s="8">
        <f>IF(OR(J118="",I118="",G118=""),"",J118*I118*G118)</f>
        <v>0</v>
      </c>
      <c r="L118" s="8">
        <f>IF(A118="","",SUMIFS(Pantry!$C$5:$C$304,Pantry!$A$5:$A$304,A118))</f>
        <v>0</v>
      </c>
      <c r="M118" s="8">
        <f>IF(OR(A118="",C118=""),"",MAX(0,C118-L118))</f>
        <v>0</v>
      </c>
      <c r="N118" s="27"/>
      <c r="O118" s="27"/>
      <c r="P118" s="30"/>
      <c r="Q118" s="28"/>
      <c r="R118" s="8">
        <f>IF(OR(Q118="",H118=""),"",Q118-H118)</f>
        <v>0</v>
      </c>
      <c r="S118" s="8">
        <f>IF(M118="","",COUNTIFS($M$5:$M$304,"&gt;"&amp;M118)+1)</f>
        <v>0</v>
      </c>
      <c r="T118" s="8">
        <f>IF(H118="","",H118+ROW()/1000000)</f>
        <v>0</v>
      </c>
      <c r="U118" s="8">
        <f>IF(OR(N118&lt;&gt;"Yes",T118=""),"",COUNTIFS($N$5:$N$304,"Yes",$T$5:$T$304,"&lt;"&amp;T118)+1)</f>
        <v>0</v>
      </c>
      <c r="V118" s="8">
        <f>IF(A118="","",IF(O118="Yes","Bought",IF(M118&lt;=0,"Have it",IF(N118&lt;&gt;"Yes","Skip",IF(S118&lt;=10,"Must have","Nice to have")))))</f>
        <v>0</v>
      </c>
      <c r="W118" s="30"/>
      <c r="X118" s="8">
        <f>IF(A118="","",IFERROR(INDEX('Recipe Ingredients'!$A$5:$A$1204,MATCH(A118,'Recipe Ingredients'!$B$5:$B$1204,0)),""))</f>
        <v>0</v>
      </c>
      <c r="Y118" s="8">
        <f>IF(A118="","",IFERROR(INDEX(Ingredients!$O$5:$O$304,MATCH(A118,Ingredients!$A$5:$A$304,0)),""))</f>
        <v>0</v>
      </c>
      <c r="Z118" s="8">
        <f>IF(A118="","",IF(O118="Yes","Bought",IF(N118="Yes","To buy","Not needed")))</f>
        <v>0</v>
      </c>
      <c r="AA118" s="25"/>
    </row>
    <row r="119" spans="1:27">
      <c r="A119" s="7"/>
      <c r="B119" s="8">
        <f>IF(A119="","",IFERROR(INDEX(Ingredients!$B$5:$B$304,MATCH(A119,Ingredients!$A$5:$A$304,0)),""))</f>
        <v>0</v>
      </c>
      <c r="C119" s="26"/>
      <c r="D119" s="27"/>
      <c r="E119" s="27"/>
      <c r="F119" s="7"/>
      <c r="G119" s="8">
        <f>IF(A119="","",IFERROR(INDEX(Ingredients!$D$5:$D$304,MATCH(A119,Ingredients!$A$5:$A$304,0)),""))</f>
        <v>0</v>
      </c>
      <c r="H119" s="8">
        <f>IF(OR(A119="",C119="",G119=""),"",C119*G119)</f>
        <v>0</v>
      </c>
      <c r="I119" s="26"/>
      <c r="J119" s="8">
        <f>IF(OR(C119="",I119="",I119=0),"",CEILING(C119/I119,1))</f>
        <v>0</v>
      </c>
      <c r="K119" s="8">
        <f>IF(OR(J119="",I119="",G119=""),"",J119*I119*G119)</f>
        <v>0</v>
      </c>
      <c r="L119" s="8">
        <f>IF(A119="","",SUMIFS(Pantry!$C$5:$C$304,Pantry!$A$5:$A$304,A119))</f>
        <v>0</v>
      </c>
      <c r="M119" s="8">
        <f>IF(OR(A119="",C119=""),"",MAX(0,C119-L119))</f>
        <v>0</v>
      </c>
      <c r="N119" s="27"/>
      <c r="O119" s="27"/>
      <c r="P119" s="30"/>
      <c r="Q119" s="28"/>
      <c r="R119" s="8">
        <f>IF(OR(Q119="",H119=""),"",Q119-H119)</f>
        <v>0</v>
      </c>
      <c r="S119" s="8">
        <f>IF(M119="","",COUNTIFS($M$5:$M$304,"&gt;"&amp;M119)+1)</f>
        <v>0</v>
      </c>
      <c r="T119" s="8">
        <f>IF(H119="","",H119+ROW()/1000000)</f>
        <v>0</v>
      </c>
      <c r="U119" s="8">
        <f>IF(OR(N119&lt;&gt;"Yes",T119=""),"",COUNTIFS($N$5:$N$304,"Yes",$T$5:$T$304,"&lt;"&amp;T119)+1)</f>
        <v>0</v>
      </c>
      <c r="V119" s="8">
        <f>IF(A119="","",IF(O119="Yes","Bought",IF(M119&lt;=0,"Have it",IF(N119&lt;&gt;"Yes","Skip",IF(S119&lt;=10,"Must have","Nice to have")))))</f>
        <v>0</v>
      </c>
      <c r="W119" s="30"/>
      <c r="X119" s="8">
        <f>IF(A119="","",IFERROR(INDEX('Recipe Ingredients'!$A$5:$A$1204,MATCH(A119,'Recipe Ingredients'!$B$5:$B$1204,0)),""))</f>
        <v>0</v>
      </c>
      <c r="Y119" s="8">
        <f>IF(A119="","",IFERROR(INDEX(Ingredients!$O$5:$O$304,MATCH(A119,Ingredients!$A$5:$A$304,0)),""))</f>
        <v>0</v>
      </c>
      <c r="Z119" s="8">
        <f>IF(A119="","",IF(O119="Yes","Bought",IF(N119="Yes","To buy","Not needed")))</f>
        <v>0</v>
      </c>
      <c r="AA119" s="25"/>
    </row>
    <row r="120" spans="1:27">
      <c r="A120" s="7"/>
      <c r="B120" s="8">
        <f>IF(A120="","",IFERROR(INDEX(Ingredients!$B$5:$B$304,MATCH(A120,Ingredients!$A$5:$A$304,0)),""))</f>
        <v>0</v>
      </c>
      <c r="C120" s="26"/>
      <c r="D120" s="27"/>
      <c r="E120" s="27"/>
      <c r="F120" s="7"/>
      <c r="G120" s="8">
        <f>IF(A120="","",IFERROR(INDEX(Ingredients!$D$5:$D$304,MATCH(A120,Ingredients!$A$5:$A$304,0)),""))</f>
        <v>0</v>
      </c>
      <c r="H120" s="8">
        <f>IF(OR(A120="",C120="",G120=""),"",C120*G120)</f>
        <v>0</v>
      </c>
      <c r="I120" s="26"/>
      <c r="J120" s="8">
        <f>IF(OR(C120="",I120="",I120=0),"",CEILING(C120/I120,1))</f>
        <v>0</v>
      </c>
      <c r="K120" s="8">
        <f>IF(OR(J120="",I120="",G120=""),"",J120*I120*G120)</f>
        <v>0</v>
      </c>
      <c r="L120" s="8">
        <f>IF(A120="","",SUMIFS(Pantry!$C$5:$C$304,Pantry!$A$5:$A$304,A120))</f>
        <v>0</v>
      </c>
      <c r="M120" s="8">
        <f>IF(OR(A120="",C120=""),"",MAX(0,C120-L120))</f>
        <v>0</v>
      </c>
      <c r="N120" s="27"/>
      <c r="O120" s="27"/>
      <c r="P120" s="30"/>
      <c r="Q120" s="28"/>
      <c r="R120" s="8">
        <f>IF(OR(Q120="",H120=""),"",Q120-H120)</f>
        <v>0</v>
      </c>
      <c r="S120" s="8">
        <f>IF(M120="","",COUNTIFS($M$5:$M$304,"&gt;"&amp;M120)+1)</f>
        <v>0</v>
      </c>
      <c r="T120" s="8">
        <f>IF(H120="","",H120+ROW()/1000000)</f>
        <v>0</v>
      </c>
      <c r="U120" s="8">
        <f>IF(OR(N120&lt;&gt;"Yes",T120=""),"",COUNTIFS($N$5:$N$304,"Yes",$T$5:$T$304,"&lt;"&amp;T120)+1)</f>
        <v>0</v>
      </c>
      <c r="V120" s="8">
        <f>IF(A120="","",IF(O120="Yes","Bought",IF(M120&lt;=0,"Have it",IF(N120&lt;&gt;"Yes","Skip",IF(S120&lt;=10,"Must have","Nice to have")))))</f>
        <v>0</v>
      </c>
      <c r="W120" s="30"/>
      <c r="X120" s="8">
        <f>IF(A120="","",IFERROR(INDEX('Recipe Ingredients'!$A$5:$A$1204,MATCH(A120,'Recipe Ingredients'!$B$5:$B$1204,0)),""))</f>
        <v>0</v>
      </c>
      <c r="Y120" s="8">
        <f>IF(A120="","",IFERROR(INDEX(Ingredients!$O$5:$O$304,MATCH(A120,Ingredients!$A$5:$A$304,0)),""))</f>
        <v>0</v>
      </c>
      <c r="Z120" s="8">
        <f>IF(A120="","",IF(O120="Yes","Bought",IF(N120="Yes","To buy","Not needed")))</f>
        <v>0</v>
      </c>
      <c r="AA120" s="25"/>
    </row>
    <row r="121" spans="1:27">
      <c r="A121" s="7"/>
      <c r="B121" s="8">
        <f>IF(A121="","",IFERROR(INDEX(Ingredients!$B$5:$B$304,MATCH(A121,Ingredients!$A$5:$A$304,0)),""))</f>
        <v>0</v>
      </c>
      <c r="C121" s="26"/>
      <c r="D121" s="27"/>
      <c r="E121" s="27"/>
      <c r="F121" s="7"/>
      <c r="G121" s="8">
        <f>IF(A121="","",IFERROR(INDEX(Ingredients!$D$5:$D$304,MATCH(A121,Ingredients!$A$5:$A$304,0)),""))</f>
        <v>0</v>
      </c>
      <c r="H121" s="8">
        <f>IF(OR(A121="",C121="",G121=""),"",C121*G121)</f>
        <v>0</v>
      </c>
      <c r="I121" s="26"/>
      <c r="J121" s="8">
        <f>IF(OR(C121="",I121="",I121=0),"",CEILING(C121/I121,1))</f>
        <v>0</v>
      </c>
      <c r="K121" s="8">
        <f>IF(OR(J121="",I121="",G121=""),"",J121*I121*G121)</f>
        <v>0</v>
      </c>
      <c r="L121" s="8">
        <f>IF(A121="","",SUMIFS(Pantry!$C$5:$C$304,Pantry!$A$5:$A$304,A121))</f>
        <v>0</v>
      </c>
      <c r="M121" s="8">
        <f>IF(OR(A121="",C121=""),"",MAX(0,C121-L121))</f>
        <v>0</v>
      </c>
      <c r="N121" s="27"/>
      <c r="O121" s="27"/>
      <c r="P121" s="30"/>
      <c r="Q121" s="28"/>
      <c r="R121" s="8">
        <f>IF(OR(Q121="",H121=""),"",Q121-H121)</f>
        <v>0</v>
      </c>
      <c r="S121" s="8">
        <f>IF(M121="","",COUNTIFS($M$5:$M$304,"&gt;"&amp;M121)+1)</f>
        <v>0</v>
      </c>
      <c r="T121" s="8">
        <f>IF(H121="","",H121+ROW()/1000000)</f>
        <v>0</v>
      </c>
      <c r="U121" s="8">
        <f>IF(OR(N121&lt;&gt;"Yes",T121=""),"",COUNTIFS($N$5:$N$304,"Yes",$T$5:$T$304,"&lt;"&amp;T121)+1)</f>
        <v>0</v>
      </c>
      <c r="V121" s="8">
        <f>IF(A121="","",IF(O121="Yes","Bought",IF(M121&lt;=0,"Have it",IF(N121&lt;&gt;"Yes","Skip",IF(S121&lt;=10,"Must have","Nice to have")))))</f>
        <v>0</v>
      </c>
      <c r="W121" s="30"/>
      <c r="X121" s="8">
        <f>IF(A121="","",IFERROR(INDEX('Recipe Ingredients'!$A$5:$A$1204,MATCH(A121,'Recipe Ingredients'!$B$5:$B$1204,0)),""))</f>
        <v>0</v>
      </c>
      <c r="Y121" s="8">
        <f>IF(A121="","",IFERROR(INDEX(Ingredients!$O$5:$O$304,MATCH(A121,Ingredients!$A$5:$A$304,0)),""))</f>
        <v>0</v>
      </c>
      <c r="Z121" s="8">
        <f>IF(A121="","",IF(O121="Yes","Bought",IF(N121="Yes","To buy","Not needed")))</f>
        <v>0</v>
      </c>
      <c r="AA121" s="25"/>
    </row>
    <row r="122" spans="1:27">
      <c r="A122" s="7"/>
      <c r="B122" s="8">
        <f>IF(A122="","",IFERROR(INDEX(Ingredients!$B$5:$B$304,MATCH(A122,Ingredients!$A$5:$A$304,0)),""))</f>
        <v>0</v>
      </c>
      <c r="C122" s="26"/>
      <c r="D122" s="27"/>
      <c r="E122" s="27"/>
      <c r="F122" s="7"/>
      <c r="G122" s="8">
        <f>IF(A122="","",IFERROR(INDEX(Ingredients!$D$5:$D$304,MATCH(A122,Ingredients!$A$5:$A$304,0)),""))</f>
        <v>0</v>
      </c>
      <c r="H122" s="8">
        <f>IF(OR(A122="",C122="",G122=""),"",C122*G122)</f>
        <v>0</v>
      </c>
      <c r="I122" s="26"/>
      <c r="J122" s="8">
        <f>IF(OR(C122="",I122="",I122=0),"",CEILING(C122/I122,1))</f>
        <v>0</v>
      </c>
      <c r="K122" s="8">
        <f>IF(OR(J122="",I122="",G122=""),"",J122*I122*G122)</f>
        <v>0</v>
      </c>
      <c r="L122" s="8">
        <f>IF(A122="","",SUMIFS(Pantry!$C$5:$C$304,Pantry!$A$5:$A$304,A122))</f>
        <v>0</v>
      </c>
      <c r="M122" s="8">
        <f>IF(OR(A122="",C122=""),"",MAX(0,C122-L122))</f>
        <v>0</v>
      </c>
      <c r="N122" s="27"/>
      <c r="O122" s="27"/>
      <c r="P122" s="30"/>
      <c r="Q122" s="28"/>
      <c r="R122" s="8">
        <f>IF(OR(Q122="",H122=""),"",Q122-H122)</f>
        <v>0</v>
      </c>
      <c r="S122" s="8">
        <f>IF(M122="","",COUNTIFS($M$5:$M$304,"&gt;"&amp;M122)+1)</f>
        <v>0</v>
      </c>
      <c r="T122" s="8">
        <f>IF(H122="","",H122+ROW()/1000000)</f>
        <v>0</v>
      </c>
      <c r="U122" s="8">
        <f>IF(OR(N122&lt;&gt;"Yes",T122=""),"",COUNTIFS($N$5:$N$304,"Yes",$T$5:$T$304,"&lt;"&amp;T122)+1)</f>
        <v>0</v>
      </c>
      <c r="V122" s="8">
        <f>IF(A122="","",IF(O122="Yes","Bought",IF(M122&lt;=0,"Have it",IF(N122&lt;&gt;"Yes","Skip",IF(S122&lt;=10,"Must have","Nice to have")))))</f>
        <v>0</v>
      </c>
      <c r="W122" s="30"/>
      <c r="X122" s="8">
        <f>IF(A122="","",IFERROR(INDEX('Recipe Ingredients'!$A$5:$A$1204,MATCH(A122,'Recipe Ingredients'!$B$5:$B$1204,0)),""))</f>
        <v>0</v>
      </c>
      <c r="Y122" s="8">
        <f>IF(A122="","",IFERROR(INDEX(Ingredients!$O$5:$O$304,MATCH(A122,Ingredients!$A$5:$A$304,0)),""))</f>
        <v>0</v>
      </c>
      <c r="Z122" s="8">
        <f>IF(A122="","",IF(O122="Yes","Bought",IF(N122="Yes","To buy","Not needed")))</f>
        <v>0</v>
      </c>
      <c r="AA122" s="25"/>
    </row>
    <row r="123" spans="1:27">
      <c r="A123" s="7"/>
      <c r="B123" s="8">
        <f>IF(A123="","",IFERROR(INDEX(Ingredients!$B$5:$B$304,MATCH(A123,Ingredients!$A$5:$A$304,0)),""))</f>
        <v>0</v>
      </c>
      <c r="C123" s="26"/>
      <c r="D123" s="27"/>
      <c r="E123" s="27"/>
      <c r="F123" s="7"/>
      <c r="G123" s="8">
        <f>IF(A123="","",IFERROR(INDEX(Ingredients!$D$5:$D$304,MATCH(A123,Ingredients!$A$5:$A$304,0)),""))</f>
        <v>0</v>
      </c>
      <c r="H123" s="8">
        <f>IF(OR(A123="",C123="",G123=""),"",C123*G123)</f>
        <v>0</v>
      </c>
      <c r="I123" s="26"/>
      <c r="J123" s="8">
        <f>IF(OR(C123="",I123="",I123=0),"",CEILING(C123/I123,1))</f>
        <v>0</v>
      </c>
      <c r="K123" s="8">
        <f>IF(OR(J123="",I123="",G123=""),"",J123*I123*G123)</f>
        <v>0</v>
      </c>
      <c r="L123" s="8">
        <f>IF(A123="","",SUMIFS(Pantry!$C$5:$C$304,Pantry!$A$5:$A$304,A123))</f>
        <v>0</v>
      </c>
      <c r="M123" s="8">
        <f>IF(OR(A123="",C123=""),"",MAX(0,C123-L123))</f>
        <v>0</v>
      </c>
      <c r="N123" s="27"/>
      <c r="O123" s="27"/>
      <c r="P123" s="30"/>
      <c r="Q123" s="28"/>
      <c r="R123" s="8">
        <f>IF(OR(Q123="",H123=""),"",Q123-H123)</f>
        <v>0</v>
      </c>
      <c r="S123" s="8">
        <f>IF(M123="","",COUNTIFS($M$5:$M$304,"&gt;"&amp;M123)+1)</f>
        <v>0</v>
      </c>
      <c r="T123" s="8">
        <f>IF(H123="","",H123+ROW()/1000000)</f>
        <v>0</v>
      </c>
      <c r="U123" s="8">
        <f>IF(OR(N123&lt;&gt;"Yes",T123=""),"",COUNTIFS($N$5:$N$304,"Yes",$T$5:$T$304,"&lt;"&amp;T123)+1)</f>
        <v>0</v>
      </c>
      <c r="V123" s="8">
        <f>IF(A123="","",IF(O123="Yes","Bought",IF(M123&lt;=0,"Have it",IF(N123&lt;&gt;"Yes","Skip",IF(S123&lt;=10,"Must have","Nice to have")))))</f>
        <v>0</v>
      </c>
      <c r="W123" s="30"/>
      <c r="X123" s="8">
        <f>IF(A123="","",IFERROR(INDEX('Recipe Ingredients'!$A$5:$A$1204,MATCH(A123,'Recipe Ingredients'!$B$5:$B$1204,0)),""))</f>
        <v>0</v>
      </c>
      <c r="Y123" s="8">
        <f>IF(A123="","",IFERROR(INDEX(Ingredients!$O$5:$O$304,MATCH(A123,Ingredients!$A$5:$A$304,0)),""))</f>
        <v>0</v>
      </c>
      <c r="Z123" s="8">
        <f>IF(A123="","",IF(O123="Yes","Bought",IF(N123="Yes","To buy","Not needed")))</f>
        <v>0</v>
      </c>
      <c r="AA123" s="25"/>
    </row>
    <row r="124" spans="1:27">
      <c r="A124" s="7"/>
      <c r="B124" s="8">
        <f>IF(A124="","",IFERROR(INDEX(Ingredients!$B$5:$B$304,MATCH(A124,Ingredients!$A$5:$A$304,0)),""))</f>
        <v>0</v>
      </c>
      <c r="C124" s="26"/>
      <c r="D124" s="27"/>
      <c r="E124" s="27"/>
      <c r="F124" s="7"/>
      <c r="G124" s="8">
        <f>IF(A124="","",IFERROR(INDEX(Ingredients!$D$5:$D$304,MATCH(A124,Ingredients!$A$5:$A$304,0)),""))</f>
        <v>0</v>
      </c>
      <c r="H124" s="8">
        <f>IF(OR(A124="",C124="",G124=""),"",C124*G124)</f>
        <v>0</v>
      </c>
      <c r="I124" s="26"/>
      <c r="J124" s="8">
        <f>IF(OR(C124="",I124="",I124=0),"",CEILING(C124/I124,1))</f>
        <v>0</v>
      </c>
      <c r="K124" s="8">
        <f>IF(OR(J124="",I124="",G124=""),"",J124*I124*G124)</f>
        <v>0</v>
      </c>
      <c r="L124" s="8">
        <f>IF(A124="","",SUMIFS(Pantry!$C$5:$C$304,Pantry!$A$5:$A$304,A124))</f>
        <v>0</v>
      </c>
      <c r="M124" s="8">
        <f>IF(OR(A124="",C124=""),"",MAX(0,C124-L124))</f>
        <v>0</v>
      </c>
      <c r="N124" s="27"/>
      <c r="O124" s="27"/>
      <c r="P124" s="30"/>
      <c r="Q124" s="28"/>
      <c r="R124" s="8">
        <f>IF(OR(Q124="",H124=""),"",Q124-H124)</f>
        <v>0</v>
      </c>
      <c r="S124" s="8">
        <f>IF(M124="","",COUNTIFS($M$5:$M$304,"&gt;"&amp;M124)+1)</f>
        <v>0</v>
      </c>
      <c r="T124" s="8">
        <f>IF(H124="","",H124+ROW()/1000000)</f>
        <v>0</v>
      </c>
      <c r="U124" s="8">
        <f>IF(OR(N124&lt;&gt;"Yes",T124=""),"",COUNTIFS($N$5:$N$304,"Yes",$T$5:$T$304,"&lt;"&amp;T124)+1)</f>
        <v>0</v>
      </c>
      <c r="V124" s="8">
        <f>IF(A124="","",IF(O124="Yes","Bought",IF(M124&lt;=0,"Have it",IF(N124&lt;&gt;"Yes","Skip",IF(S124&lt;=10,"Must have","Nice to have")))))</f>
        <v>0</v>
      </c>
      <c r="W124" s="30"/>
      <c r="X124" s="8">
        <f>IF(A124="","",IFERROR(INDEX('Recipe Ingredients'!$A$5:$A$1204,MATCH(A124,'Recipe Ingredients'!$B$5:$B$1204,0)),""))</f>
        <v>0</v>
      </c>
      <c r="Y124" s="8">
        <f>IF(A124="","",IFERROR(INDEX(Ingredients!$O$5:$O$304,MATCH(A124,Ingredients!$A$5:$A$304,0)),""))</f>
        <v>0</v>
      </c>
      <c r="Z124" s="8">
        <f>IF(A124="","",IF(O124="Yes","Bought",IF(N124="Yes","To buy","Not needed")))</f>
        <v>0</v>
      </c>
      <c r="AA124" s="25"/>
    </row>
    <row r="125" spans="1:27">
      <c r="A125" s="7"/>
      <c r="B125" s="8">
        <f>IF(A125="","",IFERROR(INDEX(Ingredients!$B$5:$B$304,MATCH(A125,Ingredients!$A$5:$A$304,0)),""))</f>
        <v>0</v>
      </c>
      <c r="C125" s="26"/>
      <c r="D125" s="27"/>
      <c r="E125" s="27"/>
      <c r="F125" s="7"/>
      <c r="G125" s="8">
        <f>IF(A125="","",IFERROR(INDEX(Ingredients!$D$5:$D$304,MATCH(A125,Ingredients!$A$5:$A$304,0)),""))</f>
        <v>0</v>
      </c>
      <c r="H125" s="8">
        <f>IF(OR(A125="",C125="",G125=""),"",C125*G125)</f>
        <v>0</v>
      </c>
      <c r="I125" s="26"/>
      <c r="J125" s="8">
        <f>IF(OR(C125="",I125="",I125=0),"",CEILING(C125/I125,1))</f>
        <v>0</v>
      </c>
      <c r="K125" s="8">
        <f>IF(OR(J125="",I125="",G125=""),"",J125*I125*G125)</f>
        <v>0</v>
      </c>
      <c r="L125" s="8">
        <f>IF(A125="","",SUMIFS(Pantry!$C$5:$C$304,Pantry!$A$5:$A$304,A125))</f>
        <v>0</v>
      </c>
      <c r="M125" s="8">
        <f>IF(OR(A125="",C125=""),"",MAX(0,C125-L125))</f>
        <v>0</v>
      </c>
      <c r="N125" s="27"/>
      <c r="O125" s="27"/>
      <c r="P125" s="30"/>
      <c r="Q125" s="28"/>
      <c r="R125" s="8">
        <f>IF(OR(Q125="",H125=""),"",Q125-H125)</f>
        <v>0</v>
      </c>
      <c r="S125" s="8">
        <f>IF(M125="","",COUNTIFS($M$5:$M$304,"&gt;"&amp;M125)+1)</f>
        <v>0</v>
      </c>
      <c r="T125" s="8">
        <f>IF(H125="","",H125+ROW()/1000000)</f>
        <v>0</v>
      </c>
      <c r="U125" s="8">
        <f>IF(OR(N125&lt;&gt;"Yes",T125=""),"",COUNTIFS($N$5:$N$304,"Yes",$T$5:$T$304,"&lt;"&amp;T125)+1)</f>
        <v>0</v>
      </c>
      <c r="V125" s="8">
        <f>IF(A125="","",IF(O125="Yes","Bought",IF(M125&lt;=0,"Have it",IF(N125&lt;&gt;"Yes","Skip",IF(S125&lt;=10,"Must have","Nice to have")))))</f>
        <v>0</v>
      </c>
      <c r="W125" s="30"/>
      <c r="X125" s="8">
        <f>IF(A125="","",IFERROR(INDEX('Recipe Ingredients'!$A$5:$A$1204,MATCH(A125,'Recipe Ingredients'!$B$5:$B$1204,0)),""))</f>
        <v>0</v>
      </c>
      <c r="Y125" s="8">
        <f>IF(A125="","",IFERROR(INDEX(Ingredients!$O$5:$O$304,MATCH(A125,Ingredients!$A$5:$A$304,0)),""))</f>
        <v>0</v>
      </c>
      <c r="Z125" s="8">
        <f>IF(A125="","",IF(O125="Yes","Bought",IF(N125="Yes","To buy","Not needed")))</f>
        <v>0</v>
      </c>
      <c r="AA125" s="25"/>
    </row>
    <row r="126" spans="1:27">
      <c r="A126" s="7"/>
      <c r="B126" s="8">
        <f>IF(A126="","",IFERROR(INDEX(Ingredients!$B$5:$B$304,MATCH(A126,Ingredients!$A$5:$A$304,0)),""))</f>
        <v>0</v>
      </c>
      <c r="C126" s="26"/>
      <c r="D126" s="27"/>
      <c r="E126" s="27"/>
      <c r="F126" s="7"/>
      <c r="G126" s="8">
        <f>IF(A126="","",IFERROR(INDEX(Ingredients!$D$5:$D$304,MATCH(A126,Ingredients!$A$5:$A$304,0)),""))</f>
        <v>0</v>
      </c>
      <c r="H126" s="8">
        <f>IF(OR(A126="",C126="",G126=""),"",C126*G126)</f>
        <v>0</v>
      </c>
      <c r="I126" s="26"/>
      <c r="J126" s="8">
        <f>IF(OR(C126="",I126="",I126=0),"",CEILING(C126/I126,1))</f>
        <v>0</v>
      </c>
      <c r="K126" s="8">
        <f>IF(OR(J126="",I126="",G126=""),"",J126*I126*G126)</f>
        <v>0</v>
      </c>
      <c r="L126" s="8">
        <f>IF(A126="","",SUMIFS(Pantry!$C$5:$C$304,Pantry!$A$5:$A$304,A126))</f>
        <v>0</v>
      </c>
      <c r="M126" s="8">
        <f>IF(OR(A126="",C126=""),"",MAX(0,C126-L126))</f>
        <v>0</v>
      </c>
      <c r="N126" s="27"/>
      <c r="O126" s="27"/>
      <c r="P126" s="30"/>
      <c r="Q126" s="28"/>
      <c r="R126" s="8">
        <f>IF(OR(Q126="",H126=""),"",Q126-H126)</f>
        <v>0</v>
      </c>
      <c r="S126" s="8">
        <f>IF(M126="","",COUNTIFS($M$5:$M$304,"&gt;"&amp;M126)+1)</f>
        <v>0</v>
      </c>
      <c r="T126" s="8">
        <f>IF(H126="","",H126+ROW()/1000000)</f>
        <v>0</v>
      </c>
      <c r="U126" s="8">
        <f>IF(OR(N126&lt;&gt;"Yes",T126=""),"",COUNTIFS($N$5:$N$304,"Yes",$T$5:$T$304,"&lt;"&amp;T126)+1)</f>
        <v>0</v>
      </c>
      <c r="V126" s="8">
        <f>IF(A126="","",IF(O126="Yes","Bought",IF(M126&lt;=0,"Have it",IF(N126&lt;&gt;"Yes","Skip",IF(S126&lt;=10,"Must have","Nice to have")))))</f>
        <v>0</v>
      </c>
      <c r="W126" s="30"/>
      <c r="X126" s="8">
        <f>IF(A126="","",IFERROR(INDEX('Recipe Ingredients'!$A$5:$A$1204,MATCH(A126,'Recipe Ingredients'!$B$5:$B$1204,0)),""))</f>
        <v>0</v>
      </c>
      <c r="Y126" s="8">
        <f>IF(A126="","",IFERROR(INDEX(Ingredients!$O$5:$O$304,MATCH(A126,Ingredients!$A$5:$A$304,0)),""))</f>
        <v>0</v>
      </c>
      <c r="Z126" s="8">
        <f>IF(A126="","",IF(O126="Yes","Bought",IF(N126="Yes","To buy","Not needed")))</f>
        <v>0</v>
      </c>
      <c r="AA126" s="25"/>
    </row>
    <row r="127" spans="1:27">
      <c r="A127" s="7"/>
      <c r="B127" s="8">
        <f>IF(A127="","",IFERROR(INDEX(Ingredients!$B$5:$B$304,MATCH(A127,Ingredients!$A$5:$A$304,0)),""))</f>
        <v>0</v>
      </c>
      <c r="C127" s="26"/>
      <c r="D127" s="27"/>
      <c r="E127" s="27"/>
      <c r="F127" s="7"/>
      <c r="G127" s="8">
        <f>IF(A127="","",IFERROR(INDEX(Ingredients!$D$5:$D$304,MATCH(A127,Ingredients!$A$5:$A$304,0)),""))</f>
        <v>0</v>
      </c>
      <c r="H127" s="8">
        <f>IF(OR(A127="",C127="",G127=""),"",C127*G127)</f>
        <v>0</v>
      </c>
      <c r="I127" s="26"/>
      <c r="J127" s="8">
        <f>IF(OR(C127="",I127="",I127=0),"",CEILING(C127/I127,1))</f>
        <v>0</v>
      </c>
      <c r="K127" s="8">
        <f>IF(OR(J127="",I127="",G127=""),"",J127*I127*G127)</f>
        <v>0</v>
      </c>
      <c r="L127" s="8">
        <f>IF(A127="","",SUMIFS(Pantry!$C$5:$C$304,Pantry!$A$5:$A$304,A127))</f>
        <v>0</v>
      </c>
      <c r="M127" s="8">
        <f>IF(OR(A127="",C127=""),"",MAX(0,C127-L127))</f>
        <v>0</v>
      </c>
      <c r="N127" s="27"/>
      <c r="O127" s="27"/>
      <c r="P127" s="30"/>
      <c r="Q127" s="28"/>
      <c r="R127" s="8">
        <f>IF(OR(Q127="",H127=""),"",Q127-H127)</f>
        <v>0</v>
      </c>
      <c r="S127" s="8">
        <f>IF(M127="","",COUNTIFS($M$5:$M$304,"&gt;"&amp;M127)+1)</f>
        <v>0</v>
      </c>
      <c r="T127" s="8">
        <f>IF(H127="","",H127+ROW()/1000000)</f>
        <v>0</v>
      </c>
      <c r="U127" s="8">
        <f>IF(OR(N127&lt;&gt;"Yes",T127=""),"",COUNTIFS($N$5:$N$304,"Yes",$T$5:$T$304,"&lt;"&amp;T127)+1)</f>
        <v>0</v>
      </c>
      <c r="V127" s="8">
        <f>IF(A127="","",IF(O127="Yes","Bought",IF(M127&lt;=0,"Have it",IF(N127&lt;&gt;"Yes","Skip",IF(S127&lt;=10,"Must have","Nice to have")))))</f>
        <v>0</v>
      </c>
      <c r="W127" s="30"/>
      <c r="X127" s="8">
        <f>IF(A127="","",IFERROR(INDEX('Recipe Ingredients'!$A$5:$A$1204,MATCH(A127,'Recipe Ingredients'!$B$5:$B$1204,0)),""))</f>
        <v>0</v>
      </c>
      <c r="Y127" s="8">
        <f>IF(A127="","",IFERROR(INDEX(Ingredients!$O$5:$O$304,MATCH(A127,Ingredients!$A$5:$A$304,0)),""))</f>
        <v>0</v>
      </c>
      <c r="Z127" s="8">
        <f>IF(A127="","",IF(O127="Yes","Bought",IF(N127="Yes","To buy","Not needed")))</f>
        <v>0</v>
      </c>
      <c r="AA127" s="25"/>
    </row>
    <row r="128" spans="1:27">
      <c r="A128" s="7"/>
      <c r="B128" s="8">
        <f>IF(A128="","",IFERROR(INDEX(Ingredients!$B$5:$B$304,MATCH(A128,Ingredients!$A$5:$A$304,0)),""))</f>
        <v>0</v>
      </c>
      <c r="C128" s="26"/>
      <c r="D128" s="27"/>
      <c r="E128" s="27"/>
      <c r="F128" s="7"/>
      <c r="G128" s="8">
        <f>IF(A128="","",IFERROR(INDEX(Ingredients!$D$5:$D$304,MATCH(A128,Ingredients!$A$5:$A$304,0)),""))</f>
        <v>0</v>
      </c>
      <c r="H128" s="8">
        <f>IF(OR(A128="",C128="",G128=""),"",C128*G128)</f>
        <v>0</v>
      </c>
      <c r="I128" s="26"/>
      <c r="J128" s="8">
        <f>IF(OR(C128="",I128="",I128=0),"",CEILING(C128/I128,1))</f>
        <v>0</v>
      </c>
      <c r="K128" s="8">
        <f>IF(OR(J128="",I128="",G128=""),"",J128*I128*G128)</f>
        <v>0</v>
      </c>
      <c r="L128" s="8">
        <f>IF(A128="","",SUMIFS(Pantry!$C$5:$C$304,Pantry!$A$5:$A$304,A128))</f>
        <v>0</v>
      </c>
      <c r="M128" s="8">
        <f>IF(OR(A128="",C128=""),"",MAX(0,C128-L128))</f>
        <v>0</v>
      </c>
      <c r="N128" s="27"/>
      <c r="O128" s="27"/>
      <c r="P128" s="30"/>
      <c r="Q128" s="28"/>
      <c r="R128" s="8">
        <f>IF(OR(Q128="",H128=""),"",Q128-H128)</f>
        <v>0</v>
      </c>
      <c r="S128" s="8">
        <f>IF(M128="","",COUNTIFS($M$5:$M$304,"&gt;"&amp;M128)+1)</f>
        <v>0</v>
      </c>
      <c r="T128" s="8">
        <f>IF(H128="","",H128+ROW()/1000000)</f>
        <v>0</v>
      </c>
      <c r="U128" s="8">
        <f>IF(OR(N128&lt;&gt;"Yes",T128=""),"",COUNTIFS($N$5:$N$304,"Yes",$T$5:$T$304,"&lt;"&amp;T128)+1)</f>
        <v>0</v>
      </c>
      <c r="V128" s="8">
        <f>IF(A128="","",IF(O128="Yes","Bought",IF(M128&lt;=0,"Have it",IF(N128&lt;&gt;"Yes","Skip",IF(S128&lt;=10,"Must have","Nice to have")))))</f>
        <v>0</v>
      </c>
      <c r="W128" s="30"/>
      <c r="X128" s="8">
        <f>IF(A128="","",IFERROR(INDEX('Recipe Ingredients'!$A$5:$A$1204,MATCH(A128,'Recipe Ingredients'!$B$5:$B$1204,0)),""))</f>
        <v>0</v>
      </c>
      <c r="Y128" s="8">
        <f>IF(A128="","",IFERROR(INDEX(Ingredients!$O$5:$O$304,MATCH(A128,Ingredients!$A$5:$A$304,0)),""))</f>
        <v>0</v>
      </c>
      <c r="Z128" s="8">
        <f>IF(A128="","",IF(O128="Yes","Bought",IF(N128="Yes","To buy","Not needed")))</f>
        <v>0</v>
      </c>
      <c r="AA128" s="25"/>
    </row>
    <row r="129" spans="1:27">
      <c r="A129" s="7"/>
      <c r="B129" s="8">
        <f>IF(A129="","",IFERROR(INDEX(Ingredients!$B$5:$B$304,MATCH(A129,Ingredients!$A$5:$A$304,0)),""))</f>
        <v>0</v>
      </c>
      <c r="C129" s="26"/>
      <c r="D129" s="27"/>
      <c r="E129" s="27"/>
      <c r="F129" s="7"/>
      <c r="G129" s="8">
        <f>IF(A129="","",IFERROR(INDEX(Ingredients!$D$5:$D$304,MATCH(A129,Ingredients!$A$5:$A$304,0)),""))</f>
        <v>0</v>
      </c>
      <c r="H129" s="8">
        <f>IF(OR(A129="",C129="",G129=""),"",C129*G129)</f>
        <v>0</v>
      </c>
      <c r="I129" s="26"/>
      <c r="J129" s="8">
        <f>IF(OR(C129="",I129="",I129=0),"",CEILING(C129/I129,1))</f>
        <v>0</v>
      </c>
      <c r="K129" s="8">
        <f>IF(OR(J129="",I129="",G129=""),"",J129*I129*G129)</f>
        <v>0</v>
      </c>
      <c r="L129" s="8">
        <f>IF(A129="","",SUMIFS(Pantry!$C$5:$C$304,Pantry!$A$5:$A$304,A129))</f>
        <v>0</v>
      </c>
      <c r="M129" s="8">
        <f>IF(OR(A129="",C129=""),"",MAX(0,C129-L129))</f>
        <v>0</v>
      </c>
      <c r="N129" s="27"/>
      <c r="O129" s="27"/>
      <c r="P129" s="30"/>
      <c r="Q129" s="28"/>
      <c r="R129" s="8">
        <f>IF(OR(Q129="",H129=""),"",Q129-H129)</f>
        <v>0</v>
      </c>
      <c r="S129" s="8">
        <f>IF(M129="","",COUNTIFS($M$5:$M$304,"&gt;"&amp;M129)+1)</f>
        <v>0</v>
      </c>
      <c r="T129" s="8">
        <f>IF(H129="","",H129+ROW()/1000000)</f>
        <v>0</v>
      </c>
      <c r="U129" s="8">
        <f>IF(OR(N129&lt;&gt;"Yes",T129=""),"",COUNTIFS($N$5:$N$304,"Yes",$T$5:$T$304,"&lt;"&amp;T129)+1)</f>
        <v>0</v>
      </c>
      <c r="V129" s="8">
        <f>IF(A129="","",IF(O129="Yes","Bought",IF(M129&lt;=0,"Have it",IF(N129&lt;&gt;"Yes","Skip",IF(S129&lt;=10,"Must have","Nice to have")))))</f>
        <v>0</v>
      </c>
      <c r="W129" s="30"/>
      <c r="X129" s="8">
        <f>IF(A129="","",IFERROR(INDEX('Recipe Ingredients'!$A$5:$A$1204,MATCH(A129,'Recipe Ingredients'!$B$5:$B$1204,0)),""))</f>
        <v>0</v>
      </c>
      <c r="Y129" s="8">
        <f>IF(A129="","",IFERROR(INDEX(Ingredients!$O$5:$O$304,MATCH(A129,Ingredients!$A$5:$A$304,0)),""))</f>
        <v>0</v>
      </c>
      <c r="Z129" s="8">
        <f>IF(A129="","",IF(O129="Yes","Bought",IF(N129="Yes","To buy","Not needed")))</f>
        <v>0</v>
      </c>
      <c r="AA129" s="25"/>
    </row>
    <row r="130" spans="1:27">
      <c r="A130" s="7"/>
      <c r="B130" s="8">
        <f>IF(A130="","",IFERROR(INDEX(Ingredients!$B$5:$B$304,MATCH(A130,Ingredients!$A$5:$A$304,0)),""))</f>
        <v>0</v>
      </c>
      <c r="C130" s="26"/>
      <c r="D130" s="27"/>
      <c r="E130" s="27"/>
      <c r="F130" s="7"/>
      <c r="G130" s="8">
        <f>IF(A130="","",IFERROR(INDEX(Ingredients!$D$5:$D$304,MATCH(A130,Ingredients!$A$5:$A$304,0)),""))</f>
        <v>0</v>
      </c>
      <c r="H130" s="8">
        <f>IF(OR(A130="",C130="",G130=""),"",C130*G130)</f>
        <v>0</v>
      </c>
      <c r="I130" s="26"/>
      <c r="J130" s="8">
        <f>IF(OR(C130="",I130="",I130=0),"",CEILING(C130/I130,1))</f>
        <v>0</v>
      </c>
      <c r="K130" s="8">
        <f>IF(OR(J130="",I130="",G130=""),"",J130*I130*G130)</f>
        <v>0</v>
      </c>
      <c r="L130" s="8">
        <f>IF(A130="","",SUMIFS(Pantry!$C$5:$C$304,Pantry!$A$5:$A$304,A130))</f>
        <v>0</v>
      </c>
      <c r="M130" s="8">
        <f>IF(OR(A130="",C130=""),"",MAX(0,C130-L130))</f>
        <v>0</v>
      </c>
      <c r="N130" s="27"/>
      <c r="O130" s="27"/>
      <c r="P130" s="30"/>
      <c r="Q130" s="28"/>
      <c r="R130" s="8">
        <f>IF(OR(Q130="",H130=""),"",Q130-H130)</f>
        <v>0</v>
      </c>
      <c r="S130" s="8">
        <f>IF(M130="","",COUNTIFS($M$5:$M$304,"&gt;"&amp;M130)+1)</f>
        <v>0</v>
      </c>
      <c r="T130" s="8">
        <f>IF(H130="","",H130+ROW()/1000000)</f>
        <v>0</v>
      </c>
      <c r="U130" s="8">
        <f>IF(OR(N130&lt;&gt;"Yes",T130=""),"",COUNTIFS($N$5:$N$304,"Yes",$T$5:$T$304,"&lt;"&amp;T130)+1)</f>
        <v>0</v>
      </c>
      <c r="V130" s="8">
        <f>IF(A130="","",IF(O130="Yes","Bought",IF(M130&lt;=0,"Have it",IF(N130&lt;&gt;"Yes","Skip",IF(S130&lt;=10,"Must have","Nice to have")))))</f>
        <v>0</v>
      </c>
      <c r="W130" s="30"/>
      <c r="X130" s="8">
        <f>IF(A130="","",IFERROR(INDEX('Recipe Ingredients'!$A$5:$A$1204,MATCH(A130,'Recipe Ingredients'!$B$5:$B$1204,0)),""))</f>
        <v>0</v>
      </c>
      <c r="Y130" s="8">
        <f>IF(A130="","",IFERROR(INDEX(Ingredients!$O$5:$O$304,MATCH(A130,Ingredients!$A$5:$A$304,0)),""))</f>
        <v>0</v>
      </c>
      <c r="Z130" s="8">
        <f>IF(A130="","",IF(O130="Yes","Bought",IF(N130="Yes","To buy","Not needed")))</f>
        <v>0</v>
      </c>
      <c r="AA130" s="25"/>
    </row>
    <row r="131" spans="1:27">
      <c r="A131" s="7"/>
      <c r="B131" s="8">
        <f>IF(A131="","",IFERROR(INDEX(Ingredients!$B$5:$B$304,MATCH(A131,Ingredients!$A$5:$A$304,0)),""))</f>
        <v>0</v>
      </c>
      <c r="C131" s="26"/>
      <c r="D131" s="27"/>
      <c r="E131" s="27"/>
      <c r="F131" s="7"/>
      <c r="G131" s="8">
        <f>IF(A131="","",IFERROR(INDEX(Ingredients!$D$5:$D$304,MATCH(A131,Ingredients!$A$5:$A$304,0)),""))</f>
        <v>0</v>
      </c>
      <c r="H131" s="8">
        <f>IF(OR(A131="",C131="",G131=""),"",C131*G131)</f>
        <v>0</v>
      </c>
      <c r="I131" s="26"/>
      <c r="J131" s="8">
        <f>IF(OR(C131="",I131="",I131=0),"",CEILING(C131/I131,1))</f>
        <v>0</v>
      </c>
      <c r="K131" s="8">
        <f>IF(OR(J131="",I131="",G131=""),"",J131*I131*G131)</f>
        <v>0</v>
      </c>
      <c r="L131" s="8">
        <f>IF(A131="","",SUMIFS(Pantry!$C$5:$C$304,Pantry!$A$5:$A$304,A131))</f>
        <v>0</v>
      </c>
      <c r="M131" s="8">
        <f>IF(OR(A131="",C131=""),"",MAX(0,C131-L131))</f>
        <v>0</v>
      </c>
      <c r="N131" s="27"/>
      <c r="O131" s="27"/>
      <c r="P131" s="30"/>
      <c r="Q131" s="28"/>
      <c r="R131" s="8">
        <f>IF(OR(Q131="",H131=""),"",Q131-H131)</f>
        <v>0</v>
      </c>
      <c r="S131" s="8">
        <f>IF(M131="","",COUNTIFS($M$5:$M$304,"&gt;"&amp;M131)+1)</f>
        <v>0</v>
      </c>
      <c r="T131" s="8">
        <f>IF(H131="","",H131+ROW()/1000000)</f>
        <v>0</v>
      </c>
      <c r="U131" s="8">
        <f>IF(OR(N131&lt;&gt;"Yes",T131=""),"",COUNTIFS($N$5:$N$304,"Yes",$T$5:$T$304,"&lt;"&amp;T131)+1)</f>
        <v>0</v>
      </c>
      <c r="V131" s="8">
        <f>IF(A131="","",IF(O131="Yes","Bought",IF(M131&lt;=0,"Have it",IF(N131&lt;&gt;"Yes","Skip",IF(S131&lt;=10,"Must have","Nice to have")))))</f>
        <v>0</v>
      </c>
      <c r="W131" s="30"/>
      <c r="X131" s="8">
        <f>IF(A131="","",IFERROR(INDEX('Recipe Ingredients'!$A$5:$A$1204,MATCH(A131,'Recipe Ingredients'!$B$5:$B$1204,0)),""))</f>
        <v>0</v>
      </c>
      <c r="Y131" s="8">
        <f>IF(A131="","",IFERROR(INDEX(Ingredients!$O$5:$O$304,MATCH(A131,Ingredients!$A$5:$A$304,0)),""))</f>
        <v>0</v>
      </c>
      <c r="Z131" s="8">
        <f>IF(A131="","",IF(O131="Yes","Bought",IF(N131="Yes","To buy","Not needed")))</f>
        <v>0</v>
      </c>
      <c r="AA131" s="25"/>
    </row>
    <row r="132" spans="1:27">
      <c r="A132" s="7"/>
      <c r="B132" s="8">
        <f>IF(A132="","",IFERROR(INDEX(Ingredients!$B$5:$B$304,MATCH(A132,Ingredients!$A$5:$A$304,0)),""))</f>
        <v>0</v>
      </c>
      <c r="C132" s="26"/>
      <c r="D132" s="27"/>
      <c r="E132" s="27"/>
      <c r="F132" s="7"/>
      <c r="G132" s="8">
        <f>IF(A132="","",IFERROR(INDEX(Ingredients!$D$5:$D$304,MATCH(A132,Ingredients!$A$5:$A$304,0)),""))</f>
        <v>0</v>
      </c>
      <c r="H132" s="8">
        <f>IF(OR(A132="",C132="",G132=""),"",C132*G132)</f>
        <v>0</v>
      </c>
      <c r="I132" s="26"/>
      <c r="J132" s="8">
        <f>IF(OR(C132="",I132="",I132=0),"",CEILING(C132/I132,1))</f>
        <v>0</v>
      </c>
      <c r="K132" s="8">
        <f>IF(OR(J132="",I132="",G132=""),"",J132*I132*G132)</f>
        <v>0</v>
      </c>
      <c r="L132" s="8">
        <f>IF(A132="","",SUMIFS(Pantry!$C$5:$C$304,Pantry!$A$5:$A$304,A132))</f>
        <v>0</v>
      </c>
      <c r="M132" s="8">
        <f>IF(OR(A132="",C132=""),"",MAX(0,C132-L132))</f>
        <v>0</v>
      </c>
      <c r="N132" s="27"/>
      <c r="O132" s="27"/>
      <c r="P132" s="30"/>
      <c r="Q132" s="28"/>
      <c r="R132" s="8">
        <f>IF(OR(Q132="",H132=""),"",Q132-H132)</f>
        <v>0</v>
      </c>
      <c r="S132" s="8">
        <f>IF(M132="","",COUNTIFS($M$5:$M$304,"&gt;"&amp;M132)+1)</f>
        <v>0</v>
      </c>
      <c r="T132" s="8">
        <f>IF(H132="","",H132+ROW()/1000000)</f>
        <v>0</v>
      </c>
      <c r="U132" s="8">
        <f>IF(OR(N132&lt;&gt;"Yes",T132=""),"",COUNTIFS($N$5:$N$304,"Yes",$T$5:$T$304,"&lt;"&amp;T132)+1)</f>
        <v>0</v>
      </c>
      <c r="V132" s="8">
        <f>IF(A132="","",IF(O132="Yes","Bought",IF(M132&lt;=0,"Have it",IF(N132&lt;&gt;"Yes","Skip",IF(S132&lt;=10,"Must have","Nice to have")))))</f>
        <v>0</v>
      </c>
      <c r="W132" s="30"/>
      <c r="X132" s="8">
        <f>IF(A132="","",IFERROR(INDEX('Recipe Ingredients'!$A$5:$A$1204,MATCH(A132,'Recipe Ingredients'!$B$5:$B$1204,0)),""))</f>
        <v>0</v>
      </c>
      <c r="Y132" s="8">
        <f>IF(A132="","",IFERROR(INDEX(Ingredients!$O$5:$O$304,MATCH(A132,Ingredients!$A$5:$A$304,0)),""))</f>
        <v>0</v>
      </c>
      <c r="Z132" s="8">
        <f>IF(A132="","",IF(O132="Yes","Bought",IF(N132="Yes","To buy","Not needed")))</f>
        <v>0</v>
      </c>
      <c r="AA132" s="25"/>
    </row>
    <row r="133" spans="1:27">
      <c r="A133" s="7"/>
      <c r="B133" s="8">
        <f>IF(A133="","",IFERROR(INDEX(Ingredients!$B$5:$B$304,MATCH(A133,Ingredients!$A$5:$A$304,0)),""))</f>
        <v>0</v>
      </c>
      <c r="C133" s="26"/>
      <c r="D133" s="27"/>
      <c r="E133" s="27"/>
      <c r="F133" s="7"/>
      <c r="G133" s="8">
        <f>IF(A133="","",IFERROR(INDEX(Ingredients!$D$5:$D$304,MATCH(A133,Ingredients!$A$5:$A$304,0)),""))</f>
        <v>0</v>
      </c>
      <c r="H133" s="8">
        <f>IF(OR(A133="",C133="",G133=""),"",C133*G133)</f>
        <v>0</v>
      </c>
      <c r="I133" s="26"/>
      <c r="J133" s="8">
        <f>IF(OR(C133="",I133="",I133=0),"",CEILING(C133/I133,1))</f>
        <v>0</v>
      </c>
      <c r="K133" s="8">
        <f>IF(OR(J133="",I133="",G133=""),"",J133*I133*G133)</f>
        <v>0</v>
      </c>
      <c r="L133" s="8">
        <f>IF(A133="","",SUMIFS(Pantry!$C$5:$C$304,Pantry!$A$5:$A$304,A133))</f>
        <v>0</v>
      </c>
      <c r="M133" s="8">
        <f>IF(OR(A133="",C133=""),"",MAX(0,C133-L133))</f>
        <v>0</v>
      </c>
      <c r="N133" s="27"/>
      <c r="O133" s="27"/>
      <c r="P133" s="30"/>
      <c r="Q133" s="28"/>
      <c r="R133" s="8">
        <f>IF(OR(Q133="",H133=""),"",Q133-H133)</f>
        <v>0</v>
      </c>
      <c r="S133" s="8">
        <f>IF(M133="","",COUNTIFS($M$5:$M$304,"&gt;"&amp;M133)+1)</f>
        <v>0</v>
      </c>
      <c r="T133" s="8">
        <f>IF(H133="","",H133+ROW()/1000000)</f>
        <v>0</v>
      </c>
      <c r="U133" s="8">
        <f>IF(OR(N133&lt;&gt;"Yes",T133=""),"",COUNTIFS($N$5:$N$304,"Yes",$T$5:$T$304,"&lt;"&amp;T133)+1)</f>
        <v>0</v>
      </c>
      <c r="V133" s="8">
        <f>IF(A133="","",IF(O133="Yes","Bought",IF(M133&lt;=0,"Have it",IF(N133&lt;&gt;"Yes","Skip",IF(S133&lt;=10,"Must have","Nice to have")))))</f>
        <v>0</v>
      </c>
      <c r="W133" s="30"/>
      <c r="X133" s="8">
        <f>IF(A133="","",IFERROR(INDEX('Recipe Ingredients'!$A$5:$A$1204,MATCH(A133,'Recipe Ingredients'!$B$5:$B$1204,0)),""))</f>
        <v>0</v>
      </c>
      <c r="Y133" s="8">
        <f>IF(A133="","",IFERROR(INDEX(Ingredients!$O$5:$O$304,MATCH(A133,Ingredients!$A$5:$A$304,0)),""))</f>
        <v>0</v>
      </c>
      <c r="Z133" s="8">
        <f>IF(A133="","",IF(O133="Yes","Bought",IF(N133="Yes","To buy","Not needed")))</f>
        <v>0</v>
      </c>
      <c r="AA133" s="25"/>
    </row>
    <row r="134" spans="1:27">
      <c r="A134" s="7"/>
      <c r="B134" s="8">
        <f>IF(A134="","",IFERROR(INDEX(Ingredients!$B$5:$B$304,MATCH(A134,Ingredients!$A$5:$A$304,0)),""))</f>
        <v>0</v>
      </c>
      <c r="C134" s="26"/>
      <c r="D134" s="27"/>
      <c r="E134" s="27"/>
      <c r="F134" s="7"/>
      <c r="G134" s="8">
        <f>IF(A134="","",IFERROR(INDEX(Ingredients!$D$5:$D$304,MATCH(A134,Ingredients!$A$5:$A$304,0)),""))</f>
        <v>0</v>
      </c>
      <c r="H134" s="8">
        <f>IF(OR(A134="",C134="",G134=""),"",C134*G134)</f>
        <v>0</v>
      </c>
      <c r="I134" s="26"/>
      <c r="J134" s="8">
        <f>IF(OR(C134="",I134="",I134=0),"",CEILING(C134/I134,1))</f>
        <v>0</v>
      </c>
      <c r="K134" s="8">
        <f>IF(OR(J134="",I134="",G134=""),"",J134*I134*G134)</f>
        <v>0</v>
      </c>
      <c r="L134" s="8">
        <f>IF(A134="","",SUMIFS(Pantry!$C$5:$C$304,Pantry!$A$5:$A$304,A134))</f>
        <v>0</v>
      </c>
      <c r="M134" s="8">
        <f>IF(OR(A134="",C134=""),"",MAX(0,C134-L134))</f>
        <v>0</v>
      </c>
      <c r="N134" s="27"/>
      <c r="O134" s="27"/>
      <c r="P134" s="30"/>
      <c r="Q134" s="28"/>
      <c r="R134" s="8">
        <f>IF(OR(Q134="",H134=""),"",Q134-H134)</f>
        <v>0</v>
      </c>
      <c r="S134" s="8">
        <f>IF(M134="","",COUNTIFS($M$5:$M$304,"&gt;"&amp;M134)+1)</f>
        <v>0</v>
      </c>
      <c r="T134" s="8">
        <f>IF(H134="","",H134+ROW()/1000000)</f>
        <v>0</v>
      </c>
      <c r="U134" s="8">
        <f>IF(OR(N134&lt;&gt;"Yes",T134=""),"",COUNTIFS($N$5:$N$304,"Yes",$T$5:$T$304,"&lt;"&amp;T134)+1)</f>
        <v>0</v>
      </c>
      <c r="V134" s="8">
        <f>IF(A134="","",IF(O134="Yes","Bought",IF(M134&lt;=0,"Have it",IF(N134&lt;&gt;"Yes","Skip",IF(S134&lt;=10,"Must have","Nice to have")))))</f>
        <v>0</v>
      </c>
      <c r="W134" s="30"/>
      <c r="X134" s="8">
        <f>IF(A134="","",IFERROR(INDEX('Recipe Ingredients'!$A$5:$A$1204,MATCH(A134,'Recipe Ingredients'!$B$5:$B$1204,0)),""))</f>
        <v>0</v>
      </c>
      <c r="Y134" s="8">
        <f>IF(A134="","",IFERROR(INDEX(Ingredients!$O$5:$O$304,MATCH(A134,Ingredients!$A$5:$A$304,0)),""))</f>
        <v>0</v>
      </c>
      <c r="Z134" s="8">
        <f>IF(A134="","",IF(O134="Yes","Bought",IF(N134="Yes","To buy","Not needed")))</f>
        <v>0</v>
      </c>
      <c r="AA134" s="25"/>
    </row>
    <row r="135" spans="1:27">
      <c r="A135" s="7"/>
      <c r="B135" s="8">
        <f>IF(A135="","",IFERROR(INDEX(Ingredients!$B$5:$B$304,MATCH(A135,Ingredients!$A$5:$A$304,0)),""))</f>
        <v>0</v>
      </c>
      <c r="C135" s="26"/>
      <c r="D135" s="27"/>
      <c r="E135" s="27"/>
      <c r="F135" s="7"/>
      <c r="G135" s="8">
        <f>IF(A135="","",IFERROR(INDEX(Ingredients!$D$5:$D$304,MATCH(A135,Ingredients!$A$5:$A$304,0)),""))</f>
        <v>0</v>
      </c>
      <c r="H135" s="8">
        <f>IF(OR(A135="",C135="",G135=""),"",C135*G135)</f>
        <v>0</v>
      </c>
      <c r="I135" s="26"/>
      <c r="J135" s="8">
        <f>IF(OR(C135="",I135="",I135=0),"",CEILING(C135/I135,1))</f>
        <v>0</v>
      </c>
      <c r="K135" s="8">
        <f>IF(OR(J135="",I135="",G135=""),"",J135*I135*G135)</f>
        <v>0</v>
      </c>
      <c r="L135" s="8">
        <f>IF(A135="","",SUMIFS(Pantry!$C$5:$C$304,Pantry!$A$5:$A$304,A135))</f>
        <v>0</v>
      </c>
      <c r="M135" s="8">
        <f>IF(OR(A135="",C135=""),"",MAX(0,C135-L135))</f>
        <v>0</v>
      </c>
      <c r="N135" s="27"/>
      <c r="O135" s="27"/>
      <c r="P135" s="30"/>
      <c r="Q135" s="28"/>
      <c r="R135" s="8">
        <f>IF(OR(Q135="",H135=""),"",Q135-H135)</f>
        <v>0</v>
      </c>
      <c r="S135" s="8">
        <f>IF(M135="","",COUNTIFS($M$5:$M$304,"&gt;"&amp;M135)+1)</f>
        <v>0</v>
      </c>
      <c r="T135" s="8">
        <f>IF(H135="","",H135+ROW()/1000000)</f>
        <v>0</v>
      </c>
      <c r="U135" s="8">
        <f>IF(OR(N135&lt;&gt;"Yes",T135=""),"",COUNTIFS($N$5:$N$304,"Yes",$T$5:$T$304,"&lt;"&amp;T135)+1)</f>
        <v>0</v>
      </c>
      <c r="V135" s="8">
        <f>IF(A135="","",IF(O135="Yes","Bought",IF(M135&lt;=0,"Have it",IF(N135&lt;&gt;"Yes","Skip",IF(S135&lt;=10,"Must have","Nice to have")))))</f>
        <v>0</v>
      </c>
      <c r="W135" s="30"/>
      <c r="X135" s="8">
        <f>IF(A135="","",IFERROR(INDEX('Recipe Ingredients'!$A$5:$A$1204,MATCH(A135,'Recipe Ingredients'!$B$5:$B$1204,0)),""))</f>
        <v>0</v>
      </c>
      <c r="Y135" s="8">
        <f>IF(A135="","",IFERROR(INDEX(Ingredients!$O$5:$O$304,MATCH(A135,Ingredients!$A$5:$A$304,0)),""))</f>
        <v>0</v>
      </c>
      <c r="Z135" s="8">
        <f>IF(A135="","",IF(O135="Yes","Bought",IF(N135="Yes","To buy","Not needed")))</f>
        <v>0</v>
      </c>
      <c r="AA135" s="25"/>
    </row>
    <row r="136" spans="1:27">
      <c r="A136" s="7"/>
      <c r="B136" s="8">
        <f>IF(A136="","",IFERROR(INDEX(Ingredients!$B$5:$B$304,MATCH(A136,Ingredients!$A$5:$A$304,0)),""))</f>
        <v>0</v>
      </c>
      <c r="C136" s="26"/>
      <c r="D136" s="27"/>
      <c r="E136" s="27"/>
      <c r="F136" s="7"/>
      <c r="G136" s="8">
        <f>IF(A136="","",IFERROR(INDEX(Ingredients!$D$5:$D$304,MATCH(A136,Ingredients!$A$5:$A$304,0)),""))</f>
        <v>0</v>
      </c>
      <c r="H136" s="8">
        <f>IF(OR(A136="",C136="",G136=""),"",C136*G136)</f>
        <v>0</v>
      </c>
      <c r="I136" s="26"/>
      <c r="J136" s="8">
        <f>IF(OR(C136="",I136="",I136=0),"",CEILING(C136/I136,1))</f>
        <v>0</v>
      </c>
      <c r="K136" s="8">
        <f>IF(OR(J136="",I136="",G136=""),"",J136*I136*G136)</f>
        <v>0</v>
      </c>
      <c r="L136" s="8">
        <f>IF(A136="","",SUMIFS(Pantry!$C$5:$C$304,Pantry!$A$5:$A$304,A136))</f>
        <v>0</v>
      </c>
      <c r="M136" s="8">
        <f>IF(OR(A136="",C136=""),"",MAX(0,C136-L136))</f>
        <v>0</v>
      </c>
      <c r="N136" s="27"/>
      <c r="O136" s="27"/>
      <c r="P136" s="30"/>
      <c r="Q136" s="28"/>
      <c r="R136" s="8">
        <f>IF(OR(Q136="",H136=""),"",Q136-H136)</f>
        <v>0</v>
      </c>
      <c r="S136" s="8">
        <f>IF(M136="","",COUNTIFS($M$5:$M$304,"&gt;"&amp;M136)+1)</f>
        <v>0</v>
      </c>
      <c r="T136" s="8">
        <f>IF(H136="","",H136+ROW()/1000000)</f>
        <v>0</v>
      </c>
      <c r="U136" s="8">
        <f>IF(OR(N136&lt;&gt;"Yes",T136=""),"",COUNTIFS($N$5:$N$304,"Yes",$T$5:$T$304,"&lt;"&amp;T136)+1)</f>
        <v>0</v>
      </c>
      <c r="V136" s="8">
        <f>IF(A136="","",IF(O136="Yes","Bought",IF(M136&lt;=0,"Have it",IF(N136&lt;&gt;"Yes","Skip",IF(S136&lt;=10,"Must have","Nice to have")))))</f>
        <v>0</v>
      </c>
      <c r="W136" s="30"/>
      <c r="X136" s="8">
        <f>IF(A136="","",IFERROR(INDEX('Recipe Ingredients'!$A$5:$A$1204,MATCH(A136,'Recipe Ingredients'!$B$5:$B$1204,0)),""))</f>
        <v>0</v>
      </c>
      <c r="Y136" s="8">
        <f>IF(A136="","",IFERROR(INDEX(Ingredients!$O$5:$O$304,MATCH(A136,Ingredients!$A$5:$A$304,0)),""))</f>
        <v>0</v>
      </c>
      <c r="Z136" s="8">
        <f>IF(A136="","",IF(O136="Yes","Bought",IF(N136="Yes","To buy","Not needed")))</f>
        <v>0</v>
      </c>
      <c r="AA136" s="25"/>
    </row>
    <row r="137" spans="1:27">
      <c r="A137" s="7"/>
      <c r="B137" s="8">
        <f>IF(A137="","",IFERROR(INDEX(Ingredients!$B$5:$B$304,MATCH(A137,Ingredients!$A$5:$A$304,0)),""))</f>
        <v>0</v>
      </c>
      <c r="C137" s="26"/>
      <c r="D137" s="27"/>
      <c r="E137" s="27"/>
      <c r="F137" s="7"/>
      <c r="G137" s="8">
        <f>IF(A137="","",IFERROR(INDEX(Ingredients!$D$5:$D$304,MATCH(A137,Ingredients!$A$5:$A$304,0)),""))</f>
        <v>0</v>
      </c>
      <c r="H137" s="8">
        <f>IF(OR(A137="",C137="",G137=""),"",C137*G137)</f>
        <v>0</v>
      </c>
      <c r="I137" s="26"/>
      <c r="J137" s="8">
        <f>IF(OR(C137="",I137="",I137=0),"",CEILING(C137/I137,1))</f>
        <v>0</v>
      </c>
      <c r="K137" s="8">
        <f>IF(OR(J137="",I137="",G137=""),"",J137*I137*G137)</f>
        <v>0</v>
      </c>
      <c r="L137" s="8">
        <f>IF(A137="","",SUMIFS(Pantry!$C$5:$C$304,Pantry!$A$5:$A$304,A137))</f>
        <v>0</v>
      </c>
      <c r="M137" s="8">
        <f>IF(OR(A137="",C137=""),"",MAX(0,C137-L137))</f>
        <v>0</v>
      </c>
      <c r="N137" s="27"/>
      <c r="O137" s="27"/>
      <c r="P137" s="30"/>
      <c r="Q137" s="28"/>
      <c r="R137" s="8">
        <f>IF(OR(Q137="",H137=""),"",Q137-H137)</f>
        <v>0</v>
      </c>
      <c r="S137" s="8">
        <f>IF(M137="","",COUNTIFS($M$5:$M$304,"&gt;"&amp;M137)+1)</f>
        <v>0</v>
      </c>
      <c r="T137" s="8">
        <f>IF(H137="","",H137+ROW()/1000000)</f>
        <v>0</v>
      </c>
      <c r="U137" s="8">
        <f>IF(OR(N137&lt;&gt;"Yes",T137=""),"",COUNTIFS($N$5:$N$304,"Yes",$T$5:$T$304,"&lt;"&amp;T137)+1)</f>
        <v>0</v>
      </c>
      <c r="V137" s="8">
        <f>IF(A137="","",IF(O137="Yes","Bought",IF(M137&lt;=0,"Have it",IF(N137&lt;&gt;"Yes","Skip",IF(S137&lt;=10,"Must have","Nice to have")))))</f>
        <v>0</v>
      </c>
      <c r="W137" s="30"/>
      <c r="X137" s="8">
        <f>IF(A137="","",IFERROR(INDEX('Recipe Ingredients'!$A$5:$A$1204,MATCH(A137,'Recipe Ingredients'!$B$5:$B$1204,0)),""))</f>
        <v>0</v>
      </c>
      <c r="Y137" s="8">
        <f>IF(A137="","",IFERROR(INDEX(Ingredients!$O$5:$O$304,MATCH(A137,Ingredients!$A$5:$A$304,0)),""))</f>
        <v>0</v>
      </c>
      <c r="Z137" s="8">
        <f>IF(A137="","",IF(O137="Yes","Bought",IF(N137="Yes","To buy","Not needed")))</f>
        <v>0</v>
      </c>
      <c r="AA137" s="25"/>
    </row>
    <row r="138" spans="1:27">
      <c r="A138" s="7"/>
      <c r="B138" s="8">
        <f>IF(A138="","",IFERROR(INDEX(Ingredients!$B$5:$B$304,MATCH(A138,Ingredients!$A$5:$A$304,0)),""))</f>
        <v>0</v>
      </c>
      <c r="C138" s="26"/>
      <c r="D138" s="27"/>
      <c r="E138" s="27"/>
      <c r="F138" s="7"/>
      <c r="G138" s="8">
        <f>IF(A138="","",IFERROR(INDEX(Ingredients!$D$5:$D$304,MATCH(A138,Ingredients!$A$5:$A$304,0)),""))</f>
        <v>0</v>
      </c>
      <c r="H138" s="8">
        <f>IF(OR(A138="",C138="",G138=""),"",C138*G138)</f>
        <v>0</v>
      </c>
      <c r="I138" s="26"/>
      <c r="J138" s="8">
        <f>IF(OR(C138="",I138="",I138=0),"",CEILING(C138/I138,1))</f>
        <v>0</v>
      </c>
      <c r="K138" s="8">
        <f>IF(OR(J138="",I138="",G138=""),"",J138*I138*G138)</f>
        <v>0</v>
      </c>
      <c r="L138" s="8">
        <f>IF(A138="","",SUMIFS(Pantry!$C$5:$C$304,Pantry!$A$5:$A$304,A138))</f>
        <v>0</v>
      </c>
      <c r="M138" s="8">
        <f>IF(OR(A138="",C138=""),"",MAX(0,C138-L138))</f>
        <v>0</v>
      </c>
      <c r="N138" s="27"/>
      <c r="O138" s="27"/>
      <c r="P138" s="30"/>
      <c r="Q138" s="28"/>
      <c r="R138" s="8">
        <f>IF(OR(Q138="",H138=""),"",Q138-H138)</f>
        <v>0</v>
      </c>
      <c r="S138" s="8">
        <f>IF(M138="","",COUNTIFS($M$5:$M$304,"&gt;"&amp;M138)+1)</f>
        <v>0</v>
      </c>
      <c r="T138" s="8">
        <f>IF(H138="","",H138+ROW()/1000000)</f>
        <v>0</v>
      </c>
      <c r="U138" s="8">
        <f>IF(OR(N138&lt;&gt;"Yes",T138=""),"",COUNTIFS($N$5:$N$304,"Yes",$T$5:$T$304,"&lt;"&amp;T138)+1)</f>
        <v>0</v>
      </c>
      <c r="V138" s="8">
        <f>IF(A138="","",IF(O138="Yes","Bought",IF(M138&lt;=0,"Have it",IF(N138&lt;&gt;"Yes","Skip",IF(S138&lt;=10,"Must have","Nice to have")))))</f>
        <v>0</v>
      </c>
      <c r="W138" s="30"/>
      <c r="X138" s="8">
        <f>IF(A138="","",IFERROR(INDEX('Recipe Ingredients'!$A$5:$A$1204,MATCH(A138,'Recipe Ingredients'!$B$5:$B$1204,0)),""))</f>
        <v>0</v>
      </c>
      <c r="Y138" s="8">
        <f>IF(A138="","",IFERROR(INDEX(Ingredients!$O$5:$O$304,MATCH(A138,Ingredients!$A$5:$A$304,0)),""))</f>
        <v>0</v>
      </c>
      <c r="Z138" s="8">
        <f>IF(A138="","",IF(O138="Yes","Bought",IF(N138="Yes","To buy","Not needed")))</f>
        <v>0</v>
      </c>
      <c r="AA138" s="25"/>
    </row>
    <row r="139" spans="1:27">
      <c r="A139" s="7"/>
      <c r="B139" s="8">
        <f>IF(A139="","",IFERROR(INDEX(Ingredients!$B$5:$B$304,MATCH(A139,Ingredients!$A$5:$A$304,0)),""))</f>
        <v>0</v>
      </c>
      <c r="C139" s="26"/>
      <c r="D139" s="27"/>
      <c r="E139" s="27"/>
      <c r="F139" s="7"/>
      <c r="G139" s="8">
        <f>IF(A139="","",IFERROR(INDEX(Ingredients!$D$5:$D$304,MATCH(A139,Ingredients!$A$5:$A$304,0)),""))</f>
        <v>0</v>
      </c>
      <c r="H139" s="8">
        <f>IF(OR(A139="",C139="",G139=""),"",C139*G139)</f>
        <v>0</v>
      </c>
      <c r="I139" s="26"/>
      <c r="J139" s="8">
        <f>IF(OR(C139="",I139="",I139=0),"",CEILING(C139/I139,1))</f>
        <v>0</v>
      </c>
      <c r="K139" s="8">
        <f>IF(OR(J139="",I139="",G139=""),"",J139*I139*G139)</f>
        <v>0</v>
      </c>
      <c r="L139" s="8">
        <f>IF(A139="","",SUMIFS(Pantry!$C$5:$C$304,Pantry!$A$5:$A$304,A139))</f>
        <v>0</v>
      </c>
      <c r="M139" s="8">
        <f>IF(OR(A139="",C139=""),"",MAX(0,C139-L139))</f>
        <v>0</v>
      </c>
      <c r="N139" s="27"/>
      <c r="O139" s="27"/>
      <c r="P139" s="30"/>
      <c r="Q139" s="28"/>
      <c r="R139" s="8">
        <f>IF(OR(Q139="",H139=""),"",Q139-H139)</f>
        <v>0</v>
      </c>
      <c r="S139" s="8">
        <f>IF(M139="","",COUNTIFS($M$5:$M$304,"&gt;"&amp;M139)+1)</f>
        <v>0</v>
      </c>
      <c r="T139" s="8">
        <f>IF(H139="","",H139+ROW()/1000000)</f>
        <v>0</v>
      </c>
      <c r="U139" s="8">
        <f>IF(OR(N139&lt;&gt;"Yes",T139=""),"",COUNTIFS($N$5:$N$304,"Yes",$T$5:$T$304,"&lt;"&amp;T139)+1)</f>
        <v>0</v>
      </c>
      <c r="V139" s="8">
        <f>IF(A139="","",IF(O139="Yes","Bought",IF(M139&lt;=0,"Have it",IF(N139&lt;&gt;"Yes","Skip",IF(S139&lt;=10,"Must have","Nice to have")))))</f>
        <v>0</v>
      </c>
      <c r="W139" s="30"/>
      <c r="X139" s="8">
        <f>IF(A139="","",IFERROR(INDEX('Recipe Ingredients'!$A$5:$A$1204,MATCH(A139,'Recipe Ingredients'!$B$5:$B$1204,0)),""))</f>
        <v>0</v>
      </c>
      <c r="Y139" s="8">
        <f>IF(A139="","",IFERROR(INDEX(Ingredients!$O$5:$O$304,MATCH(A139,Ingredients!$A$5:$A$304,0)),""))</f>
        <v>0</v>
      </c>
      <c r="Z139" s="8">
        <f>IF(A139="","",IF(O139="Yes","Bought",IF(N139="Yes","To buy","Not needed")))</f>
        <v>0</v>
      </c>
      <c r="AA139" s="25"/>
    </row>
    <row r="140" spans="1:27">
      <c r="A140" s="7"/>
      <c r="B140" s="8">
        <f>IF(A140="","",IFERROR(INDEX(Ingredients!$B$5:$B$304,MATCH(A140,Ingredients!$A$5:$A$304,0)),""))</f>
        <v>0</v>
      </c>
      <c r="C140" s="26"/>
      <c r="D140" s="27"/>
      <c r="E140" s="27"/>
      <c r="F140" s="7"/>
      <c r="G140" s="8">
        <f>IF(A140="","",IFERROR(INDEX(Ingredients!$D$5:$D$304,MATCH(A140,Ingredients!$A$5:$A$304,0)),""))</f>
        <v>0</v>
      </c>
      <c r="H140" s="8">
        <f>IF(OR(A140="",C140="",G140=""),"",C140*G140)</f>
        <v>0</v>
      </c>
      <c r="I140" s="26"/>
      <c r="J140" s="8">
        <f>IF(OR(C140="",I140="",I140=0),"",CEILING(C140/I140,1))</f>
        <v>0</v>
      </c>
      <c r="K140" s="8">
        <f>IF(OR(J140="",I140="",G140=""),"",J140*I140*G140)</f>
        <v>0</v>
      </c>
      <c r="L140" s="8">
        <f>IF(A140="","",SUMIFS(Pantry!$C$5:$C$304,Pantry!$A$5:$A$304,A140))</f>
        <v>0</v>
      </c>
      <c r="M140" s="8">
        <f>IF(OR(A140="",C140=""),"",MAX(0,C140-L140))</f>
        <v>0</v>
      </c>
      <c r="N140" s="27"/>
      <c r="O140" s="27"/>
      <c r="P140" s="30"/>
      <c r="Q140" s="28"/>
      <c r="R140" s="8">
        <f>IF(OR(Q140="",H140=""),"",Q140-H140)</f>
        <v>0</v>
      </c>
      <c r="S140" s="8">
        <f>IF(M140="","",COUNTIFS($M$5:$M$304,"&gt;"&amp;M140)+1)</f>
        <v>0</v>
      </c>
      <c r="T140" s="8">
        <f>IF(H140="","",H140+ROW()/1000000)</f>
        <v>0</v>
      </c>
      <c r="U140" s="8">
        <f>IF(OR(N140&lt;&gt;"Yes",T140=""),"",COUNTIFS($N$5:$N$304,"Yes",$T$5:$T$304,"&lt;"&amp;T140)+1)</f>
        <v>0</v>
      </c>
      <c r="V140" s="8">
        <f>IF(A140="","",IF(O140="Yes","Bought",IF(M140&lt;=0,"Have it",IF(N140&lt;&gt;"Yes","Skip",IF(S140&lt;=10,"Must have","Nice to have")))))</f>
        <v>0</v>
      </c>
      <c r="W140" s="30"/>
      <c r="X140" s="8">
        <f>IF(A140="","",IFERROR(INDEX('Recipe Ingredients'!$A$5:$A$1204,MATCH(A140,'Recipe Ingredients'!$B$5:$B$1204,0)),""))</f>
        <v>0</v>
      </c>
      <c r="Y140" s="8">
        <f>IF(A140="","",IFERROR(INDEX(Ingredients!$O$5:$O$304,MATCH(A140,Ingredients!$A$5:$A$304,0)),""))</f>
        <v>0</v>
      </c>
      <c r="Z140" s="8">
        <f>IF(A140="","",IF(O140="Yes","Bought",IF(N140="Yes","To buy","Not needed")))</f>
        <v>0</v>
      </c>
      <c r="AA140" s="25"/>
    </row>
    <row r="141" spans="1:27">
      <c r="A141" s="7"/>
      <c r="B141" s="8">
        <f>IF(A141="","",IFERROR(INDEX(Ingredients!$B$5:$B$304,MATCH(A141,Ingredients!$A$5:$A$304,0)),""))</f>
        <v>0</v>
      </c>
      <c r="C141" s="26"/>
      <c r="D141" s="27"/>
      <c r="E141" s="27"/>
      <c r="F141" s="7"/>
      <c r="G141" s="8">
        <f>IF(A141="","",IFERROR(INDEX(Ingredients!$D$5:$D$304,MATCH(A141,Ingredients!$A$5:$A$304,0)),""))</f>
        <v>0</v>
      </c>
      <c r="H141" s="8">
        <f>IF(OR(A141="",C141="",G141=""),"",C141*G141)</f>
        <v>0</v>
      </c>
      <c r="I141" s="26"/>
      <c r="J141" s="8">
        <f>IF(OR(C141="",I141="",I141=0),"",CEILING(C141/I141,1))</f>
        <v>0</v>
      </c>
      <c r="K141" s="8">
        <f>IF(OR(J141="",I141="",G141=""),"",J141*I141*G141)</f>
        <v>0</v>
      </c>
      <c r="L141" s="8">
        <f>IF(A141="","",SUMIFS(Pantry!$C$5:$C$304,Pantry!$A$5:$A$304,A141))</f>
        <v>0</v>
      </c>
      <c r="M141" s="8">
        <f>IF(OR(A141="",C141=""),"",MAX(0,C141-L141))</f>
        <v>0</v>
      </c>
      <c r="N141" s="27"/>
      <c r="O141" s="27"/>
      <c r="P141" s="30"/>
      <c r="Q141" s="28"/>
      <c r="R141" s="8">
        <f>IF(OR(Q141="",H141=""),"",Q141-H141)</f>
        <v>0</v>
      </c>
      <c r="S141" s="8">
        <f>IF(M141="","",COUNTIFS($M$5:$M$304,"&gt;"&amp;M141)+1)</f>
        <v>0</v>
      </c>
      <c r="T141" s="8">
        <f>IF(H141="","",H141+ROW()/1000000)</f>
        <v>0</v>
      </c>
      <c r="U141" s="8">
        <f>IF(OR(N141&lt;&gt;"Yes",T141=""),"",COUNTIFS($N$5:$N$304,"Yes",$T$5:$T$304,"&lt;"&amp;T141)+1)</f>
        <v>0</v>
      </c>
      <c r="V141" s="8">
        <f>IF(A141="","",IF(O141="Yes","Bought",IF(M141&lt;=0,"Have it",IF(N141&lt;&gt;"Yes","Skip",IF(S141&lt;=10,"Must have","Nice to have")))))</f>
        <v>0</v>
      </c>
      <c r="W141" s="30"/>
      <c r="X141" s="8">
        <f>IF(A141="","",IFERROR(INDEX('Recipe Ingredients'!$A$5:$A$1204,MATCH(A141,'Recipe Ingredients'!$B$5:$B$1204,0)),""))</f>
        <v>0</v>
      </c>
      <c r="Y141" s="8">
        <f>IF(A141="","",IFERROR(INDEX(Ingredients!$O$5:$O$304,MATCH(A141,Ingredients!$A$5:$A$304,0)),""))</f>
        <v>0</v>
      </c>
      <c r="Z141" s="8">
        <f>IF(A141="","",IF(O141="Yes","Bought",IF(N141="Yes","To buy","Not needed")))</f>
        <v>0</v>
      </c>
      <c r="AA141" s="25"/>
    </row>
    <row r="142" spans="1:27">
      <c r="A142" s="7"/>
      <c r="B142" s="8">
        <f>IF(A142="","",IFERROR(INDEX(Ingredients!$B$5:$B$304,MATCH(A142,Ingredients!$A$5:$A$304,0)),""))</f>
        <v>0</v>
      </c>
      <c r="C142" s="26"/>
      <c r="D142" s="27"/>
      <c r="E142" s="27"/>
      <c r="F142" s="7"/>
      <c r="G142" s="8">
        <f>IF(A142="","",IFERROR(INDEX(Ingredients!$D$5:$D$304,MATCH(A142,Ingredients!$A$5:$A$304,0)),""))</f>
        <v>0</v>
      </c>
      <c r="H142" s="8">
        <f>IF(OR(A142="",C142="",G142=""),"",C142*G142)</f>
        <v>0</v>
      </c>
      <c r="I142" s="26"/>
      <c r="J142" s="8">
        <f>IF(OR(C142="",I142="",I142=0),"",CEILING(C142/I142,1))</f>
        <v>0</v>
      </c>
      <c r="K142" s="8">
        <f>IF(OR(J142="",I142="",G142=""),"",J142*I142*G142)</f>
        <v>0</v>
      </c>
      <c r="L142" s="8">
        <f>IF(A142="","",SUMIFS(Pantry!$C$5:$C$304,Pantry!$A$5:$A$304,A142))</f>
        <v>0</v>
      </c>
      <c r="M142" s="8">
        <f>IF(OR(A142="",C142=""),"",MAX(0,C142-L142))</f>
        <v>0</v>
      </c>
      <c r="N142" s="27"/>
      <c r="O142" s="27"/>
      <c r="P142" s="30"/>
      <c r="Q142" s="28"/>
      <c r="R142" s="8">
        <f>IF(OR(Q142="",H142=""),"",Q142-H142)</f>
        <v>0</v>
      </c>
      <c r="S142" s="8">
        <f>IF(M142="","",COUNTIFS($M$5:$M$304,"&gt;"&amp;M142)+1)</f>
        <v>0</v>
      </c>
      <c r="T142" s="8">
        <f>IF(H142="","",H142+ROW()/1000000)</f>
        <v>0</v>
      </c>
      <c r="U142" s="8">
        <f>IF(OR(N142&lt;&gt;"Yes",T142=""),"",COUNTIFS($N$5:$N$304,"Yes",$T$5:$T$304,"&lt;"&amp;T142)+1)</f>
        <v>0</v>
      </c>
      <c r="V142" s="8">
        <f>IF(A142="","",IF(O142="Yes","Bought",IF(M142&lt;=0,"Have it",IF(N142&lt;&gt;"Yes","Skip",IF(S142&lt;=10,"Must have","Nice to have")))))</f>
        <v>0</v>
      </c>
      <c r="W142" s="30"/>
      <c r="X142" s="8">
        <f>IF(A142="","",IFERROR(INDEX('Recipe Ingredients'!$A$5:$A$1204,MATCH(A142,'Recipe Ingredients'!$B$5:$B$1204,0)),""))</f>
        <v>0</v>
      </c>
      <c r="Y142" s="8">
        <f>IF(A142="","",IFERROR(INDEX(Ingredients!$O$5:$O$304,MATCH(A142,Ingredients!$A$5:$A$304,0)),""))</f>
        <v>0</v>
      </c>
      <c r="Z142" s="8">
        <f>IF(A142="","",IF(O142="Yes","Bought",IF(N142="Yes","To buy","Not needed")))</f>
        <v>0</v>
      </c>
      <c r="AA142" s="25"/>
    </row>
    <row r="143" spans="1:27">
      <c r="A143" s="7"/>
      <c r="B143" s="8">
        <f>IF(A143="","",IFERROR(INDEX(Ingredients!$B$5:$B$304,MATCH(A143,Ingredients!$A$5:$A$304,0)),""))</f>
        <v>0</v>
      </c>
      <c r="C143" s="26"/>
      <c r="D143" s="27"/>
      <c r="E143" s="27"/>
      <c r="F143" s="7"/>
      <c r="G143" s="8">
        <f>IF(A143="","",IFERROR(INDEX(Ingredients!$D$5:$D$304,MATCH(A143,Ingredients!$A$5:$A$304,0)),""))</f>
        <v>0</v>
      </c>
      <c r="H143" s="8">
        <f>IF(OR(A143="",C143="",G143=""),"",C143*G143)</f>
        <v>0</v>
      </c>
      <c r="I143" s="26"/>
      <c r="J143" s="8">
        <f>IF(OR(C143="",I143="",I143=0),"",CEILING(C143/I143,1))</f>
        <v>0</v>
      </c>
      <c r="K143" s="8">
        <f>IF(OR(J143="",I143="",G143=""),"",J143*I143*G143)</f>
        <v>0</v>
      </c>
      <c r="L143" s="8">
        <f>IF(A143="","",SUMIFS(Pantry!$C$5:$C$304,Pantry!$A$5:$A$304,A143))</f>
        <v>0</v>
      </c>
      <c r="M143" s="8">
        <f>IF(OR(A143="",C143=""),"",MAX(0,C143-L143))</f>
        <v>0</v>
      </c>
      <c r="N143" s="27"/>
      <c r="O143" s="27"/>
      <c r="P143" s="30"/>
      <c r="Q143" s="28"/>
      <c r="R143" s="8">
        <f>IF(OR(Q143="",H143=""),"",Q143-H143)</f>
        <v>0</v>
      </c>
      <c r="S143" s="8">
        <f>IF(M143="","",COUNTIFS($M$5:$M$304,"&gt;"&amp;M143)+1)</f>
        <v>0</v>
      </c>
      <c r="T143" s="8">
        <f>IF(H143="","",H143+ROW()/1000000)</f>
        <v>0</v>
      </c>
      <c r="U143" s="8">
        <f>IF(OR(N143&lt;&gt;"Yes",T143=""),"",COUNTIFS($N$5:$N$304,"Yes",$T$5:$T$304,"&lt;"&amp;T143)+1)</f>
        <v>0</v>
      </c>
      <c r="V143" s="8">
        <f>IF(A143="","",IF(O143="Yes","Bought",IF(M143&lt;=0,"Have it",IF(N143&lt;&gt;"Yes","Skip",IF(S143&lt;=10,"Must have","Nice to have")))))</f>
        <v>0</v>
      </c>
      <c r="W143" s="30"/>
      <c r="X143" s="8">
        <f>IF(A143="","",IFERROR(INDEX('Recipe Ingredients'!$A$5:$A$1204,MATCH(A143,'Recipe Ingredients'!$B$5:$B$1204,0)),""))</f>
        <v>0</v>
      </c>
      <c r="Y143" s="8">
        <f>IF(A143="","",IFERROR(INDEX(Ingredients!$O$5:$O$304,MATCH(A143,Ingredients!$A$5:$A$304,0)),""))</f>
        <v>0</v>
      </c>
      <c r="Z143" s="8">
        <f>IF(A143="","",IF(O143="Yes","Bought",IF(N143="Yes","To buy","Not needed")))</f>
        <v>0</v>
      </c>
      <c r="AA143" s="25"/>
    </row>
    <row r="144" spans="1:27">
      <c r="A144" s="7"/>
      <c r="B144" s="8">
        <f>IF(A144="","",IFERROR(INDEX(Ingredients!$B$5:$B$304,MATCH(A144,Ingredients!$A$5:$A$304,0)),""))</f>
        <v>0</v>
      </c>
      <c r="C144" s="26"/>
      <c r="D144" s="27"/>
      <c r="E144" s="27"/>
      <c r="F144" s="7"/>
      <c r="G144" s="8">
        <f>IF(A144="","",IFERROR(INDEX(Ingredients!$D$5:$D$304,MATCH(A144,Ingredients!$A$5:$A$304,0)),""))</f>
        <v>0</v>
      </c>
      <c r="H144" s="8">
        <f>IF(OR(A144="",C144="",G144=""),"",C144*G144)</f>
        <v>0</v>
      </c>
      <c r="I144" s="26"/>
      <c r="J144" s="8">
        <f>IF(OR(C144="",I144="",I144=0),"",CEILING(C144/I144,1))</f>
        <v>0</v>
      </c>
      <c r="K144" s="8">
        <f>IF(OR(J144="",I144="",G144=""),"",J144*I144*G144)</f>
        <v>0</v>
      </c>
      <c r="L144" s="8">
        <f>IF(A144="","",SUMIFS(Pantry!$C$5:$C$304,Pantry!$A$5:$A$304,A144))</f>
        <v>0</v>
      </c>
      <c r="M144" s="8">
        <f>IF(OR(A144="",C144=""),"",MAX(0,C144-L144))</f>
        <v>0</v>
      </c>
      <c r="N144" s="27"/>
      <c r="O144" s="27"/>
      <c r="P144" s="30"/>
      <c r="Q144" s="28"/>
      <c r="R144" s="8">
        <f>IF(OR(Q144="",H144=""),"",Q144-H144)</f>
        <v>0</v>
      </c>
      <c r="S144" s="8">
        <f>IF(M144="","",COUNTIFS($M$5:$M$304,"&gt;"&amp;M144)+1)</f>
        <v>0</v>
      </c>
      <c r="T144" s="8">
        <f>IF(H144="","",H144+ROW()/1000000)</f>
        <v>0</v>
      </c>
      <c r="U144" s="8">
        <f>IF(OR(N144&lt;&gt;"Yes",T144=""),"",COUNTIFS($N$5:$N$304,"Yes",$T$5:$T$304,"&lt;"&amp;T144)+1)</f>
        <v>0</v>
      </c>
      <c r="V144" s="8">
        <f>IF(A144="","",IF(O144="Yes","Bought",IF(M144&lt;=0,"Have it",IF(N144&lt;&gt;"Yes","Skip",IF(S144&lt;=10,"Must have","Nice to have")))))</f>
        <v>0</v>
      </c>
      <c r="W144" s="30"/>
      <c r="X144" s="8">
        <f>IF(A144="","",IFERROR(INDEX('Recipe Ingredients'!$A$5:$A$1204,MATCH(A144,'Recipe Ingredients'!$B$5:$B$1204,0)),""))</f>
        <v>0</v>
      </c>
      <c r="Y144" s="8">
        <f>IF(A144="","",IFERROR(INDEX(Ingredients!$O$5:$O$304,MATCH(A144,Ingredients!$A$5:$A$304,0)),""))</f>
        <v>0</v>
      </c>
      <c r="Z144" s="8">
        <f>IF(A144="","",IF(O144="Yes","Bought",IF(N144="Yes","To buy","Not needed")))</f>
        <v>0</v>
      </c>
      <c r="AA144" s="25"/>
    </row>
    <row r="145" spans="1:27">
      <c r="A145" s="7"/>
      <c r="B145" s="8">
        <f>IF(A145="","",IFERROR(INDEX(Ingredients!$B$5:$B$304,MATCH(A145,Ingredients!$A$5:$A$304,0)),""))</f>
        <v>0</v>
      </c>
      <c r="C145" s="26"/>
      <c r="D145" s="27"/>
      <c r="E145" s="27"/>
      <c r="F145" s="7"/>
      <c r="G145" s="8">
        <f>IF(A145="","",IFERROR(INDEX(Ingredients!$D$5:$D$304,MATCH(A145,Ingredients!$A$5:$A$304,0)),""))</f>
        <v>0</v>
      </c>
      <c r="H145" s="8">
        <f>IF(OR(A145="",C145="",G145=""),"",C145*G145)</f>
        <v>0</v>
      </c>
      <c r="I145" s="26"/>
      <c r="J145" s="8">
        <f>IF(OR(C145="",I145="",I145=0),"",CEILING(C145/I145,1))</f>
        <v>0</v>
      </c>
      <c r="K145" s="8">
        <f>IF(OR(J145="",I145="",G145=""),"",J145*I145*G145)</f>
        <v>0</v>
      </c>
      <c r="L145" s="8">
        <f>IF(A145="","",SUMIFS(Pantry!$C$5:$C$304,Pantry!$A$5:$A$304,A145))</f>
        <v>0</v>
      </c>
      <c r="M145" s="8">
        <f>IF(OR(A145="",C145=""),"",MAX(0,C145-L145))</f>
        <v>0</v>
      </c>
      <c r="N145" s="27"/>
      <c r="O145" s="27"/>
      <c r="P145" s="30"/>
      <c r="Q145" s="28"/>
      <c r="R145" s="8">
        <f>IF(OR(Q145="",H145=""),"",Q145-H145)</f>
        <v>0</v>
      </c>
      <c r="S145" s="8">
        <f>IF(M145="","",COUNTIFS($M$5:$M$304,"&gt;"&amp;M145)+1)</f>
        <v>0</v>
      </c>
      <c r="T145" s="8">
        <f>IF(H145="","",H145+ROW()/1000000)</f>
        <v>0</v>
      </c>
      <c r="U145" s="8">
        <f>IF(OR(N145&lt;&gt;"Yes",T145=""),"",COUNTIFS($N$5:$N$304,"Yes",$T$5:$T$304,"&lt;"&amp;T145)+1)</f>
        <v>0</v>
      </c>
      <c r="V145" s="8">
        <f>IF(A145="","",IF(O145="Yes","Bought",IF(M145&lt;=0,"Have it",IF(N145&lt;&gt;"Yes","Skip",IF(S145&lt;=10,"Must have","Nice to have")))))</f>
        <v>0</v>
      </c>
      <c r="W145" s="30"/>
      <c r="X145" s="8">
        <f>IF(A145="","",IFERROR(INDEX('Recipe Ingredients'!$A$5:$A$1204,MATCH(A145,'Recipe Ingredients'!$B$5:$B$1204,0)),""))</f>
        <v>0</v>
      </c>
      <c r="Y145" s="8">
        <f>IF(A145="","",IFERROR(INDEX(Ingredients!$O$5:$O$304,MATCH(A145,Ingredients!$A$5:$A$304,0)),""))</f>
        <v>0</v>
      </c>
      <c r="Z145" s="8">
        <f>IF(A145="","",IF(O145="Yes","Bought",IF(N145="Yes","To buy","Not needed")))</f>
        <v>0</v>
      </c>
      <c r="AA145" s="25"/>
    </row>
    <row r="146" spans="1:27">
      <c r="A146" s="7"/>
      <c r="B146" s="8">
        <f>IF(A146="","",IFERROR(INDEX(Ingredients!$B$5:$B$304,MATCH(A146,Ingredients!$A$5:$A$304,0)),""))</f>
        <v>0</v>
      </c>
      <c r="C146" s="26"/>
      <c r="D146" s="27"/>
      <c r="E146" s="27"/>
      <c r="F146" s="7"/>
      <c r="G146" s="8">
        <f>IF(A146="","",IFERROR(INDEX(Ingredients!$D$5:$D$304,MATCH(A146,Ingredients!$A$5:$A$304,0)),""))</f>
        <v>0</v>
      </c>
      <c r="H146" s="8">
        <f>IF(OR(A146="",C146="",G146=""),"",C146*G146)</f>
        <v>0</v>
      </c>
      <c r="I146" s="26"/>
      <c r="J146" s="8">
        <f>IF(OR(C146="",I146="",I146=0),"",CEILING(C146/I146,1))</f>
        <v>0</v>
      </c>
      <c r="K146" s="8">
        <f>IF(OR(J146="",I146="",G146=""),"",J146*I146*G146)</f>
        <v>0</v>
      </c>
      <c r="L146" s="8">
        <f>IF(A146="","",SUMIFS(Pantry!$C$5:$C$304,Pantry!$A$5:$A$304,A146))</f>
        <v>0</v>
      </c>
      <c r="M146" s="8">
        <f>IF(OR(A146="",C146=""),"",MAX(0,C146-L146))</f>
        <v>0</v>
      </c>
      <c r="N146" s="27"/>
      <c r="O146" s="27"/>
      <c r="P146" s="30"/>
      <c r="Q146" s="28"/>
      <c r="R146" s="8">
        <f>IF(OR(Q146="",H146=""),"",Q146-H146)</f>
        <v>0</v>
      </c>
      <c r="S146" s="8">
        <f>IF(M146="","",COUNTIFS($M$5:$M$304,"&gt;"&amp;M146)+1)</f>
        <v>0</v>
      </c>
      <c r="T146" s="8">
        <f>IF(H146="","",H146+ROW()/1000000)</f>
        <v>0</v>
      </c>
      <c r="U146" s="8">
        <f>IF(OR(N146&lt;&gt;"Yes",T146=""),"",COUNTIFS($N$5:$N$304,"Yes",$T$5:$T$304,"&lt;"&amp;T146)+1)</f>
        <v>0</v>
      </c>
      <c r="V146" s="8">
        <f>IF(A146="","",IF(O146="Yes","Bought",IF(M146&lt;=0,"Have it",IF(N146&lt;&gt;"Yes","Skip",IF(S146&lt;=10,"Must have","Nice to have")))))</f>
        <v>0</v>
      </c>
      <c r="W146" s="30"/>
      <c r="X146" s="8">
        <f>IF(A146="","",IFERROR(INDEX('Recipe Ingredients'!$A$5:$A$1204,MATCH(A146,'Recipe Ingredients'!$B$5:$B$1204,0)),""))</f>
        <v>0</v>
      </c>
      <c r="Y146" s="8">
        <f>IF(A146="","",IFERROR(INDEX(Ingredients!$O$5:$O$304,MATCH(A146,Ingredients!$A$5:$A$304,0)),""))</f>
        <v>0</v>
      </c>
      <c r="Z146" s="8">
        <f>IF(A146="","",IF(O146="Yes","Bought",IF(N146="Yes","To buy","Not needed")))</f>
        <v>0</v>
      </c>
      <c r="AA146" s="25"/>
    </row>
    <row r="147" spans="1:27">
      <c r="A147" s="7"/>
      <c r="B147" s="8">
        <f>IF(A147="","",IFERROR(INDEX(Ingredients!$B$5:$B$304,MATCH(A147,Ingredients!$A$5:$A$304,0)),""))</f>
        <v>0</v>
      </c>
      <c r="C147" s="26"/>
      <c r="D147" s="27"/>
      <c r="E147" s="27"/>
      <c r="F147" s="7"/>
      <c r="G147" s="8">
        <f>IF(A147="","",IFERROR(INDEX(Ingredients!$D$5:$D$304,MATCH(A147,Ingredients!$A$5:$A$304,0)),""))</f>
        <v>0</v>
      </c>
      <c r="H147" s="8">
        <f>IF(OR(A147="",C147="",G147=""),"",C147*G147)</f>
        <v>0</v>
      </c>
      <c r="I147" s="26"/>
      <c r="J147" s="8">
        <f>IF(OR(C147="",I147="",I147=0),"",CEILING(C147/I147,1))</f>
        <v>0</v>
      </c>
      <c r="K147" s="8">
        <f>IF(OR(J147="",I147="",G147=""),"",J147*I147*G147)</f>
        <v>0</v>
      </c>
      <c r="L147" s="8">
        <f>IF(A147="","",SUMIFS(Pantry!$C$5:$C$304,Pantry!$A$5:$A$304,A147))</f>
        <v>0</v>
      </c>
      <c r="M147" s="8">
        <f>IF(OR(A147="",C147=""),"",MAX(0,C147-L147))</f>
        <v>0</v>
      </c>
      <c r="N147" s="27"/>
      <c r="O147" s="27"/>
      <c r="P147" s="30"/>
      <c r="Q147" s="28"/>
      <c r="R147" s="8">
        <f>IF(OR(Q147="",H147=""),"",Q147-H147)</f>
        <v>0</v>
      </c>
      <c r="S147" s="8">
        <f>IF(M147="","",COUNTIFS($M$5:$M$304,"&gt;"&amp;M147)+1)</f>
        <v>0</v>
      </c>
      <c r="T147" s="8">
        <f>IF(H147="","",H147+ROW()/1000000)</f>
        <v>0</v>
      </c>
      <c r="U147" s="8">
        <f>IF(OR(N147&lt;&gt;"Yes",T147=""),"",COUNTIFS($N$5:$N$304,"Yes",$T$5:$T$304,"&lt;"&amp;T147)+1)</f>
        <v>0</v>
      </c>
      <c r="V147" s="8">
        <f>IF(A147="","",IF(O147="Yes","Bought",IF(M147&lt;=0,"Have it",IF(N147&lt;&gt;"Yes","Skip",IF(S147&lt;=10,"Must have","Nice to have")))))</f>
        <v>0</v>
      </c>
      <c r="W147" s="30"/>
      <c r="X147" s="8">
        <f>IF(A147="","",IFERROR(INDEX('Recipe Ingredients'!$A$5:$A$1204,MATCH(A147,'Recipe Ingredients'!$B$5:$B$1204,0)),""))</f>
        <v>0</v>
      </c>
      <c r="Y147" s="8">
        <f>IF(A147="","",IFERROR(INDEX(Ingredients!$O$5:$O$304,MATCH(A147,Ingredients!$A$5:$A$304,0)),""))</f>
        <v>0</v>
      </c>
      <c r="Z147" s="8">
        <f>IF(A147="","",IF(O147="Yes","Bought",IF(N147="Yes","To buy","Not needed")))</f>
        <v>0</v>
      </c>
      <c r="AA147" s="25"/>
    </row>
    <row r="148" spans="1:27">
      <c r="A148" s="7"/>
      <c r="B148" s="8">
        <f>IF(A148="","",IFERROR(INDEX(Ingredients!$B$5:$B$304,MATCH(A148,Ingredients!$A$5:$A$304,0)),""))</f>
        <v>0</v>
      </c>
      <c r="C148" s="26"/>
      <c r="D148" s="27"/>
      <c r="E148" s="27"/>
      <c r="F148" s="7"/>
      <c r="G148" s="8">
        <f>IF(A148="","",IFERROR(INDEX(Ingredients!$D$5:$D$304,MATCH(A148,Ingredients!$A$5:$A$304,0)),""))</f>
        <v>0</v>
      </c>
      <c r="H148" s="8">
        <f>IF(OR(A148="",C148="",G148=""),"",C148*G148)</f>
        <v>0</v>
      </c>
      <c r="I148" s="26"/>
      <c r="J148" s="8">
        <f>IF(OR(C148="",I148="",I148=0),"",CEILING(C148/I148,1))</f>
        <v>0</v>
      </c>
      <c r="K148" s="8">
        <f>IF(OR(J148="",I148="",G148=""),"",J148*I148*G148)</f>
        <v>0</v>
      </c>
      <c r="L148" s="8">
        <f>IF(A148="","",SUMIFS(Pantry!$C$5:$C$304,Pantry!$A$5:$A$304,A148))</f>
        <v>0</v>
      </c>
      <c r="M148" s="8">
        <f>IF(OR(A148="",C148=""),"",MAX(0,C148-L148))</f>
        <v>0</v>
      </c>
      <c r="N148" s="27"/>
      <c r="O148" s="27"/>
      <c r="P148" s="30"/>
      <c r="Q148" s="28"/>
      <c r="R148" s="8">
        <f>IF(OR(Q148="",H148=""),"",Q148-H148)</f>
        <v>0</v>
      </c>
      <c r="S148" s="8">
        <f>IF(M148="","",COUNTIFS($M$5:$M$304,"&gt;"&amp;M148)+1)</f>
        <v>0</v>
      </c>
      <c r="T148" s="8">
        <f>IF(H148="","",H148+ROW()/1000000)</f>
        <v>0</v>
      </c>
      <c r="U148" s="8">
        <f>IF(OR(N148&lt;&gt;"Yes",T148=""),"",COUNTIFS($N$5:$N$304,"Yes",$T$5:$T$304,"&lt;"&amp;T148)+1)</f>
        <v>0</v>
      </c>
      <c r="V148" s="8">
        <f>IF(A148="","",IF(O148="Yes","Bought",IF(M148&lt;=0,"Have it",IF(N148&lt;&gt;"Yes","Skip",IF(S148&lt;=10,"Must have","Nice to have")))))</f>
        <v>0</v>
      </c>
      <c r="W148" s="30"/>
      <c r="X148" s="8">
        <f>IF(A148="","",IFERROR(INDEX('Recipe Ingredients'!$A$5:$A$1204,MATCH(A148,'Recipe Ingredients'!$B$5:$B$1204,0)),""))</f>
        <v>0</v>
      </c>
      <c r="Y148" s="8">
        <f>IF(A148="","",IFERROR(INDEX(Ingredients!$O$5:$O$304,MATCH(A148,Ingredients!$A$5:$A$304,0)),""))</f>
        <v>0</v>
      </c>
      <c r="Z148" s="8">
        <f>IF(A148="","",IF(O148="Yes","Bought",IF(N148="Yes","To buy","Not needed")))</f>
        <v>0</v>
      </c>
      <c r="AA148" s="25"/>
    </row>
    <row r="149" spans="1:27">
      <c r="A149" s="7"/>
      <c r="B149" s="8">
        <f>IF(A149="","",IFERROR(INDEX(Ingredients!$B$5:$B$304,MATCH(A149,Ingredients!$A$5:$A$304,0)),""))</f>
        <v>0</v>
      </c>
      <c r="C149" s="26"/>
      <c r="D149" s="27"/>
      <c r="E149" s="27"/>
      <c r="F149" s="7"/>
      <c r="G149" s="8">
        <f>IF(A149="","",IFERROR(INDEX(Ingredients!$D$5:$D$304,MATCH(A149,Ingredients!$A$5:$A$304,0)),""))</f>
        <v>0</v>
      </c>
      <c r="H149" s="8">
        <f>IF(OR(A149="",C149="",G149=""),"",C149*G149)</f>
        <v>0</v>
      </c>
      <c r="I149" s="26"/>
      <c r="J149" s="8">
        <f>IF(OR(C149="",I149="",I149=0),"",CEILING(C149/I149,1))</f>
        <v>0</v>
      </c>
      <c r="K149" s="8">
        <f>IF(OR(J149="",I149="",G149=""),"",J149*I149*G149)</f>
        <v>0</v>
      </c>
      <c r="L149" s="8">
        <f>IF(A149="","",SUMIFS(Pantry!$C$5:$C$304,Pantry!$A$5:$A$304,A149))</f>
        <v>0</v>
      </c>
      <c r="M149" s="8">
        <f>IF(OR(A149="",C149=""),"",MAX(0,C149-L149))</f>
        <v>0</v>
      </c>
      <c r="N149" s="27"/>
      <c r="O149" s="27"/>
      <c r="P149" s="30"/>
      <c r="Q149" s="28"/>
      <c r="R149" s="8">
        <f>IF(OR(Q149="",H149=""),"",Q149-H149)</f>
        <v>0</v>
      </c>
      <c r="S149" s="8">
        <f>IF(M149="","",COUNTIFS($M$5:$M$304,"&gt;"&amp;M149)+1)</f>
        <v>0</v>
      </c>
      <c r="T149" s="8">
        <f>IF(H149="","",H149+ROW()/1000000)</f>
        <v>0</v>
      </c>
      <c r="U149" s="8">
        <f>IF(OR(N149&lt;&gt;"Yes",T149=""),"",COUNTIFS($N$5:$N$304,"Yes",$T$5:$T$304,"&lt;"&amp;T149)+1)</f>
        <v>0</v>
      </c>
      <c r="V149" s="8">
        <f>IF(A149="","",IF(O149="Yes","Bought",IF(M149&lt;=0,"Have it",IF(N149&lt;&gt;"Yes","Skip",IF(S149&lt;=10,"Must have","Nice to have")))))</f>
        <v>0</v>
      </c>
      <c r="W149" s="30"/>
      <c r="X149" s="8">
        <f>IF(A149="","",IFERROR(INDEX('Recipe Ingredients'!$A$5:$A$1204,MATCH(A149,'Recipe Ingredients'!$B$5:$B$1204,0)),""))</f>
        <v>0</v>
      </c>
      <c r="Y149" s="8">
        <f>IF(A149="","",IFERROR(INDEX(Ingredients!$O$5:$O$304,MATCH(A149,Ingredients!$A$5:$A$304,0)),""))</f>
        <v>0</v>
      </c>
      <c r="Z149" s="8">
        <f>IF(A149="","",IF(O149="Yes","Bought",IF(N149="Yes","To buy","Not needed")))</f>
        <v>0</v>
      </c>
      <c r="AA149" s="25"/>
    </row>
    <row r="150" spans="1:27">
      <c r="A150" s="7"/>
      <c r="B150" s="8">
        <f>IF(A150="","",IFERROR(INDEX(Ingredients!$B$5:$B$304,MATCH(A150,Ingredients!$A$5:$A$304,0)),""))</f>
        <v>0</v>
      </c>
      <c r="C150" s="26"/>
      <c r="D150" s="27"/>
      <c r="E150" s="27"/>
      <c r="F150" s="7"/>
      <c r="G150" s="8">
        <f>IF(A150="","",IFERROR(INDEX(Ingredients!$D$5:$D$304,MATCH(A150,Ingredients!$A$5:$A$304,0)),""))</f>
        <v>0</v>
      </c>
      <c r="H150" s="8">
        <f>IF(OR(A150="",C150="",G150=""),"",C150*G150)</f>
        <v>0</v>
      </c>
      <c r="I150" s="26"/>
      <c r="J150" s="8">
        <f>IF(OR(C150="",I150="",I150=0),"",CEILING(C150/I150,1))</f>
        <v>0</v>
      </c>
      <c r="K150" s="8">
        <f>IF(OR(J150="",I150="",G150=""),"",J150*I150*G150)</f>
        <v>0</v>
      </c>
      <c r="L150" s="8">
        <f>IF(A150="","",SUMIFS(Pantry!$C$5:$C$304,Pantry!$A$5:$A$304,A150))</f>
        <v>0</v>
      </c>
      <c r="M150" s="8">
        <f>IF(OR(A150="",C150=""),"",MAX(0,C150-L150))</f>
        <v>0</v>
      </c>
      <c r="N150" s="27"/>
      <c r="O150" s="27"/>
      <c r="P150" s="30"/>
      <c r="Q150" s="28"/>
      <c r="R150" s="8">
        <f>IF(OR(Q150="",H150=""),"",Q150-H150)</f>
        <v>0</v>
      </c>
      <c r="S150" s="8">
        <f>IF(M150="","",COUNTIFS($M$5:$M$304,"&gt;"&amp;M150)+1)</f>
        <v>0</v>
      </c>
      <c r="T150" s="8">
        <f>IF(H150="","",H150+ROW()/1000000)</f>
        <v>0</v>
      </c>
      <c r="U150" s="8">
        <f>IF(OR(N150&lt;&gt;"Yes",T150=""),"",COUNTIFS($N$5:$N$304,"Yes",$T$5:$T$304,"&lt;"&amp;T150)+1)</f>
        <v>0</v>
      </c>
      <c r="V150" s="8">
        <f>IF(A150="","",IF(O150="Yes","Bought",IF(M150&lt;=0,"Have it",IF(N150&lt;&gt;"Yes","Skip",IF(S150&lt;=10,"Must have","Nice to have")))))</f>
        <v>0</v>
      </c>
      <c r="W150" s="30"/>
      <c r="X150" s="8">
        <f>IF(A150="","",IFERROR(INDEX('Recipe Ingredients'!$A$5:$A$1204,MATCH(A150,'Recipe Ingredients'!$B$5:$B$1204,0)),""))</f>
        <v>0</v>
      </c>
      <c r="Y150" s="8">
        <f>IF(A150="","",IFERROR(INDEX(Ingredients!$O$5:$O$304,MATCH(A150,Ingredients!$A$5:$A$304,0)),""))</f>
        <v>0</v>
      </c>
      <c r="Z150" s="8">
        <f>IF(A150="","",IF(O150="Yes","Bought",IF(N150="Yes","To buy","Not needed")))</f>
        <v>0</v>
      </c>
      <c r="AA150" s="25"/>
    </row>
    <row r="151" spans="1:27">
      <c r="A151" s="7"/>
      <c r="B151" s="8">
        <f>IF(A151="","",IFERROR(INDEX(Ingredients!$B$5:$B$304,MATCH(A151,Ingredients!$A$5:$A$304,0)),""))</f>
        <v>0</v>
      </c>
      <c r="C151" s="26"/>
      <c r="D151" s="27"/>
      <c r="E151" s="27"/>
      <c r="F151" s="7"/>
      <c r="G151" s="8">
        <f>IF(A151="","",IFERROR(INDEX(Ingredients!$D$5:$D$304,MATCH(A151,Ingredients!$A$5:$A$304,0)),""))</f>
        <v>0</v>
      </c>
      <c r="H151" s="8">
        <f>IF(OR(A151="",C151="",G151=""),"",C151*G151)</f>
        <v>0</v>
      </c>
      <c r="I151" s="26"/>
      <c r="J151" s="8">
        <f>IF(OR(C151="",I151="",I151=0),"",CEILING(C151/I151,1))</f>
        <v>0</v>
      </c>
      <c r="K151" s="8">
        <f>IF(OR(J151="",I151="",G151=""),"",J151*I151*G151)</f>
        <v>0</v>
      </c>
      <c r="L151" s="8">
        <f>IF(A151="","",SUMIFS(Pantry!$C$5:$C$304,Pantry!$A$5:$A$304,A151))</f>
        <v>0</v>
      </c>
      <c r="M151" s="8">
        <f>IF(OR(A151="",C151=""),"",MAX(0,C151-L151))</f>
        <v>0</v>
      </c>
      <c r="N151" s="27"/>
      <c r="O151" s="27"/>
      <c r="P151" s="30"/>
      <c r="Q151" s="28"/>
      <c r="R151" s="8">
        <f>IF(OR(Q151="",H151=""),"",Q151-H151)</f>
        <v>0</v>
      </c>
      <c r="S151" s="8">
        <f>IF(M151="","",COUNTIFS($M$5:$M$304,"&gt;"&amp;M151)+1)</f>
        <v>0</v>
      </c>
      <c r="T151" s="8">
        <f>IF(H151="","",H151+ROW()/1000000)</f>
        <v>0</v>
      </c>
      <c r="U151" s="8">
        <f>IF(OR(N151&lt;&gt;"Yes",T151=""),"",COUNTIFS($N$5:$N$304,"Yes",$T$5:$T$304,"&lt;"&amp;T151)+1)</f>
        <v>0</v>
      </c>
      <c r="V151" s="8">
        <f>IF(A151="","",IF(O151="Yes","Bought",IF(M151&lt;=0,"Have it",IF(N151&lt;&gt;"Yes","Skip",IF(S151&lt;=10,"Must have","Nice to have")))))</f>
        <v>0</v>
      </c>
      <c r="W151" s="30"/>
      <c r="X151" s="8">
        <f>IF(A151="","",IFERROR(INDEX('Recipe Ingredients'!$A$5:$A$1204,MATCH(A151,'Recipe Ingredients'!$B$5:$B$1204,0)),""))</f>
        <v>0</v>
      </c>
      <c r="Y151" s="8">
        <f>IF(A151="","",IFERROR(INDEX(Ingredients!$O$5:$O$304,MATCH(A151,Ingredients!$A$5:$A$304,0)),""))</f>
        <v>0</v>
      </c>
      <c r="Z151" s="8">
        <f>IF(A151="","",IF(O151="Yes","Bought",IF(N151="Yes","To buy","Not needed")))</f>
        <v>0</v>
      </c>
      <c r="AA151" s="25"/>
    </row>
    <row r="152" spans="1:27">
      <c r="A152" s="7"/>
      <c r="B152" s="8">
        <f>IF(A152="","",IFERROR(INDEX(Ingredients!$B$5:$B$304,MATCH(A152,Ingredients!$A$5:$A$304,0)),""))</f>
        <v>0</v>
      </c>
      <c r="C152" s="26"/>
      <c r="D152" s="27"/>
      <c r="E152" s="27"/>
      <c r="F152" s="7"/>
      <c r="G152" s="8">
        <f>IF(A152="","",IFERROR(INDEX(Ingredients!$D$5:$D$304,MATCH(A152,Ingredients!$A$5:$A$304,0)),""))</f>
        <v>0</v>
      </c>
      <c r="H152" s="8">
        <f>IF(OR(A152="",C152="",G152=""),"",C152*G152)</f>
        <v>0</v>
      </c>
      <c r="I152" s="26"/>
      <c r="J152" s="8">
        <f>IF(OR(C152="",I152="",I152=0),"",CEILING(C152/I152,1))</f>
        <v>0</v>
      </c>
      <c r="K152" s="8">
        <f>IF(OR(J152="",I152="",G152=""),"",J152*I152*G152)</f>
        <v>0</v>
      </c>
      <c r="L152" s="8">
        <f>IF(A152="","",SUMIFS(Pantry!$C$5:$C$304,Pantry!$A$5:$A$304,A152))</f>
        <v>0</v>
      </c>
      <c r="M152" s="8">
        <f>IF(OR(A152="",C152=""),"",MAX(0,C152-L152))</f>
        <v>0</v>
      </c>
      <c r="N152" s="27"/>
      <c r="O152" s="27"/>
      <c r="P152" s="30"/>
      <c r="Q152" s="28"/>
      <c r="R152" s="8">
        <f>IF(OR(Q152="",H152=""),"",Q152-H152)</f>
        <v>0</v>
      </c>
      <c r="S152" s="8">
        <f>IF(M152="","",COUNTIFS($M$5:$M$304,"&gt;"&amp;M152)+1)</f>
        <v>0</v>
      </c>
      <c r="T152" s="8">
        <f>IF(H152="","",H152+ROW()/1000000)</f>
        <v>0</v>
      </c>
      <c r="U152" s="8">
        <f>IF(OR(N152&lt;&gt;"Yes",T152=""),"",COUNTIFS($N$5:$N$304,"Yes",$T$5:$T$304,"&lt;"&amp;T152)+1)</f>
        <v>0</v>
      </c>
      <c r="V152" s="8">
        <f>IF(A152="","",IF(O152="Yes","Bought",IF(M152&lt;=0,"Have it",IF(N152&lt;&gt;"Yes","Skip",IF(S152&lt;=10,"Must have","Nice to have")))))</f>
        <v>0</v>
      </c>
      <c r="W152" s="30"/>
      <c r="X152" s="8">
        <f>IF(A152="","",IFERROR(INDEX('Recipe Ingredients'!$A$5:$A$1204,MATCH(A152,'Recipe Ingredients'!$B$5:$B$1204,0)),""))</f>
        <v>0</v>
      </c>
      <c r="Y152" s="8">
        <f>IF(A152="","",IFERROR(INDEX(Ingredients!$O$5:$O$304,MATCH(A152,Ingredients!$A$5:$A$304,0)),""))</f>
        <v>0</v>
      </c>
      <c r="Z152" s="8">
        <f>IF(A152="","",IF(O152="Yes","Bought",IF(N152="Yes","To buy","Not needed")))</f>
        <v>0</v>
      </c>
      <c r="AA152" s="25"/>
    </row>
    <row r="153" spans="1:27">
      <c r="A153" s="7"/>
      <c r="B153" s="8">
        <f>IF(A153="","",IFERROR(INDEX(Ingredients!$B$5:$B$304,MATCH(A153,Ingredients!$A$5:$A$304,0)),""))</f>
        <v>0</v>
      </c>
      <c r="C153" s="26"/>
      <c r="D153" s="27"/>
      <c r="E153" s="27"/>
      <c r="F153" s="7"/>
      <c r="G153" s="8">
        <f>IF(A153="","",IFERROR(INDEX(Ingredients!$D$5:$D$304,MATCH(A153,Ingredients!$A$5:$A$304,0)),""))</f>
        <v>0</v>
      </c>
      <c r="H153" s="8">
        <f>IF(OR(A153="",C153="",G153=""),"",C153*G153)</f>
        <v>0</v>
      </c>
      <c r="I153" s="26"/>
      <c r="J153" s="8">
        <f>IF(OR(C153="",I153="",I153=0),"",CEILING(C153/I153,1))</f>
        <v>0</v>
      </c>
      <c r="K153" s="8">
        <f>IF(OR(J153="",I153="",G153=""),"",J153*I153*G153)</f>
        <v>0</v>
      </c>
      <c r="L153" s="8">
        <f>IF(A153="","",SUMIFS(Pantry!$C$5:$C$304,Pantry!$A$5:$A$304,A153))</f>
        <v>0</v>
      </c>
      <c r="M153" s="8">
        <f>IF(OR(A153="",C153=""),"",MAX(0,C153-L153))</f>
        <v>0</v>
      </c>
      <c r="N153" s="27"/>
      <c r="O153" s="27"/>
      <c r="P153" s="30"/>
      <c r="Q153" s="28"/>
      <c r="R153" s="8">
        <f>IF(OR(Q153="",H153=""),"",Q153-H153)</f>
        <v>0</v>
      </c>
      <c r="S153" s="8">
        <f>IF(M153="","",COUNTIFS($M$5:$M$304,"&gt;"&amp;M153)+1)</f>
        <v>0</v>
      </c>
      <c r="T153" s="8">
        <f>IF(H153="","",H153+ROW()/1000000)</f>
        <v>0</v>
      </c>
      <c r="U153" s="8">
        <f>IF(OR(N153&lt;&gt;"Yes",T153=""),"",COUNTIFS($N$5:$N$304,"Yes",$T$5:$T$304,"&lt;"&amp;T153)+1)</f>
        <v>0</v>
      </c>
      <c r="V153" s="8">
        <f>IF(A153="","",IF(O153="Yes","Bought",IF(M153&lt;=0,"Have it",IF(N153&lt;&gt;"Yes","Skip",IF(S153&lt;=10,"Must have","Nice to have")))))</f>
        <v>0</v>
      </c>
      <c r="W153" s="30"/>
      <c r="X153" s="8">
        <f>IF(A153="","",IFERROR(INDEX('Recipe Ingredients'!$A$5:$A$1204,MATCH(A153,'Recipe Ingredients'!$B$5:$B$1204,0)),""))</f>
        <v>0</v>
      </c>
      <c r="Y153" s="8">
        <f>IF(A153="","",IFERROR(INDEX(Ingredients!$O$5:$O$304,MATCH(A153,Ingredients!$A$5:$A$304,0)),""))</f>
        <v>0</v>
      </c>
      <c r="Z153" s="8">
        <f>IF(A153="","",IF(O153="Yes","Bought",IF(N153="Yes","To buy","Not needed")))</f>
        <v>0</v>
      </c>
      <c r="AA153" s="25"/>
    </row>
    <row r="154" spans="1:27">
      <c r="A154" s="7"/>
      <c r="B154" s="8">
        <f>IF(A154="","",IFERROR(INDEX(Ingredients!$B$5:$B$304,MATCH(A154,Ingredients!$A$5:$A$304,0)),""))</f>
        <v>0</v>
      </c>
      <c r="C154" s="26"/>
      <c r="D154" s="27"/>
      <c r="E154" s="27"/>
      <c r="F154" s="7"/>
      <c r="G154" s="8">
        <f>IF(A154="","",IFERROR(INDEX(Ingredients!$D$5:$D$304,MATCH(A154,Ingredients!$A$5:$A$304,0)),""))</f>
        <v>0</v>
      </c>
      <c r="H154" s="8">
        <f>IF(OR(A154="",C154="",G154=""),"",C154*G154)</f>
        <v>0</v>
      </c>
      <c r="I154" s="26"/>
      <c r="J154" s="8">
        <f>IF(OR(C154="",I154="",I154=0),"",CEILING(C154/I154,1))</f>
        <v>0</v>
      </c>
      <c r="K154" s="8">
        <f>IF(OR(J154="",I154="",G154=""),"",J154*I154*G154)</f>
        <v>0</v>
      </c>
      <c r="L154" s="8">
        <f>IF(A154="","",SUMIFS(Pantry!$C$5:$C$304,Pantry!$A$5:$A$304,A154))</f>
        <v>0</v>
      </c>
      <c r="M154" s="8">
        <f>IF(OR(A154="",C154=""),"",MAX(0,C154-L154))</f>
        <v>0</v>
      </c>
      <c r="N154" s="27"/>
      <c r="O154" s="27"/>
      <c r="P154" s="30"/>
      <c r="Q154" s="28"/>
      <c r="R154" s="8">
        <f>IF(OR(Q154="",H154=""),"",Q154-H154)</f>
        <v>0</v>
      </c>
      <c r="S154" s="8">
        <f>IF(M154="","",COUNTIFS($M$5:$M$304,"&gt;"&amp;M154)+1)</f>
        <v>0</v>
      </c>
      <c r="T154" s="8">
        <f>IF(H154="","",H154+ROW()/1000000)</f>
        <v>0</v>
      </c>
      <c r="U154" s="8">
        <f>IF(OR(N154&lt;&gt;"Yes",T154=""),"",COUNTIFS($N$5:$N$304,"Yes",$T$5:$T$304,"&lt;"&amp;T154)+1)</f>
        <v>0</v>
      </c>
      <c r="V154" s="8">
        <f>IF(A154="","",IF(O154="Yes","Bought",IF(M154&lt;=0,"Have it",IF(N154&lt;&gt;"Yes","Skip",IF(S154&lt;=10,"Must have","Nice to have")))))</f>
        <v>0</v>
      </c>
      <c r="W154" s="30"/>
      <c r="X154" s="8">
        <f>IF(A154="","",IFERROR(INDEX('Recipe Ingredients'!$A$5:$A$1204,MATCH(A154,'Recipe Ingredients'!$B$5:$B$1204,0)),""))</f>
        <v>0</v>
      </c>
      <c r="Y154" s="8">
        <f>IF(A154="","",IFERROR(INDEX(Ingredients!$O$5:$O$304,MATCH(A154,Ingredients!$A$5:$A$304,0)),""))</f>
        <v>0</v>
      </c>
      <c r="Z154" s="8">
        <f>IF(A154="","",IF(O154="Yes","Bought",IF(N154="Yes","To buy","Not needed")))</f>
        <v>0</v>
      </c>
      <c r="AA154" s="25"/>
    </row>
    <row r="155" spans="1:27">
      <c r="A155" s="7"/>
      <c r="B155" s="8">
        <f>IF(A155="","",IFERROR(INDEX(Ingredients!$B$5:$B$304,MATCH(A155,Ingredients!$A$5:$A$304,0)),""))</f>
        <v>0</v>
      </c>
      <c r="C155" s="26"/>
      <c r="D155" s="27"/>
      <c r="E155" s="27"/>
      <c r="F155" s="7"/>
      <c r="G155" s="8">
        <f>IF(A155="","",IFERROR(INDEX(Ingredients!$D$5:$D$304,MATCH(A155,Ingredients!$A$5:$A$304,0)),""))</f>
        <v>0</v>
      </c>
      <c r="H155" s="8">
        <f>IF(OR(A155="",C155="",G155=""),"",C155*G155)</f>
        <v>0</v>
      </c>
      <c r="I155" s="26"/>
      <c r="J155" s="8">
        <f>IF(OR(C155="",I155="",I155=0),"",CEILING(C155/I155,1))</f>
        <v>0</v>
      </c>
      <c r="K155" s="8">
        <f>IF(OR(J155="",I155="",G155=""),"",J155*I155*G155)</f>
        <v>0</v>
      </c>
      <c r="L155" s="8">
        <f>IF(A155="","",SUMIFS(Pantry!$C$5:$C$304,Pantry!$A$5:$A$304,A155))</f>
        <v>0</v>
      </c>
      <c r="M155" s="8">
        <f>IF(OR(A155="",C155=""),"",MAX(0,C155-L155))</f>
        <v>0</v>
      </c>
      <c r="N155" s="27"/>
      <c r="O155" s="27"/>
      <c r="P155" s="30"/>
      <c r="Q155" s="28"/>
      <c r="R155" s="8">
        <f>IF(OR(Q155="",H155=""),"",Q155-H155)</f>
        <v>0</v>
      </c>
      <c r="S155" s="8">
        <f>IF(M155="","",COUNTIFS($M$5:$M$304,"&gt;"&amp;M155)+1)</f>
        <v>0</v>
      </c>
      <c r="T155" s="8">
        <f>IF(H155="","",H155+ROW()/1000000)</f>
        <v>0</v>
      </c>
      <c r="U155" s="8">
        <f>IF(OR(N155&lt;&gt;"Yes",T155=""),"",COUNTIFS($N$5:$N$304,"Yes",$T$5:$T$304,"&lt;"&amp;T155)+1)</f>
        <v>0</v>
      </c>
      <c r="V155" s="8">
        <f>IF(A155="","",IF(O155="Yes","Bought",IF(M155&lt;=0,"Have it",IF(N155&lt;&gt;"Yes","Skip",IF(S155&lt;=10,"Must have","Nice to have")))))</f>
        <v>0</v>
      </c>
      <c r="W155" s="30"/>
      <c r="X155" s="8">
        <f>IF(A155="","",IFERROR(INDEX('Recipe Ingredients'!$A$5:$A$1204,MATCH(A155,'Recipe Ingredients'!$B$5:$B$1204,0)),""))</f>
        <v>0</v>
      </c>
      <c r="Y155" s="8">
        <f>IF(A155="","",IFERROR(INDEX(Ingredients!$O$5:$O$304,MATCH(A155,Ingredients!$A$5:$A$304,0)),""))</f>
        <v>0</v>
      </c>
      <c r="Z155" s="8">
        <f>IF(A155="","",IF(O155="Yes","Bought",IF(N155="Yes","To buy","Not needed")))</f>
        <v>0</v>
      </c>
      <c r="AA155" s="25"/>
    </row>
    <row r="156" spans="1:27">
      <c r="A156" s="7"/>
      <c r="B156" s="8">
        <f>IF(A156="","",IFERROR(INDEX(Ingredients!$B$5:$B$304,MATCH(A156,Ingredients!$A$5:$A$304,0)),""))</f>
        <v>0</v>
      </c>
      <c r="C156" s="26"/>
      <c r="D156" s="27"/>
      <c r="E156" s="27"/>
      <c r="F156" s="7"/>
      <c r="G156" s="8">
        <f>IF(A156="","",IFERROR(INDEX(Ingredients!$D$5:$D$304,MATCH(A156,Ingredients!$A$5:$A$304,0)),""))</f>
        <v>0</v>
      </c>
      <c r="H156" s="8">
        <f>IF(OR(A156="",C156="",G156=""),"",C156*G156)</f>
        <v>0</v>
      </c>
      <c r="I156" s="26"/>
      <c r="J156" s="8">
        <f>IF(OR(C156="",I156="",I156=0),"",CEILING(C156/I156,1))</f>
        <v>0</v>
      </c>
      <c r="K156" s="8">
        <f>IF(OR(J156="",I156="",G156=""),"",J156*I156*G156)</f>
        <v>0</v>
      </c>
      <c r="L156" s="8">
        <f>IF(A156="","",SUMIFS(Pantry!$C$5:$C$304,Pantry!$A$5:$A$304,A156))</f>
        <v>0</v>
      </c>
      <c r="M156" s="8">
        <f>IF(OR(A156="",C156=""),"",MAX(0,C156-L156))</f>
        <v>0</v>
      </c>
      <c r="N156" s="27"/>
      <c r="O156" s="27"/>
      <c r="P156" s="30"/>
      <c r="Q156" s="28"/>
      <c r="R156" s="8">
        <f>IF(OR(Q156="",H156=""),"",Q156-H156)</f>
        <v>0</v>
      </c>
      <c r="S156" s="8">
        <f>IF(M156="","",COUNTIFS($M$5:$M$304,"&gt;"&amp;M156)+1)</f>
        <v>0</v>
      </c>
      <c r="T156" s="8">
        <f>IF(H156="","",H156+ROW()/1000000)</f>
        <v>0</v>
      </c>
      <c r="U156" s="8">
        <f>IF(OR(N156&lt;&gt;"Yes",T156=""),"",COUNTIFS($N$5:$N$304,"Yes",$T$5:$T$304,"&lt;"&amp;T156)+1)</f>
        <v>0</v>
      </c>
      <c r="V156" s="8">
        <f>IF(A156="","",IF(O156="Yes","Bought",IF(M156&lt;=0,"Have it",IF(N156&lt;&gt;"Yes","Skip",IF(S156&lt;=10,"Must have","Nice to have")))))</f>
        <v>0</v>
      </c>
      <c r="W156" s="30"/>
      <c r="X156" s="8">
        <f>IF(A156="","",IFERROR(INDEX('Recipe Ingredients'!$A$5:$A$1204,MATCH(A156,'Recipe Ingredients'!$B$5:$B$1204,0)),""))</f>
        <v>0</v>
      </c>
      <c r="Y156" s="8">
        <f>IF(A156="","",IFERROR(INDEX(Ingredients!$O$5:$O$304,MATCH(A156,Ingredients!$A$5:$A$304,0)),""))</f>
        <v>0</v>
      </c>
      <c r="Z156" s="8">
        <f>IF(A156="","",IF(O156="Yes","Bought",IF(N156="Yes","To buy","Not needed")))</f>
        <v>0</v>
      </c>
      <c r="AA156" s="25"/>
    </row>
    <row r="157" spans="1:27">
      <c r="A157" s="7"/>
      <c r="B157" s="8">
        <f>IF(A157="","",IFERROR(INDEX(Ingredients!$B$5:$B$304,MATCH(A157,Ingredients!$A$5:$A$304,0)),""))</f>
        <v>0</v>
      </c>
      <c r="C157" s="26"/>
      <c r="D157" s="27"/>
      <c r="E157" s="27"/>
      <c r="F157" s="7"/>
      <c r="G157" s="8">
        <f>IF(A157="","",IFERROR(INDEX(Ingredients!$D$5:$D$304,MATCH(A157,Ingredients!$A$5:$A$304,0)),""))</f>
        <v>0</v>
      </c>
      <c r="H157" s="8">
        <f>IF(OR(A157="",C157="",G157=""),"",C157*G157)</f>
        <v>0</v>
      </c>
      <c r="I157" s="26"/>
      <c r="J157" s="8">
        <f>IF(OR(C157="",I157="",I157=0),"",CEILING(C157/I157,1))</f>
        <v>0</v>
      </c>
      <c r="K157" s="8">
        <f>IF(OR(J157="",I157="",G157=""),"",J157*I157*G157)</f>
        <v>0</v>
      </c>
      <c r="L157" s="8">
        <f>IF(A157="","",SUMIFS(Pantry!$C$5:$C$304,Pantry!$A$5:$A$304,A157))</f>
        <v>0</v>
      </c>
      <c r="M157" s="8">
        <f>IF(OR(A157="",C157=""),"",MAX(0,C157-L157))</f>
        <v>0</v>
      </c>
      <c r="N157" s="27"/>
      <c r="O157" s="27"/>
      <c r="P157" s="30"/>
      <c r="Q157" s="28"/>
      <c r="R157" s="8">
        <f>IF(OR(Q157="",H157=""),"",Q157-H157)</f>
        <v>0</v>
      </c>
      <c r="S157" s="8">
        <f>IF(M157="","",COUNTIFS($M$5:$M$304,"&gt;"&amp;M157)+1)</f>
        <v>0</v>
      </c>
      <c r="T157" s="8">
        <f>IF(H157="","",H157+ROW()/1000000)</f>
        <v>0</v>
      </c>
      <c r="U157" s="8">
        <f>IF(OR(N157&lt;&gt;"Yes",T157=""),"",COUNTIFS($N$5:$N$304,"Yes",$T$5:$T$304,"&lt;"&amp;T157)+1)</f>
        <v>0</v>
      </c>
      <c r="V157" s="8">
        <f>IF(A157="","",IF(O157="Yes","Bought",IF(M157&lt;=0,"Have it",IF(N157&lt;&gt;"Yes","Skip",IF(S157&lt;=10,"Must have","Nice to have")))))</f>
        <v>0</v>
      </c>
      <c r="W157" s="30"/>
      <c r="X157" s="8">
        <f>IF(A157="","",IFERROR(INDEX('Recipe Ingredients'!$A$5:$A$1204,MATCH(A157,'Recipe Ingredients'!$B$5:$B$1204,0)),""))</f>
        <v>0</v>
      </c>
      <c r="Y157" s="8">
        <f>IF(A157="","",IFERROR(INDEX(Ingredients!$O$5:$O$304,MATCH(A157,Ingredients!$A$5:$A$304,0)),""))</f>
        <v>0</v>
      </c>
      <c r="Z157" s="8">
        <f>IF(A157="","",IF(O157="Yes","Bought",IF(N157="Yes","To buy","Not needed")))</f>
        <v>0</v>
      </c>
      <c r="AA157" s="25"/>
    </row>
    <row r="158" spans="1:27">
      <c r="A158" s="7"/>
      <c r="B158" s="8">
        <f>IF(A158="","",IFERROR(INDEX(Ingredients!$B$5:$B$304,MATCH(A158,Ingredients!$A$5:$A$304,0)),""))</f>
        <v>0</v>
      </c>
      <c r="C158" s="26"/>
      <c r="D158" s="27"/>
      <c r="E158" s="27"/>
      <c r="F158" s="7"/>
      <c r="G158" s="8">
        <f>IF(A158="","",IFERROR(INDEX(Ingredients!$D$5:$D$304,MATCH(A158,Ingredients!$A$5:$A$304,0)),""))</f>
        <v>0</v>
      </c>
      <c r="H158" s="8">
        <f>IF(OR(A158="",C158="",G158=""),"",C158*G158)</f>
        <v>0</v>
      </c>
      <c r="I158" s="26"/>
      <c r="J158" s="8">
        <f>IF(OR(C158="",I158="",I158=0),"",CEILING(C158/I158,1))</f>
        <v>0</v>
      </c>
      <c r="K158" s="8">
        <f>IF(OR(J158="",I158="",G158=""),"",J158*I158*G158)</f>
        <v>0</v>
      </c>
      <c r="L158" s="8">
        <f>IF(A158="","",SUMIFS(Pantry!$C$5:$C$304,Pantry!$A$5:$A$304,A158))</f>
        <v>0</v>
      </c>
      <c r="M158" s="8">
        <f>IF(OR(A158="",C158=""),"",MAX(0,C158-L158))</f>
        <v>0</v>
      </c>
      <c r="N158" s="27"/>
      <c r="O158" s="27"/>
      <c r="P158" s="30"/>
      <c r="Q158" s="28"/>
      <c r="R158" s="8">
        <f>IF(OR(Q158="",H158=""),"",Q158-H158)</f>
        <v>0</v>
      </c>
      <c r="S158" s="8">
        <f>IF(M158="","",COUNTIFS($M$5:$M$304,"&gt;"&amp;M158)+1)</f>
        <v>0</v>
      </c>
      <c r="T158" s="8">
        <f>IF(H158="","",H158+ROW()/1000000)</f>
        <v>0</v>
      </c>
      <c r="U158" s="8">
        <f>IF(OR(N158&lt;&gt;"Yes",T158=""),"",COUNTIFS($N$5:$N$304,"Yes",$T$5:$T$304,"&lt;"&amp;T158)+1)</f>
        <v>0</v>
      </c>
      <c r="V158" s="8">
        <f>IF(A158="","",IF(O158="Yes","Bought",IF(M158&lt;=0,"Have it",IF(N158&lt;&gt;"Yes","Skip",IF(S158&lt;=10,"Must have","Nice to have")))))</f>
        <v>0</v>
      </c>
      <c r="W158" s="30"/>
      <c r="X158" s="8">
        <f>IF(A158="","",IFERROR(INDEX('Recipe Ingredients'!$A$5:$A$1204,MATCH(A158,'Recipe Ingredients'!$B$5:$B$1204,0)),""))</f>
        <v>0</v>
      </c>
      <c r="Y158" s="8">
        <f>IF(A158="","",IFERROR(INDEX(Ingredients!$O$5:$O$304,MATCH(A158,Ingredients!$A$5:$A$304,0)),""))</f>
        <v>0</v>
      </c>
      <c r="Z158" s="8">
        <f>IF(A158="","",IF(O158="Yes","Bought",IF(N158="Yes","To buy","Not needed")))</f>
        <v>0</v>
      </c>
      <c r="AA158" s="25"/>
    </row>
    <row r="159" spans="1:27">
      <c r="A159" s="7"/>
      <c r="B159" s="8">
        <f>IF(A159="","",IFERROR(INDEX(Ingredients!$B$5:$B$304,MATCH(A159,Ingredients!$A$5:$A$304,0)),""))</f>
        <v>0</v>
      </c>
      <c r="C159" s="26"/>
      <c r="D159" s="27"/>
      <c r="E159" s="27"/>
      <c r="F159" s="7"/>
      <c r="G159" s="8">
        <f>IF(A159="","",IFERROR(INDEX(Ingredients!$D$5:$D$304,MATCH(A159,Ingredients!$A$5:$A$304,0)),""))</f>
        <v>0</v>
      </c>
      <c r="H159" s="8">
        <f>IF(OR(A159="",C159="",G159=""),"",C159*G159)</f>
        <v>0</v>
      </c>
      <c r="I159" s="26"/>
      <c r="J159" s="8">
        <f>IF(OR(C159="",I159="",I159=0),"",CEILING(C159/I159,1))</f>
        <v>0</v>
      </c>
      <c r="K159" s="8">
        <f>IF(OR(J159="",I159="",G159=""),"",J159*I159*G159)</f>
        <v>0</v>
      </c>
      <c r="L159" s="8">
        <f>IF(A159="","",SUMIFS(Pantry!$C$5:$C$304,Pantry!$A$5:$A$304,A159))</f>
        <v>0</v>
      </c>
      <c r="M159" s="8">
        <f>IF(OR(A159="",C159=""),"",MAX(0,C159-L159))</f>
        <v>0</v>
      </c>
      <c r="N159" s="27"/>
      <c r="O159" s="27"/>
      <c r="P159" s="30"/>
      <c r="Q159" s="28"/>
      <c r="R159" s="8">
        <f>IF(OR(Q159="",H159=""),"",Q159-H159)</f>
        <v>0</v>
      </c>
      <c r="S159" s="8">
        <f>IF(M159="","",COUNTIFS($M$5:$M$304,"&gt;"&amp;M159)+1)</f>
        <v>0</v>
      </c>
      <c r="T159" s="8">
        <f>IF(H159="","",H159+ROW()/1000000)</f>
        <v>0</v>
      </c>
      <c r="U159" s="8">
        <f>IF(OR(N159&lt;&gt;"Yes",T159=""),"",COUNTIFS($N$5:$N$304,"Yes",$T$5:$T$304,"&lt;"&amp;T159)+1)</f>
        <v>0</v>
      </c>
      <c r="V159" s="8">
        <f>IF(A159="","",IF(O159="Yes","Bought",IF(M159&lt;=0,"Have it",IF(N159&lt;&gt;"Yes","Skip",IF(S159&lt;=10,"Must have","Nice to have")))))</f>
        <v>0</v>
      </c>
      <c r="W159" s="30"/>
      <c r="X159" s="8">
        <f>IF(A159="","",IFERROR(INDEX('Recipe Ingredients'!$A$5:$A$1204,MATCH(A159,'Recipe Ingredients'!$B$5:$B$1204,0)),""))</f>
        <v>0</v>
      </c>
      <c r="Y159" s="8">
        <f>IF(A159="","",IFERROR(INDEX(Ingredients!$O$5:$O$304,MATCH(A159,Ingredients!$A$5:$A$304,0)),""))</f>
        <v>0</v>
      </c>
      <c r="Z159" s="8">
        <f>IF(A159="","",IF(O159="Yes","Bought",IF(N159="Yes","To buy","Not needed")))</f>
        <v>0</v>
      </c>
      <c r="AA159" s="25"/>
    </row>
    <row r="160" spans="1:27">
      <c r="A160" s="7"/>
      <c r="B160" s="8">
        <f>IF(A160="","",IFERROR(INDEX(Ingredients!$B$5:$B$304,MATCH(A160,Ingredients!$A$5:$A$304,0)),""))</f>
        <v>0</v>
      </c>
      <c r="C160" s="26"/>
      <c r="D160" s="27"/>
      <c r="E160" s="27"/>
      <c r="F160" s="7"/>
      <c r="G160" s="8">
        <f>IF(A160="","",IFERROR(INDEX(Ingredients!$D$5:$D$304,MATCH(A160,Ingredients!$A$5:$A$304,0)),""))</f>
        <v>0</v>
      </c>
      <c r="H160" s="8">
        <f>IF(OR(A160="",C160="",G160=""),"",C160*G160)</f>
        <v>0</v>
      </c>
      <c r="I160" s="26"/>
      <c r="J160" s="8">
        <f>IF(OR(C160="",I160="",I160=0),"",CEILING(C160/I160,1))</f>
        <v>0</v>
      </c>
      <c r="K160" s="8">
        <f>IF(OR(J160="",I160="",G160=""),"",J160*I160*G160)</f>
        <v>0</v>
      </c>
      <c r="L160" s="8">
        <f>IF(A160="","",SUMIFS(Pantry!$C$5:$C$304,Pantry!$A$5:$A$304,A160))</f>
        <v>0</v>
      </c>
      <c r="M160" s="8">
        <f>IF(OR(A160="",C160=""),"",MAX(0,C160-L160))</f>
        <v>0</v>
      </c>
      <c r="N160" s="27"/>
      <c r="O160" s="27"/>
      <c r="P160" s="30"/>
      <c r="Q160" s="28"/>
      <c r="R160" s="8">
        <f>IF(OR(Q160="",H160=""),"",Q160-H160)</f>
        <v>0</v>
      </c>
      <c r="S160" s="8">
        <f>IF(M160="","",COUNTIFS($M$5:$M$304,"&gt;"&amp;M160)+1)</f>
        <v>0</v>
      </c>
      <c r="T160" s="8">
        <f>IF(H160="","",H160+ROW()/1000000)</f>
        <v>0</v>
      </c>
      <c r="U160" s="8">
        <f>IF(OR(N160&lt;&gt;"Yes",T160=""),"",COUNTIFS($N$5:$N$304,"Yes",$T$5:$T$304,"&lt;"&amp;T160)+1)</f>
        <v>0</v>
      </c>
      <c r="V160" s="8">
        <f>IF(A160="","",IF(O160="Yes","Bought",IF(M160&lt;=0,"Have it",IF(N160&lt;&gt;"Yes","Skip",IF(S160&lt;=10,"Must have","Nice to have")))))</f>
        <v>0</v>
      </c>
      <c r="W160" s="30"/>
      <c r="X160" s="8">
        <f>IF(A160="","",IFERROR(INDEX('Recipe Ingredients'!$A$5:$A$1204,MATCH(A160,'Recipe Ingredients'!$B$5:$B$1204,0)),""))</f>
        <v>0</v>
      </c>
      <c r="Y160" s="8">
        <f>IF(A160="","",IFERROR(INDEX(Ingredients!$O$5:$O$304,MATCH(A160,Ingredients!$A$5:$A$304,0)),""))</f>
        <v>0</v>
      </c>
      <c r="Z160" s="8">
        <f>IF(A160="","",IF(O160="Yes","Bought",IF(N160="Yes","To buy","Not needed")))</f>
        <v>0</v>
      </c>
      <c r="AA160" s="25"/>
    </row>
    <row r="161" spans="1:27">
      <c r="A161" s="7"/>
      <c r="B161" s="8">
        <f>IF(A161="","",IFERROR(INDEX(Ingredients!$B$5:$B$304,MATCH(A161,Ingredients!$A$5:$A$304,0)),""))</f>
        <v>0</v>
      </c>
      <c r="C161" s="26"/>
      <c r="D161" s="27"/>
      <c r="E161" s="27"/>
      <c r="F161" s="7"/>
      <c r="G161" s="8">
        <f>IF(A161="","",IFERROR(INDEX(Ingredients!$D$5:$D$304,MATCH(A161,Ingredients!$A$5:$A$304,0)),""))</f>
        <v>0</v>
      </c>
      <c r="H161" s="8">
        <f>IF(OR(A161="",C161="",G161=""),"",C161*G161)</f>
        <v>0</v>
      </c>
      <c r="I161" s="26"/>
      <c r="J161" s="8">
        <f>IF(OR(C161="",I161="",I161=0),"",CEILING(C161/I161,1))</f>
        <v>0</v>
      </c>
      <c r="K161" s="8">
        <f>IF(OR(J161="",I161="",G161=""),"",J161*I161*G161)</f>
        <v>0</v>
      </c>
      <c r="L161" s="8">
        <f>IF(A161="","",SUMIFS(Pantry!$C$5:$C$304,Pantry!$A$5:$A$304,A161))</f>
        <v>0</v>
      </c>
      <c r="M161" s="8">
        <f>IF(OR(A161="",C161=""),"",MAX(0,C161-L161))</f>
        <v>0</v>
      </c>
      <c r="N161" s="27"/>
      <c r="O161" s="27"/>
      <c r="P161" s="30"/>
      <c r="Q161" s="28"/>
      <c r="R161" s="8">
        <f>IF(OR(Q161="",H161=""),"",Q161-H161)</f>
        <v>0</v>
      </c>
      <c r="S161" s="8">
        <f>IF(M161="","",COUNTIFS($M$5:$M$304,"&gt;"&amp;M161)+1)</f>
        <v>0</v>
      </c>
      <c r="T161" s="8">
        <f>IF(H161="","",H161+ROW()/1000000)</f>
        <v>0</v>
      </c>
      <c r="U161" s="8">
        <f>IF(OR(N161&lt;&gt;"Yes",T161=""),"",COUNTIFS($N$5:$N$304,"Yes",$T$5:$T$304,"&lt;"&amp;T161)+1)</f>
        <v>0</v>
      </c>
      <c r="V161" s="8">
        <f>IF(A161="","",IF(O161="Yes","Bought",IF(M161&lt;=0,"Have it",IF(N161&lt;&gt;"Yes","Skip",IF(S161&lt;=10,"Must have","Nice to have")))))</f>
        <v>0</v>
      </c>
      <c r="W161" s="30"/>
      <c r="X161" s="8">
        <f>IF(A161="","",IFERROR(INDEX('Recipe Ingredients'!$A$5:$A$1204,MATCH(A161,'Recipe Ingredients'!$B$5:$B$1204,0)),""))</f>
        <v>0</v>
      </c>
      <c r="Y161" s="8">
        <f>IF(A161="","",IFERROR(INDEX(Ingredients!$O$5:$O$304,MATCH(A161,Ingredients!$A$5:$A$304,0)),""))</f>
        <v>0</v>
      </c>
      <c r="Z161" s="8">
        <f>IF(A161="","",IF(O161="Yes","Bought",IF(N161="Yes","To buy","Not needed")))</f>
        <v>0</v>
      </c>
      <c r="AA161" s="25"/>
    </row>
    <row r="162" spans="1:27">
      <c r="A162" s="7"/>
      <c r="B162" s="8">
        <f>IF(A162="","",IFERROR(INDEX(Ingredients!$B$5:$B$304,MATCH(A162,Ingredients!$A$5:$A$304,0)),""))</f>
        <v>0</v>
      </c>
      <c r="C162" s="26"/>
      <c r="D162" s="27"/>
      <c r="E162" s="27"/>
      <c r="F162" s="7"/>
      <c r="G162" s="8">
        <f>IF(A162="","",IFERROR(INDEX(Ingredients!$D$5:$D$304,MATCH(A162,Ingredients!$A$5:$A$304,0)),""))</f>
        <v>0</v>
      </c>
      <c r="H162" s="8">
        <f>IF(OR(A162="",C162="",G162=""),"",C162*G162)</f>
        <v>0</v>
      </c>
      <c r="I162" s="26"/>
      <c r="J162" s="8">
        <f>IF(OR(C162="",I162="",I162=0),"",CEILING(C162/I162,1))</f>
        <v>0</v>
      </c>
      <c r="K162" s="8">
        <f>IF(OR(J162="",I162="",G162=""),"",J162*I162*G162)</f>
        <v>0</v>
      </c>
      <c r="L162" s="8">
        <f>IF(A162="","",SUMIFS(Pantry!$C$5:$C$304,Pantry!$A$5:$A$304,A162))</f>
        <v>0</v>
      </c>
      <c r="M162" s="8">
        <f>IF(OR(A162="",C162=""),"",MAX(0,C162-L162))</f>
        <v>0</v>
      </c>
      <c r="N162" s="27"/>
      <c r="O162" s="27"/>
      <c r="P162" s="30"/>
      <c r="Q162" s="28"/>
      <c r="R162" s="8">
        <f>IF(OR(Q162="",H162=""),"",Q162-H162)</f>
        <v>0</v>
      </c>
      <c r="S162" s="8">
        <f>IF(M162="","",COUNTIFS($M$5:$M$304,"&gt;"&amp;M162)+1)</f>
        <v>0</v>
      </c>
      <c r="T162" s="8">
        <f>IF(H162="","",H162+ROW()/1000000)</f>
        <v>0</v>
      </c>
      <c r="U162" s="8">
        <f>IF(OR(N162&lt;&gt;"Yes",T162=""),"",COUNTIFS($N$5:$N$304,"Yes",$T$5:$T$304,"&lt;"&amp;T162)+1)</f>
        <v>0</v>
      </c>
      <c r="V162" s="8">
        <f>IF(A162="","",IF(O162="Yes","Bought",IF(M162&lt;=0,"Have it",IF(N162&lt;&gt;"Yes","Skip",IF(S162&lt;=10,"Must have","Nice to have")))))</f>
        <v>0</v>
      </c>
      <c r="W162" s="30"/>
      <c r="X162" s="8">
        <f>IF(A162="","",IFERROR(INDEX('Recipe Ingredients'!$A$5:$A$1204,MATCH(A162,'Recipe Ingredients'!$B$5:$B$1204,0)),""))</f>
        <v>0</v>
      </c>
      <c r="Y162" s="8">
        <f>IF(A162="","",IFERROR(INDEX(Ingredients!$O$5:$O$304,MATCH(A162,Ingredients!$A$5:$A$304,0)),""))</f>
        <v>0</v>
      </c>
      <c r="Z162" s="8">
        <f>IF(A162="","",IF(O162="Yes","Bought",IF(N162="Yes","To buy","Not needed")))</f>
        <v>0</v>
      </c>
      <c r="AA162" s="25"/>
    </row>
    <row r="163" spans="1:27">
      <c r="A163" s="7"/>
      <c r="B163" s="8">
        <f>IF(A163="","",IFERROR(INDEX(Ingredients!$B$5:$B$304,MATCH(A163,Ingredients!$A$5:$A$304,0)),""))</f>
        <v>0</v>
      </c>
      <c r="C163" s="26"/>
      <c r="D163" s="27"/>
      <c r="E163" s="27"/>
      <c r="F163" s="7"/>
      <c r="G163" s="8">
        <f>IF(A163="","",IFERROR(INDEX(Ingredients!$D$5:$D$304,MATCH(A163,Ingredients!$A$5:$A$304,0)),""))</f>
        <v>0</v>
      </c>
      <c r="H163" s="8">
        <f>IF(OR(A163="",C163="",G163=""),"",C163*G163)</f>
        <v>0</v>
      </c>
      <c r="I163" s="26"/>
      <c r="J163" s="8">
        <f>IF(OR(C163="",I163="",I163=0),"",CEILING(C163/I163,1))</f>
        <v>0</v>
      </c>
      <c r="K163" s="8">
        <f>IF(OR(J163="",I163="",G163=""),"",J163*I163*G163)</f>
        <v>0</v>
      </c>
      <c r="L163" s="8">
        <f>IF(A163="","",SUMIFS(Pantry!$C$5:$C$304,Pantry!$A$5:$A$304,A163))</f>
        <v>0</v>
      </c>
      <c r="M163" s="8">
        <f>IF(OR(A163="",C163=""),"",MAX(0,C163-L163))</f>
        <v>0</v>
      </c>
      <c r="N163" s="27"/>
      <c r="O163" s="27"/>
      <c r="P163" s="30"/>
      <c r="Q163" s="28"/>
      <c r="R163" s="8">
        <f>IF(OR(Q163="",H163=""),"",Q163-H163)</f>
        <v>0</v>
      </c>
      <c r="S163" s="8">
        <f>IF(M163="","",COUNTIFS($M$5:$M$304,"&gt;"&amp;M163)+1)</f>
        <v>0</v>
      </c>
      <c r="T163" s="8">
        <f>IF(H163="","",H163+ROW()/1000000)</f>
        <v>0</v>
      </c>
      <c r="U163" s="8">
        <f>IF(OR(N163&lt;&gt;"Yes",T163=""),"",COUNTIFS($N$5:$N$304,"Yes",$T$5:$T$304,"&lt;"&amp;T163)+1)</f>
        <v>0</v>
      </c>
      <c r="V163" s="8">
        <f>IF(A163="","",IF(O163="Yes","Bought",IF(M163&lt;=0,"Have it",IF(N163&lt;&gt;"Yes","Skip",IF(S163&lt;=10,"Must have","Nice to have")))))</f>
        <v>0</v>
      </c>
      <c r="W163" s="30"/>
      <c r="X163" s="8">
        <f>IF(A163="","",IFERROR(INDEX('Recipe Ingredients'!$A$5:$A$1204,MATCH(A163,'Recipe Ingredients'!$B$5:$B$1204,0)),""))</f>
        <v>0</v>
      </c>
      <c r="Y163" s="8">
        <f>IF(A163="","",IFERROR(INDEX(Ingredients!$O$5:$O$304,MATCH(A163,Ingredients!$A$5:$A$304,0)),""))</f>
        <v>0</v>
      </c>
      <c r="Z163" s="8">
        <f>IF(A163="","",IF(O163="Yes","Bought",IF(N163="Yes","To buy","Not needed")))</f>
        <v>0</v>
      </c>
      <c r="AA163" s="25"/>
    </row>
    <row r="164" spans="1:27">
      <c r="A164" s="7"/>
      <c r="B164" s="8">
        <f>IF(A164="","",IFERROR(INDEX(Ingredients!$B$5:$B$304,MATCH(A164,Ingredients!$A$5:$A$304,0)),""))</f>
        <v>0</v>
      </c>
      <c r="C164" s="26"/>
      <c r="D164" s="27"/>
      <c r="E164" s="27"/>
      <c r="F164" s="7"/>
      <c r="G164" s="8">
        <f>IF(A164="","",IFERROR(INDEX(Ingredients!$D$5:$D$304,MATCH(A164,Ingredients!$A$5:$A$304,0)),""))</f>
        <v>0</v>
      </c>
      <c r="H164" s="8">
        <f>IF(OR(A164="",C164="",G164=""),"",C164*G164)</f>
        <v>0</v>
      </c>
      <c r="I164" s="26"/>
      <c r="J164" s="8">
        <f>IF(OR(C164="",I164="",I164=0),"",CEILING(C164/I164,1))</f>
        <v>0</v>
      </c>
      <c r="K164" s="8">
        <f>IF(OR(J164="",I164="",G164=""),"",J164*I164*G164)</f>
        <v>0</v>
      </c>
      <c r="L164" s="8">
        <f>IF(A164="","",SUMIFS(Pantry!$C$5:$C$304,Pantry!$A$5:$A$304,A164))</f>
        <v>0</v>
      </c>
      <c r="M164" s="8">
        <f>IF(OR(A164="",C164=""),"",MAX(0,C164-L164))</f>
        <v>0</v>
      </c>
      <c r="N164" s="27"/>
      <c r="O164" s="27"/>
      <c r="P164" s="30"/>
      <c r="Q164" s="28"/>
      <c r="R164" s="8">
        <f>IF(OR(Q164="",H164=""),"",Q164-H164)</f>
        <v>0</v>
      </c>
      <c r="S164" s="8">
        <f>IF(M164="","",COUNTIFS($M$5:$M$304,"&gt;"&amp;M164)+1)</f>
        <v>0</v>
      </c>
      <c r="T164" s="8">
        <f>IF(H164="","",H164+ROW()/1000000)</f>
        <v>0</v>
      </c>
      <c r="U164" s="8">
        <f>IF(OR(N164&lt;&gt;"Yes",T164=""),"",COUNTIFS($N$5:$N$304,"Yes",$T$5:$T$304,"&lt;"&amp;T164)+1)</f>
        <v>0</v>
      </c>
      <c r="V164" s="8">
        <f>IF(A164="","",IF(O164="Yes","Bought",IF(M164&lt;=0,"Have it",IF(N164&lt;&gt;"Yes","Skip",IF(S164&lt;=10,"Must have","Nice to have")))))</f>
        <v>0</v>
      </c>
      <c r="W164" s="30"/>
      <c r="X164" s="8">
        <f>IF(A164="","",IFERROR(INDEX('Recipe Ingredients'!$A$5:$A$1204,MATCH(A164,'Recipe Ingredients'!$B$5:$B$1204,0)),""))</f>
        <v>0</v>
      </c>
      <c r="Y164" s="8">
        <f>IF(A164="","",IFERROR(INDEX(Ingredients!$O$5:$O$304,MATCH(A164,Ingredients!$A$5:$A$304,0)),""))</f>
        <v>0</v>
      </c>
      <c r="Z164" s="8">
        <f>IF(A164="","",IF(O164="Yes","Bought",IF(N164="Yes","To buy","Not needed")))</f>
        <v>0</v>
      </c>
      <c r="AA164" s="25"/>
    </row>
    <row r="165" spans="1:27">
      <c r="A165" s="7"/>
      <c r="B165" s="8">
        <f>IF(A165="","",IFERROR(INDEX(Ingredients!$B$5:$B$304,MATCH(A165,Ingredients!$A$5:$A$304,0)),""))</f>
        <v>0</v>
      </c>
      <c r="C165" s="26"/>
      <c r="D165" s="27"/>
      <c r="E165" s="27"/>
      <c r="F165" s="7"/>
      <c r="G165" s="8">
        <f>IF(A165="","",IFERROR(INDEX(Ingredients!$D$5:$D$304,MATCH(A165,Ingredients!$A$5:$A$304,0)),""))</f>
        <v>0</v>
      </c>
      <c r="H165" s="8">
        <f>IF(OR(A165="",C165="",G165=""),"",C165*G165)</f>
        <v>0</v>
      </c>
      <c r="I165" s="26"/>
      <c r="J165" s="8">
        <f>IF(OR(C165="",I165="",I165=0),"",CEILING(C165/I165,1))</f>
        <v>0</v>
      </c>
      <c r="K165" s="8">
        <f>IF(OR(J165="",I165="",G165=""),"",J165*I165*G165)</f>
        <v>0</v>
      </c>
      <c r="L165" s="8">
        <f>IF(A165="","",SUMIFS(Pantry!$C$5:$C$304,Pantry!$A$5:$A$304,A165))</f>
        <v>0</v>
      </c>
      <c r="M165" s="8">
        <f>IF(OR(A165="",C165=""),"",MAX(0,C165-L165))</f>
        <v>0</v>
      </c>
      <c r="N165" s="27"/>
      <c r="O165" s="27"/>
      <c r="P165" s="30"/>
      <c r="Q165" s="28"/>
      <c r="R165" s="8">
        <f>IF(OR(Q165="",H165=""),"",Q165-H165)</f>
        <v>0</v>
      </c>
      <c r="S165" s="8">
        <f>IF(M165="","",COUNTIFS($M$5:$M$304,"&gt;"&amp;M165)+1)</f>
        <v>0</v>
      </c>
      <c r="T165" s="8">
        <f>IF(H165="","",H165+ROW()/1000000)</f>
        <v>0</v>
      </c>
      <c r="U165" s="8">
        <f>IF(OR(N165&lt;&gt;"Yes",T165=""),"",COUNTIFS($N$5:$N$304,"Yes",$T$5:$T$304,"&lt;"&amp;T165)+1)</f>
        <v>0</v>
      </c>
      <c r="V165" s="8">
        <f>IF(A165="","",IF(O165="Yes","Bought",IF(M165&lt;=0,"Have it",IF(N165&lt;&gt;"Yes","Skip",IF(S165&lt;=10,"Must have","Nice to have")))))</f>
        <v>0</v>
      </c>
      <c r="W165" s="30"/>
      <c r="X165" s="8">
        <f>IF(A165="","",IFERROR(INDEX('Recipe Ingredients'!$A$5:$A$1204,MATCH(A165,'Recipe Ingredients'!$B$5:$B$1204,0)),""))</f>
        <v>0</v>
      </c>
      <c r="Y165" s="8">
        <f>IF(A165="","",IFERROR(INDEX(Ingredients!$O$5:$O$304,MATCH(A165,Ingredients!$A$5:$A$304,0)),""))</f>
        <v>0</v>
      </c>
      <c r="Z165" s="8">
        <f>IF(A165="","",IF(O165="Yes","Bought",IF(N165="Yes","To buy","Not needed")))</f>
        <v>0</v>
      </c>
      <c r="AA165" s="25"/>
    </row>
    <row r="166" spans="1:27">
      <c r="A166" s="7"/>
      <c r="B166" s="8">
        <f>IF(A166="","",IFERROR(INDEX(Ingredients!$B$5:$B$304,MATCH(A166,Ingredients!$A$5:$A$304,0)),""))</f>
        <v>0</v>
      </c>
      <c r="C166" s="26"/>
      <c r="D166" s="27"/>
      <c r="E166" s="27"/>
      <c r="F166" s="7"/>
      <c r="G166" s="8">
        <f>IF(A166="","",IFERROR(INDEX(Ingredients!$D$5:$D$304,MATCH(A166,Ingredients!$A$5:$A$304,0)),""))</f>
        <v>0</v>
      </c>
      <c r="H166" s="8">
        <f>IF(OR(A166="",C166="",G166=""),"",C166*G166)</f>
        <v>0</v>
      </c>
      <c r="I166" s="26"/>
      <c r="J166" s="8">
        <f>IF(OR(C166="",I166="",I166=0),"",CEILING(C166/I166,1))</f>
        <v>0</v>
      </c>
      <c r="K166" s="8">
        <f>IF(OR(J166="",I166="",G166=""),"",J166*I166*G166)</f>
        <v>0</v>
      </c>
      <c r="L166" s="8">
        <f>IF(A166="","",SUMIFS(Pantry!$C$5:$C$304,Pantry!$A$5:$A$304,A166))</f>
        <v>0</v>
      </c>
      <c r="M166" s="8">
        <f>IF(OR(A166="",C166=""),"",MAX(0,C166-L166))</f>
        <v>0</v>
      </c>
      <c r="N166" s="27"/>
      <c r="O166" s="27"/>
      <c r="P166" s="30"/>
      <c r="Q166" s="28"/>
      <c r="R166" s="8">
        <f>IF(OR(Q166="",H166=""),"",Q166-H166)</f>
        <v>0</v>
      </c>
      <c r="S166" s="8">
        <f>IF(M166="","",COUNTIFS($M$5:$M$304,"&gt;"&amp;M166)+1)</f>
        <v>0</v>
      </c>
      <c r="T166" s="8">
        <f>IF(H166="","",H166+ROW()/1000000)</f>
        <v>0</v>
      </c>
      <c r="U166" s="8">
        <f>IF(OR(N166&lt;&gt;"Yes",T166=""),"",COUNTIFS($N$5:$N$304,"Yes",$T$5:$T$304,"&lt;"&amp;T166)+1)</f>
        <v>0</v>
      </c>
      <c r="V166" s="8">
        <f>IF(A166="","",IF(O166="Yes","Bought",IF(M166&lt;=0,"Have it",IF(N166&lt;&gt;"Yes","Skip",IF(S166&lt;=10,"Must have","Nice to have")))))</f>
        <v>0</v>
      </c>
      <c r="W166" s="30"/>
      <c r="X166" s="8">
        <f>IF(A166="","",IFERROR(INDEX('Recipe Ingredients'!$A$5:$A$1204,MATCH(A166,'Recipe Ingredients'!$B$5:$B$1204,0)),""))</f>
        <v>0</v>
      </c>
      <c r="Y166" s="8">
        <f>IF(A166="","",IFERROR(INDEX(Ingredients!$O$5:$O$304,MATCH(A166,Ingredients!$A$5:$A$304,0)),""))</f>
        <v>0</v>
      </c>
      <c r="Z166" s="8">
        <f>IF(A166="","",IF(O166="Yes","Bought",IF(N166="Yes","To buy","Not needed")))</f>
        <v>0</v>
      </c>
      <c r="AA166" s="25"/>
    </row>
    <row r="167" spans="1:27">
      <c r="A167" s="7"/>
      <c r="B167" s="8">
        <f>IF(A167="","",IFERROR(INDEX(Ingredients!$B$5:$B$304,MATCH(A167,Ingredients!$A$5:$A$304,0)),""))</f>
        <v>0</v>
      </c>
      <c r="C167" s="26"/>
      <c r="D167" s="27"/>
      <c r="E167" s="27"/>
      <c r="F167" s="7"/>
      <c r="G167" s="8">
        <f>IF(A167="","",IFERROR(INDEX(Ingredients!$D$5:$D$304,MATCH(A167,Ingredients!$A$5:$A$304,0)),""))</f>
        <v>0</v>
      </c>
      <c r="H167" s="8">
        <f>IF(OR(A167="",C167="",G167=""),"",C167*G167)</f>
        <v>0</v>
      </c>
      <c r="I167" s="26"/>
      <c r="J167" s="8">
        <f>IF(OR(C167="",I167="",I167=0),"",CEILING(C167/I167,1))</f>
        <v>0</v>
      </c>
      <c r="K167" s="8">
        <f>IF(OR(J167="",I167="",G167=""),"",J167*I167*G167)</f>
        <v>0</v>
      </c>
      <c r="L167" s="8">
        <f>IF(A167="","",SUMIFS(Pantry!$C$5:$C$304,Pantry!$A$5:$A$304,A167))</f>
        <v>0</v>
      </c>
      <c r="M167" s="8">
        <f>IF(OR(A167="",C167=""),"",MAX(0,C167-L167))</f>
        <v>0</v>
      </c>
      <c r="N167" s="27"/>
      <c r="O167" s="27"/>
      <c r="P167" s="30"/>
      <c r="Q167" s="28"/>
      <c r="R167" s="8">
        <f>IF(OR(Q167="",H167=""),"",Q167-H167)</f>
        <v>0</v>
      </c>
      <c r="S167" s="8">
        <f>IF(M167="","",COUNTIFS($M$5:$M$304,"&gt;"&amp;M167)+1)</f>
        <v>0</v>
      </c>
      <c r="T167" s="8">
        <f>IF(H167="","",H167+ROW()/1000000)</f>
        <v>0</v>
      </c>
      <c r="U167" s="8">
        <f>IF(OR(N167&lt;&gt;"Yes",T167=""),"",COUNTIFS($N$5:$N$304,"Yes",$T$5:$T$304,"&lt;"&amp;T167)+1)</f>
        <v>0</v>
      </c>
      <c r="V167" s="8">
        <f>IF(A167="","",IF(O167="Yes","Bought",IF(M167&lt;=0,"Have it",IF(N167&lt;&gt;"Yes","Skip",IF(S167&lt;=10,"Must have","Nice to have")))))</f>
        <v>0</v>
      </c>
      <c r="W167" s="30"/>
      <c r="X167" s="8">
        <f>IF(A167="","",IFERROR(INDEX('Recipe Ingredients'!$A$5:$A$1204,MATCH(A167,'Recipe Ingredients'!$B$5:$B$1204,0)),""))</f>
        <v>0</v>
      </c>
      <c r="Y167" s="8">
        <f>IF(A167="","",IFERROR(INDEX(Ingredients!$O$5:$O$304,MATCH(A167,Ingredients!$A$5:$A$304,0)),""))</f>
        <v>0</v>
      </c>
      <c r="Z167" s="8">
        <f>IF(A167="","",IF(O167="Yes","Bought",IF(N167="Yes","To buy","Not needed")))</f>
        <v>0</v>
      </c>
      <c r="AA167" s="25"/>
    </row>
    <row r="168" spans="1:27">
      <c r="A168" s="7"/>
      <c r="B168" s="8">
        <f>IF(A168="","",IFERROR(INDEX(Ingredients!$B$5:$B$304,MATCH(A168,Ingredients!$A$5:$A$304,0)),""))</f>
        <v>0</v>
      </c>
      <c r="C168" s="26"/>
      <c r="D168" s="27"/>
      <c r="E168" s="27"/>
      <c r="F168" s="7"/>
      <c r="G168" s="8">
        <f>IF(A168="","",IFERROR(INDEX(Ingredients!$D$5:$D$304,MATCH(A168,Ingredients!$A$5:$A$304,0)),""))</f>
        <v>0</v>
      </c>
      <c r="H168" s="8">
        <f>IF(OR(A168="",C168="",G168=""),"",C168*G168)</f>
        <v>0</v>
      </c>
      <c r="I168" s="26"/>
      <c r="J168" s="8">
        <f>IF(OR(C168="",I168="",I168=0),"",CEILING(C168/I168,1))</f>
        <v>0</v>
      </c>
      <c r="K168" s="8">
        <f>IF(OR(J168="",I168="",G168=""),"",J168*I168*G168)</f>
        <v>0</v>
      </c>
      <c r="L168" s="8">
        <f>IF(A168="","",SUMIFS(Pantry!$C$5:$C$304,Pantry!$A$5:$A$304,A168))</f>
        <v>0</v>
      </c>
      <c r="M168" s="8">
        <f>IF(OR(A168="",C168=""),"",MAX(0,C168-L168))</f>
        <v>0</v>
      </c>
      <c r="N168" s="27"/>
      <c r="O168" s="27"/>
      <c r="P168" s="30"/>
      <c r="Q168" s="28"/>
      <c r="R168" s="8">
        <f>IF(OR(Q168="",H168=""),"",Q168-H168)</f>
        <v>0</v>
      </c>
      <c r="S168" s="8">
        <f>IF(M168="","",COUNTIFS($M$5:$M$304,"&gt;"&amp;M168)+1)</f>
        <v>0</v>
      </c>
      <c r="T168" s="8">
        <f>IF(H168="","",H168+ROW()/1000000)</f>
        <v>0</v>
      </c>
      <c r="U168" s="8">
        <f>IF(OR(N168&lt;&gt;"Yes",T168=""),"",COUNTIFS($N$5:$N$304,"Yes",$T$5:$T$304,"&lt;"&amp;T168)+1)</f>
        <v>0</v>
      </c>
      <c r="V168" s="8">
        <f>IF(A168="","",IF(O168="Yes","Bought",IF(M168&lt;=0,"Have it",IF(N168&lt;&gt;"Yes","Skip",IF(S168&lt;=10,"Must have","Nice to have")))))</f>
        <v>0</v>
      </c>
      <c r="W168" s="30"/>
      <c r="X168" s="8">
        <f>IF(A168="","",IFERROR(INDEX('Recipe Ingredients'!$A$5:$A$1204,MATCH(A168,'Recipe Ingredients'!$B$5:$B$1204,0)),""))</f>
        <v>0</v>
      </c>
      <c r="Y168" s="8">
        <f>IF(A168="","",IFERROR(INDEX(Ingredients!$O$5:$O$304,MATCH(A168,Ingredients!$A$5:$A$304,0)),""))</f>
        <v>0</v>
      </c>
      <c r="Z168" s="8">
        <f>IF(A168="","",IF(O168="Yes","Bought",IF(N168="Yes","To buy","Not needed")))</f>
        <v>0</v>
      </c>
      <c r="AA168" s="25"/>
    </row>
    <row r="169" spans="1:27">
      <c r="A169" s="7"/>
      <c r="B169" s="8">
        <f>IF(A169="","",IFERROR(INDEX(Ingredients!$B$5:$B$304,MATCH(A169,Ingredients!$A$5:$A$304,0)),""))</f>
        <v>0</v>
      </c>
      <c r="C169" s="26"/>
      <c r="D169" s="27"/>
      <c r="E169" s="27"/>
      <c r="F169" s="7"/>
      <c r="G169" s="8">
        <f>IF(A169="","",IFERROR(INDEX(Ingredients!$D$5:$D$304,MATCH(A169,Ingredients!$A$5:$A$304,0)),""))</f>
        <v>0</v>
      </c>
      <c r="H169" s="8">
        <f>IF(OR(A169="",C169="",G169=""),"",C169*G169)</f>
        <v>0</v>
      </c>
      <c r="I169" s="26"/>
      <c r="J169" s="8">
        <f>IF(OR(C169="",I169="",I169=0),"",CEILING(C169/I169,1))</f>
        <v>0</v>
      </c>
      <c r="K169" s="8">
        <f>IF(OR(J169="",I169="",G169=""),"",J169*I169*G169)</f>
        <v>0</v>
      </c>
      <c r="L169" s="8">
        <f>IF(A169="","",SUMIFS(Pantry!$C$5:$C$304,Pantry!$A$5:$A$304,A169))</f>
        <v>0</v>
      </c>
      <c r="M169" s="8">
        <f>IF(OR(A169="",C169=""),"",MAX(0,C169-L169))</f>
        <v>0</v>
      </c>
      <c r="N169" s="27"/>
      <c r="O169" s="27"/>
      <c r="P169" s="30"/>
      <c r="Q169" s="28"/>
      <c r="R169" s="8">
        <f>IF(OR(Q169="",H169=""),"",Q169-H169)</f>
        <v>0</v>
      </c>
      <c r="S169" s="8">
        <f>IF(M169="","",COUNTIFS($M$5:$M$304,"&gt;"&amp;M169)+1)</f>
        <v>0</v>
      </c>
      <c r="T169" s="8">
        <f>IF(H169="","",H169+ROW()/1000000)</f>
        <v>0</v>
      </c>
      <c r="U169" s="8">
        <f>IF(OR(N169&lt;&gt;"Yes",T169=""),"",COUNTIFS($N$5:$N$304,"Yes",$T$5:$T$304,"&lt;"&amp;T169)+1)</f>
        <v>0</v>
      </c>
      <c r="V169" s="8">
        <f>IF(A169="","",IF(O169="Yes","Bought",IF(M169&lt;=0,"Have it",IF(N169&lt;&gt;"Yes","Skip",IF(S169&lt;=10,"Must have","Nice to have")))))</f>
        <v>0</v>
      </c>
      <c r="W169" s="30"/>
      <c r="X169" s="8">
        <f>IF(A169="","",IFERROR(INDEX('Recipe Ingredients'!$A$5:$A$1204,MATCH(A169,'Recipe Ingredients'!$B$5:$B$1204,0)),""))</f>
        <v>0</v>
      </c>
      <c r="Y169" s="8">
        <f>IF(A169="","",IFERROR(INDEX(Ingredients!$O$5:$O$304,MATCH(A169,Ingredients!$A$5:$A$304,0)),""))</f>
        <v>0</v>
      </c>
      <c r="Z169" s="8">
        <f>IF(A169="","",IF(O169="Yes","Bought",IF(N169="Yes","To buy","Not needed")))</f>
        <v>0</v>
      </c>
      <c r="AA169" s="25"/>
    </row>
    <row r="170" spans="1:27">
      <c r="A170" s="7"/>
      <c r="B170" s="8">
        <f>IF(A170="","",IFERROR(INDEX(Ingredients!$B$5:$B$304,MATCH(A170,Ingredients!$A$5:$A$304,0)),""))</f>
        <v>0</v>
      </c>
      <c r="C170" s="26"/>
      <c r="D170" s="27"/>
      <c r="E170" s="27"/>
      <c r="F170" s="7"/>
      <c r="G170" s="8">
        <f>IF(A170="","",IFERROR(INDEX(Ingredients!$D$5:$D$304,MATCH(A170,Ingredients!$A$5:$A$304,0)),""))</f>
        <v>0</v>
      </c>
      <c r="H170" s="8">
        <f>IF(OR(A170="",C170="",G170=""),"",C170*G170)</f>
        <v>0</v>
      </c>
      <c r="I170" s="26"/>
      <c r="J170" s="8">
        <f>IF(OR(C170="",I170="",I170=0),"",CEILING(C170/I170,1))</f>
        <v>0</v>
      </c>
      <c r="K170" s="8">
        <f>IF(OR(J170="",I170="",G170=""),"",J170*I170*G170)</f>
        <v>0</v>
      </c>
      <c r="L170" s="8">
        <f>IF(A170="","",SUMIFS(Pantry!$C$5:$C$304,Pantry!$A$5:$A$304,A170))</f>
        <v>0</v>
      </c>
      <c r="M170" s="8">
        <f>IF(OR(A170="",C170=""),"",MAX(0,C170-L170))</f>
        <v>0</v>
      </c>
      <c r="N170" s="27"/>
      <c r="O170" s="27"/>
      <c r="P170" s="30"/>
      <c r="Q170" s="28"/>
      <c r="R170" s="8">
        <f>IF(OR(Q170="",H170=""),"",Q170-H170)</f>
        <v>0</v>
      </c>
      <c r="S170" s="8">
        <f>IF(M170="","",COUNTIFS($M$5:$M$304,"&gt;"&amp;M170)+1)</f>
        <v>0</v>
      </c>
      <c r="T170" s="8">
        <f>IF(H170="","",H170+ROW()/1000000)</f>
        <v>0</v>
      </c>
      <c r="U170" s="8">
        <f>IF(OR(N170&lt;&gt;"Yes",T170=""),"",COUNTIFS($N$5:$N$304,"Yes",$T$5:$T$304,"&lt;"&amp;T170)+1)</f>
        <v>0</v>
      </c>
      <c r="V170" s="8">
        <f>IF(A170="","",IF(O170="Yes","Bought",IF(M170&lt;=0,"Have it",IF(N170&lt;&gt;"Yes","Skip",IF(S170&lt;=10,"Must have","Nice to have")))))</f>
        <v>0</v>
      </c>
      <c r="W170" s="30"/>
      <c r="X170" s="8">
        <f>IF(A170="","",IFERROR(INDEX('Recipe Ingredients'!$A$5:$A$1204,MATCH(A170,'Recipe Ingredients'!$B$5:$B$1204,0)),""))</f>
        <v>0</v>
      </c>
      <c r="Y170" s="8">
        <f>IF(A170="","",IFERROR(INDEX(Ingredients!$O$5:$O$304,MATCH(A170,Ingredients!$A$5:$A$304,0)),""))</f>
        <v>0</v>
      </c>
      <c r="Z170" s="8">
        <f>IF(A170="","",IF(O170="Yes","Bought",IF(N170="Yes","To buy","Not needed")))</f>
        <v>0</v>
      </c>
      <c r="AA170" s="25"/>
    </row>
    <row r="171" spans="1:27">
      <c r="A171" s="7"/>
      <c r="B171" s="8">
        <f>IF(A171="","",IFERROR(INDEX(Ingredients!$B$5:$B$304,MATCH(A171,Ingredients!$A$5:$A$304,0)),""))</f>
        <v>0</v>
      </c>
      <c r="C171" s="26"/>
      <c r="D171" s="27"/>
      <c r="E171" s="27"/>
      <c r="F171" s="7"/>
      <c r="G171" s="8">
        <f>IF(A171="","",IFERROR(INDEX(Ingredients!$D$5:$D$304,MATCH(A171,Ingredients!$A$5:$A$304,0)),""))</f>
        <v>0</v>
      </c>
      <c r="H171" s="8">
        <f>IF(OR(A171="",C171="",G171=""),"",C171*G171)</f>
        <v>0</v>
      </c>
      <c r="I171" s="26"/>
      <c r="J171" s="8">
        <f>IF(OR(C171="",I171="",I171=0),"",CEILING(C171/I171,1))</f>
        <v>0</v>
      </c>
      <c r="K171" s="8">
        <f>IF(OR(J171="",I171="",G171=""),"",J171*I171*G171)</f>
        <v>0</v>
      </c>
      <c r="L171" s="8">
        <f>IF(A171="","",SUMIFS(Pantry!$C$5:$C$304,Pantry!$A$5:$A$304,A171))</f>
        <v>0</v>
      </c>
      <c r="M171" s="8">
        <f>IF(OR(A171="",C171=""),"",MAX(0,C171-L171))</f>
        <v>0</v>
      </c>
      <c r="N171" s="27"/>
      <c r="O171" s="27"/>
      <c r="P171" s="30"/>
      <c r="Q171" s="28"/>
      <c r="R171" s="8">
        <f>IF(OR(Q171="",H171=""),"",Q171-H171)</f>
        <v>0</v>
      </c>
      <c r="S171" s="8">
        <f>IF(M171="","",COUNTIFS($M$5:$M$304,"&gt;"&amp;M171)+1)</f>
        <v>0</v>
      </c>
      <c r="T171" s="8">
        <f>IF(H171="","",H171+ROW()/1000000)</f>
        <v>0</v>
      </c>
      <c r="U171" s="8">
        <f>IF(OR(N171&lt;&gt;"Yes",T171=""),"",COUNTIFS($N$5:$N$304,"Yes",$T$5:$T$304,"&lt;"&amp;T171)+1)</f>
        <v>0</v>
      </c>
      <c r="V171" s="8">
        <f>IF(A171="","",IF(O171="Yes","Bought",IF(M171&lt;=0,"Have it",IF(N171&lt;&gt;"Yes","Skip",IF(S171&lt;=10,"Must have","Nice to have")))))</f>
        <v>0</v>
      </c>
      <c r="W171" s="30"/>
      <c r="X171" s="8">
        <f>IF(A171="","",IFERROR(INDEX('Recipe Ingredients'!$A$5:$A$1204,MATCH(A171,'Recipe Ingredients'!$B$5:$B$1204,0)),""))</f>
        <v>0</v>
      </c>
      <c r="Y171" s="8">
        <f>IF(A171="","",IFERROR(INDEX(Ingredients!$O$5:$O$304,MATCH(A171,Ingredients!$A$5:$A$304,0)),""))</f>
        <v>0</v>
      </c>
      <c r="Z171" s="8">
        <f>IF(A171="","",IF(O171="Yes","Bought",IF(N171="Yes","To buy","Not needed")))</f>
        <v>0</v>
      </c>
      <c r="AA171" s="25"/>
    </row>
    <row r="172" spans="1:27">
      <c r="A172" s="7"/>
      <c r="B172" s="8">
        <f>IF(A172="","",IFERROR(INDEX(Ingredients!$B$5:$B$304,MATCH(A172,Ingredients!$A$5:$A$304,0)),""))</f>
        <v>0</v>
      </c>
      <c r="C172" s="26"/>
      <c r="D172" s="27"/>
      <c r="E172" s="27"/>
      <c r="F172" s="7"/>
      <c r="G172" s="8">
        <f>IF(A172="","",IFERROR(INDEX(Ingredients!$D$5:$D$304,MATCH(A172,Ingredients!$A$5:$A$304,0)),""))</f>
        <v>0</v>
      </c>
      <c r="H172" s="8">
        <f>IF(OR(A172="",C172="",G172=""),"",C172*G172)</f>
        <v>0</v>
      </c>
      <c r="I172" s="26"/>
      <c r="J172" s="8">
        <f>IF(OR(C172="",I172="",I172=0),"",CEILING(C172/I172,1))</f>
        <v>0</v>
      </c>
      <c r="K172" s="8">
        <f>IF(OR(J172="",I172="",G172=""),"",J172*I172*G172)</f>
        <v>0</v>
      </c>
      <c r="L172" s="8">
        <f>IF(A172="","",SUMIFS(Pantry!$C$5:$C$304,Pantry!$A$5:$A$304,A172))</f>
        <v>0</v>
      </c>
      <c r="M172" s="8">
        <f>IF(OR(A172="",C172=""),"",MAX(0,C172-L172))</f>
        <v>0</v>
      </c>
      <c r="N172" s="27"/>
      <c r="O172" s="27"/>
      <c r="P172" s="30"/>
      <c r="Q172" s="28"/>
      <c r="R172" s="8">
        <f>IF(OR(Q172="",H172=""),"",Q172-H172)</f>
        <v>0</v>
      </c>
      <c r="S172" s="8">
        <f>IF(M172="","",COUNTIFS($M$5:$M$304,"&gt;"&amp;M172)+1)</f>
        <v>0</v>
      </c>
      <c r="T172" s="8">
        <f>IF(H172="","",H172+ROW()/1000000)</f>
        <v>0</v>
      </c>
      <c r="U172" s="8">
        <f>IF(OR(N172&lt;&gt;"Yes",T172=""),"",COUNTIFS($N$5:$N$304,"Yes",$T$5:$T$304,"&lt;"&amp;T172)+1)</f>
        <v>0</v>
      </c>
      <c r="V172" s="8">
        <f>IF(A172="","",IF(O172="Yes","Bought",IF(M172&lt;=0,"Have it",IF(N172&lt;&gt;"Yes","Skip",IF(S172&lt;=10,"Must have","Nice to have")))))</f>
        <v>0</v>
      </c>
      <c r="W172" s="30"/>
      <c r="X172" s="8">
        <f>IF(A172="","",IFERROR(INDEX('Recipe Ingredients'!$A$5:$A$1204,MATCH(A172,'Recipe Ingredients'!$B$5:$B$1204,0)),""))</f>
        <v>0</v>
      </c>
      <c r="Y172" s="8">
        <f>IF(A172="","",IFERROR(INDEX(Ingredients!$O$5:$O$304,MATCH(A172,Ingredients!$A$5:$A$304,0)),""))</f>
        <v>0</v>
      </c>
      <c r="Z172" s="8">
        <f>IF(A172="","",IF(O172="Yes","Bought",IF(N172="Yes","To buy","Not needed")))</f>
        <v>0</v>
      </c>
      <c r="AA172" s="25"/>
    </row>
    <row r="173" spans="1:27">
      <c r="A173" s="7"/>
      <c r="B173" s="8">
        <f>IF(A173="","",IFERROR(INDEX(Ingredients!$B$5:$B$304,MATCH(A173,Ingredients!$A$5:$A$304,0)),""))</f>
        <v>0</v>
      </c>
      <c r="C173" s="26"/>
      <c r="D173" s="27"/>
      <c r="E173" s="27"/>
      <c r="F173" s="7"/>
      <c r="G173" s="8">
        <f>IF(A173="","",IFERROR(INDEX(Ingredients!$D$5:$D$304,MATCH(A173,Ingredients!$A$5:$A$304,0)),""))</f>
        <v>0</v>
      </c>
      <c r="H173" s="8">
        <f>IF(OR(A173="",C173="",G173=""),"",C173*G173)</f>
        <v>0</v>
      </c>
      <c r="I173" s="26"/>
      <c r="J173" s="8">
        <f>IF(OR(C173="",I173="",I173=0),"",CEILING(C173/I173,1))</f>
        <v>0</v>
      </c>
      <c r="K173" s="8">
        <f>IF(OR(J173="",I173="",G173=""),"",J173*I173*G173)</f>
        <v>0</v>
      </c>
      <c r="L173" s="8">
        <f>IF(A173="","",SUMIFS(Pantry!$C$5:$C$304,Pantry!$A$5:$A$304,A173))</f>
        <v>0</v>
      </c>
      <c r="M173" s="8">
        <f>IF(OR(A173="",C173=""),"",MAX(0,C173-L173))</f>
        <v>0</v>
      </c>
      <c r="N173" s="27"/>
      <c r="O173" s="27"/>
      <c r="P173" s="30"/>
      <c r="Q173" s="28"/>
      <c r="R173" s="8">
        <f>IF(OR(Q173="",H173=""),"",Q173-H173)</f>
        <v>0</v>
      </c>
      <c r="S173" s="8">
        <f>IF(M173="","",COUNTIFS($M$5:$M$304,"&gt;"&amp;M173)+1)</f>
        <v>0</v>
      </c>
      <c r="T173" s="8">
        <f>IF(H173="","",H173+ROW()/1000000)</f>
        <v>0</v>
      </c>
      <c r="U173" s="8">
        <f>IF(OR(N173&lt;&gt;"Yes",T173=""),"",COUNTIFS($N$5:$N$304,"Yes",$T$5:$T$304,"&lt;"&amp;T173)+1)</f>
        <v>0</v>
      </c>
      <c r="V173" s="8">
        <f>IF(A173="","",IF(O173="Yes","Bought",IF(M173&lt;=0,"Have it",IF(N173&lt;&gt;"Yes","Skip",IF(S173&lt;=10,"Must have","Nice to have")))))</f>
        <v>0</v>
      </c>
      <c r="W173" s="30"/>
      <c r="X173" s="8">
        <f>IF(A173="","",IFERROR(INDEX('Recipe Ingredients'!$A$5:$A$1204,MATCH(A173,'Recipe Ingredients'!$B$5:$B$1204,0)),""))</f>
        <v>0</v>
      </c>
      <c r="Y173" s="8">
        <f>IF(A173="","",IFERROR(INDEX(Ingredients!$O$5:$O$304,MATCH(A173,Ingredients!$A$5:$A$304,0)),""))</f>
        <v>0</v>
      </c>
      <c r="Z173" s="8">
        <f>IF(A173="","",IF(O173="Yes","Bought",IF(N173="Yes","To buy","Not needed")))</f>
        <v>0</v>
      </c>
      <c r="AA173" s="25"/>
    </row>
    <row r="174" spans="1:27">
      <c r="A174" s="7"/>
      <c r="B174" s="8">
        <f>IF(A174="","",IFERROR(INDEX(Ingredients!$B$5:$B$304,MATCH(A174,Ingredients!$A$5:$A$304,0)),""))</f>
        <v>0</v>
      </c>
      <c r="C174" s="26"/>
      <c r="D174" s="27"/>
      <c r="E174" s="27"/>
      <c r="F174" s="7"/>
      <c r="G174" s="8">
        <f>IF(A174="","",IFERROR(INDEX(Ingredients!$D$5:$D$304,MATCH(A174,Ingredients!$A$5:$A$304,0)),""))</f>
        <v>0</v>
      </c>
      <c r="H174" s="8">
        <f>IF(OR(A174="",C174="",G174=""),"",C174*G174)</f>
        <v>0</v>
      </c>
      <c r="I174" s="26"/>
      <c r="J174" s="8">
        <f>IF(OR(C174="",I174="",I174=0),"",CEILING(C174/I174,1))</f>
        <v>0</v>
      </c>
      <c r="K174" s="8">
        <f>IF(OR(J174="",I174="",G174=""),"",J174*I174*G174)</f>
        <v>0</v>
      </c>
      <c r="L174" s="8">
        <f>IF(A174="","",SUMIFS(Pantry!$C$5:$C$304,Pantry!$A$5:$A$304,A174))</f>
        <v>0</v>
      </c>
      <c r="M174" s="8">
        <f>IF(OR(A174="",C174=""),"",MAX(0,C174-L174))</f>
        <v>0</v>
      </c>
      <c r="N174" s="27"/>
      <c r="O174" s="27"/>
      <c r="P174" s="30"/>
      <c r="Q174" s="28"/>
      <c r="R174" s="8">
        <f>IF(OR(Q174="",H174=""),"",Q174-H174)</f>
        <v>0</v>
      </c>
      <c r="S174" s="8">
        <f>IF(M174="","",COUNTIFS($M$5:$M$304,"&gt;"&amp;M174)+1)</f>
        <v>0</v>
      </c>
      <c r="T174" s="8">
        <f>IF(H174="","",H174+ROW()/1000000)</f>
        <v>0</v>
      </c>
      <c r="U174" s="8">
        <f>IF(OR(N174&lt;&gt;"Yes",T174=""),"",COUNTIFS($N$5:$N$304,"Yes",$T$5:$T$304,"&lt;"&amp;T174)+1)</f>
        <v>0</v>
      </c>
      <c r="V174" s="8">
        <f>IF(A174="","",IF(O174="Yes","Bought",IF(M174&lt;=0,"Have it",IF(N174&lt;&gt;"Yes","Skip",IF(S174&lt;=10,"Must have","Nice to have")))))</f>
        <v>0</v>
      </c>
      <c r="W174" s="30"/>
      <c r="X174" s="8">
        <f>IF(A174="","",IFERROR(INDEX('Recipe Ingredients'!$A$5:$A$1204,MATCH(A174,'Recipe Ingredients'!$B$5:$B$1204,0)),""))</f>
        <v>0</v>
      </c>
      <c r="Y174" s="8">
        <f>IF(A174="","",IFERROR(INDEX(Ingredients!$O$5:$O$304,MATCH(A174,Ingredients!$A$5:$A$304,0)),""))</f>
        <v>0</v>
      </c>
      <c r="Z174" s="8">
        <f>IF(A174="","",IF(O174="Yes","Bought",IF(N174="Yes","To buy","Not needed")))</f>
        <v>0</v>
      </c>
      <c r="AA174" s="25"/>
    </row>
    <row r="175" spans="1:27">
      <c r="A175" s="7"/>
      <c r="B175" s="8">
        <f>IF(A175="","",IFERROR(INDEX(Ingredients!$B$5:$B$304,MATCH(A175,Ingredients!$A$5:$A$304,0)),""))</f>
        <v>0</v>
      </c>
      <c r="C175" s="26"/>
      <c r="D175" s="27"/>
      <c r="E175" s="27"/>
      <c r="F175" s="7"/>
      <c r="G175" s="8">
        <f>IF(A175="","",IFERROR(INDEX(Ingredients!$D$5:$D$304,MATCH(A175,Ingredients!$A$5:$A$304,0)),""))</f>
        <v>0</v>
      </c>
      <c r="H175" s="8">
        <f>IF(OR(A175="",C175="",G175=""),"",C175*G175)</f>
        <v>0</v>
      </c>
      <c r="I175" s="26"/>
      <c r="J175" s="8">
        <f>IF(OR(C175="",I175="",I175=0),"",CEILING(C175/I175,1))</f>
        <v>0</v>
      </c>
      <c r="K175" s="8">
        <f>IF(OR(J175="",I175="",G175=""),"",J175*I175*G175)</f>
        <v>0</v>
      </c>
      <c r="L175" s="8">
        <f>IF(A175="","",SUMIFS(Pantry!$C$5:$C$304,Pantry!$A$5:$A$304,A175))</f>
        <v>0</v>
      </c>
      <c r="M175" s="8">
        <f>IF(OR(A175="",C175=""),"",MAX(0,C175-L175))</f>
        <v>0</v>
      </c>
      <c r="N175" s="27"/>
      <c r="O175" s="27"/>
      <c r="P175" s="30"/>
      <c r="Q175" s="28"/>
      <c r="R175" s="8">
        <f>IF(OR(Q175="",H175=""),"",Q175-H175)</f>
        <v>0</v>
      </c>
      <c r="S175" s="8">
        <f>IF(M175="","",COUNTIFS($M$5:$M$304,"&gt;"&amp;M175)+1)</f>
        <v>0</v>
      </c>
      <c r="T175" s="8">
        <f>IF(H175="","",H175+ROW()/1000000)</f>
        <v>0</v>
      </c>
      <c r="U175" s="8">
        <f>IF(OR(N175&lt;&gt;"Yes",T175=""),"",COUNTIFS($N$5:$N$304,"Yes",$T$5:$T$304,"&lt;"&amp;T175)+1)</f>
        <v>0</v>
      </c>
      <c r="V175" s="8">
        <f>IF(A175="","",IF(O175="Yes","Bought",IF(M175&lt;=0,"Have it",IF(N175&lt;&gt;"Yes","Skip",IF(S175&lt;=10,"Must have","Nice to have")))))</f>
        <v>0</v>
      </c>
      <c r="W175" s="30"/>
      <c r="X175" s="8">
        <f>IF(A175="","",IFERROR(INDEX('Recipe Ingredients'!$A$5:$A$1204,MATCH(A175,'Recipe Ingredients'!$B$5:$B$1204,0)),""))</f>
        <v>0</v>
      </c>
      <c r="Y175" s="8">
        <f>IF(A175="","",IFERROR(INDEX(Ingredients!$O$5:$O$304,MATCH(A175,Ingredients!$A$5:$A$304,0)),""))</f>
        <v>0</v>
      </c>
      <c r="Z175" s="8">
        <f>IF(A175="","",IF(O175="Yes","Bought",IF(N175="Yes","To buy","Not needed")))</f>
        <v>0</v>
      </c>
      <c r="AA175" s="25"/>
    </row>
    <row r="176" spans="1:27">
      <c r="A176" s="7"/>
      <c r="B176" s="8">
        <f>IF(A176="","",IFERROR(INDEX(Ingredients!$B$5:$B$304,MATCH(A176,Ingredients!$A$5:$A$304,0)),""))</f>
        <v>0</v>
      </c>
      <c r="C176" s="26"/>
      <c r="D176" s="27"/>
      <c r="E176" s="27"/>
      <c r="F176" s="7"/>
      <c r="G176" s="8">
        <f>IF(A176="","",IFERROR(INDEX(Ingredients!$D$5:$D$304,MATCH(A176,Ingredients!$A$5:$A$304,0)),""))</f>
        <v>0</v>
      </c>
      <c r="H176" s="8">
        <f>IF(OR(A176="",C176="",G176=""),"",C176*G176)</f>
        <v>0</v>
      </c>
      <c r="I176" s="26"/>
      <c r="J176" s="8">
        <f>IF(OR(C176="",I176="",I176=0),"",CEILING(C176/I176,1))</f>
        <v>0</v>
      </c>
      <c r="K176" s="8">
        <f>IF(OR(J176="",I176="",G176=""),"",J176*I176*G176)</f>
        <v>0</v>
      </c>
      <c r="L176" s="8">
        <f>IF(A176="","",SUMIFS(Pantry!$C$5:$C$304,Pantry!$A$5:$A$304,A176))</f>
        <v>0</v>
      </c>
      <c r="M176" s="8">
        <f>IF(OR(A176="",C176=""),"",MAX(0,C176-L176))</f>
        <v>0</v>
      </c>
      <c r="N176" s="27"/>
      <c r="O176" s="27"/>
      <c r="P176" s="30"/>
      <c r="Q176" s="28"/>
      <c r="R176" s="8">
        <f>IF(OR(Q176="",H176=""),"",Q176-H176)</f>
        <v>0</v>
      </c>
      <c r="S176" s="8">
        <f>IF(M176="","",COUNTIFS($M$5:$M$304,"&gt;"&amp;M176)+1)</f>
        <v>0</v>
      </c>
      <c r="T176" s="8">
        <f>IF(H176="","",H176+ROW()/1000000)</f>
        <v>0</v>
      </c>
      <c r="U176" s="8">
        <f>IF(OR(N176&lt;&gt;"Yes",T176=""),"",COUNTIFS($N$5:$N$304,"Yes",$T$5:$T$304,"&lt;"&amp;T176)+1)</f>
        <v>0</v>
      </c>
      <c r="V176" s="8">
        <f>IF(A176="","",IF(O176="Yes","Bought",IF(M176&lt;=0,"Have it",IF(N176&lt;&gt;"Yes","Skip",IF(S176&lt;=10,"Must have","Nice to have")))))</f>
        <v>0</v>
      </c>
      <c r="W176" s="30"/>
      <c r="X176" s="8">
        <f>IF(A176="","",IFERROR(INDEX('Recipe Ingredients'!$A$5:$A$1204,MATCH(A176,'Recipe Ingredients'!$B$5:$B$1204,0)),""))</f>
        <v>0</v>
      </c>
      <c r="Y176" s="8">
        <f>IF(A176="","",IFERROR(INDEX(Ingredients!$O$5:$O$304,MATCH(A176,Ingredients!$A$5:$A$304,0)),""))</f>
        <v>0</v>
      </c>
      <c r="Z176" s="8">
        <f>IF(A176="","",IF(O176="Yes","Bought",IF(N176="Yes","To buy","Not needed")))</f>
        <v>0</v>
      </c>
      <c r="AA176" s="25"/>
    </row>
    <row r="177" spans="1:27">
      <c r="A177" s="7"/>
      <c r="B177" s="8">
        <f>IF(A177="","",IFERROR(INDEX(Ingredients!$B$5:$B$304,MATCH(A177,Ingredients!$A$5:$A$304,0)),""))</f>
        <v>0</v>
      </c>
      <c r="C177" s="26"/>
      <c r="D177" s="27"/>
      <c r="E177" s="27"/>
      <c r="F177" s="7"/>
      <c r="G177" s="8">
        <f>IF(A177="","",IFERROR(INDEX(Ingredients!$D$5:$D$304,MATCH(A177,Ingredients!$A$5:$A$304,0)),""))</f>
        <v>0</v>
      </c>
      <c r="H177" s="8">
        <f>IF(OR(A177="",C177="",G177=""),"",C177*G177)</f>
        <v>0</v>
      </c>
      <c r="I177" s="26"/>
      <c r="J177" s="8">
        <f>IF(OR(C177="",I177="",I177=0),"",CEILING(C177/I177,1))</f>
        <v>0</v>
      </c>
      <c r="K177" s="8">
        <f>IF(OR(J177="",I177="",G177=""),"",J177*I177*G177)</f>
        <v>0</v>
      </c>
      <c r="L177" s="8">
        <f>IF(A177="","",SUMIFS(Pantry!$C$5:$C$304,Pantry!$A$5:$A$304,A177))</f>
        <v>0</v>
      </c>
      <c r="M177" s="8">
        <f>IF(OR(A177="",C177=""),"",MAX(0,C177-L177))</f>
        <v>0</v>
      </c>
      <c r="N177" s="27"/>
      <c r="O177" s="27"/>
      <c r="P177" s="30"/>
      <c r="Q177" s="28"/>
      <c r="R177" s="8">
        <f>IF(OR(Q177="",H177=""),"",Q177-H177)</f>
        <v>0</v>
      </c>
      <c r="S177" s="8">
        <f>IF(M177="","",COUNTIFS($M$5:$M$304,"&gt;"&amp;M177)+1)</f>
        <v>0</v>
      </c>
      <c r="T177" s="8">
        <f>IF(H177="","",H177+ROW()/1000000)</f>
        <v>0</v>
      </c>
      <c r="U177" s="8">
        <f>IF(OR(N177&lt;&gt;"Yes",T177=""),"",COUNTIFS($N$5:$N$304,"Yes",$T$5:$T$304,"&lt;"&amp;T177)+1)</f>
        <v>0</v>
      </c>
      <c r="V177" s="8">
        <f>IF(A177="","",IF(O177="Yes","Bought",IF(M177&lt;=0,"Have it",IF(N177&lt;&gt;"Yes","Skip",IF(S177&lt;=10,"Must have","Nice to have")))))</f>
        <v>0</v>
      </c>
      <c r="W177" s="30"/>
      <c r="X177" s="8">
        <f>IF(A177="","",IFERROR(INDEX('Recipe Ingredients'!$A$5:$A$1204,MATCH(A177,'Recipe Ingredients'!$B$5:$B$1204,0)),""))</f>
        <v>0</v>
      </c>
      <c r="Y177" s="8">
        <f>IF(A177="","",IFERROR(INDEX(Ingredients!$O$5:$O$304,MATCH(A177,Ingredients!$A$5:$A$304,0)),""))</f>
        <v>0</v>
      </c>
      <c r="Z177" s="8">
        <f>IF(A177="","",IF(O177="Yes","Bought",IF(N177="Yes","To buy","Not needed")))</f>
        <v>0</v>
      </c>
      <c r="AA177" s="25"/>
    </row>
    <row r="178" spans="1:27">
      <c r="A178" s="7"/>
      <c r="B178" s="8">
        <f>IF(A178="","",IFERROR(INDEX(Ingredients!$B$5:$B$304,MATCH(A178,Ingredients!$A$5:$A$304,0)),""))</f>
        <v>0</v>
      </c>
      <c r="C178" s="26"/>
      <c r="D178" s="27"/>
      <c r="E178" s="27"/>
      <c r="F178" s="7"/>
      <c r="G178" s="8">
        <f>IF(A178="","",IFERROR(INDEX(Ingredients!$D$5:$D$304,MATCH(A178,Ingredients!$A$5:$A$304,0)),""))</f>
        <v>0</v>
      </c>
      <c r="H178" s="8">
        <f>IF(OR(A178="",C178="",G178=""),"",C178*G178)</f>
        <v>0</v>
      </c>
      <c r="I178" s="26"/>
      <c r="J178" s="8">
        <f>IF(OR(C178="",I178="",I178=0),"",CEILING(C178/I178,1))</f>
        <v>0</v>
      </c>
      <c r="K178" s="8">
        <f>IF(OR(J178="",I178="",G178=""),"",J178*I178*G178)</f>
        <v>0</v>
      </c>
      <c r="L178" s="8">
        <f>IF(A178="","",SUMIFS(Pantry!$C$5:$C$304,Pantry!$A$5:$A$304,A178))</f>
        <v>0</v>
      </c>
      <c r="M178" s="8">
        <f>IF(OR(A178="",C178=""),"",MAX(0,C178-L178))</f>
        <v>0</v>
      </c>
      <c r="N178" s="27"/>
      <c r="O178" s="27"/>
      <c r="P178" s="30"/>
      <c r="Q178" s="28"/>
      <c r="R178" s="8">
        <f>IF(OR(Q178="",H178=""),"",Q178-H178)</f>
        <v>0</v>
      </c>
      <c r="S178" s="8">
        <f>IF(M178="","",COUNTIFS($M$5:$M$304,"&gt;"&amp;M178)+1)</f>
        <v>0</v>
      </c>
      <c r="T178" s="8">
        <f>IF(H178="","",H178+ROW()/1000000)</f>
        <v>0</v>
      </c>
      <c r="U178" s="8">
        <f>IF(OR(N178&lt;&gt;"Yes",T178=""),"",COUNTIFS($N$5:$N$304,"Yes",$T$5:$T$304,"&lt;"&amp;T178)+1)</f>
        <v>0</v>
      </c>
      <c r="V178" s="8">
        <f>IF(A178="","",IF(O178="Yes","Bought",IF(M178&lt;=0,"Have it",IF(N178&lt;&gt;"Yes","Skip",IF(S178&lt;=10,"Must have","Nice to have")))))</f>
        <v>0</v>
      </c>
      <c r="W178" s="30"/>
      <c r="X178" s="8">
        <f>IF(A178="","",IFERROR(INDEX('Recipe Ingredients'!$A$5:$A$1204,MATCH(A178,'Recipe Ingredients'!$B$5:$B$1204,0)),""))</f>
        <v>0</v>
      </c>
      <c r="Y178" s="8">
        <f>IF(A178="","",IFERROR(INDEX(Ingredients!$O$5:$O$304,MATCH(A178,Ingredients!$A$5:$A$304,0)),""))</f>
        <v>0</v>
      </c>
      <c r="Z178" s="8">
        <f>IF(A178="","",IF(O178="Yes","Bought",IF(N178="Yes","To buy","Not needed")))</f>
        <v>0</v>
      </c>
      <c r="AA178" s="25"/>
    </row>
    <row r="179" spans="1:27">
      <c r="A179" s="7"/>
      <c r="B179" s="8">
        <f>IF(A179="","",IFERROR(INDEX(Ingredients!$B$5:$B$304,MATCH(A179,Ingredients!$A$5:$A$304,0)),""))</f>
        <v>0</v>
      </c>
      <c r="C179" s="26"/>
      <c r="D179" s="27"/>
      <c r="E179" s="27"/>
      <c r="F179" s="7"/>
      <c r="G179" s="8">
        <f>IF(A179="","",IFERROR(INDEX(Ingredients!$D$5:$D$304,MATCH(A179,Ingredients!$A$5:$A$304,0)),""))</f>
        <v>0</v>
      </c>
      <c r="H179" s="8">
        <f>IF(OR(A179="",C179="",G179=""),"",C179*G179)</f>
        <v>0</v>
      </c>
      <c r="I179" s="26"/>
      <c r="J179" s="8">
        <f>IF(OR(C179="",I179="",I179=0),"",CEILING(C179/I179,1))</f>
        <v>0</v>
      </c>
      <c r="K179" s="8">
        <f>IF(OR(J179="",I179="",G179=""),"",J179*I179*G179)</f>
        <v>0</v>
      </c>
      <c r="L179" s="8">
        <f>IF(A179="","",SUMIFS(Pantry!$C$5:$C$304,Pantry!$A$5:$A$304,A179))</f>
        <v>0</v>
      </c>
      <c r="M179" s="8">
        <f>IF(OR(A179="",C179=""),"",MAX(0,C179-L179))</f>
        <v>0</v>
      </c>
      <c r="N179" s="27"/>
      <c r="O179" s="27"/>
      <c r="P179" s="30"/>
      <c r="Q179" s="28"/>
      <c r="R179" s="8">
        <f>IF(OR(Q179="",H179=""),"",Q179-H179)</f>
        <v>0</v>
      </c>
      <c r="S179" s="8">
        <f>IF(M179="","",COUNTIFS($M$5:$M$304,"&gt;"&amp;M179)+1)</f>
        <v>0</v>
      </c>
      <c r="T179" s="8">
        <f>IF(H179="","",H179+ROW()/1000000)</f>
        <v>0</v>
      </c>
      <c r="U179" s="8">
        <f>IF(OR(N179&lt;&gt;"Yes",T179=""),"",COUNTIFS($N$5:$N$304,"Yes",$T$5:$T$304,"&lt;"&amp;T179)+1)</f>
        <v>0</v>
      </c>
      <c r="V179" s="8">
        <f>IF(A179="","",IF(O179="Yes","Bought",IF(M179&lt;=0,"Have it",IF(N179&lt;&gt;"Yes","Skip",IF(S179&lt;=10,"Must have","Nice to have")))))</f>
        <v>0</v>
      </c>
      <c r="W179" s="30"/>
      <c r="X179" s="8">
        <f>IF(A179="","",IFERROR(INDEX('Recipe Ingredients'!$A$5:$A$1204,MATCH(A179,'Recipe Ingredients'!$B$5:$B$1204,0)),""))</f>
        <v>0</v>
      </c>
      <c r="Y179" s="8">
        <f>IF(A179="","",IFERROR(INDEX(Ingredients!$O$5:$O$304,MATCH(A179,Ingredients!$A$5:$A$304,0)),""))</f>
        <v>0</v>
      </c>
      <c r="Z179" s="8">
        <f>IF(A179="","",IF(O179="Yes","Bought",IF(N179="Yes","To buy","Not needed")))</f>
        <v>0</v>
      </c>
      <c r="AA179" s="25"/>
    </row>
    <row r="180" spans="1:27">
      <c r="A180" s="7"/>
      <c r="B180" s="8">
        <f>IF(A180="","",IFERROR(INDEX(Ingredients!$B$5:$B$304,MATCH(A180,Ingredients!$A$5:$A$304,0)),""))</f>
        <v>0</v>
      </c>
      <c r="C180" s="26"/>
      <c r="D180" s="27"/>
      <c r="E180" s="27"/>
      <c r="F180" s="7"/>
      <c r="G180" s="8">
        <f>IF(A180="","",IFERROR(INDEX(Ingredients!$D$5:$D$304,MATCH(A180,Ingredients!$A$5:$A$304,0)),""))</f>
        <v>0</v>
      </c>
      <c r="H180" s="8">
        <f>IF(OR(A180="",C180="",G180=""),"",C180*G180)</f>
        <v>0</v>
      </c>
      <c r="I180" s="26"/>
      <c r="J180" s="8">
        <f>IF(OR(C180="",I180="",I180=0),"",CEILING(C180/I180,1))</f>
        <v>0</v>
      </c>
      <c r="K180" s="8">
        <f>IF(OR(J180="",I180="",G180=""),"",J180*I180*G180)</f>
        <v>0</v>
      </c>
      <c r="L180" s="8">
        <f>IF(A180="","",SUMIFS(Pantry!$C$5:$C$304,Pantry!$A$5:$A$304,A180))</f>
        <v>0</v>
      </c>
      <c r="M180" s="8">
        <f>IF(OR(A180="",C180=""),"",MAX(0,C180-L180))</f>
        <v>0</v>
      </c>
      <c r="N180" s="27"/>
      <c r="O180" s="27"/>
      <c r="P180" s="30"/>
      <c r="Q180" s="28"/>
      <c r="R180" s="8">
        <f>IF(OR(Q180="",H180=""),"",Q180-H180)</f>
        <v>0</v>
      </c>
      <c r="S180" s="8">
        <f>IF(M180="","",COUNTIFS($M$5:$M$304,"&gt;"&amp;M180)+1)</f>
        <v>0</v>
      </c>
      <c r="T180" s="8">
        <f>IF(H180="","",H180+ROW()/1000000)</f>
        <v>0</v>
      </c>
      <c r="U180" s="8">
        <f>IF(OR(N180&lt;&gt;"Yes",T180=""),"",COUNTIFS($N$5:$N$304,"Yes",$T$5:$T$304,"&lt;"&amp;T180)+1)</f>
        <v>0</v>
      </c>
      <c r="V180" s="8">
        <f>IF(A180="","",IF(O180="Yes","Bought",IF(M180&lt;=0,"Have it",IF(N180&lt;&gt;"Yes","Skip",IF(S180&lt;=10,"Must have","Nice to have")))))</f>
        <v>0</v>
      </c>
      <c r="W180" s="30"/>
      <c r="X180" s="8">
        <f>IF(A180="","",IFERROR(INDEX('Recipe Ingredients'!$A$5:$A$1204,MATCH(A180,'Recipe Ingredients'!$B$5:$B$1204,0)),""))</f>
        <v>0</v>
      </c>
      <c r="Y180" s="8">
        <f>IF(A180="","",IFERROR(INDEX(Ingredients!$O$5:$O$304,MATCH(A180,Ingredients!$A$5:$A$304,0)),""))</f>
        <v>0</v>
      </c>
      <c r="Z180" s="8">
        <f>IF(A180="","",IF(O180="Yes","Bought",IF(N180="Yes","To buy","Not needed")))</f>
        <v>0</v>
      </c>
      <c r="AA180" s="25"/>
    </row>
    <row r="181" spans="1:27">
      <c r="A181" s="7"/>
      <c r="B181" s="8">
        <f>IF(A181="","",IFERROR(INDEX(Ingredients!$B$5:$B$304,MATCH(A181,Ingredients!$A$5:$A$304,0)),""))</f>
        <v>0</v>
      </c>
      <c r="C181" s="26"/>
      <c r="D181" s="27"/>
      <c r="E181" s="27"/>
      <c r="F181" s="7"/>
      <c r="G181" s="8">
        <f>IF(A181="","",IFERROR(INDEX(Ingredients!$D$5:$D$304,MATCH(A181,Ingredients!$A$5:$A$304,0)),""))</f>
        <v>0</v>
      </c>
      <c r="H181" s="8">
        <f>IF(OR(A181="",C181="",G181=""),"",C181*G181)</f>
        <v>0</v>
      </c>
      <c r="I181" s="26"/>
      <c r="J181" s="8">
        <f>IF(OR(C181="",I181="",I181=0),"",CEILING(C181/I181,1))</f>
        <v>0</v>
      </c>
      <c r="K181" s="8">
        <f>IF(OR(J181="",I181="",G181=""),"",J181*I181*G181)</f>
        <v>0</v>
      </c>
      <c r="L181" s="8">
        <f>IF(A181="","",SUMIFS(Pantry!$C$5:$C$304,Pantry!$A$5:$A$304,A181))</f>
        <v>0</v>
      </c>
      <c r="M181" s="8">
        <f>IF(OR(A181="",C181=""),"",MAX(0,C181-L181))</f>
        <v>0</v>
      </c>
      <c r="N181" s="27"/>
      <c r="O181" s="27"/>
      <c r="P181" s="30"/>
      <c r="Q181" s="28"/>
      <c r="R181" s="8">
        <f>IF(OR(Q181="",H181=""),"",Q181-H181)</f>
        <v>0</v>
      </c>
      <c r="S181" s="8">
        <f>IF(M181="","",COUNTIFS($M$5:$M$304,"&gt;"&amp;M181)+1)</f>
        <v>0</v>
      </c>
      <c r="T181" s="8">
        <f>IF(H181="","",H181+ROW()/1000000)</f>
        <v>0</v>
      </c>
      <c r="U181" s="8">
        <f>IF(OR(N181&lt;&gt;"Yes",T181=""),"",COUNTIFS($N$5:$N$304,"Yes",$T$5:$T$304,"&lt;"&amp;T181)+1)</f>
        <v>0</v>
      </c>
      <c r="V181" s="8">
        <f>IF(A181="","",IF(O181="Yes","Bought",IF(M181&lt;=0,"Have it",IF(N181&lt;&gt;"Yes","Skip",IF(S181&lt;=10,"Must have","Nice to have")))))</f>
        <v>0</v>
      </c>
      <c r="W181" s="30"/>
      <c r="X181" s="8">
        <f>IF(A181="","",IFERROR(INDEX('Recipe Ingredients'!$A$5:$A$1204,MATCH(A181,'Recipe Ingredients'!$B$5:$B$1204,0)),""))</f>
        <v>0</v>
      </c>
      <c r="Y181" s="8">
        <f>IF(A181="","",IFERROR(INDEX(Ingredients!$O$5:$O$304,MATCH(A181,Ingredients!$A$5:$A$304,0)),""))</f>
        <v>0</v>
      </c>
      <c r="Z181" s="8">
        <f>IF(A181="","",IF(O181="Yes","Bought",IF(N181="Yes","To buy","Not needed")))</f>
        <v>0</v>
      </c>
      <c r="AA181" s="25"/>
    </row>
    <row r="182" spans="1:27">
      <c r="A182" s="7"/>
      <c r="B182" s="8">
        <f>IF(A182="","",IFERROR(INDEX(Ingredients!$B$5:$B$304,MATCH(A182,Ingredients!$A$5:$A$304,0)),""))</f>
        <v>0</v>
      </c>
      <c r="C182" s="26"/>
      <c r="D182" s="27"/>
      <c r="E182" s="27"/>
      <c r="F182" s="7"/>
      <c r="G182" s="8">
        <f>IF(A182="","",IFERROR(INDEX(Ingredients!$D$5:$D$304,MATCH(A182,Ingredients!$A$5:$A$304,0)),""))</f>
        <v>0</v>
      </c>
      <c r="H182" s="8">
        <f>IF(OR(A182="",C182="",G182=""),"",C182*G182)</f>
        <v>0</v>
      </c>
      <c r="I182" s="26"/>
      <c r="J182" s="8">
        <f>IF(OR(C182="",I182="",I182=0),"",CEILING(C182/I182,1))</f>
        <v>0</v>
      </c>
      <c r="K182" s="8">
        <f>IF(OR(J182="",I182="",G182=""),"",J182*I182*G182)</f>
        <v>0</v>
      </c>
      <c r="L182" s="8">
        <f>IF(A182="","",SUMIFS(Pantry!$C$5:$C$304,Pantry!$A$5:$A$304,A182))</f>
        <v>0</v>
      </c>
      <c r="M182" s="8">
        <f>IF(OR(A182="",C182=""),"",MAX(0,C182-L182))</f>
        <v>0</v>
      </c>
      <c r="N182" s="27"/>
      <c r="O182" s="27"/>
      <c r="P182" s="30"/>
      <c r="Q182" s="28"/>
      <c r="R182" s="8">
        <f>IF(OR(Q182="",H182=""),"",Q182-H182)</f>
        <v>0</v>
      </c>
      <c r="S182" s="8">
        <f>IF(M182="","",COUNTIFS($M$5:$M$304,"&gt;"&amp;M182)+1)</f>
        <v>0</v>
      </c>
      <c r="T182" s="8">
        <f>IF(H182="","",H182+ROW()/1000000)</f>
        <v>0</v>
      </c>
      <c r="U182" s="8">
        <f>IF(OR(N182&lt;&gt;"Yes",T182=""),"",COUNTIFS($N$5:$N$304,"Yes",$T$5:$T$304,"&lt;"&amp;T182)+1)</f>
        <v>0</v>
      </c>
      <c r="V182" s="8">
        <f>IF(A182="","",IF(O182="Yes","Bought",IF(M182&lt;=0,"Have it",IF(N182&lt;&gt;"Yes","Skip",IF(S182&lt;=10,"Must have","Nice to have")))))</f>
        <v>0</v>
      </c>
      <c r="W182" s="30"/>
      <c r="X182" s="8">
        <f>IF(A182="","",IFERROR(INDEX('Recipe Ingredients'!$A$5:$A$1204,MATCH(A182,'Recipe Ingredients'!$B$5:$B$1204,0)),""))</f>
        <v>0</v>
      </c>
      <c r="Y182" s="8">
        <f>IF(A182="","",IFERROR(INDEX(Ingredients!$O$5:$O$304,MATCH(A182,Ingredients!$A$5:$A$304,0)),""))</f>
        <v>0</v>
      </c>
      <c r="Z182" s="8">
        <f>IF(A182="","",IF(O182="Yes","Bought",IF(N182="Yes","To buy","Not needed")))</f>
        <v>0</v>
      </c>
      <c r="AA182" s="25"/>
    </row>
    <row r="183" spans="1:27">
      <c r="A183" s="7"/>
      <c r="B183" s="8">
        <f>IF(A183="","",IFERROR(INDEX(Ingredients!$B$5:$B$304,MATCH(A183,Ingredients!$A$5:$A$304,0)),""))</f>
        <v>0</v>
      </c>
      <c r="C183" s="26"/>
      <c r="D183" s="27"/>
      <c r="E183" s="27"/>
      <c r="F183" s="7"/>
      <c r="G183" s="8">
        <f>IF(A183="","",IFERROR(INDEX(Ingredients!$D$5:$D$304,MATCH(A183,Ingredients!$A$5:$A$304,0)),""))</f>
        <v>0</v>
      </c>
      <c r="H183" s="8">
        <f>IF(OR(A183="",C183="",G183=""),"",C183*G183)</f>
        <v>0</v>
      </c>
      <c r="I183" s="26"/>
      <c r="J183" s="8">
        <f>IF(OR(C183="",I183="",I183=0),"",CEILING(C183/I183,1))</f>
        <v>0</v>
      </c>
      <c r="K183" s="8">
        <f>IF(OR(J183="",I183="",G183=""),"",J183*I183*G183)</f>
        <v>0</v>
      </c>
      <c r="L183" s="8">
        <f>IF(A183="","",SUMIFS(Pantry!$C$5:$C$304,Pantry!$A$5:$A$304,A183))</f>
        <v>0</v>
      </c>
      <c r="M183" s="8">
        <f>IF(OR(A183="",C183=""),"",MAX(0,C183-L183))</f>
        <v>0</v>
      </c>
      <c r="N183" s="27"/>
      <c r="O183" s="27"/>
      <c r="P183" s="30"/>
      <c r="Q183" s="28"/>
      <c r="R183" s="8">
        <f>IF(OR(Q183="",H183=""),"",Q183-H183)</f>
        <v>0</v>
      </c>
      <c r="S183" s="8">
        <f>IF(M183="","",COUNTIFS($M$5:$M$304,"&gt;"&amp;M183)+1)</f>
        <v>0</v>
      </c>
      <c r="T183" s="8">
        <f>IF(H183="","",H183+ROW()/1000000)</f>
        <v>0</v>
      </c>
      <c r="U183" s="8">
        <f>IF(OR(N183&lt;&gt;"Yes",T183=""),"",COUNTIFS($N$5:$N$304,"Yes",$T$5:$T$304,"&lt;"&amp;T183)+1)</f>
        <v>0</v>
      </c>
      <c r="V183" s="8">
        <f>IF(A183="","",IF(O183="Yes","Bought",IF(M183&lt;=0,"Have it",IF(N183&lt;&gt;"Yes","Skip",IF(S183&lt;=10,"Must have","Nice to have")))))</f>
        <v>0</v>
      </c>
      <c r="W183" s="30"/>
      <c r="X183" s="8">
        <f>IF(A183="","",IFERROR(INDEX('Recipe Ingredients'!$A$5:$A$1204,MATCH(A183,'Recipe Ingredients'!$B$5:$B$1204,0)),""))</f>
        <v>0</v>
      </c>
      <c r="Y183" s="8">
        <f>IF(A183="","",IFERROR(INDEX(Ingredients!$O$5:$O$304,MATCH(A183,Ingredients!$A$5:$A$304,0)),""))</f>
        <v>0</v>
      </c>
      <c r="Z183" s="8">
        <f>IF(A183="","",IF(O183="Yes","Bought",IF(N183="Yes","To buy","Not needed")))</f>
        <v>0</v>
      </c>
      <c r="AA183" s="25"/>
    </row>
    <row r="184" spans="1:27">
      <c r="A184" s="7"/>
      <c r="B184" s="8">
        <f>IF(A184="","",IFERROR(INDEX(Ingredients!$B$5:$B$304,MATCH(A184,Ingredients!$A$5:$A$304,0)),""))</f>
        <v>0</v>
      </c>
      <c r="C184" s="26"/>
      <c r="D184" s="27"/>
      <c r="E184" s="27"/>
      <c r="F184" s="7"/>
      <c r="G184" s="8">
        <f>IF(A184="","",IFERROR(INDEX(Ingredients!$D$5:$D$304,MATCH(A184,Ingredients!$A$5:$A$304,0)),""))</f>
        <v>0</v>
      </c>
      <c r="H184" s="8">
        <f>IF(OR(A184="",C184="",G184=""),"",C184*G184)</f>
        <v>0</v>
      </c>
      <c r="I184" s="26"/>
      <c r="J184" s="8">
        <f>IF(OR(C184="",I184="",I184=0),"",CEILING(C184/I184,1))</f>
        <v>0</v>
      </c>
      <c r="K184" s="8">
        <f>IF(OR(J184="",I184="",G184=""),"",J184*I184*G184)</f>
        <v>0</v>
      </c>
      <c r="L184" s="8">
        <f>IF(A184="","",SUMIFS(Pantry!$C$5:$C$304,Pantry!$A$5:$A$304,A184))</f>
        <v>0</v>
      </c>
      <c r="M184" s="8">
        <f>IF(OR(A184="",C184=""),"",MAX(0,C184-L184))</f>
        <v>0</v>
      </c>
      <c r="N184" s="27"/>
      <c r="O184" s="27"/>
      <c r="P184" s="30"/>
      <c r="Q184" s="28"/>
      <c r="R184" s="8">
        <f>IF(OR(Q184="",H184=""),"",Q184-H184)</f>
        <v>0</v>
      </c>
      <c r="S184" s="8">
        <f>IF(M184="","",COUNTIFS($M$5:$M$304,"&gt;"&amp;M184)+1)</f>
        <v>0</v>
      </c>
      <c r="T184" s="8">
        <f>IF(H184="","",H184+ROW()/1000000)</f>
        <v>0</v>
      </c>
      <c r="U184" s="8">
        <f>IF(OR(N184&lt;&gt;"Yes",T184=""),"",COUNTIFS($N$5:$N$304,"Yes",$T$5:$T$304,"&lt;"&amp;T184)+1)</f>
        <v>0</v>
      </c>
      <c r="V184" s="8">
        <f>IF(A184="","",IF(O184="Yes","Bought",IF(M184&lt;=0,"Have it",IF(N184&lt;&gt;"Yes","Skip",IF(S184&lt;=10,"Must have","Nice to have")))))</f>
        <v>0</v>
      </c>
      <c r="W184" s="30"/>
      <c r="X184" s="8">
        <f>IF(A184="","",IFERROR(INDEX('Recipe Ingredients'!$A$5:$A$1204,MATCH(A184,'Recipe Ingredients'!$B$5:$B$1204,0)),""))</f>
        <v>0</v>
      </c>
      <c r="Y184" s="8">
        <f>IF(A184="","",IFERROR(INDEX(Ingredients!$O$5:$O$304,MATCH(A184,Ingredients!$A$5:$A$304,0)),""))</f>
        <v>0</v>
      </c>
      <c r="Z184" s="8">
        <f>IF(A184="","",IF(O184="Yes","Bought",IF(N184="Yes","To buy","Not needed")))</f>
        <v>0</v>
      </c>
      <c r="AA184" s="25"/>
    </row>
    <row r="185" spans="1:27">
      <c r="A185" s="7"/>
      <c r="B185" s="8">
        <f>IF(A185="","",IFERROR(INDEX(Ingredients!$B$5:$B$304,MATCH(A185,Ingredients!$A$5:$A$304,0)),""))</f>
        <v>0</v>
      </c>
      <c r="C185" s="26"/>
      <c r="D185" s="27"/>
      <c r="E185" s="27"/>
      <c r="F185" s="7"/>
      <c r="G185" s="8">
        <f>IF(A185="","",IFERROR(INDEX(Ingredients!$D$5:$D$304,MATCH(A185,Ingredients!$A$5:$A$304,0)),""))</f>
        <v>0</v>
      </c>
      <c r="H185" s="8">
        <f>IF(OR(A185="",C185="",G185=""),"",C185*G185)</f>
        <v>0</v>
      </c>
      <c r="I185" s="26"/>
      <c r="J185" s="8">
        <f>IF(OR(C185="",I185="",I185=0),"",CEILING(C185/I185,1))</f>
        <v>0</v>
      </c>
      <c r="K185" s="8">
        <f>IF(OR(J185="",I185="",G185=""),"",J185*I185*G185)</f>
        <v>0</v>
      </c>
      <c r="L185" s="8">
        <f>IF(A185="","",SUMIFS(Pantry!$C$5:$C$304,Pantry!$A$5:$A$304,A185))</f>
        <v>0</v>
      </c>
      <c r="M185" s="8">
        <f>IF(OR(A185="",C185=""),"",MAX(0,C185-L185))</f>
        <v>0</v>
      </c>
      <c r="N185" s="27"/>
      <c r="O185" s="27"/>
      <c r="P185" s="30"/>
      <c r="Q185" s="28"/>
      <c r="R185" s="8">
        <f>IF(OR(Q185="",H185=""),"",Q185-H185)</f>
        <v>0</v>
      </c>
      <c r="S185" s="8">
        <f>IF(M185="","",COUNTIFS($M$5:$M$304,"&gt;"&amp;M185)+1)</f>
        <v>0</v>
      </c>
      <c r="T185" s="8">
        <f>IF(H185="","",H185+ROW()/1000000)</f>
        <v>0</v>
      </c>
      <c r="U185" s="8">
        <f>IF(OR(N185&lt;&gt;"Yes",T185=""),"",COUNTIFS($N$5:$N$304,"Yes",$T$5:$T$304,"&lt;"&amp;T185)+1)</f>
        <v>0</v>
      </c>
      <c r="V185" s="8">
        <f>IF(A185="","",IF(O185="Yes","Bought",IF(M185&lt;=0,"Have it",IF(N185&lt;&gt;"Yes","Skip",IF(S185&lt;=10,"Must have","Nice to have")))))</f>
        <v>0</v>
      </c>
      <c r="W185" s="30"/>
      <c r="X185" s="8">
        <f>IF(A185="","",IFERROR(INDEX('Recipe Ingredients'!$A$5:$A$1204,MATCH(A185,'Recipe Ingredients'!$B$5:$B$1204,0)),""))</f>
        <v>0</v>
      </c>
      <c r="Y185" s="8">
        <f>IF(A185="","",IFERROR(INDEX(Ingredients!$O$5:$O$304,MATCH(A185,Ingredients!$A$5:$A$304,0)),""))</f>
        <v>0</v>
      </c>
      <c r="Z185" s="8">
        <f>IF(A185="","",IF(O185="Yes","Bought",IF(N185="Yes","To buy","Not needed")))</f>
        <v>0</v>
      </c>
      <c r="AA185" s="25"/>
    </row>
    <row r="186" spans="1:27">
      <c r="A186" s="7"/>
      <c r="B186" s="8">
        <f>IF(A186="","",IFERROR(INDEX(Ingredients!$B$5:$B$304,MATCH(A186,Ingredients!$A$5:$A$304,0)),""))</f>
        <v>0</v>
      </c>
      <c r="C186" s="26"/>
      <c r="D186" s="27"/>
      <c r="E186" s="27"/>
      <c r="F186" s="7"/>
      <c r="G186" s="8">
        <f>IF(A186="","",IFERROR(INDEX(Ingredients!$D$5:$D$304,MATCH(A186,Ingredients!$A$5:$A$304,0)),""))</f>
        <v>0</v>
      </c>
      <c r="H186" s="8">
        <f>IF(OR(A186="",C186="",G186=""),"",C186*G186)</f>
        <v>0</v>
      </c>
      <c r="I186" s="26"/>
      <c r="J186" s="8">
        <f>IF(OR(C186="",I186="",I186=0),"",CEILING(C186/I186,1))</f>
        <v>0</v>
      </c>
      <c r="K186" s="8">
        <f>IF(OR(J186="",I186="",G186=""),"",J186*I186*G186)</f>
        <v>0</v>
      </c>
      <c r="L186" s="8">
        <f>IF(A186="","",SUMIFS(Pantry!$C$5:$C$304,Pantry!$A$5:$A$304,A186))</f>
        <v>0</v>
      </c>
      <c r="M186" s="8">
        <f>IF(OR(A186="",C186=""),"",MAX(0,C186-L186))</f>
        <v>0</v>
      </c>
      <c r="N186" s="27"/>
      <c r="O186" s="27"/>
      <c r="P186" s="30"/>
      <c r="Q186" s="28"/>
      <c r="R186" s="8">
        <f>IF(OR(Q186="",H186=""),"",Q186-H186)</f>
        <v>0</v>
      </c>
      <c r="S186" s="8">
        <f>IF(M186="","",COUNTIFS($M$5:$M$304,"&gt;"&amp;M186)+1)</f>
        <v>0</v>
      </c>
      <c r="T186" s="8">
        <f>IF(H186="","",H186+ROW()/1000000)</f>
        <v>0</v>
      </c>
      <c r="U186" s="8">
        <f>IF(OR(N186&lt;&gt;"Yes",T186=""),"",COUNTIFS($N$5:$N$304,"Yes",$T$5:$T$304,"&lt;"&amp;T186)+1)</f>
        <v>0</v>
      </c>
      <c r="V186" s="8">
        <f>IF(A186="","",IF(O186="Yes","Bought",IF(M186&lt;=0,"Have it",IF(N186&lt;&gt;"Yes","Skip",IF(S186&lt;=10,"Must have","Nice to have")))))</f>
        <v>0</v>
      </c>
      <c r="W186" s="30"/>
      <c r="X186" s="8">
        <f>IF(A186="","",IFERROR(INDEX('Recipe Ingredients'!$A$5:$A$1204,MATCH(A186,'Recipe Ingredients'!$B$5:$B$1204,0)),""))</f>
        <v>0</v>
      </c>
      <c r="Y186" s="8">
        <f>IF(A186="","",IFERROR(INDEX(Ingredients!$O$5:$O$304,MATCH(A186,Ingredients!$A$5:$A$304,0)),""))</f>
        <v>0</v>
      </c>
      <c r="Z186" s="8">
        <f>IF(A186="","",IF(O186="Yes","Bought",IF(N186="Yes","To buy","Not needed")))</f>
        <v>0</v>
      </c>
      <c r="AA186" s="25"/>
    </row>
    <row r="187" spans="1:27">
      <c r="A187" s="7"/>
      <c r="B187" s="8">
        <f>IF(A187="","",IFERROR(INDEX(Ingredients!$B$5:$B$304,MATCH(A187,Ingredients!$A$5:$A$304,0)),""))</f>
        <v>0</v>
      </c>
      <c r="C187" s="26"/>
      <c r="D187" s="27"/>
      <c r="E187" s="27"/>
      <c r="F187" s="7"/>
      <c r="G187" s="8">
        <f>IF(A187="","",IFERROR(INDEX(Ingredients!$D$5:$D$304,MATCH(A187,Ingredients!$A$5:$A$304,0)),""))</f>
        <v>0</v>
      </c>
      <c r="H187" s="8">
        <f>IF(OR(A187="",C187="",G187=""),"",C187*G187)</f>
        <v>0</v>
      </c>
      <c r="I187" s="26"/>
      <c r="J187" s="8">
        <f>IF(OR(C187="",I187="",I187=0),"",CEILING(C187/I187,1))</f>
        <v>0</v>
      </c>
      <c r="K187" s="8">
        <f>IF(OR(J187="",I187="",G187=""),"",J187*I187*G187)</f>
        <v>0</v>
      </c>
      <c r="L187" s="8">
        <f>IF(A187="","",SUMIFS(Pantry!$C$5:$C$304,Pantry!$A$5:$A$304,A187))</f>
        <v>0</v>
      </c>
      <c r="M187" s="8">
        <f>IF(OR(A187="",C187=""),"",MAX(0,C187-L187))</f>
        <v>0</v>
      </c>
      <c r="N187" s="27"/>
      <c r="O187" s="27"/>
      <c r="P187" s="30"/>
      <c r="Q187" s="28"/>
      <c r="R187" s="8">
        <f>IF(OR(Q187="",H187=""),"",Q187-H187)</f>
        <v>0</v>
      </c>
      <c r="S187" s="8">
        <f>IF(M187="","",COUNTIFS($M$5:$M$304,"&gt;"&amp;M187)+1)</f>
        <v>0</v>
      </c>
      <c r="T187" s="8">
        <f>IF(H187="","",H187+ROW()/1000000)</f>
        <v>0</v>
      </c>
      <c r="U187" s="8">
        <f>IF(OR(N187&lt;&gt;"Yes",T187=""),"",COUNTIFS($N$5:$N$304,"Yes",$T$5:$T$304,"&lt;"&amp;T187)+1)</f>
        <v>0</v>
      </c>
      <c r="V187" s="8">
        <f>IF(A187="","",IF(O187="Yes","Bought",IF(M187&lt;=0,"Have it",IF(N187&lt;&gt;"Yes","Skip",IF(S187&lt;=10,"Must have","Nice to have")))))</f>
        <v>0</v>
      </c>
      <c r="W187" s="30"/>
      <c r="X187" s="8">
        <f>IF(A187="","",IFERROR(INDEX('Recipe Ingredients'!$A$5:$A$1204,MATCH(A187,'Recipe Ingredients'!$B$5:$B$1204,0)),""))</f>
        <v>0</v>
      </c>
      <c r="Y187" s="8">
        <f>IF(A187="","",IFERROR(INDEX(Ingredients!$O$5:$O$304,MATCH(A187,Ingredients!$A$5:$A$304,0)),""))</f>
        <v>0</v>
      </c>
      <c r="Z187" s="8">
        <f>IF(A187="","",IF(O187="Yes","Bought",IF(N187="Yes","To buy","Not needed")))</f>
        <v>0</v>
      </c>
      <c r="AA187" s="25"/>
    </row>
    <row r="188" spans="1:27">
      <c r="A188" s="7"/>
      <c r="B188" s="8">
        <f>IF(A188="","",IFERROR(INDEX(Ingredients!$B$5:$B$304,MATCH(A188,Ingredients!$A$5:$A$304,0)),""))</f>
        <v>0</v>
      </c>
      <c r="C188" s="26"/>
      <c r="D188" s="27"/>
      <c r="E188" s="27"/>
      <c r="F188" s="7"/>
      <c r="G188" s="8">
        <f>IF(A188="","",IFERROR(INDEX(Ingredients!$D$5:$D$304,MATCH(A188,Ingredients!$A$5:$A$304,0)),""))</f>
        <v>0</v>
      </c>
      <c r="H188" s="8">
        <f>IF(OR(A188="",C188="",G188=""),"",C188*G188)</f>
        <v>0</v>
      </c>
      <c r="I188" s="26"/>
      <c r="J188" s="8">
        <f>IF(OR(C188="",I188="",I188=0),"",CEILING(C188/I188,1))</f>
        <v>0</v>
      </c>
      <c r="K188" s="8">
        <f>IF(OR(J188="",I188="",G188=""),"",J188*I188*G188)</f>
        <v>0</v>
      </c>
      <c r="L188" s="8">
        <f>IF(A188="","",SUMIFS(Pantry!$C$5:$C$304,Pantry!$A$5:$A$304,A188))</f>
        <v>0</v>
      </c>
      <c r="M188" s="8">
        <f>IF(OR(A188="",C188=""),"",MAX(0,C188-L188))</f>
        <v>0</v>
      </c>
      <c r="N188" s="27"/>
      <c r="O188" s="27"/>
      <c r="P188" s="30"/>
      <c r="Q188" s="28"/>
      <c r="R188" s="8">
        <f>IF(OR(Q188="",H188=""),"",Q188-H188)</f>
        <v>0</v>
      </c>
      <c r="S188" s="8">
        <f>IF(M188="","",COUNTIFS($M$5:$M$304,"&gt;"&amp;M188)+1)</f>
        <v>0</v>
      </c>
      <c r="T188" s="8">
        <f>IF(H188="","",H188+ROW()/1000000)</f>
        <v>0</v>
      </c>
      <c r="U188" s="8">
        <f>IF(OR(N188&lt;&gt;"Yes",T188=""),"",COUNTIFS($N$5:$N$304,"Yes",$T$5:$T$304,"&lt;"&amp;T188)+1)</f>
        <v>0</v>
      </c>
      <c r="V188" s="8">
        <f>IF(A188="","",IF(O188="Yes","Bought",IF(M188&lt;=0,"Have it",IF(N188&lt;&gt;"Yes","Skip",IF(S188&lt;=10,"Must have","Nice to have")))))</f>
        <v>0</v>
      </c>
      <c r="W188" s="30"/>
      <c r="X188" s="8">
        <f>IF(A188="","",IFERROR(INDEX('Recipe Ingredients'!$A$5:$A$1204,MATCH(A188,'Recipe Ingredients'!$B$5:$B$1204,0)),""))</f>
        <v>0</v>
      </c>
      <c r="Y188" s="8">
        <f>IF(A188="","",IFERROR(INDEX(Ingredients!$O$5:$O$304,MATCH(A188,Ingredients!$A$5:$A$304,0)),""))</f>
        <v>0</v>
      </c>
      <c r="Z188" s="8">
        <f>IF(A188="","",IF(O188="Yes","Bought",IF(N188="Yes","To buy","Not needed")))</f>
        <v>0</v>
      </c>
      <c r="AA188" s="25"/>
    </row>
    <row r="189" spans="1:27">
      <c r="A189" s="7"/>
      <c r="B189" s="8">
        <f>IF(A189="","",IFERROR(INDEX(Ingredients!$B$5:$B$304,MATCH(A189,Ingredients!$A$5:$A$304,0)),""))</f>
        <v>0</v>
      </c>
      <c r="C189" s="26"/>
      <c r="D189" s="27"/>
      <c r="E189" s="27"/>
      <c r="F189" s="7"/>
      <c r="G189" s="8">
        <f>IF(A189="","",IFERROR(INDEX(Ingredients!$D$5:$D$304,MATCH(A189,Ingredients!$A$5:$A$304,0)),""))</f>
        <v>0</v>
      </c>
      <c r="H189" s="8">
        <f>IF(OR(A189="",C189="",G189=""),"",C189*G189)</f>
        <v>0</v>
      </c>
      <c r="I189" s="26"/>
      <c r="J189" s="8">
        <f>IF(OR(C189="",I189="",I189=0),"",CEILING(C189/I189,1))</f>
        <v>0</v>
      </c>
      <c r="K189" s="8">
        <f>IF(OR(J189="",I189="",G189=""),"",J189*I189*G189)</f>
        <v>0</v>
      </c>
      <c r="L189" s="8">
        <f>IF(A189="","",SUMIFS(Pantry!$C$5:$C$304,Pantry!$A$5:$A$304,A189))</f>
        <v>0</v>
      </c>
      <c r="M189" s="8">
        <f>IF(OR(A189="",C189=""),"",MAX(0,C189-L189))</f>
        <v>0</v>
      </c>
      <c r="N189" s="27"/>
      <c r="O189" s="27"/>
      <c r="P189" s="30"/>
      <c r="Q189" s="28"/>
      <c r="R189" s="8">
        <f>IF(OR(Q189="",H189=""),"",Q189-H189)</f>
        <v>0</v>
      </c>
      <c r="S189" s="8">
        <f>IF(M189="","",COUNTIFS($M$5:$M$304,"&gt;"&amp;M189)+1)</f>
        <v>0</v>
      </c>
      <c r="T189" s="8">
        <f>IF(H189="","",H189+ROW()/1000000)</f>
        <v>0</v>
      </c>
      <c r="U189" s="8">
        <f>IF(OR(N189&lt;&gt;"Yes",T189=""),"",COUNTIFS($N$5:$N$304,"Yes",$T$5:$T$304,"&lt;"&amp;T189)+1)</f>
        <v>0</v>
      </c>
      <c r="V189" s="8">
        <f>IF(A189="","",IF(O189="Yes","Bought",IF(M189&lt;=0,"Have it",IF(N189&lt;&gt;"Yes","Skip",IF(S189&lt;=10,"Must have","Nice to have")))))</f>
        <v>0</v>
      </c>
      <c r="W189" s="30"/>
      <c r="X189" s="8">
        <f>IF(A189="","",IFERROR(INDEX('Recipe Ingredients'!$A$5:$A$1204,MATCH(A189,'Recipe Ingredients'!$B$5:$B$1204,0)),""))</f>
        <v>0</v>
      </c>
      <c r="Y189" s="8">
        <f>IF(A189="","",IFERROR(INDEX(Ingredients!$O$5:$O$304,MATCH(A189,Ingredients!$A$5:$A$304,0)),""))</f>
        <v>0</v>
      </c>
      <c r="Z189" s="8">
        <f>IF(A189="","",IF(O189="Yes","Bought",IF(N189="Yes","To buy","Not needed")))</f>
        <v>0</v>
      </c>
      <c r="AA189" s="25"/>
    </row>
    <row r="190" spans="1:27">
      <c r="A190" s="7"/>
      <c r="B190" s="8">
        <f>IF(A190="","",IFERROR(INDEX(Ingredients!$B$5:$B$304,MATCH(A190,Ingredients!$A$5:$A$304,0)),""))</f>
        <v>0</v>
      </c>
      <c r="C190" s="26"/>
      <c r="D190" s="27"/>
      <c r="E190" s="27"/>
      <c r="F190" s="7"/>
      <c r="G190" s="8">
        <f>IF(A190="","",IFERROR(INDEX(Ingredients!$D$5:$D$304,MATCH(A190,Ingredients!$A$5:$A$304,0)),""))</f>
        <v>0</v>
      </c>
      <c r="H190" s="8">
        <f>IF(OR(A190="",C190="",G190=""),"",C190*G190)</f>
        <v>0</v>
      </c>
      <c r="I190" s="26"/>
      <c r="J190" s="8">
        <f>IF(OR(C190="",I190="",I190=0),"",CEILING(C190/I190,1))</f>
        <v>0</v>
      </c>
      <c r="K190" s="8">
        <f>IF(OR(J190="",I190="",G190=""),"",J190*I190*G190)</f>
        <v>0</v>
      </c>
      <c r="L190" s="8">
        <f>IF(A190="","",SUMIFS(Pantry!$C$5:$C$304,Pantry!$A$5:$A$304,A190))</f>
        <v>0</v>
      </c>
      <c r="M190" s="8">
        <f>IF(OR(A190="",C190=""),"",MAX(0,C190-L190))</f>
        <v>0</v>
      </c>
      <c r="N190" s="27"/>
      <c r="O190" s="27"/>
      <c r="P190" s="30"/>
      <c r="Q190" s="28"/>
      <c r="R190" s="8">
        <f>IF(OR(Q190="",H190=""),"",Q190-H190)</f>
        <v>0</v>
      </c>
      <c r="S190" s="8">
        <f>IF(M190="","",COUNTIFS($M$5:$M$304,"&gt;"&amp;M190)+1)</f>
        <v>0</v>
      </c>
      <c r="T190" s="8">
        <f>IF(H190="","",H190+ROW()/1000000)</f>
        <v>0</v>
      </c>
      <c r="U190" s="8">
        <f>IF(OR(N190&lt;&gt;"Yes",T190=""),"",COUNTIFS($N$5:$N$304,"Yes",$T$5:$T$304,"&lt;"&amp;T190)+1)</f>
        <v>0</v>
      </c>
      <c r="V190" s="8">
        <f>IF(A190="","",IF(O190="Yes","Bought",IF(M190&lt;=0,"Have it",IF(N190&lt;&gt;"Yes","Skip",IF(S190&lt;=10,"Must have","Nice to have")))))</f>
        <v>0</v>
      </c>
      <c r="W190" s="30"/>
      <c r="X190" s="8">
        <f>IF(A190="","",IFERROR(INDEX('Recipe Ingredients'!$A$5:$A$1204,MATCH(A190,'Recipe Ingredients'!$B$5:$B$1204,0)),""))</f>
        <v>0</v>
      </c>
      <c r="Y190" s="8">
        <f>IF(A190="","",IFERROR(INDEX(Ingredients!$O$5:$O$304,MATCH(A190,Ingredients!$A$5:$A$304,0)),""))</f>
        <v>0</v>
      </c>
      <c r="Z190" s="8">
        <f>IF(A190="","",IF(O190="Yes","Bought",IF(N190="Yes","To buy","Not needed")))</f>
        <v>0</v>
      </c>
      <c r="AA190" s="25"/>
    </row>
    <row r="191" spans="1:27">
      <c r="A191" s="7"/>
      <c r="B191" s="8">
        <f>IF(A191="","",IFERROR(INDEX(Ingredients!$B$5:$B$304,MATCH(A191,Ingredients!$A$5:$A$304,0)),""))</f>
        <v>0</v>
      </c>
      <c r="C191" s="26"/>
      <c r="D191" s="27"/>
      <c r="E191" s="27"/>
      <c r="F191" s="7"/>
      <c r="G191" s="8">
        <f>IF(A191="","",IFERROR(INDEX(Ingredients!$D$5:$D$304,MATCH(A191,Ingredients!$A$5:$A$304,0)),""))</f>
        <v>0</v>
      </c>
      <c r="H191" s="8">
        <f>IF(OR(A191="",C191="",G191=""),"",C191*G191)</f>
        <v>0</v>
      </c>
      <c r="I191" s="26"/>
      <c r="J191" s="8">
        <f>IF(OR(C191="",I191="",I191=0),"",CEILING(C191/I191,1))</f>
        <v>0</v>
      </c>
      <c r="K191" s="8">
        <f>IF(OR(J191="",I191="",G191=""),"",J191*I191*G191)</f>
        <v>0</v>
      </c>
      <c r="L191" s="8">
        <f>IF(A191="","",SUMIFS(Pantry!$C$5:$C$304,Pantry!$A$5:$A$304,A191))</f>
        <v>0</v>
      </c>
      <c r="M191" s="8">
        <f>IF(OR(A191="",C191=""),"",MAX(0,C191-L191))</f>
        <v>0</v>
      </c>
      <c r="N191" s="27"/>
      <c r="O191" s="27"/>
      <c r="P191" s="30"/>
      <c r="Q191" s="28"/>
      <c r="R191" s="8">
        <f>IF(OR(Q191="",H191=""),"",Q191-H191)</f>
        <v>0</v>
      </c>
      <c r="S191" s="8">
        <f>IF(M191="","",COUNTIFS($M$5:$M$304,"&gt;"&amp;M191)+1)</f>
        <v>0</v>
      </c>
      <c r="T191" s="8">
        <f>IF(H191="","",H191+ROW()/1000000)</f>
        <v>0</v>
      </c>
      <c r="U191" s="8">
        <f>IF(OR(N191&lt;&gt;"Yes",T191=""),"",COUNTIFS($N$5:$N$304,"Yes",$T$5:$T$304,"&lt;"&amp;T191)+1)</f>
        <v>0</v>
      </c>
      <c r="V191" s="8">
        <f>IF(A191="","",IF(O191="Yes","Bought",IF(M191&lt;=0,"Have it",IF(N191&lt;&gt;"Yes","Skip",IF(S191&lt;=10,"Must have","Nice to have")))))</f>
        <v>0</v>
      </c>
      <c r="W191" s="30"/>
      <c r="X191" s="8">
        <f>IF(A191="","",IFERROR(INDEX('Recipe Ingredients'!$A$5:$A$1204,MATCH(A191,'Recipe Ingredients'!$B$5:$B$1204,0)),""))</f>
        <v>0</v>
      </c>
      <c r="Y191" s="8">
        <f>IF(A191="","",IFERROR(INDEX(Ingredients!$O$5:$O$304,MATCH(A191,Ingredients!$A$5:$A$304,0)),""))</f>
        <v>0</v>
      </c>
      <c r="Z191" s="8">
        <f>IF(A191="","",IF(O191="Yes","Bought",IF(N191="Yes","To buy","Not needed")))</f>
        <v>0</v>
      </c>
      <c r="AA191" s="25"/>
    </row>
    <row r="192" spans="1:27">
      <c r="A192" s="7"/>
      <c r="B192" s="8">
        <f>IF(A192="","",IFERROR(INDEX(Ingredients!$B$5:$B$304,MATCH(A192,Ingredients!$A$5:$A$304,0)),""))</f>
        <v>0</v>
      </c>
      <c r="C192" s="26"/>
      <c r="D192" s="27"/>
      <c r="E192" s="27"/>
      <c r="F192" s="7"/>
      <c r="G192" s="8">
        <f>IF(A192="","",IFERROR(INDEX(Ingredients!$D$5:$D$304,MATCH(A192,Ingredients!$A$5:$A$304,0)),""))</f>
        <v>0</v>
      </c>
      <c r="H192" s="8">
        <f>IF(OR(A192="",C192="",G192=""),"",C192*G192)</f>
        <v>0</v>
      </c>
      <c r="I192" s="26"/>
      <c r="J192" s="8">
        <f>IF(OR(C192="",I192="",I192=0),"",CEILING(C192/I192,1))</f>
        <v>0</v>
      </c>
      <c r="K192" s="8">
        <f>IF(OR(J192="",I192="",G192=""),"",J192*I192*G192)</f>
        <v>0</v>
      </c>
      <c r="L192" s="8">
        <f>IF(A192="","",SUMIFS(Pantry!$C$5:$C$304,Pantry!$A$5:$A$304,A192))</f>
        <v>0</v>
      </c>
      <c r="M192" s="8">
        <f>IF(OR(A192="",C192=""),"",MAX(0,C192-L192))</f>
        <v>0</v>
      </c>
      <c r="N192" s="27"/>
      <c r="O192" s="27"/>
      <c r="P192" s="30"/>
      <c r="Q192" s="28"/>
      <c r="R192" s="8">
        <f>IF(OR(Q192="",H192=""),"",Q192-H192)</f>
        <v>0</v>
      </c>
      <c r="S192" s="8">
        <f>IF(M192="","",COUNTIFS($M$5:$M$304,"&gt;"&amp;M192)+1)</f>
        <v>0</v>
      </c>
      <c r="T192" s="8">
        <f>IF(H192="","",H192+ROW()/1000000)</f>
        <v>0</v>
      </c>
      <c r="U192" s="8">
        <f>IF(OR(N192&lt;&gt;"Yes",T192=""),"",COUNTIFS($N$5:$N$304,"Yes",$T$5:$T$304,"&lt;"&amp;T192)+1)</f>
        <v>0</v>
      </c>
      <c r="V192" s="8">
        <f>IF(A192="","",IF(O192="Yes","Bought",IF(M192&lt;=0,"Have it",IF(N192&lt;&gt;"Yes","Skip",IF(S192&lt;=10,"Must have","Nice to have")))))</f>
        <v>0</v>
      </c>
      <c r="W192" s="30"/>
      <c r="X192" s="8">
        <f>IF(A192="","",IFERROR(INDEX('Recipe Ingredients'!$A$5:$A$1204,MATCH(A192,'Recipe Ingredients'!$B$5:$B$1204,0)),""))</f>
        <v>0</v>
      </c>
      <c r="Y192" s="8">
        <f>IF(A192="","",IFERROR(INDEX(Ingredients!$O$5:$O$304,MATCH(A192,Ingredients!$A$5:$A$304,0)),""))</f>
        <v>0</v>
      </c>
      <c r="Z192" s="8">
        <f>IF(A192="","",IF(O192="Yes","Bought",IF(N192="Yes","To buy","Not needed")))</f>
        <v>0</v>
      </c>
      <c r="AA192" s="25"/>
    </row>
    <row r="193" spans="1:27">
      <c r="A193" s="7"/>
      <c r="B193" s="8">
        <f>IF(A193="","",IFERROR(INDEX(Ingredients!$B$5:$B$304,MATCH(A193,Ingredients!$A$5:$A$304,0)),""))</f>
        <v>0</v>
      </c>
      <c r="C193" s="26"/>
      <c r="D193" s="27"/>
      <c r="E193" s="27"/>
      <c r="F193" s="7"/>
      <c r="G193" s="8">
        <f>IF(A193="","",IFERROR(INDEX(Ingredients!$D$5:$D$304,MATCH(A193,Ingredients!$A$5:$A$304,0)),""))</f>
        <v>0</v>
      </c>
      <c r="H193" s="8">
        <f>IF(OR(A193="",C193="",G193=""),"",C193*G193)</f>
        <v>0</v>
      </c>
      <c r="I193" s="26"/>
      <c r="J193" s="8">
        <f>IF(OR(C193="",I193="",I193=0),"",CEILING(C193/I193,1))</f>
        <v>0</v>
      </c>
      <c r="K193" s="8">
        <f>IF(OR(J193="",I193="",G193=""),"",J193*I193*G193)</f>
        <v>0</v>
      </c>
      <c r="L193" s="8">
        <f>IF(A193="","",SUMIFS(Pantry!$C$5:$C$304,Pantry!$A$5:$A$304,A193))</f>
        <v>0</v>
      </c>
      <c r="M193" s="8">
        <f>IF(OR(A193="",C193=""),"",MAX(0,C193-L193))</f>
        <v>0</v>
      </c>
      <c r="N193" s="27"/>
      <c r="O193" s="27"/>
      <c r="P193" s="30"/>
      <c r="Q193" s="28"/>
      <c r="R193" s="8">
        <f>IF(OR(Q193="",H193=""),"",Q193-H193)</f>
        <v>0</v>
      </c>
      <c r="S193" s="8">
        <f>IF(M193="","",COUNTIFS($M$5:$M$304,"&gt;"&amp;M193)+1)</f>
        <v>0</v>
      </c>
      <c r="T193" s="8">
        <f>IF(H193="","",H193+ROW()/1000000)</f>
        <v>0</v>
      </c>
      <c r="U193" s="8">
        <f>IF(OR(N193&lt;&gt;"Yes",T193=""),"",COUNTIFS($N$5:$N$304,"Yes",$T$5:$T$304,"&lt;"&amp;T193)+1)</f>
        <v>0</v>
      </c>
      <c r="V193" s="8">
        <f>IF(A193="","",IF(O193="Yes","Bought",IF(M193&lt;=0,"Have it",IF(N193&lt;&gt;"Yes","Skip",IF(S193&lt;=10,"Must have","Nice to have")))))</f>
        <v>0</v>
      </c>
      <c r="W193" s="30"/>
      <c r="X193" s="8">
        <f>IF(A193="","",IFERROR(INDEX('Recipe Ingredients'!$A$5:$A$1204,MATCH(A193,'Recipe Ingredients'!$B$5:$B$1204,0)),""))</f>
        <v>0</v>
      </c>
      <c r="Y193" s="8">
        <f>IF(A193="","",IFERROR(INDEX(Ingredients!$O$5:$O$304,MATCH(A193,Ingredients!$A$5:$A$304,0)),""))</f>
        <v>0</v>
      </c>
      <c r="Z193" s="8">
        <f>IF(A193="","",IF(O193="Yes","Bought",IF(N193="Yes","To buy","Not needed")))</f>
        <v>0</v>
      </c>
      <c r="AA193" s="25"/>
    </row>
    <row r="194" spans="1:27">
      <c r="A194" s="7"/>
      <c r="B194" s="8">
        <f>IF(A194="","",IFERROR(INDEX(Ingredients!$B$5:$B$304,MATCH(A194,Ingredients!$A$5:$A$304,0)),""))</f>
        <v>0</v>
      </c>
      <c r="C194" s="26"/>
      <c r="D194" s="27"/>
      <c r="E194" s="27"/>
      <c r="F194" s="7"/>
      <c r="G194" s="8">
        <f>IF(A194="","",IFERROR(INDEX(Ingredients!$D$5:$D$304,MATCH(A194,Ingredients!$A$5:$A$304,0)),""))</f>
        <v>0</v>
      </c>
      <c r="H194" s="8">
        <f>IF(OR(A194="",C194="",G194=""),"",C194*G194)</f>
        <v>0</v>
      </c>
      <c r="I194" s="26"/>
      <c r="J194" s="8">
        <f>IF(OR(C194="",I194="",I194=0),"",CEILING(C194/I194,1))</f>
        <v>0</v>
      </c>
      <c r="K194" s="8">
        <f>IF(OR(J194="",I194="",G194=""),"",J194*I194*G194)</f>
        <v>0</v>
      </c>
      <c r="L194" s="8">
        <f>IF(A194="","",SUMIFS(Pantry!$C$5:$C$304,Pantry!$A$5:$A$304,A194))</f>
        <v>0</v>
      </c>
      <c r="M194" s="8">
        <f>IF(OR(A194="",C194=""),"",MAX(0,C194-L194))</f>
        <v>0</v>
      </c>
      <c r="N194" s="27"/>
      <c r="O194" s="27"/>
      <c r="P194" s="30"/>
      <c r="Q194" s="28"/>
      <c r="R194" s="8">
        <f>IF(OR(Q194="",H194=""),"",Q194-H194)</f>
        <v>0</v>
      </c>
      <c r="S194" s="8">
        <f>IF(M194="","",COUNTIFS($M$5:$M$304,"&gt;"&amp;M194)+1)</f>
        <v>0</v>
      </c>
      <c r="T194" s="8">
        <f>IF(H194="","",H194+ROW()/1000000)</f>
        <v>0</v>
      </c>
      <c r="U194" s="8">
        <f>IF(OR(N194&lt;&gt;"Yes",T194=""),"",COUNTIFS($N$5:$N$304,"Yes",$T$5:$T$304,"&lt;"&amp;T194)+1)</f>
        <v>0</v>
      </c>
      <c r="V194" s="8">
        <f>IF(A194="","",IF(O194="Yes","Bought",IF(M194&lt;=0,"Have it",IF(N194&lt;&gt;"Yes","Skip",IF(S194&lt;=10,"Must have","Nice to have")))))</f>
        <v>0</v>
      </c>
      <c r="W194" s="30"/>
      <c r="X194" s="8">
        <f>IF(A194="","",IFERROR(INDEX('Recipe Ingredients'!$A$5:$A$1204,MATCH(A194,'Recipe Ingredients'!$B$5:$B$1204,0)),""))</f>
        <v>0</v>
      </c>
      <c r="Y194" s="8">
        <f>IF(A194="","",IFERROR(INDEX(Ingredients!$O$5:$O$304,MATCH(A194,Ingredients!$A$5:$A$304,0)),""))</f>
        <v>0</v>
      </c>
      <c r="Z194" s="8">
        <f>IF(A194="","",IF(O194="Yes","Bought",IF(N194="Yes","To buy","Not needed")))</f>
        <v>0</v>
      </c>
      <c r="AA194" s="25"/>
    </row>
    <row r="195" spans="1:27">
      <c r="A195" s="7"/>
      <c r="B195" s="8">
        <f>IF(A195="","",IFERROR(INDEX(Ingredients!$B$5:$B$304,MATCH(A195,Ingredients!$A$5:$A$304,0)),""))</f>
        <v>0</v>
      </c>
      <c r="C195" s="26"/>
      <c r="D195" s="27"/>
      <c r="E195" s="27"/>
      <c r="F195" s="7"/>
      <c r="G195" s="8">
        <f>IF(A195="","",IFERROR(INDEX(Ingredients!$D$5:$D$304,MATCH(A195,Ingredients!$A$5:$A$304,0)),""))</f>
        <v>0</v>
      </c>
      <c r="H195" s="8">
        <f>IF(OR(A195="",C195="",G195=""),"",C195*G195)</f>
        <v>0</v>
      </c>
      <c r="I195" s="26"/>
      <c r="J195" s="8">
        <f>IF(OR(C195="",I195="",I195=0),"",CEILING(C195/I195,1))</f>
        <v>0</v>
      </c>
      <c r="K195" s="8">
        <f>IF(OR(J195="",I195="",G195=""),"",J195*I195*G195)</f>
        <v>0</v>
      </c>
      <c r="L195" s="8">
        <f>IF(A195="","",SUMIFS(Pantry!$C$5:$C$304,Pantry!$A$5:$A$304,A195))</f>
        <v>0</v>
      </c>
      <c r="M195" s="8">
        <f>IF(OR(A195="",C195=""),"",MAX(0,C195-L195))</f>
        <v>0</v>
      </c>
      <c r="N195" s="27"/>
      <c r="O195" s="27"/>
      <c r="P195" s="30"/>
      <c r="Q195" s="28"/>
      <c r="R195" s="8">
        <f>IF(OR(Q195="",H195=""),"",Q195-H195)</f>
        <v>0</v>
      </c>
      <c r="S195" s="8">
        <f>IF(M195="","",COUNTIFS($M$5:$M$304,"&gt;"&amp;M195)+1)</f>
        <v>0</v>
      </c>
      <c r="T195" s="8">
        <f>IF(H195="","",H195+ROW()/1000000)</f>
        <v>0</v>
      </c>
      <c r="U195" s="8">
        <f>IF(OR(N195&lt;&gt;"Yes",T195=""),"",COUNTIFS($N$5:$N$304,"Yes",$T$5:$T$304,"&lt;"&amp;T195)+1)</f>
        <v>0</v>
      </c>
      <c r="V195" s="8">
        <f>IF(A195="","",IF(O195="Yes","Bought",IF(M195&lt;=0,"Have it",IF(N195&lt;&gt;"Yes","Skip",IF(S195&lt;=10,"Must have","Nice to have")))))</f>
        <v>0</v>
      </c>
      <c r="W195" s="30"/>
      <c r="X195" s="8">
        <f>IF(A195="","",IFERROR(INDEX('Recipe Ingredients'!$A$5:$A$1204,MATCH(A195,'Recipe Ingredients'!$B$5:$B$1204,0)),""))</f>
        <v>0</v>
      </c>
      <c r="Y195" s="8">
        <f>IF(A195="","",IFERROR(INDEX(Ingredients!$O$5:$O$304,MATCH(A195,Ingredients!$A$5:$A$304,0)),""))</f>
        <v>0</v>
      </c>
      <c r="Z195" s="8">
        <f>IF(A195="","",IF(O195="Yes","Bought",IF(N195="Yes","To buy","Not needed")))</f>
        <v>0</v>
      </c>
      <c r="AA195" s="25"/>
    </row>
    <row r="196" spans="1:27">
      <c r="A196" s="7"/>
      <c r="B196" s="8">
        <f>IF(A196="","",IFERROR(INDEX(Ingredients!$B$5:$B$304,MATCH(A196,Ingredients!$A$5:$A$304,0)),""))</f>
        <v>0</v>
      </c>
      <c r="C196" s="26"/>
      <c r="D196" s="27"/>
      <c r="E196" s="27"/>
      <c r="F196" s="7"/>
      <c r="G196" s="8">
        <f>IF(A196="","",IFERROR(INDEX(Ingredients!$D$5:$D$304,MATCH(A196,Ingredients!$A$5:$A$304,0)),""))</f>
        <v>0</v>
      </c>
      <c r="H196" s="8">
        <f>IF(OR(A196="",C196="",G196=""),"",C196*G196)</f>
        <v>0</v>
      </c>
      <c r="I196" s="26"/>
      <c r="J196" s="8">
        <f>IF(OR(C196="",I196="",I196=0),"",CEILING(C196/I196,1))</f>
        <v>0</v>
      </c>
      <c r="K196" s="8">
        <f>IF(OR(J196="",I196="",G196=""),"",J196*I196*G196)</f>
        <v>0</v>
      </c>
      <c r="L196" s="8">
        <f>IF(A196="","",SUMIFS(Pantry!$C$5:$C$304,Pantry!$A$5:$A$304,A196))</f>
        <v>0</v>
      </c>
      <c r="M196" s="8">
        <f>IF(OR(A196="",C196=""),"",MAX(0,C196-L196))</f>
        <v>0</v>
      </c>
      <c r="N196" s="27"/>
      <c r="O196" s="27"/>
      <c r="P196" s="30"/>
      <c r="Q196" s="28"/>
      <c r="R196" s="8">
        <f>IF(OR(Q196="",H196=""),"",Q196-H196)</f>
        <v>0</v>
      </c>
      <c r="S196" s="8">
        <f>IF(M196="","",COUNTIFS($M$5:$M$304,"&gt;"&amp;M196)+1)</f>
        <v>0</v>
      </c>
      <c r="T196" s="8">
        <f>IF(H196="","",H196+ROW()/1000000)</f>
        <v>0</v>
      </c>
      <c r="U196" s="8">
        <f>IF(OR(N196&lt;&gt;"Yes",T196=""),"",COUNTIFS($N$5:$N$304,"Yes",$T$5:$T$304,"&lt;"&amp;T196)+1)</f>
        <v>0</v>
      </c>
      <c r="V196" s="8">
        <f>IF(A196="","",IF(O196="Yes","Bought",IF(M196&lt;=0,"Have it",IF(N196&lt;&gt;"Yes","Skip",IF(S196&lt;=10,"Must have","Nice to have")))))</f>
        <v>0</v>
      </c>
      <c r="W196" s="30"/>
      <c r="X196" s="8">
        <f>IF(A196="","",IFERROR(INDEX('Recipe Ingredients'!$A$5:$A$1204,MATCH(A196,'Recipe Ingredients'!$B$5:$B$1204,0)),""))</f>
        <v>0</v>
      </c>
      <c r="Y196" s="8">
        <f>IF(A196="","",IFERROR(INDEX(Ingredients!$O$5:$O$304,MATCH(A196,Ingredients!$A$5:$A$304,0)),""))</f>
        <v>0</v>
      </c>
      <c r="Z196" s="8">
        <f>IF(A196="","",IF(O196="Yes","Bought",IF(N196="Yes","To buy","Not needed")))</f>
        <v>0</v>
      </c>
      <c r="AA196" s="25"/>
    </row>
    <row r="197" spans="1:27">
      <c r="A197" s="7"/>
      <c r="B197" s="8">
        <f>IF(A197="","",IFERROR(INDEX(Ingredients!$B$5:$B$304,MATCH(A197,Ingredients!$A$5:$A$304,0)),""))</f>
        <v>0</v>
      </c>
      <c r="C197" s="26"/>
      <c r="D197" s="27"/>
      <c r="E197" s="27"/>
      <c r="F197" s="7"/>
      <c r="G197" s="8">
        <f>IF(A197="","",IFERROR(INDEX(Ingredients!$D$5:$D$304,MATCH(A197,Ingredients!$A$5:$A$304,0)),""))</f>
        <v>0</v>
      </c>
      <c r="H197" s="8">
        <f>IF(OR(A197="",C197="",G197=""),"",C197*G197)</f>
        <v>0</v>
      </c>
      <c r="I197" s="26"/>
      <c r="J197" s="8">
        <f>IF(OR(C197="",I197="",I197=0),"",CEILING(C197/I197,1))</f>
        <v>0</v>
      </c>
      <c r="K197" s="8">
        <f>IF(OR(J197="",I197="",G197=""),"",J197*I197*G197)</f>
        <v>0</v>
      </c>
      <c r="L197" s="8">
        <f>IF(A197="","",SUMIFS(Pantry!$C$5:$C$304,Pantry!$A$5:$A$304,A197))</f>
        <v>0</v>
      </c>
      <c r="M197" s="8">
        <f>IF(OR(A197="",C197=""),"",MAX(0,C197-L197))</f>
        <v>0</v>
      </c>
      <c r="N197" s="27"/>
      <c r="O197" s="27"/>
      <c r="P197" s="30"/>
      <c r="Q197" s="28"/>
      <c r="R197" s="8">
        <f>IF(OR(Q197="",H197=""),"",Q197-H197)</f>
        <v>0</v>
      </c>
      <c r="S197" s="8">
        <f>IF(M197="","",COUNTIFS($M$5:$M$304,"&gt;"&amp;M197)+1)</f>
        <v>0</v>
      </c>
      <c r="T197" s="8">
        <f>IF(H197="","",H197+ROW()/1000000)</f>
        <v>0</v>
      </c>
      <c r="U197" s="8">
        <f>IF(OR(N197&lt;&gt;"Yes",T197=""),"",COUNTIFS($N$5:$N$304,"Yes",$T$5:$T$304,"&lt;"&amp;T197)+1)</f>
        <v>0</v>
      </c>
      <c r="V197" s="8">
        <f>IF(A197="","",IF(O197="Yes","Bought",IF(M197&lt;=0,"Have it",IF(N197&lt;&gt;"Yes","Skip",IF(S197&lt;=10,"Must have","Nice to have")))))</f>
        <v>0</v>
      </c>
      <c r="W197" s="30"/>
      <c r="X197" s="8">
        <f>IF(A197="","",IFERROR(INDEX('Recipe Ingredients'!$A$5:$A$1204,MATCH(A197,'Recipe Ingredients'!$B$5:$B$1204,0)),""))</f>
        <v>0</v>
      </c>
      <c r="Y197" s="8">
        <f>IF(A197="","",IFERROR(INDEX(Ingredients!$O$5:$O$304,MATCH(A197,Ingredients!$A$5:$A$304,0)),""))</f>
        <v>0</v>
      </c>
      <c r="Z197" s="8">
        <f>IF(A197="","",IF(O197="Yes","Bought",IF(N197="Yes","To buy","Not needed")))</f>
        <v>0</v>
      </c>
      <c r="AA197" s="25"/>
    </row>
    <row r="198" spans="1:27">
      <c r="A198" s="7"/>
      <c r="B198" s="8">
        <f>IF(A198="","",IFERROR(INDEX(Ingredients!$B$5:$B$304,MATCH(A198,Ingredients!$A$5:$A$304,0)),""))</f>
        <v>0</v>
      </c>
      <c r="C198" s="26"/>
      <c r="D198" s="27"/>
      <c r="E198" s="27"/>
      <c r="F198" s="7"/>
      <c r="G198" s="8">
        <f>IF(A198="","",IFERROR(INDEX(Ingredients!$D$5:$D$304,MATCH(A198,Ingredients!$A$5:$A$304,0)),""))</f>
        <v>0</v>
      </c>
      <c r="H198" s="8">
        <f>IF(OR(A198="",C198="",G198=""),"",C198*G198)</f>
        <v>0</v>
      </c>
      <c r="I198" s="26"/>
      <c r="J198" s="8">
        <f>IF(OR(C198="",I198="",I198=0),"",CEILING(C198/I198,1))</f>
        <v>0</v>
      </c>
      <c r="K198" s="8">
        <f>IF(OR(J198="",I198="",G198=""),"",J198*I198*G198)</f>
        <v>0</v>
      </c>
      <c r="L198" s="8">
        <f>IF(A198="","",SUMIFS(Pantry!$C$5:$C$304,Pantry!$A$5:$A$304,A198))</f>
        <v>0</v>
      </c>
      <c r="M198" s="8">
        <f>IF(OR(A198="",C198=""),"",MAX(0,C198-L198))</f>
        <v>0</v>
      </c>
      <c r="N198" s="27"/>
      <c r="O198" s="27"/>
      <c r="P198" s="30"/>
      <c r="Q198" s="28"/>
      <c r="R198" s="8">
        <f>IF(OR(Q198="",H198=""),"",Q198-H198)</f>
        <v>0</v>
      </c>
      <c r="S198" s="8">
        <f>IF(M198="","",COUNTIFS($M$5:$M$304,"&gt;"&amp;M198)+1)</f>
        <v>0</v>
      </c>
      <c r="T198" s="8">
        <f>IF(H198="","",H198+ROW()/1000000)</f>
        <v>0</v>
      </c>
      <c r="U198" s="8">
        <f>IF(OR(N198&lt;&gt;"Yes",T198=""),"",COUNTIFS($N$5:$N$304,"Yes",$T$5:$T$304,"&lt;"&amp;T198)+1)</f>
        <v>0</v>
      </c>
      <c r="V198" s="8">
        <f>IF(A198="","",IF(O198="Yes","Bought",IF(M198&lt;=0,"Have it",IF(N198&lt;&gt;"Yes","Skip",IF(S198&lt;=10,"Must have","Nice to have")))))</f>
        <v>0</v>
      </c>
      <c r="W198" s="30"/>
      <c r="X198" s="8">
        <f>IF(A198="","",IFERROR(INDEX('Recipe Ingredients'!$A$5:$A$1204,MATCH(A198,'Recipe Ingredients'!$B$5:$B$1204,0)),""))</f>
        <v>0</v>
      </c>
      <c r="Y198" s="8">
        <f>IF(A198="","",IFERROR(INDEX(Ingredients!$O$5:$O$304,MATCH(A198,Ingredients!$A$5:$A$304,0)),""))</f>
        <v>0</v>
      </c>
      <c r="Z198" s="8">
        <f>IF(A198="","",IF(O198="Yes","Bought",IF(N198="Yes","To buy","Not needed")))</f>
        <v>0</v>
      </c>
      <c r="AA198" s="25"/>
    </row>
    <row r="199" spans="1:27">
      <c r="A199" s="7"/>
      <c r="B199" s="8">
        <f>IF(A199="","",IFERROR(INDEX(Ingredients!$B$5:$B$304,MATCH(A199,Ingredients!$A$5:$A$304,0)),""))</f>
        <v>0</v>
      </c>
      <c r="C199" s="26"/>
      <c r="D199" s="27"/>
      <c r="E199" s="27"/>
      <c r="F199" s="7"/>
      <c r="G199" s="8">
        <f>IF(A199="","",IFERROR(INDEX(Ingredients!$D$5:$D$304,MATCH(A199,Ingredients!$A$5:$A$304,0)),""))</f>
        <v>0</v>
      </c>
      <c r="H199" s="8">
        <f>IF(OR(A199="",C199="",G199=""),"",C199*G199)</f>
        <v>0</v>
      </c>
      <c r="I199" s="26"/>
      <c r="J199" s="8">
        <f>IF(OR(C199="",I199="",I199=0),"",CEILING(C199/I199,1))</f>
        <v>0</v>
      </c>
      <c r="K199" s="8">
        <f>IF(OR(J199="",I199="",G199=""),"",J199*I199*G199)</f>
        <v>0</v>
      </c>
      <c r="L199" s="8">
        <f>IF(A199="","",SUMIFS(Pantry!$C$5:$C$304,Pantry!$A$5:$A$304,A199))</f>
        <v>0</v>
      </c>
      <c r="M199" s="8">
        <f>IF(OR(A199="",C199=""),"",MAX(0,C199-L199))</f>
        <v>0</v>
      </c>
      <c r="N199" s="27"/>
      <c r="O199" s="27"/>
      <c r="P199" s="30"/>
      <c r="Q199" s="28"/>
      <c r="R199" s="8">
        <f>IF(OR(Q199="",H199=""),"",Q199-H199)</f>
        <v>0</v>
      </c>
      <c r="S199" s="8">
        <f>IF(M199="","",COUNTIFS($M$5:$M$304,"&gt;"&amp;M199)+1)</f>
        <v>0</v>
      </c>
      <c r="T199" s="8">
        <f>IF(H199="","",H199+ROW()/1000000)</f>
        <v>0</v>
      </c>
      <c r="U199" s="8">
        <f>IF(OR(N199&lt;&gt;"Yes",T199=""),"",COUNTIFS($N$5:$N$304,"Yes",$T$5:$T$304,"&lt;"&amp;T199)+1)</f>
        <v>0</v>
      </c>
      <c r="V199" s="8">
        <f>IF(A199="","",IF(O199="Yes","Bought",IF(M199&lt;=0,"Have it",IF(N199&lt;&gt;"Yes","Skip",IF(S199&lt;=10,"Must have","Nice to have")))))</f>
        <v>0</v>
      </c>
      <c r="W199" s="30"/>
      <c r="X199" s="8">
        <f>IF(A199="","",IFERROR(INDEX('Recipe Ingredients'!$A$5:$A$1204,MATCH(A199,'Recipe Ingredients'!$B$5:$B$1204,0)),""))</f>
        <v>0</v>
      </c>
      <c r="Y199" s="8">
        <f>IF(A199="","",IFERROR(INDEX(Ingredients!$O$5:$O$304,MATCH(A199,Ingredients!$A$5:$A$304,0)),""))</f>
        <v>0</v>
      </c>
      <c r="Z199" s="8">
        <f>IF(A199="","",IF(O199="Yes","Bought",IF(N199="Yes","To buy","Not needed")))</f>
        <v>0</v>
      </c>
      <c r="AA199" s="25"/>
    </row>
    <row r="200" spans="1:27">
      <c r="A200" s="7"/>
      <c r="B200" s="8">
        <f>IF(A200="","",IFERROR(INDEX(Ingredients!$B$5:$B$304,MATCH(A200,Ingredients!$A$5:$A$304,0)),""))</f>
        <v>0</v>
      </c>
      <c r="C200" s="26"/>
      <c r="D200" s="27"/>
      <c r="E200" s="27"/>
      <c r="F200" s="7"/>
      <c r="G200" s="8">
        <f>IF(A200="","",IFERROR(INDEX(Ingredients!$D$5:$D$304,MATCH(A200,Ingredients!$A$5:$A$304,0)),""))</f>
        <v>0</v>
      </c>
      <c r="H200" s="8">
        <f>IF(OR(A200="",C200="",G200=""),"",C200*G200)</f>
        <v>0</v>
      </c>
      <c r="I200" s="26"/>
      <c r="J200" s="8">
        <f>IF(OR(C200="",I200="",I200=0),"",CEILING(C200/I200,1))</f>
        <v>0</v>
      </c>
      <c r="K200" s="8">
        <f>IF(OR(J200="",I200="",G200=""),"",J200*I200*G200)</f>
        <v>0</v>
      </c>
      <c r="L200" s="8">
        <f>IF(A200="","",SUMIFS(Pantry!$C$5:$C$304,Pantry!$A$5:$A$304,A200))</f>
        <v>0</v>
      </c>
      <c r="M200" s="8">
        <f>IF(OR(A200="",C200=""),"",MAX(0,C200-L200))</f>
        <v>0</v>
      </c>
      <c r="N200" s="27"/>
      <c r="O200" s="27"/>
      <c r="P200" s="30"/>
      <c r="Q200" s="28"/>
      <c r="R200" s="8">
        <f>IF(OR(Q200="",H200=""),"",Q200-H200)</f>
        <v>0</v>
      </c>
      <c r="S200" s="8">
        <f>IF(M200="","",COUNTIFS($M$5:$M$304,"&gt;"&amp;M200)+1)</f>
        <v>0</v>
      </c>
      <c r="T200" s="8">
        <f>IF(H200="","",H200+ROW()/1000000)</f>
        <v>0</v>
      </c>
      <c r="U200" s="8">
        <f>IF(OR(N200&lt;&gt;"Yes",T200=""),"",COUNTIFS($N$5:$N$304,"Yes",$T$5:$T$304,"&lt;"&amp;T200)+1)</f>
        <v>0</v>
      </c>
      <c r="V200" s="8">
        <f>IF(A200="","",IF(O200="Yes","Bought",IF(M200&lt;=0,"Have it",IF(N200&lt;&gt;"Yes","Skip",IF(S200&lt;=10,"Must have","Nice to have")))))</f>
        <v>0</v>
      </c>
      <c r="W200" s="30"/>
      <c r="X200" s="8">
        <f>IF(A200="","",IFERROR(INDEX('Recipe Ingredients'!$A$5:$A$1204,MATCH(A200,'Recipe Ingredients'!$B$5:$B$1204,0)),""))</f>
        <v>0</v>
      </c>
      <c r="Y200" s="8">
        <f>IF(A200="","",IFERROR(INDEX(Ingredients!$O$5:$O$304,MATCH(A200,Ingredients!$A$5:$A$304,0)),""))</f>
        <v>0</v>
      </c>
      <c r="Z200" s="8">
        <f>IF(A200="","",IF(O200="Yes","Bought",IF(N200="Yes","To buy","Not needed")))</f>
        <v>0</v>
      </c>
      <c r="AA200" s="25"/>
    </row>
    <row r="201" spans="1:27">
      <c r="A201" s="7"/>
      <c r="B201" s="8">
        <f>IF(A201="","",IFERROR(INDEX(Ingredients!$B$5:$B$304,MATCH(A201,Ingredients!$A$5:$A$304,0)),""))</f>
        <v>0</v>
      </c>
      <c r="C201" s="26"/>
      <c r="D201" s="27"/>
      <c r="E201" s="27"/>
      <c r="F201" s="7"/>
      <c r="G201" s="8">
        <f>IF(A201="","",IFERROR(INDEX(Ingredients!$D$5:$D$304,MATCH(A201,Ingredients!$A$5:$A$304,0)),""))</f>
        <v>0</v>
      </c>
      <c r="H201" s="8">
        <f>IF(OR(A201="",C201="",G201=""),"",C201*G201)</f>
        <v>0</v>
      </c>
      <c r="I201" s="26"/>
      <c r="J201" s="8">
        <f>IF(OR(C201="",I201="",I201=0),"",CEILING(C201/I201,1))</f>
        <v>0</v>
      </c>
      <c r="K201" s="8">
        <f>IF(OR(J201="",I201="",G201=""),"",J201*I201*G201)</f>
        <v>0</v>
      </c>
      <c r="L201" s="8">
        <f>IF(A201="","",SUMIFS(Pantry!$C$5:$C$304,Pantry!$A$5:$A$304,A201))</f>
        <v>0</v>
      </c>
      <c r="M201" s="8">
        <f>IF(OR(A201="",C201=""),"",MAX(0,C201-L201))</f>
        <v>0</v>
      </c>
      <c r="N201" s="27"/>
      <c r="O201" s="27"/>
      <c r="P201" s="30"/>
      <c r="Q201" s="28"/>
      <c r="R201" s="8">
        <f>IF(OR(Q201="",H201=""),"",Q201-H201)</f>
        <v>0</v>
      </c>
      <c r="S201" s="8">
        <f>IF(M201="","",COUNTIFS($M$5:$M$304,"&gt;"&amp;M201)+1)</f>
        <v>0</v>
      </c>
      <c r="T201" s="8">
        <f>IF(H201="","",H201+ROW()/1000000)</f>
        <v>0</v>
      </c>
      <c r="U201" s="8">
        <f>IF(OR(N201&lt;&gt;"Yes",T201=""),"",COUNTIFS($N$5:$N$304,"Yes",$T$5:$T$304,"&lt;"&amp;T201)+1)</f>
        <v>0</v>
      </c>
      <c r="V201" s="8">
        <f>IF(A201="","",IF(O201="Yes","Bought",IF(M201&lt;=0,"Have it",IF(N201&lt;&gt;"Yes","Skip",IF(S201&lt;=10,"Must have","Nice to have")))))</f>
        <v>0</v>
      </c>
      <c r="W201" s="30"/>
      <c r="X201" s="8">
        <f>IF(A201="","",IFERROR(INDEX('Recipe Ingredients'!$A$5:$A$1204,MATCH(A201,'Recipe Ingredients'!$B$5:$B$1204,0)),""))</f>
        <v>0</v>
      </c>
      <c r="Y201" s="8">
        <f>IF(A201="","",IFERROR(INDEX(Ingredients!$O$5:$O$304,MATCH(A201,Ingredients!$A$5:$A$304,0)),""))</f>
        <v>0</v>
      </c>
      <c r="Z201" s="8">
        <f>IF(A201="","",IF(O201="Yes","Bought",IF(N201="Yes","To buy","Not needed")))</f>
        <v>0</v>
      </c>
      <c r="AA201" s="25"/>
    </row>
    <row r="202" spans="1:27">
      <c r="A202" s="7"/>
      <c r="B202" s="8">
        <f>IF(A202="","",IFERROR(INDEX(Ingredients!$B$5:$B$304,MATCH(A202,Ingredients!$A$5:$A$304,0)),""))</f>
        <v>0</v>
      </c>
      <c r="C202" s="26"/>
      <c r="D202" s="27"/>
      <c r="E202" s="27"/>
      <c r="F202" s="7"/>
      <c r="G202" s="8">
        <f>IF(A202="","",IFERROR(INDEX(Ingredients!$D$5:$D$304,MATCH(A202,Ingredients!$A$5:$A$304,0)),""))</f>
        <v>0</v>
      </c>
      <c r="H202" s="8">
        <f>IF(OR(A202="",C202="",G202=""),"",C202*G202)</f>
        <v>0</v>
      </c>
      <c r="I202" s="26"/>
      <c r="J202" s="8">
        <f>IF(OR(C202="",I202="",I202=0),"",CEILING(C202/I202,1))</f>
        <v>0</v>
      </c>
      <c r="K202" s="8">
        <f>IF(OR(J202="",I202="",G202=""),"",J202*I202*G202)</f>
        <v>0</v>
      </c>
      <c r="L202" s="8">
        <f>IF(A202="","",SUMIFS(Pantry!$C$5:$C$304,Pantry!$A$5:$A$304,A202))</f>
        <v>0</v>
      </c>
      <c r="M202" s="8">
        <f>IF(OR(A202="",C202=""),"",MAX(0,C202-L202))</f>
        <v>0</v>
      </c>
      <c r="N202" s="27"/>
      <c r="O202" s="27"/>
      <c r="P202" s="30"/>
      <c r="Q202" s="28"/>
      <c r="R202" s="8">
        <f>IF(OR(Q202="",H202=""),"",Q202-H202)</f>
        <v>0</v>
      </c>
      <c r="S202" s="8">
        <f>IF(M202="","",COUNTIFS($M$5:$M$304,"&gt;"&amp;M202)+1)</f>
        <v>0</v>
      </c>
      <c r="T202" s="8">
        <f>IF(H202="","",H202+ROW()/1000000)</f>
        <v>0</v>
      </c>
      <c r="U202" s="8">
        <f>IF(OR(N202&lt;&gt;"Yes",T202=""),"",COUNTIFS($N$5:$N$304,"Yes",$T$5:$T$304,"&lt;"&amp;T202)+1)</f>
        <v>0</v>
      </c>
      <c r="V202" s="8">
        <f>IF(A202="","",IF(O202="Yes","Bought",IF(M202&lt;=0,"Have it",IF(N202&lt;&gt;"Yes","Skip",IF(S202&lt;=10,"Must have","Nice to have")))))</f>
        <v>0</v>
      </c>
      <c r="W202" s="30"/>
      <c r="X202" s="8">
        <f>IF(A202="","",IFERROR(INDEX('Recipe Ingredients'!$A$5:$A$1204,MATCH(A202,'Recipe Ingredients'!$B$5:$B$1204,0)),""))</f>
        <v>0</v>
      </c>
      <c r="Y202" s="8">
        <f>IF(A202="","",IFERROR(INDEX(Ingredients!$O$5:$O$304,MATCH(A202,Ingredients!$A$5:$A$304,0)),""))</f>
        <v>0</v>
      </c>
      <c r="Z202" s="8">
        <f>IF(A202="","",IF(O202="Yes","Bought",IF(N202="Yes","To buy","Not needed")))</f>
        <v>0</v>
      </c>
      <c r="AA202" s="25"/>
    </row>
    <row r="203" spans="1:27">
      <c r="A203" s="7"/>
      <c r="B203" s="8">
        <f>IF(A203="","",IFERROR(INDEX(Ingredients!$B$5:$B$304,MATCH(A203,Ingredients!$A$5:$A$304,0)),""))</f>
        <v>0</v>
      </c>
      <c r="C203" s="26"/>
      <c r="D203" s="27"/>
      <c r="E203" s="27"/>
      <c r="F203" s="7"/>
      <c r="G203" s="8">
        <f>IF(A203="","",IFERROR(INDEX(Ingredients!$D$5:$D$304,MATCH(A203,Ingredients!$A$5:$A$304,0)),""))</f>
        <v>0</v>
      </c>
      <c r="H203" s="8">
        <f>IF(OR(A203="",C203="",G203=""),"",C203*G203)</f>
        <v>0</v>
      </c>
      <c r="I203" s="26"/>
      <c r="J203" s="8">
        <f>IF(OR(C203="",I203="",I203=0),"",CEILING(C203/I203,1))</f>
        <v>0</v>
      </c>
      <c r="K203" s="8">
        <f>IF(OR(J203="",I203="",G203=""),"",J203*I203*G203)</f>
        <v>0</v>
      </c>
      <c r="L203" s="8">
        <f>IF(A203="","",SUMIFS(Pantry!$C$5:$C$304,Pantry!$A$5:$A$304,A203))</f>
        <v>0</v>
      </c>
      <c r="M203" s="8">
        <f>IF(OR(A203="",C203=""),"",MAX(0,C203-L203))</f>
        <v>0</v>
      </c>
      <c r="N203" s="27"/>
      <c r="O203" s="27"/>
      <c r="P203" s="30"/>
      <c r="Q203" s="28"/>
      <c r="R203" s="8">
        <f>IF(OR(Q203="",H203=""),"",Q203-H203)</f>
        <v>0</v>
      </c>
      <c r="S203" s="8">
        <f>IF(M203="","",COUNTIFS($M$5:$M$304,"&gt;"&amp;M203)+1)</f>
        <v>0</v>
      </c>
      <c r="T203" s="8">
        <f>IF(H203="","",H203+ROW()/1000000)</f>
        <v>0</v>
      </c>
      <c r="U203" s="8">
        <f>IF(OR(N203&lt;&gt;"Yes",T203=""),"",COUNTIFS($N$5:$N$304,"Yes",$T$5:$T$304,"&lt;"&amp;T203)+1)</f>
        <v>0</v>
      </c>
      <c r="V203" s="8">
        <f>IF(A203="","",IF(O203="Yes","Bought",IF(M203&lt;=0,"Have it",IF(N203&lt;&gt;"Yes","Skip",IF(S203&lt;=10,"Must have","Nice to have")))))</f>
        <v>0</v>
      </c>
      <c r="W203" s="30"/>
      <c r="X203" s="8">
        <f>IF(A203="","",IFERROR(INDEX('Recipe Ingredients'!$A$5:$A$1204,MATCH(A203,'Recipe Ingredients'!$B$5:$B$1204,0)),""))</f>
        <v>0</v>
      </c>
      <c r="Y203" s="8">
        <f>IF(A203="","",IFERROR(INDEX(Ingredients!$O$5:$O$304,MATCH(A203,Ingredients!$A$5:$A$304,0)),""))</f>
        <v>0</v>
      </c>
      <c r="Z203" s="8">
        <f>IF(A203="","",IF(O203="Yes","Bought",IF(N203="Yes","To buy","Not needed")))</f>
        <v>0</v>
      </c>
      <c r="AA203" s="25"/>
    </row>
    <row r="204" spans="1:27">
      <c r="A204" s="7"/>
      <c r="B204" s="8">
        <f>IF(A204="","",IFERROR(INDEX(Ingredients!$B$5:$B$304,MATCH(A204,Ingredients!$A$5:$A$304,0)),""))</f>
        <v>0</v>
      </c>
      <c r="C204" s="26"/>
      <c r="D204" s="27"/>
      <c r="E204" s="27"/>
      <c r="F204" s="7"/>
      <c r="G204" s="8">
        <f>IF(A204="","",IFERROR(INDEX(Ingredients!$D$5:$D$304,MATCH(A204,Ingredients!$A$5:$A$304,0)),""))</f>
        <v>0</v>
      </c>
      <c r="H204" s="8">
        <f>IF(OR(A204="",C204="",G204=""),"",C204*G204)</f>
        <v>0</v>
      </c>
      <c r="I204" s="26"/>
      <c r="J204" s="8">
        <f>IF(OR(C204="",I204="",I204=0),"",CEILING(C204/I204,1))</f>
        <v>0</v>
      </c>
      <c r="K204" s="8">
        <f>IF(OR(J204="",I204="",G204=""),"",J204*I204*G204)</f>
        <v>0</v>
      </c>
      <c r="L204" s="8">
        <f>IF(A204="","",SUMIFS(Pantry!$C$5:$C$304,Pantry!$A$5:$A$304,A204))</f>
        <v>0</v>
      </c>
      <c r="M204" s="8">
        <f>IF(OR(A204="",C204=""),"",MAX(0,C204-L204))</f>
        <v>0</v>
      </c>
      <c r="N204" s="27"/>
      <c r="O204" s="27"/>
      <c r="P204" s="30"/>
      <c r="Q204" s="28"/>
      <c r="R204" s="8">
        <f>IF(OR(Q204="",H204=""),"",Q204-H204)</f>
        <v>0</v>
      </c>
      <c r="S204" s="8">
        <f>IF(M204="","",COUNTIFS($M$5:$M$304,"&gt;"&amp;M204)+1)</f>
        <v>0</v>
      </c>
      <c r="T204" s="8">
        <f>IF(H204="","",H204+ROW()/1000000)</f>
        <v>0</v>
      </c>
      <c r="U204" s="8">
        <f>IF(OR(N204&lt;&gt;"Yes",T204=""),"",COUNTIFS($N$5:$N$304,"Yes",$T$5:$T$304,"&lt;"&amp;T204)+1)</f>
        <v>0</v>
      </c>
      <c r="V204" s="8">
        <f>IF(A204="","",IF(O204="Yes","Bought",IF(M204&lt;=0,"Have it",IF(N204&lt;&gt;"Yes","Skip",IF(S204&lt;=10,"Must have","Nice to have")))))</f>
        <v>0</v>
      </c>
      <c r="W204" s="30"/>
      <c r="X204" s="8">
        <f>IF(A204="","",IFERROR(INDEX('Recipe Ingredients'!$A$5:$A$1204,MATCH(A204,'Recipe Ingredients'!$B$5:$B$1204,0)),""))</f>
        <v>0</v>
      </c>
      <c r="Y204" s="8">
        <f>IF(A204="","",IFERROR(INDEX(Ingredients!$O$5:$O$304,MATCH(A204,Ingredients!$A$5:$A$304,0)),""))</f>
        <v>0</v>
      </c>
      <c r="Z204" s="8">
        <f>IF(A204="","",IF(O204="Yes","Bought",IF(N204="Yes","To buy","Not needed")))</f>
        <v>0</v>
      </c>
      <c r="AA204" s="25"/>
    </row>
    <row r="205" spans="1:27">
      <c r="A205" s="7"/>
      <c r="B205" s="8">
        <f>IF(A205="","",IFERROR(INDEX(Ingredients!$B$5:$B$304,MATCH(A205,Ingredients!$A$5:$A$304,0)),""))</f>
        <v>0</v>
      </c>
      <c r="C205" s="26"/>
      <c r="D205" s="27"/>
      <c r="E205" s="27"/>
      <c r="F205" s="7"/>
      <c r="G205" s="8">
        <f>IF(A205="","",IFERROR(INDEX(Ingredients!$D$5:$D$304,MATCH(A205,Ingredients!$A$5:$A$304,0)),""))</f>
        <v>0</v>
      </c>
      <c r="H205" s="8">
        <f>IF(OR(A205="",C205="",G205=""),"",C205*G205)</f>
        <v>0</v>
      </c>
      <c r="I205" s="26"/>
      <c r="J205" s="8">
        <f>IF(OR(C205="",I205="",I205=0),"",CEILING(C205/I205,1))</f>
        <v>0</v>
      </c>
      <c r="K205" s="8">
        <f>IF(OR(J205="",I205="",G205=""),"",J205*I205*G205)</f>
        <v>0</v>
      </c>
      <c r="L205" s="8">
        <f>IF(A205="","",SUMIFS(Pantry!$C$5:$C$304,Pantry!$A$5:$A$304,A205))</f>
        <v>0</v>
      </c>
      <c r="M205" s="8">
        <f>IF(OR(A205="",C205=""),"",MAX(0,C205-L205))</f>
        <v>0</v>
      </c>
      <c r="N205" s="27"/>
      <c r="O205" s="27"/>
      <c r="P205" s="30"/>
      <c r="Q205" s="28"/>
      <c r="R205" s="8">
        <f>IF(OR(Q205="",H205=""),"",Q205-H205)</f>
        <v>0</v>
      </c>
      <c r="S205" s="8">
        <f>IF(M205="","",COUNTIFS($M$5:$M$304,"&gt;"&amp;M205)+1)</f>
        <v>0</v>
      </c>
      <c r="T205" s="8">
        <f>IF(H205="","",H205+ROW()/1000000)</f>
        <v>0</v>
      </c>
      <c r="U205" s="8">
        <f>IF(OR(N205&lt;&gt;"Yes",T205=""),"",COUNTIFS($N$5:$N$304,"Yes",$T$5:$T$304,"&lt;"&amp;T205)+1)</f>
        <v>0</v>
      </c>
      <c r="V205" s="8">
        <f>IF(A205="","",IF(O205="Yes","Bought",IF(M205&lt;=0,"Have it",IF(N205&lt;&gt;"Yes","Skip",IF(S205&lt;=10,"Must have","Nice to have")))))</f>
        <v>0</v>
      </c>
      <c r="W205" s="30"/>
      <c r="X205" s="8">
        <f>IF(A205="","",IFERROR(INDEX('Recipe Ingredients'!$A$5:$A$1204,MATCH(A205,'Recipe Ingredients'!$B$5:$B$1204,0)),""))</f>
        <v>0</v>
      </c>
      <c r="Y205" s="8">
        <f>IF(A205="","",IFERROR(INDEX(Ingredients!$O$5:$O$304,MATCH(A205,Ingredients!$A$5:$A$304,0)),""))</f>
        <v>0</v>
      </c>
      <c r="Z205" s="8">
        <f>IF(A205="","",IF(O205="Yes","Bought",IF(N205="Yes","To buy","Not needed")))</f>
        <v>0</v>
      </c>
      <c r="AA205" s="25"/>
    </row>
    <row r="206" spans="1:27">
      <c r="A206" s="7"/>
      <c r="B206" s="8">
        <f>IF(A206="","",IFERROR(INDEX(Ingredients!$B$5:$B$304,MATCH(A206,Ingredients!$A$5:$A$304,0)),""))</f>
        <v>0</v>
      </c>
      <c r="C206" s="26"/>
      <c r="D206" s="27"/>
      <c r="E206" s="27"/>
      <c r="F206" s="7"/>
      <c r="G206" s="8">
        <f>IF(A206="","",IFERROR(INDEX(Ingredients!$D$5:$D$304,MATCH(A206,Ingredients!$A$5:$A$304,0)),""))</f>
        <v>0</v>
      </c>
      <c r="H206" s="8">
        <f>IF(OR(A206="",C206="",G206=""),"",C206*G206)</f>
        <v>0</v>
      </c>
      <c r="I206" s="26"/>
      <c r="J206" s="8">
        <f>IF(OR(C206="",I206="",I206=0),"",CEILING(C206/I206,1))</f>
        <v>0</v>
      </c>
      <c r="K206" s="8">
        <f>IF(OR(J206="",I206="",G206=""),"",J206*I206*G206)</f>
        <v>0</v>
      </c>
      <c r="L206" s="8">
        <f>IF(A206="","",SUMIFS(Pantry!$C$5:$C$304,Pantry!$A$5:$A$304,A206))</f>
        <v>0</v>
      </c>
      <c r="M206" s="8">
        <f>IF(OR(A206="",C206=""),"",MAX(0,C206-L206))</f>
        <v>0</v>
      </c>
      <c r="N206" s="27"/>
      <c r="O206" s="27"/>
      <c r="P206" s="30"/>
      <c r="Q206" s="28"/>
      <c r="R206" s="8">
        <f>IF(OR(Q206="",H206=""),"",Q206-H206)</f>
        <v>0</v>
      </c>
      <c r="S206" s="8">
        <f>IF(M206="","",COUNTIFS($M$5:$M$304,"&gt;"&amp;M206)+1)</f>
        <v>0</v>
      </c>
      <c r="T206" s="8">
        <f>IF(H206="","",H206+ROW()/1000000)</f>
        <v>0</v>
      </c>
      <c r="U206" s="8">
        <f>IF(OR(N206&lt;&gt;"Yes",T206=""),"",COUNTIFS($N$5:$N$304,"Yes",$T$5:$T$304,"&lt;"&amp;T206)+1)</f>
        <v>0</v>
      </c>
      <c r="V206" s="8">
        <f>IF(A206="","",IF(O206="Yes","Bought",IF(M206&lt;=0,"Have it",IF(N206&lt;&gt;"Yes","Skip",IF(S206&lt;=10,"Must have","Nice to have")))))</f>
        <v>0</v>
      </c>
      <c r="W206" s="30"/>
      <c r="X206" s="8">
        <f>IF(A206="","",IFERROR(INDEX('Recipe Ingredients'!$A$5:$A$1204,MATCH(A206,'Recipe Ingredients'!$B$5:$B$1204,0)),""))</f>
        <v>0</v>
      </c>
      <c r="Y206" s="8">
        <f>IF(A206="","",IFERROR(INDEX(Ingredients!$O$5:$O$304,MATCH(A206,Ingredients!$A$5:$A$304,0)),""))</f>
        <v>0</v>
      </c>
      <c r="Z206" s="8">
        <f>IF(A206="","",IF(O206="Yes","Bought",IF(N206="Yes","To buy","Not needed")))</f>
        <v>0</v>
      </c>
      <c r="AA206" s="25"/>
    </row>
    <row r="207" spans="1:27">
      <c r="A207" s="7"/>
      <c r="B207" s="8">
        <f>IF(A207="","",IFERROR(INDEX(Ingredients!$B$5:$B$304,MATCH(A207,Ingredients!$A$5:$A$304,0)),""))</f>
        <v>0</v>
      </c>
      <c r="C207" s="26"/>
      <c r="D207" s="27"/>
      <c r="E207" s="27"/>
      <c r="F207" s="7"/>
      <c r="G207" s="8">
        <f>IF(A207="","",IFERROR(INDEX(Ingredients!$D$5:$D$304,MATCH(A207,Ingredients!$A$5:$A$304,0)),""))</f>
        <v>0</v>
      </c>
      <c r="H207" s="8">
        <f>IF(OR(A207="",C207="",G207=""),"",C207*G207)</f>
        <v>0</v>
      </c>
      <c r="I207" s="26"/>
      <c r="J207" s="8">
        <f>IF(OR(C207="",I207="",I207=0),"",CEILING(C207/I207,1))</f>
        <v>0</v>
      </c>
      <c r="K207" s="8">
        <f>IF(OR(J207="",I207="",G207=""),"",J207*I207*G207)</f>
        <v>0</v>
      </c>
      <c r="L207" s="8">
        <f>IF(A207="","",SUMIFS(Pantry!$C$5:$C$304,Pantry!$A$5:$A$304,A207))</f>
        <v>0</v>
      </c>
      <c r="M207" s="8">
        <f>IF(OR(A207="",C207=""),"",MAX(0,C207-L207))</f>
        <v>0</v>
      </c>
      <c r="N207" s="27"/>
      <c r="O207" s="27"/>
      <c r="P207" s="30"/>
      <c r="Q207" s="28"/>
      <c r="R207" s="8">
        <f>IF(OR(Q207="",H207=""),"",Q207-H207)</f>
        <v>0</v>
      </c>
      <c r="S207" s="8">
        <f>IF(M207="","",COUNTIFS($M$5:$M$304,"&gt;"&amp;M207)+1)</f>
        <v>0</v>
      </c>
      <c r="T207" s="8">
        <f>IF(H207="","",H207+ROW()/1000000)</f>
        <v>0</v>
      </c>
      <c r="U207" s="8">
        <f>IF(OR(N207&lt;&gt;"Yes",T207=""),"",COUNTIFS($N$5:$N$304,"Yes",$T$5:$T$304,"&lt;"&amp;T207)+1)</f>
        <v>0</v>
      </c>
      <c r="V207" s="8">
        <f>IF(A207="","",IF(O207="Yes","Bought",IF(M207&lt;=0,"Have it",IF(N207&lt;&gt;"Yes","Skip",IF(S207&lt;=10,"Must have","Nice to have")))))</f>
        <v>0</v>
      </c>
      <c r="W207" s="30"/>
      <c r="X207" s="8">
        <f>IF(A207="","",IFERROR(INDEX('Recipe Ingredients'!$A$5:$A$1204,MATCH(A207,'Recipe Ingredients'!$B$5:$B$1204,0)),""))</f>
        <v>0</v>
      </c>
      <c r="Y207" s="8">
        <f>IF(A207="","",IFERROR(INDEX(Ingredients!$O$5:$O$304,MATCH(A207,Ingredients!$A$5:$A$304,0)),""))</f>
        <v>0</v>
      </c>
      <c r="Z207" s="8">
        <f>IF(A207="","",IF(O207="Yes","Bought",IF(N207="Yes","To buy","Not needed")))</f>
        <v>0</v>
      </c>
      <c r="AA207" s="25"/>
    </row>
    <row r="208" spans="1:27">
      <c r="A208" s="7"/>
      <c r="B208" s="8">
        <f>IF(A208="","",IFERROR(INDEX(Ingredients!$B$5:$B$304,MATCH(A208,Ingredients!$A$5:$A$304,0)),""))</f>
        <v>0</v>
      </c>
      <c r="C208" s="26"/>
      <c r="D208" s="27"/>
      <c r="E208" s="27"/>
      <c r="F208" s="7"/>
      <c r="G208" s="8">
        <f>IF(A208="","",IFERROR(INDEX(Ingredients!$D$5:$D$304,MATCH(A208,Ingredients!$A$5:$A$304,0)),""))</f>
        <v>0</v>
      </c>
      <c r="H208" s="8">
        <f>IF(OR(A208="",C208="",G208=""),"",C208*G208)</f>
        <v>0</v>
      </c>
      <c r="I208" s="26"/>
      <c r="J208" s="8">
        <f>IF(OR(C208="",I208="",I208=0),"",CEILING(C208/I208,1))</f>
        <v>0</v>
      </c>
      <c r="K208" s="8">
        <f>IF(OR(J208="",I208="",G208=""),"",J208*I208*G208)</f>
        <v>0</v>
      </c>
      <c r="L208" s="8">
        <f>IF(A208="","",SUMIFS(Pantry!$C$5:$C$304,Pantry!$A$5:$A$304,A208))</f>
        <v>0</v>
      </c>
      <c r="M208" s="8">
        <f>IF(OR(A208="",C208=""),"",MAX(0,C208-L208))</f>
        <v>0</v>
      </c>
      <c r="N208" s="27"/>
      <c r="O208" s="27"/>
      <c r="P208" s="30"/>
      <c r="Q208" s="28"/>
      <c r="R208" s="8">
        <f>IF(OR(Q208="",H208=""),"",Q208-H208)</f>
        <v>0</v>
      </c>
      <c r="S208" s="8">
        <f>IF(M208="","",COUNTIFS($M$5:$M$304,"&gt;"&amp;M208)+1)</f>
        <v>0</v>
      </c>
      <c r="T208" s="8">
        <f>IF(H208="","",H208+ROW()/1000000)</f>
        <v>0</v>
      </c>
      <c r="U208" s="8">
        <f>IF(OR(N208&lt;&gt;"Yes",T208=""),"",COUNTIFS($N$5:$N$304,"Yes",$T$5:$T$304,"&lt;"&amp;T208)+1)</f>
        <v>0</v>
      </c>
      <c r="V208" s="8">
        <f>IF(A208="","",IF(O208="Yes","Bought",IF(M208&lt;=0,"Have it",IF(N208&lt;&gt;"Yes","Skip",IF(S208&lt;=10,"Must have","Nice to have")))))</f>
        <v>0</v>
      </c>
      <c r="W208" s="30"/>
      <c r="X208" s="8">
        <f>IF(A208="","",IFERROR(INDEX('Recipe Ingredients'!$A$5:$A$1204,MATCH(A208,'Recipe Ingredients'!$B$5:$B$1204,0)),""))</f>
        <v>0</v>
      </c>
      <c r="Y208" s="8">
        <f>IF(A208="","",IFERROR(INDEX(Ingredients!$O$5:$O$304,MATCH(A208,Ingredients!$A$5:$A$304,0)),""))</f>
        <v>0</v>
      </c>
      <c r="Z208" s="8">
        <f>IF(A208="","",IF(O208="Yes","Bought",IF(N208="Yes","To buy","Not needed")))</f>
        <v>0</v>
      </c>
      <c r="AA208" s="25"/>
    </row>
    <row r="209" spans="1:27">
      <c r="A209" s="7"/>
      <c r="B209" s="8">
        <f>IF(A209="","",IFERROR(INDEX(Ingredients!$B$5:$B$304,MATCH(A209,Ingredients!$A$5:$A$304,0)),""))</f>
        <v>0</v>
      </c>
      <c r="C209" s="26"/>
      <c r="D209" s="27"/>
      <c r="E209" s="27"/>
      <c r="F209" s="7"/>
      <c r="G209" s="8">
        <f>IF(A209="","",IFERROR(INDEX(Ingredients!$D$5:$D$304,MATCH(A209,Ingredients!$A$5:$A$304,0)),""))</f>
        <v>0</v>
      </c>
      <c r="H209" s="8">
        <f>IF(OR(A209="",C209="",G209=""),"",C209*G209)</f>
        <v>0</v>
      </c>
      <c r="I209" s="26"/>
      <c r="J209" s="8">
        <f>IF(OR(C209="",I209="",I209=0),"",CEILING(C209/I209,1))</f>
        <v>0</v>
      </c>
      <c r="K209" s="8">
        <f>IF(OR(J209="",I209="",G209=""),"",J209*I209*G209)</f>
        <v>0</v>
      </c>
      <c r="L209" s="8">
        <f>IF(A209="","",SUMIFS(Pantry!$C$5:$C$304,Pantry!$A$5:$A$304,A209))</f>
        <v>0</v>
      </c>
      <c r="M209" s="8">
        <f>IF(OR(A209="",C209=""),"",MAX(0,C209-L209))</f>
        <v>0</v>
      </c>
      <c r="N209" s="27"/>
      <c r="O209" s="27"/>
      <c r="P209" s="30"/>
      <c r="Q209" s="28"/>
      <c r="R209" s="8">
        <f>IF(OR(Q209="",H209=""),"",Q209-H209)</f>
        <v>0</v>
      </c>
      <c r="S209" s="8">
        <f>IF(M209="","",COUNTIFS($M$5:$M$304,"&gt;"&amp;M209)+1)</f>
        <v>0</v>
      </c>
      <c r="T209" s="8">
        <f>IF(H209="","",H209+ROW()/1000000)</f>
        <v>0</v>
      </c>
      <c r="U209" s="8">
        <f>IF(OR(N209&lt;&gt;"Yes",T209=""),"",COUNTIFS($N$5:$N$304,"Yes",$T$5:$T$304,"&lt;"&amp;T209)+1)</f>
        <v>0</v>
      </c>
      <c r="V209" s="8">
        <f>IF(A209="","",IF(O209="Yes","Bought",IF(M209&lt;=0,"Have it",IF(N209&lt;&gt;"Yes","Skip",IF(S209&lt;=10,"Must have","Nice to have")))))</f>
        <v>0</v>
      </c>
      <c r="W209" s="30"/>
      <c r="X209" s="8">
        <f>IF(A209="","",IFERROR(INDEX('Recipe Ingredients'!$A$5:$A$1204,MATCH(A209,'Recipe Ingredients'!$B$5:$B$1204,0)),""))</f>
        <v>0</v>
      </c>
      <c r="Y209" s="8">
        <f>IF(A209="","",IFERROR(INDEX(Ingredients!$O$5:$O$304,MATCH(A209,Ingredients!$A$5:$A$304,0)),""))</f>
        <v>0</v>
      </c>
      <c r="Z209" s="8">
        <f>IF(A209="","",IF(O209="Yes","Bought",IF(N209="Yes","To buy","Not needed")))</f>
        <v>0</v>
      </c>
      <c r="AA209" s="25"/>
    </row>
    <row r="210" spans="1:27">
      <c r="A210" s="7"/>
      <c r="B210" s="8">
        <f>IF(A210="","",IFERROR(INDEX(Ingredients!$B$5:$B$304,MATCH(A210,Ingredients!$A$5:$A$304,0)),""))</f>
        <v>0</v>
      </c>
      <c r="C210" s="26"/>
      <c r="D210" s="27"/>
      <c r="E210" s="27"/>
      <c r="F210" s="7"/>
      <c r="G210" s="8">
        <f>IF(A210="","",IFERROR(INDEX(Ingredients!$D$5:$D$304,MATCH(A210,Ingredients!$A$5:$A$304,0)),""))</f>
        <v>0</v>
      </c>
      <c r="H210" s="8">
        <f>IF(OR(A210="",C210="",G210=""),"",C210*G210)</f>
        <v>0</v>
      </c>
      <c r="I210" s="26"/>
      <c r="J210" s="8">
        <f>IF(OR(C210="",I210="",I210=0),"",CEILING(C210/I210,1))</f>
        <v>0</v>
      </c>
      <c r="K210" s="8">
        <f>IF(OR(J210="",I210="",G210=""),"",J210*I210*G210)</f>
        <v>0</v>
      </c>
      <c r="L210" s="8">
        <f>IF(A210="","",SUMIFS(Pantry!$C$5:$C$304,Pantry!$A$5:$A$304,A210))</f>
        <v>0</v>
      </c>
      <c r="M210" s="8">
        <f>IF(OR(A210="",C210=""),"",MAX(0,C210-L210))</f>
        <v>0</v>
      </c>
      <c r="N210" s="27"/>
      <c r="O210" s="27"/>
      <c r="P210" s="30"/>
      <c r="Q210" s="28"/>
      <c r="R210" s="8">
        <f>IF(OR(Q210="",H210=""),"",Q210-H210)</f>
        <v>0</v>
      </c>
      <c r="S210" s="8">
        <f>IF(M210="","",COUNTIFS($M$5:$M$304,"&gt;"&amp;M210)+1)</f>
        <v>0</v>
      </c>
      <c r="T210" s="8">
        <f>IF(H210="","",H210+ROW()/1000000)</f>
        <v>0</v>
      </c>
      <c r="U210" s="8">
        <f>IF(OR(N210&lt;&gt;"Yes",T210=""),"",COUNTIFS($N$5:$N$304,"Yes",$T$5:$T$304,"&lt;"&amp;T210)+1)</f>
        <v>0</v>
      </c>
      <c r="V210" s="8">
        <f>IF(A210="","",IF(O210="Yes","Bought",IF(M210&lt;=0,"Have it",IF(N210&lt;&gt;"Yes","Skip",IF(S210&lt;=10,"Must have","Nice to have")))))</f>
        <v>0</v>
      </c>
      <c r="W210" s="30"/>
      <c r="X210" s="8">
        <f>IF(A210="","",IFERROR(INDEX('Recipe Ingredients'!$A$5:$A$1204,MATCH(A210,'Recipe Ingredients'!$B$5:$B$1204,0)),""))</f>
        <v>0</v>
      </c>
      <c r="Y210" s="8">
        <f>IF(A210="","",IFERROR(INDEX(Ingredients!$O$5:$O$304,MATCH(A210,Ingredients!$A$5:$A$304,0)),""))</f>
        <v>0</v>
      </c>
      <c r="Z210" s="8">
        <f>IF(A210="","",IF(O210="Yes","Bought",IF(N210="Yes","To buy","Not needed")))</f>
        <v>0</v>
      </c>
      <c r="AA210" s="25"/>
    </row>
    <row r="211" spans="1:27">
      <c r="A211" s="7"/>
      <c r="B211" s="8">
        <f>IF(A211="","",IFERROR(INDEX(Ingredients!$B$5:$B$304,MATCH(A211,Ingredients!$A$5:$A$304,0)),""))</f>
        <v>0</v>
      </c>
      <c r="C211" s="26"/>
      <c r="D211" s="27"/>
      <c r="E211" s="27"/>
      <c r="F211" s="7"/>
      <c r="G211" s="8">
        <f>IF(A211="","",IFERROR(INDEX(Ingredients!$D$5:$D$304,MATCH(A211,Ingredients!$A$5:$A$304,0)),""))</f>
        <v>0</v>
      </c>
      <c r="H211" s="8">
        <f>IF(OR(A211="",C211="",G211=""),"",C211*G211)</f>
        <v>0</v>
      </c>
      <c r="I211" s="26"/>
      <c r="J211" s="8">
        <f>IF(OR(C211="",I211="",I211=0),"",CEILING(C211/I211,1))</f>
        <v>0</v>
      </c>
      <c r="K211" s="8">
        <f>IF(OR(J211="",I211="",G211=""),"",J211*I211*G211)</f>
        <v>0</v>
      </c>
      <c r="L211" s="8">
        <f>IF(A211="","",SUMIFS(Pantry!$C$5:$C$304,Pantry!$A$5:$A$304,A211))</f>
        <v>0</v>
      </c>
      <c r="M211" s="8">
        <f>IF(OR(A211="",C211=""),"",MAX(0,C211-L211))</f>
        <v>0</v>
      </c>
      <c r="N211" s="27"/>
      <c r="O211" s="27"/>
      <c r="P211" s="30"/>
      <c r="Q211" s="28"/>
      <c r="R211" s="8">
        <f>IF(OR(Q211="",H211=""),"",Q211-H211)</f>
        <v>0</v>
      </c>
      <c r="S211" s="8">
        <f>IF(M211="","",COUNTIFS($M$5:$M$304,"&gt;"&amp;M211)+1)</f>
        <v>0</v>
      </c>
      <c r="T211" s="8">
        <f>IF(H211="","",H211+ROW()/1000000)</f>
        <v>0</v>
      </c>
      <c r="U211" s="8">
        <f>IF(OR(N211&lt;&gt;"Yes",T211=""),"",COUNTIFS($N$5:$N$304,"Yes",$T$5:$T$304,"&lt;"&amp;T211)+1)</f>
        <v>0</v>
      </c>
      <c r="V211" s="8">
        <f>IF(A211="","",IF(O211="Yes","Bought",IF(M211&lt;=0,"Have it",IF(N211&lt;&gt;"Yes","Skip",IF(S211&lt;=10,"Must have","Nice to have")))))</f>
        <v>0</v>
      </c>
      <c r="W211" s="30"/>
      <c r="X211" s="8">
        <f>IF(A211="","",IFERROR(INDEX('Recipe Ingredients'!$A$5:$A$1204,MATCH(A211,'Recipe Ingredients'!$B$5:$B$1204,0)),""))</f>
        <v>0</v>
      </c>
      <c r="Y211" s="8">
        <f>IF(A211="","",IFERROR(INDEX(Ingredients!$O$5:$O$304,MATCH(A211,Ingredients!$A$5:$A$304,0)),""))</f>
        <v>0</v>
      </c>
      <c r="Z211" s="8">
        <f>IF(A211="","",IF(O211="Yes","Bought",IF(N211="Yes","To buy","Not needed")))</f>
        <v>0</v>
      </c>
      <c r="AA211" s="25"/>
    </row>
    <row r="212" spans="1:27">
      <c r="A212" s="7"/>
      <c r="B212" s="8">
        <f>IF(A212="","",IFERROR(INDEX(Ingredients!$B$5:$B$304,MATCH(A212,Ingredients!$A$5:$A$304,0)),""))</f>
        <v>0</v>
      </c>
      <c r="C212" s="26"/>
      <c r="D212" s="27"/>
      <c r="E212" s="27"/>
      <c r="F212" s="7"/>
      <c r="G212" s="8">
        <f>IF(A212="","",IFERROR(INDEX(Ingredients!$D$5:$D$304,MATCH(A212,Ingredients!$A$5:$A$304,0)),""))</f>
        <v>0</v>
      </c>
      <c r="H212" s="8">
        <f>IF(OR(A212="",C212="",G212=""),"",C212*G212)</f>
        <v>0</v>
      </c>
      <c r="I212" s="26"/>
      <c r="J212" s="8">
        <f>IF(OR(C212="",I212="",I212=0),"",CEILING(C212/I212,1))</f>
        <v>0</v>
      </c>
      <c r="K212" s="8">
        <f>IF(OR(J212="",I212="",G212=""),"",J212*I212*G212)</f>
        <v>0</v>
      </c>
      <c r="L212" s="8">
        <f>IF(A212="","",SUMIFS(Pantry!$C$5:$C$304,Pantry!$A$5:$A$304,A212))</f>
        <v>0</v>
      </c>
      <c r="M212" s="8">
        <f>IF(OR(A212="",C212=""),"",MAX(0,C212-L212))</f>
        <v>0</v>
      </c>
      <c r="N212" s="27"/>
      <c r="O212" s="27"/>
      <c r="P212" s="30"/>
      <c r="Q212" s="28"/>
      <c r="R212" s="8">
        <f>IF(OR(Q212="",H212=""),"",Q212-H212)</f>
        <v>0</v>
      </c>
      <c r="S212" s="8">
        <f>IF(M212="","",COUNTIFS($M$5:$M$304,"&gt;"&amp;M212)+1)</f>
        <v>0</v>
      </c>
      <c r="T212" s="8">
        <f>IF(H212="","",H212+ROW()/1000000)</f>
        <v>0</v>
      </c>
      <c r="U212" s="8">
        <f>IF(OR(N212&lt;&gt;"Yes",T212=""),"",COUNTIFS($N$5:$N$304,"Yes",$T$5:$T$304,"&lt;"&amp;T212)+1)</f>
        <v>0</v>
      </c>
      <c r="V212" s="8">
        <f>IF(A212="","",IF(O212="Yes","Bought",IF(M212&lt;=0,"Have it",IF(N212&lt;&gt;"Yes","Skip",IF(S212&lt;=10,"Must have","Nice to have")))))</f>
        <v>0</v>
      </c>
      <c r="W212" s="30"/>
      <c r="X212" s="8">
        <f>IF(A212="","",IFERROR(INDEX('Recipe Ingredients'!$A$5:$A$1204,MATCH(A212,'Recipe Ingredients'!$B$5:$B$1204,0)),""))</f>
        <v>0</v>
      </c>
      <c r="Y212" s="8">
        <f>IF(A212="","",IFERROR(INDEX(Ingredients!$O$5:$O$304,MATCH(A212,Ingredients!$A$5:$A$304,0)),""))</f>
        <v>0</v>
      </c>
      <c r="Z212" s="8">
        <f>IF(A212="","",IF(O212="Yes","Bought",IF(N212="Yes","To buy","Not needed")))</f>
        <v>0</v>
      </c>
      <c r="AA212" s="25"/>
    </row>
    <row r="213" spans="1:27">
      <c r="A213" s="7"/>
      <c r="B213" s="8">
        <f>IF(A213="","",IFERROR(INDEX(Ingredients!$B$5:$B$304,MATCH(A213,Ingredients!$A$5:$A$304,0)),""))</f>
        <v>0</v>
      </c>
      <c r="C213" s="26"/>
      <c r="D213" s="27"/>
      <c r="E213" s="27"/>
      <c r="F213" s="7"/>
      <c r="G213" s="8">
        <f>IF(A213="","",IFERROR(INDEX(Ingredients!$D$5:$D$304,MATCH(A213,Ingredients!$A$5:$A$304,0)),""))</f>
        <v>0</v>
      </c>
      <c r="H213" s="8">
        <f>IF(OR(A213="",C213="",G213=""),"",C213*G213)</f>
        <v>0</v>
      </c>
      <c r="I213" s="26"/>
      <c r="J213" s="8">
        <f>IF(OR(C213="",I213="",I213=0),"",CEILING(C213/I213,1))</f>
        <v>0</v>
      </c>
      <c r="K213" s="8">
        <f>IF(OR(J213="",I213="",G213=""),"",J213*I213*G213)</f>
        <v>0</v>
      </c>
      <c r="L213" s="8">
        <f>IF(A213="","",SUMIFS(Pantry!$C$5:$C$304,Pantry!$A$5:$A$304,A213))</f>
        <v>0</v>
      </c>
      <c r="M213" s="8">
        <f>IF(OR(A213="",C213=""),"",MAX(0,C213-L213))</f>
        <v>0</v>
      </c>
      <c r="N213" s="27"/>
      <c r="O213" s="27"/>
      <c r="P213" s="30"/>
      <c r="Q213" s="28"/>
      <c r="R213" s="8">
        <f>IF(OR(Q213="",H213=""),"",Q213-H213)</f>
        <v>0</v>
      </c>
      <c r="S213" s="8">
        <f>IF(M213="","",COUNTIFS($M$5:$M$304,"&gt;"&amp;M213)+1)</f>
        <v>0</v>
      </c>
      <c r="T213" s="8">
        <f>IF(H213="","",H213+ROW()/1000000)</f>
        <v>0</v>
      </c>
      <c r="U213" s="8">
        <f>IF(OR(N213&lt;&gt;"Yes",T213=""),"",COUNTIFS($N$5:$N$304,"Yes",$T$5:$T$304,"&lt;"&amp;T213)+1)</f>
        <v>0</v>
      </c>
      <c r="V213" s="8">
        <f>IF(A213="","",IF(O213="Yes","Bought",IF(M213&lt;=0,"Have it",IF(N213&lt;&gt;"Yes","Skip",IF(S213&lt;=10,"Must have","Nice to have")))))</f>
        <v>0</v>
      </c>
      <c r="W213" s="30"/>
      <c r="X213" s="8">
        <f>IF(A213="","",IFERROR(INDEX('Recipe Ingredients'!$A$5:$A$1204,MATCH(A213,'Recipe Ingredients'!$B$5:$B$1204,0)),""))</f>
        <v>0</v>
      </c>
      <c r="Y213" s="8">
        <f>IF(A213="","",IFERROR(INDEX(Ingredients!$O$5:$O$304,MATCH(A213,Ingredients!$A$5:$A$304,0)),""))</f>
        <v>0</v>
      </c>
      <c r="Z213" s="8">
        <f>IF(A213="","",IF(O213="Yes","Bought",IF(N213="Yes","To buy","Not needed")))</f>
        <v>0</v>
      </c>
      <c r="AA213" s="25"/>
    </row>
    <row r="214" spans="1:27">
      <c r="A214" s="7"/>
      <c r="B214" s="8">
        <f>IF(A214="","",IFERROR(INDEX(Ingredients!$B$5:$B$304,MATCH(A214,Ingredients!$A$5:$A$304,0)),""))</f>
        <v>0</v>
      </c>
      <c r="C214" s="26"/>
      <c r="D214" s="27"/>
      <c r="E214" s="27"/>
      <c r="F214" s="7"/>
      <c r="G214" s="8">
        <f>IF(A214="","",IFERROR(INDEX(Ingredients!$D$5:$D$304,MATCH(A214,Ingredients!$A$5:$A$304,0)),""))</f>
        <v>0</v>
      </c>
      <c r="H214" s="8">
        <f>IF(OR(A214="",C214="",G214=""),"",C214*G214)</f>
        <v>0</v>
      </c>
      <c r="I214" s="26"/>
      <c r="J214" s="8">
        <f>IF(OR(C214="",I214="",I214=0),"",CEILING(C214/I214,1))</f>
        <v>0</v>
      </c>
      <c r="K214" s="8">
        <f>IF(OR(J214="",I214="",G214=""),"",J214*I214*G214)</f>
        <v>0</v>
      </c>
      <c r="L214" s="8">
        <f>IF(A214="","",SUMIFS(Pantry!$C$5:$C$304,Pantry!$A$5:$A$304,A214))</f>
        <v>0</v>
      </c>
      <c r="M214" s="8">
        <f>IF(OR(A214="",C214=""),"",MAX(0,C214-L214))</f>
        <v>0</v>
      </c>
      <c r="N214" s="27"/>
      <c r="O214" s="27"/>
      <c r="P214" s="30"/>
      <c r="Q214" s="28"/>
      <c r="R214" s="8">
        <f>IF(OR(Q214="",H214=""),"",Q214-H214)</f>
        <v>0</v>
      </c>
      <c r="S214" s="8">
        <f>IF(M214="","",COUNTIFS($M$5:$M$304,"&gt;"&amp;M214)+1)</f>
        <v>0</v>
      </c>
      <c r="T214" s="8">
        <f>IF(H214="","",H214+ROW()/1000000)</f>
        <v>0</v>
      </c>
      <c r="U214" s="8">
        <f>IF(OR(N214&lt;&gt;"Yes",T214=""),"",COUNTIFS($N$5:$N$304,"Yes",$T$5:$T$304,"&lt;"&amp;T214)+1)</f>
        <v>0</v>
      </c>
      <c r="V214" s="8">
        <f>IF(A214="","",IF(O214="Yes","Bought",IF(M214&lt;=0,"Have it",IF(N214&lt;&gt;"Yes","Skip",IF(S214&lt;=10,"Must have","Nice to have")))))</f>
        <v>0</v>
      </c>
      <c r="W214" s="30"/>
      <c r="X214" s="8">
        <f>IF(A214="","",IFERROR(INDEX('Recipe Ingredients'!$A$5:$A$1204,MATCH(A214,'Recipe Ingredients'!$B$5:$B$1204,0)),""))</f>
        <v>0</v>
      </c>
      <c r="Y214" s="8">
        <f>IF(A214="","",IFERROR(INDEX(Ingredients!$O$5:$O$304,MATCH(A214,Ingredients!$A$5:$A$304,0)),""))</f>
        <v>0</v>
      </c>
      <c r="Z214" s="8">
        <f>IF(A214="","",IF(O214="Yes","Bought",IF(N214="Yes","To buy","Not needed")))</f>
        <v>0</v>
      </c>
      <c r="AA214" s="25"/>
    </row>
    <row r="215" spans="1:27">
      <c r="A215" s="7"/>
      <c r="B215" s="8">
        <f>IF(A215="","",IFERROR(INDEX(Ingredients!$B$5:$B$304,MATCH(A215,Ingredients!$A$5:$A$304,0)),""))</f>
        <v>0</v>
      </c>
      <c r="C215" s="26"/>
      <c r="D215" s="27"/>
      <c r="E215" s="27"/>
      <c r="F215" s="7"/>
      <c r="G215" s="8">
        <f>IF(A215="","",IFERROR(INDEX(Ingredients!$D$5:$D$304,MATCH(A215,Ingredients!$A$5:$A$304,0)),""))</f>
        <v>0</v>
      </c>
      <c r="H215" s="8">
        <f>IF(OR(A215="",C215="",G215=""),"",C215*G215)</f>
        <v>0</v>
      </c>
      <c r="I215" s="26"/>
      <c r="J215" s="8">
        <f>IF(OR(C215="",I215="",I215=0),"",CEILING(C215/I215,1))</f>
        <v>0</v>
      </c>
      <c r="K215" s="8">
        <f>IF(OR(J215="",I215="",G215=""),"",J215*I215*G215)</f>
        <v>0</v>
      </c>
      <c r="L215" s="8">
        <f>IF(A215="","",SUMIFS(Pantry!$C$5:$C$304,Pantry!$A$5:$A$304,A215))</f>
        <v>0</v>
      </c>
      <c r="M215" s="8">
        <f>IF(OR(A215="",C215=""),"",MAX(0,C215-L215))</f>
        <v>0</v>
      </c>
      <c r="N215" s="27"/>
      <c r="O215" s="27"/>
      <c r="P215" s="30"/>
      <c r="Q215" s="28"/>
      <c r="R215" s="8">
        <f>IF(OR(Q215="",H215=""),"",Q215-H215)</f>
        <v>0</v>
      </c>
      <c r="S215" s="8">
        <f>IF(M215="","",COUNTIFS($M$5:$M$304,"&gt;"&amp;M215)+1)</f>
        <v>0</v>
      </c>
      <c r="T215" s="8">
        <f>IF(H215="","",H215+ROW()/1000000)</f>
        <v>0</v>
      </c>
      <c r="U215" s="8">
        <f>IF(OR(N215&lt;&gt;"Yes",T215=""),"",COUNTIFS($N$5:$N$304,"Yes",$T$5:$T$304,"&lt;"&amp;T215)+1)</f>
        <v>0</v>
      </c>
      <c r="V215" s="8">
        <f>IF(A215="","",IF(O215="Yes","Bought",IF(M215&lt;=0,"Have it",IF(N215&lt;&gt;"Yes","Skip",IF(S215&lt;=10,"Must have","Nice to have")))))</f>
        <v>0</v>
      </c>
      <c r="W215" s="30"/>
      <c r="X215" s="8">
        <f>IF(A215="","",IFERROR(INDEX('Recipe Ingredients'!$A$5:$A$1204,MATCH(A215,'Recipe Ingredients'!$B$5:$B$1204,0)),""))</f>
        <v>0</v>
      </c>
      <c r="Y215" s="8">
        <f>IF(A215="","",IFERROR(INDEX(Ingredients!$O$5:$O$304,MATCH(A215,Ingredients!$A$5:$A$304,0)),""))</f>
        <v>0</v>
      </c>
      <c r="Z215" s="8">
        <f>IF(A215="","",IF(O215="Yes","Bought",IF(N215="Yes","To buy","Not needed")))</f>
        <v>0</v>
      </c>
      <c r="AA215" s="25"/>
    </row>
    <row r="216" spans="1:27">
      <c r="A216" s="7"/>
      <c r="B216" s="8">
        <f>IF(A216="","",IFERROR(INDEX(Ingredients!$B$5:$B$304,MATCH(A216,Ingredients!$A$5:$A$304,0)),""))</f>
        <v>0</v>
      </c>
      <c r="C216" s="26"/>
      <c r="D216" s="27"/>
      <c r="E216" s="27"/>
      <c r="F216" s="7"/>
      <c r="G216" s="8">
        <f>IF(A216="","",IFERROR(INDEX(Ingredients!$D$5:$D$304,MATCH(A216,Ingredients!$A$5:$A$304,0)),""))</f>
        <v>0</v>
      </c>
      <c r="H216" s="8">
        <f>IF(OR(A216="",C216="",G216=""),"",C216*G216)</f>
        <v>0</v>
      </c>
      <c r="I216" s="26"/>
      <c r="J216" s="8">
        <f>IF(OR(C216="",I216="",I216=0),"",CEILING(C216/I216,1))</f>
        <v>0</v>
      </c>
      <c r="K216" s="8">
        <f>IF(OR(J216="",I216="",G216=""),"",J216*I216*G216)</f>
        <v>0</v>
      </c>
      <c r="L216" s="8">
        <f>IF(A216="","",SUMIFS(Pantry!$C$5:$C$304,Pantry!$A$5:$A$304,A216))</f>
        <v>0</v>
      </c>
      <c r="M216" s="8">
        <f>IF(OR(A216="",C216=""),"",MAX(0,C216-L216))</f>
        <v>0</v>
      </c>
      <c r="N216" s="27"/>
      <c r="O216" s="27"/>
      <c r="P216" s="30"/>
      <c r="Q216" s="28"/>
      <c r="R216" s="8">
        <f>IF(OR(Q216="",H216=""),"",Q216-H216)</f>
        <v>0</v>
      </c>
      <c r="S216" s="8">
        <f>IF(M216="","",COUNTIFS($M$5:$M$304,"&gt;"&amp;M216)+1)</f>
        <v>0</v>
      </c>
      <c r="T216" s="8">
        <f>IF(H216="","",H216+ROW()/1000000)</f>
        <v>0</v>
      </c>
      <c r="U216" s="8">
        <f>IF(OR(N216&lt;&gt;"Yes",T216=""),"",COUNTIFS($N$5:$N$304,"Yes",$T$5:$T$304,"&lt;"&amp;T216)+1)</f>
        <v>0</v>
      </c>
      <c r="V216" s="8">
        <f>IF(A216="","",IF(O216="Yes","Bought",IF(M216&lt;=0,"Have it",IF(N216&lt;&gt;"Yes","Skip",IF(S216&lt;=10,"Must have","Nice to have")))))</f>
        <v>0</v>
      </c>
      <c r="W216" s="30"/>
      <c r="X216" s="8">
        <f>IF(A216="","",IFERROR(INDEX('Recipe Ingredients'!$A$5:$A$1204,MATCH(A216,'Recipe Ingredients'!$B$5:$B$1204,0)),""))</f>
        <v>0</v>
      </c>
      <c r="Y216" s="8">
        <f>IF(A216="","",IFERROR(INDEX(Ingredients!$O$5:$O$304,MATCH(A216,Ingredients!$A$5:$A$304,0)),""))</f>
        <v>0</v>
      </c>
      <c r="Z216" s="8">
        <f>IF(A216="","",IF(O216="Yes","Bought",IF(N216="Yes","To buy","Not needed")))</f>
        <v>0</v>
      </c>
      <c r="AA216" s="25"/>
    </row>
    <row r="217" spans="1:27">
      <c r="A217" s="7"/>
      <c r="B217" s="8">
        <f>IF(A217="","",IFERROR(INDEX(Ingredients!$B$5:$B$304,MATCH(A217,Ingredients!$A$5:$A$304,0)),""))</f>
        <v>0</v>
      </c>
      <c r="C217" s="26"/>
      <c r="D217" s="27"/>
      <c r="E217" s="27"/>
      <c r="F217" s="7"/>
      <c r="G217" s="8">
        <f>IF(A217="","",IFERROR(INDEX(Ingredients!$D$5:$D$304,MATCH(A217,Ingredients!$A$5:$A$304,0)),""))</f>
        <v>0</v>
      </c>
      <c r="H217" s="8">
        <f>IF(OR(A217="",C217="",G217=""),"",C217*G217)</f>
        <v>0</v>
      </c>
      <c r="I217" s="26"/>
      <c r="J217" s="8">
        <f>IF(OR(C217="",I217="",I217=0),"",CEILING(C217/I217,1))</f>
        <v>0</v>
      </c>
      <c r="K217" s="8">
        <f>IF(OR(J217="",I217="",G217=""),"",J217*I217*G217)</f>
        <v>0</v>
      </c>
      <c r="L217" s="8">
        <f>IF(A217="","",SUMIFS(Pantry!$C$5:$C$304,Pantry!$A$5:$A$304,A217))</f>
        <v>0</v>
      </c>
      <c r="M217" s="8">
        <f>IF(OR(A217="",C217=""),"",MAX(0,C217-L217))</f>
        <v>0</v>
      </c>
      <c r="N217" s="27"/>
      <c r="O217" s="27"/>
      <c r="P217" s="30"/>
      <c r="Q217" s="28"/>
      <c r="R217" s="8">
        <f>IF(OR(Q217="",H217=""),"",Q217-H217)</f>
        <v>0</v>
      </c>
      <c r="S217" s="8">
        <f>IF(M217="","",COUNTIFS($M$5:$M$304,"&gt;"&amp;M217)+1)</f>
        <v>0</v>
      </c>
      <c r="T217" s="8">
        <f>IF(H217="","",H217+ROW()/1000000)</f>
        <v>0</v>
      </c>
      <c r="U217" s="8">
        <f>IF(OR(N217&lt;&gt;"Yes",T217=""),"",COUNTIFS($N$5:$N$304,"Yes",$T$5:$T$304,"&lt;"&amp;T217)+1)</f>
        <v>0</v>
      </c>
      <c r="V217" s="8">
        <f>IF(A217="","",IF(O217="Yes","Bought",IF(M217&lt;=0,"Have it",IF(N217&lt;&gt;"Yes","Skip",IF(S217&lt;=10,"Must have","Nice to have")))))</f>
        <v>0</v>
      </c>
      <c r="W217" s="30"/>
      <c r="X217" s="8">
        <f>IF(A217="","",IFERROR(INDEX('Recipe Ingredients'!$A$5:$A$1204,MATCH(A217,'Recipe Ingredients'!$B$5:$B$1204,0)),""))</f>
        <v>0</v>
      </c>
      <c r="Y217" s="8">
        <f>IF(A217="","",IFERROR(INDEX(Ingredients!$O$5:$O$304,MATCH(A217,Ingredients!$A$5:$A$304,0)),""))</f>
        <v>0</v>
      </c>
      <c r="Z217" s="8">
        <f>IF(A217="","",IF(O217="Yes","Bought",IF(N217="Yes","To buy","Not needed")))</f>
        <v>0</v>
      </c>
      <c r="AA217" s="25"/>
    </row>
    <row r="218" spans="1:27">
      <c r="A218" s="7"/>
      <c r="B218" s="8">
        <f>IF(A218="","",IFERROR(INDEX(Ingredients!$B$5:$B$304,MATCH(A218,Ingredients!$A$5:$A$304,0)),""))</f>
        <v>0</v>
      </c>
      <c r="C218" s="26"/>
      <c r="D218" s="27"/>
      <c r="E218" s="27"/>
      <c r="F218" s="7"/>
      <c r="G218" s="8">
        <f>IF(A218="","",IFERROR(INDEX(Ingredients!$D$5:$D$304,MATCH(A218,Ingredients!$A$5:$A$304,0)),""))</f>
        <v>0</v>
      </c>
      <c r="H218" s="8">
        <f>IF(OR(A218="",C218="",G218=""),"",C218*G218)</f>
        <v>0</v>
      </c>
      <c r="I218" s="26"/>
      <c r="J218" s="8">
        <f>IF(OR(C218="",I218="",I218=0),"",CEILING(C218/I218,1))</f>
        <v>0</v>
      </c>
      <c r="K218" s="8">
        <f>IF(OR(J218="",I218="",G218=""),"",J218*I218*G218)</f>
        <v>0</v>
      </c>
      <c r="L218" s="8">
        <f>IF(A218="","",SUMIFS(Pantry!$C$5:$C$304,Pantry!$A$5:$A$304,A218))</f>
        <v>0</v>
      </c>
      <c r="M218" s="8">
        <f>IF(OR(A218="",C218=""),"",MAX(0,C218-L218))</f>
        <v>0</v>
      </c>
      <c r="N218" s="27"/>
      <c r="O218" s="27"/>
      <c r="P218" s="30"/>
      <c r="Q218" s="28"/>
      <c r="R218" s="8">
        <f>IF(OR(Q218="",H218=""),"",Q218-H218)</f>
        <v>0</v>
      </c>
      <c r="S218" s="8">
        <f>IF(M218="","",COUNTIFS($M$5:$M$304,"&gt;"&amp;M218)+1)</f>
        <v>0</v>
      </c>
      <c r="T218" s="8">
        <f>IF(H218="","",H218+ROW()/1000000)</f>
        <v>0</v>
      </c>
      <c r="U218" s="8">
        <f>IF(OR(N218&lt;&gt;"Yes",T218=""),"",COUNTIFS($N$5:$N$304,"Yes",$T$5:$T$304,"&lt;"&amp;T218)+1)</f>
        <v>0</v>
      </c>
      <c r="V218" s="8">
        <f>IF(A218="","",IF(O218="Yes","Bought",IF(M218&lt;=0,"Have it",IF(N218&lt;&gt;"Yes","Skip",IF(S218&lt;=10,"Must have","Nice to have")))))</f>
        <v>0</v>
      </c>
      <c r="W218" s="30"/>
      <c r="X218" s="8">
        <f>IF(A218="","",IFERROR(INDEX('Recipe Ingredients'!$A$5:$A$1204,MATCH(A218,'Recipe Ingredients'!$B$5:$B$1204,0)),""))</f>
        <v>0</v>
      </c>
      <c r="Y218" s="8">
        <f>IF(A218="","",IFERROR(INDEX(Ingredients!$O$5:$O$304,MATCH(A218,Ingredients!$A$5:$A$304,0)),""))</f>
        <v>0</v>
      </c>
      <c r="Z218" s="8">
        <f>IF(A218="","",IF(O218="Yes","Bought",IF(N218="Yes","To buy","Not needed")))</f>
        <v>0</v>
      </c>
      <c r="AA218" s="25"/>
    </row>
    <row r="219" spans="1:27">
      <c r="A219" s="7"/>
      <c r="B219" s="8">
        <f>IF(A219="","",IFERROR(INDEX(Ingredients!$B$5:$B$304,MATCH(A219,Ingredients!$A$5:$A$304,0)),""))</f>
        <v>0</v>
      </c>
      <c r="C219" s="26"/>
      <c r="D219" s="27"/>
      <c r="E219" s="27"/>
      <c r="F219" s="7"/>
      <c r="G219" s="8">
        <f>IF(A219="","",IFERROR(INDEX(Ingredients!$D$5:$D$304,MATCH(A219,Ingredients!$A$5:$A$304,0)),""))</f>
        <v>0</v>
      </c>
      <c r="H219" s="8">
        <f>IF(OR(A219="",C219="",G219=""),"",C219*G219)</f>
        <v>0</v>
      </c>
      <c r="I219" s="26"/>
      <c r="J219" s="8">
        <f>IF(OR(C219="",I219="",I219=0),"",CEILING(C219/I219,1))</f>
        <v>0</v>
      </c>
      <c r="K219" s="8">
        <f>IF(OR(J219="",I219="",G219=""),"",J219*I219*G219)</f>
        <v>0</v>
      </c>
      <c r="L219" s="8">
        <f>IF(A219="","",SUMIFS(Pantry!$C$5:$C$304,Pantry!$A$5:$A$304,A219))</f>
        <v>0</v>
      </c>
      <c r="M219" s="8">
        <f>IF(OR(A219="",C219=""),"",MAX(0,C219-L219))</f>
        <v>0</v>
      </c>
      <c r="N219" s="27"/>
      <c r="O219" s="27"/>
      <c r="P219" s="30"/>
      <c r="Q219" s="28"/>
      <c r="R219" s="8">
        <f>IF(OR(Q219="",H219=""),"",Q219-H219)</f>
        <v>0</v>
      </c>
      <c r="S219" s="8">
        <f>IF(M219="","",COUNTIFS($M$5:$M$304,"&gt;"&amp;M219)+1)</f>
        <v>0</v>
      </c>
      <c r="T219" s="8">
        <f>IF(H219="","",H219+ROW()/1000000)</f>
        <v>0</v>
      </c>
      <c r="U219" s="8">
        <f>IF(OR(N219&lt;&gt;"Yes",T219=""),"",COUNTIFS($N$5:$N$304,"Yes",$T$5:$T$304,"&lt;"&amp;T219)+1)</f>
        <v>0</v>
      </c>
      <c r="V219" s="8">
        <f>IF(A219="","",IF(O219="Yes","Bought",IF(M219&lt;=0,"Have it",IF(N219&lt;&gt;"Yes","Skip",IF(S219&lt;=10,"Must have","Nice to have")))))</f>
        <v>0</v>
      </c>
      <c r="W219" s="30"/>
      <c r="X219" s="8">
        <f>IF(A219="","",IFERROR(INDEX('Recipe Ingredients'!$A$5:$A$1204,MATCH(A219,'Recipe Ingredients'!$B$5:$B$1204,0)),""))</f>
        <v>0</v>
      </c>
      <c r="Y219" s="8">
        <f>IF(A219="","",IFERROR(INDEX(Ingredients!$O$5:$O$304,MATCH(A219,Ingredients!$A$5:$A$304,0)),""))</f>
        <v>0</v>
      </c>
      <c r="Z219" s="8">
        <f>IF(A219="","",IF(O219="Yes","Bought",IF(N219="Yes","To buy","Not needed")))</f>
        <v>0</v>
      </c>
      <c r="AA219" s="25"/>
    </row>
    <row r="220" spans="1:27">
      <c r="A220" s="7"/>
      <c r="B220" s="8">
        <f>IF(A220="","",IFERROR(INDEX(Ingredients!$B$5:$B$304,MATCH(A220,Ingredients!$A$5:$A$304,0)),""))</f>
        <v>0</v>
      </c>
      <c r="C220" s="26"/>
      <c r="D220" s="27"/>
      <c r="E220" s="27"/>
      <c r="F220" s="7"/>
      <c r="G220" s="8">
        <f>IF(A220="","",IFERROR(INDEX(Ingredients!$D$5:$D$304,MATCH(A220,Ingredients!$A$5:$A$304,0)),""))</f>
        <v>0</v>
      </c>
      <c r="H220" s="8">
        <f>IF(OR(A220="",C220="",G220=""),"",C220*G220)</f>
        <v>0</v>
      </c>
      <c r="I220" s="26"/>
      <c r="J220" s="8">
        <f>IF(OR(C220="",I220="",I220=0),"",CEILING(C220/I220,1))</f>
        <v>0</v>
      </c>
      <c r="K220" s="8">
        <f>IF(OR(J220="",I220="",G220=""),"",J220*I220*G220)</f>
        <v>0</v>
      </c>
      <c r="L220" s="8">
        <f>IF(A220="","",SUMIFS(Pantry!$C$5:$C$304,Pantry!$A$5:$A$304,A220))</f>
        <v>0</v>
      </c>
      <c r="M220" s="8">
        <f>IF(OR(A220="",C220=""),"",MAX(0,C220-L220))</f>
        <v>0</v>
      </c>
      <c r="N220" s="27"/>
      <c r="O220" s="27"/>
      <c r="P220" s="30"/>
      <c r="Q220" s="28"/>
      <c r="R220" s="8">
        <f>IF(OR(Q220="",H220=""),"",Q220-H220)</f>
        <v>0</v>
      </c>
      <c r="S220" s="8">
        <f>IF(M220="","",COUNTIFS($M$5:$M$304,"&gt;"&amp;M220)+1)</f>
        <v>0</v>
      </c>
      <c r="T220" s="8">
        <f>IF(H220="","",H220+ROW()/1000000)</f>
        <v>0</v>
      </c>
      <c r="U220" s="8">
        <f>IF(OR(N220&lt;&gt;"Yes",T220=""),"",COUNTIFS($N$5:$N$304,"Yes",$T$5:$T$304,"&lt;"&amp;T220)+1)</f>
        <v>0</v>
      </c>
      <c r="V220" s="8">
        <f>IF(A220="","",IF(O220="Yes","Bought",IF(M220&lt;=0,"Have it",IF(N220&lt;&gt;"Yes","Skip",IF(S220&lt;=10,"Must have","Nice to have")))))</f>
        <v>0</v>
      </c>
      <c r="W220" s="30"/>
      <c r="X220" s="8">
        <f>IF(A220="","",IFERROR(INDEX('Recipe Ingredients'!$A$5:$A$1204,MATCH(A220,'Recipe Ingredients'!$B$5:$B$1204,0)),""))</f>
        <v>0</v>
      </c>
      <c r="Y220" s="8">
        <f>IF(A220="","",IFERROR(INDEX(Ingredients!$O$5:$O$304,MATCH(A220,Ingredients!$A$5:$A$304,0)),""))</f>
        <v>0</v>
      </c>
      <c r="Z220" s="8">
        <f>IF(A220="","",IF(O220="Yes","Bought",IF(N220="Yes","To buy","Not needed")))</f>
        <v>0</v>
      </c>
      <c r="AA220" s="25"/>
    </row>
    <row r="221" spans="1:27">
      <c r="A221" s="7"/>
      <c r="B221" s="8">
        <f>IF(A221="","",IFERROR(INDEX(Ingredients!$B$5:$B$304,MATCH(A221,Ingredients!$A$5:$A$304,0)),""))</f>
        <v>0</v>
      </c>
      <c r="C221" s="26"/>
      <c r="D221" s="27"/>
      <c r="E221" s="27"/>
      <c r="F221" s="7"/>
      <c r="G221" s="8">
        <f>IF(A221="","",IFERROR(INDEX(Ingredients!$D$5:$D$304,MATCH(A221,Ingredients!$A$5:$A$304,0)),""))</f>
        <v>0</v>
      </c>
      <c r="H221" s="8">
        <f>IF(OR(A221="",C221="",G221=""),"",C221*G221)</f>
        <v>0</v>
      </c>
      <c r="I221" s="26"/>
      <c r="J221" s="8">
        <f>IF(OR(C221="",I221="",I221=0),"",CEILING(C221/I221,1))</f>
        <v>0</v>
      </c>
      <c r="K221" s="8">
        <f>IF(OR(J221="",I221="",G221=""),"",J221*I221*G221)</f>
        <v>0</v>
      </c>
      <c r="L221" s="8">
        <f>IF(A221="","",SUMIFS(Pantry!$C$5:$C$304,Pantry!$A$5:$A$304,A221))</f>
        <v>0</v>
      </c>
      <c r="M221" s="8">
        <f>IF(OR(A221="",C221=""),"",MAX(0,C221-L221))</f>
        <v>0</v>
      </c>
      <c r="N221" s="27"/>
      <c r="O221" s="27"/>
      <c r="P221" s="30"/>
      <c r="Q221" s="28"/>
      <c r="R221" s="8">
        <f>IF(OR(Q221="",H221=""),"",Q221-H221)</f>
        <v>0</v>
      </c>
      <c r="S221" s="8">
        <f>IF(M221="","",COUNTIFS($M$5:$M$304,"&gt;"&amp;M221)+1)</f>
        <v>0</v>
      </c>
      <c r="T221" s="8">
        <f>IF(H221="","",H221+ROW()/1000000)</f>
        <v>0</v>
      </c>
      <c r="U221" s="8">
        <f>IF(OR(N221&lt;&gt;"Yes",T221=""),"",COUNTIFS($N$5:$N$304,"Yes",$T$5:$T$304,"&lt;"&amp;T221)+1)</f>
        <v>0</v>
      </c>
      <c r="V221" s="8">
        <f>IF(A221="","",IF(O221="Yes","Bought",IF(M221&lt;=0,"Have it",IF(N221&lt;&gt;"Yes","Skip",IF(S221&lt;=10,"Must have","Nice to have")))))</f>
        <v>0</v>
      </c>
      <c r="W221" s="30"/>
      <c r="X221" s="8">
        <f>IF(A221="","",IFERROR(INDEX('Recipe Ingredients'!$A$5:$A$1204,MATCH(A221,'Recipe Ingredients'!$B$5:$B$1204,0)),""))</f>
        <v>0</v>
      </c>
      <c r="Y221" s="8">
        <f>IF(A221="","",IFERROR(INDEX(Ingredients!$O$5:$O$304,MATCH(A221,Ingredients!$A$5:$A$304,0)),""))</f>
        <v>0</v>
      </c>
      <c r="Z221" s="8">
        <f>IF(A221="","",IF(O221="Yes","Bought",IF(N221="Yes","To buy","Not needed")))</f>
        <v>0</v>
      </c>
      <c r="AA221" s="25"/>
    </row>
    <row r="222" spans="1:27">
      <c r="A222" s="7"/>
      <c r="B222" s="8">
        <f>IF(A222="","",IFERROR(INDEX(Ingredients!$B$5:$B$304,MATCH(A222,Ingredients!$A$5:$A$304,0)),""))</f>
        <v>0</v>
      </c>
      <c r="C222" s="26"/>
      <c r="D222" s="27"/>
      <c r="E222" s="27"/>
      <c r="F222" s="7"/>
      <c r="G222" s="8">
        <f>IF(A222="","",IFERROR(INDEX(Ingredients!$D$5:$D$304,MATCH(A222,Ingredients!$A$5:$A$304,0)),""))</f>
        <v>0</v>
      </c>
      <c r="H222" s="8">
        <f>IF(OR(A222="",C222="",G222=""),"",C222*G222)</f>
        <v>0</v>
      </c>
      <c r="I222" s="26"/>
      <c r="J222" s="8">
        <f>IF(OR(C222="",I222="",I222=0),"",CEILING(C222/I222,1))</f>
        <v>0</v>
      </c>
      <c r="K222" s="8">
        <f>IF(OR(J222="",I222="",G222=""),"",J222*I222*G222)</f>
        <v>0</v>
      </c>
      <c r="L222" s="8">
        <f>IF(A222="","",SUMIFS(Pantry!$C$5:$C$304,Pantry!$A$5:$A$304,A222))</f>
        <v>0</v>
      </c>
      <c r="M222" s="8">
        <f>IF(OR(A222="",C222=""),"",MAX(0,C222-L222))</f>
        <v>0</v>
      </c>
      <c r="N222" s="27"/>
      <c r="O222" s="27"/>
      <c r="P222" s="30"/>
      <c r="Q222" s="28"/>
      <c r="R222" s="8">
        <f>IF(OR(Q222="",H222=""),"",Q222-H222)</f>
        <v>0</v>
      </c>
      <c r="S222" s="8">
        <f>IF(M222="","",COUNTIFS($M$5:$M$304,"&gt;"&amp;M222)+1)</f>
        <v>0</v>
      </c>
      <c r="T222" s="8">
        <f>IF(H222="","",H222+ROW()/1000000)</f>
        <v>0</v>
      </c>
      <c r="U222" s="8">
        <f>IF(OR(N222&lt;&gt;"Yes",T222=""),"",COUNTIFS($N$5:$N$304,"Yes",$T$5:$T$304,"&lt;"&amp;T222)+1)</f>
        <v>0</v>
      </c>
      <c r="V222" s="8">
        <f>IF(A222="","",IF(O222="Yes","Bought",IF(M222&lt;=0,"Have it",IF(N222&lt;&gt;"Yes","Skip",IF(S222&lt;=10,"Must have","Nice to have")))))</f>
        <v>0</v>
      </c>
      <c r="W222" s="30"/>
      <c r="X222" s="8">
        <f>IF(A222="","",IFERROR(INDEX('Recipe Ingredients'!$A$5:$A$1204,MATCH(A222,'Recipe Ingredients'!$B$5:$B$1204,0)),""))</f>
        <v>0</v>
      </c>
      <c r="Y222" s="8">
        <f>IF(A222="","",IFERROR(INDEX(Ingredients!$O$5:$O$304,MATCH(A222,Ingredients!$A$5:$A$304,0)),""))</f>
        <v>0</v>
      </c>
      <c r="Z222" s="8">
        <f>IF(A222="","",IF(O222="Yes","Bought",IF(N222="Yes","To buy","Not needed")))</f>
        <v>0</v>
      </c>
      <c r="AA222" s="25"/>
    </row>
    <row r="223" spans="1:27">
      <c r="A223" s="7"/>
      <c r="B223" s="8">
        <f>IF(A223="","",IFERROR(INDEX(Ingredients!$B$5:$B$304,MATCH(A223,Ingredients!$A$5:$A$304,0)),""))</f>
        <v>0</v>
      </c>
      <c r="C223" s="26"/>
      <c r="D223" s="27"/>
      <c r="E223" s="27"/>
      <c r="F223" s="7"/>
      <c r="G223" s="8">
        <f>IF(A223="","",IFERROR(INDEX(Ingredients!$D$5:$D$304,MATCH(A223,Ingredients!$A$5:$A$304,0)),""))</f>
        <v>0</v>
      </c>
      <c r="H223" s="8">
        <f>IF(OR(A223="",C223="",G223=""),"",C223*G223)</f>
        <v>0</v>
      </c>
      <c r="I223" s="26"/>
      <c r="J223" s="8">
        <f>IF(OR(C223="",I223="",I223=0),"",CEILING(C223/I223,1))</f>
        <v>0</v>
      </c>
      <c r="K223" s="8">
        <f>IF(OR(J223="",I223="",G223=""),"",J223*I223*G223)</f>
        <v>0</v>
      </c>
      <c r="L223" s="8">
        <f>IF(A223="","",SUMIFS(Pantry!$C$5:$C$304,Pantry!$A$5:$A$304,A223))</f>
        <v>0</v>
      </c>
      <c r="M223" s="8">
        <f>IF(OR(A223="",C223=""),"",MAX(0,C223-L223))</f>
        <v>0</v>
      </c>
      <c r="N223" s="27"/>
      <c r="O223" s="27"/>
      <c r="P223" s="30"/>
      <c r="Q223" s="28"/>
      <c r="R223" s="8">
        <f>IF(OR(Q223="",H223=""),"",Q223-H223)</f>
        <v>0</v>
      </c>
      <c r="S223" s="8">
        <f>IF(M223="","",COUNTIFS($M$5:$M$304,"&gt;"&amp;M223)+1)</f>
        <v>0</v>
      </c>
      <c r="T223" s="8">
        <f>IF(H223="","",H223+ROW()/1000000)</f>
        <v>0</v>
      </c>
      <c r="U223" s="8">
        <f>IF(OR(N223&lt;&gt;"Yes",T223=""),"",COUNTIFS($N$5:$N$304,"Yes",$T$5:$T$304,"&lt;"&amp;T223)+1)</f>
        <v>0</v>
      </c>
      <c r="V223" s="8">
        <f>IF(A223="","",IF(O223="Yes","Bought",IF(M223&lt;=0,"Have it",IF(N223&lt;&gt;"Yes","Skip",IF(S223&lt;=10,"Must have","Nice to have")))))</f>
        <v>0</v>
      </c>
      <c r="W223" s="30"/>
      <c r="X223" s="8">
        <f>IF(A223="","",IFERROR(INDEX('Recipe Ingredients'!$A$5:$A$1204,MATCH(A223,'Recipe Ingredients'!$B$5:$B$1204,0)),""))</f>
        <v>0</v>
      </c>
      <c r="Y223" s="8">
        <f>IF(A223="","",IFERROR(INDEX(Ingredients!$O$5:$O$304,MATCH(A223,Ingredients!$A$5:$A$304,0)),""))</f>
        <v>0</v>
      </c>
      <c r="Z223" s="8">
        <f>IF(A223="","",IF(O223="Yes","Bought",IF(N223="Yes","To buy","Not needed")))</f>
        <v>0</v>
      </c>
      <c r="AA223" s="25"/>
    </row>
    <row r="224" spans="1:27">
      <c r="A224" s="7"/>
      <c r="B224" s="8">
        <f>IF(A224="","",IFERROR(INDEX(Ingredients!$B$5:$B$304,MATCH(A224,Ingredients!$A$5:$A$304,0)),""))</f>
        <v>0</v>
      </c>
      <c r="C224" s="26"/>
      <c r="D224" s="27"/>
      <c r="E224" s="27"/>
      <c r="F224" s="7"/>
      <c r="G224" s="8">
        <f>IF(A224="","",IFERROR(INDEX(Ingredients!$D$5:$D$304,MATCH(A224,Ingredients!$A$5:$A$304,0)),""))</f>
        <v>0</v>
      </c>
      <c r="H224" s="8">
        <f>IF(OR(A224="",C224="",G224=""),"",C224*G224)</f>
        <v>0</v>
      </c>
      <c r="I224" s="26"/>
      <c r="J224" s="8">
        <f>IF(OR(C224="",I224="",I224=0),"",CEILING(C224/I224,1))</f>
        <v>0</v>
      </c>
      <c r="K224" s="8">
        <f>IF(OR(J224="",I224="",G224=""),"",J224*I224*G224)</f>
        <v>0</v>
      </c>
      <c r="L224" s="8">
        <f>IF(A224="","",SUMIFS(Pantry!$C$5:$C$304,Pantry!$A$5:$A$304,A224))</f>
        <v>0</v>
      </c>
      <c r="M224" s="8">
        <f>IF(OR(A224="",C224=""),"",MAX(0,C224-L224))</f>
        <v>0</v>
      </c>
      <c r="N224" s="27"/>
      <c r="O224" s="27"/>
      <c r="P224" s="30"/>
      <c r="Q224" s="28"/>
      <c r="R224" s="8">
        <f>IF(OR(Q224="",H224=""),"",Q224-H224)</f>
        <v>0</v>
      </c>
      <c r="S224" s="8">
        <f>IF(M224="","",COUNTIFS($M$5:$M$304,"&gt;"&amp;M224)+1)</f>
        <v>0</v>
      </c>
      <c r="T224" s="8">
        <f>IF(H224="","",H224+ROW()/1000000)</f>
        <v>0</v>
      </c>
      <c r="U224" s="8">
        <f>IF(OR(N224&lt;&gt;"Yes",T224=""),"",COUNTIFS($N$5:$N$304,"Yes",$T$5:$T$304,"&lt;"&amp;T224)+1)</f>
        <v>0</v>
      </c>
      <c r="V224" s="8">
        <f>IF(A224="","",IF(O224="Yes","Bought",IF(M224&lt;=0,"Have it",IF(N224&lt;&gt;"Yes","Skip",IF(S224&lt;=10,"Must have","Nice to have")))))</f>
        <v>0</v>
      </c>
      <c r="W224" s="30"/>
      <c r="X224" s="8">
        <f>IF(A224="","",IFERROR(INDEX('Recipe Ingredients'!$A$5:$A$1204,MATCH(A224,'Recipe Ingredients'!$B$5:$B$1204,0)),""))</f>
        <v>0</v>
      </c>
      <c r="Y224" s="8">
        <f>IF(A224="","",IFERROR(INDEX(Ingredients!$O$5:$O$304,MATCH(A224,Ingredients!$A$5:$A$304,0)),""))</f>
        <v>0</v>
      </c>
      <c r="Z224" s="8">
        <f>IF(A224="","",IF(O224="Yes","Bought",IF(N224="Yes","To buy","Not needed")))</f>
        <v>0</v>
      </c>
      <c r="AA224" s="25"/>
    </row>
    <row r="225" spans="1:27">
      <c r="A225" s="7"/>
      <c r="B225" s="8">
        <f>IF(A225="","",IFERROR(INDEX(Ingredients!$B$5:$B$304,MATCH(A225,Ingredients!$A$5:$A$304,0)),""))</f>
        <v>0</v>
      </c>
      <c r="C225" s="26"/>
      <c r="D225" s="27"/>
      <c r="E225" s="27"/>
      <c r="F225" s="7"/>
      <c r="G225" s="8">
        <f>IF(A225="","",IFERROR(INDEX(Ingredients!$D$5:$D$304,MATCH(A225,Ingredients!$A$5:$A$304,0)),""))</f>
        <v>0</v>
      </c>
      <c r="H225" s="8">
        <f>IF(OR(A225="",C225="",G225=""),"",C225*G225)</f>
        <v>0</v>
      </c>
      <c r="I225" s="26"/>
      <c r="J225" s="8">
        <f>IF(OR(C225="",I225="",I225=0),"",CEILING(C225/I225,1))</f>
        <v>0</v>
      </c>
      <c r="K225" s="8">
        <f>IF(OR(J225="",I225="",G225=""),"",J225*I225*G225)</f>
        <v>0</v>
      </c>
      <c r="L225" s="8">
        <f>IF(A225="","",SUMIFS(Pantry!$C$5:$C$304,Pantry!$A$5:$A$304,A225))</f>
        <v>0</v>
      </c>
      <c r="M225" s="8">
        <f>IF(OR(A225="",C225=""),"",MAX(0,C225-L225))</f>
        <v>0</v>
      </c>
      <c r="N225" s="27"/>
      <c r="O225" s="27"/>
      <c r="P225" s="30"/>
      <c r="Q225" s="28"/>
      <c r="R225" s="8">
        <f>IF(OR(Q225="",H225=""),"",Q225-H225)</f>
        <v>0</v>
      </c>
      <c r="S225" s="8">
        <f>IF(M225="","",COUNTIFS($M$5:$M$304,"&gt;"&amp;M225)+1)</f>
        <v>0</v>
      </c>
      <c r="T225" s="8">
        <f>IF(H225="","",H225+ROW()/1000000)</f>
        <v>0</v>
      </c>
      <c r="U225" s="8">
        <f>IF(OR(N225&lt;&gt;"Yes",T225=""),"",COUNTIFS($N$5:$N$304,"Yes",$T$5:$T$304,"&lt;"&amp;T225)+1)</f>
        <v>0</v>
      </c>
      <c r="V225" s="8">
        <f>IF(A225="","",IF(O225="Yes","Bought",IF(M225&lt;=0,"Have it",IF(N225&lt;&gt;"Yes","Skip",IF(S225&lt;=10,"Must have","Nice to have")))))</f>
        <v>0</v>
      </c>
      <c r="W225" s="30"/>
      <c r="X225" s="8">
        <f>IF(A225="","",IFERROR(INDEX('Recipe Ingredients'!$A$5:$A$1204,MATCH(A225,'Recipe Ingredients'!$B$5:$B$1204,0)),""))</f>
        <v>0</v>
      </c>
      <c r="Y225" s="8">
        <f>IF(A225="","",IFERROR(INDEX(Ingredients!$O$5:$O$304,MATCH(A225,Ingredients!$A$5:$A$304,0)),""))</f>
        <v>0</v>
      </c>
      <c r="Z225" s="8">
        <f>IF(A225="","",IF(O225="Yes","Bought",IF(N225="Yes","To buy","Not needed")))</f>
        <v>0</v>
      </c>
      <c r="AA225" s="25"/>
    </row>
    <row r="226" spans="1:27">
      <c r="A226" s="7"/>
      <c r="B226" s="8">
        <f>IF(A226="","",IFERROR(INDEX(Ingredients!$B$5:$B$304,MATCH(A226,Ingredients!$A$5:$A$304,0)),""))</f>
        <v>0</v>
      </c>
      <c r="C226" s="26"/>
      <c r="D226" s="27"/>
      <c r="E226" s="27"/>
      <c r="F226" s="7"/>
      <c r="G226" s="8">
        <f>IF(A226="","",IFERROR(INDEX(Ingredients!$D$5:$D$304,MATCH(A226,Ingredients!$A$5:$A$304,0)),""))</f>
        <v>0</v>
      </c>
      <c r="H226" s="8">
        <f>IF(OR(A226="",C226="",G226=""),"",C226*G226)</f>
        <v>0</v>
      </c>
      <c r="I226" s="26"/>
      <c r="J226" s="8">
        <f>IF(OR(C226="",I226="",I226=0),"",CEILING(C226/I226,1))</f>
        <v>0</v>
      </c>
      <c r="K226" s="8">
        <f>IF(OR(J226="",I226="",G226=""),"",J226*I226*G226)</f>
        <v>0</v>
      </c>
      <c r="L226" s="8">
        <f>IF(A226="","",SUMIFS(Pantry!$C$5:$C$304,Pantry!$A$5:$A$304,A226))</f>
        <v>0</v>
      </c>
      <c r="M226" s="8">
        <f>IF(OR(A226="",C226=""),"",MAX(0,C226-L226))</f>
        <v>0</v>
      </c>
      <c r="N226" s="27"/>
      <c r="O226" s="27"/>
      <c r="P226" s="30"/>
      <c r="Q226" s="28"/>
      <c r="R226" s="8">
        <f>IF(OR(Q226="",H226=""),"",Q226-H226)</f>
        <v>0</v>
      </c>
      <c r="S226" s="8">
        <f>IF(M226="","",COUNTIFS($M$5:$M$304,"&gt;"&amp;M226)+1)</f>
        <v>0</v>
      </c>
      <c r="T226" s="8">
        <f>IF(H226="","",H226+ROW()/1000000)</f>
        <v>0</v>
      </c>
      <c r="U226" s="8">
        <f>IF(OR(N226&lt;&gt;"Yes",T226=""),"",COUNTIFS($N$5:$N$304,"Yes",$T$5:$T$304,"&lt;"&amp;T226)+1)</f>
        <v>0</v>
      </c>
      <c r="V226" s="8">
        <f>IF(A226="","",IF(O226="Yes","Bought",IF(M226&lt;=0,"Have it",IF(N226&lt;&gt;"Yes","Skip",IF(S226&lt;=10,"Must have","Nice to have")))))</f>
        <v>0</v>
      </c>
      <c r="W226" s="30"/>
      <c r="X226" s="8">
        <f>IF(A226="","",IFERROR(INDEX('Recipe Ingredients'!$A$5:$A$1204,MATCH(A226,'Recipe Ingredients'!$B$5:$B$1204,0)),""))</f>
        <v>0</v>
      </c>
      <c r="Y226" s="8">
        <f>IF(A226="","",IFERROR(INDEX(Ingredients!$O$5:$O$304,MATCH(A226,Ingredients!$A$5:$A$304,0)),""))</f>
        <v>0</v>
      </c>
      <c r="Z226" s="8">
        <f>IF(A226="","",IF(O226="Yes","Bought",IF(N226="Yes","To buy","Not needed")))</f>
        <v>0</v>
      </c>
      <c r="AA226" s="25"/>
    </row>
    <row r="227" spans="1:27">
      <c r="A227" s="7"/>
      <c r="B227" s="8">
        <f>IF(A227="","",IFERROR(INDEX(Ingredients!$B$5:$B$304,MATCH(A227,Ingredients!$A$5:$A$304,0)),""))</f>
        <v>0</v>
      </c>
      <c r="C227" s="26"/>
      <c r="D227" s="27"/>
      <c r="E227" s="27"/>
      <c r="F227" s="7"/>
      <c r="G227" s="8">
        <f>IF(A227="","",IFERROR(INDEX(Ingredients!$D$5:$D$304,MATCH(A227,Ingredients!$A$5:$A$304,0)),""))</f>
        <v>0</v>
      </c>
      <c r="H227" s="8">
        <f>IF(OR(A227="",C227="",G227=""),"",C227*G227)</f>
        <v>0</v>
      </c>
      <c r="I227" s="26"/>
      <c r="J227" s="8">
        <f>IF(OR(C227="",I227="",I227=0),"",CEILING(C227/I227,1))</f>
        <v>0</v>
      </c>
      <c r="K227" s="8">
        <f>IF(OR(J227="",I227="",G227=""),"",J227*I227*G227)</f>
        <v>0</v>
      </c>
      <c r="L227" s="8">
        <f>IF(A227="","",SUMIFS(Pantry!$C$5:$C$304,Pantry!$A$5:$A$304,A227))</f>
        <v>0</v>
      </c>
      <c r="M227" s="8">
        <f>IF(OR(A227="",C227=""),"",MAX(0,C227-L227))</f>
        <v>0</v>
      </c>
      <c r="N227" s="27"/>
      <c r="O227" s="27"/>
      <c r="P227" s="30"/>
      <c r="Q227" s="28"/>
      <c r="R227" s="8">
        <f>IF(OR(Q227="",H227=""),"",Q227-H227)</f>
        <v>0</v>
      </c>
      <c r="S227" s="8">
        <f>IF(M227="","",COUNTIFS($M$5:$M$304,"&gt;"&amp;M227)+1)</f>
        <v>0</v>
      </c>
      <c r="T227" s="8">
        <f>IF(H227="","",H227+ROW()/1000000)</f>
        <v>0</v>
      </c>
      <c r="U227" s="8">
        <f>IF(OR(N227&lt;&gt;"Yes",T227=""),"",COUNTIFS($N$5:$N$304,"Yes",$T$5:$T$304,"&lt;"&amp;T227)+1)</f>
        <v>0</v>
      </c>
      <c r="V227" s="8">
        <f>IF(A227="","",IF(O227="Yes","Bought",IF(M227&lt;=0,"Have it",IF(N227&lt;&gt;"Yes","Skip",IF(S227&lt;=10,"Must have","Nice to have")))))</f>
        <v>0</v>
      </c>
      <c r="W227" s="30"/>
      <c r="X227" s="8">
        <f>IF(A227="","",IFERROR(INDEX('Recipe Ingredients'!$A$5:$A$1204,MATCH(A227,'Recipe Ingredients'!$B$5:$B$1204,0)),""))</f>
        <v>0</v>
      </c>
      <c r="Y227" s="8">
        <f>IF(A227="","",IFERROR(INDEX(Ingredients!$O$5:$O$304,MATCH(A227,Ingredients!$A$5:$A$304,0)),""))</f>
        <v>0</v>
      </c>
      <c r="Z227" s="8">
        <f>IF(A227="","",IF(O227="Yes","Bought",IF(N227="Yes","To buy","Not needed")))</f>
        <v>0</v>
      </c>
      <c r="AA227" s="25"/>
    </row>
    <row r="228" spans="1:27">
      <c r="A228" s="7"/>
      <c r="B228" s="8">
        <f>IF(A228="","",IFERROR(INDEX(Ingredients!$B$5:$B$304,MATCH(A228,Ingredients!$A$5:$A$304,0)),""))</f>
        <v>0</v>
      </c>
      <c r="C228" s="26"/>
      <c r="D228" s="27"/>
      <c r="E228" s="27"/>
      <c r="F228" s="7"/>
      <c r="G228" s="8">
        <f>IF(A228="","",IFERROR(INDEX(Ingredients!$D$5:$D$304,MATCH(A228,Ingredients!$A$5:$A$304,0)),""))</f>
        <v>0</v>
      </c>
      <c r="H228" s="8">
        <f>IF(OR(A228="",C228="",G228=""),"",C228*G228)</f>
        <v>0</v>
      </c>
      <c r="I228" s="26"/>
      <c r="J228" s="8">
        <f>IF(OR(C228="",I228="",I228=0),"",CEILING(C228/I228,1))</f>
        <v>0</v>
      </c>
      <c r="K228" s="8">
        <f>IF(OR(J228="",I228="",G228=""),"",J228*I228*G228)</f>
        <v>0</v>
      </c>
      <c r="L228" s="8">
        <f>IF(A228="","",SUMIFS(Pantry!$C$5:$C$304,Pantry!$A$5:$A$304,A228))</f>
        <v>0</v>
      </c>
      <c r="M228" s="8">
        <f>IF(OR(A228="",C228=""),"",MAX(0,C228-L228))</f>
        <v>0</v>
      </c>
      <c r="N228" s="27"/>
      <c r="O228" s="27"/>
      <c r="P228" s="30"/>
      <c r="Q228" s="28"/>
      <c r="R228" s="8">
        <f>IF(OR(Q228="",H228=""),"",Q228-H228)</f>
        <v>0</v>
      </c>
      <c r="S228" s="8">
        <f>IF(M228="","",COUNTIFS($M$5:$M$304,"&gt;"&amp;M228)+1)</f>
        <v>0</v>
      </c>
      <c r="T228" s="8">
        <f>IF(H228="","",H228+ROW()/1000000)</f>
        <v>0</v>
      </c>
      <c r="U228" s="8">
        <f>IF(OR(N228&lt;&gt;"Yes",T228=""),"",COUNTIFS($N$5:$N$304,"Yes",$T$5:$T$304,"&lt;"&amp;T228)+1)</f>
        <v>0</v>
      </c>
      <c r="V228" s="8">
        <f>IF(A228="","",IF(O228="Yes","Bought",IF(M228&lt;=0,"Have it",IF(N228&lt;&gt;"Yes","Skip",IF(S228&lt;=10,"Must have","Nice to have")))))</f>
        <v>0</v>
      </c>
      <c r="W228" s="30"/>
      <c r="X228" s="8">
        <f>IF(A228="","",IFERROR(INDEX('Recipe Ingredients'!$A$5:$A$1204,MATCH(A228,'Recipe Ingredients'!$B$5:$B$1204,0)),""))</f>
        <v>0</v>
      </c>
      <c r="Y228" s="8">
        <f>IF(A228="","",IFERROR(INDEX(Ingredients!$O$5:$O$304,MATCH(A228,Ingredients!$A$5:$A$304,0)),""))</f>
        <v>0</v>
      </c>
      <c r="Z228" s="8">
        <f>IF(A228="","",IF(O228="Yes","Bought",IF(N228="Yes","To buy","Not needed")))</f>
        <v>0</v>
      </c>
      <c r="AA228" s="25"/>
    </row>
    <row r="229" spans="1:27">
      <c r="A229" s="7"/>
      <c r="B229" s="8">
        <f>IF(A229="","",IFERROR(INDEX(Ingredients!$B$5:$B$304,MATCH(A229,Ingredients!$A$5:$A$304,0)),""))</f>
        <v>0</v>
      </c>
      <c r="C229" s="26"/>
      <c r="D229" s="27"/>
      <c r="E229" s="27"/>
      <c r="F229" s="7"/>
      <c r="G229" s="8">
        <f>IF(A229="","",IFERROR(INDEX(Ingredients!$D$5:$D$304,MATCH(A229,Ingredients!$A$5:$A$304,0)),""))</f>
        <v>0</v>
      </c>
      <c r="H229" s="8">
        <f>IF(OR(A229="",C229="",G229=""),"",C229*G229)</f>
        <v>0</v>
      </c>
      <c r="I229" s="26"/>
      <c r="J229" s="8">
        <f>IF(OR(C229="",I229="",I229=0),"",CEILING(C229/I229,1))</f>
        <v>0</v>
      </c>
      <c r="K229" s="8">
        <f>IF(OR(J229="",I229="",G229=""),"",J229*I229*G229)</f>
        <v>0</v>
      </c>
      <c r="L229" s="8">
        <f>IF(A229="","",SUMIFS(Pantry!$C$5:$C$304,Pantry!$A$5:$A$304,A229))</f>
        <v>0</v>
      </c>
      <c r="M229" s="8">
        <f>IF(OR(A229="",C229=""),"",MAX(0,C229-L229))</f>
        <v>0</v>
      </c>
      <c r="N229" s="27"/>
      <c r="O229" s="27"/>
      <c r="P229" s="30"/>
      <c r="Q229" s="28"/>
      <c r="R229" s="8">
        <f>IF(OR(Q229="",H229=""),"",Q229-H229)</f>
        <v>0</v>
      </c>
      <c r="S229" s="8">
        <f>IF(M229="","",COUNTIFS($M$5:$M$304,"&gt;"&amp;M229)+1)</f>
        <v>0</v>
      </c>
      <c r="T229" s="8">
        <f>IF(H229="","",H229+ROW()/1000000)</f>
        <v>0</v>
      </c>
      <c r="U229" s="8">
        <f>IF(OR(N229&lt;&gt;"Yes",T229=""),"",COUNTIFS($N$5:$N$304,"Yes",$T$5:$T$304,"&lt;"&amp;T229)+1)</f>
        <v>0</v>
      </c>
      <c r="V229" s="8">
        <f>IF(A229="","",IF(O229="Yes","Bought",IF(M229&lt;=0,"Have it",IF(N229&lt;&gt;"Yes","Skip",IF(S229&lt;=10,"Must have","Nice to have")))))</f>
        <v>0</v>
      </c>
      <c r="W229" s="30"/>
      <c r="X229" s="8">
        <f>IF(A229="","",IFERROR(INDEX('Recipe Ingredients'!$A$5:$A$1204,MATCH(A229,'Recipe Ingredients'!$B$5:$B$1204,0)),""))</f>
        <v>0</v>
      </c>
      <c r="Y229" s="8">
        <f>IF(A229="","",IFERROR(INDEX(Ingredients!$O$5:$O$304,MATCH(A229,Ingredients!$A$5:$A$304,0)),""))</f>
        <v>0</v>
      </c>
      <c r="Z229" s="8">
        <f>IF(A229="","",IF(O229="Yes","Bought",IF(N229="Yes","To buy","Not needed")))</f>
        <v>0</v>
      </c>
      <c r="AA229" s="25"/>
    </row>
    <row r="230" spans="1:27">
      <c r="A230" s="7"/>
      <c r="B230" s="8">
        <f>IF(A230="","",IFERROR(INDEX(Ingredients!$B$5:$B$304,MATCH(A230,Ingredients!$A$5:$A$304,0)),""))</f>
        <v>0</v>
      </c>
      <c r="C230" s="26"/>
      <c r="D230" s="27"/>
      <c r="E230" s="27"/>
      <c r="F230" s="7"/>
      <c r="G230" s="8">
        <f>IF(A230="","",IFERROR(INDEX(Ingredients!$D$5:$D$304,MATCH(A230,Ingredients!$A$5:$A$304,0)),""))</f>
        <v>0</v>
      </c>
      <c r="H230" s="8">
        <f>IF(OR(A230="",C230="",G230=""),"",C230*G230)</f>
        <v>0</v>
      </c>
      <c r="I230" s="26"/>
      <c r="J230" s="8">
        <f>IF(OR(C230="",I230="",I230=0),"",CEILING(C230/I230,1))</f>
        <v>0</v>
      </c>
      <c r="K230" s="8">
        <f>IF(OR(J230="",I230="",G230=""),"",J230*I230*G230)</f>
        <v>0</v>
      </c>
      <c r="L230" s="8">
        <f>IF(A230="","",SUMIFS(Pantry!$C$5:$C$304,Pantry!$A$5:$A$304,A230))</f>
        <v>0</v>
      </c>
      <c r="M230" s="8">
        <f>IF(OR(A230="",C230=""),"",MAX(0,C230-L230))</f>
        <v>0</v>
      </c>
      <c r="N230" s="27"/>
      <c r="O230" s="27"/>
      <c r="P230" s="30"/>
      <c r="Q230" s="28"/>
      <c r="R230" s="8">
        <f>IF(OR(Q230="",H230=""),"",Q230-H230)</f>
        <v>0</v>
      </c>
      <c r="S230" s="8">
        <f>IF(M230="","",COUNTIFS($M$5:$M$304,"&gt;"&amp;M230)+1)</f>
        <v>0</v>
      </c>
      <c r="T230" s="8">
        <f>IF(H230="","",H230+ROW()/1000000)</f>
        <v>0</v>
      </c>
      <c r="U230" s="8">
        <f>IF(OR(N230&lt;&gt;"Yes",T230=""),"",COUNTIFS($N$5:$N$304,"Yes",$T$5:$T$304,"&lt;"&amp;T230)+1)</f>
        <v>0</v>
      </c>
      <c r="V230" s="8">
        <f>IF(A230="","",IF(O230="Yes","Bought",IF(M230&lt;=0,"Have it",IF(N230&lt;&gt;"Yes","Skip",IF(S230&lt;=10,"Must have","Nice to have")))))</f>
        <v>0</v>
      </c>
      <c r="W230" s="30"/>
      <c r="X230" s="8">
        <f>IF(A230="","",IFERROR(INDEX('Recipe Ingredients'!$A$5:$A$1204,MATCH(A230,'Recipe Ingredients'!$B$5:$B$1204,0)),""))</f>
        <v>0</v>
      </c>
      <c r="Y230" s="8">
        <f>IF(A230="","",IFERROR(INDEX(Ingredients!$O$5:$O$304,MATCH(A230,Ingredients!$A$5:$A$304,0)),""))</f>
        <v>0</v>
      </c>
      <c r="Z230" s="8">
        <f>IF(A230="","",IF(O230="Yes","Bought",IF(N230="Yes","To buy","Not needed")))</f>
        <v>0</v>
      </c>
      <c r="AA230" s="25"/>
    </row>
    <row r="231" spans="1:27">
      <c r="A231" s="7"/>
      <c r="B231" s="8">
        <f>IF(A231="","",IFERROR(INDEX(Ingredients!$B$5:$B$304,MATCH(A231,Ingredients!$A$5:$A$304,0)),""))</f>
        <v>0</v>
      </c>
      <c r="C231" s="26"/>
      <c r="D231" s="27"/>
      <c r="E231" s="27"/>
      <c r="F231" s="7"/>
      <c r="G231" s="8">
        <f>IF(A231="","",IFERROR(INDEX(Ingredients!$D$5:$D$304,MATCH(A231,Ingredients!$A$5:$A$304,0)),""))</f>
        <v>0</v>
      </c>
      <c r="H231" s="8">
        <f>IF(OR(A231="",C231="",G231=""),"",C231*G231)</f>
        <v>0</v>
      </c>
      <c r="I231" s="26"/>
      <c r="J231" s="8">
        <f>IF(OR(C231="",I231="",I231=0),"",CEILING(C231/I231,1))</f>
        <v>0</v>
      </c>
      <c r="K231" s="8">
        <f>IF(OR(J231="",I231="",G231=""),"",J231*I231*G231)</f>
        <v>0</v>
      </c>
      <c r="L231" s="8">
        <f>IF(A231="","",SUMIFS(Pantry!$C$5:$C$304,Pantry!$A$5:$A$304,A231))</f>
        <v>0</v>
      </c>
      <c r="M231" s="8">
        <f>IF(OR(A231="",C231=""),"",MAX(0,C231-L231))</f>
        <v>0</v>
      </c>
      <c r="N231" s="27"/>
      <c r="O231" s="27"/>
      <c r="P231" s="30"/>
      <c r="Q231" s="28"/>
      <c r="R231" s="8">
        <f>IF(OR(Q231="",H231=""),"",Q231-H231)</f>
        <v>0</v>
      </c>
      <c r="S231" s="8">
        <f>IF(M231="","",COUNTIFS($M$5:$M$304,"&gt;"&amp;M231)+1)</f>
        <v>0</v>
      </c>
      <c r="T231" s="8">
        <f>IF(H231="","",H231+ROW()/1000000)</f>
        <v>0</v>
      </c>
      <c r="U231" s="8">
        <f>IF(OR(N231&lt;&gt;"Yes",T231=""),"",COUNTIFS($N$5:$N$304,"Yes",$T$5:$T$304,"&lt;"&amp;T231)+1)</f>
        <v>0</v>
      </c>
      <c r="V231" s="8">
        <f>IF(A231="","",IF(O231="Yes","Bought",IF(M231&lt;=0,"Have it",IF(N231&lt;&gt;"Yes","Skip",IF(S231&lt;=10,"Must have","Nice to have")))))</f>
        <v>0</v>
      </c>
      <c r="W231" s="30"/>
      <c r="X231" s="8">
        <f>IF(A231="","",IFERROR(INDEX('Recipe Ingredients'!$A$5:$A$1204,MATCH(A231,'Recipe Ingredients'!$B$5:$B$1204,0)),""))</f>
        <v>0</v>
      </c>
      <c r="Y231" s="8">
        <f>IF(A231="","",IFERROR(INDEX(Ingredients!$O$5:$O$304,MATCH(A231,Ingredients!$A$5:$A$304,0)),""))</f>
        <v>0</v>
      </c>
      <c r="Z231" s="8">
        <f>IF(A231="","",IF(O231="Yes","Bought",IF(N231="Yes","To buy","Not needed")))</f>
        <v>0</v>
      </c>
      <c r="AA231" s="25"/>
    </row>
    <row r="232" spans="1:27">
      <c r="A232" s="7"/>
      <c r="B232" s="8">
        <f>IF(A232="","",IFERROR(INDEX(Ingredients!$B$5:$B$304,MATCH(A232,Ingredients!$A$5:$A$304,0)),""))</f>
        <v>0</v>
      </c>
      <c r="C232" s="26"/>
      <c r="D232" s="27"/>
      <c r="E232" s="27"/>
      <c r="F232" s="7"/>
      <c r="G232" s="8">
        <f>IF(A232="","",IFERROR(INDEX(Ingredients!$D$5:$D$304,MATCH(A232,Ingredients!$A$5:$A$304,0)),""))</f>
        <v>0</v>
      </c>
      <c r="H232" s="8">
        <f>IF(OR(A232="",C232="",G232=""),"",C232*G232)</f>
        <v>0</v>
      </c>
      <c r="I232" s="26"/>
      <c r="J232" s="8">
        <f>IF(OR(C232="",I232="",I232=0),"",CEILING(C232/I232,1))</f>
        <v>0</v>
      </c>
      <c r="K232" s="8">
        <f>IF(OR(J232="",I232="",G232=""),"",J232*I232*G232)</f>
        <v>0</v>
      </c>
      <c r="L232" s="8">
        <f>IF(A232="","",SUMIFS(Pantry!$C$5:$C$304,Pantry!$A$5:$A$304,A232))</f>
        <v>0</v>
      </c>
      <c r="M232" s="8">
        <f>IF(OR(A232="",C232=""),"",MAX(0,C232-L232))</f>
        <v>0</v>
      </c>
      <c r="N232" s="27"/>
      <c r="O232" s="27"/>
      <c r="P232" s="30"/>
      <c r="Q232" s="28"/>
      <c r="R232" s="8">
        <f>IF(OR(Q232="",H232=""),"",Q232-H232)</f>
        <v>0</v>
      </c>
      <c r="S232" s="8">
        <f>IF(M232="","",COUNTIFS($M$5:$M$304,"&gt;"&amp;M232)+1)</f>
        <v>0</v>
      </c>
      <c r="T232" s="8">
        <f>IF(H232="","",H232+ROW()/1000000)</f>
        <v>0</v>
      </c>
      <c r="U232" s="8">
        <f>IF(OR(N232&lt;&gt;"Yes",T232=""),"",COUNTIFS($N$5:$N$304,"Yes",$T$5:$T$304,"&lt;"&amp;T232)+1)</f>
        <v>0</v>
      </c>
      <c r="V232" s="8">
        <f>IF(A232="","",IF(O232="Yes","Bought",IF(M232&lt;=0,"Have it",IF(N232&lt;&gt;"Yes","Skip",IF(S232&lt;=10,"Must have","Nice to have")))))</f>
        <v>0</v>
      </c>
      <c r="W232" s="30"/>
      <c r="X232" s="8">
        <f>IF(A232="","",IFERROR(INDEX('Recipe Ingredients'!$A$5:$A$1204,MATCH(A232,'Recipe Ingredients'!$B$5:$B$1204,0)),""))</f>
        <v>0</v>
      </c>
      <c r="Y232" s="8">
        <f>IF(A232="","",IFERROR(INDEX(Ingredients!$O$5:$O$304,MATCH(A232,Ingredients!$A$5:$A$304,0)),""))</f>
        <v>0</v>
      </c>
      <c r="Z232" s="8">
        <f>IF(A232="","",IF(O232="Yes","Bought",IF(N232="Yes","To buy","Not needed")))</f>
        <v>0</v>
      </c>
      <c r="AA232" s="25"/>
    </row>
    <row r="233" spans="1:27">
      <c r="A233" s="7"/>
      <c r="B233" s="8">
        <f>IF(A233="","",IFERROR(INDEX(Ingredients!$B$5:$B$304,MATCH(A233,Ingredients!$A$5:$A$304,0)),""))</f>
        <v>0</v>
      </c>
      <c r="C233" s="26"/>
      <c r="D233" s="27"/>
      <c r="E233" s="27"/>
      <c r="F233" s="7"/>
      <c r="G233" s="8">
        <f>IF(A233="","",IFERROR(INDEX(Ingredients!$D$5:$D$304,MATCH(A233,Ingredients!$A$5:$A$304,0)),""))</f>
        <v>0</v>
      </c>
      <c r="H233" s="8">
        <f>IF(OR(A233="",C233="",G233=""),"",C233*G233)</f>
        <v>0</v>
      </c>
      <c r="I233" s="26"/>
      <c r="J233" s="8">
        <f>IF(OR(C233="",I233="",I233=0),"",CEILING(C233/I233,1))</f>
        <v>0</v>
      </c>
      <c r="K233" s="8">
        <f>IF(OR(J233="",I233="",G233=""),"",J233*I233*G233)</f>
        <v>0</v>
      </c>
      <c r="L233" s="8">
        <f>IF(A233="","",SUMIFS(Pantry!$C$5:$C$304,Pantry!$A$5:$A$304,A233))</f>
        <v>0</v>
      </c>
      <c r="M233" s="8">
        <f>IF(OR(A233="",C233=""),"",MAX(0,C233-L233))</f>
        <v>0</v>
      </c>
      <c r="N233" s="27"/>
      <c r="O233" s="27"/>
      <c r="P233" s="30"/>
      <c r="Q233" s="28"/>
      <c r="R233" s="8">
        <f>IF(OR(Q233="",H233=""),"",Q233-H233)</f>
        <v>0</v>
      </c>
      <c r="S233" s="8">
        <f>IF(M233="","",COUNTIFS($M$5:$M$304,"&gt;"&amp;M233)+1)</f>
        <v>0</v>
      </c>
      <c r="T233" s="8">
        <f>IF(H233="","",H233+ROW()/1000000)</f>
        <v>0</v>
      </c>
      <c r="U233" s="8">
        <f>IF(OR(N233&lt;&gt;"Yes",T233=""),"",COUNTIFS($N$5:$N$304,"Yes",$T$5:$T$304,"&lt;"&amp;T233)+1)</f>
        <v>0</v>
      </c>
      <c r="V233" s="8">
        <f>IF(A233="","",IF(O233="Yes","Bought",IF(M233&lt;=0,"Have it",IF(N233&lt;&gt;"Yes","Skip",IF(S233&lt;=10,"Must have","Nice to have")))))</f>
        <v>0</v>
      </c>
      <c r="W233" s="30"/>
      <c r="X233" s="8">
        <f>IF(A233="","",IFERROR(INDEX('Recipe Ingredients'!$A$5:$A$1204,MATCH(A233,'Recipe Ingredients'!$B$5:$B$1204,0)),""))</f>
        <v>0</v>
      </c>
      <c r="Y233" s="8">
        <f>IF(A233="","",IFERROR(INDEX(Ingredients!$O$5:$O$304,MATCH(A233,Ingredients!$A$5:$A$304,0)),""))</f>
        <v>0</v>
      </c>
      <c r="Z233" s="8">
        <f>IF(A233="","",IF(O233="Yes","Bought",IF(N233="Yes","To buy","Not needed")))</f>
        <v>0</v>
      </c>
      <c r="AA233" s="25"/>
    </row>
    <row r="234" spans="1:27">
      <c r="A234" s="7"/>
      <c r="B234" s="8">
        <f>IF(A234="","",IFERROR(INDEX(Ingredients!$B$5:$B$304,MATCH(A234,Ingredients!$A$5:$A$304,0)),""))</f>
        <v>0</v>
      </c>
      <c r="C234" s="26"/>
      <c r="D234" s="27"/>
      <c r="E234" s="27"/>
      <c r="F234" s="7"/>
      <c r="G234" s="8">
        <f>IF(A234="","",IFERROR(INDEX(Ingredients!$D$5:$D$304,MATCH(A234,Ingredients!$A$5:$A$304,0)),""))</f>
        <v>0</v>
      </c>
      <c r="H234" s="8">
        <f>IF(OR(A234="",C234="",G234=""),"",C234*G234)</f>
        <v>0</v>
      </c>
      <c r="I234" s="26"/>
      <c r="J234" s="8">
        <f>IF(OR(C234="",I234="",I234=0),"",CEILING(C234/I234,1))</f>
        <v>0</v>
      </c>
      <c r="K234" s="8">
        <f>IF(OR(J234="",I234="",G234=""),"",J234*I234*G234)</f>
        <v>0</v>
      </c>
      <c r="L234" s="8">
        <f>IF(A234="","",SUMIFS(Pantry!$C$5:$C$304,Pantry!$A$5:$A$304,A234))</f>
        <v>0</v>
      </c>
      <c r="M234" s="8">
        <f>IF(OR(A234="",C234=""),"",MAX(0,C234-L234))</f>
        <v>0</v>
      </c>
      <c r="N234" s="27"/>
      <c r="O234" s="27"/>
      <c r="P234" s="30"/>
      <c r="Q234" s="28"/>
      <c r="R234" s="8">
        <f>IF(OR(Q234="",H234=""),"",Q234-H234)</f>
        <v>0</v>
      </c>
      <c r="S234" s="8">
        <f>IF(M234="","",COUNTIFS($M$5:$M$304,"&gt;"&amp;M234)+1)</f>
        <v>0</v>
      </c>
      <c r="T234" s="8">
        <f>IF(H234="","",H234+ROW()/1000000)</f>
        <v>0</v>
      </c>
      <c r="U234" s="8">
        <f>IF(OR(N234&lt;&gt;"Yes",T234=""),"",COUNTIFS($N$5:$N$304,"Yes",$T$5:$T$304,"&lt;"&amp;T234)+1)</f>
        <v>0</v>
      </c>
      <c r="V234" s="8">
        <f>IF(A234="","",IF(O234="Yes","Bought",IF(M234&lt;=0,"Have it",IF(N234&lt;&gt;"Yes","Skip",IF(S234&lt;=10,"Must have","Nice to have")))))</f>
        <v>0</v>
      </c>
      <c r="W234" s="30"/>
      <c r="X234" s="8">
        <f>IF(A234="","",IFERROR(INDEX('Recipe Ingredients'!$A$5:$A$1204,MATCH(A234,'Recipe Ingredients'!$B$5:$B$1204,0)),""))</f>
        <v>0</v>
      </c>
      <c r="Y234" s="8">
        <f>IF(A234="","",IFERROR(INDEX(Ingredients!$O$5:$O$304,MATCH(A234,Ingredients!$A$5:$A$304,0)),""))</f>
        <v>0</v>
      </c>
      <c r="Z234" s="8">
        <f>IF(A234="","",IF(O234="Yes","Bought",IF(N234="Yes","To buy","Not needed")))</f>
        <v>0</v>
      </c>
      <c r="AA234" s="25"/>
    </row>
    <row r="235" spans="1:27">
      <c r="A235" s="7"/>
      <c r="B235" s="8">
        <f>IF(A235="","",IFERROR(INDEX(Ingredients!$B$5:$B$304,MATCH(A235,Ingredients!$A$5:$A$304,0)),""))</f>
        <v>0</v>
      </c>
      <c r="C235" s="26"/>
      <c r="D235" s="27"/>
      <c r="E235" s="27"/>
      <c r="F235" s="7"/>
      <c r="G235" s="8">
        <f>IF(A235="","",IFERROR(INDEX(Ingredients!$D$5:$D$304,MATCH(A235,Ingredients!$A$5:$A$304,0)),""))</f>
        <v>0</v>
      </c>
      <c r="H235" s="8">
        <f>IF(OR(A235="",C235="",G235=""),"",C235*G235)</f>
        <v>0</v>
      </c>
      <c r="I235" s="26"/>
      <c r="J235" s="8">
        <f>IF(OR(C235="",I235="",I235=0),"",CEILING(C235/I235,1))</f>
        <v>0</v>
      </c>
      <c r="K235" s="8">
        <f>IF(OR(J235="",I235="",G235=""),"",J235*I235*G235)</f>
        <v>0</v>
      </c>
      <c r="L235" s="8">
        <f>IF(A235="","",SUMIFS(Pantry!$C$5:$C$304,Pantry!$A$5:$A$304,A235))</f>
        <v>0</v>
      </c>
      <c r="M235" s="8">
        <f>IF(OR(A235="",C235=""),"",MAX(0,C235-L235))</f>
        <v>0</v>
      </c>
      <c r="N235" s="27"/>
      <c r="O235" s="27"/>
      <c r="P235" s="30"/>
      <c r="Q235" s="28"/>
      <c r="R235" s="8">
        <f>IF(OR(Q235="",H235=""),"",Q235-H235)</f>
        <v>0</v>
      </c>
      <c r="S235" s="8">
        <f>IF(M235="","",COUNTIFS($M$5:$M$304,"&gt;"&amp;M235)+1)</f>
        <v>0</v>
      </c>
      <c r="T235" s="8">
        <f>IF(H235="","",H235+ROW()/1000000)</f>
        <v>0</v>
      </c>
      <c r="U235" s="8">
        <f>IF(OR(N235&lt;&gt;"Yes",T235=""),"",COUNTIFS($N$5:$N$304,"Yes",$T$5:$T$304,"&lt;"&amp;T235)+1)</f>
        <v>0</v>
      </c>
      <c r="V235" s="8">
        <f>IF(A235="","",IF(O235="Yes","Bought",IF(M235&lt;=0,"Have it",IF(N235&lt;&gt;"Yes","Skip",IF(S235&lt;=10,"Must have","Nice to have")))))</f>
        <v>0</v>
      </c>
      <c r="W235" s="30"/>
      <c r="X235" s="8">
        <f>IF(A235="","",IFERROR(INDEX('Recipe Ingredients'!$A$5:$A$1204,MATCH(A235,'Recipe Ingredients'!$B$5:$B$1204,0)),""))</f>
        <v>0</v>
      </c>
      <c r="Y235" s="8">
        <f>IF(A235="","",IFERROR(INDEX(Ingredients!$O$5:$O$304,MATCH(A235,Ingredients!$A$5:$A$304,0)),""))</f>
        <v>0</v>
      </c>
      <c r="Z235" s="8">
        <f>IF(A235="","",IF(O235="Yes","Bought",IF(N235="Yes","To buy","Not needed")))</f>
        <v>0</v>
      </c>
      <c r="AA235" s="25"/>
    </row>
    <row r="236" spans="1:27">
      <c r="A236" s="7"/>
      <c r="B236" s="8">
        <f>IF(A236="","",IFERROR(INDEX(Ingredients!$B$5:$B$304,MATCH(A236,Ingredients!$A$5:$A$304,0)),""))</f>
        <v>0</v>
      </c>
      <c r="C236" s="26"/>
      <c r="D236" s="27"/>
      <c r="E236" s="27"/>
      <c r="F236" s="7"/>
      <c r="G236" s="8">
        <f>IF(A236="","",IFERROR(INDEX(Ingredients!$D$5:$D$304,MATCH(A236,Ingredients!$A$5:$A$304,0)),""))</f>
        <v>0</v>
      </c>
      <c r="H236" s="8">
        <f>IF(OR(A236="",C236="",G236=""),"",C236*G236)</f>
        <v>0</v>
      </c>
      <c r="I236" s="26"/>
      <c r="J236" s="8">
        <f>IF(OR(C236="",I236="",I236=0),"",CEILING(C236/I236,1))</f>
        <v>0</v>
      </c>
      <c r="K236" s="8">
        <f>IF(OR(J236="",I236="",G236=""),"",J236*I236*G236)</f>
        <v>0</v>
      </c>
      <c r="L236" s="8">
        <f>IF(A236="","",SUMIFS(Pantry!$C$5:$C$304,Pantry!$A$5:$A$304,A236))</f>
        <v>0</v>
      </c>
      <c r="M236" s="8">
        <f>IF(OR(A236="",C236=""),"",MAX(0,C236-L236))</f>
        <v>0</v>
      </c>
      <c r="N236" s="27"/>
      <c r="O236" s="27"/>
      <c r="P236" s="30"/>
      <c r="Q236" s="28"/>
      <c r="R236" s="8">
        <f>IF(OR(Q236="",H236=""),"",Q236-H236)</f>
        <v>0</v>
      </c>
      <c r="S236" s="8">
        <f>IF(M236="","",COUNTIFS($M$5:$M$304,"&gt;"&amp;M236)+1)</f>
        <v>0</v>
      </c>
      <c r="T236" s="8">
        <f>IF(H236="","",H236+ROW()/1000000)</f>
        <v>0</v>
      </c>
      <c r="U236" s="8">
        <f>IF(OR(N236&lt;&gt;"Yes",T236=""),"",COUNTIFS($N$5:$N$304,"Yes",$T$5:$T$304,"&lt;"&amp;T236)+1)</f>
        <v>0</v>
      </c>
      <c r="V236" s="8">
        <f>IF(A236="","",IF(O236="Yes","Bought",IF(M236&lt;=0,"Have it",IF(N236&lt;&gt;"Yes","Skip",IF(S236&lt;=10,"Must have","Nice to have")))))</f>
        <v>0</v>
      </c>
      <c r="W236" s="30"/>
      <c r="X236" s="8">
        <f>IF(A236="","",IFERROR(INDEX('Recipe Ingredients'!$A$5:$A$1204,MATCH(A236,'Recipe Ingredients'!$B$5:$B$1204,0)),""))</f>
        <v>0</v>
      </c>
      <c r="Y236" s="8">
        <f>IF(A236="","",IFERROR(INDEX(Ingredients!$O$5:$O$304,MATCH(A236,Ingredients!$A$5:$A$304,0)),""))</f>
        <v>0</v>
      </c>
      <c r="Z236" s="8">
        <f>IF(A236="","",IF(O236="Yes","Bought",IF(N236="Yes","To buy","Not needed")))</f>
        <v>0</v>
      </c>
      <c r="AA236" s="25"/>
    </row>
    <row r="237" spans="1:27">
      <c r="A237" s="7"/>
      <c r="B237" s="8">
        <f>IF(A237="","",IFERROR(INDEX(Ingredients!$B$5:$B$304,MATCH(A237,Ingredients!$A$5:$A$304,0)),""))</f>
        <v>0</v>
      </c>
      <c r="C237" s="26"/>
      <c r="D237" s="27"/>
      <c r="E237" s="27"/>
      <c r="F237" s="7"/>
      <c r="G237" s="8">
        <f>IF(A237="","",IFERROR(INDEX(Ingredients!$D$5:$D$304,MATCH(A237,Ingredients!$A$5:$A$304,0)),""))</f>
        <v>0</v>
      </c>
      <c r="H237" s="8">
        <f>IF(OR(A237="",C237="",G237=""),"",C237*G237)</f>
        <v>0</v>
      </c>
      <c r="I237" s="26"/>
      <c r="J237" s="8">
        <f>IF(OR(C237="",I237="",I237=0),"",CEILING(C237/I237,1))</f>
        <v>0</v>
      </c>
      <c r="K237" s="8">
        <f>IF(OR(J237="",I237="",G237=""),"",J237*I237*G237)</f>
        <v>0</v>
      </c>
      <c r="L237" s="8">
        <f>IF(A237="","",SUMIFS(Pantry!$C$5:$C$304,Pantry!$A$5:$A$304,A237))</f>
        <v>0</v>
      </c>
      <c r="M237" s="8">
        <f>IF(OR(A237="",C237=""),"",MAX(0,C237-L237))</f>
        <v>0</v>
      </c>
      <c r="N237" s="27"/>
      <c r="O237" s="27"/>
      <c r="P237" s="30"/>
      <c r="Q237" s="28"/>
      <c r="R237" s="8">
        <f>IF(OR(Q237="",H237=""),"",Q237-H237)</f>
        <v>0</v>
      </c>
      <c r="S237" s="8">
        <f>IF(M237="","",COUNTIFS($M$5:$M$304,"&gt;"&amp;M237)+1)</f>
        <v>0</v>
      </c>
      <c r="T237" s="8">
        <f>IF(H237="","",H237+ROW()/1000000)</f>
        <v>0</v>
      </c>
      <c r="U237" s="8">
        <f>IF(OR(N237&lt;&gt;"Yes",T237=""),"",COUNTIFS($N$5:$N$304,"Yes",$T$5:$T$304,"&lt;"&amp;T237)+1)</f>
        <v>0</v>
      </c>
      <c r="V237" s="8">
        <f>IF(A237="","",IF(O237="Yes","Bought",IF(M237&lt;=0,"Have it",IF(N237&lt;&gt;"Yes","Skip",IF(S237&lt;=10,"Must have","Nice to have")))))</f>
        <v>0</v>
      </c>
      <c r="W237" s="30"/>
      <c r="X237" s="8">
        <f>IF(A237="","",IFERROR(INDEX('Recipe Ingredients'!$A$5:$A$1204,MATCH(A237,'Recipe Ingredients'!$B$5:$B$1204,0)),""))</f>
        <v>0</v>
      </c>
      <c r="Y237" s="8">
        <f>IF(A237="","",IFERROR(INDEX(Ingredients!$O$5:$O$304,MATCH(A237,Ingredients!$A$5:$A$304,0)),""))</f>
        <v>0</v>
      </c>
      <c r="Z237" s="8">
        <f>IF(A237="","",IF(O237="Yes","Bought",IF(N237="Yes","To buy","Not needed")))</f>
        <v>0</v>
      </c>
      <c r="AA237" s="25"/>
    </row>
    <row r="238" spans="1:27">
      <c r="A238" s="7"/>
      <c r="B238" s="8">
        <f>IF(A238="","",IFERROR(INDEX(Ingredients!$B$5:$B$304,MATCH(A238,Ingredients!$A$5:$A$304,0)),""))</f>
        <v>0</v>
      </c>
      <c r="C238" s="26"/>
      <c r="D238" s="27"/>
      <c r="E238" s="27"/>
      <c r="F238" s="7"/>
      <c r="G238" s="8">
        <f>IF(A238="","",IFERROR(INDEX(Ingredients!$D$5:$D$304,MATCH(A238,Ingredients!$A$5:$A$304,0)),""))</f>
        <v>0</v>
      </c>
      <c r="H238" s="8">
        <f>IF(OR(A238="",C238="",G238=""),"",C238*G238)</f>
        <v>0</v>
      </c>
      <c r="I238" s="26"/>
      <c r="J238" s="8">
        <f>IF(OR(C238="",I238="",I238=0),"",CEILING(C238/I238,1))</f>
        <v>0</v>
      </c>
      <c r="K238" s="8">
        <f>IF(OR(J238="",I238="",G238=""),"",J238*I238*G238)</f>
        <v>0</v>
      </c>
      <c r="L238" s="8">
        <f>IF(A238="","",SUMIFS(Pantry!$C$5:$C$304,Pantry!$A$5:$A$304,A238))</f>
        <v>0</v>
      </c>
      <c r="M238" s="8">
        <f>IF(OR(A238="",C238=""),"",MAX(0,C238-L238))</f>
        <v>0</v>
      </c>
      <c r="N238" s="27"/>
      <c r="O238" s="27"/>
      <c r="P238" s="30"/>
      <c r="Q238" s="28"/>
      <c r="R238" s="8">
        <f>IF(OR(Q238="",H238=""),"",Q238-H238)</f>
        <v>0</v>
      </c>
      <c r="S238" s="8">
        <f>IF(M238="","",COUNTIFS($M$5:$M$304,"&gt;"&amp;M238)+1)</f>
        <v>0</v>
      </c>
      <c r="T238" s="8">
        <f>IF(H238="","",H238+ROW()/1000000)</f>
        <v>0</v>
      </c>
      <c r="U238" s="8">
        <f>IF(OR(N238&lt;&gt;"Yes",T238=""),"",COUNTIFS($N$5:$N$304,"Yes",$T$5:$T$304,"&lt;"&amp;T238)+1)</f>
        <v>0</v>
      </c>
      <c r="V238" s="8">
        <f>IF(A238="","",IF(O238="Yes","Bought",IF(M238&lt;=0,"Have it",IF(N238&lt;&gt;"Yes","Skip",IF(S238&lt;=10,"Must have","Nice to have")))))</f>
        <v>0</v>
      </c>
      <c r="W238" s="30"/>
      <c r="X238" s="8">
        <f>IF(A238="","",IFERROR(INDEX('Recipe Ingredients'!$A$5:$A$1204,MATCH(A238,'Recipe Ingredients'!$B$5:$B$1204,0)),""))</f>
        <v>0</v>
      </c>
      <c r="Y238" s="8">
        <f>IF(A238="","",IFERROR(INDEX(Ingredients!$O$5:$O$304,MATCH(A238,Ingredients!$A$5:$A$304,0)),""))</f>
        <v>0</v>
      </c>
      <c r="Z238" s="8">
        <f>IF(A238="","",IF(O238="Yes","Bought",IF(N238="Yes","To buy","Not needed")))</f>
        <v>0</v>
      </c>
      <c r="AA238" s="25"/>
    </row>
    <row r="239" spans="1:27">
      <c r="A239" s="7"/>
      <c r="B239" s="8">
        <f>IF(A239="","",IFERROR(INDEX(Ingredients!$B$5:$B$304,MATCH(A239,Ingredients!$A$5:$A$304,0)),""))</f>
        <v>0</v>
      </c>
      <c r="C239" s="26"/>
      <c r="D239" s="27"/>
      <c r="E239" s="27"/>
      <c r="F239" s="7"/>
      <c r="G239" s="8">
        <f>IF(A239="","",IFERROR(INDEX(Ingredients!$D$5:$D$304,MATCH(A239,Ingredients!$A$5:$A$304,0)),""))</f>
        <v>0</v>
      </c>
      <c r="H239" s="8">
        <f>IF(OR(A239="",C239="",G239=""),"",C239*G239)</f>
        <v>0</v>
      </c>
      <c r="I239" s="26"/>
      <c r="J239" s="8">
        <f>IF(OR(C239="",I239="",I239=0),"",CEILING(C239/I239,1))</f>
        <v>0</v>
      </c>
      <c r="K239" s="8">
        <f>IF(OR(J239="",I239="",G239=""),"",J239*I239*G239)</f>
        <v>0</v>
      </c>
      <c r="L239" s="8">
        <f>IF(A239="","",SUMIFS(Pantry!$C$5:$C$304,Pantry!$A$5:$A$304,A239))</f>
        <v>0</v>
      </c>
      <c r="M239" s="8">
        <f>IF(OR(A239="",C239=""),"",MAX(0,C239-L239))</f>
        <v>0</v>
      </c>
      <c r="N239" s="27"/>
      <c r="O239" s="27"/>
      <c r="P239" s="30"/>
      <c r="Q239" s="28"/>
      <c r="R239" s="8">
        <f>IF(OR(Q239="",H239=""),"",Q239-H239)</f>
        <v>0</v>
      </c>
      <c r="S239" s="8">
        <f>IF(M239="","",COUNTIFS($M$5:$M$304,"&gt;"&amp;M239)+1)</f>
        <v>0</v>
      </c>
      <c r="T239" s="8">
        <f>IF(H239="","",H239+ROW()/1000000)</f>
        <v>0</v>
      </c>
      <c r="U239" s="8">
        <f>IF(OR(N239&lt;&gt;"Yes",T239=""),"",COUNTIFS($N$5:$N$304,"Yes",$T$5:$T$304,"&lt;"&amp;T239)+1)</f>
        <v>0</v>
      </c>
      <c r="V239" s="8">
        <f>IF(A239="","",IF(O239="Yes","Bought",IF(M239&lt;=0,"Have it",IF(N239&lt;&gt;"Yes","Skip",IF(S239&lt;=10,"Must have","Nice to have")))))</f>
        <v>0</v>
      </c>
      <c r="W239" s="30"/>
      <c r="X239" s="8">
        <f>IF(A239="","",IFERROR(INDEX('Recipe Ingredients'!$A$5:$A$1204,MATCH(A239,'Recipe Ingredients'!$B$5:$B$1204,0)),""))</f>
        <v>0</v>
      </c>
      <c r="Y239" s="8">
        <f>IF(A239="","",IFERROR(INDEX(Ingredients!$O$5:$O$304,MATCH(A239,Ingredients!$A$5:$A$304,0)),""))</f>
        <v>0</v>
      </c>
      <c r="Z239" s="8">
        <f>IF(A239="","",IF(O239="Yes","Bought",IF(N239="Yes","To buy","Not needed")))</f>
        <v>0</v>
      </c>
      <c r="AA239" s="25"/>
    </row>
    <row r="240" spans="1:27">
      <c r="A240" s="7"/>
      <c r="B240" s="8">
        <f>IF(A240="","",IFERROR(INDEX(Ingredients!$B$5:$B$304,MATCH(A240,Ingredients!$A$5:$A$304,0)),""))</f>
        <v>0</v>
      </c>
      <c r="C240" s="26"/>
      <c r="D240" s="27"/>
      <c r="E240" s="27"/>
      <c r="F240" s="7"/>
      <c r="G240" s="8">
        <f>IF(A240="","",IFERROR(INDEX(Ingredients!$D$5:$D$304,MATCH(A240,Ingredients!$A$5:$A$304,0)),""))</f>
        <v>0</v>
      </c>
      <c r="H240" s="8">
        <f>IF(OR(A240="",C240="",G240=""),"",C240*G240)</f>
        <v>0</v>
      </c>
      <c r="I240" s="26"/>
      <c r="J240" s="8">
        <f>IF(OR(C240="",I240="",I240=0),"",CEILING(C240/I240,1))</f>
        <v>0</v>
      </c>
      <c r="K240" s="8">
        <f>IF(OR(J240="",I240="",G240=""),"",J240*I240*G240)</f>
        <v>0</v>
      </c>
      <c r="L240" s="8">
        <f>IF(A240="","",SUMIFS(Pantry!$C$5:$C$304,Pantry!$A$5:$A$304,A240))</f>
        <v>0</v>
      </c>
      <c r="M240" s="8">
        <f>IF(OR(A240="",C240=""),"",MAX(0,C240-L240))</f>
        <v>0</v>
      </c>
      <c r="N240" s="27"/>
      <c r="O240" s="27"/>
      <c r="P240" s="30"/>
      <c r="Q240" s="28"/>
      <c r="R240" s="8">
        <f>IF(OR(Q240="",H240=""),"",Q240-H240)</f>
        <v>0</v>
      </c>
      <c r="S240" s="8">
        <f>IF(M240="","",COUNTIFS($M$5:$M$304,"&gt;"&amp;M240)+1)</f>
        <v>0</v>
      </c>
      <c r="T240" s="8">
        <f>IF(H240="","",H240+ROW()/1000000)</f>
        <v>0</v>
      </c>
      <c r="U240" s="8">
        <f>IF(OR(N240&lt;&gt;"Yes",T240=""),"",COUNTIFS($N$5:$N$304,"Yes",$T$5:$T$304,"&lt;"&amp;T240)+1)</f>
        <v>0</v>
      </c>
      <c r="V240" s="8">
        <f>IF(A240="","",IF(O240="Yes","Bought",IF(M240&lt;=0,"Have it",IF(N240&lt;&gt;"Yes","Skip",IF(S240&lt;=10,"Must have","Nice to have")))))</f>
        <v>0</v>
      </c>
      <c r="W240" s="30"/>
      <c r="X240" s="8">
        <f>IF(A240="","",IFERROR(INDEX('Recipe Ingredients'!$A$5:$A$1204,MATCH(A240,'Recipe Ingredients'!$B$5:$B$1204,0)),""))</f>
        <v>0</v>
      </c>
      <c r="Y240" s="8">
        <f>IF(A240="","",IFERROR(INDEX(Ingredients!$O$5:$O$304,MATCH(A240,Ingredients!$A$5:$A$304,0)),""))</f>
        <v>0</v>
      </c>
      <c r="Z240" s="8">
        <f>IF(A240="","",IF(O240="Yes","Bought",IF(N240="Yes","To buy","Not needed")))</f>
        <v>0</v>
      </c>
      <c r="AA240" s="25"/>
    </row>
    <row r="241" spans="1:27">
      <c r="A241" s="7"/>
      <c r="B241" s="8">
        <f>IF(A241="","",IFERROR(INDEX(Ingredients!$B$5:$B$304,MATCH(A241,Ingredients!$A$5:$A$304,0)),""))</f>
        <v>0</v>
      </c>
      <c r="C241" s="26"/>
      <c r="D241" s="27"/>
      <c r="E241" s="27"/>
      <c r="F241" s="7"/>
      <c r="G241" s="8">
        <f>IF(A241="","",IFERROR(INDEX(Ingredients!$D$5:$D$304,MATCH(A241,Ingredients!$A$5:$A$304,0)),""))</f>
        <v>0</v>
      </c>
      <c r="H241" s="8">
        <f>IF(OR(A241="",C241="",G241=""),"",C241*G241)</f>
        <v>0</v>
      </c>
      <c r="I241" s="26"/>
      <c r="J241" s="8">
        <f>IF(OR(C241="",I241="",I241=0),"",CEILING(C241/I241,1))</f>
        <v>0</v>
      </c>
      <c r="K241" s="8">
        <f>IF(OR(J241="",I241="",G241=""),"",J241*I241*G241)</f>
        <v>0</v>
      </c>
      <c r="L241" s="8">
        <f>IF(A241="","",SUMIFS(Pantry!$C$5:$C$304,Pantry!$A$5:$A$304,A241))</f>
        <v>0</v>
      </c>
      <c r="M241" s="8">
        <f>IF(OR(A241="",C241=""),"",MAX(0,C241-L241))</f>
        <v>0</v>
      </c>
      <c r="N241" s="27"/>
      <c r="O241" s="27"/>
      <c r="P241" s="30"/>
      <c r="Q241" s="28"/>
      <c r="R241" s="8">
        <f>IF(OR(Q241="",H241=""),"",Q241-H241)</f>
        <v>0</v>
      </c>
      <c r="S241" s="8">
        <f>IF(M241="","",COUNTIFS($M$5:$M$304,"&gt;"&amp;M241)+1)</f>
        <v>0</v>
      </c>
      <c r="T241" s="8">
        <f>IF(H241="","",H241+ROW()/1000000)</f>
        <v>0</v>
      </c>
      <c r="U241" s="8">
        <f>IF(OR(N241&lt;&gt;"Yes",T241=""),"",COUNTIFS($N$5:$N$304,"Yes",$T$5:$T$304,"&lt;"&amp;T241)+1)</f>
        <v>0</v>
      </c>
      <c r="V241" s="8">
        <f>IF(A241="","",IF(O241="Yes","Bought",IF(M241&lt;=0,"Have it",IF(N241&lt;&gt;"Yes","Skip",IF(S241&lt;=10,"Must have","Nice to have")))))</f>
        <v>0</v>
      </c>
      <c r="W241" s="30"/>
      <c r="X241" s="8">
        <f>IF(A241="","",IFERROR(INDEX('Recipe Ingredients'!$A$5:$A$1204,MATCH(A241,'Recipe Ingredients'!$B$5:$B$1204,0)),""))</f>
        <v>0</v>
      </c>
      <c r="Y241" s="8">
        <f>IF(A241="","",IFERROR(INDEX(Ingredients!$O$5:$O$304,MATCH(A241,Ingredients!$A$5:$A$304,0)),""))</f>
        <v>0</v>
      </c>
      <c r="Z241" s="8">
        <f>IF(A241="","",IF(O241="Yes","Bought",IF(N241="Yes","To buy","Not needed")))</f>
        <v>0</v>
      </c>
      <c r="AA241" s="25"/>
    </row>
    <row r="242" spans="1:27">
      <c r="A242" s="7"/>
      <c r="B242" s="8">
        <f>IF(A242="","",IFERROR(INDEX(Ingredients!$B$5:$B$304,MATCH(A242,Ingredients!$A$5:$A$304,0)),""))</f>
        <v>0</v>
      </c>
      <c r="C242" s="26"/>
      <c r="D242" s="27"/>
      <c r="E242" s="27"/>
      <c r="F242" s="7"/>
      <c r="G242" s="8">
        <f>IF(A242="","",IFERROR(INDEX(Ingredients!$D$5:$D$304,MATCH(A242,Ingredients!$A$5:$A$304,0)),""))</f>
        <v>0</v>
      </c>
      <c r="H242" s="8">
        <f>IF(OR(A242="",C242="",G242=""),"",C242*G242)</f>
        <v>0</v>
      </c>
      <c r="I242" s="26"/>
      <c r="J242" s="8">
        <f>IF(OR(C242="",I242="",I242=0),"",CEILING(C242/I242,1))</f>
        <v>0</v>
      </c>
      <c r="K242" s="8">
        <f>IF(OR(J242="",I242="",G242=""),"",J242*I242*G242)</f>
        <v>0</v>
      </c>
      <c r="L242" s="8">
        <f>IF(A242="","",SUMIFS(Pantry!$C$5:$C$304,Pantry!$A$5:$A$304,A242))</f>
        <v>0</v>
      </c>
      <c r="M242" s="8">
        <f>IF(OR(A242="",C242=""),"",MAX(0,C242-L242))</f>
        <v>0</v>
      </c>
      <c r="N242" s="27"/>
      <c r="O242" s="27"/>
      <c r="P242" s="30"/>
      <c r="Q242" s="28"/>
      <c r="R242" s="8">
        <f>IF(OR(Q242="",H242=""),"",Q242-H242)</f>
        <v>0</v>
      </c>
      <c r="S242" s="8">
        <f>IF(M242="","",COUNTIFS($M$5:$M$304,"&gt;"&amp;M242)+1)</f>
        <v>0</v>
      </c>
      <c r="T242" s="8">
        <f>IF(H242="","",H242+ROW()/1000000)</f>
        <v>0</v>
      </c>
      <c r="U242" s="8">
        <f>IF(OR(N242&lt;&gt;"Yes",T242=""),"",COUNTIFS($N$5:$N$304,"Yes",$T$5:$T$304,"&lt;"&amp;T242)+1)</f>
        <v>0</v>
      </c>
      <c r="V242" s="8">
        <f>IF(A242="","",IF(O242="Yes","Bought",IF(M242&lt;=0,"Have it",IF(N242&lt;&gt;"Yes","Skip",IF(S242&lt;=10,"Must have","Nice to have")))))</f>
        <v>0</v>
      </c>
      <c r="W242" s="30"/>
      <c r="X242" s="8">
        <f>IF(A242="","",IFERROR(INDEX('Recipe Ingredients'!$A$5:$A$1204,MATCH(A242,'Recipe Ingredients'!$B$5:$B$1204,0)),""))</f>
        <v>0</v>
      </c>
      <c r="Y242" s="8">
        <f>IF(A242="","",IFERROR(INDEX(Ingredients!$O$5:$O$304,MATCH(A242,Ingredients!$A$5:$A$304,0)),""))</f>
        <v>0</v>
      </c>
      <c r="Z242" s="8">
        <f>IF(A242="","",IF(O242="Yes","Bought",IF(N242="Yes","To buy","Not needed")))</f>
        <v>0</v>
      </c>
      <c r="AA242" s="25"/>
    </row>
    <row r="243" spans="1:27">
      <c r="A243" s="7"/>
      <c r="B243" s="8">
        <f>IF(A243="","",IFERROR(INDEX(Ingredients!$B$5:$B$304,MATCH(A243,Ingredients!$A$5:$A$304,0)),""))</f>
        <v>0</v>
      </c>
      <c r="C243" s="26"/>
      <c r="D243" s="27"/>
      <c r="E243" s="27"/>
      <c r="F243" s="7"/>
      <c r="G243" s="8">
        <f>IF(A243="","",IFERROR(INDEX(Ingredients!$D$5:$D$304,MATCH(A243,Ingredients!$A$5:$A$304,0)),""))</f>
        <v>0</v>
      </c>
      <c r="H243" s="8">
        <f>IF(OR(A243="",C243="",G243=""),"",C243*G243)</f>
        <v>0</v>
      </c>
      <c r="I243" s="26"/>
      <c r="J243" s="8">
        <f>IF(OR(C243="",I243="",I243=0),"",CEILING(C243/I243,1))</f>
        <v>0</v>
      </c>
      <c r="K243" s="8">
        <f>IF(OR(J243="",I243="",G243=""),"",J243*I243*G243)</f>
        <v>0</v>
      </c>
      <c r="L243" s="8">
        <f>IF(A243="","",SUMIFS(Pantry!$C$5:$C$304,Pantry!$A$5:$A$304,A243))</f>
        <v>0</v>
      </c>
      <c r="M243" s="8">
        <f>IF(OR(A243="",C243=""),"",MAX(0,C243-L243))</f>
        <v>0</v>
      </c>
      <c r="N243" s="27"/>
      <c r="O243" s="27"/>
      <c r="P243" s="30"/>
      <c r="Q243" s="28"/>
      <c r="R243" s="8">
        <f>IF(OR(Q243="",H243=""),"",Q243-H243)</f>
        <v>0</v>
      </c>
      <c r="S243" s="8">
        <f>IF(M243="","",COUNTIFS($M$5:$M$304,"&gt;"&amp;M243)+1)</f>
        <v>0</v>
      </c>
      <c r="T243" s="8">
        <f>IF(H243="","",H243+ROW()/1000000)</f>
        <v>0</v>
      </c>
      <c r="U243" s="8">
        <f>IF(OR(N243&lt;&gt;"Yes",T243=""),"",COUNTIFS($N$5:$N$304,"Yes",$T$5:$T$304,"&lt;"&amp;T243)+1)</f>
        <v>0</v>
      </c>
      <c r="V243" s="8">
        <f>IF(A243="","",IF(O243="Yes","Bought",IF(M243&lt;=0,"Have it",IF(N243&lt;&gt;"Yes","Skip",IF(S243&lt;=10,"Must have","Nice to have")))))</f>
        <v>0</v>
      </c>
      <c r="W243" s="30"/>
      <c r="X243" s="8">
        <f>IF(A243="","",IFERROR(INDEX('Recipe Ingredients'!$A$5:$A$1204,MATCH(A243,'Recipe Ingredients'!$B$5:$B$1204,0)),""))</f>
        <v>0</v>
      </c>
      <c r="Y243" s="8">
        <f>IF(A243="","",IFERROR(INDEX(Ingredients!$O$5:$O$304,MATCH(A243,Ingredients!$A$5:$A$304,0)),""))</f>
        <v>0</v>
      </c>
      <c r="Z243" s="8">
        <f>IF(A243="","",IF(O243="Yes","Bought",IF(N243="Yes","To buy","Not needed")))</f>
        <v>0</v>
      </c>
      <c r="AA243" s="25"/>
    </row>
    <row r="244" spans="1:27">
      <c r="A244" s="7"/>
      <c r="B244" s="8">
        <f>IF(A244="","",IFERROR(INDEX(Ingredients!$B$5:$B$304,MATCH(A244,Ingredients!$A$5:$A$304,0)),""))</f>
        <v>0</v>
      </c>
      <c r="C244" s="26"/>
      <c r="D244" s="27"/>
      <c r="E244" s="27"/>
      <c r="F244" s="7"/>
      <c r="G244" s="8">
        <f>IF(A244="","",IFERROR(INDEX(Ingredients!$D$5:$D$304,MATCH(A244,Ingredients!$A$5:$A$304,0)),""))</f>
        <v>0</v>
      </c>
      <c r="H244" s="8">
        <f>IF(OR(A244="",C244="",G244=""),"",C244*G244)</f>
        <v>0</v>
      </c>
      <c r="I244" s="26"/>
      <c r="J244" s="8">
        <f>IF(OR(C244="",I244="",I244=0),"",CEILING(C244/I244,1))</f>
        <v>0</v>
      </c>
      <c r="K244" s="8">
        <f>IF(OR(J244="",I244="",G244=""),"",J244*I244*G244)</f>
        <v>0</v>
      </c>
      <c r="L244" s="8">
        <f>IF(A244="","",SUMIFS(Pantry!$C$5:$C$304,Pantry!$A$5:$A$304,A244))</f>
        <v>0</v>
      </c>
      <c r="M244" s="8">
        <f>IF(OR(A244="",C244=""),"",MAX(0,C244-L244))</f>
        <v>0</v>
      </c>
      <c r="N244" s="27"/>
      <c r="O244" s="27"/>
      <c r="P244" s="30"/>
      <c r="Q244" s="28"/>
      <c r="R244" s="8">
        <f>IF(OR(Q244="",H244=""),"",Q244-H244)</f>
        <v>0</v>
      </c>
      <c r="S244" s="8">
        <f>IF(M244="","",COUNTIFS($M$5:$M$304,"&gt;"&amp;M244)+1)</f>
        <v>0</v>
      </c>
      <c r="T244" s="8">
        <f>IF(H244="","",H244+ROW()/1000000)</f>
        <v>0</v>
      </c>
      <c r="U244" s="8">
        <f>IF(OR(N244&lt;&gt;"Yes",T244=""),"",COUNTIFS($N$5:$N$304,"Yes",$T$5:$T$304,"&lt;"&amp;T244)+1)</f>
        <v>0</v>
      </c>
      <c r="V244" s="8">
        <f>IF(A244="","",IF(O244="Yes","Bought",IF(M244&lt;=0,"Have it",IF(N244&lt;&gt;"Yes","Skip",IF(S244&lt;=10,"Must have","Nice to have")))))</f>
        <v>0</v>
      </c>
      <c r="W244" s="30"/>
      <c r="X244" s="8">
        <f>IF(A244="","",IFERROR(INDEX('Recipe Ingredients'!$A$5:$A$1204,MATCH(A244,'Recipe Ingredients'!$B$5:$B$1204,0)),""))</f>
        <v>0</v>
      </c>
      <c r="Y244" s="8">
        <f>IF(A244="","",IFERROR(INDEX(Ingredients!$O$5:$O$304,MATCH(A244,Ingredients!$A$5:$A$304,0)),""))</f>
        <v>0</v>
      </c>
      <c r="Z244" s="8">
        <f>IF(A244="","",IF(O244="Yes","Bought",IF(N244="Yes","To buy","Not needed")))</f>
        <v>0</v>
      </c>
      <c r="AA244" s="25"/>
    </row>
    <row r="245" spans="1:27">
      <c r="A245" s="7"/>
      <c r="B245" s="8">
        <f>IF(A245="","",IFERROR(INDEX(Ingredients!$B$5:$B$304,MATCH(A245,Ingredients!$A$5:$A$304,0)),""))</f>
        <v>0</v>
      </c>
      <c r="C245" s="26"/>
      <c r="D245" s="27"/>
      <c r="E245" s="27"/>
      <c r="F245" s="7"/>
      <c r="G245" s="8">
        <f>IF(A245="","",IFERROR(INDEX(Ingredients!$D$5:$D$304,MATCH(A245,Ingredients!$A$5:$A$304,0)),""))</f>
        <v>0</v>
      </c>
      <c r="H245" s="8">
        <f>IF(OR(A245="",C245="",G245=""),"",C245*G245)</f>
        <v>0</v>
      </c>
      <c r="I245" s="26"/>
      <c r="J245" s="8">
        <f>IF(OR(C245="",I245="",I245=0),"",CEILING(C245/I245,1))</f>
        <v>0</v>
      </c>
      <c r="K245" s="8">
        <f>IF(OR(J245="",I245="",G245=""),"",J245*I245*G245)</f>
        <v>0</v>
      </c>
      <c r="L245" s="8">
        <f>IF(A245="","",SUMIFS(Pantry!$C$5:$C$304,Pantry!$A$5:$A$304,A245))</f>
        <v>0</v>
      </c>
      <c r="M245" s="8">
        <f>IF(OR(A245="",C245=""),"",MAX(0,C245-L245))</f>
        <v>0</v>
      </c>
      <c r="N245" s="27"/>
      <c r="O245" s="27"/>
      <c r="P245" s="30"/>
      <c r="Q245" s="28"/>
      <c r="R245" s="8">
        <f>IF(OR(Q245="",H245=""),"",Q245-H245)</f>
        <v>0</v>
      </c>
      <c r="S245" s="8">
        <f>IF(M245="","",COUNTIFS($M$5:$M$304,"&gt;"&amp;M245)+1)</f>
        <v>0</v>
      </c>
      <c r="T245" s="8">
        <f>IF(H245="","",H245+ROW()/1000000)</f>
        <v>0</v>
      </c>
      <c r="U245" s="8">
        <f>IF(OR(N245&lt;&gt;"Yes",T245=""),"",COUNTIFS($N$5:$N$304,"Yes",$T$5:$T$304,"&lt;"&amp;T245)+1)</f>
        <v>0</v>
      </c>
      <c r="V245" s="8">
        <f>IF(A245="","",IF(O245="Yes","Bought",IF(M245&lt;=0,"Have it",IF(N245&lt;&gt;"Yes","Skip",IF(S245&lt;=10,"Must have","Nice to have")))))</f>
        <v>0</v>
      </c>
      <c r="W245" s="30"/>
      <c r="X245" s="8">
        <f>IF(A245="","",IFERROR(INDEX('Recipe Ingredients'!$A$5:$A$1204,MATCH(A245,'Recipe Ingredients'!$B$5:$B$1204,0)),""))</f>
        <v>0</v>
      </c>
      <c r="Y245" s="8">
        <f>IF(A245="","",IFERROR(INDEX(Ingredients!$O$5:$O$304,MATCH(A245,Ingredients!$A$5:$A$304,0)),""))</f>
        <v>0</v>
      </c>
      <c r="Z245" s="8">
        <f>IF(A245="","",IF(O245="Yes","Bought",IF(N245="Yes","To buy","Not needed")))</f>
        <v>0</v>
      </c>
      <c r="AA245" s="25"/>
    </row>
    <row r="246" spans="1:27">
      <c r="A246" s="7"/>
      <c r="B246" s="8">
        <f>IF(A246="","",IFERROR(INDEX(Ingredients!$B$5:$B$304,MATCH(A246,Ingredients!$A$5:$A$304,0)),""))</f>
        <v>0</v>
      </c>
      <c r="C246" s="26"/>
      <c r="D246" s="27"/>
      <c r="E246" s="27"/>
      <c r="F246" s="7"/>
      <c r="G246" s="8">
        <f>IF(A246="","",IFERROR(INDEX(Ingredients!$D$5:$D$304,MATCH(A246,Ingredients!$A$5:$A$304,0)),""))</f>
        <v>0</v>
      </c>
      <c r="H246" s="8">
        <f>IF(OR(A246="",C246="",G246=""),"",C246*G246)</f>
        <v>0</v>
      </c>
      <c r="I246" s="26"/>
      <c r="J246" s="8">
        <f>IF(OR(C246="",I246="",I246=0),"",CEILING(C246/I246,1))</f>
        <v>0</v>
      </c>
      <c r="K246" s="8">
        <f>IF(OR(J246="",I246="",G246=""),"",J246*I246*G246)</f>
        <v>0</v>
      </c>
      <c r="L246" s="8">
        <f>IF(A246="","",SUMIFS(Pantry!$C$5:$C$304,Pantry!$A$5:$A$304,A246))</f>
        <v>0</v>
      </c>
      <c r="M246" s="8">
        <f>IF(OR(A246="",C246=""),"",MAX(0,C246-L246))</f>
        <v>0</v>
      </c>
      <c r="N246" s="27"/>
      <c r="O246" s="27"/>
      <c r="P246" s="30"/>
      <c r="Q246" s="28"/>
      <c r="R246" s="8">
        <f>IF(OR(Q246="",H246=""),"",Q246-H246)</f>
        <v>0</v>
      </c>
      <c r="S246" s="8">
        <f>IF(M246="","",COUNTIFS($M$5:$M$304,"&gt;"&amp;M246)+1)</f>
        <v>0</v>
      </c>
      <c r="T246" s="8">
        <f>IF(H246="","",H246+ROW()/1000000)</f>
        <v>0</v>
      </c>
      <c r="U246" s="8">
        <f>IF(OR(N246&lt;&gt;"Yes",T246=""),"",COUNTIFS($N$5:$N$304,"Yes",$T$5:$T$304,"&lt;"&amp;T246)+1)</f>
        <v>0</v>
      </c>
      <c r="V246" s="8">
        <f>IF(A246="","",IF(O246="Yes","Bought",IF(M246&lt;=0,"Have it",IF(N246&lt;&gt;"Yes","Skip",IF(S246&lt;=10,"Must have","Nice to have")))))</f>
        <v>0</v>
      </c>
      <c r="W246" s="30"/>
      <c r="X246" s="8">
        <f>IF(A246="","",IFERROR(INDEX('Recipe Ingredients'!$A$5:$A$1204,MATCH(A246,'Recipe Ingredients'!$B$5:$B$1204,0)),""))</f>
        <v>0</v>
      </c>
      <c r="Y246" s="8">
        <f>IF(A246="","",IFERROR(INDEX(Ingredients!$O$5:$O$304,MATCH(A246,Ingredients!$A$5:$A$304,0)),""))</f>
        <v>0</v>
      </c>
      <c r="Z246" s="8">
        <f>IF(A246="","",IF(O246="Yes","Bought",IF(N246="Yes","To buy","Not needed")))</f>
        <v>0</v>
      </c>
      <c r="AA246" s="25"/>
    </row>
    <row r="247" spans="1:27">
      <c r="A247" s="7"/>
      <c r="B247" s="8">
        <f>IF(A247="","",IFERROR(INDEX(Ingredients!$B$5:$B$304,MATCH(A247,Ingredients!$A$5:$A$304,0)),""))</f>
        <v>0</v>
      </c>
      <c r="C247" s="26"/>
      <c r="D247" s="27"/>
      <c r="E247" s="27"/>
      <c r="F247" s="7"/>
      <c r="G247" s="8">
        <f>IF(A247="","",IFERROR(INDEX(Ingredients!$D$5:$D$304,MATCH(A247,Ingredients!$A$5:$A$304,0)),""))</f>
        <v>0</v>
      </c>
      <c r="H247" s="8">
        <f>IF(OR(A247="",C247="",G247=""),"",C247*G247)</f>
        <v>0</v>
      </c>
      <c r="I247" s="26"/>
      <c r="J247" s="8">
        <f>IF(OR(C247="",I247="",I247=0),"",CEILING(C247/I247,1))</f>
        <v>0</v>
      </c>
      <c r="K247" s="8">
        <f>IF(OR(J247="",I247="",G247=""),"",J247*I247*G247)</f>
        <v>0</v>
      </c>
      <c r="L247" s="8">
        <f>IF(A247="","",SUMIFS(Pantry!$C$5:$C$304,Pantry!$A$5:$A$304,A247))</f>
        <v>0</v>
      </c>
      <c r="M247" s="8">
        <f>IF(OR(A247="",C247=""),"",MAX(0,C247-L247))</f>
        <v>0</v>
      </c>
      <c r="N247" s="27"/>
      <c r="O247" s="27"/>
      <c r="P247" s="30"/>
      <c r="Q247" s="28"/>
      <c r="R247" s="8">
        <f>IF(OR(Q247="",H247=""),"",Q247-H247)</f>
        <v>0</v>
      </c>
      <c r="S247" s="8">
        <f>IF(M247="","",COUNTIFS($M$5:$M$304,"&gt;"&amp;M247)+1)</f>
        <v>0</v>
      </c>
      <c r="T247" s="8">
        <f>IF(H247="","",H247+ROW()/1000000)</f>
        <v>0</v>
      </c>
      <c r="U247" s="8">
        <f>IF(OR(N247&lt;&gt;"Yes",T247=""),"",COUNTIFS($N$5:$N$304,"Yes",$T$5:$T$304,"&lt;"&amp;T247)+1)</f>
        <v>0</v>
      </c>
      <c r="V247" s="8">
        <f>IF(A247="","",IF(O247="Yes","Bought",IF(M247&lt;=0,"Have it",IF(N247&lt;&gt;"Yes","Skip",IF(S247&lt;=10,"Must have","Nice to have")))))</f>
        <v>0</v>
      </c>
      <c r="W247" s="30"/>
      <c r="X247" s="8">
        <f>IF(A247="","",IFERROR(INDEX('Recipe Ingredients'!$A$5:$A$1204,MATCH(A247,'Recipe Ingredients'!$B$5:$B$1204,0)),""))</f>
        <v>0</v>
      </c>
      <c r="Y247" s="8">
        <f>IF(A247="","",IFERROR(INDEX(Ingredients!$O$5:$O$304,MATCH(A247,Ingredients!$A$5:$A$304,0)),""))</f>
        <v>0</v>
      </c>
      <c r="Z247" s="8">
        <f>IF(A247="","",IF(O247="Yes","Bought",IF(N247="Yes","To buy","Not needed")))</f>
        <v>0</v>
      </c>
      <c r="AA247" s="25"/>
    </row>
    <row r="248" spans="1:27">
      <c r="A248" s="7"/>
      <c r="B248" s="8">
        <f>IF(A248="","",IFERROR(INDEX(Ingredients!$B$5:$B$304,MATCH(A248,Ingredients!$A$5:$A$304,0)),""))</f>
        <v>0</v>
      </c>
      <c r="C248" s="26"/>
      <c r="D248" s="27"/>
      <c r="E248" s="27"/>
      <c r="F248" s="7"/>
      <c r="G248" s="8">
        <f>IF(A248="","",IFERROR(INDEX(Ingredients!$D$5:$D$304,MATCH(A248,Ingredients!$A$5:$A$304,0)),""))</f>
        <v>0</v>
      </c>
      <c r="H248" s="8">
        <f>IF(OR(A248="",C248="",G248=""),"",C248*G248)</f>
        <v>0</v>
      </c>
      <c r="I248" s="26"/>
      <c r="J248" s="8">
        <f>IF(OR(C248="",I248="",I248=0),"",CEILING(C248/I248,1))</f>
        <v>0</v>
      </c>
      <c r="K248" s="8">
        <f>IF(OR(J248="",I248="",G248=""),"",J248*I248*G248)</f>
        <v>0</v>
      </c>
      <c r="L248" s="8">
        <f>IF(A248="","",SUMIFS(Pantry!$C$5:$C$304,Pantry!$A$5:$A$304,A248))</f>
        <v>0</v>
      </c>
      <c r="M248" s="8">
        <f>IF(OR(A248="",C248=""),"",MAX(0,C248-L248))</f>
        <v>0</v>
      </c>
      <c r="N248" s="27"/>
      <c r="O248" s="27"/>
      <c r="P248" s="30"/>
      <c r="Q248" s="28"/>
      <c r="R248" s="8">
        <f>IF(OR(Q248="",H248=""),"",Q248-H248)</f>
        <v>0</v>
      </c>
      <c r="S248" s="8">
        <f>IF(M248="","",COUNTIFS($M$5:$M$304,"&gt;"&amp;M248)+1)</f>
        <v>0</v>
      </c>
      <c r="T248" s="8">
        <f>IF(H248="","",H248+ROW()/1000000)</f>
        <v>0</v>
      </c>
      <c r="U248" s="8">
        <f>IF(OR(N248&lt;&gt;"Yes",T248=""),"",COUNTIFS($N$5:$N$304,"Yes",$T$5:$T$304,"&lt;"&amp;T248)+1)</f>
        <v>0</v>
      </c>
      <c r="V248" s="8">
        <f>IF(A248="","",IF(O248="Yes","Bought",IF(M248&lt;=0,"Have it",IF(N248&lt;&gt;"Yes","Skip",IF(S248&lt;=10,"Must have","Nice to have")))))</f>
        <v>0</v>
      </c>
      <c r="W248" s="30"/>
      <c r="X248" s="8">
        <f>IF(A248="","",IFERROR(INDEX('Recipe Ingredients'!$A$5:$A$1204,MATCH(A248,'Recipe Ingredients'!$B$5:$B$1204,0)),""))</f>
        <v>0</v>
      </c>
      <c r="Y248" s="8">
        <f>IF(A248="","",IFERROR(INDEX(Ingredients!$O$5:$O$304,MATCH(A248,Ingredients!$A$5:$A$304,0)),""))</f>
        <v>0</v>
      </c>
      <c r="Z248" s="8">
        <f>IF(A248="","",IF(O248="Yes","Bought",IF(N248="Yes","To buy","Not needed")))</f>
        <v>0</v>
      </c>
      <c r="AA248" s="25"/>
    </row>
    <row r="249" spans="1:27">
      <c r="A249" s="7"/>
      <c r="B249" s="8">
        <f>IF(A249="","",IFERROR(INDEX(Ingredients!$B$5:$B$304,MATCH(A249,Ingredients!$A$5:$A$304,0)),""))</f>
        <v>0</v>
      </c>
      <c r="C249" s="26"/>
      <c r="D249" s="27"/>
      <c r="E249" s="27"/>
      <c r="F249" s="7"/>
      <c r="G249" s="8">
        <f>IF(A249="","",IFERROR(INDEX(Ingredients!$D$5:$D$304,MATCH(A249,Ingredients!$A$5:$A$304,0)),""))</f>
        <v>0</v>
      </c>
      <c r="H249" s="8">
        <f>IF(OR(A249="",C249="",G249=""),"",C249*G249)</f>
        <v>0</v>
      </c>
      <c r="I249" s="26"/>
      <c r="J249" s="8">
        <f>IF(OR(C249="",I249="",I249=0),"",CEILING(C249/I249,1))</f>
        <v>0</v>
      </c>
      <c r="K249" s="8">
        <f>IF(OR(J249="",I249="",G249=""),"",J249*I249*G249)</f>
        <v>0</v>
      </c>
      <c r="L249" s="8">
        <f>IF(A249="","",SUMIFS(Pantry!$C$5:$C$304,Pantry!$A$5:$A$304,A249))</f>
        <v>0</v>
      </c>
      <c r="M249" s="8">
        <f>IF(OR(A249="",C249=""),"",MAX(0,C249-L249))</f>
        <v>0</v>
      </c>
      <c r="N249" s="27"/>
      <c r="O249" s="27"/>
      <c r="P249" s="30"/>
      <c r="Q249" s="28"/>
      <c r="R249" s="8">
        <f>IF(OR(Q249="",H249=""),"",Q249-H249)</f>
        <v>0</v>
      </c>
      <c r="S249" s="8">
        <f>IF(M249="","",COUNTIFS($M$5:$M$304,"&gt;"&amp;M249)+1)</f>
        <v>0</v>
      </c>
      <c r="T249" s="8">
        <f>IF(H249="","",H249+ROW()/1000000)</f>
        <v>0</v>
      </c>
      <c r="U249" s="8">
        <f>IF(OR(N249&lt;&gt;"Yes",T249=""),"",COUNTIFS($N$5:$N$304,"Yes",$T$5:$T$304,"&lt;"&amp;T249)+1)</f>
        <v>0</v>
      </c>
      <c r="V249" s="8">
        <f>IF(A249="","",IF(O249="Yes","Bought",IF(M249&lt;=0,"Have it",IF(N249&lt;&gt;"Yes","Skip",IF(S249&lt;=10,"Must have","Nice to have")))))</f>
        <v>0</v>
      </c>
      <c r="W249" s="30"/>
      <c r="X249" s="8">
        <f>IF(A249="","",IFERROR(INDEX('Recipe Ingredients'!$A$5:$A$1204,MATCH(A249,'Recipe Ingredients'!$B$5:$B$1204,0)),""))</f>
        <v>0</v>
      </c>
      <c r="Y249" s="8">
        <f>IF(A249="","",IFERROR(INDEX(Ingredients!$O$5:$O$304,MATCH(A249,Ingredients!$A$5:$A$304,0)),""))</f>
        <v>0</v>
      </c>
      <c r="Z249" s="8">
        <f>IF(A249="","",IF(O249="Yes","Bought",IF(N249="Yes","To buy","Not needed")))</f>
        <v>0</v>
      </c>
      <c r="AA249" s="25"/>
    </row>
    <row r="250" spans="1:27">
      <c r="A250" s="7"/>
      <c r="B250" s="8">
        <f>IF(A250="","",IFERROR(INDEX(Ingredients!$B$5:$B$304,MATCH(A250,Ingredients!$A$5:$A$304,0)),""))</f>
        <v>0</v>
      </c>
      <c r="C250" s="26"/>
      <c r="D250" s="27"/>
      <c r="E250" s="27"/>
      <c r="F250" s="7"/>
      <c r="G250" s="8">
        <f>IF(A250="","",IFERROR(INDEX(Ingredients!$D$5:$D$304,MATCH(A250,Ingredients!$A$5:$A$304,0)),""))</f>
        <v>0</v>
      </c>
      <c r="H250" s="8">
        <f>IF(OR(A250="",C250="",G250=""),"",C250*G250)</f>
        <v>0</v>
      </c>
      <c r="I250" s="26"/>
      <c r="J250" s="8">
        <f>IF(OR(C250="",I250="",I250=0),"",CEILING(C250/I250,1))</f>
        <v>0</v>
      </c>
      <c r="K250" s="8">
        <f>IF(OR(J250="",I250="",G250=""),"",J250*I250*G250)</f>
        <v>0</v>
      </c>
      <c r="L250" s="8">
        <f>IF(A250="","",SUMIFS(Pantry!$C$5:$C$304,Pantry!$A$5:$A$304,A250))</f>
        <v>0</v>
      </c>
      <c r="M250" s="8">
        <f>IF(OR(A250="",C250=""),"",MAX(0,C250-L250))</f>
        <v>0</v>
      </c>
      <c r="N250" s="27"/>
      <c r="O250" s="27"/>
      <c r="P250" s="30"/>
      <c r="Q250" s="28"/>
      <c r="R250" s="8">
        <f>IF(OR(Q250="",H250=""),"",Q250-H250)</f>
        <v>0</v>
      </c>
      <c r="S250" s="8">
        <f>IF(M250="","",COUNTIFS($M$5:$M$304,"&gt;"&amp;M250)+1)</f>
        <v>0</v>
      </c>
      <c r="T250" s="8">
        <f>IF(H250="","",H250+ROW()/1000000)</f>
        <v>0</v>
      </c>
      <c r="U250" s="8">
        <f>IF(OR(N250&lt;&gt;"Yes",T250=""),"",COUNTIFS($N$5:$N$304,"Yes",$T$5:$T$304,"&lt;"&amp;T250)+1)</f>
        <v>0</v>
      </c>
      <c r="V250" s="8">
        <f>IF(A250="","",IF(O250="Yes","Bought",IF(M250&lt;=0,"Have it",IF(N250&lt;&gt;"Yes","Skip",IF(S250&lt;=10,"Must have","Nice to have")))))</f>
        <v>0</v>
      </c>
      <c r="W250" s="30"/>
      <c r="X250" s="8">
        <f>IF(A250="","",IFERROR(INDEX('Recipe Ingredients'!$A$5:$A$1204,MATCH(A250,'Recipe Ingredients'!$B$5:$B$1204,0)),""))</f>
        <v>0</v>
      </c>
      <c r="Y250" s="8">
        <f>IF(A250="","",IFERROR(INDEX(Ingredients!$O$5:$O$304,MATCH(A250,Ingredients!$A$5:$A$304,0)),""))</f>
        <v>0</v>
      </c>
      <c r="Z250" s="8">
        <f>IF(A250="","",IF(O250="Yes","Bought",IF(N250="Yes","To buy","Not needed")))</f>
        <v>0</v>
      </c>
      <c r="AA250" s="25"/>
    </row>
    <row r="251" spans="1:27">
      <c r="A251" s="7"/>
      <c r="B251" s="8">
        <f>IF(A251="","",IFERROR(INDEX(Ingredients!$B$5:$B$304,MATCH(A251,Ingredients!$A$5:$A$304,0)),""))</f>
        <v>0</v>
      </c>
      <c r="C251" s="26"/>
      <c r="D251" s="27"/>
      <c r="E251" s="27"/>
      <c r="F251" s="7"/>
      <c r="G251" s="8">
        <f>IF(A251="","",IFERROR(INDEX(Ingredients!$D$5:$D$304,MATCH(A251,Ingredients!$A$5:$A$304,0)),""))</f>
        <v>0</v>
      </c>
      <c r="H251" s="8">
        <f>IF(OR(A251="",C251="",G251=""),"",C251*G251)</f>
        <v>0</v>
      </c>
      <c r="I251" s="26"/>
      <c r="J251" s="8">
        <f>IF(OR(C251="",I251="",I251=0),"",CEILING(C251/I251,1))</f>
        <v>0</v>
      </c>
      <c r="K251" s="8">
        <f>IF(OR(J251="",I251="",G251=""),"",J251*I251*G251)</f>
        <v>0</v>
      </c>
      <c r="L251" s="8">
        <f>IF(A251="","",SUMIFS(Pantry!$C$5:$C$304,Pantry!$A$5:$A$304,A251))</f>
        <v>0</v>
      </c>
      <c r="M251" s="8">
        <f>IF(OR(A251="",C251=""),"",MAX(0,C251-L251))</f>
        <v>0</v>
      </c>
      <c r="N251" s="27"/>
      <c r="O251" s="27"/>
      <c r="P251" s="30"/>
      <c r="Q251" s="28"/>
      <c r="R251" s="8">
        <f>IF(OR(Q251="",H251=""),"",Q251-H251)</f>
        <v>0</v>
      </c>
      <c r="S251" s="8">
        <f>IF(M251="","",COUNTIFS($M$5:$M$304,"&gt;"&amp;M251)+1)</f>
        <v>0</v>
      </c>
      <c r="T251" s="8">
        <f>IF(H251="","",H251+ROW()/1000000)</f>
        <v>0</v>
      </c>
      <c r="U251" s="8">
        <f>IF(OR(N251&lt;&gt;"Yes",T251=""),"",COUNTIFS($N$5:$N$304,"Yes",$T$5:$T$304,"&lt;"&amp;T251)+1)</f>
        <v>0</v>
      </c>
      <c r="V251" s="8">
        <f>IF(A251="","",IF(O251="Yes","Bought",IF(M251&lt;=0,"Have it",IF(N251&lt;&gt;"Yes","Skip",IF(S251&lt;=10,"Must have","Nice to have")))))</f>
        <v>0</v>
      </c>
      <c r="W251" s="30"/>
      <c r="X251" s="8">
        <f>IF(A251="","",IFERROR(INDEX('Recipe Ingredients'!$A$5:$A$1204,MATCH(A251,'Recipe Ingredients'!$B$5:$B$1204,0)),""))</f>
        <v>0</v>
      </c>
      <c r="Y251" s="8">
        <f>IF(A251="","",IFERROR(INDEX(Ingredients!$O$5:$O$304,MATCH(A251,Ingredients!$A$5:$A$304,0)),""))</f>
        <v>0</v>
      </c>
      <c r="Z251" s="8">
        <f>IF(A251="","",IF(O251="Yes","Bought",IF(N251="Yes","To buy","Not needed")))</f>
        <v>0</v>
      </c>
      <c r="AA251" s="25"/>
    </row>
    <row r="252" spans="1:27">
      <c r="A252" s="7"/>
      <c r="B252" s="8">
        <f>IF(A252="","",IFERROR(INDEX(Ingredients!$B$5:$B$304,MATCH(A252,Ingredients!$A$5:$A$304,0)),""))</f>
        <v>0</v>
      </c>
      <c r="C252" s="26"/>
      <c r="D252" s="27"/>
      <c r="E252" s="27"/>
      <c r="F252" s="7"/>
      <c r="G252" s="8">
        <f>IF(A252="","",IFERROR(INDEX(Ingredients!$D$5:$D$304,MATCH(A252,Ingredients!$A$5:$A$304,0)),""))</f>
        <v>0</v>
      </c>
      <c r="H252" s="8">
        <f>IF(OR(A252="",C252="",G252=""),"",C252*G252)</f>
        <v>0</v>
      </c>
      <c r="I252" s="26"/>
      <c r="J252" s="8">
        <f>IF(OR(C252="",I252="",I252=0),"",CEILING(C252/I252,1))</f>
        <v>0</v>
      </c>
      <c r="K252" s="8">
        <f>IF(OR(J252="",I252="",G252=""),"",J252*I252*G252)</f>
        <v>0</v>
      </c>
      <c r="L252" s="8">
        <f>IF(A252="","",SUMIFS(Pantry!$C$5:$C$304,Pantry!$A$5:$A$304,A252))</f>
        <v>0</v>
      </c>
      <c r="M252" s="8">
        <f>IF(OR(A252="",C252=""),"",MAX(0,C252-L252))</f>
        <v>0</v>
      </c>
      <c r="N252" s="27"/>
      <c r="O252" s="27"/>
      <c r="P252" s="30"/>
      <c r="Q252" s="28"/>
      <c r="R252" s="8">
        <f>IF(OR(Q252="",H252=""),"",Q252-H252)</f>
        <v>0</v>
      </c>
      <c r="S252" s="8">
        <f>IF(M252="","",COUNTIFS($M$5:$M$304,"&gt;"&amp;M252)+1)</f>
        <v>0</v>
      </c>
      <c r="T252" s="8">
        <f>IF(H252="","",H252+ROW()/1000000)</f>
        <v>0</v>
      </c>
      <c r="U252" s="8">
        <f>IF(OR(N252&lt;&gt;"Yes",T252=""),"",COUNTIFS($N$5:$N$304,"Yes",$T$5:$T$304,"&lt;"&amp;T252)+1)</f>
        <v>0</v>
      </c>
      <c r="V252" s="8">
        <f>IF(A252="","",IF(O252="Yes","Bought",IF(M252&lt;=0,"Have it",IF(N252&lt;&gt;"Yes","Skip",IF(S252&lt;=10,"Must have","Nice to have")))))</f>
        <v>0</v>
      </c>
      <c r="W252" s="30"/>
      <c r="X252" s="8">
        <f>IF(A252="","",IFERROR(INDEX('Recipe Ingredients'!$A$5:$A$1204,MATCH(A252,'Recipe Ingredients'!$B$5:$B$1204,0)),""))</f>
        <v>0</v>
      </c>
      <c r="Y252" s="8">
        <f>IF(A252="","",IFERROR(INDEX(Ingredients!$O$5:$O$304,MATCH(A252,Ingredients!$A$5:$A$304,0)),""))</f>
        <v>0</v>
      </c>
      <c r="Z252" s="8">
        <f>IF(A252="","",IF(O252="Yes","Bought",IF(N252="Yes","To buy","Not needed")))</f>
        <v>0</v>
      </c>
      <c r="AA252" s="25"/>
    </row>
    <row r="253" spans="1:27">
      <c r="A253" s="7"/>
      <c r="B253" s="8">
        <f>IF(A253="","",IFERROR(INDEX(Ingredients!$B$5:$B$304,MATCH(A253,Ingredients!$A$5:$A$304,0)),""))</f>
        <v>0</v>
      </c>
      <c r="C253" s="26"/>
      <c r="D253" s="27"/>
      <c r="E253" s="27"/>
      <c r="F253" s="7"/>
      <c r="G253" s="8">
        <f>IF(A253="","",IFERROR(INDEX(Ingredients!$D$5:$D$304,MATCH(A253,Ingredients!$A$5:$A$304,0)),""))</f>
        <v>0</v>
      </c>
      <c r="H253" s="8">
        <f>IF(OR(A253="",C253="",G253=""),"",C253*G253)</f>
        <v>0</v>
      </c>
      <c r="I253" s="26"/>
      <c r="J253" s="8">
        <f>IF(OR(C253="",I253="",I253=0),"",CEILING(C253/I253,1))</f>
        <v>0</v>
      </c>
      <c r="K253" s="8">
        <f>IF(OR(J253="",I253="",G253=""),"",J253*I253*G253)</f>
        <v>0</v>
      </c>
      <c r="L253" s="8">
        <f>IF(A253="","",SUMIFS(Pantry!$C$5:$C$304,Pantry!$A$5:$A$304,A253))</f>
        <v>0</v>
      </c>
      <c r="M253" s="8">
        <f>IF(OR(A253="",C253=""),"",MAX(0,C253-L253))</f>
        <v>0</v>
      </c>
      <c r="N253" s="27"/>
      <c r="O253" s="27"/>
      <c r="P253" s="30"/>
      <c r="Q253" s="28"/>
      <c r="R253" s="8">
        <f>IF(OR(Q253="",H253=""),"",Q253-H253)</f>
        <v>0</v>
      </c>
      <c r="S253" s="8">
        <f>IF(M253="","",COUNTIFS($M$5:$M$304,"&gt;"&amp;M253)+1)</f>
        <v>0</v>
      </c>
      <c r="T253" s="8">
        <f>IF(H253="","",H253+ROW()/1000000)</f>
        <v>0</v>
      </c>
      <c r="U253" s="8">
        <f>IF(OR(N253&lt;&gt;"Yes",T253=""),"",COUNTIFS($N$5:$N$304,"Yes",$T$5:$T$304,"&lt;"&amp;T253)+1)</f>
        <v>0</v>
      </c>
      <c r="V253" s="8">
        <f>IF(A253="","",IF(O253="Yes","Bought",IF(M253&lt;=0,"Have it",IF(N253&lt;&gt;"Yes","Skip",IF(S253&lt;=10,"Must have","Nice to have")))))</f>
        <v>0</v>
      </c>
      <c r="W253" s="30"/>
      <c r="X253" s="8">
        <f>IF(A253="","",IFERROR(INDEX('Recipe Ingredients'!$A$5:$A$1204,MATCH(A253,'Recipe Ingredients'!$B$5:$B$1204,0)),""))</f>
        <v>0</v>
      </c>
      <c r="Y253" s="8">
        <f>IF(A253="","",IFERROR(INDEX(Ingredients!$O$5:$O$304,MATCH(A253,Ingredients!$A$5:$A$304,0)),""))</f>
        <v>0</v>
      </c>
      <c r="Z253" s="8">
        <f>IF(A253="","",IF(O253="Yes","Bought",IF(N253="Yes","To buy","Not needed")))</f>
        <v>0</v>
      </c>
      <c r="AA253" s="25"/>
    </row>
    <row r="254" spans="1:27">
      <c r="A254" s="7"/>
      <c r="B254" s="8">
        <f>IF(A254="","",IFERROR(INDEX(Ingredients!$B$5:$B$304,MATCH(A254,Ingredients!$A$5:$A$304,0)),""))</f>
        <v>0</v>
      </c>
      <c r="C254" s="26"/>
      <c r="D254" s="27"/>
      <c r="E254" s="27"/>
      <c r="F254" s="7"/>
      <c r="G254" s="8">
        <f>IF(A254="","",IFERROR(INDEX(Ingredients!$D$5:$D$304,MATCH(A254,Ingredients!$A$5:$A$304,0)),""))</f>
        <v>0</v>
      </c>
      <c r="H254" s="8">
        <f>IF(OR(A254="",C254="",G254=""),"",C254*G254)</f>
        <v>0</v>
      </c>
      <c r="I254" s="26"/>
      <c r="J254" s="8">
        <f>IF(OR(C254="",I254="",I254=0),"",CEILING(C254/I254,1))</f>
        <v>0</v>
      </c>
      <c r="K254" s="8">
        <f>IF(OR(J254="",I254="",G254=""),"",J254*I254*G254)</f>
        <v>0</v>
      </c>
      <c r="L254" s="8">
        <f>IF(A254="","",SUMIFS(Pantry!$C$5:$C$304,Pantry!$A$5:$A$304,A254))</f>
        <v>0</v>
      </c>
      <c r="M254" s="8">
        <f>IF(OR(A254="",C254=""),"",MAX(0,C254-L254))</f>
        <v>0</v>
      </c>
      <c r="N254" s="27"/>
      <c r="O254" s="27"/>
      <c r="P254" s="30"/>
      <c r="Q254" s="28"/>
      <c r="R254" s="8">
        <f>IF(OR(Q254="",H254=""),"",Q254-H254)</f>
        <v>0</v>
      </c>
      <c r="S254" s="8">
        <f>IF(M254="","",COUNTIFS($M$5:$M$304,"&gt;"&amp;M254)+1)</f>
        <v>0</v>
      </c>
      <c r="T254" s="8">
        <f>IF(H254="","",H254+ROW()/1000000)</f>
        <v>0</v>
      </c>
      <c r="U254" s="8">
        <f>IF(OR(N254&lt;&gt;"Yes",T254=""),"",COUNTIFS($N$5:$N$304,"Yes",$T$5:$T$304,"&lt;"&amp;T254)+1)</f>
        <v>0</v>
      </c>
      <c r="V254" s="8">
        <f>IF(A254="","",IF(O254="Yes","Bought",IF(M254&lt;=0,"Have it",IF(N254&lt;&gt;"Yes","Skip",IF(S254&lt;=10,"Must have","Nice to have")))))</f>
        <v>0</v>
      </c>
      <c r="W254" s="30"/>
      <c r="X254" s="8">
        <f>IF(A254="","",IFERROR(INDEX('Recipe Ingredients'!$A$5:$A$1204,MATCH(A254,'Recipe Ingredients'!$B$5:$B$1204,0)),""))</f>
        <v>0</v>
      </c>
      <c r="Y254" s="8">
        <f>IF(A254="","",IFERROR(INDEX(Ingredients!$O$5:$O$304,MATCH(A254,Ingredients!$A$5:$A$304,0)),""))</f>
        <v>0</v>
      </c>
      <c r="Z254" s="8">
        <f>IF(A254="","",IF(O254="Yes","Bought",IF(N254="Yes","To buy","Not needed")))</f>
        <v>0</v>
      </c>
      <c r="AA254" s="25"/>
    </row>
    <row r="255" spans="1:27">
      <c r="A255" s="7"/>
      <c r="B255" s="8">
        <f>IF(A255="","",IFERROR(INDEX(Ingredients!$B$5:$B$304,MATCH(A255,Ingredients!$A$5:$A$304,0)),""))</f>
        <v>0</v>
      </c>
      <c r="C255" s="26"/>
      <c r="D255" s="27"/>
      <c r="E255" s="27"/>
      <c r="F255" s="7"/>
      <c r="G255" s="8">
        <f>IF(A255="","",IFERROR(INDEX(Ingredients!$D$5:$D$304,MATCH(A255,Ingredients!$A$5:$A$304,0)),""))</f>
        <v>0</v>
      </c>
      <c r="H255" s="8">
        <f>IF(OR(A255="",C255="",G255=""),"",C255*G255)</f>
        <v>0</v>
      </c>
      <c r="I255" s="26"/>
      <c r="J255" s="8">
        <f>IF(OR(C255="",I255="",I255=0),"",CEILING(C255/I255,1))</f>
        <v>0</v>
      </c>
      <c r="K255" s="8">
        <f>IF(OR(J255="",I255="",G255=""),"",J255*I255*G255)</f>
        <v>0</v>
      </c>
      <c r="L255" s="8">
        <f>IF(A255="","",SUMIFS(Pantry!$C$5:$C$304,Pantry!$A$5:$A$304,A255))</f>
        <v>0</v>
      </c>
      <c r="M255" s="8">
        <f>IF(OR(A255="",C255=""),"",MAX(0,C255-L255))</f>
        <v>0</v>
      </c>
      <c r="N255" s="27"/>
      <c r="O255" s="27"/>
      <c r="P255" s="30"/>
      <c r="Q255" s="28"/>
      <c r="R255" s="8">
        <f>IF(OR(Q255="",H255=""),"",Q255-H255)</f>
        <v>0</v>
      </c>
      <c r="S255" s="8">
        <f>IF(M255="","",COUNTIFS($M$5:$M$304,"&gt;"&amp;M255)+1)</f>
        <v>0</v>
      </c>
      <c r="T255" s="8">
        <f>IF(H255="","",H255+ROW()/1000000)</f>
        <v>0</v>
      </c>
      <c r="U255" s="8">
        <f>IF(OR(N255&lt;&gt;"Yes",T255=""),"",COUNTIFS($N$5:$N$304,"Yes",$T$5:$T$304,"&lt;"&amp;T255)+1)</f>
        <v>0</v>
      </c>
      <c r="V255" s="8">
        <f>IF(A255="","",IF(O255="Yes","Bought",IF(M255&lt;=0,"Have it",IF(N255&lt;&gt;"Yes","Skip",IF(S255&lt;=10,"Must have","Nice to have")))))</f>
        <v>0</v>
      </c>
      <c r="W255" s="30"/>
      <c r="X255" s="8">
        <f>IF(A255="","",IFERROR(INDEX('Recipe Ingredients'!$A$5:$A$1204,MATCH(A255,'Recipe Ingredients'!$B$5:$B$1204,0)),""))</f>
        <v>0</v>
      </c>
      <c r="Y255" s="8">
        <f>IF(A255="","",IFERROR(INDEX(Ingredients!$O$5:$O$304,MATCH(A255,Ingredients!$A$5:$A$304,0)),""))</f>
        <v>0</v>
      </c>
      <c r="Z255" s="8">
        <f>IF(A255="","",IF(O255="Yes","Bought",IF(N255="Yes","To buy","Not needed")))</f>
        <v>0</v>
      </c>
      <c r="AA255" s="25"/>
    </row>
    <row r="256" spans="1:27">
      <c r="A256" s="7"/>
      <c r="B256" s="8">
        <f>IF(A256="","",IFERROR(INDEX(Ingredients!$B$5:$B$304,MATCH(A256,Ingredients!$A$5:$A$304,0)),""))</f>
        <v>0</v>
      </c>
      <c r="C256" s="26"/>
      <c r="D256" s="27"/>
      <c r="E256" s="27"/>
      <c r="F256" s="7"/>
      <c r="G256" s="8">
        <f>IF(A256="","",IFERROR(INDEX(Ingredients!$D$5:$D$304,MATCH(A256,Ingredients!$A$5:$A$304,0)),""))</f>
        <v>0</v>
      </c>
      <c r="H256" s="8">
        <f>IF(OR(A256="",C256="",G256=""),"",C256*G256)</f>
        <v>0</v>
      </c>
      <c r="I256" s="26"/>
      <c r="J256" s="8">
        <f>IF(OR(C256="",I256="",I256=0),"",CEILING(C256/I256,1))</f>
        <v>0</v>
      </c>
      <c r="K256" s="8">
        <f>IF(OR(J256="",I256="",G256=""),"",J256*I256*G256)</f>
        <v>0</v>
      </c>
      <c r="L256" s="8">
        <f>IF(A256="","",SUMIFS(Pantry!$C$5:$C$304,Pantry!$A$5:$A$304,A256))</f>
        <v>0</v>
      </c>
      <c r="M256" s="8">
        <f>IF(OR(A256="",C256=""),"",MAX(0,C256-L256))</f>
        <v>0</v>
      </c>
      <c r="N256" s="27"/>
      <c r="O256" s="27"/>
      <c r="P256" s="30"/>
      <c r="Q256" s="28"/>
      <c r="R256" s="8">
        <f>IF(OR(Q256="",H256=""),"",Q256-H256)</f>
        <v>0</v>
      </c>
      <c r="S256" s="8">
        <f>IF(M256="","",COUNTIFS($M$5:$M$304,"&gt;"&amp;M256)+1)</f>
        <v>0</v>
      </c>
      <c r="T256" s="8">
        <f>IF(H256="","",H256+ROW()/1000000)</f>
        <v>0</v>
      </c>
      <c r="U256" s="8">
        <f>IF(OR(N256&lt;&gt;"Yes",T256=""),"",COUNTIFS($N$5:$N$304,"Yes",$T$5:$T$304,"&lt;"&amp;T256)+1)</f>
        <v>0</v>
      </c>
      <c r="V256" s="8">
        <f>IF(A256="","",IF(O256="Yes","Bought",IF(M256&lt;=0,"Have it",IF(N256&lt;&gt;"Yes","Skip",IF(S256&lt;=10,"Must have","Nice to have")))))</f>
        <v>0</v>
      </c>
      <c r="W256" s="30"/>
      <c r="X256" s="8">
        <f>IF(A256="","",IFERROR(INDEX('Recipe Ingredients'!$A$5:$A$1204,MATCH(A256,'Recipe Ingredients'!$B$5:$B$1204,0)),""))</f>
        <v>0</v>
      </c>
      <c r="Y256" s="8">
        <f>IF(A256="","",IFERROR(INDEX(Ingredients!$O$5:$O$304,MATCH(A256,Ingredients!$A$5:$A$304,0)),""))</f>
        <v>0</v>
      </c>
      <c r="Z256" s="8">
        <f>IF(A256="","",IF(O256="Yes","Bought",IF(N256="Yes","To buy","Not needed")))</f>
        <v>0</v>
      </c>
      <c r="AA256" s="25"/>
    </row>
    <row r="257" spans="1:27">
      <c r="A257" s="7"/>
      <c r="B257" s="8">
        <f>IF(A257="","",IFERROR(INDEX(Ingredients!$B$5:$B$304,MATCH(A257,Ingredients!$A$5:$A$304,0)),""))</f>
        <v>0</v>
      </c>
      <c r="C257" s="26"/>
      <c r="D257" s="27"/>
      <c r="E257" s="27"/>
      <c r="F257" s="7"/>
      <c r="G257" s="8">
        <f>IF(A257="","",IFERROR(INDEX(Ingredients!$D$5:$D$304,MATCH(A257,Ingredients!$A$5:$A$304,0)),""))</f>
        <v>0</v>
      </c>
      <c r="H257" s="8">
        <f>IF(OR(A257="",C257="",G257=""),"",C257*G257)</f>
        <v>0</v>
      </c>
      <c r="I257" s="26"/>
      <c r="J257" s="8">
        <f>IF(OR(C257="",I257="",I257=0),"",CEILING(C257/I257,1))</f>
        <v>0</v>
      </c>
      <c r="K257" s="8">
        <f>IF(OR(J257="",I257="",G257=""),"",J257*I257*G257)</f>
        <v>0</v>
      </c>
      <c r="L257" s="8">
        <f>IF(A257="","",SUMIFS(Pantry!$C$5:$C$304,Pantry!$A$5:$A$304,A257))</f>
        <v>0</v>
      </c>
      <c r="M257" s="8">
        <f>IF(OR(A257="",C257=""),"",MAX(0,C257-L257))</f>
        <v>0</v>
      </c>
      <c r="N257" s="27"/>
      <c r="O257" s="27"/>
      <c r="P257" s="30"/>
      <c r="Q257" s="28"/>
      <c r="R257" s="8">
        <f>IF(OR(Q257="",H257=""),"",Q257-H257)</f>
        <v>0</v>
      </c>
      <c r="S257" s="8">
        <f>IF(M257="","",COUNTIFS($M$5:$M$304,"&gt;"&amp;M257)+1)</f>
        <v>0</v>
      </c>
      <c r="T257" s="8">
        <f>IF(H257="","",H257+ROW()/1000000)</f>
        <v>0</v>
      </c>
      <c r="U257" s="8">
        <f>IF(OR(N257&lt;&gt;"Yes",T257=""),"",COUNTIFS($N$5:$N$304,"Yes",$T$5:$T$304,"&lt;"&amp;T257)+1)</f>
        <v>0</v>
      </c>
      <c r="V257" s="8">
        <f>IF(A257="","",IF(O257="Yes","Bought",IF(M257&lt;=0,"Have it",IF(N257&lt;&gt;"Yes","Skip",IF(S257&lt;=10,"Must have","Nice to have")))))</f>
        <v>0</v>
      </c>
      <c r="W257" s="30"/>
      <c r="X257" s="8">
        <f>IF(A257="","",IFERROR(INDEX('Recipe Ingredients'!$A$5:$A$1204,MATCH(A257,'Recipe Ingredients'!$B$5:$B$1204,0)),""))</f>
        <v>0</v>
      </c>
      <c r="Y257" s="8">
        <f>IF(A257="","",IFERROR(INDEX(Ingredients!$O$5:$O$304,MATCH(A257,Ingredients!$A$5:$A$304,0)),""))</f>
        <v>0</v>
      </c>
      <c r="Z257" s="8">
        <f>IF(A257="","",IF(O257="Yes","Bought",IF(N257="Yes","To buy","Not needed")))</f>
        <v>0</v>
      </c>
      <c r="AA257" s="25"/>
    </row>
    <row r="258" spans="1:27">
      <c r="A258" s="7"/>
      <c r="B258" s="8">
        <f>IF(A258="","",IFERROR(INDEX(Ingredients!$B$5:$B$304,MATCH(A258,Ingredients!$A$5:$A$304,0)),""))</f>
        <v>0</v>
      </c>
      <c r="C258" s="26"/>
      <c r="D258" s="27"/>
      <c r="E258" s="27"/>
      <c r="F258" s="7"/>
      <c r="G258" s="8">
        <f>IF(A258="","",IFERROR(INDEX(Ingredients!$D$5:$D$304,MATCH(A258,Ingredients!$A$5:$A$304,0)),""))</f>
        <v>0</v>
      </c>
      <c r="H258" s="8">
        <f>IF(OR(A258="",C258="",G258=""),"",C258*G258)</f>
        <v>0</v>
      </c>
      <c r="I258" s="26"/>
      <c r="J258" s="8">
        <f>IF(OR(C258="",I258="",I258=0),"",CEILING(C258/I258,1))</f>
        <v>0</v>
      </c>
      <c r="K258" s="8">
        <f>IF(OR(J258="",I258="",G258=""),"",J258*I258*G258)</f>
        <v>0</v>
      </c>
      <c r="L258" s="8">
        <f>IF(A258="","",SUMIFS(Pantry!$C$5:$C$304,Pantry!$A$5:$A$304,A258))</f>
        <v>0</v>
      </c>
      <c r="M258" s="8">
        <f>IF(OR(A258="",C258=""),"",MAX(0,C258-L258))</f>
        <v>0</v>
      </c>
      <c r="N258" s="27"/>
      <c r="O258" s="27"/>
      <c r="P258" s="30"/>
      <c r="Q258" s="28"/>
      <c r="R258" s="8">
        <f>IF(OR(Q258="",H258=""),"",Q258-H258)</f>
        <v>0</v>
      </c>
      <c r="S258" s="8">
        <f>IF(M258="","",COUNTIFS($M$5:$M$304,"&gt;"&amp;M258)+1)</f>
        <v>0</v>
      </c>
      <c r="T258" s="8">
        <f>IF(H258="","",H258+ROW()/1000000)</f>
        <v>0</v>
      </c>
      <c r="U258" s="8">
        <f>IF(OR(N258&lt;&gt;"Yes",T258=""),"",COUNTIFS($N$5:$N$304,"Yes",$T$5:$T$304,"&lt;"&amp;T258)+1)</f>
        <v>0</v>
      </c>
      <c r="V258" s="8">
        <f>IF(A258="","",IF(O258="Yes","Bought",IF(M258&lt;=0,"Have it",IF(N258&lt;&gt;"Yes","Skip",IF(S258&lt;=10,"Must have","Nice to have")))))</f>
        <v>0</v>
      </c>
      <c r="W258" s="30"/>
      <c r="X258" s="8">
        <f>IF(A258="","",IFERROR(INDEX('Recipe Ingredients'!$A$5:$A$1204,MATCH(A258,'Recipe Ingredients'!$B$5:$B$1204,0)),""))</f>
        <v>0</v>
      </c>
      <c r="Y258" s="8">
        <f>IF(A258="","",IFERROR(INDEX(Ingredients!$O$5:$O$304,MATCH(A258,Ingredients!$A$5:$A$304,0)),""))</f>
        <v>0</v>
      </c>
      <c r="Z258" s="8">
        <f>IF(A258="","",IF(O258="Yes","Bought",IF(N258="Yes","To buy","Not needed")))</f>
        <v>0</v>
      </c>
      <c r="AA258" s="25"/>
    </row>
    <row r="259" spans="1:27">
      <c r="A259" s="7"/>
      <c r="B259" s="8">
        <f>IF(A259="","",IFERROR(INDEX(Ingredients!$B$5:$B$304,MATCH(A259,Ingredients!$A$5:$A$304,0)),""))</f>
        <v>0</v>
      </c>
      <c r="C259" s="26"/>
      <c r="D259" s="27"/>
      <c r="E259" s="27"/>
      <c r="F259" s="7"/>
      <c r="G259" s="8">
        <f>IF(A259="","",IFERROR(INDEX(Ingredients!$D$5:$D$304,MATCH(A259,Ingredients!$A$5:$A$304,0)),""))</f>
        <v>0</v>
      </c>
      <c r="H259" s="8">
        <f>IF(OR(A259="",C259="",G259=""),"",C259*G259)</f>
        <v>0</v>
      </c>
      <c r="I259" s="26"/>
      <c r="J259" s="8">
        <f>IF(OR(C259="",I259="",I259=0),"",CEILING(C259/I259,1))</f>
        <v>0</v>
      </c>
      <c r="K259" s="8">
        <f>IF(OR(J259="",I259="",G259=""),"",J259*I259*G259)</f>
        <v>0</v>
      </c>
      <c r="L259" s="8">
        <f>IF(A259="","",SUMIFS(Pantry!$C$5:$C$304,Pantry!$A$5:$A$304,A259))</f>
        <v>0</v>
      </c>
      <c r="M259" s="8">
        <f>IF(OR(A259="",C259=""),"",MAX(0,C259-L259))</f>
        <v>0</v>
      </c>
      <c r="N259" s="27"/>
      <c r="O259" s="27"/>
      <c r="P259" s="30"/>
      <c r="Q259" s="28"/>
      <c r="R259" s="8">
        <f>IF(OR(Q259="",H259=""),"",Q259-H259)</f>
        <v>0</v>
      </c>
      <c r="S259" s="8">
        <f>IF(M259="","",COUNTIFS($M$5:$M$304,"&gt;"&amp;M259)+1)</f>
        <v>0</v>
      </c>
      <c r="T259" s="8">
        <f>IF(H259="","",H259+ROW()/1000000)</f>
        <v>0</v>
      </c>
      <c r="U259" s="8">
        <f>IF(OR(N259&lt;&gt;"Yes",T259=""),"",COUNTIFS($N$5:$N$304,"Yes",$T$5:$T$304,"&lt;"&amp;T259)+1)</f>
        <v>0</v>
      </c>
      <c r="V259" s="8">
        <f>IF(A259="","",IF(O259="Yes","Bought",IF(M259&lt;=0,"Have it",IF(N259&lt;&gt;"Yes","Skip",IF(S259&lt;=10,"Must have","Nice to have")))))</f>
        <v>0</v>
      </c>
      <c r="W259" s="30"/>
      <c r="X259" s="8">
        <f>IF(A259="","",IFERROR(INDEX('Recipe Ingredients'!$A$5:$A$1204,MATCH(A259,'Recipe Ingredients'!$B$5:$B$1204,0)),""))</f>
        <v>0</v>
      </c>
      <c r="Y259" s="8">
        <f>IF(A259="","",IFERROR(INDEX(Ingredients!$O$5:$O$304,MATCH(A259,Ingredients!$A$5:$A$304,0)),""))</f>
        <v>0</v>
      </c>
      <c r="Z259" s="8">
        <f>IF(A259="","",IF(O259="Yes","Bought",IF(N259="Yes","To buy","Not needed")))</f>
        <v>0</v>
      </c>
      <c r="AA259" s="25"/>
    </row>
    <row r="260" spans="1:27">
      <c r="A260" s="7"/>
      <c r="B260" s="8">
        <f>IF(A260="","",IFERROR(INDEX(Ingredients!$B$5:$B$304,MATCH(A260,Ingredients!$A$5:$A$304,0)),""))</f>
        <v>0</v>
      </c>
      <c r="C260" s="26"/>
      <c r="D260" s="27"/>
      <c r="E260" s="27"/>
      <c r="F260" s="7"/>
      <c r="G260" s="8">
        <f>IF(A260="","",IFERROR(INDEX(Ingredients!$D$5:$D$304,MATCH(A260,Ingredients!$A$5:$A$304,0)),""))</f>
        <v>0</v>
      </c>
      <c r="H260" s="8">
        <f>IF(OR(A260="",C260="",G260=""),"",C260*G260)</f>
        <v>0</v>
      </c>
      <c r="I260" s="26"/>
      <c r="J260" s="8">
        <f>IF(OR(C260="",I260="",I260=0),"",CEILING(C260/I260,1))</f>
        <v>0</v>
      </c>
      <c r="K260" s="8">
        <f>IF(OR(J260="",I260="",G260=""),"",J260*I260*G260)</f>
        <v>0</v>
      </c>
      <c r="L260" s="8">
        <f>IF(A260="","",SUMIFS(Pantry!$C$5:$C$304,Pantry!$A$5:$A$304,A260))</f>
        <v>0</v>
      </c>
      <c r="M260" s="8">
        <f>IF(OR(A260="",C260=""),"",MAX(0,C260-L260))</f>
        <v>0</v>
      </c>
      <c r="N260" s="27"/>
      <c r="O260" s="27"/>
      <c r="P260" s="30"/>
      <c r="Q260" s="28"/>
      <c r="R260" s="8">
        <f>IF(OR(Q260="",H260=""),"",Q260-H260)</f>
        <v>0</v>
      </c>
      <c r="S260" s="8">
        <f>IF(M260="","",COUNTIFS($M$5:$M$304,"&gt;"&amp;M260)+1)</f>
        <v>0</v>
      </c>
      <c r="T260" s="8">
        <f>IF(H260="","",H260+ROW()/1000000)</f>
        <v>0</v>
      </c>
      <c r="U260" s="8">
        <f>IF(OR(N260&lt;&gt;"Yes",T260=""),"",COUNTIFS($N$5:$N$304,"Yes",$T$5:$T$304,"&lt;"&amp;T260)+1)</f>
        <v>0</v>
      </c>
      <c r="V260" s="8">
        <f>IF(A260="","",IF(O260="Yes","Bought",IF(M260&lt;=0,"Have it",IF(N260&lt;&gt;"Yes","Skip",IF(S260&lt;=10,"Must have","Nice to have")))))</f>
        <v>0</v>
      </c>
      <c r="W260" s="30"/>
      <c r="X260" s="8">
        <f>IF(A260="","",IFERROR(INDEX('Recipe Ingredients'!$A$5:$A$1204,MATCH(A260,'Recipe Ingredients'!$B$5:$B$1204,0)),""))</f>
        <v>0</v>
      </c>
      <c r="Y260" s="8">
        <f>IF(A260="","",IFERROR(INDEX(Ingredients!$O$5:$O$304,MATCH(A260,Ingredients!$A$5:$A$304,0)),""))</f>
        <v>0</v>
      </c>
      <c r="Z260" s="8">
        <f>IF(A260="","",IF(O260="Yes","Bought",IF(N260="Yes","To buy","Not needed")))</f>
        <v>0</v>
      </c>
      <c r="AA260" s="25"/>
    </row>
    <row r="261" spans="1:27">
      <c r="A261" s="7"/>
      <c r="B261" s="8">
        <f>IF(A261="","",IFERROR(INDEX(Ingredients!$B$5:$B$304,MATCH(A261,Ingredients!$A$5:$A$304,0)),""))</f>
        <v>0</v>
      </c>
      <c r="C261" s="26"/>
      <c r="D261" s="27"/>
      <c r="E261" s="27"/>
      <c r="F261" s="7"/>
      <c r="G261" s="8">
        <f>IF(A261="","",IFERROR(INDEX(Ingredients!$D$5:$D$304,MATCH(A261,Ingredients!$A$5:$A$304,0)),""))</f>
        <v>0</v>
      </c>
      <c r="H261" s="8">
        <f>IF(OR(A261="",C261="",G261=""),"",C261*G261)</f>
        <v>0</v>
      </c>
      <c r="I261" s="26"/>
      <c r="J261" s="8">
        <f>IF(OR(C261="",I261="",I261=0),"",CEILING(C261/I261,1))</f>
        <v>0</v>
      </c>
      <c r="K261" s="8">
        <f>IF(OR(J261="",I261="",G261=""),"",J261*I261*G261)</f>
        <v>0</v>
      </c>
      <c r="L261" s="8">
        <f>IF(A261="","",SUMIFS(Pantry!$C$5:$C$304,Pantry!$A$5:$A$304,A261))</f>
        <v>0</v>
      </c>
      <c r="M261" s="8">
        <f>IF(OR(A261="",C261=""),"",MAX(0,C261-L261))</f>
        <v>0</v>
      </c>
      <c r="N261" s="27"/>
      <c r="O261" s="27"/>
      <c r="P261" s="30"/>
      <c r="Q261" s="28"/>
      <c r="R261" s="8">
        <f>IF(OR(Q261="",H261=""),"",Q261-H261)</f>
        <v>0</v>
      </c>
      <c r="S261" s="8">
        <f>IF(M261="","",COUNTIFS($M$5:$M$304,"&gt;"&amp;M261)+1)</f>
        <v>0</v>
      </c>
      <c r="T261" s="8">
        <f>IF(H261="","",H261+ROW()/1000000)</f>
        <v>0</v>
      </c>
      <c r="U261" s="8">
        <f>IF(OR(N261&lt;&gt;"Yes",T261=""),"",COUNTIFS($N$5:$N$304,"Yes",$T$5:$T$304,"&lt;"&amp;T261)+1)</f>
        <v>0</v>
      </c>
      <c r="V261" s="8">
        <f>IF(A261="","",IF(O261="Yes","Bought",IF(M261&lt;=0,"Have it",IF(N261&lt;&gt;"Yes","Skip",IF(S261&lt;=10,"Must have","Nice to have")))))</f>
        <v>0</v>
      </c>
      <c r="W261" s="30"/>
      <c r="X261" s="8">
        <f>IF(A261="","",IFERROR(INDEX('Recipe Ingredients'!$A$5:$A$1204,MATCH(A261,'Recipe Ingredients'!$B$5:$B$1204,0)),""))</f>
        <v>0</v>
      </c>
      <c r="Y261" s="8">
        <f>IF(A261="","",IFERROR(INDEX(Ingredients!$O$5:$O$304,MATCH(A261,Ingredients!$A$5:$A$304,0)),""))</f>
        <v>0</v>
      </c>
      <c r="Z261" s="8">
        <f>IF(A261="","",IF(O261="Yes","Bought",IF(N261="Yes","To buy","Not needed")))</f>
        <v>0</v>
      </c>
      <c r="AA261" s="25"/>
    </row>
    <row r="262" spans="1:27">
      <c r="A262" s="7"/>
      <c r="B262" s="8">
        <f>IF(A262="","",IFERROR(INDEX(Ingredients!$B$5:$B$304,MATCH(A262,Ingredients!$A$5:$A$304,0)),""))</f>
        <v>0</v>
      </c>
      <c r="C262" s="26"/>
      <c r="D262" s="27"/>
      <c r="E262" s="27"/>
      <c r="F262" s="7"/>
      <c r="G262" s="8">
        <f>IF(A262="","",IFERROR(INDEX(Ingredients!$D$5:$D$304,MATCH(A262,Ingredients!$A$5:$A$304,0)),""))</f>
        <v>0</v>
      </c>
      <c r="H262" s="8">
        <f>IF(OR(A262="",C262="",G262=""),"",C262*G262)</f>
        <v>0</v>
      </c>
      <c r="I262" s="26"/>
      <c r="J262" s="8">
        <f>IF(OR(C262="",I262="",I262=0),"",CEILING(C262/I262,1))</f>
        <v>0</v>
      </c>
      <c r="K262" s="8">
        <f>IF(OR(J262="",I262="",G262=""),"",J262*I262*G262)</f>
        <v>0</v>
      </c>
      <c r="L262" s="8">
        <f>IF(A262="","",SUMIFS(Pantry!$C$5:$C$304,Pantry!$A$5:$A$304,A262))</f>
        <v>0</v>
      </c>
      <c r="M262" s="8">
        <f>IF(OR(A262="",C262=""),"",MAX(0,C262-L262))</f>
        <v>0</v>
      </c>
      <c r="N262" s="27"/>
      <c r="O262" s="27"/>
      <c r="P262" s="30"/>
      <c r="Q262" s="28"/>
      <c r="R262" s="8">
        <f>IF(OR(Q262="",H262=""),"",Q262-H262)</f>
        <v>0</v>
      </c>
      <c r="S262" s="8">
        <f>IF(M262="","",COUNTIFS($M$5:$M$304,"&gt;"&amp;M262)+1)</f>
        <v>0</v>
      </c>
      <c r="T262" s="8">
        <f>IF(H262="","",H262+ROW()/1000000)</f>
        <v>0</v>
      </c>
      <c r="U262" s="8">
        <f>IF(OR(N262&lt;&gt;"Yes",T262=""),"",COUNTIFS($N$5:$N$304,"Yes",$T$5:$T$304,"&lt;"&amp;T262)+1)</f>
        <v>0</v>
      </c>
      <c r="V262" s="8">
        <f>IF(A262="","",IF(O262="Yes","Bought",IF(M262&lt;=0,"Have it",IF(N262&lt;&gt;"Yes","Skip",IF(S262&lt;=10,"Must have","Nice to have")))))</f>
        <v>0</v>
      </c>
      <c r="W262" s="30"/>
      <c r="X262" s="8">
        <f>IF(A262="","",IFERROR(INDEX('Recipe Ingredients'!$A$5:$A$1204,MATCH(A262,'Recipe Ingredients'!$B$5:$B$1204,0)),""))</f>
        <v>0</v>
      </c>
      <c r="Y262" s="8">
        <f>IF(A262="","",IFERROR(INDEX(Ingredients!$O$5:$O$304,MATCH(A262,Ingredients!$A$5:$A$304,0)),""))</f>
        <v>0</v>
      </c>
      <c r="Z262" s="8">
        <f>IF(A262="","",IF(O262="Yes","Bought",IF(N262="Yes","To buy","Not needed")))</f>
        <v>0</v>
      </c>
      <c r="AA262" s="25"/>
    </row>
    <row r="263" spans="1:27">
      <c r="A263" s="7"/>
      <c r="B263" s="8">
        <f>IF(A263="","",IFERROR(INDEX(Ingredients!$B$5:$B$304,MATCH(A263,Ingredients!$A$5:$A$304,0)),""))</f>
        <v>0</v>
      </c>
      <c r="C263" s="26"/>
      <c r="D263" s="27"/>
      <c r="E263" s="27"/>
      <c r="F263" s="7"/>
      <c r="G263" s="8">
        <f>IF(A263="","",IFERROR(INDEX(Ingredients!$D$5:$D$304,MATCH(A263,Ingredients!$A$5:$A$304,0)),""))</f>
        <v>0</v>
      </c>
      <c r="H263" s="8">
        <f>IF(OR(A263="",C263="",G263=""),"",C263*G263)</f>
        <v>0</v>
      </c>
      <c r="I263" s="26"/>
      <c r="J263" s="8">
        <f>IF(OR(C263="",I263="",I263=0),"",CEILING(C263/I263,1))</f>
        <v>0</v>
      </c>
      <c r="K263" s="8">
        <f>IF(OR(J263="",I263="",G263=""),"",J263*I263*G263)</f>
        <v>0</v>
      </c>
      <c r="L263" s="8">
        <f>IF(A263="","",SUMIFS(Pantry!$C$5:$C$304,Pantry!$A$5:$A$304,A263))</f>
        <v>0</v>
      </c>
      <c r="M263" s="8">
        <f>IF(OR(A263="",C263=""),"",MAX(0,C263-L263))</f>
        <v>0</v>
      </c>
      <c r="N263" s="27"/>
      <c r="O263" s="27"/>
      <c r="P263" s="30"/>
      <c r="Q263" s="28"/>
      <c r="R263" s="8">
        <f>IF(OR(Q263="",H263=""),"",Q263-H263)</f>
        <v>0</v>
      </c>
      <c r="S263" s="8">
        <f>IF(M263="","",COUNTIFS($M$5:$M$304,"&gt;"&amp;M263)+1)</f>
        <v>0</v>
      </c>
      <c r="T263" s="8">
        <f>IF(H263="","",H263+ROW()/1000000)</f>
        <v>0</v>
      </c>
      <c r="U263" s="8">
        <f>IF(OR(N263&lt;&gt;"Yes",T263=""),"",COUNTIFS($N$5:$N$304,"Yes",$T$5:$T$304,"&lt;"&amp;T263)+1)</f>
        <v>0</v>
      </c>
      <c r="V263" s="8">
        <f>IF(A263="","",IF(O263="Yes","Bought",IF(M263&lt;=0,"Have it",IF(N263&lt;&gt;"Yes","Skip",IF(S263&lt;=10,"Must have","Nice to have")))))</f>
        <v>0</v>
      </c>
      <c r="W263" s="30"/>
      <c r="X263" s="8">
        <f>IF(A263="","",IFERROR(INDEX('Recipe Ingredients'!$A$5:$A$1204,MATCH(A263,'Recipe Ingredients'!$B$5:$B$1204,0)),""))</f>
        <v>0</v>
      </c>
      <c r="Y263" s="8">
        <f>IF(A263="","",IFERROR(INDEX(Ingredients!$O$5:$O$304,MATCH(A263,Ingredients!$A$5:$A$304,0)),""))</f>
        <v>0</v>
      </c>
      <c r="Z263" s="8">
        <f>IF(A263="","",IF(O263="Yes","Bought",IF(N263="Yes","To buy","Not needed")))</f>
        <v>0</v>
      </c>
      <c r="AA263" s="25"/>
    </row>
    <row r="264" spans="1:27">
      <c r="A264" s="7"/>
      <c r="B264" s="8">
        <f>IF(A264="","",IFERROR(INDEX(Ingredients!$B$5:$B$304,MATCH(A264,Ingredients!$A$5:$A$304,0)),""))</f>
        <v>0</v>
      </c>
      <c r="C264" s="26"/>
      <c r="D264" s="27"/>
      <c r="E264" s="27"/>
      <c r="F264" s="7"/>
      <c r="G264" s="8">
        <f>IF(A264="","",IFERROR(INDEX(Ingredients!$D$5:$D$304,MATCH(A264,Ingredients!$A$5:$A$304,0)),""))</f>
        <v>0</v>
      </c>
      <c r="H264" s="8">
        <f>IF(OR(A264="",C264="",G264=""),"",C264*G264)</f>
        <v>0</v>
      </c>
      <c r="I264" s="26"/>
      <c r="J264" s="8">
        <f>IF(OR(C264="",I264="",I264=0),"",CEILING(C264/I264,1))</f>
        <v>0</v>
      </c>
      <c r="K264" s="8">
        <f>IF(OR(J264="",I264="",G264=""),"",J264*I264*G264)</f>
        <v>0</v>
      </c>
      <c r="L264" s="8">
        <f>IF(A264="","",SUMIFS(Pantry!$C$5:$C$304,Pantry!$A$5:$A$304,A264))</f>
        <v>0</v>
      </c>
      <c r="M264" s="8">
        <f>IF(OR(A264="",C264=""),"",MAX(0,C264-L264))</f>
        <v>0</v>
      </c>
      <c r="N264" s="27"/>
      <c r="O264" s="27"/>
      <c r="P264" s="30"/>
      <c r="Q264" s="28"/>
      <c r="R264" s="8">
        <f>IF(OR(Q264="",H264=""),"",Q264-H264)</f>
        <v>0</v>
      </c>
      <c r="S264" s="8">
        <f>IF(M264="","",COUNTIFS($M$5:$M$304,"&gt;"&amp;M264)+1)</f>
        <v>0</v>
      </c>
      <c r="T264" s="8">
        <f>IF(H264="","",H264+ROW()/1000000)</f>
        <v>0</v>
      </c>
      <c r="U264" s="8">
        <f>IF(OR(N264&lt;&gt;"Yes",T264=""),"",COUNTIFS($N$5:$N$304,"Yes",$T$5:$T$304,"&lt;"&amp;T264)+1)</f>
        <v>0</v>
      </c>
      <c r="V264" s="8">
        <f>IF(A264="","",IF(O264="Yes","Bought",IF(M264&lt;=0,"Have it",IF(N264&lt;&gt;"Yes","Skip",IF(S264&lt;=10,"Must have","Nice to have")))))</f>
        <v>0</v>
      </c>
      <c r="W264" s="30"/>
      <c r="X264" s="8">
        <f>IF(A264="","",IFERROR(INDEX('Recipe Ingredients'!$A$5:$A$1204,MATCH(A264,'Recipe Ingredients'!$B$5:$B$1204,0)),""))</f>
        <v>0</v>
      </c>
      <c r="Y264" s="8">
        <f>IF(A264="","",IFERROR(INDEX(Ingredients!$O$5:$O$304,MATCH(A264,Ingredients!$A$5:$A$304,0)),""))</f>
        <v>0</v>
      </c>
      <c r="Z264" s="8">
        <f>IF(A264="","",IF(O264="Yes","Bought",IF(N264="Yes","To buy","Not needed")))</f>
        <v>0</v>
      </c>
      <c r="AA264" s="25"/>
    </row>
    <row r="265" spans="1:27">
      <c r="A265" s="7"/>
      <c r="B265" s="8">
        <f>IF(A265="","",IFERROR(INDEX(Ingredients!$B$5:$B$304,MATCH(A265,Ingredients!$A$5:$A$304,0)),""))</f>
        <v>0</v>
      </c>
      <c r="C265" s="26"/>
      <c r="D265" s="27"/>
      <c r="E265" s="27"/>
      <c r="F265" s="7"/>
      <c r="G265" s="8">
        <f>IF(A265="","",IFERROR(INDEX(Ingredients!$D$5:$D$304,MATCH(A265,Ingredients!$A$5:$A$304,0)),""))</f>
        <v>0</v>
      </c>
      <c r="H265" s="8">
        <f>IF(OR(A265="",C265="",G265=""),"",C265*G265)</f>
        <v>0</v>
      </c>
      <c r="I265" s="26"/>
      <c r="J265" s="8">
        <f>IF(OR(C265="",I265="",I265=0),"",CEILING(C265/I265,1))</f>
        <v>0</v>
      </c>
      <c r="K265" s="8">
        <f>IF(OR(J265="",I265="",G265=""),"",J265*I265*G265)</f>
        <v>0</v>
      </c>
      <c r="L265" s="8">
        <f>IF(A265="","",SUMIFS(Pantry!$C$5:$C$304,Pantry!$A$5:$A$304,A265))</f>
        <v>0</v>
      </c>
      <c r="M265" s="8">
        <f>IF(OR(A265="",C265=""),"",MAX(0,C265-L265))</f>
        <v>0</v>
      </c>
      <c r="N265" s="27"/>
      <c r="O265" s="27"/>
      <c r="P265" s="30"/>
      <c r="Q265" s="28"/>
      <c r="R265" s="8">
        <f>IF(OR(Q265="",H265=""),"",Q265-H265)</f>
        <v>0</v>
      </c>
      <c r="S265" s="8">
        <f>IF(M265="","",COUNTIFS($M$5:$M$304,"&gt;"&amp;M265)+1)</f>
        <v>0</v>
      </c>
      <c r="T265" s="8">
        <f>IF(H265="","",H265+ROW()/1000000)</f>
        <v>0</v>
      </c>
      <c r="U265" s="8">
        <f>IF(OR(N265&lt;&gt;"Yes",T265=""),"",COUNTIFS($N$5:$N$304,"Yes",$T$5:$T$304,"&lt;"&amp;T265)+1)</f>
        <v>0</v>
      </c>
      <c r="V265" s="8">
        <f>IF(A265="","",IF(O265="Yes","Bought",IF(M265&lt;=0,"Have it",IF(N265&lt;&gt;"Yes","Skip",IF(S265&lt;=10,"Must have","Nice to have")))))</f>
        <v>0</v>
      </c>
      <c r="W265" s="30"/>
      <c r="X265" s="8">
        <f>IF(A265="","",IFERROR(INDEX('Recipe Ingredients'!$A$5:$A$1204,MATCH(A265,'Recipe Ingredients'!$B$5:$B$1204,0)),""))</f>
        <v>0</v>
      </c>
      <c r="Y265" s="8">
        <f>IF(A265="","",IFERROR(INDEX(Ingredients!$O$5:$O$304,MATCH(A265,Ingredients!$A$5:$A$304,0)),""))</f>
        <v>0</v>
      </c>
      <c r="Z265" s="8">
        <f>IF(A265="","",IF(O265="Yes","Bought",IF(N265="Yes","To buy","Not needed")))</f>
        <v>0</v>
      </c>
      <c r="AA265" s="25"/>
    </row>
    <row r="266" spans="1:27">
      <c r="A266" s="7"/>
      <c r="B266" s="8">
        <f>IF(A266="","",IFERROR(INDEX(Ingredients!$B$5:$B$304,MATCH(A266,Ingredients!$A$5:$A$304,0)),""))</f>
        <v>0</v>
      </c>
      <c r="C266" s="26"/>
      <c r="D266" s="27"/>
      <c r="E266" s="27"/>
      <c r="F266" s="7"/>
      <c r="G266" s="8">
        <f>IF(A266="","",IFERROR(INDEX(Ingredients!$D$5:$D$304,MATCH(A266,Ingredients!$A$5:$A$304,0)),""))</f>
        <v>0</v>
      </c>
      <c r="H266" s="8">
        <f>IF(OR(A266="",C266="",G266=""),"",C266*G266)</f>
        <v>0</v>
      </c>
      <c r="I266" s="26"/>
      <c r="J266" s="8">
        <f>IF(OR(C266="",I266="",I266=0),"",CEILING(C266/I266,1))</f>
        <v>0</v>
      </c>
      <c r="K266" s="8">
        <f>IF(OR(J266="",I266="",G266=""),"",J266*I266*G266)</f>
        <v>0</v>
      </c>
      <c r="L266" s="8">
        <f>IF(A266="","",SUMIFS(Pantry!$C$5:$C$304,Pantry!$A$5:$A$304,A266))</f>
        <v>0</v>
      </c>
      <c r="M266" s="8">
        <f>IF(OR(A266="",C266=""),"",MAX(0,C266-L266))</f>
        <v>0</v>
      </c>
      <c r="N266" s="27"/>
      <c r="O266" s="27"/>
      <c r="P266" s="30"/>
      <c r="Q266" s="28"/>
      <c r="R266" s="8">
        <f>IF(OR(Q266="",H266=""),"",Q266-H266)</f>
        <v>0</v>
      </c>
      <c r="S266" s="8">
        <f>IF(M266="","",COUNTIFS($M$5:$M$304,"&gt;"&amp;M266)+1)</f>
        <v>0</v>
      </c>
      <c r="T266" s="8">
        <f>IF(H266="","",H266+ROW()/1000000)</f>
        <v>0</v>
      </c>
      <c r="U266" s="8">
        <f>IF(OR(N266&lt;&gt;"Yes",T266=""),"",COUNTIFS($N$5:$N$304,"Yes",$T$5:$T$304,"&lt;"&amp;T266)+1)</f>
        <v>0</v>
      </c>
      <c r="V266" s="8">
        <f>IF(A266="","",IF(O266="Yes","Bought",IF(M266&lt;=0,"Have it",IF(N266&lt;&gt;"Yes","Skip",IF(S266&lt;=10,"Must have","Nice to have")))))</f>
        <v>0</v>
      </c>
      <c r="W266" s="30"/>
      <c r="X266" s="8">
        <f>IF(A266="","",IFERROR(INDEX('Recipe Ingredients'!$A$5:$A$1204,MATCH(A266,'Recipe Ingredients'!$B$5:$B$1204,0)),""))</f>
        <v>0</v>
      </c>
      <c r="Y266" s="8">
        <f>IF(A266="","",IFERROR(INDEX(Ingredients!$O$5:$O$304,MATCH(A266,Ingredients!$A$5:$A$304,0)),""))</f>
        <v>0</v>
      </c>
      <c r="Z266" s="8">
        <f>IF(A266="","",IF(O266="Yes","Bought",IF(N266="Yes","To buy","Not needed")))</f>
        <v>0</v>
      </c>
      <c r="AA266" s="25"/>
    </row>
    <row r="267" spans="1:27">
      <c r="A267" s="7"/>
      <c r="B267" s="8">
        <f>IF(A267="","",IFERROR(INDEX(Ingredients!$B$5:$B$304,MATCH(A267,Ingredients!$A$5:$A$304,0)),""))</f>
        <v>0</v>
      </c>
      <c r="C267" s="26"/>
      <c r="D267" s="27"/>
      <c r="E267" s="27"/>
      <c r="F267" s="7"/>
      <c r="G267" s="8">
        <f>IF(A267="","",IFERROR(INDEX(Ingredients!$D$5:$D$304,MATCH(A267,Ingredients!$A$5:$A$304,0)),""))</f>
        <v>0</v>
      </c>
      <c r="H267" s="8">
        <f>IF(OR(A267="",C267="",G267=""),"",C267*G267)</f>
        <v>0</v>
      </c>
      <c r="I267" s="26"/>
      <c r="J267" s="8">
        <f>IF(OR(C267="",I267="",I267=0),"",CEILING(C267/I267,1))</f>
        <v>0</v>
      </c>
      <c r="K267" s="8">
        <f>IF(OR(J267="",I267="",G267=""),"",J267*I267*G267)</f>
        <v>0</v>
      </c>
      <c r="L267" s="8">
        <f>IF(A267="","",SUMIFS(Pantry!$C$5:$C$304,Pantry!$A$5:$A$304,A267))</f>
        <v>0</v>
      </c>
      <c r="M267" s="8">
        <f>IF(OR(A267="",C267=""),"",MAX(0,C267-L267))</f>
        <v>0</v>
      </c>
      <c r="N267" s="27"/>
      <c r="O267" s="27"/>
      <c r="P267" s="30"/>
      <c r="Q267" s="28"/>
      <c r="R267" s="8">
        <f>IF(OR(Q267="",H267=""),"",Q267-H267)</f>
        <v>0</v>
      </c>
      <c r="S267" s="8">
        <f>IF(M267="","",COUNTIFS($M$5:$M$304,"&gt;"&amp;M267)+1)</f>
        <v>0</v>
      </c>
      <c r="T267" s="8">
        <f>IF(H267="","",H267+ROW()/1000000)</f>
        <v>0</v>
      </c>
      <c r="U267" s="8">
        <f>IF(OR(N267&lt;&gt;"Yes",T267=""),"",COUNTIFS($N$5:$N$304,"Yes",$T$5:$T$304,"&lt;"&amp;T267)+1)</f>
        <v>0</v>
      </c>
      <c r="V267" s="8">
        <f>IF(A267="","",IF(O267="Yes","Bought",IF(M267&lt;=0,"Have it",IF(N267&lt;&gt;"Yes","Skip",IF(S267&lt;=10,"Must have","Nice to have")))))</f>
        <v>0</v>
      </c>
      <c r="W267" s="30"/>
      <c r="X267" s="8">
        <f>IF(A267="","",IFERROR(INDEX('Recipe Ingredients'!$A$5:$A$1204,MATCH(A267,'Recipe Ingredients'!$B$5:$B$1204,0)),""))</f>
        <v>0</v>
      </c>
      <c r="Y267" s="8">
        <f>IF(A267="","",IFERROR(INDEX(Ingredients!$O$5:$O$304,MATCH(A267,Ingredients!$A$5:$A$304,0)),""))</f>
        <v>0</v>
      </c>
      <c r="Z267" s="8">
        <f>IF(A267="","",IF(O267="Yes","Bought",IF(N267="Yes","To buy","Not needed")))</f>
        <v>0</v>
      </c>
      <c r="AA267" s="25"/>
    </row>
    <row r="268" spans="1:27">
      <c r="A268" s="7"/>
      <c r="B268" s="8">
        <f>IF(A268="","",IFERROR(INDEX(Ingredients!$B$5:$B$304,MATCH(A268,Ingredients!$A$5:$A$304,0)),""))</f>
        <v>0</v>
      </c>
      <c r="C268" s="26"/>
      <c r="D268" s="27"/>
      <c r="E268" s="27"/>
      <c r="F268" s="7"/>
      <c r="G268" s="8">
        <f>IF(A268="","",IFERROR(INDEX(Ingredients!$D$5:$D$304,MATCH(A268,Ingredients!$A$5:$A$304,0)),""))</f>
        <v>0</v>
      </c>
      <c r="H268" s="8">
        <f>IF(OR(A268="",C268="",G268=""),"",C268*G268)</f>
        <v>0</v>
      </c>
      <c r="I268" s="26"/>
      <c r="J268" s="8">
        <f>IF(OR(C268="",I268="",I268=0),"",CEILING(C268/I268,1))</f>
        <v>0</v>
      </c>
      <c r="K268" s="8">
        <f>IF(OR(J268="",I268="",G268=""),"",J268*I268*G268)</f>
        <v>0</v>
      </c>
      <c r="L268" s="8">
        <f>IF(A268="","",SUMIFS(Pantry!$C$5:$C$304,Pantry!$A$5:$A$304,A268))</f>
        <v>0</v>
      </c>
      <c r="M268" s="8">
        <f>IF(OR(A268="",C268=""),"",MAX(0,C268-L268))</f>
        <v>0</v>
      </c>
      <c r="N268" s="27"/>
      <c r="O268" s="27"/>
      <c r="P268" s="30"/>
      <c r="Q268" s="28"/>
      <c r="R268" s="8">
        <f>IF(OR(Q268="",H268=""),"",Q268-H268)</f>
        <v>0</v>
      </c>
      <c r="S268" s="8">
        <f>IF(M268="","",COUNTIFS($M$5:$M$304,"&gt;"&amp;M268)+1)</f>
        <v>0</v>
      </c>
      <c r="T268" s="8">
        <f>IF(H268="","",H268+ROW()/1000000)</f>
        <v>0</v>
      </c>
      <c r="U268" s="8">
        <f>IF(OR(N268&lt;&gt;"Yes",T268=""),"",COUNTIFS($N$5:$N$304,"Yes",$T$5:$T$304,"&lt;"&amp;T268)+1)</f>
        <v>0</v>
      </c>
      <c r="V268" s="8">
        <f>IF(A268="","",IF(O268="Yes","Bought",IF(M268&lt;=0,"Have it",IF(N268&lt;&gt;"Yes","Skip",IF(S268&lt;=10,"Must have","Nice to have")))))</f>
        <v>0</v>
      </c>
      <c r="W268" s="30"/>
      <c r="X268" s="8">
        <f>IF(A268="","",IFERROR(INDEX('Recipe Ingredients'!$A$5:$A$1204,MATCH(A268,'Recipe Ingredients'!$B$5:$B$1204,0)),""))</f>
        <v>0</v>
      </c>
      <c r="Y268" s="8">
        <f>IF(A268="","",IFERROR(INDEX(Ingredients!$O$5:$O$304,MATCH(A268,Ingredients!$A$5:$A$304,0)),""))</f>
        <v>0</v>
      </c>
      <c r="Z268" s="8">
        <f>IF(A268="","",IF(O268="Yes","Bought",IF(N268="Yes","To buy","Not needed")))</f>
        <v>0</v>
      </c>
      <c r="AA268" s="25"/>
    </row>
    <row r="269" spans="1:27">
      <c r="A269" s="7"/>
      <c r="B269" s="8">
        <f>IF(A269="","",IFERROR(INDEX(Ingredients!$B$5:$B$304,MATCH(A269,Ingredients!$A$5:$A$304,0)),""))</f>
        <v>0</v>
      </c>
      <c r="C269" s="26"/>
      <c r="D269" s="27"/>
      <c r="E269" s="27"/>
      <c r="F269" s="7"/>
      <c r="G269" s="8">
        <f>IF(A269="","",IFERROR(INDEX(Ingredients!$D$5:$D$304,MATCH(A269,Ingredients!$A$5:$A$304,0)),""))</f>
        <v>0</v>
      </c>
      <c r="H269" s="8">
        <f>IF(OR(A269="",C269="",G269=""),"",C269*G269)</f>
        <v>0</v>
      </c>
      <c r="I269" s="26"/>
      <c r="J269" s="8">
        <f>IF(OR(C269="",I269="",I269=0),"",CEILING(C269/I269,1))</f>
        <v>0</v>
      </c>
      <c r="K269" s="8">
        <f>IF(OR(J269="",I269="",G269=""),"",J269*I269*G269)</f>
        <v>0</v>
      </c>
      <c r="L269" s="8">
        <f>IF(A269="","",SUMIFS(Pantry!$C$5:$C$304,Pantry!$A$5:$A$304,A269))</f>
        <v>0</v>
      </c>
      <c r="M269" s="8">
        <f>IF(OR(A269="",C269=""),"",MAX(0,C269-L269))</f>
        <v>0</v>
      </c>
      <c r="N269" s="27"/>
      <c r="O269" s="27"/>
      <c r="P269" s="30"/>
      <c r="Q269" s="28"/>
      <c r="R269" s="8">
        <f>IF(OR(Q269="",H269=""),"",Q269-H269)</f>
        <v>0</v>
      </c>
      <c r="S269" s="8">
        <f>IF(M269="","",COUNTIFS($M$5:$M$304,"&gt;"&amp;M269)+1)</f>
        <v>0</v>
      </c>
      <c r="T269" s="8">
        <f>IF(H269="","",H269+ROW()/1000000)</f>
        <v>0</v>
      </c>
      <c r="U269" s="8">
        <f>IF(OR(N269&lt;&gt;"Yes",T269=""),"",COUNTIFS($N$5:$N$304,"Yes",$T$5:$T$304,"&lt;"&amp;T269)+1)</f>
        <v>0</v>
      </c>
      <c r="V269" s="8">
        <f>IF(A269="","",IF(O269="Yes","Bought",IF(M269&lt;=0,"Have it",IF(N269&lt;&gt;"Yes","Skip",IF(S269&lt;=10,"Must have","Nice to have")))))</f>
        <v>0</v>
      </c>
      <c r="W269" s="30"/>
      <c r="X269" s="8">
        <f>IF(A269="","",IFERROR(INDEX('Recipe Ingredients'!$A$5:$A$1204,MATCH(A269,'Recipe Ingredients'!$B$5:$B$1204,0)),""))</f>
        <v>0</v>
      </c>
      <c r="Y269" s="8">
        <f>IF(A269="","",IFERROR(INDEX(Ingredients!$O$5:$O$304,MATCH(A269,Ingredients!$A$5:$A$304,0)),""))</f>
        <v>0</v>
      </c>
      <c r="Z269" s="8">
        <f>IF(A269="","",IF(O269="Yes","Bought",IF(N269="Yes","To buy","Not needed")))</f>
        <v>0</v>
      </c>
      <c r="AA269" s="25"/>
    </row>
    <row r="270" spans="1:27">
      <c r="A270" s="7"/>
      <c r="B270" s="8">
        <f>IF(A270="","",IFERROR(INDEX(Ingredients!$B$5:$B$304,MATCH(A270,Ingredients!$A$5:$A$304,0)),""))</f>
        <v>0</v>
      </c>
      <c r="C270" s="26"/>
      <c r="D270" s="27"/>
      <c r="E270" s="27"/>
      <c r="F270" s="7"/>
      <c r="G270" s="8">
        <f>IF(A270="","",IFERROR(INDEX(Ingredients!$D$5:$D$304,MATCH(A270,Ingredients!$A$5:$A$304,0)),""))</f>
        <v>0</v>
      </c>
      <c r="H270" s="8">
        <f>IF(OR(A270="",C270="",G270=""),"",C270*G270)</f>
        <v>0</v>
      </c>
      <c r="I270" s="26"/>
      <c r="J270" s="8">
        <f>IF(OR(C270="",I270="",I270=0),"",CEILING(C270/I270,1))</f>
        <v>0</v>
      </c>
      <c r="K270" s="8">
        <f>IF(OR(J270="",I270="",G270=""),"",J270*I270*G270)</f>
        <v>0</v>
      </c>
      <c r="L270" s="8">
        <f>IF(A270="","",SUMIFS(Pantry!$C$5:$C$304,Pantry!$A$5:$A$304,A270))</f>
        <v>0</v>
      </c>
      <c r="M270" s="8">
        <f>IF(OR(A270="",C270=""),"",MAX(0,C270-L270))</f>
        <v>0</v>
      </c>
      <c r="N270" s="27"/>
      <c r="O270" s="27"/>
      <c r="P270" s="30"/>
      <c r="Q270" s="28"/>
      <c r="R270" s="8">
        <f>IF(OR(Q270="",H270=""),"",Q270-H270)</f>
        <v>0</v>
      </c>
      <c r="S270" s="8">
        <f>IF(M270="","",COUNTIFS($M$5:$M$304,"&gt;"&amp;M270)+1)</f>
        <v>0</v>
      </c>
      <c r="T270" s="8">
        <f>IF(H270="","",H270+ROW()/1000000)</f>
        <v>0</v>
      </c>
      <c r="U270" s="8">
        <f>IF(OR(N270&lt;&gt;"Yes",T270=""),"",COUNTIFS($N$5:$N$304,"Yes",$T$5:$T$304,"&lt;"&amp;T270)+1)</f>
        <v>0</v>
      </c>
      <c r="V270" s="8">
        <f>IF(A270="","",IF(O270="Yes","Bought",IF(M270&lt;=0,"Have it",IF(N270&lt;&gt;"Yes","Skip",IF(S270&lt;=10,"Must have","Nice to have")))))</f>
        <v>0</v>
      </c>
      <c r="W270" s="30"/>
      <c r="X270" s="8">
        <f>IF(A270="","",IFERROR(INDEX('Recipe Ingredients'!$A$5:$A$1204,MATCH(A270,'Recipe Ingredients'!$B$5:$B$1204,0)),""))</f>
        <v>0</v>
      </c>
      <c r="Y270" s="8">
        <f>IF(A270="","",IFERROR(INDEX(Ingredients!$O$5:$O$304,MATCH(A270,Ingredients!$A$5:$A$304,0)),""))</f>
        <v>0</v>
      </c>
      <c r="Z270" s="8">
        <f>IF(A270="","",IF(O270="Yes","Bought",IF(N270="Yes","To buy","Not needed")))</f>
        <v>0</v>
      </c>
      <c r="AA270" s="25"/>
    </row>
    <row r="271" spans="1:27">
      <c r="A271" s="7"/>
      <c r="B271" s="8">
        <f>IF(A271="","",IFERROR(INDEX(Ingredients!$B$5:$B$304,MATCH(A271,Ingredients!$A$5:$A$304,0)),""))</f>
        <v>0</v>
      </c>
      <c r="C271" s="26"/>
      <c r="D271" s="27"/>
      <c r="E271" s="27"/>
      <c r="F271" s="7"/>
      <c r="G271" s="8">
        <f>IF(A271="","",IFERROR(INDEX(Ingredients!$D$5:$D$304,MATCH(A271,Ingredients!$A$5:$A$304,0)),""))</f>
        <v>0</v>
      </c>
      <c r="H271" s="8">
        <f>IF(OR(A271="",C271="",G271=""),"",C271*G271)</f>
        <v>0</v>
      </c>
      <c r="I271" s="26"/>
      <c r="J271" s="8">
        <f>IF(OR(C271="",I271="",I271=0),"",CEILING(C271/I271,1))</f>
        <v>0</v>
      </c>
      <c r="K271" s="8">
        <f>IF(OR(J271="",I271="",G271=""),"",J271*I271*G271)</f>
        <v>0</v>
      </c>
      <c r="L271" s="8">
        <f>IF(A271="","",SUMIFS(Pantry!$C$5:$C$304,Pantry!$A$5:$A$304,A271))</f>
        <v>0</v>
      </c>
      <c r="M271" s="8">
        <f>IF(OR(A271="",C271=""),"",MAX(0,C271-L271))</f>
        <v>0</v>
      </c>
      <c r="N271" s="27"/>
      <c r="O271" s="27"/>
      <c r="P271" s="30"/>
      <c r="Q271" s="28"/>
      <c r="R271" s="8">
        <f>IF(OR(Q271="",H271=""),"",Q271-H271)</f>
        <v>0</v>
      </c>
      <c r="S271" s="8">
        <f>IF(M271="","",COUNTIFS($M$5:$M$304,"&gt;"&amp;M271)+1)</f>
        <v>0</v>
      </c>
      <c r="T271" s="8">
        <f>IF(H271="","",H271+ROW()/1000000)</f>
        <v>0</v>
      </c>
      <c r="U271" s="8">
        <f>IF(OR(N271&lt;&gt;"Yes",T271=""),"",COUNTIFS($N$5:$N$304,"Yes",$T$5:$T$304,"&lt;"&amp;T271)+1)</f>
        <v>0</v>
      </c>
      <c r="V271" s="8">
        <f>IF(A271="","",IF(O271="Yes","Bought",IF(M271&lt;=0,"Have it",IF(N271&lt;&gt;"Yes","Skip",IF(S271&lt;=10,"Must have","Nice to have")))))</f>
        <v>0</v>
      </c>
      <c r="W271" s="30"/>
      <c r="X271" s="8">
        <f>IF(A271="","",IFERROR(INDEX('Recipe Ingredients'!$A$5:$A$1204,MATCH(A271,'Recipe Ingredients'!$B$5:$B$1204,0)),""))</f>
        <v>0</v>
      </c>
      <c r="Y271" s="8">
        <f>IF(A271="","",IFERROR(INDEX(Ingredients!$O$5:$O$304,MATCH(A271,Ingredients!$A$5:$A$304,0)),""))</f>
        <v>0</v>
      </c>
      <c r="Z271" s="8">
        <f>IF(A271="","",IF(O271="Yes","Bought",IF(N271="Yes","To buy","Not needed")))</f>
        <v>0</v>
      </c>
      <c r="AA271" s="25"/>
    </row>
    <row r="272" spans="1:27">
      <c r="A272" s="7"/>
      <c r="B272" s="8">
        <f>IF(A272="","",IFERROR(INDEX(Ingredients!$B$5:$B$304,MATCH(A272,Ingredients!$A$5:$A$304,0)),""))</f>
        <v>0</v>
      </c>
      <c r="C272" s="26"/>
      <c r="D272" s="27"/>
      <c r="E272" s="27"/>
      <c r="F272" s="7"/>
      <c r="G272" s="8">
        <f>IF(A272="","",IFERROR(INDEX(Ingredients!$D$5:$D$304,MATCH(A272,Ingredients!$A$5:$A$304,0)),""))</f>
        <v>0</v>
      </c>
      <c r="H272" s="8">
        <f>IF(OR(A272="",C272="",G272=""),"",C272*G272)</f>
        <v>0</v>
      </c>
      <c r="I272" s="26"/>
      <c r="J272" s="8">
        <f>IF(OR(C272="",I272="",I272=0),"",CEILING(C272/I272,1))</f>
        <v>0</v>
      </c>
      <c r="K272" s="8">
        <f>IF(OR(J272="",I272="",G272=""),"",J272*I272*G272)</f>
        <v>0</v>
      </c>
      <c r="L272" s="8">
        <f>IF(A272="","",SUMIFS(Pantry!$C$5:$C$304,Pantry!$A$5:$A$304,A272))</f>
        <v>0</v>
      </c>
      <c r="M272" s="8">
        <f>IF(OR(A272="",C272=""),"",MAX(0,C272-L272))</f>
        <v>0</v>
      </c>
      <c r="N272" s="27"/>
      <c r="O272" s="27"/>
      <c r="P272" s="30"/>
      <c r="Q272" s="28"/>
      <c r="R272" s="8">
        <f>IF(OR(Q272="",H272=""),"",Q272-H272)</f>
        <v>0</v>
      </c>
      <c r="S272" s="8">
        <f>IF(M272="","",COUNTIFS($M$5:$M$304,"&gt;"&amp;M272)+1)</f>
        <v>0</v>
      </c>
      <c r="T272" s="8">
        <f>IF(H272="","",H272+ROW()/1000000)</f>
        <v>0</v>
      </c>
      <c r="U272" s="8">
        <f>IF(OR(N272&lt;&gt;"Yes",T272=""),"",COUNTIFS($N$5:$N$304,"Yes",$T$5:$T$304,"&lt;"&amp;T272)+1)</f>
        <v>0</v>
      </c>
      <c r="V272" s="8">
        <f>IF(A272="","",IF(O272="Yes","Bought",IF(M272&lt;=0,"Have it",IF(N272&lt;&gt;"Yes","Skip",IF(S272&lt;=10,"Must have","Nice to have")))))</f>
        <v>0</v>
      </c>
      <c r="W272" s="30"/>
      <c r="X272" s="8">
        <f>IF(A272="","",IFERROR(INDEX('Recipe Ingredients'!$A$5:$A$1204,MATCH(A272,'Recipe Ingredients'!$B$5:$B$1204,0)),""))</f>
        <v>0</v>
      </c>
      <c r="Y272" s="8">
        <f>IF(A272="","",IFERROR(INDEX(Ingredients!$O$5:$O$304,MATCH(A272,Ingredients!$A$5:$A$304,0)),""))</f>
        <v>0</v>
      </c>
      <c r="Z272" s="8">
        <f>IF(A272="","",IF(O272="Yes","Bought",IF(N272="Yes","To buy","Not needed")))</f>
        <v>0</v>
      </c>
      <c r="AA272" s="25"/>
    </row>
    <row r="273" spans="1:27">
      <c r="A273" s="7"/>
      <c r="B273" s="8">
        <f>IF(A273="","",IFERROR(INDEX(Ingredients!$B$5:$B$304,MATCH(A273,Ingredients!$A$5:$A$304,0)),""))</f>
        <v>0</v>
      </c>
      <c r="C273" s="26"/>
      <c r="D273" s="27"/>
      <c r="E273" s="27"/>
      <c r="F273" s="7"/>
      <c r="G273" s="8">
        <f>IF(A273="","",IFERROR(INDEX(Ingredients!$D$5:$D$304,MATCH(A273,Ingredients!$A$5:$A$304,0)),""))</f>
        <v>0</v>
      </c>
      <c r="H273" s="8">
        <f>IF(OR(A273="",C273="",G273=""),"",C273*G273)</f>
        <v>0</v>
      </c>
      <c r="I273" s="26"/>
      <c r="J273" s="8">
        <f>IF(OR(C273="",I273="",I273=0),"",CEILING(C273/I273,1))</f>
        <v>0</v>
      </c>
      <c r="K273" s="8">
        <f>IF(OR(J273="",I273="",G273=""),"",J273*I273*G273)</f>
        <v>0</v>
      </c>
      <c r="L273" s="8">
        <f>IF(A273="","",SUMIFS(Pantry!$C$5:$C$304,Pantry!$A$5:$A$304,A273))</f>
        <v>0</v>
      </c>
      <c r="M273" s="8">
        <f>IF(OR(A273="",C273=""),"",MAX(0,C273-L273))</f>
        <v>0</v>
      </c>
      <c r="N273" s="27"/>
      <c r="O273" s="27"/>
      <c r="P273" s="30"/>
      <c r="Q273" s="28"/>
      <c r="R273" s="8">
        <f>IF(OR(Q273="",H273=""),"",Q273-H273)</f>
        <v>0</v>
      </c>
      <c r="S273" s="8">
        <f>IF(M273="","",COUNTIFS($M$5:$M$304,"&gt;"&amp;M273)+1)</f>
        <v>0</v>
      </c>
      <c r="T273" s="8">
        <f>IF(H273="","",H273+ROW()/1000000)</f>
        <v>0</v>
      </c>
      <c r="U273" s="8">
        <f>IF(OR(N273&lt;&gt;"Yes",T273=""),"",COUNTIFS($N$5:$N$304,"Yes",$T$5:$T$304,"&lt;"&amp;T273)+1)</f>
        <v>0</v>
      </c>
      <c r="V273" s="8">
        <f>IF(A273="","",IF(O273="Yes","Bought",IF(M273&lt;=0,"Have it",IF(N273&lt;&gt;"Yes","Skip",IF(S273&lt;=10,"Must have","Nice to have")))))</f>
        <v>0</v>
      </c>
      <c r="W273" s="30"/>
      <c r="X273" s="8">
        <f>IF(A273="","",IFERROR(INDEX('Recipe Ingredients'!$A$5:$A$1204,MATCH(A273,'Recipe Ingredients'!$B$5:$B$1204,0)),""))</f>
        <v>0</v>
      </c>
      <c r="Y273" s="8">
        <f>IF(A273="","",IFERROR(INDEX(Ingredients!$O$5:$O$304,MATCH(A273,Ingredients!$A$5:$A$304,0)),""))</f>
        <v>0</v>
      </c>
      <c r="Z273" s="8">
        <f>IF(A273="","",IF(O273="Yes","Bought",IF(N273="Yes","To buy","Not needed")))</f>
        <v>0</v>
      </c>
      <c r="AA273" s="25"/>
    </row>
    <row r="274" spans="1:27">
      <c r="A274" s="7"/>
      <c r="B274" s="8">
        <f>IF(A274="","",IFERROR(INDEX(Ingredients!$B$5:$B$304,MATCH(A274,Ingredients!$A$5:$A$304,0)),""))</f>
        <v>0</v>
      </c>
      <c r="C274" s="26"/>
      <c r="D274" s="27"/>
      <c r="E274" s="27"/>
      <c r="F274" s="7"/>
      <c r="G274" s="8">
        <f>IF(A274="","",IFERROR(INDEX(Ingredients!$D$5:$D$304,MATCH(A274,Ingredients!$A$5:$A$304,0)),""))</f>
        <v>0</v>
      </c>
      <c r="H274" s="8">
        <f>IF(OR(A274="",C274="",G274=""),"",C274*G274)</f>
        <v>0</v>
      </c>
      <c r="I274" s="26"/>
      <c r="J274" s="8">
        <f>IF(OR(C274="",I274="",I274=0),"",CEILING(C274/I274,1))</f>
        <v>0</v>
      </c>
      <c r="K274" s="8">
        <f>IF(OR(J274="",I274="",G274=""),"",J274*I274*G274)</f>
        <v>0</v>
      </c>
      <c r="L274" s="8">
        <f>IF(A274="","",SUMIFS(Pantry!$C$5:$C$304,Pantry!$A$5:$A$304,A274))</f>
        <v>0</v>
      </c>
      <c r="M274" s="8">
        <f>IF(OR(A274="",C274=""),"",MAX(0,C274-L274))</f>
        <v>0</v>
      </c>
      <c r="N274" s="27"/>
      <c r="O274" s="27"/>
      <c r="P274" s="30"/>
      <c r="Q274" s="28"/>
      <c r="R274" s="8">
        <f>IF(OR(Q274="",H274=""),"",Q274-H274)</f>
        <v>0</v>
      </c>
      <c r="S274" s="8">
        <f>IF(M274="","",COUNTIFS($M$5:$M$304,"&gt;"&amp;M274)+1)</f>
        <v>0</v>
      </c>
      <c r="T274" s="8">
        <f>IF(H274="","",H274+ROW()/1000000)</f>
        <v>0</v>
      </c>
      <c r="U274" s="8">
        <f>IF(OR(N274&lt;&gt;"Yes",T274=""),"",COUNTIFS($N$5:$N$304,"Yes",$T$5:$T$304,"&lt;"&amp;T274)+1)</f>
        <v>0</v>
      </c>
      <c r="V274" s="8">
        <f>IF(A274="","",IF(O274="Yes","Bought",IF(M274&lt;=0,"Have it",IF(N274&lt;&gt;"Yes","Skip",IF(S274&lt;=10,"Must have","Nice to have")))))</f>
        <v>0</v>
      </c>
      <c r="W274" s="30"/>
      <c r="X274" s="8">
        <f>IF(A274="","",IFERROR(INDEX('Recipe Ingredients'!$A$5:$A$1204,MATCH(A274,'Recipe Ingredients'!$B$5:$B$1204,0)),""))</f>
        <v>0</v>
      </c>
      <c r="Y274" s="8">
        <f>IF(A274="","",IFERROR(INDEX(Ingredients!$O$5:$O$304,MATCH(A274,Ingredients!$A$5:$A$304,0)),""))</f>
        <v>0</v>
      </c>
      <c r="Z274" s="8">
        <f>IF(A274="","",IF(O274="Yes","Bought",IF(N274="Yes","To buy","Not needed")))</f>
        <v>0</v>
      </c>
      <c r="AA274" s="25"/>
    </row>
    <row r="275" spans="1:27">
      <c r="A275" s="7"/>
      <c r="B275" s="8">
        <f>IF(A275="","",IFERROR(INDEX(Ingredients!$B$5:$B$304,MATCH(A275,Ingredients!$A$5:$A$304,0)),""))</f>
        <v>0</v>
      </c>
      <c r="C275" s="26"/>
      <c r="D275" s="27"/>
      <c r="E275" s="27"/>
      <c r="F275" s="7"/>
      <c r="G275" s="8">
        <f>IF(A275="","",IFERROR(INDEX(Ingredients!$D$5:$D$304,MATCH(A275,Ingredients!$A$5:$A$304,0)),""))</f>
        <v>0</v>
      </c>
      <c r="H275" s="8">
        <f>IF(OR(A275="",C275="",G275=""),"",C275*G275)</f>
        <v>0</v>
      </c>
      <c r="I275" s="26"/>
      <c r="J275" s="8">
        <f>IF(OR(C275="",I275="",I275=0),"",CEILING(C275/I275,1))</f>
        <v>0</v>
      </c>
      <c r="K275" s="8">
        <f>IF(OR(J275="",I275="",G275=""),"",J275*I275*G275)</f>
        <v>0</v>
      </c>
      <c r="L275" s="8">
        <f>IF(A275="","",SUMIFS(Pantry!$C$5:$C$304,Pantry!$A$5:$A$304,A275))</f>
        <v>0</v>
      </c>
      <c r="M275" s="8">
        <f>IF(OR(A275="",C275=""),"",MAX(0,C275-L275))</f>
        <v>0</v>
      </c>
      <c r="N275" s="27"/>
      <c r="O275" s="27"/>
      <c r="P275" s="30"/>
      <c r="Q275" s="28"/>
      <c r="R275" s="8">
        <f>IF(OR(Q275="",H275=""),"",Q275-H275)</f>
        <v>0</v>
      </c>
      <c r="S275" s="8">
        <f>IF(M275="","",COUNTIFS($M$5:$M$304,"&gt;"&amp;M275)+1)</f>
        <v>0</v>
      </c>
      <c r="T275" s="8">
        <f>IF(H275="","",H275+ROW()/1000000)</f>
        <v>0</v>
      </c>
      <c r="U275" s="8">
        <f>IF(OR(N275&lt;&gt;"Yes",T275=""),"",COUNTIFS($N$5:$N$304,"Yes",$T$5:$T$304,"&lt;"&amp;T275)+1)</f>
        <v>0</v>
      </c>
      <c r="V275" s="8">
        <f>IF(A275="","",IF(O275="Yes","Bought",IF(M275&lt;=0,"Have it",IF(N275&lt;&gt;"Yes","Skip",IF(S275&lt;=10,"Must have","Nice to have")))))</f>
        <v>0</v>
      </c>
      <c r="W275" s="30"/>
      <c r="X275" s="8">
        <f>IF(A275="","",IFERROR(INDEX('Recipe Ingredients'!$A$5:$A$1204,MATCH(A275,'Recipe Ingredients'!$B$5:$B$1204,0)),""))</f>
        <v>0</v>
      </c>
      <c r="Y275" s="8">
        <f>IF(A275="","",IFERROR(INDEX(Ingredients!$O$5:$O$304,MATCH(A275,Ingredients!$A$5:$A$304,0)),""))</f>
        <v>0</v>
      </c>
      <c r="Z275" s="8">
        <f>IF(A275="","",IF(O275="Yes","Bought",IF(N275="Yes","To buy","Not needed")))</f>
        <v>0</v>
      </c>
      <c r="AA275" s="25"/>
    </row>
    <row r="276" spans="1:27">
      <c r="A276" s="7"/>
      <c r="B276" s="8">
        <f>IF(A276="","",IFERROR(INDEX(Ingredients!$B$5:$B$304,MATCH(A276,Ingredients!$A$5:$A$304,0)),""))</f>
        <v>0</v>
      </c>
      <c r="C276" s="26"/>
      <c r="D276" s="27"/>
      <c r="E276" s="27"/>
      <c r="F276" s="7"/>
      <c r="G276" s="8">
        <f>IF(A276="","",IFERROR(INDEX(Ingredients!$D$5:$D$304,MATCH(A276,Ingredients!$A$5:$A$304,0)),""))</f>
        <v>0</v>
      </c>
      <c r="H276" s="8">
        <f>IF(OR(A276="",C276="",G276=""),"",C276*G276)</f>
        <v>0</v>
      </c>
      <c r="I276" s="26"/>
      <c r="J276" s="8">
        <f>IF(OR(C276="",I276="",I276=0),"",CEILING(C276/I276,1))</f>
        <v>0</v>
      </c>
      <c r="K276" s="8">
        <f>IF(OR(J276="",I276="",G276=""),"",J276*I276*G276)</f>
        <v>0</v>
      </c>
      <c r="L276" s="8">
        <f>IF(A276="","",SUMIFS(Pantry!$C$5:$C$304,Pantry!$A$5:$A$304,A276))</f>
        <v>0</v>
      </c>
      <c r="M276" s="8">
        <f>IF(OR(A276="",C276=""),"",MAX(0,C276-L276))</f>
        <v>0</v>
      </c>
      <c r="N276" s="27"/>
      <c r="O276" s="27"/>
      <c r="P276" s="30"/>
      <c r="Q276" s="28"/>
      <c r="R276" s="8">
        <f>IF(OR(Q276="",H276=""),"",Q276-H276)</f>
        <v>0</v>
      </c>
      <c r="S276" s="8">
        <f>IF(M276="","",COUNTIFS($M$5:$M$304,"&gt;"&amp;M276)+1)</f>
        <v>0</v>
      </c>
      <c r="T276" s="8">
        <f>IF(H276="","",H276+ROW()/1000000)</f>
        <v>0</v>
      </c>
      <c r="U276" s="8">
        <f>IF(OR(N276&lt;&gt;"Yes",T276=""),"",COUNTIFS($N$5:$N$304,"Yes",$T$5:$T$304,"&lt;"&amp;T276)+1)</f>
        <v>0</v>
      </c>
      <c r="V276" s="8">
        <f>IF(A276="","",IF(O276="Yes","Bought",IF(M276&lt;=0,"Have it",IF(N276&lt;&gt;"Yes","Skip",IF(S276&lt;=10,"Must have","Nice to have")))))</f>
        <v>0</v>
      </c>
      <c r="W276" s="30"/>
      <c r="X276" s="8">
        <f>IF(A276="","",IFERROR(INDEX('Recipe Ingredients'!$A$5:$A$1204,MATCH(A276,'Recipe Ingredients'!$B$5:$B$1204,0)),""))</f>
        <v>0</v>
      </c>
      <c r="Y276" s="8">
        <f>IF(A276="","",IFERROR(INDEX(Ingredients!$O$5:$O$304,MATCH(A276,Ingredients!$A$5:$A$304,0)),""))</f>
        <v>0</v>
      </c>
      <c r="Z276" s="8">
        <f>IF(A276="","",IF(O276="Yes","Bought",IF(N276="Yes","To buy","Not needed")))</f>
        <v>0</v>
      </c>
      <c r="AA276" s="25"/>
    </row>
    <row r="277" spans="1:27">
      <c r="A277" s="7"/>
      <c r="B277" s="8">
        <f>IF(A277="","",IFERROR(INDEX(Ingredients!$B$5:$B$304,MATCH(A277,Ingredients!$A$5:$A$304,0)),""))</f>
        <v>0</v>
      </c>
      <c r="C277" s="26"/>
      <c r="D277" s="27"/>
      <c r="E277" s="27"/>
      <c r="F277" s="7"/>
      <c r="G277" s="8">
        <f>IF(A277="","",IFERROR(INDEX(Ingredients!$D$5:$D$304,MATCH(A277,Ingredients!$A$5:$A$304,0)),""))</f>
        <v>0</v>
      </c>
      <c r="H277" s="8">
        <f>IF(OR(A277="",C277="",G277=""),"",C277*G277)</f>
        <v>0</v>
      </c>
      <c r="I277" s="26"/>
      <c r="J277" s="8">
        <f>IF(OR(C277="",I277="",I277=0),"",CEILING(C277/I277,1))</f>
        <v>0</v>
      </c>
      <c r="K277" s="8">
        <f>IF(OR(J277="",I277="",G277=""),"",J277*I277*G277)</f>
        <v>0</v>
      </c>
      <c r="L277" s="8">
        <f>IF(A277="","",SUMIFS(Pantry!$C$5:$C$304,Pantry!$A$5:$A$304,A277))</f>
        <v>0</v>
      </c>
      <c r="M277" s="8">
        <f>IF(OR(A277="",C277=""),"",MAX(0,C277-L277))</f>
        <v>0</v>
      </c>
      <c r="N277" s="27"/>
      <c r="O277" s="27"/>
      <c r="P277" s="30"/>
      <c r="Q277" s="28"/>
      <c r="R277" s="8">
        <f>IF(OR(Q277="",H277=""),"",Q277-H277)</f>
        <v>0</v>
      </c>
      <c r="S277" s="8">
        <f>IF(M277="","",COUNTIFS($M$5:$M$304,"&gt;"&amp;M277)+1)</f>
        <v>0</v>
      </c>
      <c r="T277" s="8">
        <f>IF(H277="","",H277+ROW()/1000000)</f>
        <v>0</v>
      </c>
      <c r="U277" s="8">
        <f>IF(OR(N277&lt;&gt;"Yes",T277=""),"",COUNTIFS($N$5:$N$304,"Yes",$T$5:$T$304,"&lt;"&amp;T277)+1)</f>
        <v>0</v>
      </c>
      <c r="V277" s="8">
        <f>IF(A277="","",IF(O277="Yes","Bought",IF(M277&lt;=0,"Have it",IF(N277&lt;&gt;"Yes","Skip",IF(S277&lt;=10,"Must have","Nice to have")))))</f>
        <v>0</v>
      </c>
      <c r="W277" s="30"/>
      <c r="X277" s="8">
        <f>IF(A277="","",IFERROR(INDEX('Recipe Ingredients'!$A$5:$A$1204,MATCH(A277,'Recipe Ingredients'!$B$5:$B$1204,0)),""))</f>
        <v>0</v>
      </c>
      <c r="Y277" s="8">
        <f>IF(A277="","",IFERROR(INDEX(Ingredients!$O$5:$O$304,MATCH(A277,Ingredients!$A$5:$A$304,0)),""))</f>
        <v>0</v>
      </c>
      <c r="Z277" s="8">
        <f>IF(A277="","",IF(O277="Yes","Bought",IF(N277="Yes","To buy","Not needed")))</f>
        <v>0</v>
      </c>
      <c r="AA277" s="25"/>
    </row>
    <row r="278" spans="1:27">
      <c r="A278" s="7"/>
      <c r="B278" s="8">
        <f>IF(A278="","",IFERROR(INDEX(Ingredients!$B$5:$B$304,MATCH(A278,Ingredients!$A$5:$A$304,0)),""))</f>
        <v>0</v>
      </c>
      <c r="C278" s="26"/>
      <c r="D278" s="27"/>
      <c r="E278" s="27"/>
      <c r="F278" s="7"/>
      <c r="G278" s="8">
        <f>IF(A278="","",IFERROR(INDEX(Ingredients!$D$5:$D$304,MATCH(A278,Ingredients!$A$5:$A$304,0)),""))</f>
        <v>0</v>
      </c>
      <c r="H278" s="8">
        <f>IF(OR(A278="",C278="",G278=""),"",C278*G278)</f>
        <v>0</v>
      </c>
      <c r="I278" s="26"/>
      <c r="J278" s="8">
        <f>IF(OR(C278="",I278="",I278=0),"",CEILING(C278/I278,1))</f>
        <v>0</v>
      </c>
      <c r="K278" s="8">
        <f>IF(OR(J278="",I278="",G278=""),"",J278*I278*G278)</f>
        <v>0</v>
      </c>
      <c r="L278" s="8">
        <f>IF(A278="","",SUMIFS(Pantry!$C$5:$C$304,Pantry!$A$5:$A$304,A278))</f>
        <v>0</v>
      </c>
      <c r="M278" s="8">
        <f>IF(OR(A278="",C278=""),"",MAX(0,C278-L278))</f>
        <v>0</v>
      </c>
      <c r="N278" s="27"/>
      <c r="O278" s="27"/>
      <c r="P278" s="30"/>
      <c r="Q278" s="28"/>
      <c r="R278" s="8">
        <f>IF(OR(Q278="",H278=""),"",Q278-H278)</f>
        <v>0</v>
      </c>
      <c r="S278" s="8">
        <f>IF(M278="","",COUNTIFS($M$5:$M$304,"&gt;"&amp;M278)+1)</f>
        <v>0</v>
      </c>
      <c r="T278" s="8">
        <f>IF(H278="","",H278+ROW()/1000000)</f>
        <v>0</v>
      </c>
      <c r="U278" s="8">
        <f>IF(OR(N278&lt;&gt;"Yes",T278=""),"",COUNTIFS($N$5:$N$304,"Yes",$T$5:$T$304,"&lt;"&amp;T278)+1)</f>
        <v>0</v>
      </c>
      <c r="V278" s="8">
        <f>IF(A278="","",IF(O278="Yes","Bought",IF(M278&lt;=0,"Have it",IF(N278&lt;&gt;"Yes","Skip",IF(S278&lt;=10,"Must have","Nice to have")))))</f>
        <v>0</v>
      </c>
      <c r="W278" s="30"/>
      <c r="X278" s="8">
        <f>IF(A278="","",IFERROR(INDEX('Recipe Ingredients'!$A$5:$A$1204,MATCH(A278,'Recipe Ingredients'!$B$5:$B$1204,0)),""))</f>
        <v>0</v>
      </c>
      <c r="Y278" s="8">
        <f>IF(A278="","",IFERROR(INDEX(Ingredients!$O$5:$O$304,MATCH(A278,Ingredients!$A$5:$A$304,0)),""))</f>
        <v>0</v>
      </c>
      <c r="Z278" s="8">
        <f>IF(A278="","",IF(O278="Yes","Bought",IF(N278="Yes","To buy","Not needed")))</f>
        <v>0</v>
      </c>
      <c r="AA278" s="25"/>
    </row>
    <row r="279" spans="1:27">
      <c r="A279" s="7"/>
      <c r="B279" s="8">
        <f>IF(A279="","",IFERROR(INDEX(Ingredients!$B$5:$B$304,MATCH(A279,Ingredients!$A$5:$A$304,0)),""))</f>
        <v>0</v>
      </c>
      <c r="C279" s="26"/>
      <c r="D279" s="27"/>
      <c r="E279" s="27"/>
      <c r="F279" s="7"/>
      <c r="G279" s="8">
        <f>IF(A279="","",IFERROR(INDEX(Ingredients!$D$5:$D$304,MATCH(A279,Ingredients!$A$5:$A$304,0)),""))</f>
        <v>0</v>
      </c>
      <c r="H279" s="8">
        <f>IF(OR(A279="",C279="",G279=""),"",C279*G279)</f>
        <v>0</v>
      </c>
      <c r="I279" s="26"/>
      <c r="J279" s="8">
        <f>IF(OR(C279="",I279="",I279=0),"",CEILING(C279/I279,1))</f>
        <v>0</v>
      </c>
      <c r="K279" s="8">
        <f>IF(OR(J279="",I279="",G279=""),"",J279*I279*G279)</f>
        <v>0</v>
      </c>
      <c r="L279" s="8">
        <f>IF(A279="","",SUMIFS(Pantry!$C$5:$C$304,Pantry!$A$5:$A$304,A279))</f>
        <v>0</v>
      </c>
      <c r="M279" s="8">
        <f>IF(OR(A279="",C279=""),"",MAX(0,C279-L279))</f>
        <v>0</v>
      </c>
      <c r="N279" s="27"/>
      <c r="O279" s="27"/>
      <c r="P279" s="30"/>
      <c r="Q279" s="28"/>
      <c r="R279" s="8">
        <f>IF(OR(Q279="",H279=""),"",Q279-H279)</f>
        <v>0</v>
      </c>
      <c r="S279" s="8">
        <f>IF(M279="","",COUNTIFS($M$5:$M$304,"&gt;"&amp;M279)+1)</f>
        <v>0</v>
      </c>
      <c r="T279" s="8">
        <f>IF(H279="","",H279+ROW()/1000000)</f>
        <v>0</v>
      </c>
      <c r="U279" s="8">
        <f>IF(OR(N279&lt;&gt;"Yes",T279=""),"",COUNTIFS($N$5:$N$304,"Yes",$T$5:$T$304,"&lt;"&amp;T279)+1)</f>
        <v>0</v>
      </c>
      <c r="V279" s="8">
        <f>IF(A279="","",IF(O279="Yes","Bought",IF(M279&lt;=0,"Have it",IF(N279&lt;&gt;"Yes","Skip",IF(S279&lt;=10,"Must have","Nice to have")))))</f>
        <v>0</v>
      </c>
      <c r="W279" s="30"/>
      <c r="X279" s="8">
        <f>IF(A279="","",IFERROR(INDEX('Recipe Ingredients'!$A$5:$A$1204,MATCH(A279,'Recipe Ingredients'!$B$5:$B$1204,0)),""))</f>
        <v>0</v>
      </c>
      <c r="Y279" s="8">
        <f>IF(A279="","",IFERROR(INDEX(Ingredients!$O$5:$O$304,MATCH(A279,Ingredients!$A$5:$A$304,0)),""))</f>
        <v>0</v>
      </c>
      <c r="Z279" s="8">
        <f>IF(A279="","",IF(O279="Yes","Bought",IF(N279="Yes","To buy","Not needed")))</f>
        <v>0</v>
      </c>
      <c r="AA279" s="25"/>
    </row>
    <row r="280" spans="1:27">
      <c r="A280" s="7"/>
      <c r="B280" s="8">
        <f>IF(A280="","",IFERROR(INDEX(Ingredients!$B$5:$B$304,MATCH(A280,Ingredients!$A$5:$A$304,0)),""))</f>
        <v>0</v>
      </c>
      <c r="C280" s="26"/>
      <c r="D280" s="27"/>
      <c r="E280" s="27"/>
      <c r="F280" s="7"/>
      <c r="G280" s="8">
        <f>IF(A280="","",IFERROR(INDEX(Ingredients!$D$5:$D$304,MATCH(A280,Ingredients!$A$5:$A$304,0)),""))</f>
        <v>0</v>
      </c>
      <c r="H280" s="8">
        <f>IF(OR(A280="",C280="",G280=""),"",C280*G280)</f>
        <v>0</v>
      </c>
      <c r="I280" s="26"/>
      <c r="J280" s="8">
        <f>IF(OR(C280="",I280="",I280=0),"",CEILING(C280/I280,1))</f>
        <v>0</v>
      </c>
      <c r="K280" s="8">
        <f>IF(OR(J280="",I280="",G280=""),"",J280*I280*G280)</f>
        <v>0</v>
      </c>
      <c r="L280" s="8">
        <f>IF(A280="","",SUMIFS(Pantry!$C$5:$C$304,Pantry!$A$5:$A$304,A280))</f>
        <v>0</v>
      </c>
      <c r="M280" s="8">
        <f>IF(OR(A280="",C280=""),"",MAX(0,C280-L280))</f>
        <v>0</v>
      </c>
      <c r="N280" s="27"/>
      <c r="O280" s="27"/>
      <c r="P280" s="30"/>
      <c r="Q280" s="28"/>
      <c r="R280" s="8">
        <f>IF(OR(Q280="",H280=""),"",Q280-H280)</f>
        <v>0</v>
      </c>
      <c r="S280" s="8">
        <f>IF(M280="","",COUNTIFS($M$5:$M$304,"&gt;"&amp;M280)+1)</f>
        <v>0</v>
      </c>
      <c r="T280" s="8">
        <f>IF(H280="","",H280+ROW()/1000000)</f>
        <v>0</v>
      </c>
      <c r="U280" s="8">
        <f>IF(OR(N280&lt;&gt;"Yes",T280=""),"",COUNTIFS($N$5:$N$304,"Yes",$T$5:$T$304,"&lt;"&amp;T280)+1)</f>
        <v>0</v>
      </c>
      <c r="V280" s="8">
        <f>IF(A280="","",IF(O280="Yes","Bought",IF(M280&lt;=0,"Have it",IF(N280&lt;&gt;"Yes","Skip",IF(S280&lt;=10,"Must have","Nice to have")))))</f>
        <v>0</v>
      </c>
      <c r="W280" s="30"/>
      <c r="X280" s="8">
        <f>IF(A280="","",IFERROR(INDEX('Recipe Ingredients'!$A$5:$A$1204,MATCH(A280,'Recipe Ingredients'!$B$5:$B$1204,0)),""))</f>
        <v>0</v>
      </c>
      <c r="Y280" s="8">
        <f>IF(A280="","",IFERROR(INDEX(Ingredients!$O$5:$O$304,MATCH(A280,Ingredients!$A$5:$A$304,0)),""))</f>
        <v>0</v>
      </c>
      <c r="Z280" s="8">
        <f>IF(A280="","",IF(O280="Yes","Bought",IF(N280="Yes","To buy","Not needed")))</f>
        <v>0</v>
      </c>
      <c r="AA280" s="25"/>
    </row>
    <row r="281" spans="1:27">
      <c r="A281" s="7"/>
      <c r="B281" s="8">
        <f>IF(A281="","",IFERROR(INDEX(Ingredients!$B$5:$B$304,MATCH(A281,Ingredients!$A$5:$A$304,0)),""))</f>
        <v>0</v>
      </c>
      <c r="C281" s="26"/>
      <c r="D281" s="27"/>
      <c r="E281" s="27"/>
      <c r="F281" s="7"/>
      <c r="G281" s="8">
        <f>IF(A281="","",IFERROR(INDEX(Ingredients!$D$5:$D$304,MATCH(A281,Ingredients!$A$5:$A$304,0)),""))</f>
        <v>0</v>
      </c>
      <c r="H281" s="8">
        <f>IF(OR(A281="",C281="",G281=""),"",C281*G281)</f>
        <v>0</v>
      </c>
      <c r="I281" s="26"/>
      <c r="J281" s="8">
        <f>IF(OR(C281="",I281="",I281=0),"",CEILING(C281/I281,1))</f>
        <v>0</v>
      </c>
      <c r="K281" s="8">
        <f>IF(OR(J281="",I281="",G281=""),"",J281*I281*G281)</f>
        <v>0</v>
      </c>
      <c r="L281" s="8">
        <f>IF(A281="","",SUMIFS(Pantry!$C$5:$C$304,Pantry!$A$5:$A$304,A281))</f>
        <v>0</v>
      </c>
      <c r="M281" s="8">
        <f>IF(OR(A281="",C281=""),"",MAX(0,C281-L281))</f>
        <v>0</v>
      </c>
      <c r="N281" s="27"/>
      <c r="O281" s="27"/>
      <c r="P281" s="30"/>
      <c r="Q281" s="28"/>
      <c r="R281" s="8">
        <f>IF(OR(Q281="",H281=""),"",Q281-H281)</f>
        <v>0</v>
      </c>
      <c r="S281" s="8">
        <f>IF(M281="","",COUNTIFS($M$5:$M$304,"&gt;"&amp;M281)+1)</f>
        <v>0</v>
      </c>
      <c r="T281" s="8">
        <f>IF(H281="","",H281+ROW()/1000000)</f>
        <v>0</v>
      </c>
      <c r="U281" s="8">
        <f>IF(OR(N281&lt;&gt;"Yes",T281=""),"",COUNTIFS($N$5:$N$304,"Yes",$T$5:$T$304,"&lt;"&amp;T281)+1)</f>
        <v>0</v>
      </c>
      <c r="V281" s="8">
        <f>IF(A281="","",IF(O281="Yes","Bought",IF(M281&lt;=0,"Have it",IF(N281&lt;&gt;"Yes","Skip",IF(S281&lt;=10,"Must have","Nice to have")))))</f>
        <v>0</v>
      </c>
      <c r="W281" s="30"/>
      <c r="X281" s="8">
        <f>IF(A281="","",IFERROR(INDEX('Recipe Ingredients'!$A$5:$A$1204,MATCH(A281,'Recipe Ingredients'!$B$5:$B$1204,0)),""))</f>
        <v>0</v>
      </c>
      <c r="Y281" s="8">
        <f>IF(A281="","",IFERROR(INDEX(Ingredients!$O$5:$O$304,MATCH(A281,Ingredients!$A$5:$A$304,0)),""))</f>
        <v>0</v>
      </c>
      <c r="Z281" s="8">
        <f>IF(A281="","",IF(O281="Yes","Bought",IF(N281="Yes","To buy","Not needed")))</f>
        <v>0</v>
      </c>
      <c r="AA281" s="25"/>
    </row>
    <row r="282" spans="1:27">
      <c r="A282" s="7"/>
      <c r="B282" s="8">
        <f>IF(A282="","",IFERROR(INDEX(Ingredients!$B$5:$B$304,MATCH(A282,Ingredients!$A$5:$A$304,0)),""))</f>
        <v>0</v>
      </c>
      <c r="C282" s="26"/>
      <c r="D282" s="27"/>
      <c r="E282" s="27"/>
      <c r="F282" s="7"/>
      <c r="G282" s="8">
        <f>IF(A282="","",IFERROR(INDEX(Ingredients!$D$5:$D$304,MATCH(A282,Ingredients!$A$5:$A$304,0)),""))</f>
        <v>0</v>
      </c>
      <c r="H282" s="8">
        <f>IF(OR(A282="",C282="",G282=""),"",C282*G282)</f>
        <v>0</v>
      </c>
      <c r="I282" s="26"/>
      <c r="J282" s="8">
        <f>IF(OR(C282="",I282="",I282=0),"",CEILING(C282/I282,1))</f>
        <v>0</v>
      </c>
      <c r="K282" s="8">
        <f>IF(OR(J282="",I282="",G282=""),"",J282*I282*G282)</f>
        <v>0</v>
      </c>
      <c r="L282" s="8">
        <f>IF(A282="","",SUMIFS(Pantry!$C$5:$C$304,Pantry!$A$5:$A$304,A282))</f>
        <v>0</v>
      </c>
      <c r="M282" s="8">
        <f>IF(OR(A282="",C282=""),"",MAX(0,C282-L282))</f>
        <v>0</v>
      </c>
      <c r="N282" s="27"/>
      <c r="O282" s="27"/>
      <c r="P282" s="30"/>
      <c r="Q282" s="28"/>
      <c r="R282" s="8">
        <f>IF(OR(Q282="",H282=""),"",Q282-H282)</f>
        <v>0</v>
      </c>
      <c r="S282" s="8">
        <f>IF(M282="","",COUNTIFS($M$5:$M$304,"&gt;"&amp;M282)+1)</f>
        <v>0</v>
      </c>
      <c r="T282" s="8">
        <f>IF(H282="","",H282+ROW()/1000000)</f>
        <v>0</v>
      </c>
      <c r="U282" s="8">
        <f>IF(OR(N282&lt;&gt;"Yes",T282=""),"",COUNTIFS($N$5:$N$304,"Yes",$T$5:$T$304,"&lt;"&amp;T282)+1)</f>
        <v>0</v>
      </c>
      <c r="V282" s="8">
        <f>IF(A282="","",IF(O282="Yes","Bought",IF(M282&lt;=0,"Have it",IF(N282&lt;&gt;"Yes","Skip",IF(S282&lt;=10,"Must have","Nice to have")))))</f>
        <v>0</v>
      </c>
      <c r="W282" s="30"/>
      <c r="X282" s="8">
        <f>IF(A282="","",IFERROR(INDEX('Recipe Ingredients'!$A$5:$A$1204,MATCH(A282,'Recipe Ingredients'!$B$5:$B$1204,0)),""))</f>
        <v>0</v>
      </c>
      <c r="Y282" s="8">
        <f>IF(A282="","",IFERROR(INDEX(Ingredients!$O$5:$O$304,MATCH(A282,Ingredients!$A$5:$A$304,0)),""))</f>
        <v>0</v>
      </c>
      <c r="Z282" s="8">
        <f>IF(A282="","",IF(O282="Yes","Bought",IF(N282="Yes","To buy","Not needed")))</f>
        <v>0</v>
      </c>
      <c r="AA282" s="25"/>
    </row>
    <row r="283" spans="1:27">
      <c r="A283" s="7"/>
      <c r="B283" s="8">
        <f>IF(A283="","",IFERROR(INDEX(Ingredients!$B$5:$B$304,MATCH(A283,Ingredients!$A$5:$A$304,0)),""))</f>
        <v>0</v>
      </c>
      <c r="C283" s="26"/>
      <c r="D283" s="27"/>
      <c r="E283" s="27"/>
      <c r="F283" s="7"/>
      <c r="G283" s="8">
        <f>IF(A283="","",IFERROR(INDEX(Ingredients!$D$5:$D$304,MATCH(A283,Ingredients!$A$5:$A$304,0)),""))</f>
        <v>0</v>
      </c>
      <c r="H283" s="8">
        <f>IF(OR(A283="",C283="",G283=""),"",C283*G283)</f>
        <v>0</v>
      </c>
      <c r="I283" s="26"/>
      <c r="J283" s="8">
        <f>IF(OR(C283="",I283="",I283=0),"",CEILING(C283/I283,1))</f>
        <v>0</v>
      </c>
      <c r="K283" s="8">
        <f>IF(OR(J283="",I283="",G283=""),"",J283*I283*G283)</f>
        <v>0</v>
      </c>
      <c r="L283" s="8">
        <f>IF(A283="","",SUMIFS(Pantry!$C$5:$C$304,Pantry!$A$5:$A$304,A283))</f>
        <v>0</v>
      </c>
      <c r="M283" s="8">
        <f>IF(OR(A283="",C283=""),"",MAX(0,C283-L283))</f>
        <v>0</v>
      </c>
      <c r="N283" s="27"/>
      <c r="O283" s="27"/>
      <c r="P283" s="30"/>
      <c r="Q283" s="28"/>
      <c r="R283" s="8">
        <f>IF(OR(Q283="",H283=""),"",Q283-H283)</f>
        <v>0</v>
      </c>
      <c r="S283" s="8">
        <f>IF(M283="","",COUNTIFS($M$5:$M$304,"&gt;"&amp;M283)+1)</f>
        <v>0</v>
      </c>
      <c r="T283" s="8">
        <f>IF(H283="","",H283+ROW()/1000000)</f>
        <v>0</v>
      </c>
      <c r="U283" s="8">
        <f>IF(OR(N283&lt;&gt;"Yes",T283=""),"",COUNTIFS($N$5:$N$304,"Yes",$T$5:$T$304,"&lt;"&amp;T283)+1)</f>
        <v>0</v>
      </c>
      <c r="V283" s="8">
        <f>IF(A283="","",IF(O283="Yes","Bought",IF(M283&lt;=0,"Have it",IF(N283&lt;&gt;"Yes","Skip",IF(S283&lt;=10,"Must have","Nice to have")))))</f>
        <v>0</v>
      </c>
      <c r="W283" s="30"/>
      <c r="X283" s="8">
        <f>IF(A283="","",IFERROR(INDEX('Recipe Ingredients'!$A$5:$A$1204,MATCH(A283,'Recipe Ingredients'!$B$5:$B$1204,0)),""))</f>
        <v>0</v>
      </c>
      <c r="Y283" s="8">
        <f>IF(A283="","",IFERROR(INDEX(Ingredients!$O$5:$O$304,MATCH(A283,Ingredients!$A$5:$A$304,0)),""))</f>
        <v>0</v>
      </c>
      <c r="Z283" s="8">
        <f>IF(A283="","",IF(O283="Yes","Bought",IF(N283="Yes","To buy","Not needed")))</f>
        <v>0</v>
      </c>
      <c r="AA283" s="25"/>
    </row>
    <row r="284" spans="1:27">
      <c r="A284" s="7"/>
      <c r="B284" s="8">
        <f>IF(A284="","",IFERROR(INDEX(Ingredients!$B$5:$B$304,MATCH(A284,Ingredients!$A$5:$A$304,0)),""))</f>
        <v>0</v>
      </c>
      <c r="C284" s="26"/>
      <c r="D284" s="27"/>
      <c r="E284" s="27"/>
      <c r="F284" s="7"/>
      <c r="G284" s="8">
        <f>IF(A284="","",IFERROR(INDEX(Ingredients!$D$5:$D$304,MATCH(A284,Ingredients!$A$5:$A$304,0)),""))</f>
        <v>0</v>
      </c>
      <c r="H284" s="8">
        <f>IF(OR(A284="",C284="",G284=""),"",C284*G284)</f>
        <v>0</v>
      </c>
      <c r="I284" s="26"/>
      <c r="J284" s="8">
        <f>IF(OR(C284="",I284="",I284=0),"",CEILING(C284/I284,1))</f>
        <v>0</v>
      </c>
      <c r="K284" s="8">
        <f>IF(OR(J284="",I284="",G284=""),"",J284*I284*G284)</f>
        <v>0</v>
      </c>
      <c r="L284" s="8">
        <f>IF(A284="","",SUMIFS(Pantry!$C$5:$C$304,Pantry!$A$5:$A$304,A284))</f>
        <v>0</v>
      </c>
      <c r="M284" s="8">
        <f>IF(OR(A284="",C284=""),"",MAX(0,C284-L284))</f>
        <v>0</v>
      </c>
      <c r="N284" s="27"/>
      <c r="O284" s="27"/>
      <c r="P284" s="30"/>
      <c r="Q284" s="28"/>
      <c r="R284" s="8">
        <f>IF(OR(Q284="",H284=""),"",Q284-H284)</f>
        <v>0</v>
      </c>
      <c r="S284" s="8">
        <f>IF(M284="","",COUNTIFS($M$5:$M$304,"&gt;"&amp;M284)+1)</f>
        <v>0</v>
      </c>
      <c r="T284" s="8">
        <f>IF(H284="","",H284+ROW()/1000000)</f>
        <v>0</v>
      </c>
      <c r="U284" s="8">
        <f>IF(OR(N284&lt;&gt;"Yes",T284=""),"",COUNTIFS($N$5:$N$304,"Yes",$T$5:$T$304,"&lt;"&amp;T284)+1)</f>
        <v>0</v>
      </c>
      <c r="V284" s="8">
        <f>IF(A284="","",IF(O284="Yes","Bought",IF(M284&lt;=0,"Have it",IF(N284&lt;&gt;"Yes","Skip",IF(S284&lt;=10,"Must have","Nice to have")))))</f>
        <v>0</v>
      </c>
      <c r="W284" s="30"/>
      <c r="X284" s="8">
        <f>IF(A284="","",IFERROR(INDEX('Recipe Ingredients'!$A$5:$A$1204,MATCH(A284,'Recipe Ingredients'!$B$5:$B$1204,0)),""))</f>
        <v>0</v>
      </c>
      <c r="Y284" s="8">
        <f>IF(A284="","",IFERROR(INDEX(Ingredients!$O$5:$O$304,MATCH(A284,Ingredients!$A$5:$A$304,0)),""))</f>
        <v>0</v>
      </c>
      <c r="Z284" s="8">
        <f>IF(A284="","",IF(O284="Yes","Bought",IF(N284="Yes","To buy","Not needed")))</f>
        <v>0</v>
      </c>
      <c r="AA284" s="25"/>
    </row>
    <row r="285" spans="1:27">
      <c r="A285" s="7"/>
      <c r="B285" s="8">
        <f>IF(A285="","",IFERROR(INDEX(Ingredients!$B$5:$B$304,MATCH(A285,Ingredients!$A$5:$A$304,0)),""))</f>
        <v>0</v>
      </c>
      <c r="C285" s="26"/>
      <c r="D285" s="27"/>
      <c r="E285" s="27"/>
      <c r="F285" s="7"/>
      <c r="G285" s="8">
        <f>IF(A285="","",IFERROR(INDEX(Ingredients!$D$5:$D$304,MATCH(A285,Ingredients!$A$5:$A$304,0)),""))</f>
        <v>0</v>
      </c>
      <c r="H285" s="8">
        <f>IF(OR(A285="",C285="",G285=""),"",C285*G285)</f>
        <v>0</v>
      </c>
      <c r="I285" s="26"/>
      <c r="J285" s="8">
        <f>IF(OR(C285="",I285="",I285=0),"",CEILING(C285/I285,1))</f>
        <v>0</v>
      </c>
      <c r="K285" s="8">
        <f>IF(OR(J285="",I285="",G285=""),"",J285*I285*G285)</f>
        <v>0</v>
      </c>
      <c r="L285" s="8">
        <f>IF(A285="","",SUMIFS(Pantry!$C$5:$C$304,Pantry!$A$5:$A$304,A285))</f>
        <v>0</v>
      </c>
      <c r="M285" s="8">
        <f>IF(OR(A285="",C285=""),"",MAX(0,C285-L285))</f>
        <v>0</v>
      </c>
      <c r="N285" s="27"/>
      <c r="O285" s="27"/>
      <c r="P285" s="30"/>
      <c r="Q285" s="28"/>
      <c r="R285" s="8">
        <f>IF(OR(Q285="",H285=""),"",Q285-H285)</f>
        <v>0</v>
      </c>
      <c r="S285" s="8">
        <f>IF(M285="","",COUNTIFS($M$5:$M$304,"&gt;"&amp;M285)+1)</f>
        <v>0</v>
      </c>
      <c r="T285" s="8">
        <f>IF(H285="","",H285+ROW()/1000000)</f>
        <v>0</v>
      </c>
      <c r="U285" s="8">
        <f>IF(OR(N285&lt;&gt;"Yes",T285=""),"",COUNTIFS($N$5:$N$304,"Yes",$T$5:$T$304,"&lt;"&amp;T285)+1)</f>
        <v>0</v>
      </c>
      <c r="V285" s="8">
        <f>IF(A285="","",IF(O285="Yes","Bought",IF(M285&lt;=0,"Have it",IF(N285&lt;&gt;"Yes","Skip",IF(S285&lt;=10,"Must have","Nice to have")))))</f>
        <v>0</v>
      </c>
      <c r="W285" s="30"/>
      <c r="X285" s="8">
        <f>IF(A285="","",IFERROR(INDEX('Recipe Ingredients'!$A$5:$A$1204,MATCH(A285,'Recipe Ingredients'!$B$5:$B$1204,0)),""))</f>
        <v>0</v>
      </c>
      <c r="Y285" s="8">
        <f>IF(A285="","",IFERROR(INDEX(Ingredients!$O$5:$O$304,MATCH(A285,Ingredients!$A$5:$A$304,0)),""))</f>
        <v>0</v>
      </c>
      <c r="Z285" s="8">
        <f>IF(A285="","",IF(O285="Yes","Bought",IF(N285="Yes","To buy","Not needed")))</f>
        <v>0</v>
      </c>
      <c r="AA285" s="25"/>
    </row>
    <row r="286" spans="1:27">
      <c r="A286" s="7"/>
      <c r="B286" s="8">
        <f>IF(A286="","",IFERROR(INDEX(Ingredients!$B$5:$B$304,MATCH(A286,Ingredients!$A$5:$A$304,0)),""))</f>
        <v>0</v>
      </c>
      <c r="C286" s="26"/>
      <c r="D286" s="27"/>
      <c r="E286" s="27"/>
      <c r="F286" s="7"/>
      <c r="G286" s="8">
        <f>IF(A286="","",IFERROR(INDEX(Ingredients!$D$5:$D$304,MATCH(A286,Ingredients!$A$5:$A$304,0)),""))</f>
        <v>0</v>
      </c>
      <c r="H286" s="8">
        <f>IF(OR(A286="",C286="",G286=""),"",C286*G286)</f>
        <v>0</v>
      </c>
      <c r="I286" s="26"/>
      <c r="J286" s="8">
        <f>IF(OR(C286="",I286="",I286=0),"",CEILING(C286/I286,1))</f>
        <v>0</v>
      </c>
      <c r="K286" s="8">
        <f>IF(OR(J286="",I286="",G286=""),"",J286*I286*G286)</f>
        <v>0</v>
      </c>
      <c r="L286" s="8">
        <f>IF(A286="","",SUMIFS(Pantry!$C$5:$C$304,Pantry!$A$5:$A$304,A286))</f>
        <v>0</v>
      </c>
      <c r="M286" s="8">
        <f>IF(OR(A286="",C286=""),"",MAX(0,C286-L286))</f>
        <v>0</v>
      </c>
      <c r="N286" s="27"/>
      <c r="O286" s="27"/>
      <c r="P286" s="30"/>
      <c r="Q286" s="28"/>
      <c r="R286" s="8">
        <f>IF(OR(Q286="",H286=""),"",Q286-H286)</f>
        <v>0</v>
      </c>
      <c r="S286" s="8">
        <f>IF(M286="","",COUNTIFS($M$5:$M$304,"&gt;"&amp;M286)+1)</f>
        <v>0</v>
      </c>
      <c r="T286" s="8">
        <f>IF(H286="","",H286+ROW()/1000000)</f>
        <v>0</v>
      </c>
      <c r="U286" s="8">
        <f>IF(OR(N286&lt;&gt;"Yes",T286=""),"",COUNTIFS($N$5:$N$304,"Yes",$T$5:$T$304,"&lt;"&amp;T286)+1)</f>
        <v>0</v>
      </c>
      <c r="V286" s="8">
        <f>IF(A286="","",IF(O286="Yes","Bought",IF(M286&lt;=0,"Have it",IF(N286&lt;&gt;"Yes","Skip",IF(S286&lt;=10,"Must have","Nice to have")))))</f>
        <v>0</v>
      </c>
      <c r="W286" s="30"/>
      <c r="X286" s="8">
        <f>IF(A286="","",IFERROR(INDEX('Recipe Ingredients'!$A$5:$A$1204,MATCH(A286,'Recipe Ingredients'!$B$5:$B$1204,0)),""))</f>
        <v>0</v>
      </c>
      <c r="Y286" s="8">
        <f>IF(A286="","",IFERROR(INDEX(Ingredients!$O$5:$O$304,MATCH(A286,Ingredients!$A$5:$A$304,0)),""))</f>
        <v>0</v>
      </c>
      <c r="Z286" s="8">
        <f>IF(A286="","",IF(O286="Yes","Bought",IF(N286="Yes","To buy","Not needed")))</f>
        <v>0</v>
      </c>
      <c r="AA286" s="25"/>
    </row>
    <row r="287" spans="1:27">
      <c r="A287" s="7"/>
      <c r="B287" s="8">
        <f>IF(A287="","",IFERROR(INDEX(Ingredients!$B$5:$B$304,MATCH(A287,Ingredients!$A$5:$A$304,0)),""))</f>
        <v>0</v>
      </c>
      <c r="C287" s="26"/>
      <c r="D287" s="27"/>
      <c r="E287" s="27"/>
      <c r="F287" s="7"/>
      <c r="G287" s="8">
        <f>IF(A287="","",IFERROR(INDEX(Ingredients!$D$5:$D$304,MATCH(A287,Ingredients!$A$5:$A$304,0)),""))</f>
        <v>0</v>
      </c>
      <c r="H287" s="8">
        <f>IF(OR(A287="",C287="",G287=""),"",C287*G287)</f>
        <v>0</v>
      </c>
      <c r="I287" s="26"/>
      <c r="J287" s="8">
        <f>IF(OR(C287="",I287="",I287=0),"",CEILING(C287/I287,1))</f>
        <v>0</v>
      </c>
      <c r="K287" s="8">
        <f>IF(OR(J287="",I287="",G287=""),"",J287*I287*G287)</f>
        <v>0</v>
      </c>
      <c r="L287" s="8">
        <f>IF(A287="","",SUMIFS(Pantry!$C$5:$C$304,Pantry!$A$5:$A$304,A287))</f>
        <v>0</v>
      </c>
      <c r="M287" s="8">
        <f>IF(OR(A287="",C287=""),"",MAX(0,C287-L287))</f>
        <v>0</v>
      </c>
      <c r="N287" s="27"/>
      <c r="O287" s="27"/>
      <c r="P287" s="30"/>
      <c r="Q287" s="28"/>
      <c r="R287" s="8">
        <f>IF(OR(Q287="",H287=""),"",Q287-H287)</f>
        <v>0</v>
      </c>
      <c r="S287" s="8">
        <f>IF(M287="","",COUNTIFS($M$5:$M$304,"&gt;"&amp;M287)+1)</f>
        <v>0</v>
      </c>
      <c r="T287" s="8">
        <f>IF(H287="","",H287+ROW()/1000000)</f>
        <v>0</v>
      </c>
      <c r="U287" s="8">
        <f>IF(OR(N287&lt;&gt;"Yes",T287=""),"",COUNTIFS($N$5:$N$304,"Yes",$T$5:$T$304,"&lt;"&amp;T287)+1)</f>
        <v>0</v>
      </c>
      <c r="V287" s="8">
        <f>IF(A287="","",IF(O287="Yes","Bought",IF(M287&lt;=0,"Have it",IF(N287&lt;&gt;"Yes","Skip",IF(S287&lt;=10,"Must have","Nice to have")))))</f>
        <v>0</v>
      </c>
      <c r="W287" s="30"/>
      <c r="X287" s="8">
        <f>IF(A287="","",IFERROR(INDEX('Recipe Ingredients'!$A$5:$A$1204,MATCH(A287,'Recipe Ingredients'!$B$5:$B$1204,0)),""))</f>
        <v>0</v>
      </c>
      <c r="Y287" s="8">
        <f>IF(A287="","",IFERROR(INDEX(Ingredients!$O$5:$O$304,MATCH(A287,Ingredients!$A$5:$A$304,0)),""))</f>
        <v>0</v>
      </c>
      <c r="Z287" s="8">
        <f>IF(A287="","",IF(O287="Yes","Bought",IF(N287="Yes","To buy","Not needed")))</f>
        <v>0</v>
      </c>
      <c r="AA287" s="25"/>
    </row>
    <row r="288" spans="1:27">
      <c r="A288" s="7"/>
      <c r="B288" s="8">
        <f>IF(A288="","",IFERROR(INDEX(Ingredients!$B$5:$B$304,MATCH(A288,Ingredients!$A$5:$A$304,0)),""))</f>
        <v>0</v>
      </c>
      <c r="C288" s="26"/>
      <c r="D288" s="27"/>
      <c r="E288" s="27"/>
      <c r="F288" s="7"/>
      <c r="G288" s="8">
        <f>IF(A288="","",IFERROR(INDEX(Ingredients!$D$5:$D$304,MATCH(A288,Ingredients!$A$5:$A$304,0)),""))</f>
        <v>0</v>
      </c>
      <c r="H288" s="8">
        <f>IF(OR(A288="",C288="",G288=""),"",C288*G288)</f>
        <v>0</v>
      </c>
      <c r="I288" s="26"/>
      <c r="J288" s="8">
        <f>IF(OR(C288="",I288="",I288=0),"",CEILING(C288/I288,1))</f>
        <v>0</v>
      </c>
      <c r="K288" s="8">
        <f>IF(OR(J288="",I288="",G288=""),"",J288*I288*G288)</f>
        <v>0</v>
      </c>
      <c r="L288" s="8">
        <f>IF(A288="","",SUMIFS(Pantry!$C$5:$C$304,Pantry!$A$5:$A$304,A288))</f>
        <v>0</v>
      </c>
      <c r="M288" s="8">
        <f>IF(OR(A288="",C288=""),"",MAX(0,C288-L288))</f>
        <v>0</v>
      </c>
      <c r="N288" s="27"/>
      <c r="O288" s="27"/>
      <c r="P288" s="30"/>
      <c r="Q288" s="28"/>
      <c r="R288" s="8">
        <f>IF(OR(Q288="",H288=""),"",Q288-H288)</f>
        <v>0</v>
      </c>
      <c r="S288" s="8">
        <f>IF(M288="","",COUNTIFS($M$5:$M$304,"&gt;"&amp;M288)+1)</f>
        <v>0</v>
      </c>
      <c r="T288" s="8">
        <f>IF(H288="","",H288+ROW()/1000000)</f>
        <v>0</v>
      </c>
      <c r="U288" s="8">
        <f>IF(OR(N288&lt;&gt;"Yes",T288=""),"",COUNTIFS($N$5:$N$304,"Yes",$T$5:$T$304,"&lt;"&amp;T288)+1)</f>
        <v>0</v>
      </c>
      <c r="V288" s="8">
        <f>IF(A288="","",IF(O288="Yes","Bought",IF(M288&lt;=0,"Have it",IF(N288&lt;&gt;"Yes","Skip",IF(S288&lt;=10,"Must have","Nice to have")))))</f>
        <v>0</v>
      </c>
      <c r="W288" s="30"/>
      <c r="X288" s="8">
        <f>IF(A288="","",IFERROR(INDEX('Recipe Ingredients'!$A$5:$A$1204,MATCH(A288,'Recipe Ingredients'!$B$5:$B$1204,0)),""))</f>
        <v>0</v>
      </c>
      <c r="Y288" s="8">
        <f>IF(A288="","",IFERROR(INDEX(Ingredients!$O$5:$O$304,MATCH(A288,Ingredients!$A$5:$A$304,0)),""))</f>
        <v>0</v>
      </c>
      <c r="Z288" s="8">
        <f>IF(A288="","",IF(O288="Yes","Bought",IF(N288="Yes","To buy","Not needed")))</f>
        <v>0</v>
      </c>
      <c r="AA288" s="25"/>
    </row>
    <row r="289" spans="1:27">
      <c r="A289" s="7"/>
      <c r="B289" s="8">
        <f>IF(A289="","",IFERROR(INDEX(Ingredients!$B$5:$B$304,MATCH(A289,Ingredients!$A$5:$A$304,0)),""))</f>
        <v>0</v>
      </c>
      <c r="C289" s="26"/>
      <c r="D289" s="27"/>
      <c r="E289" s="27"/>
      <c r="F289" s="7"/>
      <c r="G289" s="8">
        <f>IF(A289="","",IFERROR(INDEX(Ingredients!$D$5:$D$304,MATCH(A289,Ingredients!$A$5:$A$304,0)),""))</f>
        <v>0</v>
      </c>
      <c r="H289" s="8">
        <f>IF(OR(A289="",C289="",G289=""),"",C289*G289)</f>
        <v>0</v>
      </c>
      <c r="I289" s="26"/>
      <c r="J289" s="8">
        <f>IF(OR(C289="",I289="",I289=0),"",CEILING(C289/I289,1))</f>
        <v>0</v>
      </c>
      <c r="K289" s="8">
        <f>IF(OR(J289="",I289="",G289=""),"",J289*I289*G289)</f>
        <v>0</v>
      </c>
      <c r="L289" s="8">
        <f>IF(A289="","",SUMIFS(Pantry!$C$5:$C$304,Pantry!$A$5:$A$304,A289))</f>
        <v>0</v>
      </c>
      <c r="M289" s="8">
        <f>IF(OR(A289="",C289=""),"",MAX(0,C289-L289))</f>
        <v>0</v>
      </c>
      <c r="N289" s="27"/>
      <c r="O289" s="27"/>
      <c r="P289" s="30"/>
      <c r="Q289" s="28"/>
      <c r="R289" s="8">
        <f>IF(OR(Q289="",H289=""),"",Q289-H289)</f>
        <v>0</v>
      </c>
      <c r="S289" s="8">
        <f>IF(M289="","",COUNTIFS($M$5:$M$304,"&gt;"&amp;M289)+1)</f>
        <v>0</v>
      </c>
      <c r="T289" s="8">
        <f>IF(H289="","",H289+ROW()/1000000)</f>
        <v>0</v>
      </c>
      <c r="U289" s="8">
        <f>IF(OR(N289&lt;&gt;"Yes",T289=""),"",COUNTIFS($N$5:$N$304,"Yes",$T$5:$T$304,"&lt;"&amp;T289)+1)</f>
        <v>0</v>
      </c>
      <c r="V289" s="8">
        <f>IF(A289="","",IF(O289="Yes","Bought",IF(M289&lt;=0,"Have it",IF(N289&lt;&gt;"Yes","Skip",IF(S289&lt;=10,"Must have","Nice to have")))))</f>
        <v>0</v>
      </c>
      <c r="W289" s="30"/>
      <c r="X289" s="8">
        <f>IF(A289="","",IFERROR(INDEX('Recipe Ingredients'!$A$5:$A$1204,MATCH(A289,'Recipe Ingredients'!$B$5:$B$1204,0)),""))</f>
        <v>0</v>
      </c>
      <c r="Y289" s="8">
        <f>IF(A289="","",IFERROR(INDEX(Ingredients!$O$5:$O$304,MATCH(A289,Ingredients!$A$5:$A$304,0)),""))</f>
        <v>0</v>
      </c>
      <c r="Z289" s="8">
        <f>IF(A289="","",IF(O289="Yes","Bought",IF(N289="Yes","To buy","Not needed")))</f>
        <v>0</v>
      </c>
      <c r="AA289" s="25"/>
    </row>
    <row r="290" spans="1:27">
      <c r="A290" s="7"/>
      <c r="B290" s="8">
        <f>IF(A290="","",IFERROR(INDEX(Ingredients!$B$5:$B$304,MATCH(A290,Ingredients!$A$5:$A$304,0)),""))</f>
        <v>0</v>
      </c>
      <c r="C290" s="26"/>
      <c r="D290" s="27"/>
      <c r="E290" s="27"/>
      <c r="F290" s="7"/>
      <c r="G290" s="8">
        <f>IF(A290="","",IFERROR(INDEX(Ingredients!$D$5:$D$304,MATCH(A290,Ingredients!$A$5:$A$304,0)),""))</f>
        <v>0</v>
      </c>
      <c r="H290" s="8">
        <f>IF(OR(A290="",C290="",G290=""),"",C290*G290)</f>
        <v>0</v>
      </c>
      <c r="I290" s="26"/>
      <c r="J290" s="8">
        <f>IF(OR(C290="",I290="",I290=0),"",CEILING(C290/I290,1))</f>
        <v>0</v>
      </c>
      <c r="K290" s="8">
        <f>IF(OR(J290="",I290="",G290=""),"",J290*I290*G290)</f>
        <v>0</v>
      </c>
      <c r="L290" s="8">
        <f>IF(A290="","",SUMIFS(Pantry!$C$5:$C$304,Pantry!$A$5:$A$304,A290))</f>
        <v>0</v>
      </c>
      <c r="M290" s="8">
        <f>IF(OR(A290="",C290=""),"",MAX(0,C290-L290))</f>
        <v>0</v>
      </c>
      <c r="N290" s="27"/>
      <c r="O290" s="27"/>
      <c r="P290" s="30"/>
      <c r="Q290" s="28"/>
      <c r="R290" s="8">
        <f>IF(OR(Q290="",H290=""),"",Q290-H290)</f>
        <v>0</v>
      </c>
      <c r="S290" s="8">
        <f>IF(M290="","",COUNTIFS($M$5:$M$304,"&gt;"&amp;M290)+1)</f>
        <v>0</v>
      </c>
      <c r="T290" s="8">
        <f>IF(H290="","",H290+ROW()/1000000)</f>
        <v>0</v>
      </c>
      <c r="U290" s="8">
        <f>IF(OR(N290&lt;&gt;"Yes",T290=""),"",COUNTIFS($N$5:$N$304,"Yes",$T$5:$T$304,"&lt;"&amp;T290)+1)</f>
        <v>0</v>
      </c>
      <c r="V290" s="8">
        <f>IF(A290="","",IF(O290="Yes","Bought",IF(M290&lt;=0,"Have it",IF(N290&lt;&gt;"Yes","Skip",IF(S290&lt;=10,"Must have","Nice to have")))))</f>
        <v>0</v>
      </c>
      <c r="W290" s="30"/>
      <c r="X290" s="8">
        <f>IF(A290="","",IFERROR(INDEX('Recipe Ingredients'!$A$5:$A$1204,MATCH(A290,'Recipe Ingredients'!$B$5:$B$1204,0)),""))</f>
        <v>0</v>
      </c>
      <c r="Y290" s="8">
        <f>IF(A290="","",IFERROR(INDEX(Ingredients!$O$5:$O$304,MATCH(A290,Ingredients!$A$5:$A$304,0)),""))</f>
        <v>0</v>
      </c>
      <c r="Z290" s="8">
        <f>IF(A290="","",IF(O290="Yes","Bought",IF(N290="Yes","To buy","Not needed")))</f>
        <v>0</v>
      </c>
      <c r="AA290" s="25"/>
    </row>
    <row r="291" spans="1:27">
      <c r="A291" s="7"/>
      <c r="B291" s="8">
        <f>IF(A291="","",IFERROR(INDEX(Ingredients!$B$5:$B$304,MATCH(A291,Ingredients!$A$5:$A$304,0)),""))</f>
        <v>0</v>
      </c>
      <c r="C291" s="26"/>
      <c r="D291" s="27"/>
      <c r="E291" s="27"/>
      <c r="F291" s="7"/>
      <c r="G291" s="8">
        <f>IF(A291="","",IFERROR(INDEX(Ingredients!$D$5:$D$304,MATCH(A291,Ingredients!$A$5:$A$304,0)),""))</f>
        <v>0</v>
      </c>
      <c r="H291" s="8">
        <f>IF(OR(A291="",C291="",G291=""),"",C291*G291)</f>
        <v>0</v>
      </c>
      <c r="I291" s="26"/>
      <c r="J291" s="8">
        <f>IF(OR(C291="",I291="",I291=0),"",CEILING(C291/I291,1))</f>
        <v>0</v>
      </c>
      <c r="K291" s="8">
        <f>IF(OR(J291="",I291="",G291=""),"",J291*I291*G291)</f>
        <v>0</v>
      </c>
      <c r="L291" s="8">
        <f>IF(A291="","",SUMIFS(Pantry!$C$5:$C$304,Pantry!$A$5:$A$304,A291))</f>
        <v>0</v>
      </c>
      <c r="M291" s="8">
        <f>IF(OR(A291="",C291=""),"",MAX(0,C291-L291))</f>
        <v>0</v>
      </c>
      <c r="N291" s="27"/>
      <c r="O291" s="27"/>
      <c r="P291" s="30"/>
      <c r="Q291" s="28"/>
      <c r="R291" s="8">
        <f>IF(OR(Q291="",H291=""),"",Q291-H291)</f>
        <v>0</v>
      </c>
      <c r="S291" s="8">
        <f>IF(M291="","",COUNTIFS($M$5:$M$304,"&gt;"&amp;M291)+1)</f>
        <v>0</v>
      </c>
      <c r="T291" s="8">
        <f>IF(H291="","",H291+ROW()/1000000)</f>
        <v>0</v>
      </c>
      <c r="U291" s="8">
        <f>IF(OR(N291&lt;&gt;"Yes",T291=""),"",COUNTIFS($N$5:$N$304,"Yes",$T$5:$T$304,"&lt;"&amp;T291)+1)</f>
        <v>0</v>
      </c>
      <c r="V291" s="8">
        <f>IF(A291="","",IF(O291="Yes","Bought",IF(M291&lt;=0,"Have it",IF(N291&lt;&gt;"Yes","Skip",IF(S291&lt;=10,"Must have","Nice to have")))))</f>
        <v>0</v>
      </c>
      <c r="W291" s="30"/>
      <c r="X291" s="8">
        <f>IF(A291="","",IFERROR(INDEX('Recipe Ingredients'!$A$5:$A$1204,MATCH(A291,'Recipe Ingredients'!$B$5:$B$1204,0)),""))</f>
        <v>0</v>
      </c>
      <c r="Y291" s="8">
        <f>IF(A291="","",IFERROR(INDEX(Ingredients!$O$5:$O$304,MATCH(A291,Ingredients!$A$5:$A$304,0)),""))</f>
        <v>0</v>
      </c>
      <c r="Z291" s="8">
        <f>IF(A291="","",IF(O291="Yes","Bought",IF(N291="Yes","To buy","Not needed")))</f>
        <v>0</v>
      </c>
      <c r="AA291" s="25"/>
    </row>
    <row r="292" spans="1:27">
      <c r="A292" s="7"/>
      <c r="B292" s="8">
        <f>IF(A292="","",IFERROR(INDEX(Ingredients!$B$5:$B$304,MATCH(A292,Ingredients!$A$5:$A$304,0)),""))</f>
        <v>0</v>
      </c>
      <c r="C292" s="26"/>
      <c r="D292" s="27"/>
      <c r="E292" s="27"/>
      <c r="F292" s="7"/>
      <c r="G292" s="8">
        <f>IF(A292="","",IFERROR(INDEX(Ingredients!$D$5:$D$304,MATCH(A292,Ingredients!$A$5:$A$304,0)),""))</f>
        <v>0</v>
      </c>
      <c r="H292" s="8">
        <f>IF(OR(A292="",C292="",G292=""),"",C292*G292)</f>
        <v>0</v>
      </c>
      <c r="I292" s="26"/>
      <c r="J292" s="8">
        <f>IF(OR(C292="",I292="",I292=0),"",CEILING(C292/I292,1))</f>
        <v>0</v>
      </c>
      <c r="K292" s="8">
        <f>IF(OR(J292="",I292="",G292=""),"",J292*I292*G292)</f>
        <v>0</v>
      </c>
      <c r="L292" s="8">
        <f>IF(A292="","",SUMIFS(Pantry!$C$5:$C$304,Pantry!$A$5:$A$304,A292))</f>
        <v>0</v>
      </c>
      <c r="M292" s="8">
        <f>IF(OR(A292="",C292=""),"",MAX(0,C292-L292))</f>
        <v>0</v>
      </c>
      <c r="N292" s="27"/>
      <c r="O292" s="27"/>
      <c r="P292" s="30"/>
      <c r="Q292" s="28"/>
      <c r="R292" s="8">
        <f>IF(OR(Q292="",H292=""),"",Q292-H292)</f>
        <v>0</v>
      </c>
      <c r="S292" s="8">
        <f>IF(M292="","",COUNTIFS($M$5:$M$304,"&gt;"&amp;M292)+1)</f>
        <v>0</v>
      </c>
      <c r="T292" s="8">
        <f>IF(H292="","",H292+ROW()/1000000)</f>
        <v>0</v>
      </c>
      <c r="U292" s="8">
        <f>IF(OR(N292&lt;&gt;"Yes",T292=""),"",COUNTIFS($N$5:$N$304,"Yes",$T$5:$T$304,"&lt;"&amp;T292)+1)</f>
        <v>0</v>
      </c>
      <c r="V292" s="8">
        <f>IF(A292="","",IF(O292="Yes","Bought",IF(M292&lt;=0,"Have it",IF(N292&lt;&gt;"Yes","Skip",IF(S292&lt;=10,"Must have","Nice to have")))))</f>
        <v>0</v>
      </c>
      <c r="W292" s="30"/>
      <c r="X292" s="8">
        <f>IF(A292="","",IFERROR(INDEX('Recipe Ingredients'!$A$5:$A$1204,MATCH(A292,'Recipe Ingredients'!$B$5:$B$1204,0)),""))</f>
        <v>0</v>
      </c>
      <c r="Y292" s="8">
        <f>IF(A292="","",IFERROR(INDEX(Ingredients!$O$5:$O$304,MATCH(A292,Ingredients!$A$5:$A$304,0)),""))</f>
        <v>0</v>
      </c>
      <c r="Z292" s="8">
        <f>IF(A292="","",IF(O292="Yes","Bought",IF(N292="Yes","To buy","Not needed")))</f>
        <v>0</v>
      </c>
      <c r="AA292" s="25"/>
    </row>
    <row r="293" spans="1:27">
      <c r="A293" s="7"/>
      <c r="B293" s="8">
        <f>IF(A293="","",IFERROR(INDEX(Ingredients!$B$5:$B$304,MATCH(A293,Ingredients!$A$5:$A$304,0)),""))</f>
        <v>0</v>
      </c>
      <c r="C293" s="26"/>
      <c r="D293" s="27"/>
      <c r="E293" s="27"/>
      <c r="F293" s="7"/>
      <c r="G293" s="8">
        <f>IF(A293="","",IFERROR(INDEX(Ingredients!$D$5:$D$304,MATCH(A293,Ingredients!$A$5:$A$304,0)),""))</f>
        <v>0</v>
      </c>
      <c r="H293" s="8">
        <f>IF(OR(A293="",C293="",G293=""),"",C293*G293)</f>
        <v>0</v>
      </c>
      <c r="I293" s="26"/>
      <c r="J293" s="8">
        <f>IF(OR(C293="",I293="",I293=0),"",CEILING(C293/I293,1))</f>
        <v>0</v>
      </c>
      <c r="K293" s="8">
        <f>IF(OR(J293="",I293="",G293=""),"",J293*I293*G293)</f>
        <v>0</v>
      </c>
      <c r="L293" s="8">
        <f>IF(A293="","",SUMIFS(Pantry!$C$5:$C$304,Pantry!$A$5:$A$304,A293))</f>
        <v>0</v>
      </c>
      <c r="M293" s="8">
        <f>IF(OR(A293="",C293=""),"",MAX(0,C293-L293))</f>
        <v>0</v>
      </c>
      <c r="N293" s="27"/>
      <c r="O293" s="27"/>
      <c r="P293" s="30"/>
      <c r="Q293" s="28"/>
      <c r="R293" s="8">
        <f>IF(OR(Q293="",H293=""),"",Q293-H293)</f>
        <v>0</v>
      </c>
      <c r="S293" s="8">
        <f>IF(M293="","",COUNTIFS($M$5:$M$304,"&gt;"&amp;M293)+1)</f>
        <v>0</v>
      </c>
      <c r="T293" s="8">
        <f>IF(H293="","",H293+ROW()/1000000)</f>
        <v>0</v>
      </c>
      <c r="U293" s="8">
        <f>IF(OR(N293&lt;&gt;"Yes",T293=""),"",COUNTIFS($N$5:$N$304,"Yes",$T$5:$T$304,"&lt;"&amp;T293)+1)</f>
        <v>0</v>
      </c>
      <c r="V293" s="8">
        <f>IF(A293="","",IF(O293="Yes","Bought",IF(M293&lt;=0,"Have it",IF(N293&lt;&gt;"Yes","Skip",IF(S293&lt;=10,"Must have","Nice to have")))))</f>
        <v>0</v>
      </c>
      <c r="W293" s="30"/>
      <c r="X293" s="8">
        <f>IF(A293="","",IFERROR(INDEX('Recipe Ingredients'!$A$5:$A$1204,MATCH(A293,'Recipe Ingredients'!$B$5:$B$1204,0)),""))</f>
        <v>0</v>
      </c>
      <c r="Y293" s="8">
        <f>IF(A293="","",IFERROR(INDEX(Ingredients!$O$5:$O$304,MATCH(A293,Ingredients!$A$5:$A$304,0)),""))</f>
        <v>0</v>
      </c>
      <c r="Z293" s="8">
        <f>IF(A293="","",IF(O293="Yes","Bought",IF(N293="Yes","To buy","Not needed")))</f>
        <v>0</v>
      </c>
      <c r="AA293" s="25"/>
    </row>
    <row r="294" spans="1:27">
      <c r="A294" s="7"/>
      <c r="B294" s="8">
        <f>IF(A294="","",IFERROR(INDEX(Ingredients!$B$5:$B$304,MATCH(A294,Ingredients!$A$5:$A$304,0)),""))</f>
        <v>0</v>
      </c>
      <c r="C294" s="26"/>
      <c r="D294" s="27"/>
      <c r="E294" s="27"/>
      <c r="F294" s="7"/>
      <c r="G294" s="8">
        <f>IF(A294="","",IFERROR(INDEX(Ingredients!$D$5:$D$304,MATCH(A294,Ingredients!$A$5:$A$304,0)),""))</f>
        <v>0</v>
      </c>
      <c r="H294" s="8">
        <f>IF(OR(A294="",C294="",G294=""),"",C294*G294)</f>
        <v>0</v>
      </c>
      <c r="I294" s="26"/>
      <c r="J294" s="8">
        <f>IF(OR(C294="",I294="",I294=0),"",CEILING(C294/I294,1))</f>
        <v>0</v>
      </c>
      <c r="K294" s="8">
        <f>IF(OR(J294="",I294="",G294=""),"",J294*I294*G294)</f>
        <v>0</v>
      </c>
      <c r="L294" s="8">
        <f>IF(A294="","",SUMIFS(Pantry!$C$5:$C$304,Pantry!$A$5:$A$304,A294))</f>
        <v>0</v>
      </c>
      <c r="M294" s="8">
        <f>IF(OR(A294="",C294=""),"",MAX(0,C294-L294))</f>
        <v>0</v>
      </c>
      <c r="N294" s="27"/>
      <c r="O294" s="27"/>
      <c r="P294" s="30"/>
      <c r="Q294" s="28"/>
      <c r="R294" s="8">
        <f>IF(OR(Q294="",H294=""),"",Q294-H294)</f>
        <v>0</v>
      </c>
      <c r="S294" s="8">
        <f>IF(M294="","",COUNTIFS($M$5:$M$304,"&gt;"&amp;M294)+1)</f>
        <v>0</v>
      </c>
      <c r="T294" s="8">
        <f>IF(H294="","",H294+ROW()/1000000)</f>
        <v>0</v>
      </c>
      <c r="U294" s="8">
        <f>IF(OR(N294&lt;&gt;"Yes",T294=""),"",COUNTIFS($N$5:$N$304,"Yes",$T$5:$T$304,"&lt;"&amp;T294)+1)</f>
        <v>0</v>
      </c>
      <c r="V294" s="8">
        <f>IF(A294="","",IF(O294="Yes","Bought",IF(M294&lt;=0,"Have it",IF(N294&lt;&gt;"Yes","Skip",IF(S294&lt;=10,"Must have","Nice to have")))))</f>
        <v>0</v>
      </c>
      <c r="W294" s="30"/>
      <c r="X294" s="8">
        <f>IF(A294="","",IFERROR(INDEX('Recipe Ingredients'!$A$5:$A$1204,MATCH(A294,'Recipe Ingredients'!$B$5:$B$1204,0)),""))</f>
        <v>0</v>
      </c>
      <c r="Y294" s="8">
        <f>IF(A294="","",IFERROR(INDEX(Ingredients!$O$5:$O$304,MATCH(A294,Ingredients!$A$5:$A$304,0)),""))</f>
        <v>0</v>
      </c>
      <c r="Z294" s="8">
        <f>IF(A294="","",IF(O294="Yes","Bought",IF(N294="Yes","To buy","Not needed")))</f>
        <v>0</v>
      </c>
      <c r="AA294" s="25"/>
    </row>
    <row r="295" spans="1:27">
      <c r="A295" s="7"/>
      <c r="B295" s="8">
        <f>IF(A295="","",IFERROR(INDEX(Ingredients!$B$5:$B$304,MATCH(A295,Ingredients!$A$5:$A$304,0)),""))</f>
        <v>0</v>
      </c>
      <c r="C295" s="26"/>
      <c r="D295" s="27"/>
      <c r="E295" s="27"/>
      <c r="F295" s="7"/>
      <c r="G295" s="8">
        <f>IF(A295="","",IFERROR(INDEX(Ingredients!$D$5:$D$304,MATCH(A295,Ingredients!$A$5:$A$304,0)),""))</f>
        <v>0</v>
      </c>
      <c r="H295" s="8">
        <f>IF(OR(A295="",C295="",G295=""),"",C295*G295)</f>
        <v>0</v>
      </c>
      <c r="I295" s="26"/>
      <c r="J295" s="8">
        <f>IF(OR(C295="",I295="",I295=0),"",CEILING(C295/I295,1))</f>
        <v>0</v>
      </c>
      <c r="K295" s="8">
        <f>IF(OR(J295="",I295="",G295=""),"",J295*I295*G295)</f>
        <v>0</v>
      </c>
      <c r="L295" s="8">
        <f>IF(A295="","",SUMIFS(Pantry!$C$5:$C$304,Pantry!$A$5:$A$304,A295))</f>
        <v>0</v>
      </c>
      <c r="M295" s="8">
        <f>IF(OR(A295="",C295=""),"",MAX(0,C295-L295))</f>
        <v>0</v>
      </c>
      <c r="N295" s="27"/>
      <c r="O295" s="27"/>
      <c r="P295" s="30"/>
      <c r="Q295" s="28"/>
      <c r="R295" s="8">
        <f>IF(OR(Q295="",H295=""),"",Q295-H295)</f>
        <v>0</v>
      </c>
      <c r="S295" s="8">
        <f>IF(M295="","",COUNTIFS($M$5:$M$304,"&gt;"&amp;M295)+1)</f>
        <v>0</v>
      </c>
      <c r="T295" s="8">
        <f>IF(H295="","",H295+ROW()/1000000)</f>
        <v>0</v>
      </c>
      <c r="U295" s="8">
        <f>IF(OR(N295&lt;&gt;"Yes",T295=""),"",COUNTIFS($N$5:$N$304,"Yes",$T$5:$T$304,"&lt;"&amp;T295)+1)</f>
        <v>0</v>
      </c>
      <c r="V295" s="8">
        <f>IF(A295="","",IF(O295="Yes","Bought",IF(M295&lt;=0,"Have it",IF(N295&lt;&gt;"Yes","Skip",IF(S295&lt;=10,"Must have","Nice to have")))))</f>
        <v>0</v>
      </c>
      <c r="W295" s="30"/>
      <c r="X295" s="8">
        <f>IF(A295="","",IFERROR(INDEX('Recipe Ingredients'!$A$5:$A$1204,MATCH(A295,'Recipe Ingredients'!$B$5:$B$1204,0)),""))</f>
        <v>0</v>
      </c>
      <c r="Y295" s="8">
        <f>IF(A295="","",IFERROR(INDEX(Ingredients!$O$5:$O$304,MATCH(A295,Ingredients!$A$5:$A$304,0)),""))</f>
        <v>0</v>
      </c>
      <c r="Z295" s="8">
        <f>IF(A295="","",IF(O295="Yes","Bought",IF(N295="Yes","To buy","Not needed")))</f>
        <v>0</v>
      </c>
      <c r="AA295" s="25"/>
    </row>
    <row r="296" spans="1:27">
      <c r="A296" s="7"/>
      <c r="B296" s="8">
        <f>IF(A296="","",IFERROR(INDEX(Ingredients!$B$5:$B$304,MATCH(A296,Ingredients!$A$5:$A$304,0)),""))</f>
        <v>0</v>
      </c>
      <c r="C296" s="26"/>
      <c r="D296" s="27"/>
      <c r="E296" s="27"/>
      <c r="F296" s="7"/>
      <c r="G296" s="8">
        <f>IF(A296="","",IFERROR(INDEX(Ingredients!$D$5:$D$304,MATCH(A296,Ingredients!$A$5:$A$304,0)),""))</f>
        <v>0</v>
      </c>
      <c r="H296" s="8">
        <f>IF(OR(A296="",C296="",G296=""),"",C296*G296)</f>
        <v>0</v>
      </c>
      <c r="I296" s="26"/>
      <c r="J296" s="8">
        <f>IF(OR(C296="",I296="",I296=0),"",CEILING(C296/I296,1))</f>
        <v>0</v>
      </c>
      <c r="K296" s="8">
        <f>IF(OR(J296="",I296="",G296=""),"",J296*I296*G296)</f>
        <v>0</v>
      </c>
      <c r="L296" s="8">
        <f>IF(A296="","",SUMIFS(Pantry!$C$5:$C$304,Pantry!$A$5:$A$304,A296))</f>
        <v>0</v>
      </c>
      <c r="M296" s="8">
        <f>IF(OR(A296="",C296=""),"",MAX(0,C296-L296))</f>
        <v>0</v>
      </c>
      <c r="N296" s="27"/>
      <c r="O296" s="27"/>
      <c r="P296" s="30"/>
      <c r="Q296" s="28"/>
      <c r="R296" s="8">
        <f>IF(OR(Q296="",H296=""),"",Q296-H296)</f>
        <v>0</v>
      </c>
      <c r="S296" s="8">
        <f>IF(M296="","",COUNTIFS($M$5:$M$304,"&gt;"&amp;M296)+1)</f>
        <v>0</v>
      </c>
      <c r="T296" s="8">
        <f>IF(H296="","",H296+ROW()/1000000)</f>
        <v>0</v>
      </c>
      <c r="U296" s="8">
        <f>IF(OR(N296&lt;&gt;"Yes",T296=""),"",COUNTIFS($N$5:$N$304,"Yes",$T$5:$T$304,"&lt;"&amp;T296)+1)</f>
        <v>0</v>
      </c>
      <c r="V296" s="8">
        <f>IF(A296="","",IF(O296="Yes","Bought",IF(M296&lt;=0,"Have it",IF(N296&lt;&gt;"Yes","Skip",IF(S296&lt;=10,"Must have","Nice to have")))))</f>
        <v>0</v>
      </c>
      <c r="W296" s="30"/>
      <c r="X296" s="8">
        <f>IF(A296="","",IFERROR(INDEX('Recipe Ingredients'!$A$5:$A$1204,MATCH(A296,'Recipe Ingredients'!$B$5:$B$1204,0)),""))</f>
        <v>0</v>
      </c>
      <c r="Y296" s="8">
        <f>IF(A296="","",IFERROR(INDEX(Ingredients!$O$5:$O$304,MATCH(A296,Ingredients!$A$5:$A$304,0)),""))</f>
        <v>0</v>
      </c>
      <c r="Z296" s="8">
        <f>IF(A296="","",IF(O296="Yes","Bought",IF(N296="Yes","To buy","Not needed")))</f>
        <v>0</v>
      </c>
      <c r="AA296" s="25"/>
    </row>
    <row r="297" spans="1:27">
      <c r="A297" s="7"/>
      <c r="B297" s="8">
        <f>IF(A297="","",IFERROR(INDEX(Ingredients!$B$5:$B$304,MATCH(A297,Ingredients!$A$5:$A$304,0)),""))</f>
        <v>0</v>
      </c>
      <c r="C297" s="26"/>
      <c r="D297" s="27"/>
      <c r="E297" s="27"/>
      <c r="F297" s="7"/>
      <c r="G297" s="8">
        <f>IF(A297="","",IFERROR(INDEX(Ingredients!$D$5:$D$304,MATCH(A297,Ingredients!$A$5:$A$304,0)),""))</f>
        <v>0</v>
      </c>
      <c r="H297" s="8">
        <f>IF(OR(A297="",C297="",G297=""),"",C297*G297)</f>
        <v>0</v>
      </c>
      <c r="I297" s="26"/>
      <c r="J297" s="8">
        <f>IF(OR(C297="",I297="",I297=0),"",CEILING(C297/I297,1))</f>
        <v>0</v>
      </c>
      <c r="K297" s="8">
        <f>IF(OR(J297="",I297="",G297=""),"",J297*I297*G297)</f>
        <v>0</v>
      </c>
      <c r="L297" s="8">
        <f>IF(A297="","",SUMIFS(Pantry!$C$5:$C$304,Pantry!$A$5:$A$304,A297))</f>
        <v>0</v>
      </c>
      <c r="M297" s="8">
        <f>IF(OR(A297="",C297=""),"",MAX(0,C297-L297))</f>
        <v>0</v>
      </c>
      <c r="N297" s="27"/>
      <c r="O297" s="27"/>
      <c r="P297" s="30"/>
      <c r="Q297" s="28"/>
      <c r="R297" s="8">
        <f>IF(OR(Q297="",H297=""),"",Q297-H297)</f>
        <v>0</v>
      </c>
      <c r="S297" s="8">
        <f>IF(M297="","",COUNTIFS($M$5:$M$304,"&gt;"&amp;M297)+1)</f>
        <v>0</v>
      </c>
      <c r="T297" s="8">
        <f>IF(H297="","",H297+ROW()/1000000)</f>
        <v>0</v>
      </c>
      <c r="U297" s="8">
        <f>IF(OR(N297&lt;&gt;"Yes",T297=""),"",COUNTIFS($N$5:$N$304,"Yes",$T$5:$T$304,"&lt;"&amp;T297)+1)</f>
        <v>0</v>
      </c>
      <c r="V297" s="8">
        <f>IF(A297="","",IF(O297="Yes","Bought",IF(M297&lt;=0,"Have it",IF(N297&lt;&gt;"Yes","Skip",IF(S297&lt;=10,"Must have","Nice to have")))))</f>
        <v>0</v>
      </c>
      <c r="W297" s="30"/>
      <c r="X297" s="8">
        <f>IF(A297="","",IFERROR(INDEX('Recipe Ingredients'!$A$5:$A$1204,MATCH(A297,'Recipe Ingredients'!$B$5:$B$1204,0)),""))</f>
        <v>0</v>
      </c>
      <c r="Y297" s="8">
        <f>IF(A297="","",IFERROR(INDEX(Ingredients!$O$5:$O$304,MATCH(A297,Ingredients!$A$5:$A$304,0)),""))</f>
        <v>0</v>
      </c>
      <c r="Z297" s="8">
        <f>IF(A297="","",IF(O297="Yes","Bought",IF(N297="Yes","To buy","Not needed")))</f>
        <v>0</v>
      </c>
      <c r="AA297" s="25"/>
    </row>
    <row r="298" spans="1:27">
      <c r="A298" s="7"/>
      <c r="B298" s="8">
        <f>IF(A298="","",IFERROR(INDEX(Ingredients!$B$5:$B$304,MATCH(A298,Ingredients!$A$5:$A$304,0)),""))</f>
        <v>0</v>
      </c>
      <c r="C298" s="26"/>
      <c r="D298" s="27"/>
      <c r="E298" s="27"/>
      <c r="F298" s="7"/>
      <c r="G298" s="8">
        <f>IF(A298="","",IFERROR(INDEX(Ingredients!$D$5:$D$304,MATCH(A298,Ingredients!$A$5:$A$304,0)),""))</f>
        <v>0</v>
      </c>
      <c r="H298" s="8">
        <f>IF(OR(A298="",C298="",G298=""),"",C298*G298)</f>
        <v>0</v>
      </c>
      <c r="I298" s="26"/>
      <c r="J298" s="8">
        <f>IF(OR(C298="",I298="",I298=0),"",CEILING(C298/I298,1))</f>
        <v>0</v>
      </c>
      <c r="K298" s="8">
        <f>IF(OR(J298="",I298="",G298=""),"",J298*I298*G298)</f>
        <v>0</v>
      </c>
      <c r="L298" s="8">
        <f>IF(A298="","",SUMIFS(Pantry!$C$5:$C$304,Pantry!$A$5:$A$304,A298))</f>
        <v>0</v>
      </c>
      <c r="M298" s="8">
        <f>IF(OR(A298="",C298=""),"",MAX(0,C298-L298))</f>
        <v>0</v>
      </c>
      <c r="N298" s="27"/>
      <c r="O298" s="27"/>
      <c r="P298" s="30"/>
      <c r="Q298" s="28"/>
      <c r="R298" s="8">
        <f>IF(OR(Q298="",H298=""),"",Q298-H298)</f>
        <v>0</v>
      </c>
      <c r="S298" s="8">
        <f>IF(M298="","",COUNTIFS($M$5:$M$304,"&gt;"&amp;M298)+1)</f>
        <v>0</v>
      </c>
      <c r="T298" s="8">
        <f>IF(H298="","",H298+ROW()/1000000)</f>
        <v>0</v>
      </c>
      <c r="U298" s="8">
        <f>IF(OR(N298&lt;&gt;"Yes",T298=""),"",COUNTIFS($N$5:$N$304,"Yes",$T$5:$T$304,"&lt;"&amp;T298)+1)</f>
        <v>0</v>
      </c>
      <c r="V298" s="8">
        <f>IF(A298="","",IF(O298="Yes","Bought",IF(M298&lt;=0,"Have it",IF(N298&lt;&gt;"Yes","Skip",IF(S298&lt;=10,"Must have","Nice to have")))))</f>
        <v>0</v>
      </c>
      <c r="W298" s="30"/>
      <c r="X298" s="8">
        <f>IF(A298="","",IFERROR(INDEX('Recipe Ingredients'!$A$5:$A$1204,MATCH(A298,'Recipe Ingredients'!$B$5:$B$1204,0)),""))</f>
        <v>0</v>
      </c>
      <c r="Y298" s="8">
        <f>IF(A298="","",IFERROR(INDEX(Ingredients!$O$5:$O$304,MATCH(A298,Ingredients!$A$5:$A$304,0)),""))</f>
        <v>0</v>
      </c>
      <c r="Z298" s="8">
        <f>IF(A298="","",IF(O298="Yes","Bought",IF(N298="Yes","To buy","Not needed")))</f>
        <v>0</v>
      </c>
      <c r="AA298" s="25"/>
    </row>
    <row r="299" spans="1:27">
      <c r="A299" s="7"/>
      <c r="B299" s="8">
        <f>IF(A299="","",IFERROR(INDEX(Ingredients!$B$5:$B$304,MATCH(A299,Ingredients!$A$5:$A$304,0)),""))</f>
        <v>0</v>
      </c>
      <c r="C299" s="26"/>
      <c r="D299" s="27"/>
      <c r="E299" s="27"/>
      <c r="F299" s="7"/>
      <c r="G299" s="8">
        <f>IF(A299="","",IFERROR(INDEX(Ingredients!$D$5:$D$304,MATCH(A299,Ingredients!$A$5:$A$304,0)),""))</f>
        <v>0</v>
      </c>
      <c r="H299" s="8">
        <f>IF(OR(A299="",C299="",G299=""),"",C299*G299)</f>
        <v>0</v>
      </c>
      <c r="I299" s="26"/>
      <c r="J299" s="8">
        <f>IF(OR(C299="",I299="",I299=0),"",CEILING(C299/I299,1))</f>
        <v>0</v>
      </c>
      <c r="K299" s="8">
        <f>IF(OR(J299="",I299="",G299=""),"",J299*I299*G299)</f>
        <v>0</v>
      </c>
      <c r="L299" s="8">
        <f>IF(A299="","",SUMIFS(Pantry!$C$5:$C$304,Pantry!$A$5:$A$304,A299))</f>
        <v>0</v>
      </c>
      <c r="M299" s="8">
        <f>IF(OR(A299="",C299=""),"",MAX(0,C299-L299))</f>
        <v>0</v>
      </c>
      <c r="N299" s="27"/>
      <c r="O299" s="27"/>
      <c r="P299" s="30"/>
      <c r="Q299" s="28"/>
      <c r="R299" s="8">
        <f>IF(OR(Q299="",H299=""),"",Q299-H299)</f>
        <v>0</v>
      </c>
      <c r="S299" s="8">
        <f>IF(M299="","",COUNTIFS($M$5:$M$304,"&gt;"&amp;M299)+1)</f>
        <v>0</v>
      </c>
      <c r="T299" s="8">
        <f>IF(H299="","",H299+ROW()/1000000)</f>
        <v>0</v>
      </c>
      <c r="U299" s="8">
        <f>IF(OR(N299&lt;&gt;"Yes",T299=""),"",COUNTIFS($N$5:$N$304,"Yes",$T$5:$T$304,"&lt;"&amp;T299)+1)</f>
        <v>0</v>
      </c>
      <c r="V299" s="8">
        <f>IF(A299="","",IF(O299="Yes","Bought",IF(M299&lt;=0,"Have it",IF(N299&lt;&gt;"Yes","Skip",IF(S299&lt;=10,"Must have","Nice to have")))))</f>
        <v>0</v>
      </c>
      <c r="W299" s="30"/>
      <c r="X299" s="8">
        <f>IF(A299="","",IFERROR(INDEX('Recipe Ingredients'!$A$5:$A$1204,MATCH(A299,'Recipe Ingredients'!$B$5:$B$1204,0)),""))</f>
        <v>0</v>
      </c>
      <c r="Y299" s="8">
        <f>IF(A299="","",IFERROR(INDEX(Ingredients!$O$5:$O$304,MATCH(A299,Ingredients!$A$5:$A$304,0)),""))</f>
        <v>0</v>
      </c>
      <c r="Z299" s="8">
        <f>IF(A299="","",IF(O299="Yes","Bought",IF(N299="Yes","To buy","Not needed")))</f>
        <v>0</v>
      </c>
      <c r="AA299" s="25"/>
    </row>
    <row r="300" spans="1:27">
      <c r="A300" s="7"/>
      <c r="B300" s="8">
        <f>IF(A300="","",IFERROR(INDEX(Ingredients!$B$5:$B$304,MATCH(A300,Ingredients!$A$5:$A$304,0)),""))</f>
        <v>0</v>
      </c>
      <c r="C300" s="26"/>
      <c r="D300" s="27"/>
      <c r="E300" s="27"/>
      <c r="F300" s="7"/>
      <c r="G300" s="8">
        <f>IF(A300="","",IFERROR(INDEX(Ingredients!$D$5:$D$304,MATCH(A300,Ingredients!$A$5:$A$304,0)),""))</f>
        <v>0</v>
      </c>
      <c r="H300" s="8">
        <f>IF(OR(A300="",C300="",G300=""),"",C300*G300)</f>
        <v>0</v>
      </c>
      <c r="I300" s="26"/>
      <c r="J300" s="8">
        <f>IF(OR(C300="",I300="",I300=0),"",CEILING(C300/I300,1))</f>
        <v>0</v>
      </c>
      <c r="K300" s="8">
        <f>IF(OR(J300="",I300="",G300=""),"",J300*I300*G300)</f>
        <v>0</v>
      </c>
      <c r="L300" s="8">
        <f>IF(A300="","",SUMIFS(Pantry!$C$5:$C$304,Pantry!$A$5:$A$304,A300))</f>
        <v>0</v>
      </c>
      <c r="M300" s="8">
        <f>IF(OR(A300="",C300=""),"",MAX(0,C300-L300))</f>
        <v>0</v>
      </c>
      <c r="N300" s="27"/>
      <c r="O300" s="27"/>
      <c r="P300" s="30"/>
      <c r="Q300" s="28"/>
      <c r="R300" s="8">
        <f>IF(OR(Q300="",H300=""),"",Q300-H300)</f>
        <v>0</v>
      </c>
      <c r="S300" s="8">
        <f>IF(M300="","",COUNTIFS($M$5:$M$304,"&gt;"&amp;M300)+1)</f>
        <v>0</v>
      </c>
      <c r="T300" s="8">
        <f>IF(H300="","",H300+ROW()/1000000)</f>
        <v>0</v>
      </c>
      <c r="U300" s="8">
        <f>IF(OR(N300&lt;&gt;"Yes",T300=""),"",COUNTIFS($N$5:$N$304,"Yes",$T$5:$T$304,"&lt;"&amp;T300)+1)</f>
        <v>0</v>
      </c>
      <c r="V300" s="8">
        <f>IF(A300="","",IF(O300="Yes","Bought",IF(M300&lt;=0,"Have it",IF(N300&lt;&gt;"Yes","Skip",IF(S300&lt;=10,"Must have","Nice to have")))))</f>
        <v>0</v>
      </c>
      <c r="W300" s="30"/>
      <c r="X300" s="8">
        <f>IF(A300="","",IFERROR(INDEX('Recipe Ingredients'!$A$5:$A$1204,MATCH(A300,'Recipe Ingredients'!$B$5:$B$1204,0)),""))</f>
        <v>0</v>
      </c>
      <c r="Y300" s="8">
        <f>IF(A300="","",IFERROR(INDEX(Ingredients!$O$5:$O$304,MATCH(A300,Ingredients!$A$5:$A$304,0)),""))</f>
        <v>0</v>
      </c>
      <c r="Z300" s="8">
        <f>IF(A300="","",IF(O300="Yes","Bought",IF(N300="Yes","To buy","Not needed")))</f>
        <v>0</v>
      </c>
      <c r="AA300" s="25"/>
    </row>
    <row r="301" spans="1:27">
      <c r="A301" s="7"/>
      <c r="B301" s="8">
        <f>IF(A301="","",IFERROR(INDEX(Ingredients!$B$5:$B$304,MATCH(A301,Ingredients!$A$5:$A$304,0)),""))</f>
        <v>0</v>
      </c>
      <c r="C301" s="26"/>
      <c r="D301" s="27"/>
      <c r="E301" s="27"/>
      <c r="F301" s="7"/>
      <c r="G301" s="8">
        <f>IF(A301="","",IFERROR(INDEX(Ingredients!$D$5:$D$304,MATCH(A301,Ingredients!$A$5:$A$304,0)),""))</f>
        <v>0</v>
      </c>
      <c r="H301" s="8">
        <f>IF(OR(A301="",C301="",G301=""),"",C301*G301)</f>
        <v>0</v>
      </c>
      <c r="I301" s="26"/>
      <c r="J301" s="8">
        <f>IF(OR(C301="",I301="",I301=0),"",CEILING(C301/I301,1))</f>
        <v>0</v>
      </c>
      <c r="K301" s="8">
        <f>IF(OR(J301="",I301="",G301=""),"",J301*I301*G301)</f>
        <v>0</v>
      </c>
      <c r="L301" s="8">
        <f>IF(A301="","",SUMIFS(Pantry!$C$5:$C$304,Pantry!$A$5:$A$304,A301))</f>
        <v>0</v>
      </c>
      <c r="M301" s="8">
        <f>IF(OR(A301="",C301=""),"",MAX(0,C301-L301))</f>
        <v>0</v>
      </c>
      <c r="N301" s="27"/>
      <c r="O301" s="27"/>
      <c r="P301" s="30"/>
      <c r="Q301" s="28"/>
      <c r="R301" s="8">
        <f>IF(OR(Q301="",H301=""),"",Q301-H301)</f>
        <v>0</v>
      </c>
      <c r="S301" s="8">
        <f>IF(M301="","",COUNTIFS($M$5:$M$304,"&gt;"&amp;M301)+1)</f>
        <v>0</v>
      </c>
      <c r="T301" s="8">
        <f>IF(H301="","",H301+ROW()/1000000)</f>
        <v>0</v>
      </c>
      <c r="U301" s="8">
        <f>IF(OR(N301&lt;&gt;"Yes",T301=""),"",COUNTIFS($N$5:$N$304,"Yes",$T$5:$T$304,"&lt;"&amp;T301)+1)</f>
        <v>0</v>
      </c>
      <c r="V301" s="8">
        <f>IF(A301="","",IF(O301="Yes","Bought",IF(M301&lt;=0,"Have it",IF(N301&lt;&gt;"Yes","Skip",IF(S301&lt;=10,"Must have","Nice to have")))))</f>
        <v>0</v>
      </c>
      <c r="W301" s="30"/>
      <c r="X301" s="8">
        <f>IF(A301="","",IFERROR(INDEX('Recipe Ingredients'!$A$5:$A$1204,MATCH(A301,'Recipe Ingredients'!$B$5:$B$1204,0)),""))</f>
        <v>0</v>
      </c>
      <c r="Y301" s="8">
        <f>IF(A301="","",IFERROR(INDEX(Ingredients!$O$5:$O$304,MATCH(A301,Ingredients!$A$5:$A$304,0)),""))</f>
        <v>0</v>
      </c>
      <c r="Z301" s="8">
        <f>IF(A301="","",IF(O301="Yes","Bought",IF(N301="Yes","To buy","Not needed")))</f>
        <v>0</v>
      </c>
      <c r="AA301" s="25"/>
    </row>
    <row r="302" spans="1:27">
      <c r="A302" s="7"/>
      <c r="B302" s="8">
        <f>IF(A302="","",IFERROR(INDEX(Ingredients!$B$5:$B$304,MATCH(A302,Ingredients!$A$5:$A$304,0)),""))</f>
        <v>0</v>
      </c>
      <c r="C302" s="26"/>
      <c r="D302" s="27"/>
      <c r="E302" s="27"/>
      <c r="F302" s="7"/>
      <c r="G302" s="8">
        <f>IF(A302="","",IFERROR(INDEX(Ingredients!$D$5:$D$304,MATCH(A302,Ingredients!$A$5:$A$304,0)),""))</f>
        <v>0</v>
      </c>
      <c r="H302" s="8">
        <f>IF(OR(A302="",C302="",G302=""),"",C302*G302)</f>
        <v>0</v>
      </c>
      <c r="I302" s="26"/>
      <c r="J302" s="8">
        <f>IF(OR(C302="",I302="",I302=0),"",CEILING(C302/I302,1))</f>
        <v>0</v>
      </c>
      <c r="K302" s="8">
        <f>IF(OR(J302="",I302="",G302=""),"",J302*I302*G302)</f>
        <v>0</v>
      </c>
      <c r="L302" s="8">
        <f>IF(A302="","",SUMIFS(Pantry!$C$5:$C$304,Pantry!$A$5:$A$304,A302))</f>
        <v>0</v>
      </c>
      <c r="M302" s="8">
        <f>IF(OR(A302="",C302=""),"",MAX(0,C302-L302))</f>
        <v>0</v>
      </c>
      <c r="N302" s="27"/>
      <c r="O302" s="27"/>
      <c r="P302" s="30"/>
      <c r="Q302" s="28"/>
      <c r="R302" s="8">
        <f>IF(OR(Q302="",H302=""),"",Q302-H302)</f>
        <v>0</v>
      </c>
      <c r="S302" s="8">
        <f>IF(M302="","",COUNTIFS($M$5:$M$304,"&gt;"&amp;M302)+1)</f>
        <v>0</v>
      </c>
      <c r="T302" s="8">
        <f>IF(H302="","",H302+ROW()/1000000)</f>
        <v>0</v>
      </c>
      <c r="U302" s="8">
        <f>IF(OR(N302&lt;&gt;"Yes",T302=""),"",COUNTIFS($N$5:$N$304,"Yes",$T$5:$T$304,"&lt;"&amp;T302)+1)</f>
        <v>0</v>
      </c>
      <c r="V302" s="8">
        <f>IF(A302="","",IF(O302="Yes","Bought",IF(M302&lt;=0,"Have it",IF(N302&lt;&gt;"Yes","Skip",IF(S302&lt;=10,"Must have","Nice to have")))))</f>
        <v>0</v>
      </c>
      <c r="W302" s="30"/>
      <c r="X302" s="8">
        <f>IF(A302="","",IFERROR(INDEX('Recipe Ingredients'!$A$5:$A$1204,MATCH(A302,'Recipe Ingredients'!$B$5:$B$1204,0)),""))</f>
        <v>0</v>
      </c>
      <c r="Y302" s="8">
        <f>IF(A302="","",IFERROR(INDEX(Ingredients!$O$5:$O$304,MATCH(A302,Ingredients!$A$5:$A$304,0)),""))</f>
        <v>0</v>
      </c>
      <c r="Z302" s="8">
        <f>IF(A302="","",IF(O302="Yes","Bought",IF(N302="Yes","To buy","Not needed")))</f>
        <v>0</v>
      </c>
      <c r="AA302" s="25"/>
    </row>
    <row r="303" spans="1:27">
      <c r="A303" s="7"/>
      <c r="B303" s="8">
        <f>IF(A303="","",IFERROR(INDEX(Ingredients!$B$5:$B$304,MATCH(A303,Ingredients!$A$5:$A$304,0)),""))</f>
        <v>0</v>
      </c>
      <c r="C303" s="26"/>
      <c r="D303" s="27"/>
      <c r="E303" s="27"/>
      <c r="F303" s="7"/>
      <c r="G303" s="8">
        <f>IF(A303="","",IFERROR(INDEX(Ingredients!$D$5:$D$304,MATCH(A303,Ingredients!$A$5:$A$304,0)),""))</f>
        <v>0</v>
      </c>
      <c r="H303" s="8">
        <f>IF(OR(A303="",C303="",G303=""),"",C303*G303)</f>
        <v>0</v>
      </c>
      <c r="I303" s="26"/>
      <c r="J303" s="8">
        <f>IF(OR(C303="",I303="",I303=0),"",CEILING(C303/I303,1))</f>
        <v>0</v>
      </c>
      <c r="K303" s="8">
        <f>IF(OR(J303="",I303="",G303=""),"",J303*I303*G303)</f>
        <v>0</v>
      </c>
      <c r="L303" s="8">
        <f>IF(A303="","",SUMIFS(Pantry!$C$5:$C$304,Pantry!$A$5:$A$304,A303))</f>
        <v>0</v>
      </c>
      <c r="M303" s="8">
        <f>IF(OR(A303="",C303=""),"",MAX(0,C303-L303))</f>
        <v>0</v>
      </c>
      <c r="N303" s="27"/>
      <c r="O303" s="27"/>
      <c r="P303" s="30"/>
      <c r="Q303" s="28"/>
      <c r="R303" s="8">
        <f>IF(OR(Q303="",H303=""),"",Q303-H303)</f>
        <v>0</v>
      </c>
      <c r="S303" s="8">
        <f>IF(M303="","",COUNTIFS($M$5:$M$304,"&gt;"&amp;M303)+1)</f>
        <v>0</v>
      </c>
      <c r="T303" s="8">
        <f>IF(H303="","",H303+ROW()/1000000)</f>
        <v>0</v>
      </c>
      <c r="U303" s="8">
        <f>IF(OR(N303&lt;&gt;"Yes",T303=""),"",COUNTIFS($N$5:$N$304,"Yes",$T$5:$T$304,"&lt;"&amp;T303)+1)</f>
        <v>0</v>
      </c>
      <c r="V303" s="8">
        <f>IF(A303="","",IF(O303="Yes","Bought",IF(M303&lt;=0,"Have it",IF(N303&lt;&gt;"Yes","Skip",IF(S303&lt;=10,"Must have","Nice to have")))))</f>
        <v>0</v>
      </c>
      <c r="W303" s="30"/>
      <c r="X303" s="8">
        <f>IF(A303="","",IFERROR(INDEX('Recipe Ingredients'!$A$5:$A$1204,MATCH(A303,'Recipe Ingredients'!$B$5:$B$1204,0)),""))</f>
        <v>0</v>
      </c>
      <c r="Y303" s="8">
        <f>IF(A303="","",IFERROR(INDEX(Ingredients!$O$5:$O$304,MATCH(A303,Ingredients!$A$5:$A$304,0)),""))</f>
        <v>0</v>
      </c>
      <c r="Z303" s="8">
        <f>IF(A303="","",IF(O303="Yes","Bought",IF(N303="Yes","To buy","Not needed")))</f>
        <v>0</v>
      </c>
      <c r="AA303" s="25"/>
    </row>
    <row r="304" spans="1:27">
      <c r="A304" s="7"/>
      <c r="B304" s="8">
        <f>IF(A304="","",IFERROR(INDEX(Ingredients!$B$5:$B$304,MATCH(A304,Ingredients!$A$5:$A$304,0)),""))</f>
        <v>0</v>
      </c>
      <c r="C304" s="26"/>
      <c r="D304" s="27"/>
      <c r="E304" s="27"/>
      <c r="F304" s="7"/>
      <c r="G304" s="8">
        <f>IF(A304="","",IFERROR(INDEX(Ingredients!$D$5:$D$304,MATCH(A304,Ingredients!$A$5:$A$304,0)),""))</f>
        <v>0</v>
      </c>
      <c r="H304" s="8">
        <f>IF(OR(A304="",C304="",G304=""),"",C304*G304)</f>
        <v>0</v>
      </c>
      <c r="I304" s="26"/>
      <c r="J304" s="8">
        <f>IF(OR(C304="",I304="",I304=0),"",CEILING(C304/I304,1))</f>
        <v>0</v>
      </c>
      <c r="K304" s="8">
        <f>IF(OR(J304="",I304="",G304=""),"",J304*I304*G304)</f>
        <v>0</v>
      </c>
      <c r="L304" s="8">
        <f>IF(A304="","",SUMIFS(Pantry!$C$5:$C$304,Pantry!$A$5:$A$304,A304))</f>
        <v>0</v>
      </c>
      <c r="M304" s="8">
        <f>IF(OR(A304="",C304=""),"",MAX(0,C304-L304))</f>
        <v>0</v>
      </c>
      <c r="N304" s="27"/>
      <c r="O304" s="27"/>
      <c r="P304" s="30"/>
      <c r="Q304" s="28"/>
      <c r="R304" s="8">
        <f>IF(OR(Q304="",H304=""),"",Q304-H304)</f>
        <v>0</v>
      </c>
      <c r="S304" s="8">
        <f>IF(M304="","",COUNTIFS($M$5:$M$304,"&gt;"&amp;M304)+1)</f>
        <v>0</v>
      </c>
      <c r="T304" s="8">
        <f>IF(H304="","",H304+ROW()/1000000)</f>
        <v>0</v>
      </c>
      <c r="U304" s="8">
        <f>IF(OR(N304&lt;&gt;"Yes",T304=""),"",COUNTIFS($N$5:$N$304,"Yes",$T$5:$T$304,"&lt;"&amp;T304)+1)</f>
        <v>0</v>
      </c>
      <c r="V304" s="8">
        <f>IF(A304="","",IF(O304="Yes","Bought",IF(M304&lt;=0,"Have it",IF(N304&lt;&gt;"Yes","Skip",IF(S304&lt;=10,"Must have","Nice to have")))))</f>
        <v>0</v>
      </c>
      <c r="W304" s="30"/>
      <c r="X304" s="8">
        <f>IF(A304="","",IFERROR(INDEX('Recipe Ingredients'!$A$5:$A$1204,MATCH(A304,'Recipe Ingredients'!$B$5:$B$1204,0)),""))</f>
        <v>0</v>
      </c>
      <c r="Y304" s="8">
        <f>IF(A304="","",IFERROR(INDEX(Ingredients!$O$5:$O$304,MATCH(A304,Ingredients!$A$5:$A$304,0)),""))</f>
        <v>0</v>
      </c>
      <c r="Z304" s="8">
        <f>IF(A304="","",IF(O304="Yes","Bought",IF(N304="Yes","To buy","Not needed")))</f>
        <v>0</v>
      </c>
      <c r="AA304" s="25"/>
    </row>
  </sheetData>
  <sheetProtection password="EC7C" sheet="1" objects="1" scenarios="1" selectLockedCells="1" selectUnlockedCells="1"/>
  <autoFilter ref="A4:AA304"/>
  <conditionalFormatting sqref="A101:AA101">
    <cfRule type="expression" dxfId="0" priority="49">
      <formula>MOD(ROW(),2)=0</formula>
    </cfRule>
  </conditionalFormatting>
  <conditionalFormatting sqref="A103:AA103">
    <cfRule type="expression" dxfId="0" priority="50">
      <formula>MOD(ROW(),2)=0</formula>
    </cfRule>
  </conditionalFormatting>
  <conditionalFormatting sqref="A105:AA105">
    <cfRule type="expression" dxfId="0" priority="51">
      <formula>MOD(ROW(),2)=0</formula>
    </cfRule>
  </conditionalFormatting>
  <conditionalFormatting sqref="A107:AA107">
    <cfRule type="expression" dxfId="0" priority="52">
      <formula>MOD(ROW(),2)=0</formula>
    </cfRule>
  </conditionalFormatting>
  <conditionalFormatting sqref="A109:AA109">
    <cfRule type="expression" dxfId="0" priority="53">
      <formula>MOD(ROW(),2)=0</formula>
    </cfRule>
  </conditionalFormatting>
  <conditionalFormatting sqref="A111:AA111">
    <cfRule type="expression" dxfId="0" priority="54">
      <formula>MOD(ROW(),2)=0</formula>
    </cfRule>
  </conditionalFormatting>
  <conditionalFormatting sqref="A113:AA113">
    <cfRule type="expression" dxfId="0" priority="55">
      <formula>MOD(ROW(),2)=0</formula>
    </cfRule>
  </conditionalFormatting>
  <conditionalFormatting sqref="A115:AA115">
    <cfRule type="expression" dxfId="0" priority="56">
      <formula>MOD(ROW(),2)=0</formula>
    </cfRule>
  </conditionalFormatting>
  <conditionalFormatting sqref="A117:AA117">
    <cfRule type="expression" dxfId="0" priority="57">
      <formula>MOD(ROW(),2)=0</formula>
    </cfRule>
  </conditionalFormatting>
  <conditionalFormatting sqref="A119:AA119">
    <cfRule type="expression" dxfId="0" priority="58">
      <formula>MOD(ROW(),2)=0</formula>
    </cfRule>
  </conditionalFormatting>
  <conditionalFormatting sqref="A11:AA11">
    <cfRule type="expression" dxfId="0" priority="4">
      <formula>MOD(ROW(),2)=0</formula>
    </cfRule>
  </conditionalFormatting>
  <conditionalFormatting sqref="A121:AA121">
    <cfRule type="expression" dxfId="0" priority="59">
      <formula>MOD(ROW(),2)=0</formula>
    </cfRule>
  </conditionalFormatting>
  <conditionalFormatting sqref="A123:AA123">
    <cfRule type="expression" dxfId="0" priority="60">
      <formula>MOD(ROW(),2)=0</formula>
    </cfRule>
  </conditionalFormatting>
  <conditionalFormatting sqref="A125:AA125">
    <cfRule type="expression" dxfId="0" priority="61">
      <formula>MOD(ROW(),2)=0</formula>
    </cfRule>
  </conditionalFormatting>
  <conditionalFormatting sqref="A127:AA127">
    <cfRule type="expression" dxfId="0" priority="62">
      <formula>MOD(ROW(),2)=0</formula>
    </cfRule>
  </conditionalFormatting>
  <conditionalFormatting sqref="A129:AA129">
    <cfRule type="expression" dxfId="0" priority="63">
      <formula>MOD(ROW(),2)=0</formula>
    </cfRule>
  </conditionalFormatting>
  <conditionalFormatting sqref="A131:AA131">
    <cfRule type="expression" dxfId="0" priority="64">
      <formula>MOD(ROW(),2)=0</formula>
    </cfRule>
  </conditionalFormatting>
  <conditionalFormatting sqref="A133:AA133">
    <cfRule type="expression" dxfId="0" priority="65">
      <formula>MOD(ROW(),2)=0</formula>
    </cfRule>
  </conditionalFormatting>
  <conditionalFormatting sqref="A135:AA135">
    <cfRule type="expression" dxfId="0" priority="66">
      <formula>MOD(ROW(),2)=0</formula>
    </cfRule>
  </conditionalFormatting>
  <conditionalFormatting sqref="A137:AA137">
    <cfRule type="expression" dxfId="0" priority="67">
      <formula>MOD(ROW(),2)=0</formula>
    </cfRule>
  </conditionalFormatting>
  <conditionalFormatting sqref="A139:AA139">
    <cfRule type="expression" dxfId="0" priority="68">
      <formula>MOD(ROW(),2)=0</formula>
    </cfRule>
  </conditionalFormatting>
  <conditionalFormatting sqref="A13:AA13">
    <cfRule type="expression" dxfId="0" priority="5">
      <formula>MOD(ROW(),2)=0</formula>
    </cfRule>
  </conditionalFormatting>
  <conditionalFormatting sqref="A141:AA141">
    <cfRule type="expression" dxfId="0" priority="69">
      <formula>MOD(ROW(),2)=0</formula>
    </cfRule>
  </conditionalFormatting>
  <conditionalFormatting sqref="A143:AA143">
    <cfRule type="expression" dxfId="0" priority="70">
      <formula>MOD(ROW(),2)=0</formula>
    </cfRule>
  </conditionalFormatting>
  <conditionalFormatting sqref="A145:AA145">
    <cfRule type="expression" dxfId="0" priority="71">
      <formula>MOD(ROW(),2)=0</formula>
    </cfRule>
  </conditionalFormatting>
  <conditionalFormatting sqref="A147:AA147">
    <cfRule type="expression" dxfId="0" priority="72">
      <formula>MOD(ROW(),2)=0</formula>
    </cfRule>
  </conditionalFormatting>
  <conditionalFormatting sqref="A149:AA149">
    <cfRule type="expression" dxfId="0" priority="73">
      <formula>MOD(ROW(),2)=0</formula>
    </cfRule>
  </conditionalFormatting>
  <conditionalFormatting sqref="A151:AA151">
    <cfRule type="expression" dxfId="0" priority="74">
      <formula>MOD(ROW(),2)=0</formula>
    </cfRule>
  </conditionalFormatting>
  <conditionalFormatting sqref="A153:AA153">
    <cfRule type="expression" dxfId="0" priority="75">
      <formula>MOD(ROW(),2)=0</formula>
    </cfRule>
  </conditionalFormatting>
  <conditionalFormatting sqref="A155:AA155">
    <cfRule type="expression" dxfId="0" priority="76">
      <formula>MOD(ROW(),2)=0</formula>
    </cfRule>
  </conditionalFormatting>
  <conditionalFormatting sqref="A157:AA157">
    <cfRule type="expression" dxfId="0" priority="77">
      <formula>MOD(ROW(),2)=0</formula>
    </cfRule>
  </conditionalFormatting>
  <conditionalFormatting sqref="A159:AA159">
    <cfRule type="expression" dxfId="0" priority="78">
      <formula>MOD(ROW(),2)=0</formula>
    </cfRule>
  </conditionalFormatting>
  <conditionalFormatting sqref="A15:AA15">
    <cfRule type="expression" dxfId="0" priority="6">
      <formula>MOD(ROW(),2)=0</formula>
    </cfRule>
  </conditionalFormatting>
  <conditionalFormatting sqref="A161:AA161">
    <cfRule type="expression" dxfId="0" priority="79">
      <formula>MOD(ROW(),2)=0</formula>
    </cfRule>
  </conditionalFormatting>
  <conditionalFormatting sqref="A163:AA163">
    <cfRule type="expression" dxfId="0" priority="80">
      <formula>MOD(ROW(),2)=0</formula>
    </cfRule>
  </conditionalFormatting>
  <conditionalFormatting sqref="A165:AA165">
    <cfRule type="expression" dxfId="0" priority="81">
      <formula>MOD(ROW(),2)=0</formula>
    </cfRule>
  </conditionalFormatting>
  <conditionalFormatting sqref="A167:AA167">
    <cfRule type="expression" dxfId="0" priority="82">
      <formula>MOD(ROW(),2)=0</formula>
    </cfRule>
  </conditionalFormatting>
  <conditionalFormatting sqref="A169:AA169">
    <cfRule type="expression" dxfId="0" priority="83">
      <formula>MOD(ROW(),2)=0</formula>
    </cfRule>
  </conditionalFormatting>
  <conditionalFormatting sqref="A171:AA171">
    <cfRule type="expression" dxfId="0" priority="84">
      <formula>MOD(ROW(),2)=0</formula>
    </cfRule>
  </conditionalFormatting>
  <conditionalFormatting sqref="A173:AA173">
    <cfRule type="expression" dxfId="0" priority="85">
      <formula>MOD(ROW(),2)=0</formula>
    </cfRule>
  </conditionalFormatting>
  <conditionalFormatting sqref="A175:AA175">
    <cfRule type="expression" dxfId="0" priority="86">
      <formula>MOD(ROW(),2)=0</formula>
    </cfRule>
  </conditionalFormatting>
  <conditionalFormatting sqref="A177:AA177">
    <cfRule type="expression" dxfId="0" priority="87">
      <formula>MOD(ROW(),2)=0</formula>
    </cfRule>
  </conditionalFormatting>
  <conditionalFormatting sqref="A179:AA179">
    <cfRule type="expression" dxfId="0" priority="88">
      <formula>MOD(ROW(),2)=0</formula>
    </cfRule>
  </conditionalFormatting>
  <conditionalFormatting sqref="A17:AA17">
    <cfRule type="expression" dxfId="0" priority="7">
      <formula>MOD(ROW(),2)=0</formula>
    </cfRule>
  </conditionalFormatting>
  <conditionalFormatting sqref="A181:AA181">
    <cfRule type="expression" dxfId="0" priority="89">
      <formula>MOD(ROW(),2)=0</formula>
    </cfRule>
  </conditionalFormatting>
  <conditionalFormatting sqref="A183:AA183">
    <cfRule type="expression" dxfId="0" priority="90">
      <formula>MOD(ROW(),2)=0</formula>
    </cfRule>
  </conditionalFormatting>
  <conditionalFormatting sqref="A185:AA185">
    <cfRule type="expression" dxfId="0" priority="91">
      <formula>MOD(ROW(),2)=0</formula>
    </cfRule>
  </conditionalFormatting>
  <conditionalFormatting sqref="A187:AA187">
    <cfRule type="expression" dxfId="0" priority="92">
      <formula>MOD(ROW(),2)=0</formula>
    </cfRule>
  </conditionalFormatting>
  <conditionalFormatting sqref="A189:AA189">
    <cfRule type="expression" dxfId="0" priority="93">
      <formula>MOD(ROW(),2)=0</formula>
    </cfRule>
  </conditionalFormatting>
  <conditionalFormatting sqref="A191:AA191">
    <cfRule type="expression" dxfId="0" priority="94">
      <formula>MOD(ROW(),2)=0</formula>
    </cfRule>
  </conditionalFormatting>
  <conditionalFormatting sqref="A193:AA193">
    <cfRule type="expression" dxfId="0" priority="95">
      <formula>MOD(ROW(),2)=0</formula>
    </cfRule>
  </conditionalFormatting>
  <conditionalFormatting sqref="A195:AA195">
    <cfRule type="expression" dxfId="0" priority="96">
      <formula>MOD(ROW(),2)=0</formula>
    </cfRule>
  </conditionalFormatting>
  <conditionalFormatting sqref="A197:AA197">
    <cfRule type="expression" dxfId="0" priority="97">
      <formula>MOD(ROW(),2)=0</formula>
    </cfRule>
  </conditionalFormatting>
  <conditionalFormatting sqref="A199:AA199">
    <cfRule type="expression" dxfId="0" priority="98">
      <formula>MOD(ROW(),2)=0</formula>
    </cfRule>
  </conditionalFormatting>
  <conditionalFormatting sqref="A19:AA19">
    <cfRule type="expression" dxfId="0" priority="8">
      <formula>MOD(ROW(),2)=0</formula>
    </cfRule>
  </conditionalFormatting>
  <conditionalFormatting sqref="A201:AA201">
    <cfRule type="expression" dxfId="0" priority="99">
      <formula>MOD(ROW(),2)=0</formula>
    </cfRule>
  </conditionalFormatting>
  <conditionalFormatting sqref="A203:AA203">
    <cfRule type="expression" dxfId="0" priority="100">
      <formula>MOD(ROW(),2)=0</formula>
    </cfRule>
  </conditionalFormatting>
  <conditionalFormatting sqref="A205:AA205">
    <cfRule type="expression" dxfId="0" priority="101">
      <formula>MOD(ROW(),2)=0</formula>
    </cfRule>
  </conditionalFormatting>
  <conditionalFormatting sqref="A207:AA207">
    <cfRule type="expression" dxfId="0" priority="102">
      <formula>MOD(ROW(),2)=0</formula>
    </cfRule>
  </conditionalFormatting>
  <conditionalFormatting sqref="A209:AA209">
    <cfRule type="expression" dxfId="0" priority="103">
      <formula>MOD(ROW(),2)=0</formula>
    </cfRule>
  </conditionalFormatting>
  <conditionalFormatting sqref="A211:AA211">
    <cfRule type="expression" dxfId="0" priority="104">
      <formula>MOD(ROW(),2)=0</formula>
    </cfRule>
  </conditionalFormatting>
  <conditionalFormatting sqref="A213:AA213">
    <cfRule type="expression" dxfId="0" priority="105">
      <formula>MOD(ROW(),2)=0</formula>
    </cfRule>
  </conditionalFormatting>
  <conditionalFormatting sqref="A215:AA215">
    <cfRule type="expression" dxfId="0" priority="106">
      <formula>MOD(ROW(),2)=0</formula>
    </cfRule>
  </conditionalFormatting>
  <conditionalFormatting sqref="A217:AA217">
    <cfRule type="expression" dxfId="0" priority="107">
      <formula>MOD(ROW(),2)=0</formula>
    </cfRule>
  </conditionalFormatting>
  <conditionalFormatting sqref="A219:AA219">
    <cfRule type="expression" dxfId="0" priority="108">
      <formula>MOD(ROW(),2)=0</formula>
    </cfRule>
  </conditionalFormatting>
  <conditionalFormatting sqref="A21:AA21">
    <cfRule type="expression" dxfId="0" priority="9">
      <formula>MOD(ROW(),2)=0</formula>
    </cfRule>
  </conditionalFormatting>
  <conditionalFormatting sqref="A221:AA221">
    <cfRule type="expression" dxfId="0" priority="109">
      <formula>MOD(ROW(),2)=0</formula>
    </cfRule>
  </conditionalFormatting>
  <conditionalFormatting sqref="A223:AA223">
    <cfRule type="expression" dxfId="0" priority="110">
      <formula>MOD(ROW(),2)=0</formula>
    </cfRule>
  </conditionalFormatting>
  <conditionalFormatting sqref="A225:AA225">
    <cfRule type="expression" dxfId="0" priority="111">
      <formula>MOD(ROW(),2)=0</formula>
    </cfRule>
  </conditionalFormatting>
  <conditionalFormatting sqref="A227:AA227">
    <cfRule type="expression" dxfId="0" priority="112">
      <formula>MOD(ROW(),2)=0</formula>
    </cfRule>
  </conditionalFormatting>
  <conditionalFormatting sqref="A229:AA229">
    <cfRule type="expression" dxfId="0" priority="113">
      <formula>MOD(ROW(),2)=0</formula>
    </cfRule>
  </conditionalFormatting>
  <conditionalFormatting sqref="A231:AA231">
    <cfRule type="expression" dxfId="0" priority="114">
      <formula>MOD(ROW(),2)=0</formula>
    </cfRule>
  </conditionalFormatting>
  <conditionalFormatting sqref="A233:AA233">
    <cfRule type="expression" dxfId="0" priority="115">
      <formula>MOD(ROW(),2)=0</formula>
    </cfRule>
  </conditionalFormatting>
  <conditionalFormatting sqref="A235:AA235">
    <cfRule type="expression" dxfId="0" priority="116">
      <formula>MOD(ROW(),2)=0</formula>
    </cfRule>
  </conditionalFormatting>
  <conditionalFormatting sqref="A237:AA237">
    <cfRule type="expression" dxfId="0" priority="117">
      <formula>MOD(ROW(),2)=0</formula>
    </cfRule>
  </conditionalFormatting>
  <conditionalFormatting sqref="A239:AA239">
    <cfRule type="expression" dxfId="0" priority="118">
      <formula>MOD(ROW(),2)=0</formula>
    </cfRule>
  </conditionalFormatting>
  <conditionalFormatting sqref="A23:AA23">
    <cfRule type="expression" dxfId="0" priority="10">
      <formula>MOD(ROW(),2)=0</formula>
    </cfRule>
  </conditionalFormatting>
  <conditionalFormatting sqref="A241:AA241">
    <cfRule type="expression" dxfId="0" priority="119">
      <formula>MOD(ROW(),2)=0</formula>
    </cfRule>
  </conditionalFormatting>
  <conditionalFormatting sqref="A243:AA243">
    <cfRule type="expression" dxfId="0" priority="120">
      <formula>MOD(ROW(),2)=0</formula>
    </cfRule>
  </conditionalFormatting>
  <conditionalFormatting sqref="A245:AA245">
    <cfRule type="expression" dxfId="0" priority="121">
      <formula>MOD(ROW(),2)=0</formula>
    </cfRule>
  </conditionalFormatting>
  <conditionalFormatting sqref="A247:AA247">
    <cfRule type="expression" dxfId="0" priority="122">
      <formula>MOD(ROW(),2)=0</formula>
    </cfRule>
  </conditionalFormatting>
  <conditionalFormatting sqref="A249:AA249">
    <cfRule type="expression" dxfId="0" priority="123">
      <formula>MOD(ROW(),2)=0</formula>
    </cfRule>
  </conditionalFormatting>
  <conditionalFormatting sqref="A251:AA251">
    <cfRule type="expression" dxfId="0" priority="124">
      <formula>MOD(ROW(),2)=0</formula>
    </cfRule>
  </conditionalFormatting>
  <conditionalFormatting sqref="A253:AA253">
    <cfRule type="expression" dxfId="0" priority="125">
      <formula>MOD(ROW(),2)=0</formula>
    </cfRule>
  </conditionalFormatting>
  <conditionalFormatting sqref="A255:AA255">
    <cfRule type="expression" dxfId="0" priority="126">
      <formula>MOD(ROW(),2)=0</formula>
    </cfRule>
  </conditionalFormatting>
  <conditionalFormatting sqref="A257:AA257">
    <cfRule type="expression" dxfId="0" priority="127">
      <formula>MOD(ROW(),2)=0</formula>
    </cfRule>
  </conditionalFormatting>
  <conditionalFormatting sqref="A259:AA259">
    <cfRule type="expression" dxfId="0" priority="128">
      <formula>MOD(ROW(),2)=0</formula>
    </cfRule>
  </conditionalFormatting>
  <conditionalFormatting sqref="A25:AA25">
    <cfRule type="expression" dxfId="0" priority="11">
      <formula>MOD(ROW(),2)=0</formula>
    </cfRule>
  </conditionalFormatting>
  <conditionalFormatting sqref="A261:AA261">
    <cfRule type="expression" dxfId="0" priority="129">
      <formula>MOD(ROW(),2)=0</formula>
    </cfRule>
  </conditionalFormatting>
  <conditionalFormatting sqref="A263:AA263">
    <cfRule type="expression" dxfId="0" priority="130">
      <formula>MOD(ROW(),2)=0</formula>
    </cfRule>
  </conditionalFormatting>
  <conditionalFormatting sqref="A265:AA265">
    <cfRule type="expression" dxfId="0" priority="131">
      <formula>MOD(ROW(),2)=0</formula>
    </cfRule>
  </conditionalFormatting>
  <conditionalFormatting sqref="A267:AA267">
    <cfRule type="expression" dxfId="0" priority="132">
      <formula>MOD(ROW(),2)=0</formula>
    </cfRule>
  </conditionalFormatting>
  <conditionalFormatting sqref="A269:AA269">
    <cfRule type="expression" dxfId="0" priority="133">
      <formula>MOD(ROW(),2)=0</formula>
    </cfRule>
  </conditionalFormatting>
  <conditionalFormatting sqref="A271:AA271">
    <cfRule type="expression" dxfId="0" priority="134">
      <formula>MOD(ROW(),2)=0</formula>
    </cfRule>
  </conditionalFormatting>
  <conditionalFormatting sqref="A273:AA273">
    <cfRule type="expression" dxfId="0" priority="135">
      <formula>MOD(ROW(),2)=0</formula>
    </cfRule>
  </conditionalFormatting>
  <conditionalFormatting sqref="A275:AA275">
    <cfRule type="expression" dxfId="0" priority="136">
      <formula>MOD(ROW(),2)=0</formula>
    </cfRule>
  </conditionalFormatting>
  <conditionalFormatting sqref="A277:AA277">
    <cfRule type="expression" dxfId="0" priority="137">
      <formula>MOD(ROW(),2)=0</formula>
    </cfRule>
  </conditionalFormatting>
  <conditionalFormatting sqref="A279:AA279">
    <cfRule type="expression" dxfId="0" priority="138">
      <formula>MOD(ROW(),2)=0</formula>
    </cfRule>
  </conditionalFormatting>
  <conditionalFormatting sqref="A27:AA27">
    <cfRule type="expression" dxfId="0" priority="12">
      <formula>MOD(ROW(),2)=0</formula>
    </cfRule>
  </conditionalFormatting>
  <conditionalFormatting sqref="A281:AA281">
    <cfRule type="expression" dxfId="0" priority="139">
      <formula>MOD(ROW(),2)=0</formula>
    </cfRule>
  </conditionalFormatting>
  <conditionalFormatting sqref="A283:AA283">
    <cfRule type="expression" dxfId="0" priority="140">
      <formula>MOD(ROW(),2)=0</formula>
    </cfRule>
  </conditionalFormatting>
  <conditionalFormatting sqref="A285:AA285">
    <cfRule type="expression" dxfId="0" priority="141">
      <formula>MOD(ROW(),2)=0</formula>
    </cfRule>
  </conditionalFormatting>
  <conditionalFormatting sqref="A287:AA287">
    <cfRule type="expression" dxfId="0" priority="142">
      <formula>MOD(ROW(),2)=0</formula>
    </cfRule>
  </conditionalFormatting>
  <conditionalFormatting sqref="A289:AA289">
    <cfRule type="expression" dxfId="0" priority="143">
      <formula>MOD(ROW(),2)=0</formula>
    </cfRule>
  </conditionalFormatting>
  <conditionalFormatting sqref="A291:AA291">
    <cfRule type="expression" dxfId="0" priority="144">
      <formula>MOD(ROW(),2)=0</formula>
    </cfRule>
  </conditionalFormatting>
  <conditionalFormatting sqref="A293:AA293">
    <cfRule type="expression" dxfId="0" priority="145">
      <formula>MOD(ROW(),2)=0</formula>
    </cfRule>
  </conditionalFormatting>
  <conditionalFormatting sqref="A295:AA295">
    <cfRule type="expression" dxfId="0" priority="146">
      <formula>MOD(ROW(),2)=0</formula>
    </cfRule>
  </conditionalFormatting>
  <conditionalFormatting sqref="A297:AA297">
    <cfRule type="expression" dxfId="0" priority="147">
      <formula>MOD(ROW(),2)=0</formula>
    </cfRule>
  </conditionalFormatting>
  <conditionalFormatting sqref="A299:AA299">
    <cfRule type="expression" dxfId="0" priority="148">
      <formula>MOD(ROW(),2)=0</formula>
    </cfRule>
  </conditionalFormatting>
  <conditionalFormatting sqref="A29:AA29">
    <cfRule type="expression" dxfId="0" priority="13">
      <formula>MOD(ROW(),2)=0</formula>
    </cfRule>
  </conditionalFormatting>
  <conditionalFormatting sqref="A301:AA301">
    <cfRule type="expression" dxfId="0" priority="149">
      <formula>MOD(ROW(),2)=0</formula>
    </cfRule>
  </conditionalFormatting>
  <conditionalFormatting sqref="A303:AA303">
    <cfRule type="expression" dxfId="0" priority="150">
      <formula>MOD(ROW(),2)=0</formula>
    </cfRule>
  </conditionalFormatting>
  <conditionalFormatting sqref="A31:AA31">
    <cfRule type="expression" dxfId="0" priority="14">
      <formula>MOD(ROW(),2)=0</formula>
    </cfRule>
  </conditionalFormatting>
  <conditionalFormatting sqref="A33:AA33">
    <cfRule type="expression" dxfId="0" priority="15">
      <formula>MOD(ROW(),2)=0</formula>
    </cfRule>
  </conditionalFormatting>
  <conditionalFormatting sqref="A35:AA35">
    <cfRule type="expression" dxfId="0" priority="16">
      <formula>MOD(ROW(),2)=0</formula>
    </cfRule>
  </conditionalFormatting>
  <conditionalFormatting sqref="A37:AA37">
    <cfRule type="expression" dxfId="0" priority="17">
      <formula>MOD(ROW(),2)=0</formula>
    </cfRule>
  </conditionalFormatting>
  <conditionalFormatting sqref="A39:AA39">
    <cfRule type="expression" dxfId="0" priority="18">
      <formula>MOD(ROW(),2)=0</formula>
    </cfRule>
  </conditionalFormatting>
  <conditionalFormatting sqref="A41:AA41">
    <cfRule type="expression" dxfId="0" priority="19">
      <formula>MOD(ROW(),2)=0</formula>
    </cfRule>
  </conditionalFormatting>
  <conditionalFormatting sqref="A43:AA43">
    <cfRule type="expression" dxfId="0" priority="20">
      <formula>MOD(ROW(),2)=0</formula>
    </cfRule>
  </conditionalFormatting>
  <conditionalFormatting sqref="A45:AA45">
    <cfRule type="expression" dxfId="0" priority="21">
      <formula>MOD(ROW(),2)=0</formula>
    </cfRule>
  </conditionalFormatting>
  <conditionalFormatting sqref="A47:AA47">
    <cfRule type="expression" dxfId="0" priority="22">
      <formula>MOD(ROW(),2)=0</formula>
    </cfRule>
  </conditionalFormatting>
  <conditionalFormatting sqref="A49:AA49">
    <cfRule type="expression" dxfId="0" priority="23">
      <formula>MOD(ROW(),2)=0</formula>
    </cfRule>
  </conditionalFormatting>
  <conditionalFormatting sqref="A51:AA51">
    <cfRule type="expression" dxfId="0" priority="24">
      <formula>MOD(ROW(),2)=0</formula>
    </cfRule>
  </conditionalFormatting>
  <conditionalFormatting sqref="A53:AA53">
    <cfRule type="expression" dxfId="0" priority="25">
      <formula>MOD(ROW(),2)=0</formula>
    </cfRule>
  </conditionalFormatting>
  <conditionalFormatting sqref="A55:AA55">
    <cfRule type="expression" dxfId="0" priority="26">
      <formula>MOD(ROW(),2)=0</formula>
    </cfRule>
  </conditionalFormatting>
  <conditionalFormatting sqref="A57:AA57">
    <cfRule type="expression" dxfId="0" priority="27">
      <formula>MOD(ROW(),2)=0</formula>
    </cfRule>
  </conditionalFormatting>
  <conditionalFormatting sqref="A59:AA59">
    <cfRule type="expression" dxfId="0" priority="28">
      <formula>MOD(ROW(),2)=0</formula>
    </cfRule>
  </conditionalFormatting>
  <conditionalFormatting sqref="A5:AA5">
    <cfRule type="expression" dxfId="0" priority="1">
      <formula>MOD(ROW(),2)=0</formula>
    </cfRule>
  </conditionalFormatting>
  <conditionalFormatting sqref="A61:AA61">
    <cfRule type="expression" dxfId="0" priority="29">
      <formula>MOD(ROW(),2)=0</formula>
    </cfRule>
  </conditionalFormatting>
  <conditionalFormatting sqref="A63:AA63">
    <cfRule type="expression" dxfId="0" priority="30">
      <formula>MOD(ROW(),2)=0</formula>
    </cfRule>
  </conditionalFormatting>
  <conditionalFormatting sqref="A65:AA65">
    <cfRule type="expression" dxfId="0" priority="31">
      <formula>MOD(ROW(),2)=0</formula>
    </cfRule>
  </conditionalFormatting>
  <conditionalFormatting sqref="A67:AA67">
    <cfRule type="expression" dxfId="0" priority="32">
      <formula>MOD(ROW(),2)=0</formula>
    </cfRule>
  </conditionalFormatting>
  <conditionalFormatting sqref="A69:AA69">
    <cfRule type="expression" dxfId="0" priority="33">
      <formula>MOD(ROW(),2)=0</formula>
    </cfRule>
  </conditionalFormatting>
  <conditionalFormatting sqref="A71:AA71">
    <cfRule type="expression" dxfId="0" priority="34">
      <formula>MOD(ROW(),2)=0</formula>
    </cfRule>
  </conditionalFormatting>
  <conditionalFormatting sqref="A73:AA73">
    <cfRule type="expression" dxfId="0" priority="35">
      <formula>MOD(ROW(),2)=0</formula>
    </cfRule>
  </conditionalFormatting>
  <conditionalFormatting sqref="A75:AA75">
    <cfRule type="expression" dxfId="0" priority="36">
      <formula>MOD(ROW(),2)=0</formula>
    </cfRule>
  </conditionalFormatting>
  <conditionalFormatting sqref="A77:AA77">
    <cfRule type="expression" dxfId="0" priority="37">
      <formula>MOD(ROW(),2)=0</formula>
    </cfRule>
  </conditionalFormatting>
  <conditionalFormatting sqref="A79:AA79">
    <cfRule type="expression" dxfId="0" priority="38">
      <formula>MOD(ROW(),2)=0</formula>
    </cfRule>
  </conditionalFormatting>
  <conditionalFormatting sqref="A7:AA7">
    <cfRule type="expression" dxfId="0" priority="2">
      <formula>MOD(ROW(),2)=0</formula>
    </cfRule>
  </conditionalFormatting>
  <conditionalFormatting sqref="A81:AA81">
    <cfRule type="expression" dxfId="0" priority="39">
      <formula>MOD(ROW(),2)=0</formula>
    </cfRule>
  </conditionalFormatting>
  <conditionalFormatting sqref="A83:AA83">
    <cfRule type="expression" dxfId="0" priority="40">
      <formula>MOD(ROW(),2)=0</formula>
    </cfRule>
  </conditionalFormatting>
  <conditionalFormatting sqref="A85:AA85">
    <cfRule type="expression" dxfId="0" priority="41">
      <formula>MOD(ROW(),2)=0</formula>
    </cfRule>
  </conditionalFormatting>
  <conditionalFormatting sqref="A87:AA87">
    <cfRule type="expression" dxfId="0" priority="42">
      <formula>MOD(ROW(),2)=0</formula>
    </cfRule>
  </conditionalFormatting>
  <conditionalFormatting sqref="A89:AA89">
    <cfRule type="expression" dxfId="0" priority="43">
      <formula>MOD(ROW(),2)=0</formula>
    </cfRule>
  </conditionalFormatting>
  <conditionalFormatting sqref="A91:AA91">
    <cfRule type="expression" dxfId="0" priority="44">
      <formula>MOD(ROW(),2)=0</formula>
    </cfRule>
  </conditionalFormatting>
  <conditionalFormatting sqref="A93:AA93">
    <cfRule type="expression" dxfId="0" priority="45">
      <formula>MOD(ROW(),2)=0</formula>
    </cfRule>
  </conditionalFormatting>
  <conditionalFormatting sqref="A95:AA95">
    <cfRule type="expression" dxfId="0" priority="46">
      <formula>MOD(ROW(),2)=0</formula>
    </cfRule>
  </conditionalFormatting>
  <conditionalFormatting sqref="A97:AA97">
    <cfRule type="expression" dxfId="0" priority="47">
      <formula>MOD(ROW(),2)=0</formula>
    </cfRule>
  </conditionalFormatting>
  <conditionalFormatting sqref="A99:AA99">
    <cfRule type="expression" dxfId="0" priority="48">
      <formula>MOD(ROW(),2)=0</formula>
    </cfRule>
  </conditionalFormatting>
  <conditionalFormatting sqref="A9:AA9">
    <cfRule type="expression" dxfId="0" priority="3">
      <formula>MOD(ROW(),2)=0</formula>
    </cfRule>
  </conditionalFormatting>
  <dataValidations count="2100">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Spreadsheet&amp;R&amp;"Calibri,Italic"Grocery List</oddHeader>
    <oddFooter>&amp;LPage &amp;P of &amp;N&amp;R&amp;D</oddFooter>
  </headerFooter>
  <legacyDrawing r:id="rId1"/>
</worksheet>
</file>

<file path=xl/worksheets/sheet13.xml><?xml version="1.0" encoding="utf-8"?>
<worksheet xmlns="http://schemas.openxmlformats.org/spreadsheetml/2006/main" xmlns:r="http://schemas.openxmlformats.org/officeDocument/2006/relationships">
  <sheetPr>
    <tabColor rgb="FF4E8A63"/>
    <pageSetUpPr fitToPage="1"/>
  </sheetPr>
  <dimension ref="A4:Z3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4.7109375" customWidth="1"/>
    <col min="2" max="2" width="16.7109375" customWidth="1"/>
    <col min="3" max="4" width="10.7109375" customWidth="1"/>
    <col min="5" max="5" width="11.7109375" customWidth="1"/>
    <col min="6" max="9" width="12.7109375" customWidth="1"/>
    <col min="10" max="10" width="10.7109375" customWidth="1"/>
    <col min="11" max="11" width="13.7109375" customWidth="1"/>
    <col min="12" max="13" width="12.7109375" customWidth="1"/>
    <col min="14" max="16" width="11.7109375" customWidth="1"/>
    <col min="17" max="17" width="10.7109375" customWidth="1"/>
    <col min="18" max="18" width="11.7109375" customWidth="1"/>
    <col min="19" max="19" width="14.7109375" customWidth="1"/>
    <col min="20" max="20" width="18.7109375" customWidth="1"/>
    <col min="21" max="21" width="11.7109375" customWidth="1"/>
    <col min="22" max="22" width="9.7109375" customWidth="1"/>
    <col min="23" max="23" width="14.7109375" customWidth="1"/>
    <col min="24" max="24" width="12.7109375" customWidth="1"/>
    <col min="25" max="25" width="13.7109375" customWidth="1"/>
    <col min="26" max="26" width="30.7109375" customWidth="1"/>
  </cols>
  <sheetData>
    <row r="4" spans="1:26" ht="32" customHeight="1">
      <c r="A4" s="9" t="s">
        <v>147</v>
      </c>
      <c r="B4" s="9" t="s">
        <v>282</v>
      </c>
      <c r="C4" s="9" t="s">
        <v>149</v>
      </c>
      <c r="D4" s="9" t="s">
        <v>323</v>
      </c>
      <c r="E4" s="9" t="s">
        <v>150</v>
      </c>
      <c r="F4" s="9" t="s">
        <v>391</v>
      </c>
      <c r="G4" s="9" t="s">
        <v>399</v>
      </c>
      <c r="H4" s="9" t="s">
        <v>347</v>
      </c>
      <c r="I4" s="9" t="s">
        <v>400</v>
      </c>
      <c r="J4" s="9" t="s">
        <v>148</v>
      </c>
      <c r="K4" s="9" t="s">
        <v>401</v>
      </c>
      <c r="L4" s="9" t="s">
        <v>351</v>
      </c>
      <c r="M4" s="9" t="s">
        <v>353</v>
      </c>
      <c r="N4" s="9" t="s">
        <v>402</v>
      </c>
      <c r="O4" s="9" t="s">
        <v>403</v>
      </c>
      <c r="P4" s="9" t="s">
        <v>195</v>
      </c>
      <c r="Q4" s="9" t="s">
        <v>404</v>
      </c>
      <c r="R4" s="9" t="s">
        <v>405</v>
      </c>
      <c r="S4" s="9" t="s">
        <v>406</v>
      </c>
      <c r="T4" s="9" t="s">
        <v>384</v>
      </c>
      <c r="U4" s="9" t="s">
        <v>393</v>
      </c>
      <c r="V4" s="9" t="s">
        <v>407</v>
      </c>
      <c r="W4" s="9" t="s">
        <v>408</v>
      </c>
      <c r="X4" s="9" t="s">
        <v>409</v>
      </c>
      <c r="Y4" s="9" t="s">
        <v>135</v>
      </c>
      <c r="Z4" s="9" t="s">
        <v>173</v>
      </c>
    </row>
    <row r="5" spans="1:26">
      <c r="A5" s="7"/>
      <c r="B5" s="8">
        <f>IF(A5="","",IFERROR(INDEX(Ingredients!$B$5:$B$304,MATCH(A5,Ingredients!$A$5:$A$304,0)),""))</f>
        <v>0</v>
      </c>
      <c r="C5" s="26"/>
      <c r="D5" s="27"/>
      <c r="E5" s="27"/>
      <c r="F5" s="30"/>
      <c r="G5" s="30"/>
      <c r="H5" s="8">
        <f>IF(A5="","",IFERROR(INDEX(Ingredients!$M$5:$M$304,MATCH(A5,Ingredients!$A$5:$A$304,0)),""))</f>
        <v>0</v>
      </c>
      <c r="I5" s="8">
        <f>IF(OR(A5="",H5=""),"",IF(G5&lt;&gt;"",G5+H5,IF(F5&lt;&gt;"",F5+H5,"")))</f>
        <v>0</v>
      </c>
      <c r="J5" s="8">
        <f>IF(OR(A5="",I5=""),"",I5-TODAY())</f>
        <v>0</v>
      </c>
      <c r="K5" s="8">
        <f>IF(A5="","",IF(J5="","No date",IF(J5&lt;0,"Expired",IF(J5&lt;=Expiry_Warning_Days,"Use soon","Fresh"))))</f>
        <v>0</v>
      </c>
      <c r="L5" s="8">
        <f>IF(A5="","",COUNTIFS('Recipe Ingredients'!$B$5:$B$1204,A5))</f>
        <v>0</v>
      </c>
      <c r="M5" s="8">
        <f>IF(A5="","",IFERROR(INDEX(Ingredients!$X$5:$X$304,MATCH(A5,Ingredients!$A$5:$A$304,0)),""))</f>
        <v>0</v>
      </c>
      <c r="N5" s="8">
        <f>IF(OR(A5="",M5=""),"",IF(M5&lt;1,MAX(0,1*IFERROR(IFERROR(INDEX(Ingredients!$U$5:$U$304,MATCH(A5,Ingredients!$A$5:$A$304,0)),""),0)-C5),0))</f>
        <v>0</v>
      </c>
      <c r="O5" s="8">
        <f>IF(A5="","",IF(M5="","",IF(M5&lt;1,"Low","OK")))</f>
        <v>0</v>
      </c>
      <c r="P5" s="8">
        <f>IF(OR(A5="",C5=""),"",IFERROR(C5*IFERROR(INDEX(Ingredients!$D$5:$D$304,MATCH(A5,Ingredients!$A$5:$A$304,0)),""),""))</f>
        <v>0</v>
      </c>
      <c r="Q5" s="8">
        <f>IF(OR(E5&lt;&gt;"Fridge",J5=""),"",SUMPRODUCT(($E$5:$E$304="Fridge")*($J$5:$J$304&lt;J5))+SUMPRODUCT(($E$5:$E$304="Fridge")*($J$5:$J$304=J5)*(ROW($J$5:$J$304)&lt;ROW()))+1)</f>
        <v>0</v>
      </c>
      <c r="R5" s="8">
        <f>IF(OR(E5&lt;&gt;"Freezer",J5=""),"",SUMPRODUCT(($E$5:$E$304="Freezer")*($J$5:$J$304&lt;J5))+SUMPRODUCT(($E$5:$E$304="Freezer")*($J$5:$J$304=J5)*(ROW($J$5:$J$304)&lt;ROW()))+1)</f>
        <v>0</v>
      </c>
      <c r="S5" s="7"/>
      <c r="T5" s="27"/>
      <c r="U5" s="28"/>
      <c r="V5" s="27"/>
      <c r="W5" s="7"/>
      <c r="X5" s="26"/>
      <c r="Y5" s="8">
        <f>IF(A5="","",IF(K5="Expired","Bin it",IF(K5="Use soon","Cook it",IF(O5="Low","Running low","Keep"))))</f>
        <v>0</v>
      </c>
      <c r="Z5" s="25"/>
    </row>
    <row r="6" spans="1:26">
      <c r="A6" s="7"/>
      <c r="B6" s="8">
        <f>IF(A6="","",IFERROR(INDEX(Ingredients!$B$5:$B$304,MATCH(A6,Ingredients!$A$5:$A$304,0)),""))</f>
        <v>0</v>
      </c>
      <c r="C6" s="26"/>
      <c r="D6" s="27"/>
      <c r="E6" s="27"/>
      <c r="F6" s="30"/>
      <c r="G6" s="30"/>
      <c r="H6" s="8">
        <f>IF(A6="","",IFERROR(INDEX(Ingredients!$M$5:$M$304,MATCH(A6,Ingredients!$A$5:$A$304,0)),""))</f>
        <v>0</v>
      </c>
      <c r="I6" s="8">
        <f>IF(OR(A6="",H6=""),"",IF(G6&lt;&gt;"",G6+H6,IF(F6&lt;&gt;"",F6+H6,"")))</f>
        <v>0</v>
      </c>
      <c r="J6" s="8">
        <f>IF(OR(A6="",I6=""),"",I6-TODAY())</f>
        <v>0</v>
      </c>
      <c r="K6" s="8">
        <f>IF(A6="","",IF(J6="","No date",IF(J6&lt;0,"Expired",IF(J6&lt;=Expiry_Warning_Days,"Use soon","Fresh"))))</f>
        <v>0</v>
      </c>
      <c r="L6" s="8">
        <f>IF(A6="","",COUNTIFS('Recipe Ingredients'!$B$5:$B$1204,A6))</f>
        <v>0</v>
      </c>
      <c r="M6" s="8">
        <f>IF(A6="","",IFERROR(INDEX(Ingredients!$X$5:$X$304,MATCH(A6,Ingredients!$A$5:$A$304,0)),""))</f>
        <v>0</v>
      </c>
      <c r="N6" s="8">
        <f>IF(OR(A6="",M6=""),"",IF(M6&lt;1,MAX(0,1*IFERROR(IFERROR(INDEX(Ingredients!$U$5:$U$304,MATCH(A6,Ingredients!$A$5:$A$304,0)),""),0)-C6),0))</f>
        <v>0</v>
      </c>
      <c r="O6" s="8">
        <f>IF(A6="","",IF(M6="","",IF(M6&lt;1,"Low","OK")))</f>
        <v>0</v>
      </c>
      <c r="P6" s="8">
        <f>IF(OR(A6="",C6=""),"",IFERROR(C6*IFERROR(INDEX(Ingredients!$D$5:$D$304,MATCH(A6,Ingredients!$A$5:$A$304,0)),""),""))</f>
        <v>0</v>
      </c>
      <c r="Q6" s="8">
        <f>IF(OR(E6&lt;&gt;"Fridge",J6=""),"",SUMPRODUCT(($E$5:$E$304="Fridge")*($J$5:$J$304&lt;J6))+SUMPRODUCT(($E$5:$E$304="Fridge")*($J$5:$J$304=J6)*(ROW($J$5:$J$304)&lt;ROW()))+1)</f>
        <v>0</v>
      </c>
      <c r="R6" s="8">
        <f>IF(OR(E6&lt;&gt;"Freezer",J6=""),"",SUMPRODUCT(($E$5:$E$304="Freezer")*($J$5:$J$304&lt;J6))+SUMPRODUCT(($E$5:$E$304="Freezer")*($J$5:$J$304=J6)*(ROW($J$5:$J$304)&lt;ROW()))+1)</f>
        <v>0</v>
      </c>
      <c r="S6" s="7"/>
      <c r="T6" s="27"/>
      <c r="U6" s="28"/>
      <c r="V6" s="27"/>
      <c r="W6" s="7"/>
      <c r="X6" s="26"/>
      <c r="Y6" s="8">
        <f>IF(A6="","",IF(K6="Expired","Bin it",IF(K6="Use soon","Cook it",IF(O6="Low","Running low","Keep"))))</f>
        <v>0</v>
      </c>
      <c r="Z6" s="25"/>
    </row>
    <row r="7" spans="1:26">
      <c r="A7" s="7"/>
      <c r="B7" s="8">
        <f>IF(A7="","",IFERROR(INDEX(Ingredients!$B$5:$B$304,MATCH(A7,Ingredients!$A$5:$A$304,0)),""))</f>
        <v>0</v>
      </c>
      <c r="C7" s="26"/>
      <c r="D7" s="27"/>
      <c r="E7" s="27"/>
      <c r="F7" s="30"/>
      <c r="G7" s="30"/>
      <c r="H7" s="8">
        <f>IF(A7="","",IFERROR(INDEX(Ingredients!$M$5:$M$304,MATCH(A7,Ingredients!$A$5:$A$304,0)),""))</f>
        <v>0</v>
      </c>
      <c r="I7" s="8">
        <f>IF(OR(A7="",H7=""),"",IF(G7&lt;&gt;"",G7+H7,IF(F7&lt;&gt;"",F7+H7,"")))</f>
        <v>0</v>
      </c>
      <c r="J7" s="8">
        <f>IF(OR(A7="",I7=""),"",I7-TODAY())</f>
        <v>0</v>
      </c>
      <c r="K7" s="8">
        <f>IF(A7="","",IF(J7="","No date",IF(J7&lt;0,"Expired",IF(J7&lt;=Expiry_Warning_Days,"Use soon","Fresh"))))</f>
        <v>0</v>
      </c>
      <c r="L7" s="8">
        <f>IF(A7="","",COUNTIFS('Recipe Ingredients'!$B$5:$B$1204,A7))</f>
        <v>0</v>
      </c>
      <c r="M7" s="8">
        <f>IF(A7="","",IFERROR(INDEX(Ingredients!$X$5:$X$304,MATCH(A7,Ingredients!$A$5:$A$304,0)),""))</f>
        <v>0</v>
      </c>
      <c r="N7" s="8">
        <f>IF(OR(A7="",M7=""),"",IF(M7&lt;1,MAX(0,1*IFERROR(IFERROR(INDEX(Ingredients!$U$5:$U$304,MATCH(A7,Ingredients!$A$5:$A$304,0)),""),0)-C7),0))</f>
        <v>0</v>
      </c>
      <c r="O7" s="8">
        <f>IF(A7="","",IF(M7="","",IF(M7&lt;1,"Low","OK")))</f>
        <v>0</v>
      </c>
      <c r="P7" s="8">
        <f>IF(OR(A7="",C7=""),"",IFERROR(C7*IFERROR(INDEX(Ingredients!$D$5:$D$304,MATCH(A7,Ingredients!$A$5:$A$304,0)),""),""))</f>
        <v>0</v>
      </c>
      <c r="Q7" s="8">
        <f>IF(OR(E7&lt;&gt;"Fridge",J7=""),"",SUMPRODUCT(($E$5:$E$304="Fridge")*($J$5:$J$304&lt;J7))+SUMPRODUCT(($E$5:$E$304="Fridge")*($J$5:$J$304=J7)*(ROW($J$5:$J$304)&lt;ROW()))+1)</f>
        <v>0</v>
      </c>
      <c r="R7" s="8">
        <f>IF(OR(E7&lt;&gt;"Freezer",J7=""),"",SUMPRODUCT(($E$5:$E$304="Freezer")*($J$5:$J$304&lt;J7))+SUMPRODUCT(($E$5:$E$304="Freezer")*($J$5:$J$304=J7)*(ROW($J$5:$J$304)&lt;ROW()))+1)</f>
        <v>0</v>
      </c>
      <c r="S7" s="7"/>
      <c r="T7" s="27"/>
      <c r="U7" s="28"/>
      <c r="V7" s="27"/>
      <c r="W7" s="7"/>
      <c r="X7" s="26"/>
      <c r="Y7" s="8">
        <f>IF(A7="","",IF(K7="Expired","Bin it",IF(K7="Use soon","Cook it",IF(O7="Low","Running low","Keep"))))</f>
        <v>0</v>
      </c>
      <c r="Z7" s="25"/>
    </row>
    <row r="8" spans="1:26">
      <c r="A8" s="7"/>
      <c r="B8" s="8">
        <f>IF(A8="","",IFERROR(INDEX(Ingredients!$B$5:$B$304,MATCH(A8,Ingredients!$A$5:$A$304,0)),""))</f>
        <v>0</v>
      </c>
      <c r="C8" s="26"/>
      <c r="D8" s="27"/>
      <c r="E8" s="27"/>
      <c r="F8" s="30"/>
      <c r="G8" s="30"/>
      <c r="H8" s="8">
        <f>IF(A8="","",IFERROR(INDEX(Ingredients!$M$5:$M$304,MATCH(A8,Ingredients!$A$5:$A$304,0)),""))</f>
        <v>0</v>
      </c>
      <c r="I8" s="8">
        <f>IF(OR(A8="",H8=""),"",IF(G8&lt;&gt;"",G8+H8,IF(F8&lt;&gt;"",F8+H8,"")))</f>
        <v>0</v>
      </c>
      <c r="J8" s="8">
        <f>IF(OR(A8="",I8=""),"",I8-TODAY())</f>
        <v>0</v>
      </c>
      <c r="K8" s="8">
        <f>IF(A8="","",IF(J8="","No date",IF(J8&lt;0,"Expired",IF(J8&lt;=Expiry_Warning_Days,"Use soon","Fresh"))))</f>
        <v>0</v>
      </c>
      <c r="L8" s="8">
        <f>IF(A8="","",COUNTIFS('Recipe Ingredients'!$B$5:$B$1204,A8))</f>
        <v>0</v>
      </c>
      <c r="M8" s="8">
        <f>IF(A8="","",IFERROR(INDEX(Ingredients!$X$5:$X$304,MATCH(A8,Ingredients!$A$5:$A$304,0)),""))</f>
        <v>0</v>
      </c>
      <c r="N8" s="8">
        <f>IF(OR(A8="",M8=""),"",IF(M8&lt;1,MAX(0,1*IFERROR(IFERROR(INDEX(Ingredients!$U$5:$U$304,MATCH(A8,Ingredients!$A$5:$A$304,0)),""),0)-C8),0))</f>
        <v>0</v>
      </c>
      <c r="O8" s="8">
        <f>IF(A8="","",IF(M8="","",IF(M8&lt;1,"Low","OK")))</f>
        <v>0</v>
      </c>
      <c r="P8" s="8">
        <f>IF(OR(A8="",C8=""),"",IFERROR(C8*IFERROR(INDEX(Ingredients!$D$5:$D$304,MATCH(A8,Ingredients!$A$5:$A$304,0)),""),""))</f>
        <v>0</v>
      </c>
      <c r="Q8" s="8">
        <f>IF(OR(E8&lt;&gt;"Fridge",J8=""),"",SUMPRODUCT(($E$5:$E$304="Fridge")*($J$5:$J$304&lt;J8))+SUMPRODUCT(($E$5:$E$304="Fridge")*($J$5:$J$304=J8)*(ROW($J$5:$J$304)&lt;ROW()))+1)</f>
        <v>0</v>
      </c>
      <c r="R8" s="8">
        <f>IF(OR(E8&lt;&gt;"Freezer",J8=""),"",SUMPRODUCT(($E$5:$E$304="Freezer")*($J$5:$J$304&lt;J8))+SUMPRODUCT(($E$5:$E$304="Freezer")*($J$5:$J$304=J8)*(ROW($J$5:$J$304)&lt;ROW()))+1)</f>
        <v>0</v>
      </c>
      <c r="S8" s="7"/>
      <c r="T8" s="27"/>
      <c r="U8" s="28"/>
      <c r="V8" s="27"/>
      <c r="W8" s="7"/>
      <c r="X8" s="26"/>
      <c r="Y8" s="8">
        <f>IF(A8="","",IF(K8="Expired","Bin it",IF(K8="Use soon","Cook it",IF(O8="Low","Running low","Keep"))))</f>
        <v>0</v>
      </c>
      <c r="Z8" s="25"/>
    </row>
    <row r="9" spans="1:26">
      <c r="A9" s="7"/>
      <c r="B9" s="8">
        <f>IF(A9="","",IFERROR(INDEX(Ingredients!$B$5:$B$304,MATCH(A9,Ingredients!$A$5:$A$304,0)),""))</f>
        <v>0</v>
      </c>
      <c r="C9" s="26"/>
      <c r="D9" s="27"/>
      <c r="E9" s="27"/>
      <c r="F9" s="30"/>
      <c r="G9" s="30"/>
      <c r="H9" s="8">
        <f>IF(A9="","",IFERROR(INDEX(Ingredients!$M$5:$M$304,MATCH(A9,Ingredients!$A$5:$A$304,0)),""))</f>
        <v>0</v>
      </c>
      <c r="I9" s="8">
        <f>IF(OR(A9="",H9=""),"",IF(G9&lt;&gt;"",G9+H9,IF(F9&lt;&gt;"",F9+H9,"")))</f>
        <v>0</v>
      </c>
      <c r="J9" s="8">
        <f>IF(OR(A9="",I9=""),"",I9-TODAY())</f>
        <v>0</v>
      </c>
      <c r="K9" s="8">
        <f>IF(A9="","",IF(J9="","No date",IF(J9&lt;0,"Expired",IF(J9&lt;=Expiry_Warning_Days,"Use soon","Fresh"))))</f>
        <v>0</v>
      </c>
      <c r="L9" s="8">
        <f>IF(A9="","",COUNTIFS('Recipe Ingredients'!$B$5:$B$1204,A9))</f>
        <v>0</v>
      </c>
      <c r="M9" s="8">
        <f>IF(A9="","",IFERROR(INDEX(Ingredients!$X$5:$X$304,MATCH(A9,Ingredients!$A$5:$A$304,0)),""))</f>
        <v>0</v>
      </c>
      <c r="N9" s="8">
        <f>IF(OR(A9="",M9=""),"",IF(M9&lt;1,MAX(0,1*IFERROR(IFERROR(INDEX(Ingredients!$U$5:$U$304,MATCH(A9,Ingredients!$A$5:$A$304,0)),""),0)-C9),0))</f>
        <v>0</v>
      </c>
      <c r="O9" s="8">
        <f>IF(A9="","",IF(M9="","",IF(M9&lt;1,"Low","OK")))</f>
        <v>0</v>
      </c>
      <c r="P9" s="8">
        <f>IF(OR(A9="",C9=""),"",IFERROR(C9*IFERROR(INDEX(Ingredients!$D$5:$D$304,MATCH(A9,Ingredients!$A$5:$A$304,0)),""),""))</f>
        <v>0</v>
      </c>
      <c r="Q9" s="8">
        <f>IF(OR(E9&lt;&gt;"Fridge",J9=""),"",SUMPRODUCT(($E$5:$E$304="Fridge")*($J$5:$J$304&lt;J9))+SUMPRODUCT(($E$5:$E$304="Fridge")*($J$5:$J$304=J9)*(ROW($J$5:$J$304)&lt;ROW()))+1)</f>
        <v>0</v>
      </c>
      <c r="R9" s="8">
        <f>IF(OR(E9&lt;&gt;"Freezer",J9=""),"",SUMPRODUCT(($E$5:$E$304="Freezer")*($J$5:$J$304&lt;J9))+SUMPRODUCT(($E$5:$E$304="Freezer")*($J$5:$J$304=J9)*(ROW($J$5:$J$304)&lt;ROW()))+1)</f>
        <v>0</v>
      </c>
      <c r="S9" s="7"/>
      <c r="T9" s="27"/>
      <c r="U9" s="28"/>
      <c r="V9" s="27"/>
      <c r="W9" s="7"/>
      <c r="X9" s="26"/>
      <c r="Y9" s="8">
        <f>IF(A9="","",IF(K9="Expired","Bin it",IF(K9="Use soon","Cook it",IF(O9="Low","Running low","Keep"))))</f>
        <v>0</v>
      </c>
      <c r="Z9" s="25"/>
    </row>
    <row r="10" spans="1:26">
      <c r="A10" s="7"/>
      <c r="B10" s="8">
        <f>IF(A10="","",IFERROR(INDEX(Ingredients!$B$5:$B$304,MATCH(A10,Ingredients!$A$5:$A$304,0)),""))</f>
        <v>0</v>
      </c>
      <c r="C10" s="26"/>
      <c r="D10" s="27"/>
      <c r="E10" s="27"/>
      <c r="F10" s="30"/>
      <c r="G10" s="30"/>
      <c r="H10" s="8">
        <f>IF(A10="","",IFERROR(INDEX(Ingredients!$M$5:$M$304,MATCH(A10,Ingredients!$A$5:$A$304,0)),""))</f>
        <v>0</v>
      </c>
      <c r="I10" s="8">
        <f>IF(OR(A10="",H10=""),"",IF(G10&lt;&gt;"",G10+H10,IF(F10&lt;&gt;"",F10+H10,"")))</f>
        <v>0</v>
      </c>
      <c r="J10" s="8">
        <f>IF(OR(A10="",I10=""),"",I10-TODAY())</f>
        <v>0</v>
      </c>
      <c r="K10" s="8">
        <f>IF(A10="","",IF(J10="","No date",IF(J10&lt;0,"Expired",IF(J10&lt;=Expiry_Warning_Days,"Use soon","Fresh"))))</f>
        <v>0</v>
      </c>
      <c r="L10" s="8">
        <f>IF(A10="","",COUNTIFS('Recipe Ingredients'!$B$5:$B$1204,A10))</f>
        <v>0</v>
      </c>
      <c r="M10" s="8">
        <f>IF(A10="","",IFERROR(INDEX(Ingredients!$X$5:$X$304,MATCH(A10,Ingredients!$A$5:$A$304,0)),""))</f>
        <v>0</v>
      </c>
      <c r="N10" s="8">
        <f>IF(OR(A10="",M10=""),"",IF(M10&lt;1,MAX(0,1*IFERROR(IFERROR(INDEX(Ingredients!$U$5:$U$304,MATCH(A10,Ingredients!$A$5:$A$304,0)),""),0)-C10),0))</f>
        <v>0</v>
      </c>
      <c r="O10" s="8">
        <f>IF(A10="","",IF(M10="","",IF(M10&lt;1,"Low","OK")))</f>
        <v>0</v>
      </c>
      <c r="P10" s="8">
        <f>IF(OR(A10="",C10=""),"",IFERROR(C10*IFERROR(INDEX(Ingredients!$D$5:$D$304,MATCH(A10,Ingredients!$A$5:$A$304,0)),""),""))</f>
        <v>0</v>
      </c>
      <c r="Q10" s="8">
        <f>IF(OR(E10&lt;&gt;"Fridge",J10=""),"",SUMPRODUCT(($E$5:$E$304="Fridge")*($J$5:$J$304&lt;J10))+SUMPRODUCT(($E$5:$E$304="Fridge")*($J$5:$J$304=J10)*(ROW($J$5:$J$304)&lt;ROW()))+1)</f>
        <v>0</v>
      </c>
      <c r="R10" s="8">
        <f>IF(OR(E10&lt;&gt;"Freezer",J10=""),"",SUMPRODUCT(($E$5:$E$304="Freezer")*($J$5:$J$304&lt;J10))+SUMPRODUCT(($E$5:$E$304="Freezer")*($J$5:$J$304=J10)*(ROW($J$5:$J$304)&lt;ROW()))+1)</f>
        <v>0</v>
      </c>
      <c r="S10" s="7"/>
      <c r="T10" s="27"/>
      <c r="U10" s="28"/>
      <c r="V10" s="27"/>
      <c r="W10" s="7"/>
      <c r="X10" s="26"/>
      <c r="Y10" s="8">
        <f>IF(A10="","",IF(K10="Expired","Bin it",IF(K10="Use soon","Cook it",IF(O10="Low","Running low","Keep"))))</f>
        <v>0</v>
      </c>
      <c r="Z10" s="25"/>
    </row>
    <row r="11" spans="1:26">
      <c r="A11" s="7"/>
      <c r="B11" s="8">
        <f>IF(A11="","",IFERROR(INDEX(Ingredients!$B$5:$B$304,MATCH(A11,Ingredients!$A$5:$A$304,0)),""))</f>
        <v>0</v>
      </c>
      <c r="C11" s="26"/>
      <c r="D11" s="27"/>
      <c r="E11" s="27"/>
      <c r="F11" s="30"/>
      <c r="G11" s="30"/>
      <c r="H11" s="8">
        <f>IF(A11="","",IFERROR(INDEX(Ingredients!$M$5:$M$304,MATCH(A11,Ingredients!$A$5:$A$304,0)),""))</f>
        <v>0</v>
      </c>
      <c r="I11" s="8">
        <f>IF(OR(A11="",H11=""),"",IF(G11&lt;&gt;"",G11+H11,IF(F11&lt;&gt;"",F11+H11,"")))</f>
        <v>0</v>
      </c>
      <c r="J11" s="8">
        <f>IF(OR(A11="",I11=""),"",I11-TODAY())</f>
        <v>0</v>
      </c>
      <c r="K11" s="8">
        <f>IF(A11="","",IF(J11="","No date",IF(J11&lt;0,"Expired",IF(J11&lt;=Expiry_Warning_Days,"Use soon","Fresh"))))</f>
        <v>0</v>
      </c>
      <c r="L11" s="8">
        <f>IF(A11="","",COUNTIFS('Recipe Ingredients'!$B$5:$B$1204,A11))</f>
        <v>0</v>
      </c>
      <c r="M11" s="8">
        <f>IF(A11="","",IFERROR(INDEX(Ingredients!$X$5:$X$304,MATCH(A11,Ingredients!$A$5:$A$304,0)),""))</f>
        <v>0</v>
      </c>
      <c r="N11" s="8">
        <f>IF(OR(A11="",M11=""),"",IF(M11&lt;1,MAX(0,1*IFERROR(IFERROR(INDEX(Ingredients!$U$5:$U$304,MATCH(A11,Ingredients!$A$5:$A$304,0)),""),0)-C11),0))</f>
        <v>0</v>
      </c>
      <c r="O11" s="8">
        <f>IF(A11="","",IF(M11="","",IF(M11&lt;1,"Low","OK")))</f>
        <v>0</v>
      </c>
      <c r="P11" s="8">
        <f>IF(OR(A11="",C11=""),"",IFERROR(C11*IFERROR(INDEX(Ingredients!$D$5:$D$304,MATCH(A11,Ingredients!$A$5:$A$304,0)),""),""))</f>
        <v>0</v>
      </c>
      <c r="Q11" s="8">
        <f>IF(OR(E11&lt;&gt;"Fridge",J11=""),"",SUMPRODUCT(($E$5:$E$304="Fridge")*($J$5:$J$304&lt;J11))+SUMPRODUCT(($E$5:$E$304="Fridge")*($J$5:$J$304=J11)*(ROW($J$5:$J$304)&lt;ROW()))+1)</f>
        <v>0</v>
      </c>
      <c r="R11" s="8">
        <f>IF(OR(E11&lt;&gt;"Freezer",J11=""),"",SUMPRODUCT(($E$5:$E$304="Freezer")*($J$5:$J$304&lt;J11))+SUMPRODUCT(($E$5:$E$304="Freezer")*($J$5:$J$304=J11)*(ROW($J$5:$J$304)&lt;ROW()))+1)</f>
        <v>0</v>
      </c>
      <c r="S11" s="7"/>
      <c r="T11" s="27"/>
      <c r="U11" s="28"/>
      <c r="V11" s="27"/>
      <c r="W11" s="7"/>
      <c r="X11" s="26"/>
      <c r="Y11" s="8">
        <f>IF(A11="","",IF(K11="Expired","Bin it",IF(K11="Use soon","Cook it",IF(O11="Low","Running low","Keep"))))</f>
        <v>0</v>
      </c>
      <c r="Z11" s="25"/>
    </row>
    <row r="12" spans="1:26">
      <c r="A12" s="7"/>
      <c r="B12" s="8">
        <f>IF(A12="","",IFERROR(INDEX(Ingredients!$B$5:$B$304,MATCH(A12,Ingredients!$A$5:$A$304,0)),""))</f>
        <v>0</v>
      </c>
      <c r="C12" s="26"/>
      <c r="D12" s="27"/>
      <c r="E12" s="27"/>
      <c r="F12" s="30"/>
      <c r="G12" s="30"/>
      <c r="H12" s="8">
        <f>IF(A12="","",IFERROR(INDEX(Ingredients!$M$5:$M$304,MATCH(A12,Ingredients!$A$5:$A$304,0)),""))</f>
        <v>0</v>
      </c>
      <c r="I12" s="8">
        <f>IF(OR(A12="",H12=""),"",IF(G12&lt;&gt;"",G12+H12,IF(F12&lt;&gt;"",F12+H12,"")))</f>
        <v>0</v>
      </c>
      <c r="J12" s="8">
        <f>IF(OR(A12="",I12=""),"",I12-TODAY())</f>
        <v>0</v>
      </c>
      <c r="K12" s="8">
        <f>IF(A12="","",IF(J12="","No date",IF(J12&lt;0,"Expired",IF(J12&lt;=Expiry_Warning_Days,"Use soon","Fresh"))))</f>
        <v>0</v>
      </c>
      <c r="L12" s="8">
        <f>IF(A12="","",COUNTIFS('Recipe Ingredients'!$B$5:$B$1204,A12))</f>
        <v>0</v>
      </c>
      <c r="M12" s="8">
        <f>IF(A12="","",IFERROR(INDEX(Ingredients!$X$5:$X$304,MATCH(A12,Ingredients!$A$5:$A$304,0)),""))</f>
        <v>0</v>
      </c>
      <c r="N12" s="8">
        <f>IF(OR(A12="",M12=""),"",IF(M12&lt;1,MAX(0,1*IFERROR(IFERROR(INDEX(Ingredients!$U$5:$U$304,MATCH(A12,Ingredients!$A$5:$A$304,0)),""),0)-C12),0))</f>
        <v>0</v>
      </c>
      <c r="O12" s="8">
        <f>IF(A12="","",IF(M12="","",IF(M12&lt;1,"Low","OK")))</f>
        <v>0</v>
      </c>
      <c r="P12" s="8">
        <f>IF(OR(A12="",C12=""),"",IFERROR(C12*IFERROR(INDEX(Ingredients!$D$5:$D$304,MATCH(A12,Ingredients!$A$5:$A$304,0)),""),""))</f>
        <v>0</v>
      </c>
      <c r="Q12" s="8">
        <f>IF(OR(E12&lt;&gt;"Fridge",J12=""),"",SUMPRODUCT(($E$5:$E$304="Fridge")*($J$5:$J$304&lt;J12))+SUMPRODUCT(($E$5:$E$304="Fridge")*($J$5:$J$304=J12)*(ROW($J$5:$J$304)&lt;ROW()))+1)</f>
        <v>0</v>
      </c>
      <c r="R12" s="8">
        <f>IF(OR(E12&lt;&gt;"Freezer",J12=""),"",SUMPRODUCT(($E$5:$E$304="Freezer")*($J$5:$J$304&lt;J12))+SUMPRODUCT(($E$5:$E$304="Freezer")*($J$5:$J$304=J12)*(ROW($J$5:$J$304)&lt;ROW()))+1)</f>
        <v>0</v>
      </c>
      <c r="S12" s="7"/>
      <c r="T12" s="27"/>
      <c r="U12" s="28"/>
      <c r="V12" s="27"/>
      <c r="W12" s="7"/>
      <c r="X12" s="26"/>
      <c r="Y12" s="8">
        <f>IF(A12="","",IF(K12="Expired","Bin it",IF(K12="Use soon","Cook it",IF(O12="Low","Running low","Keep"))))</f>
        <v>0</v>
      </c>
      <c r="Z12" s="25"/>
    </row>
    <row r="13" spans="1:26">
      <c r="A13" s="7"/>
      <c r="B13" s="8">
        <f>IF(A13="","",IFERROR(INDEX(Ingredients!$B$5:$B$304,MATCH(A13,Ingredients!$A$5:$A$304,0)),""))</f>
        <v>0</v>
      </c>
      <c r="C13" s="26"/>
      <c r="D13" s="27"/>
      <c r="E13" s="27"/>
      <c r="F13" s="30"/>
      <c r="G13" s="30"/>
      <c r="H13" s="8">
        <f>IF(A13="","",IFERROR(INDEX(Ingredients!$M$5:$M$304,MATCH(A13,Ingredients!$A$5:$A$304,0)),""))</f>
        <v>0</v>
      </c>
      <c r="I13" s="8">
        <f>IF(OR(A13="",H13=""),"",IF(G13&lt;&gt;"",G13+H13,IF(F13&lt;&gt;"",F13+H13,"")))</f>
        <v>0</v>
      </c>
      <c r="J13" s="8">
        <f>IF(OR(A13="",I13=""),"",I13-TODAY())</f>
        <v>0</v>
      </c>
      <c r="K13" s="8">
        <f>IF(A13="","",IF(J13="","No date",IF(J13&lt;0,"Expired",IF(J13&lt;=Expiry_Warning_Days,"Use soon","Fresh"))))</f>
        <v>0</v>
      </c>
      <c r="L13" s="8">
        <f>IF(A13="","",COUNTIFS('Recipe Ingredients'!$B$5:$B$1204,A13))</f>
        <v>0</v>
      </c>
      <c r="M13" s="8">
        <f>IF(A13="","",IFERROR(INDEX(Ingredients!$X$5:$X$304,MATCH(A13,Ingredients!$A$5:$A$304,0)),""))</f>
        <v>0</v>
      </c>
      <c r="N13" s="8">
        <f>IF(OR(A13="",M13=""),"",IF(M13&lt;1,MAX(0,1*IFERROR(IFERROR(INDEX(Ingredients!$U$5:$U$304,MATCH(A13,Ingredients!$A$5:$A$304,0)),""),0)-C13),0))</f>
        <v>0</v>
      </c>
      <c r="O13" s="8">
        <f>IF(A13="","",IF(M13="","",IF(M13&lt;1,"Low","OK")))</f>
        <v>0</v>
      </c>
      <c r="P13" s="8">
        <f>IF(OR(A13="",C13=""),"",IFERROR(C13*IFERROR(INDEX(Ingredients!$D$5:$D$304,MATCH(A13,Ingredients!$A$5:$A$304,0)),""),""))</f>
        <v>0</v>
      </c>
      <c r="Q13" s="8">
        <f>IF(OR(E13&lt;&gt;"Fridge",J13=""),"",SUMPRODUCT(($E$5:$E$304="Fridge")*($J$5:$J$304&lt;J13))+SUMPRODUCT(($E$5:$E$304="Fridge")*($J$5:$J$304=J13)*(ROW($J$5:$J$304)&lt;ROW()))+1)</f>
        <v>0</v>
      </c>
      <c r="R13" s="8">
        <f>IF(OR(E13&lt;&gt;"Freezer",J13=""),"",SUMPRODUCT(($E$5:$E$304="Freezer")*($J$5:$J$304&lt;J13))+SUMPRODUCT(($E$5:$E$304="Freezer")*($J$5:$J$304=J13)*(ROW($J$5:$J$304)&lt;ROW()))+1)</f>
        <v>0</v>
      </c>
      <c r="S13" s="7"/>
      <c r="T13" s="27"/>
      <c r="U13" s="28"/>
      <c r="V13" s="27"/>
      <c r="W13" s="7"/>
      <c r="X13" s="26"/>
      <c r="Y13" s="8">
        <f>IF(A13="","",IF(K13="Expired","Bin it",IF(K13="Use soon","Cook it",IF(O13="Low","Running low","Keep"))))</f>
        <v>0</v>
      </c>
      <c r="Z13" s="25"/>
    </row>
    <row r="14" spans="1:26">
      <c r="A14" s="7"/>
      <c r="B14" s="8">
        <f>IF(A14="","",IFERROR(INDEX(Ingredients!$B$5:$B$304,MATCH(A14,Ingredients!$A$5:$A$304,0)),""))</f>
        <v>0</v>
      </c>
      <c r="C14" s="26"/>
      <c r="D14" s="27"/>
      <c r="E14" s="27"/>
      <c r="F14" s="30"/>
      <c r="G14" s="30"/>
      <c r="H14" s="8">
        <f>IF(A14="","",IFERROR(INDEX(Ingredients!$M$5:$M$304,MATCH(A14,Ingredients!$A$5:$A$304,0)),""))</f>
        <v>0</v>
      </c>
      <c r="I14" s="8">
        <f>IF(OR(A14="",H14=""),"",IF(G14&lt;&gt;"",G14+H14,IF(F14&lt;&gt;"",F14+H14,"")))</f>
        <v>0</v>
      </c>
      <c r="J14" s="8">
        <f>IF(OR(A14="",I14=""),"",I14-TODAY())</f>
        <v>0</v>
      </c>
      <c r="K14" s="8">
        <f>IF(A14="","",IF(J14="","No date",IF(J14&lt;0,"Expired",IF(J14&lt;=Expiry_Warning_Days,"Use soon","Fresh"))))</f>
        <v>0</v>
      </c>
      <c r="L14" s="8">
        <f>IF(A14="","",COUNTIFS('Recipe Ingredients'!$B$5:$B$1204,A14))</f>
        <v>0</v>
      </c>
      <c r="M14" s="8">
        <f>IF(A14="","",IFERROR(INDEX(Ingredients!$X$5:$X$304,MATCH(A14,Ingredients!$A$5:$A$304,0)),""))</f>
        <v>0</v>
      </c>
      <c r="N14" s="8">
        <f>IF(OR(A14="",M14=""),"",IF(M14&lt;1,MAX(0,1*IFERROR(IFERROR(INDEX(Ingredients!$U$5:$U$304,MATCH(A14,Ingredients!$A$5:$A$304,0)),""),0)-C14),0))</f>
        <v>0</v>
      </c>
      <c r="O14" s="8">
        <f>IF(A14="","",IF(M14="","",IF(M14&lt;1,"Low","OK")))</f>
        <v>0</v>
      </c>
      <c r="P14" s="8">
        <f>IF(OR(A14="",C14=""),"",IFERROR(C14*IFERROR(INDEX(Ingredients!$D$5:$D$304,MATCH(A14,Ingredients!$A$5:$A$304,0)),""),""))</f>
        <v>0</v>
      </c>
      <c r="Q14" s="8">
        <f>IF(OR(E14&lt;&gt;"Fridge",J14=""),"",SUMPRODUCT(($E$5:$E$304="Fridge")*($J$5:$J$304&lt;J14))+SUMPRODUCT(($E$5:$E$304="Fridge")*($J$5:$J$304=J14)*(ROW($J$5:$J$304)&lt;ROW()))+1)</f>
        <v>0</v>
      </c>
      <c r="R14" s="8">
        <f>IF(OR(E14&lt;&gt;"Freezer",J14=""),"",SUMPRODUCT(($E$5:$E$304="Freezer")*($J$5:$J$304&lt;J14))+SUMPRODUCT(($E$5:$E$304="Freezer")*($J$5:$J$304=J14)*(ROW($J$5:$J$304)&lt;ROW()))+1)</f>
        <v>0</v>
      </c>
      <c r="S14" s="7"/>
      <c r="T14" s="27"/>
      <c r="U14" s="28"/>
      <c r="V14" s="27"/>
      <c r="W14" s="7"/>
      <c r="X14" s="26"/>
      <c r="Y14" s="8">
        <f>IF(A14="","",IF(K14="Expired","Bin it",IF(K14="Use soon","Cook it",IF(O14="Low","Running low","Keep"))))</f>
        <v>0</v>
      </c>
      <c r="Z14" s="25"/>
    </row>
    <row r="15" spans="1:26">
      <c r="A15" s="7"/>
      <c r="B15" s="8">
        <f>IF(A15="","",IFERROR(INDEX(Ingredients!$B$5:$B$304,MATCH(A15,Ingredients!$A$5:$A$304,0)),""))</f>
        <v>0</v>
      </c>
      <c r="C15" s="26"/>
      <c r="D15" s="27"/>
      <c r="E15" s="27"/>
      <c r="F15" s="30"/>
      <c r="G15" s="30"/>
      <c r="H15" s="8">
        <f>IF(A15="","",IFERROR(INDEX(Ingredients!$M$5:$M$304,MATCH(A15,Ingredients!$A$5:$A$304,0)),""))</f>
        <v>0</v>
      </c>
      <c r="I15" s="8">
        <f>IF(OR(A15="",H15=""),"",IF(G15&lt;&gt;"",G15+H15,IF(F15&lt;&gt;"",F15+H15,"")))</f>
        <v>0</v>
      </c>
      <c r="J15" s="8">
        <f>IF(OR(A15="",I15=""),"",I15-TODAY())</f>
        <v>0</v>
      </c>
      <c r="K15" s="8">
        <f>IF(A15="","",IF(J15="","No date",IF(J15&lt;0,"Expired",IF(J15&lt;=Expiry_Warning_Days,"Use soon","Fresh"))))</f>
        <v>0</v>
      </c>
      <c r="L15" s="8">
        <f>IF(A15="","",COUNTIFS('Recipe Ingredients'!$B$5:$B$1204,A15))</f>
        <v>0</v>
      </c>
      <c r="M15" s="8">
        <f>IF(A15="","",IFERROR(INDEX(Ingredients!$X$5:$X$304,MATCH(A15,Ingredients!$A$5:$A$304,0)),""))</f>
        <v>0</v>
      </c>
      <c r="N15" s="8">
        <f>IF(OR(A15="",M15=""),"",IF(M15&lt;1,MAX(0,1*IFERROR(IFERROR(INDEX(Ingredients!$U$5:$U$304,MATCH(A15,Ingredients!$A$5:$A$304,0)),""),0)-C15),0))</f>
        <v>0</v>
      </c>
      <c r="O15" s="8">
        <f>IF(A15="","",IF(M15="","",IF(M15&lt;1,"Low","OK")))</f>
        <v>0</v>
      </c>
      <c r="P15" s="8">
        <f>IF(OR(A15="",C15=""),"",IFERROR(C15*IFERROR(INDEX(Ingredients!$D$5:$D$304,MATCH(A15,Ingredients!$A$5:$A$304,0)),""),""))</f>
        <v>0</v>
      </c>
      <c r="Q15" s="8">
        <f>IF(OR(E15&lt;&gt;"Fridge",J15=""),"",SUMPRODUCT(($E$5:$E$304="Fridge")*($J$5:$J$304&lt;J15))+SUMPRODUCT(($E$5:$E$304="Fridge")*($J$5:$J$304=J15)*(ROW($J$5:$J$304)&lt;ROW()))+1)</f>
        <v>0</v>
      </c>
      <c r="R15" s="8">
        <f>IF(OR(E15&lt;&gt;"Freezer",J15=""),"",SUMPRODUCT(($E$5:$E$304="Freezer")*($J$5:$J$304&lt;J15))+SUMPRODUCT(($E$5:$E$304="Freezer")*($J$5:$J$304=J15)*(ROW($J$5:$J$304)&lt;ROW()))+1)</f>
        <v>0</v>
      </c>
      <c r="S15" s="7"/>
      <c r="T15" s="27"/>
      <c r="U15" s="28"/>
      <c r="V15" s="27"/>
      <c r="W15" s="7"/>
      <c r="X15" s="26"/>
      <c r="Y15" s="8">
        <f>IF(A15="","",IF(K15="Expired","Bin it",IF(K15="Use soon","Cook it",IF(O15="Low","Running low","Keep"))))</f>
        <v>0</v>
      </c>
      <c r="Z15" s="25"/>
    </row>
    <row r="16" spans="1:26">
      <c r="A16" s="7"/>
      <c r="B16" s="8">
        <f>IF(A16="","",IFERROR(INDEX(Ingredients!$B$5:$B$304,MATCH(A16,Ingredients!$A$5:$A$304,0)),""))</f>
        <v>0</v>
      </c>
      <c r="C16" s="26"/>
      <c r="D16" s="27"/>
      <c r="E16" s="27"/>
      <c r="F16" s="30"/>
      <c r="G16" s="30"/>
      <c r="H16" s="8">
        <f>IF(A16="","",IFERROR(INDEX(Ingredients!$M$5:$M$304,MATCH(A16,Ingredients!$A$5:$A$304,0)),""))</f>
        <v>0</v>
      </c>
      <c r="I16" s="8">
        <f>IF(OR(A16="",H16=""),"",IF(G16&lt;&gt;"",G16+H16,IF(F16&lt;&gt;"",F16+H16,"")))</f>
        <v>0</v>
      </c>
      <c r="J16" s="8">
        <f>IF(OR(A16="",I16=""),"",I16-TODAY())</f>
        <v>0</v>
      </c>
      <c r="K16" s="8">
        <f>IF(A16="","",IF(J16="","No date",IF(J16&lt;0,"Expired",IF(J16&lt;=Expiry_Warning_Days,"Use soon","Fresh"))))</f>
        <v>0</v>
      </c>
      <c r="L16" s="8">
        <f>IF(A16="","",COUNTIFS('Recipe Ingredients'!$B$5:$B$1204,A16))</f>
        <v>0</v>
      </c>
      <c r="M16" s="8">
        <f>IF(A16="","",IFERROR(INDEX(Ingredients!$X$5:$X$304,MATCH(A16,Ingredients!$A$5:$A$304,0)),""))</f>
        <v>0</v>
      </c>
      <c r="N16" s="8">
        <f>IF(OR(A16="",M16=""),"",IF(M16&lt;1,MAX(0,1*IFERROR(IFERROR(INDEX(Ingredients!$U$5:$U$304,MATCH(A16,Ingredients!$A$5:$A$304,0)),""),0)-C16),0))</f>
        <v>0</v>
      </c>
      <c r="O16" s="8">
        <f>IF(A16="","",IF(M16="","",IF(M16&lt;1,"Low","OK")))</f>
        <v>0</v>
      </c>
      <c r="P16" s="8">
        <f>IF(OR(A16="",C16=""),"",IFERROR(C16*IFERROR(INDEX(Ingredients!$D$5:$D$304,MATCH(A16,Ingredients!$A$5:$A$304,0)),""),""))</f>
        <v>0</v>
      </c>
      <c r="Q16" s="8">
        <f>IF(OR(E16&lt;&gt;"Fridge",J16=""),"",SUMPRODUCT(($E$5:$E$304="Fridge")*($J$5:$J$304&lt;J16))+SUMPRODUCT(($E$5:$E$304="Fridge")*($J$5:$J$304=J16)*(ROW($J$5:$J$304)&lt;ROW()))+1)</f>
        <v>0</v>
      </c>
      <c r="R16" s="8">
        <f>IF(OR(E16&lt;&gt;"Freezer",J16=""),"",SUMPRODUCT(($E$5:$E$304="Freezer")*($J$5:$J$304&lt;J16))+SUMPRODUCT(($E$5:$E$304="Freezer")*($J$5:$J$304=J16)*(ROW($J$5:$J$304)&lt;ROW()))+1)</f>
        <v>0</v>
      </c>
      <c r="S16" s="7"/>
      <c r="T16" s="27"/>
      <c r="U16" s="28"/>
      <c r="V16" s="27"/>
      <c r="W16" s="7"/>
      <c r="X16" s="26"/>
      <c r="Y16" s="8">
        <f>IF(A16="","",IF(K16="Expired","Bin it",IF(K16="Use soon","Cook it",IF(O16="Low","Running low","Keep"))))</f>
        <v>0</v>
      </c>
      <c r="Z16" s="25"/>
    </row>
    <row r="17" spans="1:26">
      <c r="A17" s="7"/>
      <c r="B17" s="8">
        <f>IF(A17="","",IFERROR(INDEX(Ingredients!$B$5:$B$304,MATCH(A17,Ingredients!$A$5:$A$304,0)),""))</f>
        <v>0</v>
      </c>
      <c r="C17" s="26"/>
      <c r="D17" s="27"/>
      <c r="E17" s="27"/>
      <c r="F17" s="30"/>
      <c r="G17" s="30"/>
      <c r="H17" s="8">
        <f>IF(A17="","",IFERROR(INDEX(Ingredients!$M$5:$M$304,MATCH(A17,Ingredients!$A$5:$A$304,0)),""))</f>
        <v>0</v>
      </c>
      <c r="I17" s="8">
        <f>IF(OR(A17="",H17=""),"",IF(G17&lt;&gt;"",G17+H17,IF(F17&lt;&gt;"",F17+H17,"")))</f>
        <v>0</v>
      </c>
      <c r="J17" s="8">
        <f>IF(OR(A17="",I17=""),"",I17-TODAY())</f>
        <v>0</v>
      </c>
      <c r="K17" s="8">
        <f>IF(A17="","",IF(J17="","No date",IF(J17&lt;0,"Expired",IF(J17&lt;=Expiry_Warning_Days,"Use soon","Fresh"))))</f>
        <v>0</v>
      </c>
      <c r="L17" s="8">
        <f>IF(A17="","",COUNTIFS('Recipe Ingredients'!$B$5:$B$1204,A17))</f>
        <v>0</v>
      </c>
      <c r="M17" s="8">
        <f>IF(A17="","",IFERROR(INDEX(Ingredients!$X$5:$X$304,MATCH(A17,Ingredients!$A$5:$A$304,0)),""))</f>
        <v>0</v>
      </c>
      <c r="N17" s="8">
        <f>IF(OR(A17="",M17=""),"",IF(M17&lt;1,MAX(0,1*IFERROR(IFERROR(INDEX(Ingredients!$U$5:$U$304,MATCH(A17,Ingredients!$A$5:$A$304,0)),""),0)-C17),0))</f>
        <v>0</v>
      </c>
      <c r="O17" s="8">
        <f>IF(A17="","",IF(M17="","",IF(M17&lt;1,"Low","OK")))</f>
        <v>0</v>
      </c>
      <c r="P17" s="8">
        <f>IF(OR(A17="",C17=""),"",IFERROR(C17*IFERROR(INDEX(Ingredients!$D$5:$D$304,MATCH(A17,Ingredients!$A$5:$A$304,0)),""),""))</f>
        <v>0</v>
      </c>
      <c r="Q17" s="8">
        <f>IF(OR(E17&lt;&gt;"Fridge",J17=""),"",SUMPRODUCT(($E$5:$E$304="Fridge")*($J$5:$J$304&lt;J17))+SUMPRODUCT(($E$5:$E$304="Fridge")*($J$5:$J$304=J17)*(ROW($J$5:$J$304)&lt;ROW()))+1)</f>
        <v>0</v>
      </c>
      <c r="R17" s="8">
        <f>IF(OR(E17&lt;&gt;"Freezer",J17=""),"",SUMPRODUCT(($E$5:$E$304="Freezer")*($J$5:$J$304&lt;J17))+SUMPRODUCT(($E$5:$E$304="Freezer")*($J$5:$J$304=J17)*(ROW($J$5:$J$304)&lt;ROW()))+1)</f>
        <v>0</v>
      </c>
      <c r="S17" s="7"/>
      <c r="T17" s="27"/>
      <c r="U17" s="28"/>
      <c r="V17" s="27"/>
      <c r="W17" s="7"/>
      <c r="X17" s="26"/>
      <c r="Y17" s="8">
        <f>IF(A17="","",IF(K17="Expired","Bin it",IF(K17="Use soon","Cook it",IF(O17="Low","Running low","Keep"))))</f>
        <v>0</v>
      </c>
      <c r="Z17" s="25"/>
    </row>
    <row r="18" spans="1:26">
      <c r="A18" s="7"/>
      <c r="B18" s="8">
        <f>IF(A18="","",IFERROR(INDEX(Ingredients!$B$5:$B$304,MATCH(A18,Ingredients!$A$5:$A$304,0)),""))</f>
        <v>0</v>
      </c>
      <c r="C18" s="26"/>
      <c r="D18" s="27"/>
      <c r="E18" s="27"/>
      <c r="F18" s="30"/>
      <c r="G18" s="30"/>
      <c r="H18" s="8">
        <f>IF(A18="","",IFERROR(INDEX(Ingredients!$M$5:$M$304,MATCH(A18,Ingredients!$A$5:$A$304,0)),""))</f>
        <v>0</v>
      </c>
      <c r="I18" s="8">
        <f>IF(OR(A18="",H18=""),"",IF(G18&lt;&gt;"",G18+H18,IF(F18&lt;&gt;"",F18+H18,"")))</f>
        <v>0</v>
      </c>
      <c r="J18" s="8">
        <f>IF(OR(A18="",I18=""),"",I18-TODAY())</f>
        <v>0</v>
      </c>
      <c r="K18" s="8">
        <f>IF(A18="","",IF(J18="","No date",IF(J18&lt;0,"Expired",IF(J18&lt;=Expiry_Warning_Days,"Use soon","Fresh"))))</f>
        <v>0</v>
      </c>
      <c r="L18" s="8">
        <f>IF(A18="","",COUNTIFS('Recipe Ingredients'!$B$5:$B$1204,A18))</f>
        <v>0</v>
      </c>
      <c r="M18" s="8">
        <f>IF(A18="","",IFERROR(INDEX(Ingredients!$X$5:$X$304,MATCH(A18,Ingredients!$A$5:$A$304,0)),""))</f>
        <v>0</v>
      </c>
      <c r="N18" s="8">
        <f>IF(OR(A18="",M18=""),"",IF(M18&lt;1,MAX(0,1*IFERROR(IFERROR(INDEX(Ingredients!$U$5:$U$304,MATCH(A18,Ingredients!$A$5:$A$304,0)),""),0)-C18),0))</f>
        <v>0</v>
      </c>
      <c r="O18" s="8">
        <f>IF(A18="","",IF(M18="","",IF(M18&lt;1,"Low","OK")))</f>
        <v>0</v>
      </c>
      <c r="P18" s="8">
        <f>IF(OR(A18="",C18=""),"",IFERROR(C18*IFERROR(INDEX(Ingredients!$D$5:$D$304,MATCH(A18,Ingredients!$A$5:$A$304,0)),""),""))</f>
        <v>0</v>
      </c>
      <c r="Q18" s="8">
        <f>IF(OR(E18&lt;&gt;"Fridge",J18=""),"",SUMPRODUCT(($E$5:$E$304="Fridge")*($J$5:$J$304&lt;J18))+SUMPRODUCT(($E$5:$E$304="Fridge")*($J$5:$J$304=J18)*(ROW($J$5:$J$304)&lt;ROW()))+1)</f>
        <v>0</v>
      </c>
      <c r="R18" s="8">
        <f>IF(OR(E18&lt;&gt;"Freezer",J18=""),"",SUMPRODUCT(($E$5:$E$304="Freezer")*($J$5:$J$304&lt;J18))+SUMPRODUCT(($E$5:$E$304="Freezer")*($J$5:$J$304=J18)*(ROW($J$5:$J$304)&lt;ROW()))+1)</f>
        <v>0</v>
      </c>
      <c r="S18" s="7"/>
      <c r="T18" s="27"/>
      <c r="U18" s="28"/>
      <c r="V18" s="27"/>
      <c r="W18" s="7"/>
      <c r="X18" s="26"/>
      <c r="Y18" s="8">
        <f>IF(A18="","",IF(K18="Expired","Bin it",IF(K18="Use soon","Cook it",IF(O18="Low","Running low","Keep"))))</f>
        <v>0</v>
      </c>
      <c r="Z18" s="25"/>
    </row>
    <row r="19" spans="1:26">
      <c r="A19" s="7"/>
      <c r="B19" s="8">
        <f>IF(A19="","",IFERROR(INDEX(Ingredients!$B$5:$B$304,MATCH(A19,Ingredients!$A$5:$A$304,0)),""))</f>
        <v>0</v>
      </c>
      <c r="C19" s="26"/>
      <c r="D19" s="27"/>
      <c r="E19" s="27"/>
      <c r="F19" s="30"/>
      <c r="G19" s="30"/>
      <c r="H19" s="8">
        <f>IF(A19="","",IFERROR(INDEX(Ingredients!$M$5:$M$304,MATCH(A19,Ingredients!$A$5:$A$304,0)),""))</f>
        <v>0</v>
      </c>
      <c r="I19" s="8">
        <f>IF(OR(A19="",H19=""),"",IF(G19&lt;&gt;"",G19+H19,IF(F19&lt;&gt;"",F19+H19,"")))</f>
        <v>0</v>
      </c>
      <c r="J19" s="8">
        <f>IF(OR(A19="",I19=""),"",I19-TODAY())</f>
        <v>0</v>
      </c>
      <c r="K19" s="8">
        <f>IF(A19="","",IF(J19="","No date",IF(J19&lt;0,"Expired",IF(J19&lt;=Expiry_Warning_Days,"Use soon","Fresh"))))</f>
        <v>0</v>
      </c>
      <c r="L19" s="8">
        <f>IF(A19="","",COUNTIFS('Recipe Ingredients'!$B$5:$B$1204,A19))</f>
        <v>0</v>
      </c>
      <c r="M19" s="8">
        <f>IF(A19="","",IFERROR(INDEX(Ingredients!$X$5:$X$304,MATCH(A19,Ingredients!$A$5:$A$304,0)),""))</f>
        <v>0</v>
      </c>
      <c r="N19" s="8">
        <f>IF(OR(A19="",M19=""),"",IF(M19&lt;1,MAX(0,1*IFERROR(IFERROR(INDEX(Ingredients!$U$5:$U$304,MATCH(A19,Ingredients!$A$5:$A$304,0)),""),0)-C19),0))</f>
        <v>0</v>
      </c>
      <c r="O19" s="8">
        <f>IF(A19="","",IF(M19="","",IF(M19&lt;1,"Low","OK")))</f>
        <v>0</v>
      </c>
      <c r="P19" s="8">
        <f>IF(OR(A19="",C19=""),"",IFERROR(C19*IFERROR(INDEX(Ingredients!$D$5:$D$304,MATCH(A19,Ingredients!$A$5:$A$304,0)),""),""))</f>
        <v>0</v>
      </c>
      <c r="Q19" s="8">
        <f>IF(OR(E19&lt;&gt;"Fridge",J19=""),"",SUMPRODUCT(($E$5:$E$304="Fridge")*($J$5:$J$304&lt;J19))+SUMPRODUCT(($E$5:$E$304="Fridge")*($J$5:$J$304=J19)*(ROW($J$5:$J$304)&lt;ROW()))+1)</f>
        <v>0</v>
      </c>
      <c r="R19" s="8">
        <f>IF(OR(E19&lt;&gt;"Freezer",J19=""),"",SUMPRODUCT(($E$5:$E$304="Freezer")*($J$5:$J$304&lt;J19))+SUMPRODUCT(($E$5:$E$304="Freezer")*($J$5:$J$304=J19)*(ROW($J$5:$J$304)&lt;ROW()))+1)</f>
        <v>0</v>
      </c>
      <c r="S19" s="7"/>
      <c r="T19" s="27"/>
      <c r="U19" s="28"/>
      <c r="V19" s="27"/>
      <c r="W19" s="7"/>
      <c r="X19" s="26"/>
      <c r="Y19" s="8">
        <f>IF(A19="","",IF(K19="Expired","Bin it",IF(K19="Use soon","Cook it",IF(O19="Low","Running low","Keep"))))</f>
        <v>0</v>
      </c>
      <c r="Z19" s="25"/>
    </row>
    <row r="20" spans="1:26">
      <c r="A20" s="7"/>
      <c r="B20" s="8">
        <f>IF(A20="","",IFERROR(INDEX(Ingredients!$B$5:$B$304,MATCH(A20,Ingredients!$A$5:$A$304,0)),""))</f>
        <v>0</v>
      </c>
      <c r="C20" s="26"/>
      <c r="D20" s="27"/>
      <c r="E20" s="27"/>
      <c r="F20" s="30"/>
      <c r="G20" s="30"/>
      <c r="H20" s="8">
        <f>IF(A20="","",IFERROR(INDEX(Ingredients!$M$5:$M$304,MATCH(A20,Ingredients!$A$5:$A$304,0)),""))</f>
        <v>0</v>
      </c>
      <c r="I20" s="8">
        <f>IF(OR(A20="",H20=""),"",IF(G20&lt;&gt;"",G20+H20,IF(F20&lt;&gt;"",F20+H20,"")))</f>
        <v>0</v>
      </c>
      <c r="J20" s="8">
        <f>IF(OR(A20="",I20=""),"",I20-TODAY())</f>
        <v>0</v>
      </c>
      <c r="K20" s="8">
        <f>IF(A20="","",IF(J20="","No date",IF(J20&lt;0,"Expired",IF(J20&lt;=Expiry_Warning_Days,"Use soon","Fresh"))))</f>
        <v>0</v>
      </c>
      <c r="L20" s="8">
        <f>IF(A20="","",COUNTIFS('Recipe Ingredients'!$B$5:$B$1204,A20))</f>
        <v>0</v>
      </c>
      <c r="M20" s="8">
        <f>IF(A20="","",IFERROR(INDEX(Ingredients!$X$5:$X$304,MATCH(A20,Ingredients!$A$5:$A$304,0)),""))</f>
        <v>0</v>
      </c>
      <c r="N20" s="8">
        <f>IF(OR(A20="",M20=""),"",IF(M20&lt;1,MAX(0,1*IFERROR(IFERROR(INDEX(Ingredients!$U$5:$U$304,MATCH(A20,Ingredients!$A$5:$A$304,0)),""),0)-C20),0))</f>
        <v>0</v>
      </c>
      <c r="O20" s="8">
        <f>IF(A20="","",IF(M20="","",IF(M20&lt;1,"Low","OK")))</f>
        <v>0</v>
      </c>
      <c r="P20" s="8">
        <f>IF(OR(A20="",C20=""),"",IFERROR(C20*IFERROR(INDEX(Ingredients!$D$5:$D$304,MATCH(A20,Ingredients!$A$5:$A$304,0)),""),""))</f>
        <v>0</v>
      </c>
      <c r="Q20" s="8">
        <f>IF(OR(E20&lt;&gt;"Fridge",J20=""),"",SUMPRODUCT(($E$5:$E$304="Fridge")*($J$5:$J$304&lt;J20))+SUMPRODUCT(($E$5:$E$304="Fridge")*($J$5:$J$304=J20)*(ROW($J$5:$J$304)&lt;ROW()))+1)</f>
        <v>0</v>
      </c>
      <c r="R20" s="8">
        <f>IF(OR(E20&lt;&gt;"Freezer",J20=""),"",SUMPRODUCT(($E$5:$E$304="Freezer")*($J$5:$J$304&lt;J20))+SUMPRODUCT(($E$5:$E$304="Freezer")*($J$5:$J$304=J20)*(ROW($J$5:$J$304)&lt;ROW()))+1)</f>
        <v>0</v>
      </c>
      <c r="S20" s="7"/>
      <c r="T20" s="27"/>
      <c r="U20" s="28"/>
      <c r="V20" s="27"/>
      <c r="W20" s="7"/>
      <c r="X20" s="26"/>
      <c r="Y20" s="8">
        <f>IF(A20="","",IF(K20="Expired","Bin it",IF(K20="Use soon","Cook it",IF(O20="Low","Running low","Keep"))))</f>
        <v>0</v>
      </c>
      <c r="Z20" s="25"/>
    </row>
    <row r="21" spans="1:26">
      <c r="A21" s="7"/>
      <c r="B21" s="8">
        <f>IF(A21="","",IFERROR(INDEX(Ingredients!$B$5:$B$304,MATCH(A21,Ingredients!$A$5:$A$304,0)),""))</f>
        <v>0</v>
      </c>
      <c r="C21" s="26"/>
      <c r="D21" s="27"/>
      <c r="E21" s="27"/>
      <c r="F21" s="30"/>
      <c r="G21" s="30"/>
      <c r="H21" s="8">
        <f>IF(A21="","",IFERROR(INDEX(Ingredients!$M$5:$M$304,MATCH(A21,Ingredients!$A$5:$A$304,0)),""))</f>
        <v>0</v>
      </c>
      <c r="I21" s="8">
        <f>IF(OR(A21="",H21=""),"",IF(G21&lt;&gt;"",G21+H21,IF(F21&lt;&gt;"",F21+H21,"")))</f>
        <v>0</v>
      </c>
      <c r="J21" s="8">
        <f>IF(OR(A21="",I21=""),"",I21-TODAY())</f>
        <v>0</v>
      </c>
      <c r="K21" s="8">
        <f>IF(A21="","",IF(J21="","No date",IF(J21&lt;0,"Expired",IF(J21&lt;=Expiry_Warning_Days,"Use soon","Fresh"))))</f>
        <v>0</v>
      </c>
      <c r="L21" s="8">
        <f>IF(A21="","",COUNTIFS('Recipe Ingredients'!$B$5:$B$1204,A21))</f>
        <v>0</v>
      </c>
      <c r="M21" s="8">
        <f>IF(A21="","",IFERROR(INDEX(Ingredients!$X$5:$X$304,MATCH(A21,Ingredients!$A$5:$A$304,0)),""))</f>
        <v>0</v>
      </c>
      <c r="N21" s="8">
        <f>IF(OR(A21="",M21=""),"",IF(M21&lt;1,MAX(0,1*IFERROR(IFERROR(INDEX(Ingredients!$U$5:$U$304,MATCH(A21,Ingredients!$A$5:$A$304,0)),""),0)-C21),0))</f>
        <v>0</v>
      </c>
      <c r="O21" s="8">
        <f>IF(A21="","",IF(M21="","",IF(M21&lt;1,"Low","OK")))</f>
        <v>0</v>
      </c>
      <c r="P21" s="8">
        <f>IF(OR(A21="",C21=""),"",IFERROR(C21*IFERROR(INDEX(Ingredients!$D$5:$D$304,MATCH(A21,Ingredients!$A$5:$A$304,0)),""),""))</f>
        <v>0</v>
      </c>
      <c r="Q21" s="8">
        <f>IF(OR(E21&lt;&gt;"Fridge",J21=""),"",SUMPRODUCT(($E$5:$E$304="Fridge")*($J$5:$J$304&lt;J21))+SUMPRODUCT(($E$5:$E$304="Fridge")*($J$5:$J$304=J21)*(ROW($J$5:$J$304)&lt;ROW()))+1)</f>
        <v>0</v>
      </c>
      <c r="R21" s="8">
        <f>IF(OR(E21&lt;&gt;"Freezer",J21=""),"",SUMPRODUCT(($E$5:$E$304="Freezer")*($J$5:$J$304&lt;J21))+SUMPRODUCT(($E$5:$E$304="Freezer")*($J$5:$J$304=J21)*(ROW($J$5:$J$304)&lt;ROW()))+1)</f>
        <v>0</v>
      </c>
      <c r="S21" s="7"/>
      <c r="T21" s="27"/>
      <c r="U21" s="28"/>
      <c r="V21" s="27"/>
      <c r="W21" s="7"/>
      <c r="X21" s="26"/>
      <c r="Y21" s="8">
        <f>IF(A21="","",IF(K21="Expired","Bin it",IF(K21="Use soon","Cook it",IF(O21="Low","Running low","Keep"))))</f>
        <v>0</v>
      </c>
      <c r="Z21" s="25"/>
    </row>
    <row r="22" spans="1:26">
      <c r="A22" s="7"/>
      <c r="B22" s="8">
        <f>IF(A22="","",IFERROR(INDEX(Ingredients!$B$5:$B$304,MATCH(A22,Ingredients!$A$5:$A$304,0)),""))</f>
        <v>0</v>
      </c>
      <c r="C22" s="26"/>
      <c r="D22" s="27"/>
      <c r="E22" s="27"/>
      <c r="F22" s="30"/>
      <c r="G22" s="30"/>
      <c r="H22" s="8">
        <f>IF(A22="","",IFERROR(INDEX(Ingredients!$M$5:$M$304,MATCH(A22,Ingredients!$A$5:$A$304,0)),""))</f>
        <v>0</v>
      </c>
      <c r="I22" s="8">
        <f>IF(OR(A22="",H22=""),"",IF(G22&lt;&gt;"",G22+H22,IF(F22&lt;&gt;"",F22+H22,"")))</f>
        <v>0</v>
      </c>
      <c r="J22" s="8">
        <f>IF(OR(A22="",I22=""),"",I22-TODAY())</f>
        <v>0</v>
      </c>
      <c r="K22" s="8">
        <f>IF(A22="","",IF(J22="","No date",IF(J22&lt;0,"Expired",IF(J22&lt;=Expiry_Warning_Days,"Use soon","Fresh"))))</f>
        <v>0</v>
      </c>
      <c r="L22" s="8">
        <f>IF(A22="","",COUNTIFS('Recipe Ingredients'!$B$5:$B$1204,A22))</f>
        <v>0</v>
      </c>
      <c r="M22" s="8">
        <f>IF(A22="","",IFERROR(INDEX(Ingredients!$X$5:$X$304,MATCH(A22,Ingredients!$A$5:$A$304,0)),""))</f>
        <v>0</v>
      </c>
      <c r="N22" s="8">
        <f>IF(OR(A22="",M22=""),"",IF(M22&lt;1,MAX(0,1*IFERROR(IFERROR(INDEX(Ingredients!$U$5:$U$304,MATCH(A22,Ingredients!$A$5:$A$304,0)),""),0)-C22),0))</f>
        <v>0</v>
      </c>
      <c r="O22" s="8">
        <f>IF(A22="","",IF(M22="","",IF(M22&lt;1,"Low","OK")))</f>
        <v>0</v>
      </c>
      <c r="P22" s="8">
        <f>IF(OR(A22="",C22=""),"",IFERROR(C22*IFERROR(INDEX(Ingredients!$D$5:$D$304,MATCH(A22,Ingredients!$A$5:$A$304,0)),""),""))</f>
        <v>0</v>
      </c>
      <c r="Q22" s="8">
        <f>IF(OR(E22&lt;&gt;"Fridge",J22=""),"",SUMPRODUCT(($E$5:$E$304="Fridge")*($J$5:$J$304&lt;J22))+SUMPRODUCT(($E$5:$E$304="Fridge")*($J$5:$J$304=J22)*(ROW($J$5:$J$304)&lt;ROW()))+1)</f>
        <v>0</v>
      </c>
      <c r="R22" s="8">
        <f>IF(OR(E22&lt;&gt;"Freezer",J22=""),"",SUMPRODUCT(($E$5:$E$304="Freezer")*($J$5:$J$304&lt;J22))+SUMPRODUCT(($E$5:$E$304="Freezer")*($J$5:$J$304=J22)*(ROW($J$5:$J$304)&lt;ROW()))+1)</f>
        <v>0</v>
      </c>
      <c r="S22" s="7"/>
      <c r="T22" s="27"/>
      <c r="U22" s="28"/>
      <c r="V22" s="27"/>
      <c r="W22" s="7"/>
      <c r="X22" s="26"/>
      <c r="Y22" s="8">
        <f>IF(A22="","",IF(K22="Expired","Bin it",IF(K22="Use soon","Cook it",IF(O22="Low","Running low","Keep"))))</f>
        <v>0</v>
      </c>
      <c r="Z22" s="25"/>
    </row>
    <row r="23" spans="1:26">
      <c r="A23" s="7"/>
      <c r="B23" s="8">
        <f>IF(A23="","",IFERROR(INDEX(Ingredients!$B$5:$B$304,MATCH(A23,Ingredients!$A$5:$A$304,0)),""))</f>
        <v>0</v>
      </c>
      <c r="C23" s="26"/>
      <c r="D23" s="27"/>
      <c r="E23" s="27"/>
      <c r="F23" s="30"/>
      <c r="G23" s="30"/>
      <c r="H23" s="8">
        <f>IF(A23="","",IFERROR(INDEX(Ingredients!$M$5:$M$304,MATCH(A23,Ingredients!$A$5:$A$304,0)),""))</f>
        <v>0</v>
      </c>
      <c r="I23" s="8">
        <f>IF(OR(A23="",H23=""),"",IF(G23&lt;&gt;"",G23+H23,IF(F23&lt;&gt;"",F23+H23,"")))</f>
        <v>0</v>
      </c>
      <c r="J23" s="8">
        <f>IF(OR(A23="",I23=""),"",I23-TODAY())</f>
        <v>0</v>
      </c>
      <c r="K23" s="8">
        <f>IF(A23="","",IF(J23="","No date",IF(J23&lt;0,"Expired",IF(J23&lt;=Expiry_Warning_Days,"Use soon","Fresh"))))</f>
        <v>0</v>
      </c>
      <c r="L23" s="8">
        <f>IF(A23="","",COUNTIFS('Recipe Ingredients'!$B$5:$B$1204,A23))</f>
        <v>0</v>
      </c>
      <c r="M23" s="8">
        <f>IF(A23="","",IFERROR(INDEX(Ingredients!$X$5:$X$304,MATCH(A23,Ingredients!$A$5:$A$304,0)),""))</f>
        <v>0</v>
      </c>
      <c r="N23" s="8">
        <f>IF(OR(A23="",M23=""),"",IF(M23&lt;1,MAX(0,1*IFERROR(IFERROR(INDEX(Ingredients!$U$5:$U$304,MATCH(A23,Ingredients!$A$5:$A$304,0)),""),0)-C23),0))</f>
        <v>0</v>
      </c>
      <c r="O23" s="8">
        <f>IF(A23="","",IF(M23="","",IF(M23&lt;1,"Low","OK")))</f>
        <v>0</v>
      </c>
      <c r="P23" s="8">
        <f>IF(OR(A23="",C23=""),"",IFERROR(C23*IFERROR(INDEX(Ingredients!$D$5:$D$304,MATCH(A23,Ingredients!$A$5:$A$304,0)),""),""))</f>
        <v>0</v>
      </c>
      <c r="Q23" s="8">
        <f>IF(OR(E23&lt;&gt;"Fridge",J23=""),"",SUMPRODUCT(($E$5:$E$304="Fridge")*($J$5:$J$304&lt;J23))+SUMPRODUCT(($E$5:$E$304="Fridge")*($J$5:$J$304=J23)*(ROW($J$5:$J$304)&lt;ROW()))+1)</f>
        <v>0</v>
      </c>
      <c r="R23" s="8">
        <f>IF(OR(E23&lt;&gt;"Freezer",J23=""),"",SUMPRODUCT(($E$5:$E$304="Freezer")*($J$5:$J$304&lt;J23))+SUMPRODUCT(($E$5:$E$304="Freezer")*($J$5:$J$304=J23)*(ROW($J$5:$J$304)&lt;ROW()))+1)</f>
        <v>0</v>
      </c>
      <c r="S23" s="7"/>
      <c r="T23" s="27"/>
      <c r="U23" s="28"/>
      <c r="V23" s="27"/>
      <c r="W23" s="7"/>
      <c r="X23" s="26"/>
      <c r="Y23" s="8">
        <f>IF(A23="","",IF(K23="Expired","Bin it",IF(K23="Use soon","Cook it",IF(O23="Low","Running low","Keep"))))</f>
        <v>0</v>
      </c>
      <c r="Z23" s="25"/>
    </row>
    <row r="24" spans="1:26">
      <c r="A24" s="7"/>
      <c r="B24" s="8">
        <f>IF(A24="","",IFERROR(INDEX(Ingredients!$B$5:$B$304,MATCH(A24,Ingredients!$A$5:$A$304,0)),""))</f>
        <v>0</v>
      </c>
      <c r="C24" s="26"/>
      <c r="D24" s="27"/>
      <c r="E24" s="27"/>
      <c r="F24" s="30"/>
      <c r="G24" s="30"/>
      <c r="H24" s="8">
        <f>IF(A24="","",IFERROR(INDEX(Ingredients!$M$5:$M$304,MATCH(A24,Ingredients!$A$5:$A$304,0)),""))</f>
        <v>0</v>
      </c>
      <c r="I24" s="8">
        <f>IF(OR(A24="",H24=""),"",IF(G24&lt;&gt;"",G24+H24,IF(F24&lt;&gt;"",F24+H24,"")))</f>
        <v>0</v>
      </c>
      <c r="J24" s="8">
        <f>IF(OR(A24="",I24=""),"",I24-TODAY())</f>
        <v>0</v>
      </c>
      <c r="K24" s="8">
        <f>IF(A24="","",IF(J24="","No date",IF(J24&lt;0,"Expired",IF(J24&lt;=Expiry_Warning_Days,"Use soon","Fresh"))))</f>
        <v>0</v>
      </c>
      <c r="L24" s="8">
        <f>IF(A24="","",COUNTIFS('Recipe Ingredients'!$B$5:$B$1204,A24))</f>
        <v>0</v>
      </c>
      <c r="M24" s="8">
        <f>IF(A24="","",IFERROR(INDEX(Ingredients!$X$5:$X$304,MATCH(A24,Ingredients!$A$5:$A$304,0)),""))</f>
        <v>0</v>
      </c>
      <c r="N24" s="8">
        <f>IF(OR(A24="",M24=""),"",IF(M24&lt;1,MAX(0,1*IFERROR(IFERROR(INDEX(Ingredients!$U$5:$U$304,MATCH(A24,Ingredients!$A$5:$A$304,0)),""),0)-C24),0))</f>
        <v>0</v>
      </c>
      <c r="O24" s="8">
        <f>IF(A24="","",IF(M24="","",IF(M24&lt;1,"Low","OK")))</f>
        <v>0</v>
      </c>
      <c r="P24" s="8">
        <f>IF(OR(A24="",C24=""),"",IFERROR(C24*IFERROR(INDEX(Ingredients!$D$5:$D$304,MATCH(A24,Ingredients!$A$5:$A$304,0)),""),""))</f>
        <v>0</v>
      </c>
      <c r="Q24" s="8">
        <f>IF(OR(E24&lt;&gt;"Fridge",J24=""),"",SUMPRODUCT(($E$5:$E$304="Fridge")*($J$5:$J$304&lt;J24))+SUMPRODUCT(($E$5:$E$304="Fridge")*($J$5:$J$304=J24)*(ROW($J$5:$J$304)&lt;ROW()))+1)</f>
        <v>0</v>
      </c>
      <c r="R24" s="8">
        <f>IF(OR(E24&lt;&gt;"Freezer",J24=""),"",SUMPRODUCT(($E$5:$E$304="Freezer")*($J$5:$J$304&lt;J24))+SUMPRODUCT(($E$5:$E$304="Freezer")*($J$5:$J$304=J24)*(ROW($J$5:$J$304)&lt;ROW()))+1)</f>
        <v>0</v>
      </c>
      <c r="S24" s="7"/>
      <c r="T24" s="27"/>
      <c r="U24" s="28"/>
      <c r="V24" s="27"/>
      <c r="W24" s="7"/>
      <c r="X24" s="26"/>
      <c r="Y24" s="8">
        <f>IF(A24="","",IF(K24="Expired","Bin it",IF(K24="Use soon","Cook it",IF(O24="Low","Running low","Keep"))))</f>
        <v>0</v>
      </c>
      <c r="Z24" s="25"/>
    </row>
    <row r="25" spans="1:26">
      <c r="A25" s="7"/>
      <c r="B25" s="8">
        <f>IF(A25="","",IFERROR(INDEX(Ingredients!$B$5:$B$304,MATCH(A25,Ingredients!$A$5:$A$304,0)),""))</f>
        <v>0</v>
      </c>
      <c r="C25" s="26"/>
      <c r="D25" s="27"/>
      <c r="E25" s="27"/>
      <c r="F25" s="30"/>
      <c r="G25" s="30"/>
      <c r="H25" s="8">
        <f>IF(A25="","",IFERROR(INDEX(Ingredients!$M$5:$M$304,MATCH(A25,Ingredients!$A$5:$A$304,0)),""))</f>
        <v>0</v>
      </c>
      <c r="I25" s="8">
        <f>IF(OR(A25="",H25=""),"",IF(G25&lt;&gt;"",G25+H25,IF(F25&lt;&gt;"",F25+H25,"")))</f>
        <v>0</v>
      </c>
      <c r="J25" s="8">
        <f>IF(OR(A25="",I25=""),"",I25-TODAY())</f>
        <v>0</v>
      </c>
      <c r="K25" s="8">
        <f>IF(A25="","",IF(J25="","No date",IF(J25&lt;0,"Expired",IF(J25&lt;=Expiry_Warning_Days,"Use soon","Fresh"))))</f>
        <v>0</v>
      </c>
      <c r="L25" s="8">
        <f>IF(A25="","",COUNTIFS('Recipe Ingredients'!$B$5:$B$1204,A25))</f>
        <v>0</v>
      </c>
      <c r="M25" s="8">
        <f>IF(A25="","",IFERROR(INDEX(Ingredients!$X$5:$X$304,MATCH(A25,Ingredients!$A$5:$A$304,0)),""))</f>
        <v>0</v>
      </c>
      <c r="N25" s="8">
        <f>IF(OR(A25="",M25=""),"",IF(M25&lt;1,MAX(0,1*IFERROR(IFERROR(INDEX(Ingredients!$U$5:$U$304,MATCH(A25,Ingredients!$A$5:$A$304,0)),""),0)-C25),0))</f>
        <v>0</v>
      </c>
      <c r="O25" s="8">
        <f>IF(A25="","",IF(M25="","",IF(M25&lt;1,"Low","OK")))</f>
        <v>0</v>
      </c>
      <c r="P25" s="8">
        <f>IF(OR(A25="",C25=""),"",IFERROR(C25*IFERROR(INDEX(Ingredients!$D$5:$D$304,MATCH(A25,Ingredients!$A$5:$A$304,0)),""),""))</f>
        <v>0</v>
      </c>
      <c r="Q25" s="8">
        <f>IF(OR(E25&lt;&gt;"Fridge",J25=""),"",SUMPRODUCT(($E$5:$E$304="Fridge")*($J$5:$J$304&lt;J25))+SUMPRODUCT(($E$5:$E$304="Fridge")*($J$5:$J$304=J25)*(ROW($J$5:$J$304)&lt;ROW()))+1)</f>
        <v>0</v>
      </c>
      <c r="R25" s="8">
        <f>IF(OR(E25&lt;&gt;"Freezer",J25=""),"",SUMPRODUCT(($E$5:$E$304="Freezer")*($J$5:$J$304&lt;J25))+SUMPRODUCT(($E$5:$E$304="Freezer")*($J$5:$J$304=J25)*(ROW($J$5:$J$304)&lt;ROW()))+1)</f>
        <v>0</v>
      </c>
      <c r="S25" s="7"/>
      <c r="T25" s="27"/>
      <c r="U25" s="28"/>
      <c r="V25" s="27"/>
      <c r="W25" s="7"/>
      <c r="X25" s="26"/>
      <c r="Y25" s="8">
        <f>IF(A25="","",IF(K25="Expired","Bin it",IF(K25="Use soon","Cook it",IF(O25="Low","Running low","Keep"))))</f>
        <v>0</v>
      </c>
      <c r="Z25" s="25"/>
    </row>
    <row r="26" spans="1:26">
      <c r="A26" s="7"/>
      <c r="B26" s="8">
        <f>IF(A26="","",IFERROR(INDEX(Ingredients!$B$5:$B$304,MATCH(A26,Ingredients!$A$5:$A$304,0)),""))</f>
        <v>0</v>
      </c>
      <c r="C26" s="26"/>
      <c r="D26" s="27"/>
      <c r="E26" s="27"/>
      <c r="F26" s="30"/>
      <c r="G26" s="30"/>
      <c r="H26" s="8">
        <f>IF(A26="","",IFERROR(INDEX(Ingredients!$M$5:$M$304,MATCH(A26,Ingredients!$A$5:$A$304,0)),""))</f>
        <v>0</v>
      </c>
      <c r="I26" s="8">
        <f>IF(OR(A26="",H26=""),"",IF(G26&lt;&gt;"",G26+H26,IF(F26&lt;&gt;"",F26+H26,"")))</f>
        <v>0</v>
      </c>
      <c r="J26" s="8">
        <f>IF(OR(A26="",I26=""),"",I26-TODAY())</f>
        <v>0</v>
      </c>
      <c r="K26" s="8">
        <f>IF(A26="","",IF(J26="","No date",IF(J26&lt;0,"Expired",IF(J26&lt;=Expiry_Warning_Days,"Use soon","Fresh"))))</f>
        <v>0</v>
      </c>
      <c r="L26" s="8">
        <f>IF(A26="","",COUNTIFS('Recipe Ingredients'!$B$5:$B$1204,A26))</f>
        <v>0</v>
      </c>
      <c r="M26" s="8">
        <f>IF(A26="","",IFERROR(INDEX(Ingredients!$X$5:$X$304,MATCH(A26,Ingredients!$A$5:$A$304,0)),""))</f>
        <v>0</v>
      </c>
      <c r="N26" s="8">
        <f>IF(OR(A26="",M26=""),"",IF(M26&lt;1,MAX(0,1*IFERROR(IFERROR(INDEX(Ingredients!$U$5:$U$304,MATCH(A26,Ingredients!$A$5:$A$304,0)),""),0)-C26),0))</f>
        <v>0</v>
      </c>
      <c r="O26" s="8">
        <f>IF(A26="","",IF(M26="","",IF(M26&lt;1,"Low","OK")))</f>
        <v>0</v>
      </c>
      <c r="P26" s="8">
        <f>IF(OR(A26="",C26=""),"",IFERROR(C26*IFERROR(INDEX(Ingredients!$D$5:$D$304,MATCH(A26,Ingredients!$A$5:$A$304,0)),""),""))</f>
        <v>0</v>
      </c>
      <c r="Q26" s="8">
        <f>IF(OR(E26&lt;&gt;"Fridge",J26=""),"",SUMPRODUCT(($E$5:$E$304="Fridge")*($J$5:$J$304&lt;J26))+SUMPRODUCT(($E$5:$E$304="Fridge")*($J$5:$J$304=J26)*(ROW($J$5:$J$304)&lt;ROW()))+1)</f>
        <v>0</v>
      </c>
      <c r="R26" s="8">
        <f>IF(OR(E26&lt;&gt;"Freezer",J26=""),"",SUMPRODUCT(($E$5:$E$304="Freezer")*($J$5:$J$304&lt;J26))+SUMPRODUCT(($E$5:$E$304="Freezer")*($J$5:$J$304=J26)*(ROW($J$5:$J$304)&lt;ROW()))+1)</f>
        <v>0</v>
      </c>
      <c r="S26" s="7"/>
      <c r="T26" s="27"/>
      <c r="U26" s="28"/>
      <c r="V26" s="27"/>
      <c r="W26" s="7"/>
      <c r="X26" s="26"/>
      <c r="Y26" s="8">
        <f>IF(A26="","",IF(K26="Expired","Bin it",IF(K26="Use soon","Cook it",IF(O26="Low","Running low","Keep"))))</f>
        <v>0</v>
      </c>
      <c r="Z26" s="25"/>
    </row>
    <row r="27" spans="1:26">
      <c r="A27" s="7"/>
      <c r="B27" s="8">
        <f>IF(A27="","",IFERROR(INDEX(Ingredients!$B$5:$B$304,MATCH(A27,Ingredients!$A$5:$A$304,0)),""))</f>
        <v>0</v>
      </c>
      <c r="C27" s="26"/>
      <c r="D27" s="27"/>
      <c r="E27" s="27"/>
      <c r="F27" s="30"/>
      <c r="G27" s="30"/>
      <c r="H27" s="8">
        <f>IF(A27="","",IFERROR(INDEX(Ingredients!$M$5:$M$304,MATCH(A27,Ingredients!$A$5:$A$304,0)),""))</f>
        <v>0</v>
      </c>
      <c r="I27" s="8">
        <f>IF(OR(A27="",H27=""),"",IF(G27&lt;&gt;"",G27+H27,IF(F27&lt;&gt;"",F27+H27,"")))</f>
        <v>0</v>
      </c>
      <c r="J27" s="8">
        <f>IF(OR(A27="",I27=""),"",I27-TODAY())</f>
        <v>0</v>
      </c>
      <c r="K27" s="8">
        <f>IF(A27="","",IF(J27="","No date",IF(J27&lt;0,"Expired",IF(J27&lt;=Expiry_Warning_Days,"Use soon","Fresh"))))</f>
        <v>0</v>
      </c>
      <c r="L27" s="8">
        <f>IF(A27="","",COUNTIFS('Recipe Ingredients'!$B$5:$B$1204,A27))</f>
        <v>0</v>
      </c>
      <c r="M27" s="8">
        <f>IF(A27="","",IFERROR(INDEX(Ingredients!$X$5:$X$304,MATCH(A27,Ingredients!$A$5:$A$304,0)),""))</f>
        <v>0</v>
      </c>
      <c r="N27" s="8">
        <f>IF(OR(A27="",M27=""),"",IF(M27&lt;1,MAX(0,1*IFERROR(IFERROR(INDEX(Ingredients!$U$5:$U$304,MATCH(A27,Ingredients!$A$5:$A$304,0)),""),0)-C27),0))</f>
        <v>0</v>
      </c>
      <c r="O27" s="8">
        <f>IF(A27="","",IF(M27="","",IF(M27&lt;1,"Low","OK")))</f>
        <v>0</v>
      </c>
      <c r="P27" s="8">
        <f>IF(OR(A27="",C27=""),"",IFERROR(C27*IFERROR(INDEX(Ingredients!$D$5:$D$304,MATCH(A27,Ingredients!$A$5:$A$304,0)),""),""))</f>
        <v>0</v>
      </c>
      <c r="Q27" s="8">
        <f>IF(OR(E27&lt;&gt;"Fridge",J27=""),"",SUMPRODUCT(($E$5:$E$304="Fridge")*($J$5:$J$304&lt;J27))+SUMPRODUCT(($E$5:$E$304="Fridge")*($J$5:$J$304=J27)*(ROW($J$5:$J$304)&lt;ROW()))+1)</f>
        <v>0</v>
      </c>
      <c r="R27" s="8">
        <f>IF(OR(E27&lt;&gt;"Freezer",J27=""),"",SUMPRODUCT(($E$5:$E$304="Freezer")*($J$5:$J$304&lt;J27))+SUMPRODUCT(($E$5:$E$304="Freezer")*($J$5:$J$304=J27)*(ROW($J$5:$J$304)&lt;ROW()))+1)</f>
        <v>0</v>
      </c>
      <c r="S27" s="7"/>
      <c r="T27" s="27"/>
      <c r="U27" s="28"/>
      <c r="V27" s="27"/>
      <c r="W27" s="7"/>
      <c r="X27" s="26"/>
      <c r="Y27" s="8">
        <f>IF(A27="","",IF(K27="Expired","Bin it",IF(K27="Use soon","Cook it",IF(O27="Low","Running low","Keep"))))</f>
        <v>0</v>
      </c>
      <c r="Z27" s="25"/>
    </row>
    <row r="28" spans="1:26">
      <c r="A28" s="7"/>
      <c r="B28" s="8">
        <f>IF(A28="","",IFERROR(INDEX(Ingredients!$B$5:$B$304,MATCH(A28,Ingredients!$A$5:$A$304,0)),""))</f>
        <v>0</v>
      </c>
      <c r="C28" s="26"/>
      <c r="D28" s="27"/>
      <c r="E28" s="27"/>
      <c r="F28" s="30"/>
      <c r="G28" s="30"/>
      <c r="H28" s="8">
        <f>IF(A28="","",IFERROR(INDEX(Ingredients!$M$5:$M$304,MATCH(A28,Ingredients!$A$5:$A$304,0)),""))</f>
        <v>0</v>
      </c>
      <c r="I28" s="8">
        <f>IF(OR(A28="",H28=""),"",IF(G28&lt;&gt;"",G28+H28,IF(F28&lt;&gt;"",F28+H28,"")))</f>
        <v>0</v>
      </c>
      <c r="J28" s="8">
        <f>IF(OR(A28="",I28=""),"",I28-TODAY())</f>
        <v>0</v>
      </c>
      <c r="K28" s="8">
        <f>IF(A28="","",IF(J28="","No date",IF(J28&lt;0,"Expired",IF(J28&lt;=Expiry_Warning_Days,"Use soon","Fresh"))))</f>
        <v>0</v>
      </c>
      <c r="L28" s="8">
        <f>IF(A28="","",COUNTIFS('Recipe Ingredients'!$B$5:$B$1204,A28))</f>
        <v>0</v>
      </c>
      <c r="M28" s="8">
        <f>IF(A28="","",IFERROR(INDEX(Ingredients!$X$5:$X$304,MATCH(A28,Ingredients!$A$5:$A$304,0)),""))</f>
        <v>0</v>
      </c>
      <c r="N28" s="8">
        <f>IF(OR(A28="",M28=""),"",IF(M28&lt;1,MAX(0,1*IFERROR(IFERROR(INDEX(Ingredients!$U$5:$U$304,MATCH(A28,Ingredients!$A$5:$A$304,0)),""),0)-C28),0))</f>
        <v>0</v>
      </c>
      <c r="O28" s="8">
        <f>IF(A28="","",IF(M28="","",IF(M28&lt;1,"Low","OK")))</f>
        <v>0</v>
      </c>
      <c r="P28" s="8">
        <f>IF(OR(A28="",C28=""),"",IFERROR(C28*IFERROR(INDEX(Ingredients!$D$5:$D$304,MATCH(A28,Ingredients!$A$5:$A$304,0)),""),""))</f>
        <v>0</v>
      </c>
      <c r="Q28" s="8">
        <f>IF(OR(E28&lt;&gt;"Fridge",J28=""),"",SUMPRODUCT(($E$5:$E$304="Fridge")*($J$5:$J$304&lt;J28))+SUMPRODUCT(($E$5:$E$304="Fridge")*($J$5:$J$304=J28)*(ROW($J$5:$J$304)&lt;ROW()))+1)</f>
        <v>0</v>
      </c>
      <c r="R28" s="8">
        <f>IF(OR(E28&lt;&gt;"Freezer",J28=""),"",SUMPRODUCT(($E$5:$E$304="Freezer")*($J$5:$J$304&lt;J28))+SUMPRODUCT(($E$5:$E$304="Freezer")*($J$5:$J$304=J28)*(ROW($J$5:$J$304)&lt;ROW()))+1)</f>
        <v>0</v>
      </c>
      <c r="S28" s="7"/>
      <c r="T28" s="27"/>
      <c r="U28" s="28"/>
      <c r="V28" s="27"/>
      <c r="W28" s="7"/>
      <c r="X28" s="26"/>
      <c r="Y28" s="8">
        <f>IF(A28="","",IF(K28="Expired","Bin it",IF(K28="Use soon","Cook it",IF(O28="Low","Running low","Keep"))))</f>
        <v>0</v>
      </c>
      <c r="Z28" s="25"/>
    </row>
    <row r="29" spans="1:26">
      <c r="A29" s="7"/>
      <c r="B29" s="8">
        <f>IF(A29="","",IFERROR(INDEX(Ingredients!$B$5:$B$304,MATCH(A29,Ingredients!$A$5:$A$304,0)),""))</f>
        <v>0</v>
      </c>
      <c r="C29" s="26"/>
      <c r="D29" s="27"/>
      <c r="E29" s="27"/>
      <c r="F29" s="30"/>
      <c r="G29" s="30"/>
      <c r="H29" s="8">
        <f>IF(A29="","",IFERROR(INDEX(Ingredients!$M$5:$M$304,MATCH(A29,Ingredients!$A$5:$A$304,0)),""))</f>
        <v>0</v>
      </c>
      <c r="I29" s="8">
        <f>IF(OR(A29="",H29=""),"",IF(G29&lt;&gt;"",G29+H29,IF(F29&lt;&gt;"",F29+H29,"")))</f>
        <v>0</v>
      </c>
      <c r="J29" s="8">
        <f>IF(OR(A29="",I29=""),"",I29-TODAY())</f>
        <v>0</v>
      </c>
      <c r="K29" s="8">
        <f>IF(A29="","",IF(J29="","No date",IF(J29&lt;0,"Expired",IF(J29&lt;=Expiry_Warning_Days,"Use soon","Fresh"))))</f>
        <v>0</v>
      </c>
      <c r="L29" s="8">
        <f>IF(A29="","",COUNTIFS('Recipe Ingredients'!$B$5:$B$1204,A29))</f>
        <v>0</v>
      </c>
      <c r="M29" s="8">
        <f>IF(A29="","",IFERROR(INDEX(Ingredients!$X$5:$X$304,MATCH(A29,Ingredients!$A$5:$A$304,0)),""))</f>
        <v>0</v>
      </c>
      <c r="N29" s="8">
        <f>IF(OR(A29="",M29=""),"",IF(M29&lt;1,MAX(0,1*IFERROR(IFERROR(INDEX(Ingredients!$U$5:$U$304,MATCH(A29,Ingredients!$A$5:$A$304,0)),""),0)-C29),0))</f>
        <v>0</v>
      </c>
      <c r="O29" s="8">
        <f>IF(A29="","",IF(M29="","",IF(M29&lt;1,"Low","OK")))</f>
        <v>0</v>
      </c>
      <c r="P29" s="8">
        <f>IF(OR(A29="",C29=""),"",IFERROR(C29*IFERROR(INDEX(Ingredients!$D$5:$D$304,MATCH(A29,Ingredients!$A$5:$A$304,0)),""),""))</f>
        <v>0</v>
      </c>
      <c r="Q29" s="8">
        <f>IF(OR(E29&lt;&gt;"Fridge",J29=""),"",SUMPRODUCT(($E$5:$E$304="Fridge")*($J$5:$J$304&lt;J29))+SUMPRODUCT(($E$5:$E$304="Fridge")*($J$5:$J$304=J29)*(ROW($J$5:$J$304)&lt;ROW()))+1)</f>
        <v>0</v>
      </c>
      <c r="R29" s="8">
        <f>IF(OR(E29&lt;&gt;"Freezer",J29=""),"",SUMPRODUCT(($E$5:$E$304="Freezer")*($J$5:$J$304&lt;J29))+SUMPRODUCT(($E$5:$E$304="Freezer")*($J$5:$J$304=J29)*(ROW($J$5:$J$304)&lt;ROW()))+1)</f>
        <v>0</v>
      </c>
      <c r="S29" s="7"/>
      <c r="T29" s="27"/>
      <c r="U29" s="28"/>
      <c r="V29" s="27"/>
      <c r="W29" s="7"/>
      <c r="X29" s="26"/>
      <c r="Y29" s="8">
        <f>IF(A29="","",IF(K29="Expired","Bin it",IF(K29="Use soon","Cook it",IF(O29="Low","Running low","Keep"))))</f>
        <v>0</v>
      </c>
      <c r="Z29" s="25"/>
    </row>
    <row r="30" spans="1:26">
      <c r="A30" s="7"/>
      <c r="B30" s="8">
        <f>IF(A30="","",IFERROR(INDEX(Ingredients!$B$5:$B$304,MATCH(A30,Ingredients!$A$5:$A$304,0)),""))</f>
        <v>0</v>
      </c>
      <c r="C30" s="26"/>
      <c r="D30" s="27"/>
      <c r="E30" s="27"/>
      <c r="F30" s="30"/>
      <c r="G30" s="30"/>
      <c r="H30" s="8">
        <f>IF(A30="","",IFERROR(INDEX(Ingredients!$M$5:$M$304,MATCH(A30,Ingredients!$A$5:$A$304,0)),""))</f>
        <v>0</v>
      </c>
      <c r="I30" s="8">
        <f>IF(OR(A30="",H30=""),"",IF(G30&lt;&gt;"",G30+H30,IF(F30&lt;&gt;"",F30+H30,"")))</f>
        <v>0</v>
      </c>
      <c r="J30" s="8">
        <f>IF(OR(A30="",I30=""),"",I30-TODAY())</f>
        <v>0</v>
      </c>
      <c r="K30" s="8">
        <f>IF(A30="","",IF(J30="","No date",IF(J30&lt;0,"Expired",IF(J30&lt;=Expiry_Warning_Days,"Use soon","Fresh"))))</f>
        <v>0</v>
      </c>
      <c r="L30" s="8">
        <f>IF(A30="","",COUNTIFS('Recipe Ingredients'!$B$5:$B$1204,A30))</f>
        <v>0</v>
      </c>
      <c r="M30" s="8">
        <f>IF(A30="","",IFERROR(INDEX(Ingredients!$X$5:$X$304,MATCH(A30,Ingredients!$A$5:$A$304,0)),""))</f>
        <v>0</v>
      </c>
      <c r="N30" s="8">
        <f>IF(OR(A30="",M30=""),"",IF(M30&lt;1,MAX(0,1*IFERROR(IFERROR(INDEX(Ingredients!$U$5:$U$304,MATCH(A30,Ingredients!$A$5:$A$304,0)),""),0)-C30),0))</f>
        <v>0</v>
      </c>
      <c r="O30" s="8">
        <f>IF(A30="","",IF(M30="","",IF(M30&lt;1,"Low","OK")))</f>
        <v>0</v>
      </c>
      <c r="P30" s="8">
        <f>IF(OR(A30="",C30=""),"",IFERROR(C30*IFERROR(INDEX(Ingredients!$D$5:$D$304,MATCH(A30,Ingredients!$A$5:$A$304,0)),""),""))</f>
        <v>0</v>
      </c>
      <c r="Q30" s="8">
        <f>IF(OR(E30&lt;&gt;"Fridge",J30=""),"",SUMPRODUCT(($E$5:$E$304="Fridge")*($J$5:$J$304&lt;J30))+SUMPRODUCT(($E$5:$E$304="Fridge")*($J$5:$J$304=J30)*(ROW($J$5:$J$304)&lt;ROW()))+1)</f>
        <v>0</v>
      </c>
      <c r="R30" s="8">
        <f>IF(OR(E30&lt;&gt;"Freezer",J30=""),"",SUMPRODUCT(($E$5:$E$304="Freezer")*($J$5:$J$304&lt;J30))+SUMPRODUCT(($E$5:$E$304="Freezer")*($J$5:$J$304=J30)*(ROW($J$5:$J$304)&lt;ROW()))+1)</f>
        <v>0</v>
      </c>
      <c r="S30" s="7"/>
      <c r="T30" s="27"/>
      <c r="U30" s="28"/>
      <c r="V30" s="27"/>
      <c r="W30" s="7"/>
      <c r="X30" s="26"/>
      <c r="Y30" s="8">
        <f>IF(A30="","",IF(K30="Expired","Bin it",IF(K30="Use soon","Cook it",IF(O30="Low","Running low","Keep"))))</f>
        <v>0</v>
      </c>
      <c r="Z30" s="25"/>
    </row>
    <row r="31" spans="1:26">
      <c r="A31" s="7"/>
      <c r="B31" s="8">
        <f>IF(A31="","",IFERROR(INDEX(Ingredients!$B$5:$B$304,MATCH(A31,Ingredients!$A$5:$A$304,0)),""))</f>
        <v>0</v>
      </c>
      <c r="C31" s="26"/>
      <c r="D31" s="27"/>
      <c r="E31" s="27"/>
      <c r="F31" s="30"/>
      <c r="G31" s="30"/>
      <c r="H31" s="8">
        <f>IF(A31="","",IFERROR(INDEX(Ingredients!$M$5:$M$304,MATCH(A31,Ingredients!$A$5:$A$304,0)),""))</f>
        <v>0</v>
      </c>
      <c r="I31" s="8">
        <f>IF(OR(A31="",H31=""),"",IF(G31&lt;&gt;"",G31+H31,IF(F31&lt;&gt;"",F31+H31,"")))</f>
        <v>0</v>
      </c>
      <c r="J31" s="8">
        <f>IF(OR(A31="",I31=""),"",I31-TODAY())</f>
        <v>0</v>
      </c>
      <c r="K31" s="8">
        <f>IF(A31="","",IF(J31="","No date",IF(J31&lt;0,"Expired",IF(J31&lt;=Expiry_Warning_Days,"Use soon","Fresh"))))</f>
        <v>0</v>
      </c>
      <c r="L31" s="8">
        <f>IF(A31="","",COUNTIFS('Recipe Ingredients'!$B$5:$B$1204,A31))</f>
        <v>0</v>
      </c>
      <c r="M31" s="8">
        <f>IF(A31="","",IFERROR(INDEX(Ingredients!$X$5:$X$304,MATCH(A31,Ingredients!$A$5:$A$304,0)),""))</f>
        <v>0</v>
      </c>
      <c r="N31" s="8">
        <f>IF(OR(A31="",M31=""),"",IF(M31&lt;1,MAX(0,1*IFERROR(IFERROR(INDEX(Ingredients!$U$5:$U$304,MATCH(A31,Ingredients!$A$5:$A$304,0)),""),0)-C31),0))</f>
        <v>0</v>
      </c>
      <c r="O31" s="8">
        <f>IF(A31="","",IF(M31="","",IF(M31&lt;1,"Low","OK")))</f>
        <v>0</v>
      </c>
      <c r="P31" s="8">
        <f>IF(OR(A31="",C31=""),"",IFERROR(C31*IFERROR(INDEX(Ingredients!$D$5:$D$304,MATCH(A31,Ingredients!$A$5:$A$304,0)),""),""))</f>
        <v>0</v>
      </c>
      <c r="Q31" s="8">
        <f>IF(OR(E31&lt;&gt;"Fridge",J31=""),"",SUMPRODUCT(($E$5:$E$304="Fridge")*($J$5:$J$304&lt;J31))+SUMPRODUCT(($E$5:$E$304="Fridge")*($J$5:$J$304=J31)*(ROW($J$5:$J$304)&lt;ROW()))+1)</f>
        <v>0</v>
      </c>
      <c r="R31" s="8">
        <f>IF(OR(E31&lt;&gt;"Freezer",J31=""),"",SUMPRODUCT(($E$5:$E$304="Freezer")*($J$5:$J$304&lt;J31))+SUMPRODUCT(($E$5:$E$304="Freezer")*($J$5:$J$304=J31)*(ROW($J$5:$J$304)&lt;ROW()))+1)</f>
        <v>0</v>
      </c>
      <c r="S31" s="7"/>
      <c r="T31" s="27"/>
      <c r="U31" s="28"/>
      <c r="V31" s="27"/>
      <c r="W31" s="7"/>
      <c r="X31" s="26"/>
      <c r="Y31" s="8">
        <f>IF(A31="","",IF(K31="Expired","Bin it",IF(K31="Use soon","Cook it",IF(O31="Low","Running low","Keep"))))</f>
        <v>0</v>
      </c>
      <c r="Z31" s="25"/>
    </row>
    <row r="32" spans="1:26">
      <c r="A32" s="7"/>
      <c r="B32" s="8">
        <f>IF(A32="","",IFERROR(INDEX(Ingredients!$B$5:$B$304,MATCH(A32,Ingredients!$A$5:$A$304,0)),""))</f>
        <v>0</v>
      </c>
      <c r="C32" s="26"/>
      <c r="D32" s="27"/>
      <c r="E32" s="27"/>
      <c r="F32" s="30"/>
      <c r="G32" s="30"/>
      <c r="H32" s="8">
        <f>IF(A32="","",IFERROR(INDEX(Ingredients!$M$5:$M$304,MATCH(A32,Ingredients!$A$5:$A$304,0)),""))</f>
        <v>0</v>
      </c>
      <c r="I32" s="8">
        <f>IF(OR(A32="",H32=""),"",IF(G32&lt;&gt;"",G32+H32,IF(F32&lt;&gt;"",F32+H32,"")))</f>
        <v>0</v>
      </c>
      <c r="J32" s="8">
        <f>IF(OR(A32="",I32=""),"",I32-TODAY())</f>
        <v>0</v>
      </c>
      <c r="K32" s="8">
        <f>IF(A32="","",IF(J32="","No date",IF(J32&lt;0,"Expired",IF(J32&lt;=Expiry_Warning_Days,"Use soon","Fresh"))))</f>
        <v>0</v>
      </c>
      <c r="L32" s="8">
        <f>IF(A32="","",COUNTIFS('Recipe Ingredients'!$B$5:$B$1204,A32))</f>
        <v>0</v>
      </c>
      <c r="M32" s="8">
        <f>IF(A32="","",IFERROR(INDEX(Ingredients!$X$5:$X$304,MATCH(A32,Ingredients!$A$5:$A$304,0)),""))</f>
        <v>0</v>
      </c>
      <c r="N32" s="8">
        <f>IF(OR(A32="",M32=""),"",IF(M32&lt;1,MAX(0,1*IFERROR(IFERROR(INDEX(Ingredients!$U$5:$U$304,MATCH(A32,Ingredients!$A$5:$A$304,0)),""),0)-C32),0))</f>
        <v>0</v>
      </c>
      <c r="O32" s="8">
        <f>IF(A32="","",IF(M32="","",IF(M32&lt;1,"Low","OK")))</f>
        <v>0</v>
      </c>
      <c r="P32" s="8">
        <f>IF(OR(A32="",C32=""),"",IFERROR(C32*IFERROR(INDEX(Ingredients!$D$5:$D$304,MATCH(A32,Ingredients!$A$5:$A$304,0)),""),""))</f>
        <v>0</v>
      </c>
      <c r="Q32" s="8">
        <f>IF(OR(E32&lt;&gt;"Fridge",J32=""),"",SUMPRODUCT(($E$5:$E$304="Fridge")*($J$5:$J$304&lt;J32))+SUMPRODUCT(($E$5:$E$304="Fridge")*($J$5:$J$304=J32)*(ROW($J$5:$J$304)&lt;ROW()))+1)</f>
        <v>0</v>
      </c>
      <c r="R32" s="8">
        <f>IF(OR(E32&lt;&gt;"Freezer",J32=""),"",SUMPRODUCT(($E$5:$E$304="Freezer")*($J$5:$J$304&lt;J32))+SUMPRODUCT(($E$5:$E$304="Freezer")*($J$5:$J$304=J32)*(ROW($J$5:$J$304)&lt;ROW()))+1)</f>
        <v>0</v>
      </c>
      <c r="S32" s="7"/>
      <c r="T32" s="27"/>
      <c r="U32" s="28"/>
      <c r="V32" s="27"/>
      <c r="W32" s="7"/>
      <c r="X32" s="26"/>
      <c r="Y32" s="8">
        <f>IF(A32="","",IF(K32="Expired","Bin it",IF(K32="Use soon","Cook it",IF(O32="Low","Running low","Keep"))))</f>
        <v>0</v>
      </c>
      <c r="Z32" s="25"/>
    </row>
    <row r="33" spans="1:26">
      <c r="A33" s="7"/>
      <c r="B33" s="8">
        <f>IF(A33="","",IFERROR(INDEX(Ingredients!$B$5:$B$304,MATCH(A33,Ingredients!$A$5:$A$304,0)),""))</f>
        <v>0</v>
      </c>
      <c r="C33" s="26"/>
      <c r="D33" s="27"/>
      <c r="E33" s="27"/>
      <c r="F33" s="30"/>
      <c r="G33" s="30"/>
      <c r="H33" s="8">
        <f>IF(A33="","",IFERROR(INDEX(Ingredients!$M$5:$M$304,MATCH(A33,Ingredients!$A$5:$A$304,0)),""))</f>
        <v>0</v>
      </c>
      <c r="I33" s="8">
        <f>IF(OR(A33="",H33=""),"",IF(G33&lt;&gt;"",G33+H33,IF(F33&lt;&gt;"",F33+H33,"")))</f>
        <v>0</v>
      </c>
      <c r="J33" s="8">
        <f>IF(OR(A33="",I33=""),"",I33-TODAY())</f>
        <v>0</v>
      </c>
      <c r="K33" s="8">
        <f>IF(A33="","",IF(J33="","No date",IF(J33&lt;0,"Expired",IF(J33&lt;=Expiry_Warning_Days,"Use soon","Fresh"))))</f>
        <v>0</v>
      </c>
      <c r="L33" s="8">
        <f>IF(A33="","",COUNTIFS('Recipe Ingredients'!$B$5:$B$1204,A33))</f>
        <v>0</v>
      </c>
      <c r="M33" s="8">
        <f>IF(A33="","",IFERROR(INDEX(Ingredients!$X$5:$X$304,MATCH(A33,Ingredients!$A$5:$A$304,0)),""))</f>
        <v>0</v>
      </c>
      <c r="N33" s="8">
        <f>IF(OR(A33="",M33=""),"",IF(M33&lt;1,MAX(0,1*IFERROR(IFERROR(INDEX(Ingredients!$U$5:$U$304,MATCH(A33,Ingredients!$A$5:$A$304,0)),""),0)-C33),0))</f>
        <v>0</v>
      </c>
      <c r="O33" s="8">
        <f>IF(A33="","",IF(M33="","",IF(M33&lt;1,"Low","OK")))</f>
        <v>0</v>
      </c>
      <c r="P33" s="8">
        <f>IF(OR(A33="",C33=""),"",IFERROR(C33*IFERROR(INDEX(Ingredients!$D$5:$D$304,MATCH(A33,Ingredients!$A$5:$A$304,0)),""),""))</f>
        <v>0</v>
      </c>
      <c r="Q33" s="8">
        <f>IF(OR(E33&lt;&gt;"Fridge",J33=""),"",SUMPRODUCT(($E$5:$E$304="Fridge")*($J$5:$J$304&lt;J33))+SUMPRODUCT(($E$5:$E$304="Fridge")*($J$5:$J$304=J33)*(ROW($J$5:$J$304)&lt;ROW()))+1)</f>
        <v>0</v>
      </c>
      <c r="R33" s="8">
        <f>IF(OR(E33&lt;&gt;"Freezer",J33=""),"",SUMPRODUCT(($E$5:$E$304="Freezer")*($J$5:$J$304&lt;J33))+SUMPRODUCT(($E$5:$E$304="Freezer")*($J$5:$J$304=J33)*(ROW($J$5:$J$304)&lt;ROW()))+1)</f>
        <v>0</v>
      </c>
      <c r="S33" s="7"/>
      <c r="T33" s="27"/>
      <c r="U33" s="28"/>
      <c r="V33" s="27"/>
      <c r="W33" s="7"/>
      <c r="X33" s="26"/>
      <c r="Y33" s="8">
        <f>IF(A33="","",IF(K33="Expired","Bin it",IF(K33="Use soon","Cook it",IF(O33="Low","Running low","Keep"))))</f>
        <v>0</v>
      </c>
      <c r="Z33" s="25"/>
    </row>
    <row r="34" spans="1:26">
      <c r="A34" s="7"/>
      <c r="B34" s="8">
        <f>IF(A34="","",IFERROR(INDEX(Ingredients!$B$5:$B$304,MATCH(A34,Ingredients!$A$5:$A$304,0)),""))</f>
        <v>0</v>
      </c>
      <c r="C34" s="26"/>
      <c r="D34" s="27"/>
      <c r="E34" s="27"/>
      <c r="F34" s="30"/>
      <c r="G34" s="30"/>
      <c r="H34" s="8">
        <f>IF(A34="","",IFERROR(INDEX(Ingredients!$M$5:$M$304,MATCH(A34,Ingredients!$A$5:$A$304,0)),""))</f>
        <v>0</v>
      </c>
      <c r="I34" s="8">
        <f>IF(OR(A34="",H34=""),"",IF(G34&lt;&gt;"",G34+H34,IF(F34&lt;&gt;"",F34+H34,"")))</f>
        <v>0</v>
      </c>
      <c r="J34" s="8">
        <f>IF(OR(A34="",I34=""),"",I34-TODAY())</f>
        <v>0</v>
      </c>
      <c r="K34" s="8">
        <f>IF(A34="","",IF(J34="","No date",IF(J34&lt;0,"Expired",IF(J34&lt;=Expiry_Warning_Days,"Use soon","Fresh"))))</f>
        <v>0</v>
      </c>
      <c r="L34" s="8">
        <f>IF(A34="","",COUNTIFS('Recipe Ingredients'!$B$5:$B$1204,A34))</f>
        <v>0</v>
      </c>
      <c r="M34" s="8">
        <f>IF(A34="","",IFERROR(INDEX(Ingredients!$X$5:$X$304,MATCH(A34,Ingredients!$A$5:$A$304,0)),""))</f>
        <v>0</v>
      </c>
      <c r="N34" s="8">
        <f>IF(OR(A34="",M34=""),"",IF(M34&lt;1,MAX(0,1*IFERROR(IFERROR(INDEX(Ingredients!$U$5:$U$304,MATCH(A34,Ingredients!$A$5:$A$304,0)),""),0)-C34),0))</f>
        <v>0</v>
      </c>
      <c r="O34" s="8">
        <f>IF(A34="","",IF(M34="","",IF(M34&lt;1,"Low","OK")))</f>
        <v>0</v>
      </c>
      <c r="P34" s="8">
        <f>IF(OR(A34="",C34=""),"",IFERROR(C34*IFERROR(INDEX(Ingredients!$D$5:$D$304,MATCH(A34,Ingredients!$A$5:$A$304,0)),""),""))</f>
        <v>0</v>
      </c>
      <c r="Q34" s="8">
        <f>IF(OR(E34&lt;&gt;"Fridge",J34=""),"",SUMPRODUCT(($E$5:$E$304="Fridge")*($J$5:$J$304&lt;J34))+SUMPRODUCT(($E$5:$E$304="Fridge")*($J$5:$J$304=J34)*(ROW($J$5:$J$304)&lt;ROW()))+1)</f>
        <v>0</v>
      </c>
      <c r="R34" s="8">
        <f>IF(OR(E34&lt;&gt;"Freezer",J34=""),"",SUMPRODUCT(($E$5:$E$304="Freezer")*($J$5:$J$304&lt;J34))+SUMPRODUCT(($E$5:$E$304="Freezer")*($J$5:$J$304=J34)*(ROW($J$5:$J$304)&lt;ROW()))+1)</f>
        <v>0</v>
      </c>
      <c r="S34" s="7"/>
      <c r="T34" s="27"/>
      <c r="U34" s="28"/>
      <c r="V34" s="27"/>
      <c r="W34" s="7"/>
      <c r="X34" s="26"/>
      <c r="Y34" s="8">
        <f>IF(A34="","",IF(K34="Expired","Bin it",IF(K34="Use soon","Cook it",IF(O34="Low","Running low","Keep"))))</f>
        <v>0</v>
      </c>
      <c r="Z34" s="25"/>
    </row>
    <row r="35" spans="1:26">
      <c r="A35" s="7"/>
      <c r="B35" s="8">
        <f>IF(A35="","",IFERROR(INDEX(Ingredients!$B$5:$B$304,MATCH(A35,Ingredients!$A$5:$A$304,0)),""))</f>
        <v>0</v>
      </c>
      <c r="C35" s="26"/>
      <c r="D35" s="27"/>
      <c r="E35" s="27"/>
      <c r="F35" s="30"/>
      <c r="G35" s="30"/>
      <c r="H35" s="8">
        <f>IF(A35="","",IFERROR(INDEX(Ingredients!$M$5:$M$304,MATCH(A35,Ingredients!$A$5:$A$304,0)),""))</f>
        <v>0</v>
      </c>
      <c r="I35" s="8">
        <f>IF(OR(A35="",H35=""),"",IF(G35&lt;&gt;"",G35+H35,IF(F35&lt;&gt;"",F35+H35,"")))</f>
        <v>0</v>
      </c>
      <c r="J35" s="8">
        <f>IF(OR(A35="",I35=""),"",I35-TODAY())</f>
        <v>0</v>
      </c>
      <c r="K35" s="8">
        <f>IF(A35="","",IF(J35="","No date",IF(J35&lt;0,"Expired",IF(J35&lt;=Expiry_Warning_Days,"Use soon","Fresh"))))</f>
        <v>0</v>
      </c>
      <c r="L35" s="8">
        <f>IF(A35="","",COUNTIFS('Recipe Ingredients'!$B$5:$B$1204,A35))</f>
        <v>0</v>
      </c>
      <c r="M35" s="8">
        <f>IF(A35="","",IFERROR(INDEX(Ingredients!$X$5:$X$304,MATCH(A35,Ingredients!$A$5:$A$304,0)),""))</f>
        <v>0</v>
      </c>
      <c r="N35" s="8">
        <f>IF(OR(A35="",M35=""),"",IF(M35&lt;1,MAX(0,1*IFERROR(IFERROR(INDEX(Ingredients!$U$5:$U$304,MATCH(A35,Ingredients!$A$5:$A$304,0)),""),0)-C35),0))</f>
        <v>0</v>
      </c>
      <c r="O35" s="8">
        <f>IF(A35="","",IF(M35="","",IF(M35&lt;1,"Low","OK")))</f>
        <v>0</v>
      </c>
      <c r="P35" s="8">
        <f>IF(OR(A35="",C35=""),"",IFERROR(C35*IFERROR(INDEX(Ingredients!$D$5:$D$304,MATCH(A35,Ingredients!$A$5:$A$304,0)),""),""))</f>
        <v>0</v>
      </c>
      <c r="Q35" s="8">
        <f>IF(OR(E35&lt;&gt;"Fridge",J35=""),"",SUMPRODUCT(($E$5:$E$304="Fridge")*($J$5:$J$304&lt;J35))+SUMPRODUCT(($E$5:$E$304="Fridge")*($J$5:$J$304=J35)*(ROW($J$5:$J$304)&lt;ROW()))+1)</f>
        <v>0</v>
      </c>
      <c r="R35" s="8">
        <f>IF(OR(E35&lt;&gt;"Freezer",J35=""),"",SUMPRODUCT(($E$5:$E$304="Freezer")*($J$5:$J$304&lt;J35))+SUMPRODUCT(($E$5:$E$304="Freezer")*($J$5:$J$304=J35)*(ROW($J$5:$J$304)&lt;ROW()))+1)</f>
        <v>0</v>
      </c>
      <c r="S35" s="7"/>
      <c r="T35" s="27"/>
      <c r="U35" s="28"/>
      <c r="V35" s="27"/>
      <c r="W35" s="7"/>
      <c r="X35" s="26"/>
      <c r="Y35" s="8">
        <f>IF(A35="","",IF(K35="Expired","Bin it",IF(K35="Use soon","Cook it",IF(O35="Low","Running low","Keep"))))</f>
        <v>0</v>
      </c>
      <c r="Z35" s="25"/>
    </row>
    <row r="36" spans="1:26">
      <c r="A36" s="7"/>
      <c r="B36" s="8">
        <f>IF(A36="","",IFERROR(INDEX(Ingredients!$B$5:$B$304,MATCH(A36,Ingredients!$A$5:$A$304,0)),""))</f>
        <v>0</v>
      </c>
      <c r="C36" s="26"/>
      <c r="D36" s="27"/>
      <c r="E36" s="27"/>
      <c r="F36" s="30"/>
      <c r="G36" s="30"/>
      <c r="H36" s="8">
        <f>IF(A36="","",IFERROR(INDEX(Ingredients!$M$5:$M$304,MATCH(A36,Ingredients!$A$5:$A$304,0)),""))</f>
        <v>0</v>
      </c>
      <c r="I36" s="8">
        <f>IF(OR(A36="",H36=""),"",IF(G36&lt;&gt;"",G36+H36,IF(F36&lt;&gt;"",F36+H36,"")))</f>
        <v>0</v>
      </c>
      <c r="J36" s="8">
        <f>IF(OR(A36="",I36=""),"",I36-TODAY())</f>
        <v>0</v>
      </c>
      <c r="K36" s="8">
        <f>IF(A36="","",IF(J36="","No date",IF(J36&lt;0,"Expired",IF(J36&lt;=Expiry_Warning_Days,"Use soon","Fresh"))))</f>
        <v>0</v>
      </c>
      <c r="L36" s="8">
        <f>IF(A36="","",COUNTIFS('Recipe Ingredients'!$B$5:$B$1204,A36))</f>
        <v>0</v>
      </c>
      <c r="M36" s="8">
        <f>IF(A36="","",IFERROR(INDEX(Ingredients!$X$5:$X$304,MATCH(A36,Ingredients!$A$5:$A$304,0)),""))</f>
        <v>0</v>
      </c>
      <c r="N36" s="8">
        <f>IF(OR(A36="",M36=""),"",IF(M36&lt;1,MAX(0,1*IFERROR(IFERROR(INDEX(Ingredients!$U$5:$U$304,MATCH(A36,Ingredients!$A$5:$A$304,0)),""),0)-C36),0))</f>
        <v>0</v>
      </c>
      <c r="O36" s="8">
        <f>IF(A36="","",IF(M36="","",IF(M36&lt;1,"Low","OK")))</f>
        <v>0</v>
      </c>
      <c r="P36" s="8">
        <f>IF(OR(A36="",C36=""),"",IFERROR(C36*IFERROR(INDEX(Ingredients!$D$5:$D$304,MATCH(A36,Ingredients!$A$5:$A$304,0)),""),""))</f>
        <v>0</v>
      </c>
      <c r="Q36" s="8">
        <f>IF(OR(E36&lt;&gt;"Fridge",J36=""),"",SUMPRODUCT(($E$5:$E$304="Fridge")*($J$5:$J$304&lt;J36))+SUMPRODUCT(($E$5:$E$304="Fridge")*($J$5:$J$304=J36)*(ROW($J$5:$J$304)&lt;ROW()))+1)</f>
        <v>0</v>
      </c>
      <c r="R36" s="8">
        <f>IF(OR(E36&lt;&gt;"Freezer",J36=""),"",SUMPRODUCT(($E$5:$E$304="Freezer")*($J$5:$J$304&lt;J36))+SUMPRODUCT(($E$5:$E$304="Freezer")*($J$5:$J$304=J36)*(ROW($J$5:$J$304)&lt;ROW()))+1)</f>
        <v>0</v>
      </c>
      <c r="S36" s="7"/>
      <c r="T36" s="27"/>
      <c r="U36" s="28"/>
      <c r="V36" s="27"/>
      <c r="W36" s="7"/>
      <c r="X36" s="26"/>
      <c r="Y36" s="8">
        <f>IF(A36="","",IF(K36="Expired","Bin it",IF(K36="Use soon","Cook it",IF(O36="Low","Running low","Keep"))))</f>
        <v>0</v>
      </c>
      <c r="Z36" s="25"/>
    </row>
    <row r="37" spans="1:26">
      <c r="A37" s="7"/>
      <c r="B37" s="8">
        <f>IF(A37="","",IFERROR(INDEX(Ingredients!$B$5:$B$304,MATCH(A37,Ingredients!$A$5:$A$304,0)),""))</f>
        <v>0</v>
      </c>
      <c r="C37" s="26"/>
      <c r="D37" s="27"/>
      <c r="E37" s="27"/>
      <c r="F37" s="30"/>
      <c r="G37" s="30"/>
      <c r="H37" s="8">
        <f>IF(A37="","",IFERROR(INDEX(Ingredients!$M$5:$M$304,MATCH(A37,Ingredients!$A$5:$A$304,0)),""))</f>
        <v>0</v>
      </c>
      <c r="I37" s="8">
        <f>IF(OR(A37="",H37=""),"",IF(G37&lt;&gt;"",G37+H37,IF(F37&lt;&gt;"",F37+H37,"")))</f>
        <v>0</v>
      </c>
      <c r="J37" s="8">
        <f>IF(OR(A37="",I37=""),"",I37-TODAY())</f>
        <v>0</v>
      </c>
      <c r="K37" s="8">
        <f>IF(A37="","",IF(J37="","No date",IF(J37&lt;0,"Expired",IF(J37&lt;=Expiry_Warning_Days,"Use soon","Fresh"))))</f>
        <v>0</v>
      </c>
      <c r="L37" s="8">
        <f>IF(A37="","",COUNTIFS('Recipe Ingredients'!$B$5:$B$1204,A37))</f>
        <v>0</v>
      </c>
      <c r="M37" s="8">
        <f>IF(A37="","",IFERROR(INDEX(Ingredients!$X$5:$X$304,MATCH(A37,Ingredients!$A$5:$A$304,0)),""))</f>
        <v>0</v>
      </c>
      <c r="N37" s="8">
        <f>IF(OR(A37="",M37=""),"",IF(M37&lt;1,MAX(0,1*IFERROR(IFERROR(INDEX(Ingredients!$U$5:$U$304,MATCH(A37,Ingredients!$A$5:$A$304,0)),""),0)-C37),0))</f>
        <v>0</v>
      </c>
      <c r="O37" s="8">
        <f>IF(A37="","",IF(M37="","",IF(M37&lt;1,"Low","OK")))</f>
        <v>0</v>
      </c>
      <c r="P37" s="8">
        <f>IF(OR(A37="",C37=""),"",IFERROR(C37*IFERROR(INDEX(Ingredients!$D$5:$D$304,MATCH(A37,Ingredients!$A$5:$A$304,0)),""),""))</f>
        <v>0</v>
      </c>
      <c r="Q37" s="8">
        <f>IF(OR(E37&lt;&gt;"Fridge",J37=""),"",SUMPRODUCT(($E$5:$E$304="Fridge")*($J$5:$J$304&lt;J37))+SUMPRODUCT(($E$5:$E$304="Fridge")*($J$5:$J$304=J37)*(ROW($J$5:$J$304)&lt;ROW()))+1)</f>
        <v>0</v>
      </c>
      <c r="R37" s="8">
        <f>IF(OR(E37&lt;&gt;"Freezer",J37=""),"",SUMPRODUCT(($E$5:$E$304="Freezer")*($J$5:$J$304&lt;J37))+SUMPRODUCT(($E$5:$E$304="Freezer")*($J$5:$J$304=J37)*(ROW($J$5:$J$304)&lt;ROW()))+1)</f>
        <v>0</v>
      </c>
      <c r="S37" s="7"/>
      <c r="T37" s="27"/>
      <c r="U37" s="28"/>
      <c r="V37" s="27"/>
      <c r="W37" s="7"/>
      <c r="X37" s="26"/>
      <c r="Y37" s="8">
        <f>IF(A37="","",IF(K37="Expired","Bin it",IF(K37="Use soon","Cook it",IF(O37="Low","Running low","Keep"))))</f>
        <v>0</v>
      </c>
      <c r="Z37" s="25"/>
    </row>
    <row r="38" spans="1:26">
      <c r="A38" s="7"/>
      <c r="B38" s="8">
        <f>IF(A38="","",IFERROR(INDEX(Ingredients!$B$5:$B$304,MATCH(A38,Ingredients!$A$5:$A$304,0)),""))</f>
        <v>0</v>
      </c>
      <c r="C38" s="26"/>
      <c r="D38" s="27"/>
      <c r="E38" s="27"/>
      <c r="F38" s="30"/>
      <c r="G38" s="30"/>
      <c r="H38" s="8">
        <f>IF(A38="","",IFERROR(INDEX(Ingredients!$M$5:$M$304,MATCH(A38,Ingredients!$A$5:$A$304,0)),""))</f>
        <v>0</v>
      </c>
      <c r="I38" s="8">
        <f>IF(OR(A38="",H38=""),"",IF(G38&lt;&gt;"",G38+H38,IF(F38&lt;&gt;"",F38+H38,"")))</f>
        <v>0</v>
      </c>
      <c r="J38" s="8">
        <f>IF(OR(A38="",I38=""),"",I38-TODAY())</f>
        <v>0</v>
      </c>
      <c r="K38" s="8">
        <f>IF(A38="","",IF(J38="","No date",IF(J38&lt;0,"Expired",IF(J38&lt;=Expiry_Warning_Days,"Use soon","Fresh"))))</f>
        <v>0</v>
      </c>
      <c r="L38" s="8">
        <f>IF(A38="","",COUNTIFS('Recipe Ingredients'!$B$5:$B$1204,A38))</f>
        <v>0</v>
      </c>
      <c r="M38" s="8">
        <f>IF(A38="","",IFERROR(INDEX(Ingredients!$X$5:$X$304,MATCH(A38,Ingredients!$A$5:$A$304,0)),""))</f>
        <v>0</v>
      </c>
      <c r="N38" s="8">
        <f>IF(OR(A38="",M38=""),"",IF(M38&lt;1,MAX(0,1*IFERROR(IFERROR(INDEX(Ingredients!$U$5:$U$304,MATCH(A38,Ingredients!$A$5:$A$304,0)),""),0)-C38),0))</f>
        <v>0</v>
      </c>
      <c r="O38" s="8">
        <f>IF(A38="","",IF(M38="","",IF(M38&lt;1,"Low","OK")))</f>
        <v>0</v>
      </c>
      <c r="P38" s="8">
        <f>IF(OR(A38="",C38=""),"",IFERROR(C38*IFERROR(INDEX(Ingredients!$D$5:$D$304,MATCH(A38,Ingredients!$A$5:$A$304,0)),""),""))</f>
        <v>0</v>
      </c>
      <c r="Q38" s="8">
        <f>IF(OR(E38&lt;&gt;"Fridge",J38=""),"",SUMPRODUCT(($E$5:$E$304="Fridge")*($J$5:$J$304&lt;J38))+SUMPRODUCT(($E$5:$E$304="Fridge")*($J$5:$J$304=J38)*(ROW($J$5:$J$304)&lt;ROW()))+1)</f>
        <v>0</v>
      </c>
      <c r="R38" s="8">
        <f>IF(OR(E38&lt;&gt;"Freezer",J38=""),"",SUMPRODUCT(($E$5:$E$304="Freezer")*($J$5:$J$304&lt;J38))+SUMPRODUCT(($E$5:$E$304="Freezer")*($J$5:$J$304=J38)*(ROW($J$5:$J$304)&lt;ROW()))+1)</f>
        <v>0</v>
      </c>
      <c r="S38" s="7"/>
      <c r="T38" s="27"/>
      <c r="U38" s="28"/>
      <c r="V38" s="27"/>
      <c r="W38" s="7"/>
      <c r="X38" s="26"/>
      <c r="Y38" s="8">
        <f>IF(A38="","",IF(K38="Expired","Bin it",IF(K38="Use soon","Cook it",IF(O38="Low","Running low","Keep"))))</f>
        <v>0</v>
      </c>
      <c r="Z38" s="25"/>
    </row>
    <row r="39" spans="1:26">
      <c r="A39" s="7"/>
      <c r="B39" s="8">
        <f>IF(A39="","",IFERROR(INDEX(Ingredients!$B$5:$B$304,MATCH(A39,Ingredients!$A$5:$A$304,0)),""))</f>
        <v>0</v>
      </c>
      <c r="C39" s="26"/>
      <c r="D39" s="27"/>
      <c r="E39" s="27"/>
      <c r="F39" s="30"/>
      <c r="G39" s="30"/>
      <c r="H39" s="8">
        <f>IF(A39="","",IFERROR(INDEX(Ingredients!$M$5:$M$304,MATCH(A39,Ingredients!$A$5:$A$304,0)),""))</f>
        <v>0</v>
      </c>
      <c r="I39" s="8">
        <f>IF(OR(A39="",H39=""),"",IF(G39&lt;&gt;"",G39+H39,IF(F39&lt;&gt;"",F39+H39,"")))</f>
        <v>0</v>
      </c>
      <c r="J39" s="8">
        <f>IF(OR(A39="",I39=""),"",I39-TODAY())</f>
        <v>0</v>
      </c>
      <c r="K39" s="8">
        <f>IF(A39="","",IF(J39="","No date",IF(J39&lt;0,"Expired",IF(J39&lt;=Expiry_Warning_Days,"Use soon","Fresh"))))</f>
        <v>0</v>
      </c>
      <c r="L39" s="8">
        <f>IF(A39="","",COUNTIFS('Recipe Ingredients'!$B$5:$B$1204,A39))</f>
        <v>0</v>
      </c>
      <c r="M39" s="8">
        <f>IF(A39="","",IFERROR(INDEX(Ingredients!$X$5:$X$304,MATCH(A39,Ingredients!$A$5:$A$304,0)),""))</f>
        <v>0</v>
      </c>
      <c r="N39" s="8">
        <f>IF(OR(A39="",M39=""),"",IF(M39&lt;1,MAX(0,1*IFERROR(IFERROR(INDEX(Ingredients!$U$5:$U$304,MATCH(A39,Ingredients!$A$5:$A$304,0)),""),0)-C39),0))</f>
        <v>0</v>
      </c>
      <c r="O39" s="8">
        <f>IF(A39="","",IF(M39="","",IF(M39&lt;1,"Low","OK")))</f>
        <v>0</v>
      </c>
      <c r="P39" s="8">
        <f>IF(OR(A39="",C39=""),"",IFERROR(C39*IFERROR(INDEX(Ingredients!$D$5:$D$304,MATCH(A39,Ingredients!$A$5:$A$304,0)),""),""))</f>
        <v>0</v>
      </c>
      <c r="Q39" s="8">
        <f>IF(OR(E39&lt;&gt;"Fridge",J39=""),"",SUMPRODUCT(($E$5:$E$304="Fridge")*($J$5:$J$304&lt;J39))+SUMPRODUCT(($E$5:$E$304="Fridge")*($J$5:$J$304=J39)*(ROW($J$5:$J$304)&lt;ROW()))+1)</f>
        <v>0</v>
      </c>
      <c r="R39" s="8">
        <f>IF(OR(E39&lt;&gt;"Freezer",J39=""),"",SUMPRODUCT(($E$5:$E$304="Freezer")*($J$5:$J$304&lt;J39))+SUMPRODUCT(($E$5:$E$304="Freezer")*($J$5:$J$304=J39)*(ROW($J$5:$J$304)&lt;ROW()))+1)</f>
        <v>0</v>
      </c>
      <c r="S39" s="7"/>
      <c r="T39" s="27"/>
      <c r="U39" s="28"/>
      <c r="V39" s="27"/>
      <c r="W39" s="7"/>
      <c r="X39" s="26"/>
      <c r="Y39" s="8">
        <f>IF(A39="","",IF(K39="Expired","Bin it",IF(K39="Use soon","Cook it",IF(O39="Low","Running low","Keep"))))</f>
        <v>0</v>
      </c>
      <c r="Z39" s="25"/>
    </row>
    <row r="40" spans="1:26">
      <c r="A40" s="7"/>
      <c r="B40" s="8">
        <f>IF(A40="","",IFERROR(INDEX(Ingredients!$B$5:$B$304,MATCH(A40,Ingredients!$A$5:$A$304,0)),""))</f>
        <v>0</v>
      </c>
      <c r="C40" s="26"/>
      <c r="D40" s="27"/>
      <c r="E40" s="27"/>
      <c r="F40" s="30"/>
      <c r="G40" s="30"/>
      <c r="H40" s="8">
        <f>IF(A40="","",IFERROR(INDEX(Ingredients!$M$5:$M$304,MATCH(A40,Ingredients!$A$5:$A$304,0)),""))</f>
        <v>0</v>
      </c>
      <c r="I40" s="8">
        <f>IF(OR(A40="",H40=""),"",IF(G40&lt;&gt;"",G40+H40,IF(F40&lt;&gt;"",F40+H40,"")))</f>
        <v>0</v>
      </c>
      <c r="J40" s="8">
        <f>IF(OR(A40="",I40=""),"",I40-TODAY())</f>
        <v>0</v>
      </c>
      <c r="K40" s="8">
        <f>IF(A40="","",IF(J40="","No date",IF(J40&lt;0,"Expired",IF(J40&lt;=Expiry_Warning_Days,"Use soon","Fresh"))))</f>
        <v>0</v>
      </c>
      <c r="L40" s="8">
        <f>IF(A40="","",COUNTIFS('Recipe Ingredients'!$B$5:$B$1204,A40))</f>
        <v>0</v>
      </c>
      <c r="M40" s="8">
        <f>IF(A40="","",IFERROR(INDEX(Ingredients!$X$5:$X$304,MATCH(A40,Ingredients!$A$5:$A$304,0)),""))</f>
        <v>0</v>
      </c>
      <c r="N40" s="8">
        <f>IF(OR(A40="",M40=""),"",IF(M40&lt;1,MAX(0,1*IFERROR(IFERROR(INDEX(Ingredients!$U$5:$U$304,MATCH(A40,Ingredients!$A$5:$A$304,0)),""),0)-C40),0))</f>
        <v>0</v>
      </c>
      <c r="O40" s="8">
        <f>IF(A40="","",IF(M40="","",IF(M40&lt;1,"Low","OK")))</f>
        <v>0</v>
      </c>
      <c r="P40" s="8">
        <f>IF(OR(A40="",C40=""),"",IFERROR(C40*IFERROR(INDEX(Ingredients!$D$5:$D$304,MATCH(A40,Ingredients!$A$5:$A$304,0)),""),""))</f>
        <v>0</v>
      </c>
      <c r="Q40" s="8">
        <f>IF(OR(E40&lt;&gt;"Fridge",J40=""),"",SUMPRODUCT(($E$5:$E$304="Fridge")*($J$5:$J$304&lt;J40))+SUMPRODUCT(($E$5:$E$304="Fridge")*($J$5:$J$304=J40)*(ROW($J$5:$J$304)&lt;ROW()))+1)</f>
        <v>0</v>
      </c>
      <c r="R40" s="8">
        <f>IF(OR(E40&lt;&gt;"Freezer",J40=""),"",SUMPRODUCT(($E$5:$E$304="Freezer")*($J$5:$J$304&lt;J40))+SUMPRODUCT(($E$5:$E$304="Freezer")*($J$5:$J$304=J40)*(ROW($J$5:$J$304)&lt;ROW()))+1)</f>
        <v>0</v>
      </c>
      <c r="S40" s="7"/>
      <c r="T40" s="27"/>
      <c r="U40" s="28"/>
      <c r="V40" s="27"/>
      <c r="W40" s="7"/>
      <c r="X40" s="26"/>
      <c r="Y40" s="8">
        <f>IF(A40="","",IF(K40="Expired","Bin it",IF(K40="Use soon","Cook it",IF(O40="Low","Running low","Keep"))))</f>
        <v>0</v>
      </c>
      <c r="Z40" s="25"/>
    </row>
    <row r="41" spans="1:26">
      <c r="A41" s="7"/>
      <c r="B41" s="8">
        <f>IF(A41="","",IFERROR(INDEX(Ingredients!$B$5:$B$304,MATCH(A41,Ingredients!$A$5:$A$304,0)),""))</f>
        <v>0</v>
      </c>
      <c r="C41" s="26"/>
      <c r="D41" s="27"/>
      <c r="E41" s="27"/>
      <c r="F41" s="30"/>
      <c r="G41" s="30"/>
      <c r="H41" s="8">
        <f>IF(A41="","",IFERROR(INDEX(Ingredients!$M$5:$M$304,MATCH(A41,Ingredients!$A$5:$A$304,0)),""))</f>
        <v>0</v>
      </c>
      <c r="I41" s="8">
        <f>IF(OR(A41="",H41=""),"",IF(G41&lt;&gt;"",G41+H41,IF(F41&lt;&gt;"",F41+H41,"")))</f>
        <v>0</v>
      </c>
      <c r="J41" s="8">
        <f>IF(OR(A41="",I41=""),"",I41-TODAY())</f>
        <v>0</v>
      </c>
      <c r="K41" s="8">
        <f>IF(A41="","",IF(J41="","No date",IF(J41&lt;0,"Expired",IF(J41&lt;=Expiry_Warning_Days,"Use soon","Fresh"))))</f>
        <v>0</v>
      </c>
      <c r="L41" s="8">
        <f>IF(A41="","",COUNTIFS('Recipe Ingredients'!$B$5:$B$1204,A41))</f>
        <v>0</v>
      </c>
      <c r="M41" s="8">
        <f>IF(A41="","",IFERROR(INDEX(Ingredients!$X$5:$X$304,MATCH(A41,Ingredients!$A$5:$A$304,0)),""))</f>
        <v>0</v>
      </c>
      <c r="N41" s="8">
        <f>IF(OR(A41="",M41=""),"",IF(M41&lt;1,MAX(0,1*IFERROR(IFERROR(INDEX(Ingredients!$U$5:$U$304,MATCH(A41,Ingredients!$A$5:$A$304,0)),""),0)-C41),0))</f>
        <v>0</v>
      </c>
      <c r="O41" s="8">
        <f>IF(A41="","",IF(M41="","",IF(M41&lt;1,"Low","OK")))</f>
        <v>0</v>
      </c>
      <c r="P41" s="8">
        <f>IF(OR(A41="",C41=""),"",IFERROR(C41*IFERROR(INDEX(Ingredients!$D$5:$D$304,MATCH(A41,Ingredients!$A$5:$A$304,0)),""),""))</f>
        <v>0</v>
      </c>
      <c r="Q41" s="8">
        <f>IF(OR(E41&lt;&gt;"Fridge",J41=""),"",SUMPRODUCT(($E$5:$E$304="Fridge")*($J$5:$J$304&lt;J41))+SUMPRODUCT(($E$5:$E$304="Fridge")*($J$5:$J$304=J41)*(ROW($J$5:$J$304)&lt;ROW()))+1)</f>
        <v>0</v>
      </c>
      <c r="R41" s="8">
        <f>IF(OR(E41&lt;&gt;"Freezer",J41=""),"",SUMPRODUCT(($E$5:$E$304="Freezer")*($J$5:$J$304&lt;J41))+SUMPRODUCT(($E$5:$E$304="Freezer")*($J$5:$J$304=J41)*(ROW($J$5:$J$304)&lt;ROW()))+1)</f>
        <v>0</v>
      </c>
      <c r="S41" s="7"/>
      <c r="T41" s="27"/>
      <c r="U41" s="28"/>
      <c r="V41" s="27"/>
      <c r="W41" s="7"/>
      <c r="X41" s="26"/>
      <c r="Y41" s="8">
        <f>IF(A41="","",IF(K41="Expired","Bin it",IF(K41="Use soon","Cook it",IF(O41="Low","Running low","Keep"))))</f>
        <v>0</v>
      </c>
      <c r="Z41" s="25"/>
    </row>
    <row r="42" spans="1:26">
      <c r="A42" s="7"/>
      <c r="B42" s="8">
        <f>IF(A42="","",IFERROR(INDEX(Ingredients!$B$5:$B$304,MATCH(A42,Ingredients!$A$5:$A$304,0)),""))</f>
        <v>0</v>
      </c>
      <c r="C42" s="26"/>
      <c r="D42" s="27"/>
      <c r="E42" s="27"/>
      <c r="F42" s="30"/>
      <c r="G42" s="30"/>
      <c r="H42" s="8">
        <f>IF(A42="","",IFERROR(INDEX(Ingredients!$M$5:$M$304,MATCH(A42,Ingredients!$A$5:$A$304,0)),""))</f>
        <v>0</v>
      </c>
      <c r="I42" s="8">
        <f>IF(OR(A42="",H42=""),"",IF(G42&lt;&gt;"",G42+H42,IF(F42&lt;&gt;"",F42+H42,"")))</f>
        <v>0</v>
      </c>
      <c r="J42" s="8">
        <f>IF(OR(A42="",I42=""),"",I42-TODAY())</f>
        <v>0</v>
      </c>
      <c r="K42" s="8">
        <f>IF(A42="","",IF(J42="","No date",IF(J42&lt;0,"Expired",IF(J42&lt;=Expiry_Warning_Days,"Use soon","Fresh"))))</f>
        <v>0</v>
      </c>
      <c r="L42" s="8">
        <f>IF(A42="","",COUNTIFS('Recipe Ingredients'!$B$5:$B$1204,A42))</f>
        <v>0</v>
      </c>
      <c r="M42" s="8">
        <f>IF(A42="","",IFERROR(INDEX(Ingredients!$X$5:$X$304,MATCH(A42,Ingredients!$A$5:$A$304,0)),""))</f>
        <v>0</v>
      </c>
      <c r="N42" s="8">
        <f>IF(OR(A42="",M42=""),"",IF(M42&lt;1,MAX(0,1*IFERROR(IFERROR(INDEX(Ingredients!$U$5:$U$304,MATCH(A42,Ingredients!$A$5:$A$304,0)),""),0)-C42),0))</f>
        <v>0</v>
      </c>
      <c r="O42" s="8">
        <f>IF(A42="","",IF(M42="","",IF(M42&lt;1,"Low","OK")))</f>
        <v>0</v>
      </c>
      <c r="P42" s="8">
        <f>IF(OR(A42="",C42=""),"",IFERROR(C42*IFERROR(INDEX(Ingredients!$D$5:$D$304,MATCH(A42,Ingredients!$A$5:$A$304,0)),""),""))</f>
        <v>0</v>
      </c>
      <c r="Q42" s="8">
        <f>IF(OR(E42&lt;&gt;"Fridge",J42=""),"",SUMPRODUCT(($E$5:$E$304="Fridge")*($J$5:$J$304&lt;J42))+SUMPRODUCT(($E$5:$E$304="Fridge")*($J$5:$J$304=J42)*(ROW($J$5:$J$304)&lt;ROW()))+1)</f>
        <v>0</v>
      </c>
      <c r="R42" s="8">
        <f>IF(OR(E42&lt;&gt;"Freezer",J42=""),"",SUMPRODUCT(($E$5:$E$304="Freezer")*($J$5:$J$304&lt;J42))+SUMPRODUCT(($E$5:$E$304="Freezer")*($J$5:$J$304=J42)*(ROW($J$5:$J$304)&lt;ROW()))+1)</f>
        <v>0</v>
      </c>
      <c r="S42" s="7"/>
      <c r="T42" s="27"/>
      <c r="U42" s="28"/>
      <c r="V42" s="27"/>
      <c r="W42" s="7"/>
      <c r="X42" s="26"/>
      <c r="Y42" s="8">
        <f>IF(A42="","",IF(K42="Expired","Bin it",IF(K42="Use soon","Cook it",IF(O42="Low","Running low","Keep"))))</f>
        <v>0</v>
      </c>
      <c r="Z42" s="25"/>
    </row>
    <row r="43" spans="1:26">
      <c r="A43" s="7"/>
      <c r="B43" s="8">
        <f>IF(A43="","",IFERROR(INDEX(Ingredients!$B$5:$B$304,MATCH(A43,Ingredients!$A$5:$A$304,0)),""))</f>
        <v>0</v>
      </c>
      <c r="C43" s="26"/>
      <c r="D43" s="27"/>
      <c r="E43" s="27"/>
      <c r="F43" s="30"/>
      <c r="G43" s="30"/>
      <c r="H43" s="8">
        <f>IF(A43="","",IFERROR(INDEX(Ingredients!$M$5:$M$304,MATCH(A43,Ingredients!$A$5:$A$304,0)),""))</f>
        <v>0</v>
      </c>
      <c r="I43" s="8">
        <f>IF(OR(A43="",H43=""),"",IF(G43&lt;&gt;"",G43+H43,IF(F43&lt;&gt;"",F43+H43,"")))</f>
        <v>0</v>
      </c>
      <c r="J43" s="8">
        <f>IF(OR(A43="",I43=""),"",I43-TODAY())</f>
        <v>0</v>
      </c>
      <c r="K43" s="8">
        <f>IF(A43="","",IF(J43="","No date",IF(J43&lt;0,"Expired",IF(J43&lt;=Expiry_Warning_Days,"Use soon","Fresh"))))</f>
        <v>0</v>
      </c>
      <c r="L43" s="8">
        <f>IF(A43="","",COUNTIFS('Recipe Ingredients'!$B$5:$B$1204,A43))</f>
        <v>0</v>
      </c>
      <c r="M43" s="8">
        <f>IF(A43="","",IFERROR(INDEX(Ingredients!$X$5:$X$304,MATCH(A43,Ingredients!$A$5:$A$304,0)),""))</f>
        <v>0</v>
      </c>
      <c r="N43" s="8">
        <f>IF(OR(A43="",M43=""),"",IF(M43&lt;1,MAX(0,1*IFERROR(IFERROR(INDEX(Ingredients!$U$5:$U$304,MATCH(A43,Ingredients!$A$5:$A$304,0)),""),0)-C43),0))</f>
        <v>0</v>
      </c>
      <c r="O43" s="8">
        <f>IF(A43="","",IF(M43="","",IF(M43&lt;1,"Low","OK")))</f>
        <v>0</v>
      </c>
      <c r="P43" s="8">
        <f>IF(OR(A43="",C43=""),"",IFERROR(C43*IFERROR(INDEX(Ingredients!$D$5:$D$304,MATCH(A43,Ingredients!$A$5:$A$304,0)),""),""))</f>
        <v>0</v>
      </c>
      <c r="Q43" s="8">
        <f>IF(OR(E43&lt;&gt;"Fridge",J43=""),"",SUMPRODUCT(($E$5:$E$304="Fridge")*($J$5:$J$304&lt;J43))+SUMPRODUCT(($E$5:$E$304="Fridge")*($J$5:$J$304=J43)*(ROW($J$5:$J$304)&lt;ROW()))+1)</f>
        <v>0</v>
      </c>
      <c r="R43" s="8">
        <f>IF(OR(E43&lt;&gt;"Freezer",J43=""),"",SUMPRODUCT(($E$5:$E$304="Freezer")*($J$5:$J$304&lt;J43))+SUMPRODUCT(($E$5:$E$304="Freezer")*($J$5:$J$304=J43)*(ROW($J$5:$J$304)&lt;ROW()))+1)</f>
        <v>0</v>
      </c>
      <c r="S43" s="7"/>
      <c r="T43" s="27"/>
      <c r="U43" s="28"/>
      <c r="V43" s="27"/>
      <c r="W43" s="7"/>
      <c r="X43" s="26"/>
      <c r="Y43" s="8">
        <f>IF(A43="","",IF(K43="Expired","Bin it",IF(K43="Use soon","Cook it",IF(O43="Low","Running low","Keep"))))</f>
        <v>0</v>
      </c>
      <c r="Z43" s="25"/>
    </row>
    <row r="44" spans="1:26">
      <c r="A44" s="7"/>
      <c r="B44" s="8">
        <f>IF(A44="","",IFERROR(INDEX(Ingredients!$B$5:$B$304,MATCH(A44,Ingredients!$A$5:$A$304,0)),""))</f>
        <v>0</v>
      </c>
      <c r="C44" s="26"/>
      <c r="D44" s="27"/>
      <c r="E44" s="27"/>
      <c r="F44" s="30"/>
      <c r="G44" s="30"/>
      <c r="H44" s="8">
        <f>IF(A44="","",IFERROR(INDEX(Ingredients!$M$5:$M$304,MATCH(A44,Ingredients!$A$5:$A$304,0)),""))</f>
        <v>0</v>
      </c>
      <c r="I44" s="8">
        <f>IF(OR(A44="",H44=""),"",IF(G44&lt;&gt;"",G44+H44,IF(F44&lt;&gt;"",F44+H44,"")))</f>
        <v>0</v>
      </c>
      <c r="J44" s="8">
        <f>IF(OR(A44="",I44=""),"",I44-TODAY())</f>
        <v>0</v>
      </c>
      <c r="K44" s="8">
        <f>IF(A44="","",IF(J44="","No date",IF(J44&lt;0,"Expired",IF(J44&lt;=Expiry_Warning_Days,"Use soon","Fresh"))))</f>
        <v>0</v>
      </c>
      <c r="L44" s="8">
        <f>IF(A44="","",COUNTIFS('Recipe Ingredients'!$B$5:$B$1204,A44))</f>
        <v>0</v>
      </c>
      <c r="M44" s="8">
        <f>IF(A44="","",IFERROR(INDEX(Ingredients!$X$5:$X$304,MATCH(A44,Ingredients!$A$5:$A$304,0)),""))</f>
        <v>0</v>
      </c>
      <c r="N44" s="8">
        <f>IF(OR(A44="",M44=""),"",IF(M44&lt;1,MAX(0,1*IFERROR(IFERROR(INDEX(Ingredients!$U$5:$U$304,MATCH(A44,Ingredients!$A$5:$A$304,0)),""),0)-C44),0))</f>
        <v>0</v>
      </c>
      <c r="O44" s="8">
        <f>IF(A44="","",IF(M44="","",IF(M44&lt;1,"Low","OK")))</f>
        <v>0</v>
      </c>
      <c r="P44" s="8">
        <f>IF(OR(A44="",C44=""),"",IFERROR(C44*IFERROR(INDEX(Ingredients!$D$5:$D$304,MATCH(A44,Ingredients!$A$5:$A$304,0)),""),""))</f>
        <v>0</v>
      </c>
      <c r="Q44" s="8">
        <f>IF(OR(E44&lt;&gt;"Fridge",J44=""),"",SUMPRODUCT(($E$5:$E$304="Fridge")*($J$5:$J$304&lt;J44))+SUMPRODUCT(($E$5:$E$304="Fridge")*($J$5:$J$304=J44)*(ROW($J$5:$J$304)&lt;ROW()))+1)</f>
        <v>0</v>
      </c>
      <c r="R44" s="8">
        <f>IF(OR(E44&lt;&gt;"Freezer",J44=""),"",SUMPRODUCT(($E$5:$E$304="Freezer")*($J$5:$J$304&lt;J44))+SUMPRODUCT(($E$5:$E$304="Freezer")*($J$5:$J$304=J44)*(ROW($J$5:$J$304)&lt;ROW()))+1)</f>
        <v>0</v>
      </c>
      <c r="S44" s="7"/>
      <c r="T44" s="27"/>
      <c r="U44" s="28"/>
      <c r="V44" s="27"/>
      <c r="W44" s="7"/>
      <c r="X44" s="26"/>
      <c r="Y44" s="8">
        <f>IF(A44="","",IF(K44="Expired","Bin it",IF(K44="Use soon","Cook it",IF(O44="Low","Running low","Keep"))))</f>
        <v>0</v>
      </c>
      <c r="Z44" s="25"/>
    </row>
    <row r="45" spans="1:26">
      <c r="A45" s="7"/>
      <c r="B45" s="8">
        <f>IF(A45="","",IFERROR(INDEX(Ingredients!$B$5:$B$304,MATCH(A45,Ingredients!$A$5:$A$304,0)),""))</f>
        <v>0</v>
      </c>
      <c r="C45" s="26"/>
      <c r="D45" s="27"/>
      <c r="E45" s="27"/>
      <c r="F45" s="30"/>
      <c r="G45" s="30"/>
      <c r="H45" s="8">
        <f>IF(A45="","",IFERROR(INDEX(Ingredients!$M$5:$M$304,MATCH(A45,Ingredients!$A$5:$A$304,0)),""))</f>
        <v>0</v>
      </c>
      <c r="I45" s="8">
        <f>IF(OR(A45="",H45=""),"",IF(G45&lt;&gt;"",G45+H45,IF(F45&lt;&gt;"",F45+H45,"")))</f>
        <v>0</v>
      </c>
      <c r="J45" s="8">
        <f>IF(OR(A45="",I45=""),"",I45-TODAY())</f>
        <v>0</v>
      </c>
      <c r="K45" s="8">
        <f>IF(A45="","",IF(J45="","No date",IF(J45&lt;0,"Expired",IF(J45&lt;=Expiry_Warning_Days,"Use soon","Fresh"))))</f>
        <v>0</v>
      </c>
      <c r="L45" s="8">
        <f>IF(A45="","",COUNTIFS('Recipe Ingredients'!$B$5:$B$1204,A45))</f>
        <v>0</v>
      </c>
      <c r="M45" s="8">
        <f>IF(A45="","",IFERROR(INDEX(Ingredients!$X$5:$X$304,MATCH(A45,Ingredients!$A$5:$A$304,0)),""))</f>
        <v>0</v>
      </c>
      <c r="N45" s="8">
        <f>IF(OR(A45="",M45=""),"",IF(M45&lt;1,MAX(0,1*IFERROR(IFERROR(INDEX(Ingredients!$U$5:$U$304,MATCH(A45,Ingredients!$A$5:$A$304,0)),""),0)-C45),0))</f>
        <v>0</v>
      </c>
      <c r="O45" s="8">
        <f>IF(A45="","",IF(M45="","",IF(M45&lt;1,"Low","OK")))</f>
        <v>0</v>
      </c>
      <c r="P45" s="8">
        <f>IF(OR(A45="",C45=""),"",IFERROR(C45*IFERROR(INDEX(Ingredients!$D$5:$D$304,MATCH(A45,Ingredients!$A$5:$A$304,0)),""),""))</f>
        <v>0</v>
      </c>
      <c r="Q45" s="8">
        <f>IF(OR(E45&lt;&gt;"Fridge",J45=""),"",SUMPRODUCT(($E$5:$E$304="Fridge")*($J$5:$J$304&lt;J45))+SUMPRODUCT(($E$5:$E$304="Fridge")*($J$5:$J$304=J45)*(ROW($J$5:$J$304)&lt;ROW()))+1)</f>
        <v>0</v>
      </c>
      <c r="R45" s="8">
        <f>IF(OR(E45&lt;&gt;"Freezer",J45=""),"",SUMPRODUCT(($E$5:$E$304="Freezer")*($J$5:$J$304&lt;J45))+SUMPRODUCT(($E$5:$E$304="Freezer")*($J$5:$J$304=J45)*(ROW($J$5:$J$304)&lt;ROW()))+1)</f>
        <v>0</v>
      </c>
      <c r="S45" s="7"/>
      <c r="T45" s="27"/>
      <c r="U45" s="28"/>
      <c r="V45" s="27"/>
      <c r="W45" s="7"/>
      <c r="X45" s="26"/>
      <c r="Y45" s="8">
        <f>IF(A45="","",IF(K45="Expired","Bin it",IF(K45="Use soon","Cook it",IF(O45="Low","Running low","Keep"))))</f>
        <v>0</v>
      </c>
      <c r="Z45" s="25"/>
    </row>
    <row r="46" spans="1:26">
      <c r="A46" s="7"/>
      <c r="B46" s="8">
        <f>IF(A46="","",IFERROR(INDEX(Ingredients!$B$5:$B$304,MATCH(A46,Ingredients!$A$5:$A$304,0)),""))</f>
        <v>0</v>
      </c>
      <c r="C46" s="26"/>
      <c r="D46" s="27"/>
      <c r="E46" s="27"/>
      <c r="F46" s="30"/>
      <c r="G46" s="30"/>
      <c r="H46" s="8">
        <f>IF(A46="","",IFERROR(INDEX(Ingredients!$M$5:$M$304,MATCH(A46,Ingredients!$A$5:$A$304,0)),""))</f>
        <v>0</v>
      </c>
      <c r="I46" s="8">
        <f>IF(OR(A46="",H46=""),"",IF(G46&lt;&gt;"",G46+H46,IF(F46&lt;&gt;"",F46+H46,"")))</f>
        <v>0</v>
      </c>
      <c r="J46" s="8">
        <f>IF(OR(A46="",I46=""),"",I46-TODAY())</f>
        <v>0</v>
      </c>
      <c r="K46" s="8">
        <f>IF(A46="","",IF(J46="","No date",IF(J46&lt;0,"Expired",IF(J46&lt;=Expiry_Warning_Days,"Use soon","Fresh"))))</f>
        <v>0</v>
      </c>
      <c r="L46" s="8">
        <f>IF(A46="","",COUNTIFS('Recipe Ingredients'!$B$5:$B$1204,A46))</f>
        <v>0</v>
      </c>
      <c r="M46" s="8">
        <f>IF(A46="","",IFERROR(INDEX(Ingredients!$X$5:$X$304,MATCH(A46,Ingredients!$A$5:$A$304,0)),""))</f>
        <v>0</v>
      </c>
      <c r="N46" s="8">
        <f>IF(OR(A46="",M46=""),"",IF(M46&lt;1,MAX(0,1*IFERROR(IFERROR(INDEX(Ingredients!$U$5:$U$304,MATCH(A46,Ingredients!$A$5:$A$304,0)),""),0)-C46),0))</f>
        <v>0</v>
      </c>
      <c r="O46" s="8">
        <f>IF(A46="","",IF(M46="","",IF(M46&lt;1,"Low","OK")))</f>
        <v>0</v>
      </c>
      <c r="P46" s="8">
        <f>IF(OR(A46="",C46=""),"",IFERROR(C46*IFERROR(INDEX(Ingredients!$D$5:$D$304,MATCH(A46,Ingredients!$A$5:$A$304,0)),""),""))</f>
        <v>0</v>
      </c>
      <c r="Q46" s="8">
        <f>IF(OR(E46&lt;&gt;"Fridge",J46=""),"",SUMPRODUCT(($E$5:$E$304="Fridge")*($J$5:$J$304&lt;J46))+SUMPRODUCT(($E$5:$E$304="Fridge")*($J$5:$J$304=J46)*(ROW($J$5:$J$304)&lt;ROW()))+1)</f>
        <v>0</v>
      </c>
      <c r="R46" s="8">
        <f>IF(OR(E46&lt;&gt;"Freezer",J46=""),"",SUMPRODUCT(($E$5:$E$304="Freezer")*($J$5:$J$304&lt;J46))+SUMPRODUCT(($E$5:$E$304="Freezer")*($J$5:$J$304=J46)*(ROW($J$5:$J$304)&lt;ROW()))+1)</f>
        <v>0</v>
      </c>
      <c r="S46" s="7"/>
      <c r="T46" s="27"/>
      <c r="U46" s="28"/>
      <c r="V46" s="27"/>
      <c r="W46" s="7"/>
      <c r="X46" s="26"/>
      <c r="Y46" s="8">
        <f>IF(A46="","",IF(K46="Expired","Bin it",IF(K46="Use soon","Cook it",IF(O46="Low","Running low","Keep"))))</f>
        <v>0</v>
      </c>
      <c r="Z46" s="25"/>
    </row>
    <row r="47" spans="1:26">
      <c r="A47" s="7"/>
      <c r="B47" s="8">
        <f>IF(A47="","",IFERROR(INDEX(Ingredients!$B$5:$B$304,MATCH(A47,Ingredients!$A$5:$A$304,0)),""))</f>
        <v>0</v>
      </c>
      <c r="C47" s="26"/>
      <c r="D47" s="27"/>
      <c r="E47" s="27"/>
      <c r="F47" s="30"/>
      <c r="G47" s="30"/>
      <c r="H47" s="8">
        <f>IF(A47="","",IFERROR(INDEX(Ingredients!$M$5:$M$304,MATCH(A47,Ingredients!$A$5:$A$304,0)),""))</f>
        <v>0</v>
      </c>
      <c r="I47" s="8">
        <f>IF(OR(A47="",H47=""),"",IF(G47&lt;&gt;"",G47+H47,IF(F47&lt;&gt;"",F47+H47,"")))</f>
        <v>0</v>
      </c>
      <c r="J47" s="8">
        <f>IF(OR(A47="",I47=""),"",I47-TODAY())</f>
        <v>0</v>
      </c>
      <c r="K47" s="8">
        <f>IF(A47="","",IF(J47="","No date",IF(J47&lt;0,"Expired",IF(J47&lt;=Expiry_Warning_Days,"Use soon","Fresh"))))</f>
        <v>0</v>
      </c>
      <c r="L47" s="8">
        <f>IF(A47="","",COUNTIFS('Recipe Ingredients'!$B$5:$B$1204,A47))</f>
        <v>0</v>
      </c>
      <c r="M47" s="8">
        <f>IF(A47="","",IFERROR(INDEX(Ingredients!$X$5:$X$304,MATCH(A47,Ingredients!$A$5:$A$304,0)),""))</f>
        <v>0</v>
      </c>
      <c r="N47" s="8">
        <f>IF(OR(A47="",M47=""),"",IF(M47&lt;1,MAX(0,1*IFERROR(IFERROR(INDEX(Ingredients!$U$5:$U$304,MATCH(A47,Ingredients!$A$5:$A$304,0)),""),0)-C47),0))</f>
        <v>0</v>
      </c>
      <c r="O47" s="8">
        <f>IF(A47="","",IF(M47="","",IF(M47&lt;1,"Low","OK")))</f>
        <v>0</v>
      </c>
      <c r="P47" s="8">
        <f>IF(OR(A47="",C47=""),"",IFERROR(C47*IFERROR(INDEX(Ingredients!$D$5:$D$304,MATCH(A47,Ingredients!$A$5:$A$304,0)),""),""))</f>
        <v>0</v>
      </c>
      <c r="Q47" s="8">
        <f>IF(OR(E47&lt;&gt;"Fridge",J47=""),"",SUMPRODUCT(($E$5:$E$304="Fridge")*($J$5:$J$304&lt;J47))+SUMPRODUCT(($E$5:$E$304="Fridge")*($J$5:$J$304=J47)*(ROW($J$5:$J$304)&lt;ROW()))+1)</f>
        <v>0</v>
      </c>
      <c r="R47" s="8">
        <f>IF(OR(E47&lt;&gt;"Freezer",J47=""),"",SUMPRODUCT(($E$5:$E$304="Freezer")*($J$5:$J$304&lt;J47))+SUMPRODUCT(($E$5:$E$304="Freezer")*($J$5:$J$304=J47)*(ROW($J$5:$J$304)&lt;ROW()))+1)</f>
        <v>0</v>
      </c>
      <c r="S47" s="7"/>
      <c r="T47" s="27"/>
      <c r="U47" s="28"/>
      <c r="V47" s="27"/>
      <c r="W47" s="7"/>
      <c r="X47" s="26"/>
      <c r="Y47" s="8">
        <f>IF(A47="","",IF(K47="Expired","Bin it",IF(K47="Use soon","Cook it",IF(O47="Low","Running low","Keep"))))</f>
        <v>0</v>
      </c>
      <c r="Z47" s="25"/>
    </row>
    <row r="48" spans="1:26">
      <c r="A48" s="7"/>
      <c r="B48" s="8">
        <f>IF(A48="","",IFERROR(INDEX(Ingredients!$B$5:$B$304,MATCH(A48,Ingredients!$A$5:$A$304,0)),""))</f>
        <v>0</v>
      </c>
      <c r="C48" s="26"/>
      <c r="D48" s="27"/>
      <c r="E48" s="27"/>
      <c r="F48" s="30"/>
      <c r="G48" s="30"/>
      <c r="H48" s="8">
        <f>IF(A48="","",IFERROR(INDEX(Ingredients!$M$5:$M$304,MATCH(A48,Ingredients!$A$5:$A$304,0)),""))</f>
        <v>0</v>
      </c>
      <c r="I48" s="8">
        <f>IF(OR(A48="",H48=""),"",IF(G48&lt;&gt;"",G48+H48,IF(F48&lt;&gt;"",F48+H48,"")))</f>
        <v>0</v>
      </c>
      <c r="J48" s="8">
        <f>IF(OR(A48="",I48=""),"",I48-TODAY())</f>
        <v>0</v>
      </c>
      <c r="K48" s="8">
        <f>IF(A48="","",IF(J48="","No date",IF(J48&lt;0,"Expired",IF(J48&lt;=Expiry_Warning_Days,"Use soon","Fresh"))))</f>
        <v>0</v>
      </c>
      <c r="L48" s="8">
        <f>IF(A48="","",COUNTIFS('Recipe Ingredients'!$B$5:$B$1204,A48))</f>
        <v>0</v>
      </c>
      <c r="M48" s="8">
        <f>IF(A48="","",IFERROR(INDEX(Ingredients!$X$5:$X$304,MATCH(A48,Ingredients!$A$5:$A$304,0)),""))</f>
        <v>0</v>
      </c>
      <c r="N48" s="8">
        <f>IF(OR(A48="",M48=""),"",IF(M48&lt;1,MAX(0,1*IFERROR(IFERROR(INDEX(Ingredients!$U$5:$U$304,MATCH(A48,Ingredients!$A$5:$A$304,0)),""),0)-C48),0))</f>
        <v>0</v>
      </c>
      <c r="O48" s="8">
        <f>IF(A48="","",IF(M48="","",IF(M48&lt;1,"Low","OK")))</f>
        <v>0</v>
      </c>
      <c r="P48" s="8">
        <f>IF(OR(A48="",C48=""),"",IFERROR(C48*IFERROR(INDEX(Ingredients!$D$5:$D$304,MATCH(A48,Ingredients!$A$5:$A$304,0)),""),""))</f>
        <v>0</v>
      </c>
      <c r="Q48" s="8">
        <f>IF(OR(E48&lt;&gt;"Fridge",J48=""),"",SUMPRODUCT(($E$5:$E$304="Fridge")*($J$5:$J$304&lt;J48))+SUMPRODUCT(($E$5:$E$304="Fridge")*($J$5:$J$304=J48)*(ROW($J$5:$J$304)&lt;ROW()))+1)</f>
        <v>0</v>
      </c>
      <c r="R48" s="8">
        <f>IF(OR(E48&lt;&gt;"Freezer",J48=""),"",SUMPRODUCT(($E$5:$E$304="Freezer")*($J$5:$J$304&lt;J48))+SUMPRODUCT(($E$5:$E$304="Freezer")*($J$5:$J$304=J48)*(ROW($J$5:$J$304)&lt;ROW()))+1)</f>
        <v>0</v>
      </c>
      <c r="S48" s="7"/>
      <c r="T48" s="27"/>
      <c r="U48" s="28"/>
      <c r="V48" s="27"/>
      <c r="W48" s="7"/>
      <c r="X48" s="26"/>
      <c r="Y48" s="8">
        <f>IF(A48="","",IF(K48="Expired","Bin it",IF(K48="Use soon","Cook it",IF(O48="Low","Running low","Keep"))))</f>
        <v>0</v>
      </c>
      <c r="Z48" s="25"/>
    </row>
    <row r="49" spans="1:26">
      <c r="A49" s="7"/>
      <c r="B49" s="8">
        <f>IF(A49="","",IFERROR(INDEX(Ingredients!$B$5:$B$304,MATCH(A49,Ingredients!$A$5:$A$304,0)),""))</f>
        <v>0</v>
      </c>
      <c r="C49" s="26"/>
      <c r="D49" s="27"/>
      <c r="E49" s="27"/>
      <c r="F49" s="30"/>
      <c r="G49" s="30"/>
      <c r="H49" s="8">
        <f>IF(A49="","",IFERROR(INDEX(Ingredients!$M$5:$M$304,MATCH(A49,Ingredients!$A$5:$A$304,0)),""))</f>
        <v>0</v>
      </c>
      <c r="I49" s="8">
        <f>IF(OR(A49="",H49=""),"",IF(G49&lt;&gt;"",G49+H49,IF(F49&lt;&gt;"",F49+H49,"")))</f>
        <v>0</v>
      </c>
      <c r="J49" s="8">
        <f>IF(OR(A49="",I49=""),"",I49-TODAY())</f>
        <v>0</v>
      </c>
      <c r="K49" s="8">
        <f>IF(A49="","",IF(J49="","No date",IF(J49&lt;0,"Expired",IF(J49&lt;=Expiry_Warning_Days,"Use soon","Fresh"))))</f>
        <v>0</v>
      </c>
      <c r="L49" s="8">
        <f>IF(A49="","",COUNTIFS('Recipe Ingredients'!$B$5:$B$1204,A49))</f>
        <v>0</v>
      </c>
      <c r="M49" s="8">
        <f>IF(A49="","",IFERROR(INDEX(Ingredients!$X$5:$X$304,MATCH(A49,Ingredients!$A$5:$A$304,0)),""))</f>
        <v>0</v>
      </c>
      <c r="N49" s="8">
        <f>IF(OR(A49="",M49=""),"",IF(M49&lt;1,MAX(0,1*IFERROR(IFERROR(INDEX(Ingredients!$U$5:$U$304,MATCH(A49,Ingredients!$A$5:$A$304,0)),""),0)-C49),0))</f>
        <v>0</v>
      </c>
      <c r="O49" s="8">
        <f>IF(A49="","",IF(M49="","",IF(M49&lt;1,"Low","OK")))</f>
        <v>0</v>
      </c>
      <c r="P49" s="8">
        <f>IF(OR(A49="",C49=""),"",IFERROR(C49*IFERROR(INDEX(Ingredients!$D$5:$D$304,MATCH(A49,Ingredients!$A$5:$A$304,0)),""),""))</f>
        <v>0</v>
      </c>
      <c r="Q49" s="8">
        <f>IF(OR(E49&lt;&gt;"Fridge",J49=""),"",SUMPRODUCT(($E$5:$E$304="Fridge")*($J$5:$J$304&lt;J49))+SUMPRODUCT(($E$5:$E$304="Fridge")*($J$5:$J$304=J49)*(ROW($J$5:$J$304)&lt;ROW()))+1)</f>
        <v>0</v>
      </c>
      <c r="R49" s="8">
        <f>IF(OR(E49&lt;&gt;"Freezer",J49=""),"",SUMPRODUCT(($E$5:$E$304="Freezer")*($J$5:$J$304&lt;J49))+SUMPRODUCT(($E$5:$E$304="Freezer")*($J$5:$J$304=J49)*(ROW($J$5:$J$304)&lt;ROW()))+1)</f>
        <v>0</v>
      </c>
      <c r="S49" s="7"/>
      <c r="T49" s="27"/>
      <c r="U49" s="28"/>
      <c r="V49" s="27"/>
      <c r="W49" s="7"/>
      <c r="X49" s="26"/>
      <c r="Y49" s="8">
        <f>IF(A49="","",IF(K49="Expired","Bin it",IF(K49="Use soon","Cook it",IF(O49="Low","Running low","Keep"))))</f>
        <v>0</v>
      </c>
      <c r="Z49" s="25"/>
    </row>
    <row r="50" spans="1:26">
      <c r="A50" s="7"/>
      <c r="B50" s="8">
        <f>IF(A50="","",IFERROR(INDEX(Ingredients!$B$5:$B$304,MATCH(A50,Ingredients!$A$5:$A$304,0)),""))</f>
        <v>0</v>
      </c>
      <c r="C50" s="26"/>
      <c r="D50" s="27"/>
      <c r="E50" s="27"/>
      <c r="F50" s="30"/>
      <c r="G50" s="30"/>
      <c r="H50" s="8">
        <f>IF(A50="","",IFERROR(INDEX(Ingredients!$M$5:$M$304,MATCH(A50,Ingredients!$A$5:$A$304,0)),""))</f>
        <v>0</v>
      </c>
      <c r="I50" s="8">
        <f>IF(OR(A50="",H50=""),"",IF(G50&lt;&gt;"",G50+H50,IF(F50&lt;&gt;"",F50+H50,"")))</f>
        <v>0</v>
      </c>
      <c r="J50" s="8">
        <f>IF(OR(A50="",I50=""),"",I50-TODAY())</f>
        <v>0</v>
      </c>
      <c r="K50" s="8">
        <f>IF(A50="","",IF(J50="","No date",IF(J50&lt;0,"Expired",IF(J50&lt;=Expiry_Warning_Days,"Use soon","Fresh"))))</f>
        <v>0</v>
      </c>
      <c r="L50" s="8">
        <f>IF(A50="","",COUNTIFS('Recipe Ingredients'!$B$5:$B$1204,A50))</f>
        <v>0</v>
      </c>
      <c r="M50" s="8">
        <f>IF(A50="","",IFERROR(INDEX(Ingredients!$X$5:$X$304,MATCH(A50,Ingredients!$A$5:$A$304,0)),""))</f>
        <v>0</v>
      </c>
      <c r="N50" s="8">
        <f>IF(OR(A50="",M50=""),"",IF(M50&lt;1,MAX(0,1*IFERROR(IFERROR(INDEX(Ingredients!$U$5:$U$304,MATCH(A50,Ingredients!$A$5:$A$304,0)),""),0)-C50),0))</f>
        <v>0</v>
      </c>
      <c r="O50" s="8">
        <f>IF(A50="","",IF(M50="","",IF(M50&lt;1,"Low","OK")))</f>
        <v>0</v>
      </c>
      <c r="P50" s="8">
        <f>IF(OR(A50="",C50=""),"",IFERROR(C50*IFERROR(INDEX(Ingredients!$D$5:$D$304,MATCH(A50,Ingredients!$A$5:$A$304,0)),""),""))</f>
        <v>0</v>
      </c>
      <c r="Q50" s="8">
        <f>IF(OR(E50&lt;&gt;"Fridge",J50=""),"",SUMPRODUCT(($E$5:$E$304="Fridge")*($J$5:$J$304&lt;J50))+SUMPRODUCT(($E$5:$E$304="Fridge")*($J$5:$J$304=J50)*(ROW($J$5:$J$304)&lt;ROW()))+1)</f>
        <v>0</v>
      </c>
      <c r="R50" s="8">
        <f>IF(OR(E50&lt;&gt;"Freezer",J50=""),"",SUMPRODUCT(($E$5:$E$304="Freezer")*($J$5:$J$304&lt;J50))+SUMPRODUCT(($E$5:$E$304="Freezer")*($J$5:$J$304=J50)*(ROW($J$5:$J$304)&lt;ROW()))+1)</f>
        <v>0</v>
      </c>
      <c r="S50" s="7"/>
      <c r="T50" s="27"/>
      <c r="U50" s="28"/>
      <c r="V50" s="27"/>
      <c r="W50" s="7"/>
      <c r="X50" s="26"/>
      <c r="Y50" s="8">
        <f>IF(A50="","",IF(K50="Expired","Bin it",IF(K50="Use soon","Cook it",IF(O50="Low","Running low","Keep"))))</f>
        <v>0</v>
      </c>
      <c r="Z50" s="25"/>
    </row>
    <row r="51" spans="1:26">
      <c r="A51" s="7"/>
      <c r="B51" s="8">
        <f>IF(A51="","",IFERROR(INDEX(Ingredients!$B$5:$B$304,MATCH(A51,Ingredients!$A$5:$A$304,0)),""))</f>
        <v>0</v>
      </c>
      <c r="C51" s="26"/>
      <c r="D51" s="27"/>
      <c r="E51" s="27"/>
      <c r="F51" s="30"/>
      <c r="G51" s="30"/>
      <c r="H51" s="8">
        <f>IF(A51="","",IFERROR(INDEX(Ingredients!$M$5:$M$304,MATCH(A51,Ingredients!$A$5:$A$304,0)),""))</f>
        <v>0</v>
      </c>
      <c r="I51" s="8">
        <f>IF(OR(A51="",H51=""),"",IF(G51&lt;&gt;"",G51+H51,IF(F51&lt;&gt;"",F51+H51,"")))</f>
        <v>0</v>
      </c>
      <c r="J51" s="8">
        <f>IF(OR(A51="",I51=""),"",I51-TODAY())</f>
        <v>0</v>
      </c>
      <c r="K51" s="8">
        <f>IF(A51="","",IF(J51="","No date",IF(J51&lt;0,"Expired",IF(J51&lt;=Expiry_Warning_Days,"Use soon","Fresh"))))</f>
        <v>0</v>
      </c>
      <c r="L51" s="8">
        <f>IF(A51="","",COUNTIFS('Recipe Ingredients'!$B$5:$B$1204,A51))</f>
        <v>0</v>
      </c>
      <c r="M51" s="8">
        <f>IF(A51="","",IFERROR(INDEX(Ingredients!$X$5:$X$304,MATCH(A51,Ingredients!$A$5:$A$304,0)),""))</f>
        <v>0</v>
      </c>
      <c r="N51" s="8">
        <f>IF(OR(A51="",M51=""),"",IF(M51&lt;1,MAX(0,1*IFERROR(IFERROR(INDEX(Ingredients!$U$5:$U$304,MATCH(A51,Ingredients!$A$5:$A$304,0)),""),0)-C51),0))</f>
        <v>0</v>
      </c>
      <c r="O51" s="8">
        <f>IF(A51="","",IF(M51="","",IF(M51&lt;1,"Low","OK")))</f>
        <v>0</v>
      </c>
      <c r="P51" s="8">
        <f>IF(OR(A51="",C51=""),"",IFERROR(C51*IFERROR(INDEX(Ingredients!$D$5:$D$304,MATCH(A51,Ingredients!$A$5:$A$304,0)),""),""))</f>
        <v>0</v>
      </c>
      <c r="Q51" s="8">
        <f>IF(OR(E51&lt;&gt;"Fridge",J51=""),"",SUMPRODUCT(($E$5:$E$304="Fridge")*($J$5:$J$304&lt;J51))+SUMPRODUCT(($E$5:$E$304="Fridge")*($J$5:$J$304=J51)*(ROW($J$5:$J$304)&lt;ROW()))+1)</f>
        <v>0</v>
      </c>
      <c r="R51" s="8">
        <f>IF(OR(E51&lt;&gt;"Freezer",J51=""),"",SUMPRODUCT(($E$5:$E$304="Freezer")*($J$5:$J$304&lt;J51))+SUMPRODUCT(($E$5:$E$304="Freezer")*($J$5:$J$304=J51)*(ROW($J$5:$J$304)&lt;ROW()))+1)</f>
        <v>0</v>
      </c>
      <c r="S51" s="7"/>
      <c r="T51" s="27"/>
      <c r="U51" s="28"/>
      <c r="V51" s="27"/>
      <c r="W51" s="7"/>
      <c r="X51" s="26"/>
      <c r="Y51" s="8">
        <f>IF(A51="","",IF(K51="Expired","Bin it",IF(K51="Use soon","Cook it",IF(O51="Low","Running low","Keep"))))</f>
        <v>0</v>
      </c>
      <c r="Z51" s="25"/>
    </row>
    <row r="52" spans="1:26">
      <c r="A52" s="7"/>
      <c r="B52" s="8">
        <f>IF(A52="","",IFERROR(INDEX(Ingredients!$B$5:$B$304,MATCH(A52,Ingredients!$A$5:$A$304,0)),""))</f>
        <v>0</v>
      </c>
      <c r="C52" s="26"/>
      <c r="D52" s="27"/>
      <c r="E52" s="27"/>
      <c r="F52" s="30"/>
      <c r="G52" s="30"/>
      <c r="H52" s="8">
        <f>IF(A52="","",IFERROR(INDEX(Ingredients!$M$5:$M$304,MATCH(A52,Ingredients!$A$5:$A$304,0)),""))</f>
        <v>0</v>
      </c>
      <c r="I52" s="8">
        <f>IF(OR(A52="",H52=""),"",IF(G52&lt;&gt;"",G52+H52,IF(F52&lt;&gt;"",F52+H52,"")))</f>
        <v>0</v>
      </c>
      <c r="J52" s="8">
        <f>IF(OR(A52="",I52=""),"",I52-TODAY())</f>
        <v>0</v>
      </c>
      <c r="K52" s="8">
        <f>IF(A52="","",IF(J52="","No date",IF(J52&lt;0,"Expired",IF(J52&lt;=Expiry_Warning_Days,"Use soon","Fresh"))))</f>
        <v>0</v>
      </c>
      <c r="L52" s="8">
        <f>IF(A52="","",COUNTIFS('Recipe Ingredients'!$B$5:$B$1204,A52))</f>
        <v>0</v>
      </c>
      <c r="M52" s="8">
        <f>IF(A52="","",IFERROR(INDEX(Ingredients!$X$5:$X$304,MATCH(A52,Ingredients!$A$5:$A$304,0)),""))</f>
        <v>0</v>
      </c>
      <c r="N52" s="8">
        <f>IF(OR(A52="",M52=""),"",IF(M52&lt;1,MAX(0,1*IFERROR(IFERROR(INDEX(Ingredients!$U$5:$U$304,MATCH(A52,Ingredients!$A$5:$A$304,0)),""),0)-C52),0))</f>
        <v>0</v>
      </c>
      <c r="O52" s="8">
        <f>IF(A52="","",IF(M52="","",IF(M52&lt;1,"Low","OK")))</f>
        <v>0</v>
      </c>
      <c r="P52" s="8">
        <f>IF(OR(A52="",C52=""),"",IFERROR(C52*IFERROR(INDEX(Ingredients!$D$5:$D$304,MATCH(A52,Ingredients!$A$5:$A$304,0)),""),""))</f>
        <v>0</v>
      </c>
      <c r="Q52" s="8">
        <f>IF(OR(E52&lt;&gt;"Fridge",J52=""),"",SUMPRODUCT(($E$5:$E$304="Fridge")*($J$5:$J$304&lt;J52))+SUMPRODUCT(($E$5:$E$304="Fridge")*($J$5:$J$304=J52)*(ROW($J$5:$J$304)&lt;ROW()))+1)</f>
        <v>0</v>
      </c>
      <c r="R52" s="8">
        <f>IF(OR(E52&lt;&gt;"Freezer",J52=""),"",SUMPRODUCT(($E$5:$E$304="Freezer")*($J$5:$J$304&lt;J52))+SUMPRODUCT(($E$5:$E$304="Freezer")*($J$5:$J$304=J52)*(ROW($J$5:$J$304)&lt;ROW()))+1)</f>
        <v>0</v>
      </c>
      <c r="S52" s="7"/>
      <c r="T52" s="27"/>
      <c r="U52" s="28"/>
      <c r="V52" s="27"/>
      <c r="W52" s="7"/>
      <c r="X52" s="26"/>
      <c r="Y52" s="8">
        <f>IF(A52="","",IF(K52="Expired","Bin it",IF(K52="Use soon","Cook it",IF(O52="Low","Running low","Keep"))))</f>
        <v>0</v>
      </c>
      <c r="Z52" s="25"/>
    </row>
    <row r="53" spans="1:26">
      <c r="A53" s="7"/>
      <c r="B53" s="8">
        <f>IF(A53="","",IFERROR(INDEX(Ingredients!$B$5:$B$304,MATCH(A53,Ingredients!$A$5:$A$304,0)),""))</f>
        <v>0</v>
      </c>
      <c r="C53" s="26"/>
      <c r="D53" s="27"/>
      <c r="E53" s="27"/>
      <c r="F53" s="30"/>
      <c r="G53" s="30"/>
      <c r="H53" s="8">
        <f>IF(A53="","",IFERROR(INDEX(Ingredients!$M$5:$M$304,MATCH(A53,Ingredients!$A$5:$A$304,0)),""))</f>
        <v>0</v>
      </c>
      <c r="I53" s="8">
        <f>IF(OR(A53="",H53=""),"",IF(G53&lt;&gt;"",G53+H53,IF(F53&lt;&gt;"",F53+H53,"")))</f>
        <v>0</v>
      </c>
      <c r="J53" s="8">
        <f>IF(OR(A53="",I53=""),"",I53-TODAY())</f>
        <v>0</v>
      </c>
      <c r="K53" s="8">
        <f>IF(A53="","",IF(J53="","No date",IF(J53&lt;0,"Expired",IF(J53&lt;=Expiry_Warning_Days,"Use soon","Fresh"))))</f>
        <v>0</v>
      </c>
      <c r="L53" s="8">
        <f>IF(A53="","",COUNTIFS('Recipe Ingredients'!$B$5:$B$1204,A53))</f>
        <v>0</v>
      </c>
      <c r="M53" s="8">
        <f>IF(A53="","",IFERROR(INDEX(Ingredients!$X$5:$X$304,MATCH(A53,Ingredients!$A$5:$A$304,0)),""))</f>
        <v>0</v>
      </c>
      <c r="N53" s="8">
        <f>IF(OR(A53="",M53=""),"",IF(M53&lt;1,MAX(0,1*IFERROR(IFERROR(INDEX(Ingredients!$U$5:$U$304,MATCH(A53,Ingredients!$A$5:$A$304,0)),""),0)-C53),0))</f>
        <v>0</v>
      </c>
      <c r="O53" s="8">
        <f>IF(A53="","",IF(M53="","",IF(M53&lt;1,"Low","OK")))</f>
        <v>0</v>
      </c>
      <c r="P53" s="8">
        <f>IF(OR(A53="",C53=""),"",IFERROR(C53*IFERROR(INDEX(Ingredients!$D$5:$D$304,MATCH(A53,Ingredients!$A$5:$A$304,0)),""),""))</f>
        <v>0</v>
      </c>
      <c r="Q53" s="8">
        <f>IF(OR(E53&lt;&gt;"Fridge",J53=""),"",SUMPRODUCT(($E$5:$E$304="Fridge")*($J$5:$J$304&lt;J53))+SUMPRODUCT(($E$5:$E$304="Fridge")*($J$5:$J$304=J53)*(ROW($J$5:$J$304)&lt;ROW()))+1)</f>
        <v>0</v>
      </c>
      <c r="R53" s="8">
        <f>IF(OR(E53&lt;&gt;"Freezer",J53=""),"",SUMPRODUCT(($E$5:$E$304="Freezer")*($J$5:$J$304&lt;J53))+SUMPRODUCT(($E$5:$E$304="Freezer")*($J$5:$J$304=J53)*(ROW($J$5:$J$304)&lt;ROW()))+1)</f>
        <v>0</v>
      </c>
      <c r="S53" s="7"/>
      <c r="T53" s="27"/>
      <c r="U53" s="28"/>
      <c r="V53" s="27"/>
      <c r="W53" s="7"/>
      <c r="X53" s="26"/>
      <c r="Y53" s="8">
        <f>IF(A53="","",IF(K53="Expired","Bin it",IF(K53="Use soon","Cook it",IF(O53="Low","Running low","Keep"))))</f>
        <v>0</v>
      </c>
      <c r="Z53" s="25"/>
    </row>
    <row r="54" spans="1:26">
      <c r="A54" s="7"/>
      <c r="B54" s="8">
        <f>IF(A54="","",IFERROR(INDEX(Ingredients!$B$5:$B$304,MATCH(A54,Ingredients!$A$5:$A$304,0)),""))</f>
        <v>0</v>
      </c>
      <c r="C54" s="26"/>
      <c r="D54" s="27"/>
      <c r="E54" s="27"/>
      <c r="F54" s="30"/>
      <c r="G54" s="30"/>
      <c r="H54" s="8">
        <f>IF(A54="","",IFERROR(INDEX(Ingredients!$M$5:$M$304,MATCH(A54,Ingredients!$A$5:$A$304,0)),""))</f>
        <v>0</v>
      </c>
      <c r="I54" s="8">
        <f>IF(OR(A54="",H54=""),"",IF(G54&lt;&gt;"",G54+H54,IF(F54&lt;&gt;"",F54+H54,"")))</f>
        <v>0</v>
      </c>
      <c r="J54" s="8">
        <f>IF(OR(A54="",I54=""),"",I54-TODAY())</f>
        <v>0</v>
      </c>
      <c r="K54" s="8">
        <f>IF(A54="","",IF(J54="","No date",IF(J54&lt;0,"Expired",IF(J54&lt;=Expiry_Warning_Days,"Use soon","Fresh"))))</f>
        <v>0</v>
      </c>
      <c r="L54" s="8">
        <f>IF(A54="","",COUNTIFS('Recipe Ingredients'!$B$5:$B$1204,A54))</f>
        <v>0</v>
      </c>
      <c r="M54" s="8">
        <f>IF(A54="","",IFERROR(INDEX(Ingredients!$X$5:$X$304,MATCH(A54,Ingredients!$A$5:$A$304,0)),""))</f>
        <v>0</v>
      </c>
      <c r="N54" s="8">
        <f>IF(OR(A54="",M54=""),"",IF(M54&lt;1,MAX(0,1*IFERROR(IFERROR(INDEX(Ingredients!$U$5:$U$304,MATCH(A54,Ingredients!$A$5:$A$304,0)),""),0)-C54),0))</f>
        <v>0</v>
      </c>
      <c r="O54" s="8">
        <f>IF(A54="","",IF(M54="","",IF(M54&lt;1,"Low","OK")))</f>
        <v>0</v>
      </c>
      <c r="P54" s="8">
        <f>IF(OR(A54="",C54=""),"",IFERROR(C54*IFERROR(INDEX(Ingredients!$D$5:$D$304,MATCH(A54,Ingredients!$A$5:$A$304,0)),""),""))</f>
        <v>0</v>
      </c>
      <c r="Q54" s="8">
        <f>IF(OR(E54&lt;&gt;"Fridge",J54=""),"",SUMPRODUCT(($E$5:$E$304="Fridge")*($J$5:$J$304&lt;J54))+SUMPRODUCT(($E$5:$E$304="Fridge")*($J$5:$J$304=J54)*(ROW($J$5:$J$304)&lt;ROW()))+1)</f>
        <v>0</v>
      </c>
      <c r="R54" s="8">
        <f>IF(OR(E54&lt;&gt;"Freezer",J54=""),"",SUMPRODUCT(($E$5:$E$304="Freezer")*($J$5:$J$304&lt;J54))+SUMPRODUCT(($E$5:$E$304="Freezer")*($J$5:$J$304=J54)*(ROW($J$5:$J$304)&lt;ROW()))+1)</f>
        <v>0</v>
      </c>
      <c r="S54" s="7"/>
      <c r="T54" s="27"/>
      <c r="U54" s="28"/>
      <c r="V54" s="27"/>
      <c r="W54" s="7"/>
      <c r="X54" s="26"/>
      <c r="Y54" s="8">
        <f>IF(A54="","",IF(K54="Expired","Bin it",IF(K54="Use soon","Cook it",IF(O54="Low","Running low","Keep"))))</f>
        <v>0</v>
      </c>
      <c r="Z54" s="25"/>
    </row>
    <row r="55" spans="1:26">
      <c r="A55" s="7"/>
      <c r="B55" s="8">
        <f>IF(A55="","",IFERROR(INDEX(Ingredients!$B$5:$B$304,MATCH(A55,Ingredients!$A$5:$A$304,0)),""))</f>
        <v>0</v>
      </c>
      <c r="C55" s="26"/>
      <c r="D55" s="27"/>
      <c r="E55" s="27"/>
      <c r="F55" s="30"/>
      <c r="G55" s="30"/>
      <c r="H55" s="8">
        <f>IF(A55="","",IFERROR(INDEX(Ingredients!$M$5:$M$304,MATCH(A55,Ingredients!$A$5:$A$304,0)),""))</f>
        <v>0</v>
      </c>
      <c r="I55" s="8">
        <f>IF(OR(A55="",H55=""),"",IF(G55&lt;&gt;"",G55+H55,IF(F55&lt;&gt;"",F55+H55,"")))</f>
        <v>0</v>
      </c>
      <c r="J55" s="8">
        <f>IF(OR(A55="",I55=""),"",I55-TODAY())</f>
        <v>0</v>
      </c>
      <c r="K55" s="8">
        <f>IF(A55="","",IF(J55="","No date",IF(J55&lt;0,"Expired",IF(J55&lt;=Expiry_Warning_Days,"Use soon","Fresh"))))</f>
        <v>0</v>
      </c>
      <c r="L55" s="8">
        <f>IF(A55="","",COUNTIFS('Recipe Ingredients'!$B$5:$B$1204,A55))</f>
        <v>0</v>
      </c>
      <c r="M55" s="8">
        <f>IF(A55="","",IFERROR(INDEX(Ingredients!$X$5:$X$304,MATCH(A55,Ingredients!$A$5:$A$304,0)),""))</f>
        <v>0</v>
      </c>
      <c r="N55" s="8">
        <f>IF(OR(A55="",M55=""),"",IF(M55&lt;1,MAX(0,1*IFERROR(IFERROR(INDEX(Ingredients!$U$5:$U$304,MATCH(A55,Ingredients!$A$5:$A$304,0)),""),0)-C55),0))</f>
        <v>0</v>
      </c>
      <c r="O55" s="8">
        <f>IF(A55="","",IF(M55="","",IF(M55&lt;1,"Low","OK")))</f>
        <v>0</v>
      </c>
      <c r="P55" s="8">
        <f>IF(OR(A55="",C55=""),"",IFERROR(C55*IFERROR(INDEX(Ingredients!$D$5:$D$304,MATCH(A55,Ingredients!$A$5:$A$304,0)),""),""))</f>
        <v>0</v>
      </c>
      <c r="Q55" s="8">
        <f>IF(OR(E55&lt;&gt;"Fridge",J55=""),"",SUMPRODUCT(($E$5:$E$304="Fridge")*($J$5:$J$304&lt;J55))+SUMPRODUCT(($E$5:$E$304="Fridge")*($J$5:$J$304=J55)*(ROW($J$5:$J$304)&lt;ROW()))+1)</f>
        <v>0</v>
      </c>
      <c r="R55" s="8">
        <f>IF(OR(E55&lt;&gt;"Freezer",J55=""),"",SUMPRODUCT(($E$5:$E$304="Freezer")*($J$5:$J$304&lt;J55))+SUMPRODUCT(($E$5:$E$304="Freezer")*($J$5:$J$304=J55)*(ROW($J$5:$J$304)&lt;ROW()))+1)</f>
        <v>0</v>
      </c>
      <c r="S55" s="7"/>
      <c r="T55" s="27"/>
      <c r="U55" s="28"/>
      <c r="V55" s="27"/>
      <c r="W55" s="7"/>
      <c r="X55" s="26"/>
      <c r="Y55" s="8">
        <f>IF(A55="","",IF(K55="Expired","Bin it",IF(K55="Use soon","Cook it",IF(O55="Low","Running low","Keep"))))</f>
        <v>0</v>
      </c>
      <c r="Z55" s="25"/>
    </row>
    <row r="56" spans="1:26">
      <c r="A56" s="7"/>
      <c r="B56" s="8">
        <f>IF(A56="","",IFERROR(INDEX(Ingredients!$B$5:$B$304,MATCH(A56,Ingredients!$A$5:$A$304,0)),""))</f>
        <v>0</v>
      </c>
      <c r="C56" s="26"/>
      <c r="D56" s="27"/>
      <c r="E56" s="27"/>
      <c r="F56" s="30"/>
      <c r="G56" s="30"/>
      <c r="H56" s="8">
        <f>IF(A56="","",IFERROR(INDEX(Ingredients!$M$5:$M$304,MATCH(A56,Ingredients!$A$5:$A$304,0)),""))</f>
        <v>0</v>
      </c>
      <c r="I56" s="8">
        <f>IF(OR(A56="",H56=""),"",IF(G56&lt;&gt;"",G56+H56,IF(F56&lt;&gt;"",F56+H56,"")))</f>
        <v>0</v>
      </c>
      <c r="J56" s="8">
        <f>IF(OR(A56="",I56=""),"",I56-TODAY())</f>
        <v>0</v>
      </c>
      <c r="K56" s="8">
        <f>IF(A56="","",IF(J56="","No date",IF(J56&lt;0,"Expired",IF(J56&lt;=Expiry_Warning_Days,"Use soon","Fresh"))))</f>
        <v>0</v>
      </c>
      <c r="L56" s="8">
        <f>IF(A56="","",COUNTIFS('Recipe Ingredients'!$B$5:$B$1204,A56))</f>
        <v>0</v>
      </c>
      <c r="M56" s="8">
        <f>IF(A56="","",IFERROR(INDEX(Ingredients!$X$5:$X$304,MATCH(A56,Ingredients!$A$5:$A$304,0)),""))</f>
        <v>0</v>
      </c>
      <c r="N56" s="8">
        <f>IF(OR(A56="",M56=""),"",IF(M56&lt;1,MAX(0,1*IFERROR(IFERROR(INDEX(Ingredients!$U$5:$U$304,MATCH(A56,Ingredients!$A$5:$A$304,0)),""),0)-C56),0))</f>
        <v>0</v>
      </c>
      <c r="O56" s="8">
        <f>IF(A56="","",IF(M56="","",IF(M56&lt;1,"Low","OK")))</f>
        <v>0</v>
      </c>
      <c r="P56" s="8">
        <f>IF(OR(A56="",C56=""),"",IFERROR(C56*IFERROR(INDEX(Ingredients!$D$5:$D$304,MATCH(A56,Ingredients!$A$5:$A$304,0)),""),""))</f>
        <v>0</v>
      </c>
      <c r="Q56" s="8">
        <f>IF(OR(E56&lt;&gt;"Fridge",J56=""),"",SUMPRODUCT(($E$5:$E$304="Fridge")*($J$5:$J$304&lt;J56))+SUMPRODUCT(($E$5:$E$304="Fridge")*($J$5:$J$304=J56)*(ROW($J$5:$J$304)&lt;ROW()))+1)</f>
        <v>0</v>
      </c>
      <c r="R56" s="8">
        <f>IF(OR(E56&lt;&gt;"Freezer",J56=""),"",SUMPRODUCT(($E$5:$E$304="Freezer")*($J$5:$J$304&lt;J56))+SUMPRODUCT(($E$5:$E$304="Freezer")*($J$5:$J$304=J56)*(ROW($J$5:$J$304)&lt;ROW()))+1)</f>
        <v>0</v>
      </c>
      <c r="S56" s="7"/>
      <c r="T56" s="27"/>
      <c r="U56" s="28"/>
      <c r="V56" s="27"/>
      <c r="W56" s="7"/>
      <c r="X56" s="26"/>
      <c r="Y56" s="8">
        <f>IF(A56="","",IF(K56="Expired","Bin it",IF(K56="Use soon","Cook it",IF(O56="Low","Running low","Keep"))))</f>
        <v>0</v>
      </c>
      <c r="Z56" s="25"/>
    </row>
    <row r="57" spans="1:26">
      <c r="A57" s="7"/>
      <c r="B57" s="8">
        <f>IF(A57="","",IFERROR(INDEX(Ingredients!$B$5:$B$304,MATCH(A57,Ingredients!$A$5:$A$304,0)),""))</f>
        <v>0</v>
      </c>
      <c r="C57" s="26"/>
      <c r="D57" s="27"/>
      <c r="E57" s="27"/>
      <c r="F57" s="30"/>
      <c r="G57" s="30"/>
      <c r="H57" s="8">
        <f>IF(A57="","",IFERROR(INDEX(Ingredients!$M$5:$M$304,MATCH(A57,Ingredients!$A$5:$A$304,0)),""))</f>
        <v>0</v>
      </c>
      <c r="I57" s="8">
        <f>IF(OR(A57="",H57=""),"",IF(G57&lt;&gt;"",G57+H57,IF(F57&lt;&gt;"",F57+H57,"")))</f>
        <v>0</v>
      </c>
      <c r="J57" s="8">
        <f>IF(OR(A57="",I57=""),"",I57-TODAY())</f>
        <v>0</v>
      </c>
      <c r="K57" s="8">
        <f>IF(A57="","",IF(J57="","No date",IF(J57&lt;0,"Expired",IF(J57&lt;=Expiry_Warning_Days,"Use soon","Fresh"))))</f>
        <v>0</v>
      </c>
      <c r="L57" s="8">
        <f>IF(A57="","",COUNTIFS('Recipe Ingredients'!$B$5:$B$1204,A57))</f>
        <v>0</v>
      </c>
      <c r="M57" s="8">
        <f>IF(A57="","",IFERROR(INDEX(Ingredients!$X$5:$X$304,MATCH(A57,Ingredients!$A$5:$A$304,0)),""))</f>
        <v>0</v>
      </c>
      <c r="N57" s="8">
        <f>IF(OR(A57="",M57=""),"",IF(M57&lt;1,MAX(0,1*IFERROR(IFERROR(INDEX(Ingredients!$U$5:$U$304,MATCH(A57,Ingredients!$A$5:$A$304,0)),""),0)-C57),0))</f>
        <v>0</v>
      </c>
      <c r="O57" s="8">
        <f>IF(A57="","",IF(M57="","",IF(M57&lt;1,"Low","OK")))</f>
        <v>0</v>
      </c>
      <c r="P57" s="8">
        <f>IF(OR(A57="",C57=""),"",IFERROR(C57*IFERROR(INDEX(Ingredients!$D$5:$D$304,MATCH(A57,Ingredients!$A$5:$A$304,0)),""),""))</f>
        <v>0</v>
      </c>
      <c r="Q57" s="8">
        <f>IF(OR(E57&lt;&gt;"Fridge",J57=""),"",SUMPRODUCT(($E$5:$E$304="Fridge")*($J$5:$J$304&lt;J57))+SUMPRODUCT(($E$5:$E$304="Fridge")*($J$5:$J$304=J57)*(ROW($J$5:$J$304)&lt;ROW()))+1)</f>
        <v>0</v>
      </c>
      <c r="R57" s="8">
        <f>IF(OR(E57&lt;&gt;"Freezer",J57=""),"",SUMPRODUCT(($E$5:$E$304="Freezer")*($J$5:$J$304&lt;J57))+SUMPRODUCT(($E$5:$E$304="Freezer")*($J$5:$J$304=J57)*(ROW($J$5:$J$304)&lt;ROW()))+1)</f>
        <v>0</v>
      </c>
      <c r="S57" s="7"/>
      <c r="T57" s="27"/>
      <c r="U57" s="28"/>
      <c r="V57" s="27"/>
      <c r="W57" s="7"/>
      <c r="X57" s="26"/>
      <c r="Y57" s="8">
        <f>IF(A57="","",IF(K57="Expired","Bin it",IF(K57="Use soon","Cook it",IF(O57="Low","Running low","Keep"))))</f>
        <v>0</v>
      </c>
      <c r="Z57" s="25"/>
    </row>
    <row r="58" spans="1:26">
      <c r="A58" s="7"/>
      <c r="B58" s="8">
        <f>IF(A58="","",IFERROR(INDEX(Ingredients!$B$5:$B$304,MATCH(A58,Ingredients!$A$5:$A$304,0)),""))</f>
        <v>0</v>
      </c>
      <c r="C58" s="26"/>
      <c r="D58" s="27"/>
      <c r="E58" s="27"/>
      <c r="F58" s="30"/>
      <c r="G58" s="30"/>
      <c r="H58" s="8">
        <f>IF(A58="","",IFERROR(INDEX(Ingredients!$M$5:$M$304,MATCH(A58,Ingredients!$A$5:$A$304,0)),""))</f>
        <v>0</v>
      </c>
      <c r="I58" s="8">
        <f>IF(OR(A58="",H58=""),"",IF(G58&lt;&gt;"",G58+H58,IF(F58&lt;&gt;"",F58+H58,"")))</f>
        <v>0</v>
      </c>
      <c r="J58" s="8">
        <f>IF(OR(A58="",I58=""),"",I58-TODAY())</f>
        <v>0</v>
      </c>
      <c r="K58" s="8">
        <f>IF(A58="","",IF(J58="","No date",IF(J58&lt;0,"Expired",IF(J58&lt;=Expiry_Warning_Days,"Use soon","Fresh"))))</f>
        <v>0</v>
      </c>
      <c r="L58" s="8">
        <f>IF(A58="","",COUNTIFS('Recipe Ingredients'!$B$5:$B$1204,A58))</f>
        <v>0</v>
      </c>
      <c r="M58" s="8">
        <f>IF(A58="","",IFERROR(INDEX(Ingredients!$X$5:$X$304,MATCH(A58,Ingredients!$A$5:$A$304,0)),""))</f>
        <v>0</v>
      </c>
      <c r="N58" s="8">
        <f>IF(OR(A58="",M58=""),"",IF(M58&lt;1,MAX(0,1*IFERROR(IFERROR(INDEX(Ingredients!$U$5:$U$304,MATCH(A58,Ingredients!$A$5:$A$304,0)),""),0)-C58),0))</f>
        <v>0</v>
      </c>
      <c r="O58" s="8">
        <f>IF(A58="","",IF(M58="","",IF(M58&lt;1,"Low","OK")))</f>
        <v>0</v>
      </c>
      <c r="P58" s="8">
        <f>IF(OR(A58="",C58=""),"",IFERROR(C58*IFERROR(INDEX(Ingredients!$D$5:$D$304,MATCH(A58,Ingredients!$A$5:$A$304,0)),""),""))</f>
        <v>0</v>
      </c>
      <c r="Q58" s="8">
        <f>IF(OR(E58&lt;&gt;"Fridge",J58=""),"",SUMPRODUCT(($E$5:$E$304="Fridge")*($J$5:$J$304&lt;J58))+SUMPRODUCT(($E$5:$E$304="Fridge")*($J$5:$J$304=J58)*(ROW($J$5:$J$304)&lt;ROW()))+1)</f>
        <v>0</v>
      </c>
      <c r="R58" s="8">
        <f>IF(OR(E58&lt;&gt;"Freezer",J58=""),"",SUMPRODUCT(($E$5:$E$304="Freezer")*($J$5:$J$304&lt;J58))+SUMPRODUCT(($E$5:$E$304="Freezer")*($J$5:$J$304=J58)*(ROW($J$5:$J$304)&lt;ROW()))+1)</f>
        <v>0</v>
      </c>
      <c r="S58" s="7"/>
      <c r="T58" s="27"/>
      <c r="U58" s="28"/>
      <c r="V58" s="27"/>
      <c r="W58" s="7"/>
      <c r="X58" s="26"/>
      <c r="Y58" s="8">
        <f>IF(A58="","",IF(K58="Expired","Bin it",IF(K58="Use soon","Cook it",IF(O58="Low","Running low","Keep"))))</f>
        <v>0</v>
      </c>
      <c r="Z58" s="25"/>
    </row>
    <row r="59" spans="1:26">
      <c r="A59" s="7"/>
      <c r="B59" s="8">
        <f>IF(A59="","",IFERROR(INDEX(Ingredients!$B$5:$B$304,MATCH(A59,Ingredients!$A$5:$A$304,0)),""))</f>
        <v>0</v>
      </c>
      <c r="C59" s="26"/>
      <c r="D59" s="27"/>
      <c r="E59" s="27"/>
      <c r="F59" s="30"/>
      <c r="G59" s="30"/>
      <c r="H59" s="8">
        <f>IF(A59="","",IFERROR(INDEX(Ingredients!$M$5:$M$304,MATCH(A59,Ingredients!$A$5:$A$304,0)),""))</f>
        <v>0</v>
      </c>
      <c r="I59" s="8">
        <f>IF(OR(A59="",H59=""),"",IF(G59&lt;&gt;"",G59+H59,IF(F59&lt;&gt;"",F59+H59,"")))</f>
        <v>0</v>
      </c>
      <c r="J59" s="8">
        <f>IF(OR(A59="",I59=""),"",I59-TODAY())</f>
        <v>0</v>
      </c>
      <c r="K59" s="8">
        <f>IF(A59="","",IF(J59="","No date",IF(J59&lt;0,"Expired",IF(J59&lt;=Expiry_Warning_Days,"Use soon","Fresh"))))</f>
        <v>0</v>
      </c>
      <c r="L59" s="8">
        <f>IF(A59="","",COUNTIFS('Recipe Ingredients'!$B$5:$B$1204,A59))</f>
        <v>0</v>
      </c>
      <c r="M59" s="8">
        <f>IF(A59="","",IFERROR(INDEX(Ingredients!$X$5:$X$304,MATCH(A59,Ingredients!$A$5:$A$304,0)),""))</f>
        <v>0</v>
      </c>
      <c r="N59" s="8">
        <f>IF(OR(A59="",M59=""),"",IF(M59&lt;1,MAX(0,1*IFERROR(IFERROR(INDEX(Ingredients!$U$5:$U$304,MATCH(A59,Ingredients!$A$5:$A$304,0)),""),0)-C59),0))</f>
        <v>0</v>
      </c>
      <c r="O59" s="8">
        <f>IF(A59="","",IF(M59="","",IF(M59&lt;1,"Low","OK")))</f>
        <v>0</v>
      </c>
      <c r="P59" s="8">
        <f>IF(OR(A59="",C59=""),"",IFERROR(C59*IFERROR(INDEX(Ingredients!$D$5:$D$304,MATCH(A59,Ingredients!$A$5:$A$304,0)),""),""))</f>
        <v>0</v>
      </c>
      <c r="Q59" s="8">
        <f>IF(OR(E59&lt;&gt;"Fridge",J59=""),"",SUMPRODUCT(($E$5:$E$304="Fridge")*($J$5:$J$304&lt;J59))+SUMPRODUCT(($E$5:$E$304="Fridge")*($J$5:$J$304=J59)*(ROW($J$5:$J$304)&lt;ROW()))+1)</f>
        <v>0</v>
      </c>
      <c r="R59" s="8">
        <f>IF(OR(E59&lt;&gt;"Freezer",J59=""),"",SUMPRODUCT(($E$5:$E$304="Freezer")*($J$5:$J$304&lt;J59))+SUMPRODUCT(($E$5:$E$304="Freezer")*($J$5:$J$304=J59)*(ROW($J$5:$J$304)&lt;ROW()))+1)</f>
        <v>0</v>
      </c>
      <c r="S59" s="7"/>
      <c r="T59" s="27"/>
      <c r="U59" s="28"/>
      <c r="V59" s="27"/>
      <c r="W59" s="7"/>
      <c r="X59" s="26"/>
      <c r="Y59" s="8">
        <f>IF(A59="","",IF(K59="Expired","Bin it",IF(K59="Use soon","Cook it",IF(O59="Low","Running low","Keep"))))</f>
        <v>0</v>
      </c>
      <c r="Z59" s="25"/>
    </row>
    <row r="60" spans="1:26">
      <c r="A60" s="7"/>
      <c r="B60" s="8">
        <f>IF(A60="","",IFERROR(INDEX(Ingredients!$B$5:$B$304,MATCH(A60,Ingredients!$A$5:$A$304,0)),""))</f>
        <v>0</v>
      </c>
      <c r="C60" s="26"/>
      <c r="D60" s="27"/>
      <c r="E60" s="27"/>
      <c r="F60" s="30"/>
      <c r="G60" s="30"/>
      <c r="H60" s="8">
        <f>IF(A60="","",IFERROR(INDEX(Ingredients!$M$5:$M$304,MATCH(A60,Ingredients!$A$5:$A$304,0)),""))</f>
        <v>0</v>
      </c>
      <c r="I60" s="8">
        <f>IF(OR(A60="",H60=""),"",IF(G60&lt;&gt;"",G60+H60,IF(F60&lt;&gt;"",F60+H60,"")))</f>
        <v>0</v>
      </c>
      <c r="J60" s="8">
        <f>IF(OR(A60="",I60=""),"",I60-TODAY())</f>
        <v>0</v>
      </c>
      <c r="K60" s="8">
        <f>IF(A60="","",IF(J60="","No date",IF(J60&lt;0,"Expired",IF(J60&lt;=Expiry_Warning_Days,"Use soon","Fresh"))))</f>
        <v>0</v>
      </c>
      <c r="L60" s="8">
        <f>IF(A60="","",COUNTIFS('Recipe Ingredients'!$B$5:$B$1204,A60))</f>
        <v>0</v>
      </c>
      <c r="M60" s="8">
        <f>IF(A60="","",IFERROR(INDEX(Ingredients!$X$5:$X$304,MATCH(A60,Ingredients!$A$5:$A$304,0)),""))</f>
        <v>0</v>
      </c>
      <c r="N60" s="8">
        <f>IF(OR(A60="",M60=""),"",IF(M60&lt;1,MAX(0,1*IFERROR(IFERROR(INDEX(Ingredients!$U$5:$U$304,MATCH(A60,Ingredients!$A$5:$A$304,0)),""),0)-C60),0))</f>
        <v>0</v>
      </c>
      <c r="O60" s="8">
        <f>IF(A60="","",IF(M60="","",IF(M60&lt;1,"Low","OK")))</f>
        <v>0</v>
      </c>
      <c r="P60" s="8">
        <f>IF(OR(A60="",C60=""),"",IFERROR(C60*IFERROR(INDEX(Ingredients!$D$5:$D$304,MATCH(A60,Ingredients!$A$5:$A$304,0)),""),""))</f>
        <v>0</v>
      </c>
      <c r="Q60" s="8">
        <f>IF(OR(E60&lt;&gt;"Fridge",J60=""),"",SUMPRODUCT(($E$5:$E$304="Fridge")*($J$5:$J$304&lt;J60))+SUMPRODUCT(($E$5:$E$304="Fridge")*($J$5:$J$304=J60)*(ROW($J$5:$J$304)&lt;ROW()))+1)</f>
        <v>0</v>
      </c>
      <c r="R60" s="8">
        <f>IF(OR(E60&lt;&gt;"Freezer",J60=""),"",SUMPRODUCT(($E$5:$E$304="Freezer")*($J$5:$J$304&lt;J60))+SUMPRODUCT(($E$5:$E$304="Freezer")*($J$5:$J$304=J60)*(ROW($J$5:$J$304)&lt;ROW()))+1)</f>
        <v>0</v>
      </c>
      <c r="S60" s="7"/>
      <c r="T60" s="27"/>
      <c r="U60" s="28"/>
      <c r="V60" s="27"/>
      <c r="W60" s="7"/>
      <c r="X60" s="26"/>
      <c r="Y60" s="8">
        <f>IF(A60="","",IF(K60="Expired","Bin it",IF(K60="Use soon","Cook it",IF(O60="Low","Running low","Keep"))))</f>
        <v>0</v>
      </c>
      <c r="Z60" s="25"/>
    </row>
    <row r="61" spans="1:26">
      <c r="A61" s="7"/>
      <c r="B61" s="8">
        <f>IF(A61="","",IFERROR(INDEX(Ingredients!$B$5:$B$304,MATCH(A61,Ingredients!$A$5:$A$304,0)),""))</f>
        <v>0</v>
      </c>
      <c r="C61" s="26"/>
      <c r="D61" s="27"/>
      <c r="E61" s="27"/>
      <c r="F61" s="30"/>
      <c r="G61" s="30"/>
      <c r="H61" s="8">
        <f>IF(A61="","",IFERROR(INDEX(Ingredients!$M$5:$M$304,MATCH(A61,Ingredients!$A$5:$A$304,0)),""))</f>
        <v>0</v>
      </c>
      <c r="I61" s="8">
        <f>IF(OR(A61="",H61=""),"",IF(G61&lt;&gt;"",G61+H61,IF(F61&lt;&gt;"",F61+H61,"")))</f>
        <v>0</v>
      </c>
      <c r="J61" s="8">
        <f>IF(OR(A61="",I61=""),"",I61-TODAY())</f>
        <v>0</v>
      </c>
      <c r="K61" s="8">
        <f>IF(A61="","",IF(J61="","No date",IF(J61&lt;0,"Expired",IF(J61&lt;=Expiry_Warning_Days,"Use soon","Fresh"))))</f>
        <v>0</v>
      </c>
      <c r="L61" s="8">
        <f>IF(A61="","",COUNTIFS('Recipe Ingredients'!$B$5:$B$1204,A61))</f>
        <v>0</v>
      </c>
      <c r="M61" s="8">
        <f>IF(A61="","",IFERROR(INDEX(Ingredients!$X$5:$X$304,MATCH(A61,Ingredients!$A$5:$A$304,0)),""))</f>
        <v>0</v>
      </c>
      <c r="N61" s="8">
        <f>IF(OR(A61="",M61=""),"",IF(M61&lt;1,MAX(0,1*IFERROR(IFERROR(INDEX(Ingredients!$U$5:$U$304,MATCH(A61,Ingredients!$A$5:$A$304,0)),""),0)-C61),0))</f>
        <v>0</v>
      </c>
      <c r="O61" s="8">
        <f>IF(A61="","",IF(M61="","",IF(M61&lt;1,"Low","OK")))</f>
        <v>0</v>
      </c>
      <c r="P61" s="8">
        <f>IF(OR(A61="",C61=""),"",IFERROR(C61*IFERROR(INDEX(Ingredients!$D$5:$D$304,MATCH(A61,Ingredients!$A$5:$A$304,0)),""),""))</f>
        <v>0</v>
      </c>
      <c r="Q61" s="8">
        <f>IF(OR(E61&lt;&gt;"Fridge",J61=""),"",SUMPRODUCT(($E$5:$E$304="Fridge")*($J$5:$J$304&lt;J61))+SUMPRODUCT(($E$5:$E$304="Fridge")*($J$5:$J$304=J61)*(ROW($J$5:$J$304)&lt;ROW()))+1)</f>
        <v>0</v>
      </c>
      <c r="R61" s="8">
        <f>IF(OR(E61&lt;&gt;"Freezer",J61=""),"",SUMPRODUCT(($E$5:$E$304="Freezer")*($J$5:$J$304&lt;J61))+SUMPRODUCT(($E$5:$E$304="Freezer")*($J$5:$J$304=J61)*(ROW($J$5:$J$304)&lt;ROW()))+1)</f>
        <v>0</v>
      </c>
      <c r="S61" s="7"/>
      <c r="T61" s="27"/>
      <c r="U61" s="28"/>
      <c r="V61" s="27"/>
      <c r="W61" s="7"/>
      <c r="X61" s="26"/>
      <c r="Y61" s="8">
        <f>IF(A61="","",IF(K61="Expired","Bin it",IF(K61="Use soon","Cook it",IF(O61="Low","Running low","Keep"))))</f>
        <v>0</v>
      </c>
      <c r="Z61" s="25"/>
    </row>
    <row r="62" spans="1:26">
      <c r="A62" s="7"/>
      <c r="B62" s="8">
        <f>IF(A62="","",IFERROR(INDEX(Ingredients!$B$5:$B$304,MATCH(A62,Ingredients!$A$5:$A$304,0)),""))</f>
        <v>0</v>
      </c>
      <c r="C62" s="26"/>
      <c r="D62" s="27"/>
      <c r="E62" s="27"/>
      <c r="F62" s="30"/>
      <c r="G62" s="30"/>
      <c r="H62" s="8">
        <f>IF(A62="","",IFERROR(INDEX(Ingredients!$M$5:$M$304,MATCH(A62,Ingredients!$A$5:$A$304,0)),""))</f>
        <v>0</v>
      </c>
      <c r="I62" s="8">
        <f>IF(OR(A62="",H62=""),"",IF(G62&lt;&gt;"",G62+H62,IF(F62&lt;&gt;"",F62+H62,"")))</f>
        <v>0</v>
      </c>
      <c r="J62" s="8">
        <f>IF(OR(A62="",I62=""),"",I62-TODAY())</f>
        <v>0</v>
      </c>
      <c r="K62" s="8">
        <f>IF(A62="","",IF(J62="","No date",IF(J62&lt;0,"Expired",IF(J62&lt;=Expiry_Warning_Days,"Use soon","Fresh"))))</f>
        <v>0</v>
      </c>
      <c r="L62" s="8">
        <f>IF(A62="","",COUNTIFS('Recipe Ingredients'!$B$5:$B$1204,A62))</f>
        <v>0</v>
      </c>
      <c r="M62" s="8">
        <f>IF(A62="","",IFERROR(INDEX(Ingredients!$X$5:$X$304,MATCH(A62,Ingredients!$A$5:$A$304,0)),""))</f>
        <v>0</v>
      </c>
      <c r="N62" s="8">
        <f>IF(OR(A62="",M62=""),"",IF(M62&lt;1,MAX(0,1*IFERROR(IFERROR(INDEX(Ingredients!$U$5:$U$304,MATCH(A62,Ingredients!$A$5:$A$304,0)),""),0)-C62),0))</f>
        <v>0</v>
      </c>
      <c r="O62" s="8">
        <f>IF(A62="","",IF(M62="","",IF(M62&lt;1,"Low","OK")))</f>
        <v>0</v>
      </c>
      <c r="P62" s="8">
        <f>IF(OR(A62="",C62=""),"",IFERROR(C62*IFERROR(INDEX(Ingredients!$D$5:$D$304,MATCH(A62,Ingredients!$A$5:$A$304,0)),""),""))</f>
        <v>0</v>
      </c>
      <c r="Q62" s="8">
        <f>IF(OR(E62&lt;&gt;"Fridge",J62=""),"",SUMPRODUCT(($E$5:$E$304="Fridge")*($J$5:$J$304&lt;J62))+SUMPRODUCT(($E$5:$E$304="Fridge")*($J$5:$J$304=J62)*(ROW($J$5:$J$304)&lt;ROW()))+1)</f>
        <v>0</v>
      </c>
      <c r="R62" s="8">
        <f>IF(OR(E62&lt;&gt;"Freezer",J62=""),"",SUMPRODUCT(($E$5:$E$304="Freezer")*($J$5:$J$304&lt;J62))+SUMPRODUCT(($E$5:$E$304="Freezer")*($J$5:$J$304=J62)*(ROW($J$5:$J$304)&lt;ROW()))+1)</f>
        <v>0</v>
      </c>
      <c r="S62" s="7"/>
      <c r="T62" s="27"/>
      <c r="U62" s="28"/>
      <c r="V62" s="27"/>
      <c r="W62" s="7"/>
      <c r="X62" s="26"/>
      <c r="Y62" s="8">
        <f>IF(A62="","",IF(K62="Expired","Bin it",IF(K62="Use soon","Cook it",IF(O62="Low","Running low","Keep"))))</f>
        <v>0</v>
      </c>
      <c r="Z62" s="25"/>
    </row>
    <row r="63" spans="1:26">
      <c r="A63" s="7"/>
      <c r="B63" s="8">
        <f>IF(A63="","",IFERROR(INDEX(Ingredients!$B$5:$B$304,MATCH(A63,Ingredients!$A$5:$A$304,0)),""))</f>
        <v>0</v>
      </c>
      <c r="C63" s="26"/>
      <c r="D63" s="27"/>
      <c r="E63" s="27"/>
      <c r="F63" s="30"/>
      <c r="G63" s="30"/>
      <c r="H63" s="8">
        <f>IF(A63="","",IFERROR(INDEX(Ingredients!$M$5:$M$304,MATCH(A63,Ingredients!$A$5:$A$304,0)),""))</f>
        <v>0</v>
      </c>
      <c r="I63" s="8">
        <f>IF(OR(A63="",H63=""),"",IF(G63&lt;&gt;"",G63+H63,IF(F63&lt;&gt;"",F63+H63,"")))</f>
        <v>0</v>
      </c>
      <c r="J63" s="8">
        <f>IF(OR(A63="",I63=""),"",I63-TODAY())</f>
        <v>0</v>
      </c>
      <c r="K63" s="8">
        <f>IF(A63="","",IF(J63="","No date",IF(J63&lt;0,"Expired",IF(J63&lt;=Expiry_Warning_Days,"Use soon","Fresh"))))</f>
        <v>0</v>
      </c>
      <c r="L63" s="8">
        <f>IF(A63="","",COUNTIFS('Recipe Ingredients'!$B$5:$B$1204,A63))</f>
        <v>0</v>
      </c>
      <c r="M63" s="8">
        <f>IF(A63="","",IFERROR(INDEX(Ingredients!$X$5:$X$304,MATCH(A63,Ingredients!$A$5:$A$304,0)),""))</f>
        <v>0</v>
      </c>
      <c r="N63" s="8">
        <f>IF(OR(A63="",M63=""),"",IF(M63&lt;1,MAX(0,1*IFERROR(IFERROR(INDEX(Ingredients!$U$5:$U$304,MATCH(A63,Ingredients!$A$5:$A$304,0)),""),0)-C63),0))</f>
        <v>0</v>
      </c>
      <c r="O63" s="8">
        <f>IF(A63="","",IF(M63="","",IF(M63&lt;1,"Low","OK")))</f>
        <v>0</v>
      </c>
      <c r="P63" s="8">
        <f>IF(OR(A63="",C63=""),"",IFERROR(C63*IFERROR(INDEX(Ingredients!$D$5:$D$304,MATCH(A63,Ingredients!$A$5:$A$304,0)),""),""))</f>
        <v>0</v>
      </c>
      <c r="Q63" s="8">
        <f>IF(OR(E63&lt;&gt;"Fridge",J63=""),"",SUMPRODUCT(($E$5:$E$304="Fridge")*($J$5:$J$304&lt;J63))+SUMPRODUCT(($E$5:$E$304="Fridge")*($J$5:$J$304=J63)*(ROW($J$5:$J$304)&lt;ROW()))+1)</f>
        <v>0</v>
      </c>
      <c r="R63" s="8">
        <f>IF(OR(E63&lt;&gt;"Freezer",J63=""),"",SUMPRODUCT(($E$5:$E$304="Freezer")*($J$5:$J$304&lt;J63))+SUMPRODUCT(($E$5:$E$304="Freezer")*($J$5:$J$304=J63)*(ROW($J$5:$J$304)&lt;ROW()))+1)</f>
        <v>0</v>
      </c>
      <c r="S63" s="7"/>
      <c r="T63" s="27"/>
      <c r="U63" s="28"/>
      <c r="V63" s="27"/>
      <c r="W63" s="7"/>
      <c r="X63" s="26"/>
      <c r="Y63" s="8">
        <f>IF(A63="","",IF(K63="Expired","Bin it",IF(K63="Use soon","Cook it",IF(O63="Low","Running low","Keep"))))</f>
        <v>0</v>
      </c>
      <c r="Z63" s="25"/>
    </row>
    <row r="64" spans="1:26">
      <c r="A64" s="7"/>
      <c r="B64" s="8">
        <f>IF(A64="","",IFERROR(INDEX(Ingredients!$B$5:$B$304,MATCH(A64,Ingredients!$A$5:$A$304,0)),""))</f>
        <v>0</v>
      </c>
      <c r="C64" s="26"/>
      <c r="D64" s="27"/>
      <c r="E64" s="27"/>
      <c r="F64" s="30"/>
      <c r="G64" s="30"/>
      <c r="H64" s="8">
        <f>IF(A64="","",IFERROR(INDEX(Ingredients!$M$5:$M$304,MATCH(A64,Ingredients!$A$5:$A$304,0)),""))</f>
        <v>0</v>
      </c>
      <c r="I64" s="8">
        <f>IF(OR(A64="",H64=""),"",IF(G64&lt;&gt;"",G64+H64,IF(F64&lt;&gt;"",F64+H64,"")))</f>
        <v>0</v>
      </c>
      <c r="J64" s="8">
        <f>IF(OR(A64="",I64=""),"",I64-TODAY())</f>
        <v>0</v>
      </c>
      <c r="K64" s="8">
        <f>IF(A64="","",IF(J64="","No date",IF(J64&lt;0,"Expired",IF(J64&lt;=Expiry_Warning_Days,"Use soon","Fresh"))))</f>
        <v>0</v>
      </c>
      <c r="L64" s="8">
        <f>IF(A64="","",COUNTIFS('Recipe Ingredients'!$B$5:$B$1204,A64))</f>
        <v>0</v>
      </c>
      <c r="M64" s="8">
        <f>IF(A64="","",IFERROR(INDEX(Ingredients!$X$5:$X$304,MATCH(A64,Ingredients!$A$5:$A$304,0)),""))</f>
        <v>0</v>
      </c>
      <c r="N64" s="8">
        <f>IF(OR(A64="",M64=""),"",IF(M64&lt;1,MAX(0,1*IFERROR(IFERROR(INDEX(Ingredients!$U$5:$U$304,MATCH(A64,Ingredients!$A$5:$A$304,0)),""),0)-C64),0))</f>
        <v>0</v>
      </c>
      <c r="O64" s="8">
        <f>IF(A64="","",IF(M64="","",IF(M64&lt;1,"Low","OK")))</f>
        <v>0</v>
      </c>
      <c r="P64" s="8">
        <f>IF(OR(A64="",C64=""),"",IFERROR(C64*IFERROR(INDEX(Ingredients!$D$5:$D$304,MATCH(A64,Ingredients!$A$5:$A$304,0)),""),""))</f>
        <v>0</v>
      </c>
      <c r="Q64" s="8">
        <f>IF(OR(E64&lt;&gt;"Fridge",J64=""),"",SUMPRODUCT(($E$5:$E$304="Fridge")*($J$5:$J$304&lt;J64))+SUMPRODUCT(($E$5:$E$304="Fridge")*($J$5:$J$304=J64)*(ROW($J$5:$J$304)&lt;ROW()))+1)</f>
        <v>0</v>
      </c>
      <c r="R64" s="8">
        <f>IF(OR(E64&lt;&gt;"Freezer",J64=""),"",SUMPRODUCT(($E$5:$E$304="Freezer")*($J$5:$J$304&lt;J64))+SUMPRODUCT(($E$5:$E$304="Freezer")*($J$5:$J$304=J64)*(ROW($J$5:$J$304)&lt;ROW()))+1)</f>
        <v>0</v>
      </c>
      <c r="S64" s="7"/>
      <c r="T64" s="27"/>
      <c r="U64" s="28"/>
      <c r="V64" s="27"/>
      <c r="W64" s="7"/>
      <c r="X64" s="26"/>
      <c r="Y64" s="8">
        <f>IF(A64="","",IF(K64="Expired","Bin it",IF(K64="Use soon","Cook it",IF(O64="Low","Running low","Keep"))))</f>
        <v>0</v>
      </c>
      <c r="Z64" s="25"/>
    </row>
    <row r="65" spans="1:26">
      <c r="A65" s="7"/>
      <c r="B65" s="8">
        <f>IF(A65="","",IFERROR(INDEX(Ingredients!$B$5:$B$304,MATCH(A65,Ingredients!$A$5:$A$304,0)),""))</f>
        <v>0</v>
      </c>
      <c r="C65" s="26"/>
      <c r="D65" s="27"/>
      <c r="E65" s="27"/>
      <c r="F65" s="30"/>
      <c r="G65" s="30"/>
      <c r="H65" s="8">
        <f>IF(A65="","",IFERROR(INDEX(Ingredients!$M$5:$M$304,MATCH(A65,Ingredients!$A$5:$A$304,0)),""))</f>
        <v>0</v>
      </c>
      <c r="I65" s="8">
        <f>IF(OR(A65="",H65=""),"",IF(G65&lt;&gt;"",G65+H65,IF(F65&lt;&gt;"",F65+H65,"")))</f>
        <v>0</v>
      </c>
      <c r="J65" s="8">
        <f>IF(OR(A65="",I65=""),"",I65-TODAY())</f>
        <v>0</v>
      </c>
      <c r="K65" s="8">
        <f>IF(A65="","",IF(J65="","No date",IF(J65&lt;0,"Expired",IF(J65&lt;=Expiry_Warning_Days,"Use soon","Fresh"))))</f>
        <v>0</v>
      </c>
      <c r="L65" s="8">
        <f>IF(A65="","",COUNTIFS('Recipe Ingredients'!$B$5:$B$1204,A65))</f>
        <v>0</v>
      </c>
      <c r="M65" s="8">
        <f>IF(A65="","",IFERROR(INDEX(Ingredients!$X$5:$X$304,MATCH(A65,Ingredients!$A$5:$A$304,0)),""))</f>
        <v>0</v>
      </c>
      <c r="N65" s="8">
        <f>IF(OR(A65="",M65=""),"",IF(M65&lt;1,MAX(0,1*IFERROR(IFERROR(INDEX(Ingredients!$U$5:$U$304,MATCH(A65,Ingredients!$A$5:$A$304,0)),""),0)-C65),0))</f>
        <v>0</v>
      </c>
      <c r="O65" s="8">
        <f>IF(A65="","",IF(M65="","",IF(M65&lt;1,"Low","OK")))</f>
        <v>0</v>
      </c>
      <c r="P65" s="8">
        <f>IF(OR(A65="",C65=""),"",IFERROR(C65*IFERROR(INDEX(Ingredients!$D$5:$D$304,MATCH(A65,Ingredients!$A$5:$A$304,0)),""),""))</f>
        <v>0</v>
      </c>
      <c r="Q65" s="8">
        <f>IF(OR(E65&lt;&gt;"Fridge",J65=""),"",SUMPRODUCT(($E$5:$E$304="Fridge")*($J$5:$J$304&lt;J65))+SUMPRODUCT(($E$5:$E$304="Fridge")*($J$5:$J$304=J65)*(ROW($J$5:$J$304)&lt;ROW()))+1)</f>
        <v>0</v>
      </c>
      <c r="R65" s="8">
        <f>IF(OR(E65&lt;&gt;"Freezer",J65=""),"",SUMPRODUCT(($E$5:$E$304="Freezer")*($J$5:$J$304&lt;J65))+SUMPRODUCT(($E$5:$E$304="Freezer")*($J$5:$J$304=J65)*(ROW($J$5:$J$304)&lt;ROW()))+1)</f>
        <v>0</v>
      </c>
      <c r="S65" s="7"/>
      <c r="T65" s="27"/>
      <c r="U65" s="28"/>
      <c r="V65" s="27"/>
      <c r="W65" s="7"/>
      <c r="X65" s="26"/>
      <c r="Y65" s="8">
        <f>IF(A65="","",IF(K65="Expired","Bin it",IF(K65="Use soon","Cook it",IF(O65="Low","Running low","Keep"))))</f>
        <v>0</v>
      </c>
      <c r="Z65" s="25"/>
    </row>
    <row r="66" spans="1:26">
      <c r="A66" s="7"/>
      <c r="B66" s="8">
        <f>IF(A66="","",IFERROR(INDEX(Ingredients!$B$5:$B$304,MATCH(A66,Ingredients!$A$5:$A$304,0)),""))</f>
        <v>0</v>
      </c>
      <c r="C66" s="26"/>
      <c r="D66" s="27"/>
      <c r="E66" s="27"/>
      <c r="F66" s="30"/>
      <c r="G66" s="30"/>
      <c r="H66" s="8">
        <f>IF(A66="","",IFERROR(INDEX(Ingredients!$M$5:$M$304,MATCH(A66,Ingredients!$A$5:$A$304,0)),""))</f>
        <v>0</v>
      </c>
      <c r="I66" s="8">
        <f>IF(OR(A66="",H66=""),"",IF(G66&lt;&gt;"",G66+H66,IF(F66&lt;&gt;"",F66+H66,"")))</f>
        <v>0</v>
      </c>
      <c r="J66" s="8">
        <f>IF(OR(A66="",I66=""),"",I66-TODAY())</f>
        <v>0</v>
      </c>
      <c r="K66" s="8">
        <f>IF(A66="","",IF(J66="","No date",IF(J66&lt;0,"Expired",IF(J66&lt;=Expiry_Warning_Days,"Use soon","Fresh"))))</f>
        <v>0</v>
      </c>
      <c r="L66" s="8">
        <f>IF(A66="","",COUNTIFS('Recipe Ingredients'!$B$5:$B$1204,A66))</f>
        <v>0</v>
      </c>
      <c r="M66" s="8">
        <f>IF(A66="","",IFERROR(INDEX(Ingredients!$X$5:$X$304,MATCH(A66,Ingredients!$A$5:$A$304,0)),""))</f>
        <v>0</v>
      </c>
      <c r="N66" s="8">
        <f>IF(OR(A66="",M66=""),"",IF(M66&lt;1,MAX(0,1*IFERROR(IFERROR(INDEX(Ingredients!$U$5:$U$304,MATCH(A66,Ingredients!$A$5:$A$304,0)),""),0)-C66),0))</f>
        <v>0</v>
      </c>
      <c r="O66" s="8">
        <f>IF(A66="","",IF(M66="","",IF(M66&lt;1,"Low","OK")))</f>
        <v>0</v>
      </c>
      <c r="P66" s="8">
        <f>IF(OR(A66="",C66=""),"",IFERROR(C66*IFERROR(INDEX(Ingredients!$D$5:$D$304,MATCH(A66,Ingredients!$A$5:$A$304,0)),""),""))</f>
        <v>0</v>
      </c>
      <c r="Q66" s="8">
        <f>IF(OR(E66&lt;&gt;"Fridge",J66=""),"",SUMPRODUCT(($E$5:$E$304="Fridge")*($J$5:$J$304&lt;J66))+SUMPRODUCT(($E$5:$E$304="Fridge")*($J$5:$J$304=J66)*(ROW($J$5:$J$304)&lt;ROW()))+1)</f>
        <v>0</v>
      </c>
      <c r="R66" s="8">
        <f>IF(OR(E66&lt;&gt;"Freezer",J66=""),"",SUMPRODUCT(($E$5:$E$304="Freezer")*($J$5:$J$304&lt;J66))+SUMPRODUCT(($E$5:$E$304="Freezer")*($J$5:$J$304=J66)*(ROW($J$5:$J$304)&lt;ROW()))+1)</f>
        <v>0</v>
      </c>
      <c r="S66" s="7"/>
      <c r="T66" s="27"/>
      <c r="U66" s="28"/>
      <c r="V66" s="27"/>
      <c r="W66" s="7"/>
      <c r="X66" s="26"/>
      <c r="Y66" s="8">
        <f>IF(A66="","",IF(K66="Expired","Bin it",IF(K66="Use soon","Cook it",IF(O66="Low","Running low","Keep"))))</f>
        <v>0</v>
      </c>
      <c r="Z66" s="25"/>
    </row>
    <row r="67" spans="1:26">
      <c r="A67" s="7"/>
      <c r="B67" s="8">
        <f>IF(A67="","",IFERROR(INDEX(Ingredients!$B$5:$B$304,MATCH(A67,Ingredients!$A$5:$A$304,0)),""))</f>
        <v>0</v>
      </c>
      <c r="C67" s="26"/>
      <c r="D67" s="27"/>
      <c r="E67" s="27"/>
      <c r="F67" s="30"/>
      <c r="G67" s="30"/>
      <c r="H67" s="8">
        <f>IF(A67="","",IFERROR(INDEX(Ingredients!$M$5:$M$304,MATCH(A67,Ingredients!$A$5:$A$304,0)),""))</f>
        <v>0</v>
      </c>
      <c r="I67" s="8">
        <f>IF(OR(A67="",H67=""),"",IF(G67&lt;&gt;"",G67+H67,IF(F67&lt;&gt;"",F67+H67,"")))</f>
        <v>0</v>
      </c>
      <c r="J67" s="8">
        <f>IF(OR(A67="",I67=""),"",I67-TODAY())</f>
        <v>0</v>
      </c>
      <c r="K67" s="8">
        <f>IF(A67="","",IF(J67="","No date",IF(J67&lt;0,"Expired",IF(J67&lt;=Expiry_Warning_Days,"Use soon","Fresh"))))</f>
        <v>0</v>
      </c>
      <c r="L67" s="8">
        <f>IF(A67="","",COUNTIFS('Recipe Ingredients'!$B$5:$B$1204,A67))</f>
        <v>0</v>
      </c>
      <c r="M67" s="8">
        <f>IF(A67="","",IFERROR(INDEX(Ingredients!$X$5:$X$304,MATCH(A67,Ingredients!$A$5:$A$304,0)),""))</f>
        <v>0</v>
      </c>
      <c r="N67" s="8">
        <f>IF(OR(A67="",M67=""),"",IF(M67&lt;1,MAX(0,1*IFERROR(IFERROR(INDEX(Ingredients!$U$5:$U$304,MATCH(A67,Ingredients!$A$5:$A$304,0)),""),0)-C67),0))</f>
        <v>0</v>
      </c>
      <c r="O67" s="8">
        <f>IF(A67="","",IF(M67="","",IF(M67&lt;1,"Low","OK")))</f>
        <v>0</v>
      </c>
      <c r="P67" s="8">
        <f>IF(OR(A67="",C67=""),"",IFERROR(C67*IFERROR(INDEX(Ingredients!$D$5:$D$304,MATCH(A67,Ingredients!$A$5:$A$304,0)),""),""))</f>
        <v>0</v>
      </c>
      <c r="Q67" s="8">
        <f>IF(OR(E67&lt;&gt;"Fridge",J67=""),"",SUMPRODUCT(($E$5:$E$304="Fridge")*($J$5:$J$304&lt;J67))+SUMPRODUCT(($E$5:$E$304="Fridge")*($J$5:$J$304=J67)*(ROW($J$5:$J$304)&lt;ROW()))+1)</f>
        <v>0</v>
      </c>
      <c r="R67" s="8">
        <f>IF(OR(E67&lt;&gt;"Freezer",J67=""),"",SUMPRODUCT(($E$5:$E$304="Freezer")*($J$5:$J$304&lt;J67))+SUMPRODUCT(($E$5:$E$304="Freezer")*($J$5:$J$304=J67)*(ROW($J$5:$J$304)&lt;ROW()))+1)</f>
        <v>0</v>
      </c>
      <c r="S67" s="7"/>
      <c r="T67" s="27"/>
      <c r="U67" s="28"/>
      <c r="V67" s="27"/>
      <c r="W67" s="7"/>
      <c r="X67" s="26"/>
      <c r="Y67" s="8">
        <f>IF(A67="","",IF(K67="Expired","Bin it",IF(K67="Use soon","Cook it",IF(O67="Low","Running low","Keep"))))</f>
        <v>0</v>
      </c>
      <c r="Z67" s="25"/>
    </row>
    <row r="68" spans="1:26">
      <c r="A68" s="7"/>
      <c r="B68" s="8">
        <f>IF(A68="","",IFERROR(INDEX(Ingredients!$B$5:$B$304,MATCH(A68,Ingredients!$A$5:$A$304,0)),""))</f>
        <v>0</v>
      </c>
      <c r="C68" s="26"/>
      <c r="D68" s="27"/>
      <c r="E68" s="27"/>
      <c r="F68" s="30"/>
      <c r="G68" s="30"/>
      <c r="H68" s="8">
        <f>IF(A68="","",IFERROR(INDEX(Ingredients!$M$5:$M$304,MATCH(A68,Ingredients!$A$5:$A$304,0)),""))</f>
        <v>0</v>
      </c>
      <c r="I68" s="8">
        <f>IF(OR(A68="",H68=""),"",IF(G68&lt;&gt;"",G68+H68,IF(F68&lt;&gt;"",F68+H68,"")))</f>
        <v>0</v>
      </c>
      <c r="J68" s="8">
        <f>IF(OR(A68="",I68=""),"",I68-TODAY())</f>
        <v>0</v>
      </c>
      <c r="K68" s="8">
        <f>IF(A68="","",IF(J68="","No date",IF(J68&lt;0,"Expired",IF(J68&lt;=Expiry_Warning_Days,"Use soon","Fresh"))))</f>
        <v>0</v>
      </c>
      <c r="L68" s="8">
        <f>IF(A68="","",COUNTIFS('Recipe Ingredients'!$B$5:$B$1204,A68))</f>
        <v>0</v>
      </c>
      <c r="M68" s="8">
        <f>IF(A68="","",IFERROR(INDEX(Ingredients!$X$5:$X$304,MATCH(A68,Ingredients!$A$5:$A$304,0)),""))</f>
        <v>0</v>
      </c>
      <c r="N68" s="8">
        <f>IF(OR(A68="",M68=""),"",IF(M68&lt;1,MAX(0,1*IFERROR(IFERROR(INDEX(Ingredients!$U$5:$U$304,MATCH(A68,Ingredients!$A$5:$A$304,0)),""),0)-C68),0))</f>
        <v>0</v>
      </c>
      <c r="O68" s="8">
        <f>IF(A68="","",IF(M68="","",IF(M68&lt;1,"Low","OK")))</f>
        <v>0</v>
      </c>
      <c r="P68" s="8">
        <f>IF(OR(A68="",C68=""),"",IFERROR(C68*IFERROR(INDEX(Ingredients!$D$5:$D$304,MATCH(A68,Ingredients!$A$5:$A$304,0)),""),""))</f>
        <v>0</v>
      </c>
      <c r="Q68" s="8">
        <f>IF(OR(E68&lt;&gt;"Fridge",J68=""),"",SUMPRODUCT(($E$5:$E$304="Fridge")*($J$5:$J$304&lt;J68))+SUMPRODUCT(($E$5:$E$304="Fridge")*($J$5:$J$304=J68)*(ROW($J$5:$J$304)&lt;ROW()))+1)</f>
        <v>0</v>
      </c>
      <c r="R68" s="8">
        <f>IF(OR(E68&lt;&gt;"Freezer",J68=""),"",SUMPRODUCT(($E$5:$E$304="Freezer")*($J$5:$J$304&lt;J68))+SUMPRODUCT(($E$5:$E$304="Freezer")*($J$5:$J$304=J68)*(ROW($J$5:$J$304)&lt;ROW()))+1)</f>
        <v>0</v>
      </c>
      <c r="S68" s="7"/>
      <c r="T68" s="27"/>
      <c r="U68" s="28"/>
      <c r="V68" s="27"/>
      <c r="W68" s="7"/>
      <c r="X68" s="26"/>
      <c r="Y68" s="8">
        <f>IF(A68="","",IF(K68="Expired","Bin it",IF(K68="Use soon","Cook it",IF(O68="Low","Running low","Keep"))))</f>
        <v>0</v>
      </c>
      <c r="Z68" s="25"/>
    </row>
    <row r="69" spans="1:26">
      <c r="A69" s="7"/>
      <c r="B69" s="8">
        <f>IF(A69="","",IFERROR(INDEX(Ingredients!$B$5:$B$304,MATCH(A69,Ingredients!$A$5:$A$304,0)),""))</f>
        <v>0</v>
      </c>
      <c r="C69" s="26"/>
      <c r="D69" s="27"/>
      <c r="E69" s="27"/>
      <c r="F69" s="30"/>
      <c r="G69" s="30"/>
      <c r="H69" s="8">
        <f>IF(A69="","",IFERROR(INDEX(Ingredients!$M$5:$M$304,MATCH(A69,Ingredients!$A$5:$A$304,0)),""))</f>
        <v>0</v>
      </c>
      <c r="I69" s="8">
        <f>IF(OR(A69="",H69=""),"",IF(G69&lt;&gt;"",G69+H69,IF(F69&lt;&gt;"",F69+H69,"")))</f>
        <v>0</v>
      </c>
      <c r="J69" s="8">
        <f>IF(OR(A69="",I69=""),"",I69-TODAY())</f>
        <v>0</v>
      </c>
      <c r="K69" s="8">
        <f>IF(A69="","",IF(J69="","No date",IF(J69&lt;0,"Expired",IF(J69&lt;=Expiry_Warning_Days,"Use soon","Fresh"))))</f>
        <v>0</v>
      </c>
      <c r="L69" s="8">
        <f>IF(A69="","",COUNTIFS('Recipe Ingredients'!$B$5:$B$1204,A69))</f>
        <v>0</v>
      </c>
      <c r="M69" s="8">
        <f>IF(A69="","",IFERROR(INDEX(Ingredients!$X$5:$X$304,MATCH(A69,Ingredients!$A$5:$A$304,0)),""))</f>
        <v>0</v>
      </c>
      <c r="N69" s="8">
        <f>IF(OR(A69="",M69=""),"",IF(M69&lt;1,MAX(0,1*IFERROR(IFERROR(INDEX(Ingredients!$U$5:$U$304,MATCH(A69,Ingredients!$A$5:$A$304,0)),""),0)-C69),0))</f>
        <v>0</v>
      </c>
      <c r="O69" s="8">
        <f>IF(A69="","",IF(M69="","",IF(M69&lt;1,"Low","OK")))</f>
        <v>0</v>
      </c>
      <c r="P69" s="8">
        <f>IF(OR(A69="",C69=""),"",IFERROR(C69*IFERROR(INDEX(Ingredients!$D$5:$D$304,MATCH(A69,Ingredients!$A$5:$A$304,0)),""),""))</f>
        <v>0</v>
      </c>
      <c r="Q69" s="8">
        <f>IF(OR(E69&lt;&gt;"Fridge",J69=""),"",SUMPRODUCT(($E$5:$E$304="Fridge")*($J$5:$J$304&lt;J69))+SUMPRODUCT(($E$5:$E$304="Fridge")*($J$5:$J$304=J69)*(ROW($J$5:$J$304)&lt;ROW()))+1)</f>
        <v>0</v>
      </c>
      <c r="R69" s="8">
        <f>IF(OR(E69&lt;&gt;"Freezer",J69=""),"",SUMPRODUCT(($E$5:$E$304="Freezer")*($J$5:$J$304&lt;J69))+SUMPRODUCT(($E$5:$E$304="Freezer")*($J$5:$J$304=J69)*(ROW($J$5:$J$304)&lt;ROW()))+1)</f>
        <v>0</v>
      </c>
      <c r="S69" s="7"/>
      <c r="T69" s="27"/>
      <c r="U69" s="28"/>
      <c r="V69" s="27"/>
      <c r="W69" s="7"/>
      <c r="X69" s="26"/>
      <c r="Y69" s="8">
        <f>IF(A69="","",IF(K69="Expired","Bin it",IF(K69="Use soon","Cook it",IF(O69="Low","Running low","Keep"))))</f>
        <v>0</v>
      </c>
      <c r="Z69" s="25"/>
    </row>
    <row r="70" spans="1:26">
      <c r="A70" s="7"/>
      <c r="B70" s="8">
        <f>IF(A70="","",IFERROR(INDEX(Ingredients!$B$5:$B$304,MATCH(A70,Ingredients!$A$5:$A$304,0)),""))</f>
        <v>0</v>
      </c>
      <c r="C70" s="26"/>
      <c r="D70" s="27"/>
      <c r="E70" s="27"/>
      <c r="F70" s="30"/>
      <c r="G70" s="30"/>
      <c r="H70" s="8">
        <f>IF(A70="","",IFERROR(INDEX(Ingredients!$M$5:$M$304,MATCH(A70,Ingredients!$A$5:$A$304,0)),""))</f>
        <v>0</v>
      </c>
      <c r="I70" s="8">
        <f>IF(OR(A70="",H70=""),"",IF(G70&lt;&gt;"",G70+H70,IF(F70&lt;&gt;"",F70+H70,"")))</f>
        <v>0</v>
      </c>
      <c r="J70" s="8">
        <f>IF(OR(A70="",I70=""),"",I70-TODAY())</f>
        <v>0</v>
      </c>
      <c r="K70" s="8">
        <f>IF(A70="","",IF(J70="","No date",IF(J70&lt;0,"Expired",IF(J70&lt;=Expiry_Warning_Days,"Use soon","Fresh"))))</f>
        <v>0</v>
      </c>
      <c r="L70" s="8">
        <f>IF(A70="","",COUNTIFS('Recipe Ingredients'!$B$5:$B$1204,A70))</f>
        <v>0</v>
      </c>
      <c r="M70" s="8">
        <f>IF(A70="","",IFERROR(INDEX(Ingredients!$X$5:$X$304,MATCH(A70,Ingredients!$A$5:$A$304,0)),""))</f>
        <v>0</v>
      </c>
      <c r="N70" s="8">
        <f>IF(OR(A70="",M70=""),"",IF(M70&lt;1,MAX(0,1*IFERROR(IFERROR(INDEX(Ingredients!$U$5:$U$304,MATCH(A70,Ingredients!$A$5:$A$304,0)),""),0)-C70),0))</f>
        <v>0</v>
      </c>
      <c r="O70" s="8">
        <f>IF(A70="","",IF(M70="","",IF(M70&lt;1,"Low","OK")))</f>
        <v>0</v>
      </c>
      <c r="P70" s="8">
        <f>IF(OR(A70="",C70=""),"",IFERROR(C70*IFERROR(INDEX(Ingredients!$D$5:$D$304,MATCH(A70,Ingredients!$A$5:$A$304,0)),""),""))</f>
        <v>0</v>
      </c>
      <c r="Q70" s="8">
        <f>IF(OR(E70&lt;&gt;"Fridge",J70=""),"",SUMPRODUCT(($E$5:$E$304="Fridge")*($J$5:$J$304&lt;J70))+SUMPRODUCT(($E$5:$E$304="Fridge")*($J$5:$J$304=J70)*(ROW($J$5:$J$304)&lt;ROW()))+1)</f>
        <v>0</v>
      </c>
      <c r="R70" s="8">
        <f>IF(OR(E70&lt;&gt;"Freezer",J70=""),"",SUMPRODUCT(($E$5:$E$304="Freezer")*($J$5:$J$304&lt;J70))+SUMPRODUCT(($E$5:$E$304="Freezer")*($J$5:$J$304=J70)*(ROW($J$5:$J$304)&lt;ROW()))+1)</f>
        <v>0</v>
      </c>
      <c r="S70" s="7"/>
      <c r="T70" s="27"/>
      <c r="U70" s="28"/>
      <c r="V70" s="27"/>
      <c r="W70" s="7"/>
      <c r="X70" s="26"/>
      <c r="Y70" s="8">
        <f>IF(A70="","",IF(K70="Expired","Bin it",IF(K70="Use soon","Cook it",IF(O70="Low","Running low","Keep"))))</f>
        <v>0</v>
      </c>
      <c r="Z70" s="25"/>
    </row>
    <row r="71" spans="1:26">
      <c r="A71" s="7"/>
      <c r="B71" s="8">
        <f>IF(A71="","",IFERROR(INDEX(Ingredients!$B$5:$B$304,MATCH(A71,Ingredients!$A$5:$A$304,0)),""))</f>
        <v>0</v>
      </c>
      <c r="C71" s="26"/>
      <c r="D71" s="27"/>
      <c r="E71" s="27"/>
      <c r="F71" s="30"/>
      <c r="G71" s="30"/>
      <c r="H71" s="8">
        <f>IF(A71="","",IFERROR(INDEX(Ingredients!$M$5:$M$304,MATCH(A71,Ingredients!$A$5:$A$304,0)),""))</f>
        <v>0</v>
      </c>
      <c r="I71" s="8">
        <f>IF(OR(A71="",H71=""),"",IF(G71&lt;&gt;"",G71+H71,IF(F71&lt;&gt;"",F71+H71,"")))</f>
        <v>0</v>
      </c>
      <c r="J71" s="8">
        <f>IF(OR(A71="",I71=""),"",I71-TODAY())</f>
        <v>0</v>
      </c>
      <c r="K71" s="8">
        <f>IF(A71="","",IF(J71="","No date",IF(J71&lt;0,"Expired",IF(J71&lt;=Expiry_Warning_Days,"Use soon","Fresh"))))</f>
        <v>0</v>
      </c>
      <c r="L71" s="8">
        <f>IF(A71="","",COUNTIFS('Recipe Ingredients'!$B$5:$B$1204,A71))</f>
        <v>0</v>
      </c>
      <c r="M71" s="8">
        <f>IF(A71="","",IFERROR(INDEX(Ingredients!$X$5:$X$304,MATCH(A71,Ingredients!$A$5:$A$304,0)),""))</f>
        <v>0</v>
      </c>
      <c r="N71" s="8">
        <f>IF(OR(A71="",M71=""),"",IF(M71&lt;1,MAX(0,1*IFERROR(IFERROR(INDEX(Ingredients!$U$5:$U$304,MATCH(A71,Ingredients!$A$5:$A$304,0)),""),0)-C71),0))</f>
        <v>0</v>
      </c>
      <c r="O71" s="8">
        <f>IF(A71="","",IF(M71="","",IF(M71&lt;1,"Low","OK")))</f>
        <v>0</v>
      </c>
      <c r="P71" s="8">
        <f>IF(OR(A71="",C71=""),"",IFERROR(C71*IFERROR(INDEX(Ingredients!$D$5:$D$304,MATCH(A71,Ingredients!$A$5:$A$304,0)),""),""))</f>
        <v>0</v>
      </c>
      <c r="Q71" s="8">
        <f>IF(OR(E71&lt;&gt;"Fridge",J71=""),"",SUMPRODUCT(($E$5:$E$304="Fridge")*($J$5:$J$304&lt;J71))+SUMPRODUCT(($E$5:$E$304="Fridge")*($J$5:$J$304=J71)*(ROW($J$5:$J$304)&lt;ROW()))+1)</f>
        <v>0</v>
      </c>
      <c r="R71" s="8">
        <f>IF(OR(E71&lt;&gt;"Freezer",J71=""),"",SUMPRODUCT(($E$5:$E$304="Freezer")*($J$5:$J$304&lt;J71))+SUMPRODUCT(($E$5:$E$304="Freezer")*($J$5:$J$304=J71)*(ROW($J$5:$J$304)&lt;ROW()))+1)</f>
        <v>0</v>
      </c>
      <c r="S71" s="7"/>
      <c r="T71" s="27"/>
      <c r="U71" s="28"/>
      <c r="V71" s="27"/>
      <c r="W71" s="7"/>
      <c r="X71" s="26"/>
      <c r="Y71" s="8">
        <f>IF(A71="","",IF(K71="Expired","Bin it",IF(K71="Use soon","Cook it",IF(O71="Low","Running low","Keep"))))</f>
        <v>0</v>
      </c>
      <c r="Z71" s="25"/>
    </row>
    <row r="72" spans="1:26">
      <c r="A72" s="7"/>
      <c r="B72" s="8">
        <f>IF(A72="","",IFERROR(INDEX(Ingredients!$B$5:$B$304,MATCH(A72,Ingredients!$A$5:$A$304,0)),""))</f>
        <v>0</v>
      </c>
      <c r="C72" s="26"/>
      <c r="D72" s="27"/>
      <c r="E72" s="27"/>
      <c r="F72" s="30"/>
      <c r="G72" s="30"/>
      <c r="H72" s="8">
        <f>IF(A72="","",IFERROR(INDEX(Ingredients!$M$5:$M$304,MATCH(A72,Ingredients!$A$5:$A$304,0)),""))</f>
        <v>0</v>
      </c>
      <c r="I72" s="8">
        <f>IF(OR(A72="",H72=""),"",IF(G72&lt;&gt;"",G72+H72,IF(F72&lt;&gt;"",F72+H72,"")))</f>
        <v>0</v>
      </c>
      <c r="J72" s="8">
        <f>IF(OR(A72="",I72=""),"",I72-TODAY())</f>
        <v>0</v>
      </c>
      <c r="K72" s="8">
        <f>IF(A72="","",IF(J72="","No date",IF(J72&lt;0,"Expired",IF(J72&lt;=Expiry_Warning_Days,"Use soon","Fresh"))))</f>
        <v>0</v>
      </c>
      <c r="L72" s="8">
        <f>IF(A72="","",COUNTIFS('Recipe Ingredients'!$B$5:$B$1204,A72))</f>
        <v>0</v>
      </c>
      <c r="M72" s="8">
        <f>IF(A72="","",IFERROR(INDEX(Ingredients!$X$5:$X$304,MATCH(A72,Ingredients!$A$5:$A$304,0)),""))</f>
        <v>0</v>
      </c>
      <c r="N72" s="8">
        <f>IF(OR(A72="",M72=""),"",IF(M72&lt;1,MAX(0,1*IFERROR(IFERROR(INDEX(Ingredients!$U$5:$U$304,MATCH(A72,Ingredients!$A$5:$A$304,0)),""),0)-C72),0))</f>
        <v>0</v>
      </c>
      <c r="O72" s="8">
        <f>IF(A72="","",IF(M72="","",IF(M72&lt;1,"Low","OK")))</f>
        <v>0</v>
      </c>
      <c r="P72" s="8">
        <f>IF(OR(A72="",C72=""),"",IFERROR(C72*IFERROR(INDEX(Ingredients!$D$5:$D$304,MATCH(A72,Ingredients!$A$5:$A$304,0)),""),""))</f>
        <v>0</v>
      </c>
      <c r="Q72" s="8">
        <f>IF(OR(E72&lt;&gt;"Fridge",J72=""),"",SUMPRODUCT(($E$5:$E$304="Fridge")*($J$5:$J$304&lt;J72))+SUMPRODUCT(($E$5:$E$304="Fridge")*($J$5:$J$304=J72)*(ROW($J$5:$J$304)&lt;ROW()))+1)</f>
        <v>0</v>
      </c>
      <c r="R72" s="8">
        <f>IF(OR(E72&lt;&gt;"Freezer",J72=""),"",SUMPRODUCT(($E$5:$E$304="Freezer")*($J$5:$J$304&lt;J72))+SUMPRODUCT(($E$5:$E$304="Freezer")*($J$5:$J$304=J72)*(ROW($J$5:$J$304)&lt;ROW()))+1)</f>
        <v>0</v>
      </c>
      <c r="S72" s="7"/>
      <c r="T72" s="27"/>
      <c r="U72" s="28"/>
      <c r="V72" s="27"/>
      <c r="W72" s="7"/>
      <c r="X72" s="26"/>
      <c r="Y72" s="8">
        <f>IF(A72="","",IF(K72="Expired","Bin it",IF(K72="Use soon","Cook it",IF(O72="Low","Running low","Keep"))))</f>
        <v>0</v>
      </c>
      <c r="Z72" s="25"/>
    </row>
    <row r="73" spans="1:26">
      <c r="A73" s="7"/>
      <c r="B73" s="8">
        <f>IF(A73="","",IFERROR(INDEX(Ingredients!$B$5:$B$304,MATCH(A73,Ingredients!$A$5:$A$304,0)),""))</f>
        <v>0</v>
      </c>
      <c r="C73" s="26"/>
      <c r="D73" s="27"/>
      <c r="E73" s="27"/>
      <c r="F73" s="30"/>
      <c r="G73" s="30"/>
      <c r="H73" s="8">
        <f>IF(A73="","",IFERROR(INDEX(Ingredients!$M$5:$M$304,MATCH(A73,Ingredients!$A$5:$A$304,0)),""))</f>
        <v>0</v>
      </c>
      <c r="I73" s="8">
        <f>IF(OR(A73="",H73=""),"",IF(G73&lt;&gt;"",G73+H73,IF(F73&lt;&gt;"",F73+H73,"")))</f>
        <v>0</v>
      </c>
      <c r="J73" s="8">
        <f>IF(OR(A73="",I73=""),"",I73-TODAY())</f>
        <v>0</v>
      </c>
      <c r="K73" s="8">
        <f>IF(A73="","",IF(J73="","No date",IF(J73&lt;0,"Expired",IF(J73&lt;=Expiry_Warning_Days,"Use soon","Fresh"))))</f>
        <v>0</v>
      </c>
      <c r="L73" s="8">
        <f>IF(A73="","",COUNTIFS('Recipe Ingredients'!$B$5:$B$1204,A73))</f>
        <v>0</v>
      </c>
      <c r="M73" s="8">
        <f>IF(A73="","",IFERROR(INDEX(Ingredients!$X$5:$X$304,MATCH(A73,Ingredients!$A$5:$A$304,0)),""))</f>
        <v>0</v>
      </c>
      <c r="N73" s="8">
        <f>IF(OR(A73="",M73=""),"",IF(M73&lt;1,MAX(0,1*IFERROR(IFERROR(INDEX(Ingredients!$U$5:$U$304,MATCH(A73,Ingredients!$A$5:$A$304,0)),""),0)-C73),0))</f>
        <v>0</v>
      </c>
      <c r="O73" s="8">
        <f>IF(A73="","",IF(M73="","",IF(M73&lt;1,"Low","OK")))</f>
        <v>0</v>
      </c>
      <c r="P73" s="8">
        <f>IF(OR(A73="",C73=""),"",IFERROR(C73*IFERROR(INDEX(Ingredients!$D$5:$D$304,MATCH(A73,Ingredients!$A$5:$A$304,0)),""),""))</f>
        <v>0</v>
      </c>
      <c r="Q73" s="8">
        <f>IF(OR(E73&lt;&gt;"Fridge",J73=""),"",SUMPRODUCT(($E$5:$E$304="Fridge")*($J$5:$J$304&lt;J73))+SUMPRODUCT(($E$5:$E$304="Fridge")*($J$5:$J$304=J73)*(ROW($J$5:$J$304)&lt;ROW()))+1)</f>
        <v>0</v>
      </c>
      <c r="R73" s="8">
        <f>IF(OR(E73&lt;&gt;"Freezer",J73=""),"",SUMPRODUCT(($E$5:$E$304="Freezer")*($J$5:$J$304&lt;J73))+SUMPRODUCT(($E$5:$E$304="Freezer")*($J$5:$J$304=J73)*(ROW($J$5:$J$304)&lt;ROW()))+1)</f>
        <v>0</v>
      </c>
      <c r="S73" s="7"/>
      <c r="T73" s="27"/>
      <c r="U73" s="28"/>
      <c r="V73" s="27"/>
      <c r="W73" s="7"/>
      <c r="X73" s="26"/>
      <c r="Y73" s="8">
        <f>IF(A73="","",IF(K73="Expired","Bin it",IF(K73="Use soon","Cook it",IF(O73="Low","Running low","Keep"))))</f>
        <v>0</v>
      </c>
      <c r="Z73" s="25"/>
    </row>
    <row r="74" spans="1:26">
      <c r="A74" s="7"/>
      <c r="B74" s="8">
        <f>IF(A74="","",IFERROR(INDEX(Ingredients!$B$5:$B$304,MATCH(A74,Ingredients!$A$5:$A$304,0)),""))</f>
        <v>0</v>
      </c>
      <c r="C74" s="26"/>
      <c r="D74" s="27"/>
      <c r="E74" s="27"/>
      <c r="F74" s="30"/>
      <c r="G74" s="30"/>
      <c r="H74" s="8">
        <f>IF(A74="","",IFERROR(INDEX(Ingredients!$M$5:$M$304,MATCH(A74,Ingredients!$A$5:$A$304,0)),""))</f>
        <v>0</v>
      </c>
      <c r="I74" s="8">
        <f>IF(OR(A74="",H74=""),"",IF(G74&lt;&gt;"",G74+H74,IF(F74&lt;&gt;"",F74+H74,"")))</f>
        <v>0</v>
      </c>
      <c r="J74" s="8">
        <f>IF(OR(A74="",I74=""),"",I74-TODAY())</f>
        <v>0</v>
      </c>
      <c r="K74" s="8">
        <f>IF(A74="","",IF(J74="","No date",IF(J74&lt;0,"Expired",IF(J74&lt;=Expiry_Warning_Days,"Use soon","Fresh"))))</f>
        <v>0</v>
      </c>
      <c r="L74" s="8">
        <f>IF(A74="","",COUNTIFS('Recipe Ingredients'!$B$5:$B$1204,A74))</f>
        <v>0</v>
      </c>
      <c r="M74" s="8">
        <f>IF(A74="","",IFERROR(INDEX(Ingredients!$X$5:$X$304,MATCH(A74,Ingredients!$A$5:$A$304,0)),""))</f>
        <v>0</v>
      </c>
      <c r="N74" s="8">
        <f>IF(OR(A74="",M74=""),"",IF(M74&lt;1,MAX(0,1*IFERROR(IFERROR(INDEX(Ingredients!$U$5:$U$304,MATCH(A74,Ingredients!$A$5:$A$304,0)),""),0)-C74),0))</f>
        <v>0</v>
      </c>
      <c r="O74" s="8">
        <f>IF(A74="","",IF(M74="","",IF(M74&lt;1,"Low","OK")))</f>
        <v>0</v>
      </c>
      <c r="P74" s="8">
        <f>IF(OR(A74="",C74=""),"",IFERROR(C74*IFERROR(INDEX(Ingredients!$D$5:$D$304,MATCH(A74,Ingredients!$A$5:$A$304,0)),""),""))</f>
        <v>0</v>
      </c>
      <c r="Q74" s="8">
        <f>IF(OR(E74&lt;&gt;"Fridge",J74=""),"",SUMPRODUCT(($E$5:$E$304="Fridge")*($J$5:$J$304&lt;J74))+SUMPRODUCT(($E$5:$E$304="Fridge")*($J$5:$J$304=J74)*(ROW($J$5:$J$304)&lt;ROW()))+1)</f>
        <v>0</v>
      </c>
      <c r="R74" s="8">
        <f>IF(OR(E74&lt;&gt;"Freezer",J74=""),"",SUMPRODUCT(($E$5:$E$304="Freezer")*($J$5:$J$304&lt;J74))+SUMPRODUCT(($E$5:$E$304="Freezer")*($J$5:$J$304=J74)*(ROW($J$5:$J$304)&lt;ROW()))+1)</f>
        <v>0</v>
      </c>
      <c r="S74" s="7"/>
      <c r="T74" s="27"/>
      <c r="U74" s="28"/>
      <c r="V74" s="27"/>
      <c r="W74" s="7"/>
      <c r="X74" s="26"/>
      <c r="Y74" s="8">
        <f>IF(A74="","",IF(K74="Expired","Bin it",IF(K74="Use soon","Cook it",IF(O74="Low","Running low","Keep"))))</f>
        <v>0</v>
      </c>
      <c r="Z74" s="25"/>
    </row>
    <row r="75" spans="1:26">
      <c r="A75" s="7"/>
      <c r="B75" s="8">
        <f>IF(A75="","",IFERROR(INDEX(Ingredients!$B$5:$B$304,MATCH(A75,Ingredients!$A$5:$A$304,0)),""))</f>
        <v>0</v>
      </c>
      <c r="C75" s="26"/>
      <c r="D75" s="27"/>
      <c r="E75" s="27"/>
      <c r="F75" s="30"/>
      <c r="G75" s="30"/>
      <c r="H75" s="8">
        <f>IF(A75="","",IFERROR(INDEX(Ingredients!$M$5:$M$304,MATCH(A75,Ingredients!$A$5:$A$304,0)),""))</f>
        <v>0</v>
      </c>
      <c r="I75" s="8">
        <f>IF(OR(A75="",H75=""),"",IF(G75&lt;&gt;"",G75+H75,IF(F75&lt;&gt;"",F75+H75,"")))</f>
        <v>0</v>
      </c>
      <c r="J75" s="8">
        <f>IF(OR(A75="",I75=""),"",I75-TODAY())</f>
        <v>0</v>
      </c>
      <c r="K75" s="8">
        <f>IF(A75="","",IF(J75="","No date",IF(J75&lt;0,"Expired",IF(J75&lt;=Expiry_Warning_Days,"Use soon","Fresh"))))</f>
        <v>0</v>
      </c>
      <c r="L75" s="8">
        <f>IF(A75="","",COUNTIFS('Recipe Ingredients'!$B$5:$B$1204,A75))</f>
        <v>0</v>
      </c>
      <c r="M75" s="8">
        <f>IF(A75="","",IFERROR(INDEX(Ingredients!$X$5:$X$304,MATCH(A75,Ingredients!$A$5:$A$304,0)),""))</f>
        <v>0</v>
      </c>
      <c r="N75" s="8">
        <f>IF(OR(A75="",M75=""),"",IF(M75&lt;1,MAX(0,1*IFERROR(IFERROR(INDEX(Ingredients!$U$5:$U$304,MATCH(A75,Ingredients!$A$5:$A$304,0)),""),0)-C75),0))</f>
        <v>0</v>
      </c>
      <c r="O75" s="8">
        <f>IF(A75="","",IF(M75="","",IF(M75&lt;1,"Low","OK")))</f>
        <v>0</v>
      </c>
      <c r="P75" s="8">
        <f>IF(OR(A75="",C75=""),"",IFERROR(C75*IFERROR(INDEX(Ingredients!$D$5:$D$304,MATCH(A75,Ingredients!$A$5:$A$304,0)),""),""))</f>
        <v>0</v>
      </c>
      <c r="Q75" s="8">
        <f>IF(OR(E75&lt;&gt;"Fridge",J75=""),"",SUMPRODUCT(($E$5:$E$304="Fridge")*($J$5:$J$304&lt;J75))+SUMPRODUCT(($E$5:$E$304="Fridge")*($J$5:$J$304=J75)*(ROW($J$5:$J$304)&lt;ROW()))+1)</f>
        <v>0</v>
      </c>
      <c r="R75" s="8">
        <f>IF(OR(E75&lt;&gt;"Freezer",J75=""),"",SUMPRODUCT(($E$5:$E$304="Freezer")*($J$5:$J$304&lt;J75))+SUMPRODUCT(($E$5:$E$304="Freezer")*($J$5:$J$304=J75)*(ROW($J$5:$J$304)&lt;ROW()))+1)</f>
        <v>0</v>
      </c>
      <c r="S75" s="7"/>
      <c r="T75" s="27"/>
      <c r="U75" s="28"/>
      <c r="V75" s="27"/>
      <c r="W75" s="7"/>
      <c r="X75" s="26"/>
      <c r="Y75" s="8">
        <f>IF(A75="","",IF(K75="Expired","Bin it",IF(K75="Use soon","Cook it",IF(O75="Low","Running low","Keep"))))</f>
        <v>0</v>
      </c>
      <c r="Z75" s="25"/>
    </row>
    <row r="76" spans="1:26">
      <c r="A76" s="7"/>
      <c r="B76" s="8">
        <f>IF(A76="","",IFERROR(INDEX(Ingredients!$B$5:$B$304,MATCH(A76,Ingredients!$A$5:$A$304,0)),""))</f>
        <v>0</v>
      </c>
      <c r="C76" s="26"/>
      <c r="D76" s="27"/>
      <c r="E76" s="27"/>
      <c r="F76" s="30"/>
      <c r="G76" s="30"/>
      <c r="H76" s="8">
        <f>IF(A76="","",IFERROR(INDEX(Ingredients!$M$5:$M$304,MATCH(A76,Ingredients!$A$5:$A$304,0)),""))</f>
        <v>0</v>
      </c>
      <c r="I76" s="8">
        <f>IF(OR(A76="",H76=""),"",IF(G76&lt;&gt;"",G76+H76,IF(F76&lt;&gt;"",F76+H76,"")))</f>
        <v>0</v>
      </c>
      <c r="J76" s="8">
        <f>IF(OR(A76="",I76=""),"",I76-TODAY())</f>
        <v>0</v>
      </c>
      <c r="K76" s="8">
        <f>IF(A76="","",IF(J76="","No date",IF(J76&lt;0,"Expired",IF(J76&lt;=Expiry_Warning_Days,"Use soon","Fresh"))))</f>
        <v>0</v>
      </c>
      <c r="L76" s="8">
        <f>IF(A76="","",COUNTIFS('Recipe Ingredients'!$B$5:$B$1204,A76))</f>
        <v>0</v>
      </c>
      <c r="M76" s="8">
        <f>IF(A76="","",IFERROR(INDEX(Ingredients!$X$5:$X$304,MATCH(A76,Ingredients!$A$5:$A$304,0)),""))</f>
        <v>0</v>
      </c>
      <c r="N76" s="8">
        <f>IF(OR(A76="",M76=""),"",IF(M76&lt;1,MAX(0,1*IFERROR(IFERROR(INDEX(Ingredients!$U$5:$U$304,MATCH(A76,Ingredients!$A$5:$A$304,0)),""),0)-C76),0))</f>
        <v>0</v>
      </c>
      <c r="O76" s="8">
        <f>IF(A76="","",IF(M76="","",IF(M76&lt;1,"Low","OK")))</f>
        <v>0</v>
      </c>
      <c r="P76" s="8">
        <f>IF(OR(A76="",C76=""),"",IFERROR(C76*IFERROR(INDEX(Ingredients!$D$5:$D$304,MATCH(A76,Ingredients!$A$5:$A$304,0)),""),""))</f>
        <v>0</v>
      </c>
      <c r="Q76" s="8">
        <f>IF(OR(E76&lt;&gt;"Fridge",J76=""),"",SUMPRODUCT(($E$5:$E$304="Fridge")*($J$5:$J$304&lt;J76))+SUMPRODUCT(($E$5:$E$304="Fridge")*($J$5:$J$304=J76)*(ROW($J$5:$J$304)&lt;ROW()))+1)</f>
        <v>0</v>
      </c>
      <c r="R76" s="8">
        <f>IF(OR(E76&lt;&gt;"Freezer",J76=""),"",SUMPRODUCT(($E$5:$E$304="Freezer")*($J$5:$J$304&lt;J76))+SUMPRODUCT(($E$5:$E$304="Freezer")*($J$5:$J$304=J76)*(ROW($J$5:$J$304)&lt;ROW()))+1)</f>
        <v>0</v>
      </c>
      <c r="S76" s="7"/>
      <c r="T76" s="27"/>
      <c r="U76" s="28"/>
      <c r="V76" s="27"/>
      <c r="W76" s="7"/>
      <c r="X76" s="26"/>
      <c r="Y76" s="8">
        <f>IF(A76="","",IF(K76="Expired","Bin it",IF(K76="Use soon","Cook it",IF(O76="Low","Running low","Keep"))))</f>
        <v>0</v>
      </c>
      <c r="Z76" s="25"/>
    </row>
    <row r="77" spans="1:26">
      <c r="A77" s="7"/>
      <c r="B77" s="8">
        <f>IF(A77="","",IFERROR(INDEX(Ingredients!$B$5:$B$304,MATCH(A77,Ingredients!$A$5:$A$304,0)),""))</f>
        <v>0</v>
      </c>
      <c r="C77" s="26"/>
      <c r="D77" s="27"/>
      <c r="E77" s="27"/>
      <c r="F77" s="30"/>
      <c r="G77" s="30"/>
      <c r="H77" s="8">
        <f>IF(A77="","",IFERROR(INDEX(Ingredients!$M$5:$M$304,MATCH(A77,Ingredients!$A$5:$A$304,0)),""))</f>
        <v>0</v>
      </c>
      <c r="I77" s="8">
        <f>IF(OR(A77="",H77=""),"",IF(G77&lt;&gt;"",G77+H77,IF(F77&lt;&gt;"",F77+H77,"")))</f>
        <v>0</v>
      </c>
      <c r="J77" s="8">
        <f>IF(OR(A77="",I77=""),"",I77-TODAY())</f>
        <v>0</v>
      </c>
      <c r="K77" s="8">
        <f>IF(A77="","",IF(J77="","No date",IF(J77&lt;0,"Expired",IF(J77&lt;=Expiry_Warning_Days,"Use soon","Fresh"))))</f>
        <v>0</v>
      </c>
      <c r="L77" s="8">
        <f>IF(A77="","",COUNTIFS('Recipe Ingredients'!$B$5:$B$1204,A77))</f>
        <v>0</v>
      </c>
      <c r="M77" s="8">
        <f>IF(A77="","",IFERROR(INDEX(Ingredients!$X$5:$X$304,MATCH(A77,Ingredients!$A$5:$A$304,0)),""))</f>
        <v>0</v>
      </c>
      <c r="N77" s="8">
        <f>IF(OR(A77="",M77=""),"",IF(M77&lt;1,MAX(0,1*IFERROR(IFERROR(INDEX(Ingredients!$U$5:$U$304,MATCH(A77,Ingredients!$A$5:$A$304,0)),""),0)-C77),0))</f>
        <v>0</v>
      </c>
      <c r="O77" s="8">
        <f>IF(A77="","",IF(M77="","",IF(M77&lt;1,"Low","OK")))</f>
        <v>0</v>
      </c>
      <c r="P77" s="8">
        <f>IF(OR(A77="",C77=""),"",IFERROR(C77*IFERROR(INDEX(Ingredients!$D$5:$D$304,MATCH(A77,Ingredients!$A$5:$A$304,0)),""),""))</f>
        <v>0</v>
      </c>
      <c r="Q77" s="8">
        <f>IF(OR(E77&lt;&gt;"Fridge",J77=""),"",SUMPRODUCT(($E$5:$E$304="Fridge")*($J$5:$J$304&lt;J77))+SUMPRODUCT(($E$5:$E$304="Fridge")*($J$5:$J$304=J77)*(ROW($J$5:$J$304)&lt;ROW()))+1)</f>
        <v>0</v>
      </c>
      <c r="R77" s="8">
        <f>IF(OR(E77&lt;&gt;"Freezer",J77=""),"",SUMPRODUCT(($E$5:$E$304="Freezer")*($J$5:$J$304&lt;J77))+SUMPRODUCT(($E$5:$E$304="Freezer")*($J$5:$J$304=J77)*(ROW($J$5:$J$304)&lt;ROW()))+1)</f>
        <v>0</v>
      </c>
      <c r="S77" s="7"/>
      <c r="T77" s="27"/>
      <c r="U77" s="28"/>
      <c r="V77" s="27"/>
      <c r="W77" s="7"/>
      <c r="X77" s="26"/>
      <c r="Y77" s="8">
        <f>IF(A77="","",IF(K77="Expired","Bin it",IF(K77="Use soon","Cook it",IF(O77="Low","Running low","Keep"))))</f>
        <v>0</v>
      </c>
      <c r="Z77" s="25"/>
    </row>
    <row r="78" spans="1:26">
      <c r="A78" s="7"/>
      <c r="B78" s="8">
        <f>IF(A78="","",IFERROR(INDEX(Ingredients!$B$5:$B$304,MATCH(A78,Ingredients!$A$5:$A$304,0)),""))</f>
        <v>0</v>
      </c>
      <c r="C78" s="26"/>
      <c r="D78" s="27"/>
      <c r="E78" s="27"/>
      <c r="F78" s="30"/>
      <c r="G78" s="30"/>
      <c r="H78" s="8">
        <f>IF(A78="","",IFERROR(INDEX(Ingredients!$M$5:$M$304,MATCH(A78,Ingredients!$A$5:$A$304,0)),""))</f>
        <v>0</v>
      </c>
      <c r="I78" s="8">
        <f>IF(OR(A78="",H78=""),"",IF(G78&lt;&gt;"",G78+H78,IF(F78&lt;&gt;"",F78+H78,"")))</f>
        <v>0</v>
      </c>
      <c r="J78" s="8">
        <f>IF(OR(A78="",I78=""),"",I78-TODAY())</f>
        <v>0</v>
      </c>
      <c r="K78" s="8">
        <f>IF(A78="","",IF(J78="","No date",IF(J78&lt;0,"Expired",IF(J78&lt;=Expiry_Warning_Days,"Use soon","Fresh"))))</f>
        <v>0</v>
      </c>
      <c r="L78" s="8">
        <f>IF(A78="","",COUNTIFS('Recipe Ingredients'!$B$5:$B$1204,A78))</f>
        <v>0</v>
      </c>
      <c r="M78" s="8">
        <f>IF(A78="","",IFERROR(INDEX(Ingredients!$X$5:$X$304,MATCH(A78,Ingredients!$A$5:$A$304,0)),""))</f>
        <v>0</v>
      </c>
      <c r="N78" s="8">
        <f>IF(OR(A78="",M78=""),"",IF(M78&lt;1,MAX(0,1*IFERROR(IFERROR(INDEX(Ingredients!$U$5:$U$304,MATCH(A78,Ingredients!$A$5:$A$304,0)),""),0)-C78),0))</f>
        <v>0</v>
      </c>
      <c r="O78" s="8">
        <f>IF(A78="","",IF(M78="","",IF(M78&lt;1,"Low","OK")))</f>
        <v>0</v>
      </c>
      <c r="P78" s="8">
        <f>IF(OR(A78="",C78=""),"",IFERROR(C78*IFERROR(INDEX(Ingredients!$D$5:$D$304,MATCH(A78,Ingredients!$A$5:$A$304,0)),""),""))</f>
        <v>0</v>
      </c>
      <c r="Q78" s="8">
        <f>IF(OR(E78&lt;&gt;"Fridge",J78=""),"",SUMPRODUCT(($E$5:$E$304="Fridge")*($J$5:$J$304&lt;J78))+SUMPRODUCT(($E$5:$E$304="Fridge")*($J$5:$J$304=J78)*(ROW($J$5:$J$304)&lt;ROW()))+1)</f>
        <v>0</v>
      </c>
      <c r="R78" s="8">
        <f>IF(OR(E78&lt;&gt;"Freezer",J78=""),"",SUMPRODUCT(($E$5:$E$304="Freezer")*($J$5:$J$304&lt;J78))+SUMPRODUCT(($E$5:$E$304="Freezer")*($J$5:$J$304=J78)*(ROW($J$5:$J$304)&lt;ROW()))+1)</f>
        <v>0</v>
      </c>
      <c r="S78" s="7"/>
      <c r="T78" s="27"/>
      <c r="U78" s="28"/>
      <c r="V78" s="27"/>
      <c r="W78" s="7"/>
      <c r="X78" s="26"/>
      <c r="Y78" s="8">
        <f>IF(A78="","",IF(K78="Expired","Bin it",IF(K78="Use soon","Cook it",IF(O78="Low","Running low","Keep"))))</f>
        <v>0</v>
      </c>
      <c r="Z78" s="25"/>
    </row>
    <row r="79" spans="1:26">
      <c r="A79" s="7"/>
      <c r="B79" s="8">
        <f>IF(A79="","",IFERROR(INDEX(Ingredients!$B$5:$B$304,MATCH(A79,Ingredients!$A$5:$A$304,0)),""))</f>
        <v>0</v>
      </c>
      <c r="C79" s="26"/>
      <c r="D79" s="27"/>
      <c r="E79" s="27"/>
      <c r="F79" s="30"/>
      <c r="G79" s="30"/>
      <c r="H79" s="8">
        <f>IF(A79="","",IFERROR(INDEX(Ingredients!$M$5:$M$304,MATCH(A79,Ingredients!$A$5:$A$304,0)),""))</f>
        <v>0</v>
      </c>
      <c r="I79" s="8">
        <f>IF(OR(A79="",H79=""),"",IF(G79&lt;&gt;"",G79+H79,IF(F79&lt;&gt;"",F79+H79,"")))</f>
        <v>0</v>
      </c>
      <c r="J79" s="8">
        <f>IF(OR(A79="",I79=""),"",I79-TODAY())</f>
        <v>0</v>
      </c>
      <c r="K79" s="8">
        <f>IF(A79="","",IF(J79="","No date",IF(J79&lt;0,"Expired",IF(J79&lt;=Expiry_Warning_Days,"Use soon","Fresh"))))</f>
        <v>0</v>
      </c>
      <c r="L79" s="8">
        <f>IF(A79="","",COUNTIFS('Recipe Ingredients'!$B$5:$B$1204,A79))</f>
        <v>0</v>
      </c>
      <c r="M79" s="8">
        <f>IF(A79="","",IFERROR(INDEX(Ingredients!$X$5:$X$304,MATCH(A79,Ingredients!$A$5:$A$304,0)),""))</f>
        <v>0</v>
      </c>
      <c r="N79" s="8">
        <f>IF(OR(A79="",M79=""),"",IF(M79&lt;1,MAX(0,1*IFERROR(IFERROR(INDEX(Ingredients!$U$5:$U$304,MATCH(A79,Ingredients!$A$5:$A$304,0)),""),0)-C79),0))</f>
        <v>0</v>
      </c>
      <c r="O79" s="8">
        <f>IF(A79="","",IF(M79="","",IF(M79&lt;1,"Low","OK")))</f>
        <v>0</v>
      </c>
      <c r="P79" s="8">
        <f>IF(OR(A79="",C79=""),"",IFERROR(C79*IFERROR(INDEX(Ingredients!$D$5:$D$304,MATCH(A79,Ingredients!$A$5:$A$304,0)),""),""))</f>
        <v>0</v>
      </c>
      <c r="Q79" s="8">
        <f>IF(OR(E79&lt;&gt;"Fridge",J79=""),"",SUMPRODUCT(($E$5:$E$304="Fridge")*($J$5:$J$304&lt;J79))+SUMPRODUCT(($E$5:$E$304="Fridge")*($J$5:$J$304=J79)*(ROW($J$5:$J$304)&lt;ROW()))+1)</f>
        <v>0</v>
      </c>
      <c r="R79" s="8">
        <f>IF(OR(E79&lt;&gt;"Freezer",J79=""),"",SUMPRODUCT(($E$5:$E$304="Freezer")*($J$5:$J$304&lt;J79))+SUMPRODUCT(($E$5:$E$304="Freezer")*($J$5:$J$304=J79)*(ROW($J$5:$J$304)&lt;ROW()))+1)</f>
        <v>0</v>
      </c>
      <c r="S79" s="7"/>
      <c r="T79" s="27"/>
      <c r="U79" s="28"/>
      <c r="V79" s="27"/>
      <c r="W79" s="7"/>
      <c r="X79" s="26"/>
      <c r="Y79" s="8">
        <f>IF(A79="","",IF(K79="Expired","Bin it",IF(K79="Use soon","Cook it",IF(O79="Low","Running low","Keep"))))</f>
        <v>0</v>
      </c>
      <c r="Z79" s="25"/>
    </row>
    <row r="80" spans="1:26">
      <c r="A80" s="7"/>
      <c r="B80" s="8">
        <f>IF(A80="","",IFERROR(INDEX(Ingredients!$B$5:$B$304,MATCH(A80,Ingredients!$A$5:$A$304,0)),""))</f>
        <v>0</v>
      </c>
      <c r="C80" s="26"/>
      <c r="D80" s="27"/>
      <c r="E80" s="27"/>
      <c r="F80" s="30"/>
      <c r="G80" s="30"/>
      <c r="H80" s="8">
        <f>IF(A80="","",IFERROR(INDEX(Ingredients!$M$5:$M$304,MATCH(A80,Ingredients!$A$5:$A$304,0)),""))</f>
        <v>0</v>
      </c>
      <c r="I80" s="8">
        <f>IF(OR(A80="",H80=""),"",IF(G80&lt;&gt;"",G80+H80,IF(F80&lt;&gt;"",F80+H80,"")))</f>
        <v>0</v>
      </c>
      <c r="J80" s="8">
        <f>IF(OR(A80="",I80=""),"",I80-TODAY())</f>
        <v>0</v>
      </c>
      <c r="K80" s="8">
        <f>IF(A80="","",IF(J80="","No date",IF(J80&lt;0,"Expired",IF(J80&lt;=Expiry_Warning_Days,"Use soon","Fresh"))))</f>
        <v>0</v>
      </c>
      <c r="L80" s="8">
        <f>IF(A80="","",COUNTIFS('Recipe Ingredients'!$B$5:$B$1204,A80))</f>
        <v>0</v>
      </c>
      <c r="M80" s="8">
        <f>IF(A80="","",IFERROR(INDEX(Ingredients!$X$5:$X$304,MATCH(A80,Ingredients!$A$5:$A$304,0)),""))</f>
        <v>0</v>
      </c>
      <c r="N80" s="8">
        <f>IF(OR(A80="",M80=""),"",IF(M80&lt;1,MAX(0,1*IFERROR(IFERROR(INDEX(Ingredients!$U$5:$U$304,MATCH(A80,Ingredients!$A$5:$A$304,0)),""),0)-C80),0))</f>
        <v>0</v>
      </c>
      <c r="O80" s="8">
        <f>IF(A80="","",IF(M80="","",IF(M80&lt;1,"Low","OK")))</f>
        <v>0</v>
      </c>
      <c r="P80" s="8">
        <f>IF(OR(A80="",C80=""),"",IFERROR(C80*IFERROR(INDEX(Ingredients!$D$5:$D$304,MATCH(A80,Ingredients!$A$5:$A$304,0)),""),""))</f>
        <v>0</v>
      </c>
      <c r="Q80" s="8">
        <f>IF(OR(E80&lt;&gt;"Fridge",J80=""),"",SUMPRODUCT(($E$5:$E$304="Fridge")*($J$5:$J$304&lt;J80))+SUMPRODUCT(($E$5:$E$304="Fridge")*($J$5:$J$304=J80)*(ROW($J$5:$J$304)&lt;ROW()))+1)</f>
        <v>0</v>
      </c>
      <c r="R80" s="8">
        <f>IF(OR(E80&lt;&gt;"Freezer",J80=""),"",SUMPRODUCT(($E$5:$E$304="Freezer")*($J$5:$J$304&lt;J80))+SUMPRODUCT(($E$5:$E$304="Freezer")*($J$5:$J$304=J80)*(ROW($J$5:$J$304)&lt;ROW()))+1)</f>
        <v>0</v>
      </c>
      <c r="S80" s="7"/>
      <c r="T80" s="27"/>
      <c r="U80" s="28"/>
      <c r="V80" s="27"/>
      <c r="W80" s="7"/>
      <c r="X80" s="26"/>
      <c r="Y80" s="8">
        <f>IF(A80="","",IF(K80="Expired","Bin it",IF(K80="Use soon","Cook it",IF(O80="Low","Running low","Keep"))))</f>
        <v>0</v>
      </c>
      <c r="Z80" s="25"/>
    </row>
    <row r="81" spans="1:26">
      <c r="A81" s="7"/>
      <c r="B81" s="8">
        <f>IF(A81="","",IFERROR(INDEX(Ingredients!$B$5:$B$304,MATCH(A81,Ingredients!$A$5:$A$304,0)),""))</f>
        <v>0</v>
      </c>
      <c r="C81" s="26"/>
      <c r="D81" s="27"/>
      <c r="E81" s="27"/>
      <c r="F81" s="30"/>
      <c r="G81" s="30"/>
      <c r="H81" s="8">
        <f>IF(A81="","",IFERROR(INDEX(Ingredients!$M$5:$M$304,MATCH(A81,Ingredients!$A$5:$A$304,0)),""))</f>
        <v>0</v>
      </c>
      <c r="I81" s="8">
        <f>IF(OR(A81="",H81=""),"",IF(G81&lt;&gt;"",G81+H81,IF(F81&lt;&gt;"",F81+H81,"")))</f>
        <v>0</v>
      </c>
      <c r="J81" s="8">
        <f>IF(OR(A81="",I81=""),"",I81-TODAY())</f>
        <v>0</v>
      </c>
      <c r="K81" s="8">
        <f>IF(A81="","",IF(J81="","No date",IF(J81&lt;0,"Expired",IF(J81&lt;=Expiry_Warning_Days,"Use soon","Fresh"))))</f>
        <v>0</v>
      </c>
      <c r="L81" s="8">
        <f>IF(A81="","",COUNTIFS('Recipe Ingredients'!$B$5:$B$1204,A81))</f>
        <v>0</v>
      </c>
      <c r="M81" s="8">
        <f>IF(A81="","",IFERROR(INDEX(Ingredients!$X$5:$X$304,MATCH(A81,Ingredients!$A$5:$A$304,0)),""))</f>
        <v>0</v>
      </c>
      <c r="N81" s="8">
        <f>IF(OR(A81="",M81=""),"",IF(M81&lt;1,MAX(0,1*IFERROR(IFERROR(INDEX(Ingredients!$U$5:$U$304,MATCH(A81,Ingredients!$A$5:$A$304,0)),""),0)-C81),0))</f>
        <v>0</v>
      </c>
      <c r="O81" s="8">
        <f>IF(A81="","",IF(M81="","",IF(M81&lt;1,"Low","OK")))</f>
        <v>0</v>
      </c>
      <c r="P81" s="8">
        <f>IF(OR(A81="",C81=""),"",IFERROR(C81*IFERROR(INDEX(Ingredients!$D$5:$D$304,MATCH(A81,Ingredients!$A$5:$A$304,0)),""),""))</f>
        <v>0</v>
      </c>
      <c r="Q81" s="8">
        <f>IF(OR(E81&lt;&gt;"Fridge",J81=""),"",SUMPRODUCT(($E$5:$E$304="Fridge")*($J$5:$J$304&lt;J81))+SUMPRODUCT(($E$5:$E$304="Fridge")*($J$5:$J$304=J81)*(ROW($J$5:$J$304)&lt;ROW()))+1)</f>
        <v>0</v>
      </c>
      <c r="R81" s="8">
        <f>IF(OR(E81&lt;&gt;"Freezer",J81=""),"",SUMPRODUCT(($E$5:$E$304="Freezer")*($J$5:$J$304&lt;J81))+SUMPRODUCT(($E$5:$E$304="Freezer")*($J$5:$J$304=J81)*(ROW($J$5:$J$304)&lt;ROW()))+1)</f>
        <v>0</v>
      </c>
      <c r="S81" s="7"/>
      <c r="T81" s="27"/>
      <c r="U81" s="28"/>
      <c r="V81" s="27"/>
      <c r="W81" s="7"/>
      <c r="X81" s="26"/>
      <c r="Y81" s="8">
        <f>IF(A81="","",IF(K81="Expired","Bin it",IF(K81="Use soon","Cook it",IF(O81="Low","Running low","Keep"))))</f>
        <v>0</v>
      </c>
      <c r="Z81" s="25"/>
    </row>
    <row r="82" spans="1:26">
      <c r="A82" s="7"/>
      <c r="B82" s="8">
        <f>IF(A82="","",IFERROR(INDEX(Ingredients!$B$5:$B$304,MATCH(A82,Ingredients!$A$5:$A$304,0)),""))</f>
        <v>0</v>
      </c>
      <c r="C82" s="26"/>
      <c r="D82" s="27"/>
      <c r="E82" s="27"/>
      <c r="F82" s="30"/>
      <c r="G82" s="30"/>
      <c r="H82" s="8">
        <f>IF(A82="","",IFERROR(INDEX(Ingredients!$M$5:$M$304,MATCH(A82,Ingredients!$A$5:$A$304,0)),""))</f>
        <v>0</v>
      </c>
      <c r="I82" s="8">
        <f>IF(OR(A82="",H82=""),"",IF(G82&lt;&gt;"",G82+H82,IF(F82&lt;&gt;"",F82+H82,"")))</f>
        <v>0</v>
      </c>
      <c r="J82" s="8">
        <f>IF(OR(A82="",I82=""),"",I82-TODAY())</f>
        <v>0</v>
      </c>
      <c r="K82" s="8">
        <f>IF(A82="","",IF(J82="","No date",IF(J82&lt;0,"Expired",IF(J82&lt;=Expiry_Warning_Days,"Use soon","Fresh"))))</f>
        <v>0</v>
      </c>
      <c r="L82" s="8">
        <f>IF(A82="","",COUNTIFS('Recipe Ingredients'!$B$5:$B$1204,A82))</f>
        <v>0</v>
      </c>
      <c r="M82" s="8">
        <f>IF(A82="","",IFERROR(INDEX(Ingredients!$X$5:$X$304,MATCH(A82,Ingredients!$A$5:$A$304,0)),""))</f>
        <v>0</v>
      </c>
      <c r="N82" s="8">
        <f>IF(OR(A82="",M82=""),"",IF(M82&lt;1,MAX(0,1*IFERROR(IFERROR(INDEX(Ingredients!$U$5:$U$304,MATCH(A82,Ingredients!$A$5:$A$304,0)),""),0)-C82),0))</f>
        <v>0</v>
      </c>
      <c r="O82" s="8">
        <f>IF(A82="","",IF(M82="","",IF(M82&lt;1,"Low","OK")))</f>
        <v>0</v>
      </c>
      <c r="P82" s="8">
        <f>IF(OR(A82="",C82=""),"",IFERROR(C82*IFERROR(INDEX(Ingredients!$D$5:$D$304,MATCH(A82,Ingredients!$A$5:$A$304,0)),""),""))</f>
        <v>0</v>
      </c>
      <c r="Q82" s="8">
        <f>IF(OR(E82&lt;&gt;"Fridge",J82=""),"",SUMPRODUCT(($E$5:$E$304="Fridge")*($J$5:$J$304&lt;J82))+SUMPRODUCT(($E$5:$E$304="Fridge")*($J$5:$J$304=J82)*(ROW($J$5:$J$304)&lt;ROW()))+1)</f>
        <v>0</v>
      </c>
      <c r="R82" s="8">
        <f>IF(OR(E82&lt;&gt;"Freezer",J82=""),"",SUMPRODUCT(($E$5:$E$304="Freezer")*($J$5:$J$304&lt;J82))+SUMPRODUCT(($E$5:$E$304="Freezer")*($J$5:$J$304=J82)*(ROW($J$5:$J$304)&lt;ROW()))+1)</f>
        <v>0</v>
      </c>
      <c r="S82" s="7"/>
      <c r="T82" s="27"/>
      <c r="U82" s="28"/>
      <c r="V82" s="27"/>
      <c r="W82" s="7"/>
      <c r="X82" s="26"/>
      <c r="Y82" s="8">
        <f>IF(A82="","",IF(K82="Expired","Bin it",IF(K82="Use soon","Cook it",IF(O82="Low","Running low","Keep"))))</f>
        <v>0</v>
      </c>
      <c r="Z82" s="25"/>
    </row>
    <row r="83" spans="1:26">
      <c r="A83" s="7"/>
      <c r="B83" s="8">
        <f>IF(A83="","",IFERROR(INDEX(Ingredients!$B$5:$B$304,MATCH(A83,Ingredients!$A$5:$A$304,0)),""))</f>
        <v>0</v>
      </c>
      <c r="C83" s="26"/>
      <c r="D83" s="27"/>
      <c r="E83" s="27"/>
      <c r="F83" s="30"/>
      <c r="G83" s="30"/>
      <c r="H83" s="8">
        <f>IF(A83="","",IFERROR(INDEX(Ingredients!$M$5:$M$304,MATCH(A83,Ingredients!$A$5:$A$304,0)),""))</f>
        <v>0</v>
      </c>
      <c r="I83" s="8">
        <f>IF(OR(A83="",H83=""),"",IF(G83&lt;&gt;"",G83+H83,IF(F83&lt;&gt;"",F83+H83,"")))</f>
        <v>0</v>
      </c>
      <c r="J83" s="8">
        <f>IF(OR(A83="",I83=""),"",I83-TODAY())</f>
        <v>0</v>
      </c>
      <c r="K83" s="8">
        <f>IF(A83="","",IF(J83="","No date",IF(J83&lt;0,"Expired",IF(J83&lt;=Expiry_Warning_Days,"Use soon","Fresh"))))</f>
        <v>0</v>
      </c>
      <c r="L83" s="8">
        <f>IF(A83="","",COUNTIFS('Recipe Ingredients'!$B$5:$B$1204,A83))</f>
        <v>0</v>
      </c>
      <c r="M83" s="8">
        <f>IF(A83="","",IFERROR(INDEX(Ingredients!$X$5:$X$304,MATCH(A83,Ingredients!$A$5:$A$304,0)),""))</f>
        <v>0</v>
      </c>
      <c r="N83" s="8">
        <f>IF(OR(A83="",M83=""),"",IF(M83&lt;1,MAX(0,1*IFERROR(IFERROR(INDEX(Ingredients!$U$5:$U$304,MATCH(A83,Ingredients!$A$5:$A$304,0)),""),0)-C83),0))</f>
        <v>0</v>
      </c>
      <c r="O83" s="8">
        <f>IF(A83="","",IF(M83="","",IF(M83&lt;1,"Low","OK")))</f>
        <v>0</v>
      </c>
      <c r="P83" s="8">
        <f>IF(OR(A83="",C83=""),"",IFERROR(C83*IFERROR(INDEX(Ingredients!$D$5:$D$304,MATCH(A83,Ingredients!$A$5:$A$304,0)),""),""))</f>
        <v>0</v>
      </c>
      <c r="Q83" s="8">
        <f>IF(OR(E83&lt;&gt;"Fridge",J83=""),"",SUMPRODUCT(($E$5:$E$304="Fridge")*($J$5:$J$304&lt;J83))+SUMPRODUCT(($E$5:$E$304="Fridge")*($J$5:$J$304=J83)*(ROW($J$5:$J$304)&lt;ROW()))+1)</f>
        <v>0</v>
      </c>
      <c r="R83" s="8">
        <f>IF(OR(E83&lt;&gt;"Freezer",J83=""),"",SUMPRODUCT(($E$5:$E$304="Freezer")*($J$5:$J$304&lt;J83))+SUMPRODUCT(($E$5:$E$304="Freezer")*($J$5:$J$304=J83)*(ROW($J$5:$J$304)&lt;ROW()))+1)</f>
        <v>0</v>
      </c>
      <c r="S83" s="7"/>
      <c r="T83" s="27"/>
      <c r="U83" s="28"/>
      <c r="V83" s="27"/>
      <c r="W83" s="7"/>
      <c r="X83" s="26"/>
      <c r="Y83" s="8">
        <f>IF(A83="","",IF(K83="Expired","Bin it",IF(K83="Use soon","Cook it",IF(O83="Low","Running low","Keep"))))</f>
        <v>0</v>
      </c>
      <c r="Z83" s="25"/>
    </row>
    <row r="84" spans="1:26">
      <c r="A84" s="7"/>
      <c r="B84" s="8">
        <f>IF(A84="","",IFERROR(INDEX(Ingredients!$B$5:$B$304,MATCH(A84,Ingredients!$A$5:$A$304,0)),""))</f>
        <v>0</v>
      </c>
      <c r="C84" s="26"/>
      <c r="D84" s="27"/>
      <c r="E84" s="27"/>
      <c r="F84" s="30"/>
      <c r="G84" s="30"/>
      <c r="H84" s="8">
        <f>IF(A84="","",IFERROR(INDEX(Ingredients!$M$5:$M$304,MATCH(A84,Ingredients!$A$5:$A$304,0)),""))</f>
        <v>0</v>
      </c>
      <c r="I84" s="8">
        <f>IF(OR(A84="",H84=""),"",IF(G84&lt;&gt;"",G84+H84,IF(F84&lt;&gt;"",F84+H84,"")))</f>
        <v>0</v>
      </c>
      <c r="J84" s="8">
        <f>IF(OR(A84="",I84=""),"",I84-TODAY())</f>
        <v>0</v>
      </c>
      <c r="K84" s="8">
        <f>IF(A84="","",IF(J84="","No date",IF(J84&lt;0,"Expired",IF(J84&lt;=Expiry_Warning_Days,"Use soon","Fresh"))))</f>
        <v>0</v>
      </c>
      <c r="L84" s="8">
        <f>IF(A84="","",COUNTIFS('Recipe Ingredients'!$B$5:$B$1204,A84))</f>
        <v>0</v>
      </c>
      <c r="M84" s="8">
        <f>IF(A84="","",IFERROR(INDEX(Ingredients!$X$5:$X$304,MATCH(A84,Ingredients!$A$5:$A$304,0)),""))</f>
        <v>0</v>
      </c>
      <c r="N84" s="8">
        <f>IF(OR(A84="",M84=""),"",IF(M84&lt;1,MAX(0,1*IFERROR(IFERROR(INDEX(Ingredients!$U$5:$U$304,MATCH(A84,Ingredients!$A$5:$A$304,0)),""),0)-C84),0))</f>
        <v>0</v>
      </c>
      <c r="O84" s="8">
        <f>IF(A84="","",IF(M84="","",IF(M84&lt;1,"Low","OK")))</f>
        <v>0</v>
      </c>
      <c r="P84" s="8">
        <f>IF(OR(A84="",C84=""),"",IFERROR(C84*IFERROR(INDEX(Ingredients!$D$5:$D$304,MATCH(A84,Ingredients!$A$5:$A$304,0)),""),""))</f>
        <v>0</v>
      </c>
      <c r="Q84" s="8">
        <f>IF(OR(E84&lt;&gt;"Fridge",J84=""),"",SUMPRODUCT(($E$5:$E$304="Fridge")*($J$5:$J$304&lt;J84))+SUMPRODUCT(($E$5:$E$304="Fridge")*($J$5:$J$304=J84)*(ROW($J$5:$J$304)&lt;ROW()))+1)</f>
        <v>0</v>
      </c>
      <c r="R84" s="8">
        <f>IF(OR(E84&lt;&gt;"Freezer",J84=""),"",SUMPRODUCT(($E$5:$E$304="Freezer")*($J$5:$J$304&lt;J84))+SUMPRODUCT(($E$5:$E$304="Freezer")*($J$5:$J$304=J84)*(ROW($J$5:$J$304)&lt;ROW()))+1)</f>
        <v>0</v>
      </c>
      <c r="S84" s="7"/>
      <c r="T84" s="27"/>
      <c r="U84" s="28"/>
      <c r="V84" s="27"/>
      <c r="W84" s="7"/>
      <c r="X84" s="26"/>
      <c r="Y84" s="8">
        <f>IF(A84="","",IF(K84="Expired","Bin it",IF(K84="Use soon","Cook it",IF(O84="Low","Running low","Keep"))))</f>
        <v>0</v>
      </c>
      <c r="Z84" s="25"/>
    </row>
    <row r="85" spans="1:26">
      <c r="A85" s="7"/>
      <c r="B85" s="8">
        <f>IF(A85="","",IFERROR(INDEX(Ingredients!$B$5:$B$304,MATCH(A85,Ingredients!$A$5:$A$304,0)),""))</f>
        <v>0</v>
      </c>
      <c r="C85" s="26"/>
      <c r="D85" s="27"/>
      <c r="E85" s="27"/>
      <c r="F85" s="30"/>
      <c r="G85" s="30"/>
      <c r="H85" s="8">
        <f>IF(A85="","",IFERROR(INDEX(Ingredients!$M$5:$M$304,MATCH(A85,Ingredients!$A$5:$A$304,0)),""))</f>
        <v>0</v>
      </c>
      <c r="I85" s="8">
        <f>IF(OR(A85="",H85=""),"",IF(G85&lt;&gt;"",G85+H85,IF(F85&lt;&gt;"",F85+H85,"")))</f>
        <v>0</v>
      </c>
      <c r="J85" s="8">
        <f>IF(OR(A85="",I85=""),"",I85-TODAY())</f>
        <v>0</v>
      </c>
      <c r="K85" s="8">
        <f>IF(A85="","",IF(J85="","No date",IF(J85&lt;0,"Expired",IF(J85&lt;=Expiry_Warning_Days,"Use soon","Fresh"))))</f>
        <v>0</v>
      </c>
      <c r="L85" s="8">
        <f>IF(A85="","",COUNTIFS('Recipe Ingredients'!$B$5:$B$1204,A85))</f>
        <v>0</v>
      </c>
      <c r="M85" s="8">
        <f>IF(A85="","",IFERROR(INDEX(Ingredients!$X$5:$X$304,MATCH(A85,Ingredients!$A$5:$A$304,0)),""))</f>
        <v>0</v>
      </c>
      <c r="N85" s="8">
        <f>IF(OR(A85="",M85=""),"",IF(M85&lt;1,MAX(0,1*IFERROR(IFERROR(INDEX(Ingredients!$U$5:$U$304,MATCH(A85,Ingredients!$A$5:$A$304,0)),""),0)-C85),0))</f>
        <v>0</v>
      </c>
      <c r="O85" s="8">
        <f>IF(A85="","",IF(M85="","",IF(M85&lt;1,"Low","OK")))</f>
        <v>0</v>
      </c>
      <c r="P85" s="8">
        <f>IF(OR(A85="",C85=""),"",IFERROR(C85*IFERROR(INDEX(Ingredients!$D$5:$D$304,MATCH(A85,Ingredients!$A$5:$A$304,0)),""),""))</f>
        <v>0</v>
      </c>
      <c r="Q85" s="8">
        <f>IF(OR(E85&lt;&gt;"Fridge",J85=""),"",SUMPRODUCT(($E$5:$E$304="Fridge")*($J$5:$J$304&lt;J85))+SUMPRODUCT(($E$5:$E$304="Fridge")*($J$5:$J$304=J85)*(ROW($J$5:$J$304)&lt;ROW()))+1)</f>
        <v>0</v>
      </c>
      <c r="R85" s="8">
        <f>IF(OR(E85&lt;&gt;"Freezer",J85=""),"",SUMPRODUCT(($E$5:$E$304="Freezer")*($J$5:$J$304&lt;J85))+SUMPRODUCT(($E$5:$E$304="Freezer")*($J$5:$J$304=J85)*(ROW($J$5:$J$304)&lt;ROW()))+1)</f>
        <v>0</v>
      </c>
      <c r="S85" s="7"/>
      <c r="T85" s="27"/>
      <c r="U85" s="28"/>
      <c r="V85" s="27"/>
      <c r="W85" s="7"/>
      <c r="X85" s="26"/>
      <c r="Y85" s="8">
        <f>IF(A85="","",IF(K85="Expired","Bin it",IF(K85="Use soon","Cook it",IF(O85="Low","Running low","Keep"))))</f>
        <v>0</v>
      </c>
      <c r="Z85" s="25"/>
    </row>
    <row r="86" spans="1:26">
      <c r="A86" s="7"/>
      <c r="B86" s="8">
        <f>IF(A86="","",IFERROR(INDEX(Ingredients!$B$5:$B$304,MATCH(A86,Ingredients!$A$5:$A$304,0)),""))</f>
        <v>0</v>
      </c>
      <c r="C86" s="26"/>
      <c r="D86" s="27"/>
      <c r="E86" s="27"/>
      <c r="F86" s="30"/>
      <c r="G86" s="30"/>
      <c r="H86" s="8">
        <f>IF(A86="","",IFERROR(INDEX(Ingredients!$M$5:$M$304,MATCH(A86,Ingredients!$A$5:$A$304,0)),""))</f>
        <v>0</v>
      </c>
      <c r="I86" s="8">
        <f>IF(OR(A86="",H86=""),"",IF(G86&lt;&gt;"",G86+H86,IF(F86&lt;&gt;"",F86+H86,"")))</f>
        <v>0</v>
      </c>
      <c r="J86" s="8">
        <f>IF(OR(A86="",I86=""),"",I86-TODAY())</f>
        <v>0</v>
      </c>
      <c r="K86" s="8">
        <f>IF(A86="","",IF(J86="","No date",IF(J86&lt;0,"Expired",IF(J86&lt;=Expiry_Warning_Days,"Use soon","Fresh"))))</f>
        <v>0</v>
      </c>
      <c r="L86" s="8">
        <f>IF(A86="","",COUNTIFS('Recipe Ingredients'!$B$5:$B$1204,A86))</f>
        <v>0</v>
      </c>
      <c r="M86" s="8">
        <f>IF(A86="","",IFERROR(INDEX(Ingredients!$X$5:$X$304,MATCH(A86,Ingredients!$A$5:$A$304,0)),""))</f>
        <v>0</v>
      </c>
      <c r="N86" s="8">
        <f>IF(OR(A86="",M86=""),"",IF(M86&lt;1,MAX(0,1*IFERROR(IFERROR(INDEX(Ingredients!$U$5:$U$304,MATCH(A86,Ingredients!$A$5:$A$304,0)),""),0)-C86),0))</f>
        <v>0</v>
      </c>
      <c r="O86" s="8">
        <f>IF(A86="","",IF(M86="","",IF(M86&lt;1,"Low","OK")))</f>
        <v>0</v>
      </c>
      <c r="P86" s="8">
        <f>IF(OR(A86="",C86=""),"",IFERROR(C86*IFERROR(INDEX(Ingredients!$D$5:$D$304,MATCH(A86,Ingredients!$A$5:$A$304,0)),""),""))</f>
        <v>0</v>
      </c>
      <c r="Q86" s="8">
        <f>IF(OR(E86&lt;&gt;"Fridge",J86=""),"",SUMPRODUCT(($E$5:$E$304="Fridge")*($J$5:$J$304&lt;J86))+SUMPRODUCT(($E$5:$E$304="Fridge")*($J$5:$J$304=J86)*(ROW($J$5:$J$304)&lt;ROW()))+1)</f>
        <v>0</v>
      </c>
      <c r="R86" s="8">
        <f>IF(OR(E86&lt;&gt;"Freezer",J86=""),"",SUMPRODUCT(($E$5:$E$304="Freezer")*($J$5:$J$304&lt;J86))+SUMPRODUCT(($E$5:$E$304="Freezer")*($J$5:$J$304=J86)*(ROW($J$5:$J$304)&lt;ROW()))+1)</f>
        <v>0</v>
      </c>
      <c r="S86" s="7"/>
      <c r="T86" s="27"/>
      <c r="U86" s="28"/>
      <c r="V86" s="27"/>
      <c r="W86" s="7"/>
      <c r="X86" s="26"/>
      <c r="Y86" s="8">
        <f>IF(A86="","",IF(K86="Expired","Bin it",IF(K86="Use soon","Cook it",IF(O86="Low","Running low","Keep"))))</f>
        <v>0</v>
      </c>
      <c r="Z86" s="25"/>
    </row>
    <row r="87" spans="1:26">
      <c r="A87" s="7"/>
      <c r="B87" s="8">
        <f>IF(A87="","",IFERROR(INDEX(Ingredients!$B$5:$B$304,MATCH(A87,Ingredients!$A$5:$A$304,0)),""))</f>
        <v>0</v>
      </c>
      <c r="C87" s="26"/>
      <c r="D87" s="27"/>
      <c r="E87" s="27"/>
      <c r="F87" s="30"/>
      <c r="G87" s="30"/>
      <c r="H87" s="8">
        <f>IF(A87="","",IFERROR(INDEX(Ingredients!$M$5:$M$304,MATCH(A87,Ingredients!$A$5:$A$304,0)),""))</f>
        <v>0</v>
      </c>
      <c r="I87" s="8">
        <f>IF(OR(A87="",H87=""),"",IF(G87&lt;&gt;"",G87+H87,IF(F87&lt;&gt;"",F87+H87,"")))</f>
        <v>0</v>
      </c>
      <c r="J87" s="8">
        <f>IF(OR(A87="",I87=""),"",I87-TODAY())</f>
        <v>0</v>
      </c>
      <c r="K87" s="8">
        <f>IF(A87="","",IF(J87="","No date",IF(J87&lt;0,"Expired",IF(J87&lt;=Expiry_Warning_Days,"Use soon","Fresh"))))</f>
        <v>0</v>
      </c>
      <c r="L87" s="8">
        <f>IF(A87="","",COUNTIFS('Recipe Ingredients'!$B$5:$B$1204,A87))</f>
        <v>0</v>
      </c>
      <c r="M87" s="8">
        <f>IF(A87="","",IFERROR(INDEX(Ingredients!$X$5:$X$304,MATCH(A87,Ingredients!$A$5:$A$304,0)),""))</f>
        <v>0</v>
      </c>
      <c r="N87" s="8">
        <f>IF(OR(A87="",M87=""),"",IF(M87&lt;1,MAX(0,1*IFERROR(IFERROR(INDEX(Ingredients!$U$5:$U$304,MATCH(A87,Ingredients!$A$5:$A$304,0)),""),0)-C87),0))</f>
        <v>0</v>
      </c>
      <c r="O87" s="8">
        <f>IF(A87="","",IF(M87="","",IF(M87&lt;1,"Low","OK")))</f>
        <v>0</v>
      </c>
      <c r="P87" s="8">
        <f>IF(OR(A87="",C87=""),"",IFERROR(C87*IFERROR(INDEX(Ingredients!$D$5:$D$304,MATCH(A87,Ingredients!$A$5:$A$304,0)),""),""))</f>
        <v>0</v>
      </c>
      <c r="Q87" s="8">
        <f>IF(OR(E87&lt;&gt;"Fridge",J87=""),"",SUMPRODUCT(($E$5:$E$304="Fridge")*($J$5:$J$304&lt;J87))+SUMPRODUCT(($E$5:$E$304="Fridge")*($J$5:$J$304=J87)*(ROW($J$5:$J$304)&lt;ROW()))+1)</f>
        <v>0</v>
      </c>
      <c r="R87" s="8">
        <f>IF(OR(E87&lt;&gt;"Freezer",J87=""),"",SUMPRODUCT(($E$5:$E$304="Freezer")*($J$5:$J$304&lt;J87))+SUMPRODUCT(($E$5:$E$304="Freezer")*($J$5:$J$304=J87)*(ROW($J$5:$J$304)&lt;ROW()))+1)</f>
        <v>0</v>
      </c>
      <c r="S87" s="7"/>
      <c r="T87" s="27"/>
      <c r="U87" s="28"/>
      <c r="V87" s="27"/>
      <c r="W87" s="7"/>
      <c r="X87" s="26"/>
      <c r="Y87" s="8">
        <f>IF(A87="","",IF(K87="Expired","Bin it",IF(K87="Use soon","Cook it",IF(O87="Low","Running low","Keep"))))</f>
        <v>0</v>
      </c>
      <c r="Z87" s="25"/>
    </row>
    <row r="88" spans="1:26">
      <c r="A88" s="7"/>
      <c r="B88" s="8">
        <f>IF(A88="","",IFERROR(INDEX(Ingredients!$B$5:$B$304,MATCH(A88,Ingredients!$A$5:$A$304,0)),""))</f>
        <v>0</v>
      </c>
      <c r="C88" s="26"/>
      <c r="D88" s="27"/>
      <c r="E88" s="27"/>
      <c r="F88" s="30"/>
      <c r="G88" s="30"/>
      <c r="H88" s="8">
        <f>IF(A88="","",IFERROR(INDEX(Ingredients!$M$5:$M$304,MATCH(A88,Ingredients!$A$5:$A$304,0)),""))</f>
        <v>0</v>
      </c>
      <c r="I88" s="8">
        <f>IF(OR(A88="",H88=""),"",IF(G88&lt;&gt;"",G88+H88,IF(F88&lt;&gt;"",F88+H88,"")))</f>
        <v>0</v>
      </c>
      <c r="J88" s="8">
        <f>IF(OR(A88="",I88=""),"",I88-TODAY())</f>
        <v>0</v>
      </c>
      <c r="K88" s="8">
        <f>IF(A88="","",IF(J88="","No date",IF(J88&lt;0,"Expired",IF(J88&lt;=Expiry_Warning_Days,"Use soon","Fresh"))))</f>
        <v>0</v>
      </c>
      <c r="L88" s="8">
        <f>IF(A88="","",COUNTIFS('Recipe Ingredients'!$B$5:$B$1204,A88))</f>
        <v>0</v>
      </c>
      <c r="M88" s="8">
        <f>IF(A88="","",IFERROR(INDEX(Ingredients!$X$5:$X$304,MATCH(A88,Ingredients!$A$5:$A$304,0)),""))</f>
        <v>0</v>
      </c>
      <c r="N88" s="8">
        <f>IF(OR(A88="",M88=""),"",IF(M88&lt;1,MAX(0,1*IFERROR(IFERROR(INDEX(Ingredients!$U$5:$U$304,MATCH(A88,Ingredients!$A$5:$A$304,0)),""),0)-C88),0))</f>
        <v>0</v>
      </c>
      <c r="O88" s="8">
        <f>IF(A88="","",IF(M88="","",IF(M88&lt;1,"Low","OK")))</f>
        <v>0</v>
      </c>
      <c r="P88" s="8">
        <f>IF(OR(A88="",C88=""),"",IFERROR(C88*IFERROR(INDEX(Ingredients!$D$5:$D$304,MATCH(A88,Ingredients!$A$5:$A$304,0)),""),""))</f>
        <v>0</v>
      </c>
      <c r="Q88" s="8">
        <f>IF(OR(E88&lt;&gt;"Fridge",J88=""),"",SUMPRODUCT(($E$5:$E$304="Fridge")*($J$5:$J$304&lt;J88))+SUMPRODUCT(($E$5:$E$304="Fridge")*($J$5:$J$304=J88)*(ROW($J$5:$J$304)&lt;ROW()))+1)</f>
        <v>0</v>
      </c>
      <c r="R88" s="8">
        <f>IF(OR(E88&lt;&gt;"Freezer",J88=""),"",SUMPRODUCT(($E$5:$E$304="Freezer")*($J$5:$J$304&lt;J88))+SUMPRODUCT(($E$5:$E$304="Freezer")*($J$5:$J$304=J88)*(ROW($J$5:$J$304)&lt;ROW()))+1)</f>
        <v>0</v>
      </c>
      <c r="S88" s="7"/>
      <c r="T88" s="27"/>
      <c r="U88" s="28"/>
      <c r="V88" s="27"/>
      <c r="W88" s="7"/>
      <c r="X88" s="26"/>
      <c r="Y88" s="8">
        <f>IF(A88="","",IF(K88="Expired","Bin it",IF(K88="Use soon","Cook it",IF(O88="Low","Running low","Keep"))))</f>
        <v>0</v>
      </c>
      <c r="Z88" s="25"/>
    </row>
    <row r="89" spans="1:26">
      <c r="A89" s="7"/>
      <c r="B89" s="8">
        <f>IF(A89="","",IFERROR(INDEX(Ingredients!$B$5:$B$304,MATCH(A89,Ingredients!$A$5:$A$304,0)),""))</f>
        <v>0</v>
      </c>
      <c r="C89" s="26"/>
      <c r="D89" s="27"/>
      <c r="E89" s="27"/>
      <c r="F89" s="30"/>
      <c r="G89" s="30"/>
      <c r="H89" s="8">
        <f>IF(A89="","",IFERROR(INDEX(Ingredients!$M$5:$M$304,MATCH(A89,Ingredients!$A$5:$A$304,0)),""))</f>
        <v>0</v>
      </c>
      <c r="I89" s="8">
        <f>IF(OR(A89="",H89=""),"",IF(G89&lt;&gt;"",G89+H89,IF(F89&lt;&gt;"",F89+H89,"")))</f>
        <v>0</v>
      </c>
      <c r="J89" s="8">
        <f>IF(OR(A89="",I89=""),"",I89-TODAY())</f>
        <v>0</v>
      </c>
      <c r="K89" s="8">
        <f>IF(A89="","",IF(J89="","No date",IF(J89&lt;0,"Expired",IF(J89&lt;=Expiry_Warning_Days,"Use soon","Fresh"))))</f>
        <v>0</v>
      </c>
      <c r="L89" s="8">
        <f>IF(A89="","",COUNTIFS('Recipe Ingredients'!$B$5:$B$1204,A89))</f>
        <v>0</v>
      </c>
      <c r="M89" s="8">
        <f>IF(A89="","",IFERROR(INDEX(Ingredients!$X$5:$X$304,MATCH(A89,Ingredients!$A$5:$A$304,0)),""))</f>
        <v>0</v>
      </c>
      <c r="N89" s="8">
        <f>IF(OR(A89="",M89=""),"",IF(M89&lt;1,MAX(0,1*IFERROR(IFERROR(INDEX(Ingredients!$U$5:$U$304,MATCH(A89,Ingredients!$A$5:$A$304,0)),""),0)-C89),0))</f>
        <v>0</v>
      </c>
      <c r="O89" s="8">
        <f>IF(A89="","",IF(M89="","",IF(M89&lt;1,"Low","OK")))</f>
        <v>0</v>
      </c>
      <c r="P89" s="8">
        <f>IF(OR(A89="",C89=""),"",IFERROR(C89*IFERROR(INDEX(Ingredients!$D$5:$D$304,MATCH(A89,Ingredients!$A$5:$A$304,0)),""),""))</f>
        <v>0</v>
      </c>
      <c r="Q89" s="8">
        <f>IF(OR(E89&lt;&gt;"Fridge",J89=""),"",SUMPRODUCT(($E$5:$E$304="Fridge")*($J$5:$J$304&lt;J89))+SUMPRODUCT(($E$5:$E$304="Fridge")*($J$5:$J$304=J89)*(ROW($J$5:$J$304)&lt;ROW()))+1)</f>
        <v>0</v>
      </c>
      <c r="R89" s="8">
        <f>IF(OR(E89&lt;&gt;"Freezer",J89=""),"",SUMPRODUCT(($E$5:$E$304="Freezer")*($J$5:$J$304&lt;J89))+SUMPRODUCT(($E$5:$E$304="Freezer")*($J$5:$J$304=J89)*(ROW($J$5:$J$304)&lt;ROW()))+1)</f>
        <v>0</v>
      </c>
      <c r="S89" s="7"/>
      <c r="T89" s="27"/>
      <c r="U89" s="28"/>
      <c r="V89" s="27"/>
      <c r="W89" s="7"/>
      <c r="X89" s="26"/>
      <c r="Y89" s="8">
        <f>IF(A89="","",IF(K89="Expired","Bin it",IF(K89="Use soon","Cook it",IF(O89="Low","Running low","Keep"))))</f>
        <v>0</v>
      </c>
      <c r="Z89" s="25"/>
    </row>
    <row r="90" spans="1:26">
      <c r="A90" s="7"/>
      <c r="B90" s="8">
        <f>IF(A90="","",IFERROR(INDEX(Ingredients!$B$5:$B$304,MATCH(A90,Ingredients!$A$5:$A$304,0)),""))</f>
        <v>0</v>
      </c>
      <c r="C90" s="26"/>
      <c r="D90" s="27"/>
      <c r="E90" s="27"/>
      <c r="F90" s="30"/>
      <c r="G90" s="30"/>
      <c r="H90" s="8">
        <f>IF(A90="","",IFERROR(INDEX(Ingredients!$M$5:$M$304,MATCH(A90,Ingredients!$A$5:$A$304,0)),""))</f>
        <v>0</v>
      </c>
      <c r="I90" s="8">
        <f>IF(OR(A90="",H90=""),"",IF(G90&lt;&gt;"",G90+H90,IF(F90&lt;&gt;"",F90+H90,"")))</f>
        <v>0</v>
      </c>
      <c r="J90" s="8">
        <f>IF(OR(A90="",I90=""),"",I90-TODAY())</f>
        <v>0</v>
      </c>
      <c r="K90" s="8">
        <f>IF(A90="","",IF(J90="","No date",IF(J90&lt;0,"Expired",IF(J90&lt;=Expiry_Warning_Days,"Use soon","Fresh"))))</f>
        <v>0</v>
      </c>
      <c r="L90" s="8">
        <f>IF(A90="","",COUNTIFS('Recipe Ingredients'!$B$5:$B$1204,A90))</f>
        <v>0</v>
      </c>
      <c r="M90" s="8">
        <f>IF(A90="","",IFERROR(INDEX(Ingredients!$X$5:$X$304,MATCH(A90,Ingredients!$A$5:$A$304,0)),""))</f>
        <v>0</v>
      </c>
      <c r="N90" s="8">
        <f>IF(OR(A90="",M90=""),"",IF(M90&lt;1,MAX(0,1*IFERROR(IFERROR(INDEX(Ingredients!$U$5:$U$304,MATCH(A90,Ingredients!$A$5:$A$304,0)),""),0)-C90),0))</f>
        <v>0</v>
      </c>
      <c r="O90" s="8">
        <f>IF(A90="","",IF(M90="","",IF(M90&lt;1,"Low","OK")))</f>
        <v>0</v>
      </c>
      <c r="P90" s="8">
        <f>IF(OR(A90="",C90=""),"",IFERROR(C90*IFERROR(INDEX(Ingredients!$D$5:$D$304,MATCH(A90,Ingredients!$A$5:$A$304,0)),""),""))</f>
        <v>0</v>
      </c>
      <c r="Q90" s="8">
        <f>IF(OR(E90&lt;&gt;"Fridge",J90=""),"",SUMPRODUCT(($E$5:$E$304="Fridge")*($J$5:$J$304&lt;J90))+SUMPRODUCT(($E$5:$E$304="Fridge")*($J$5:$J$304=J90)*(ROW($J$5:$J$304)&lt;ROW()))+1)</f>
        <v>0</v>
      </c>
      <c r="R90" s="8">
        <f>IF(OR(E90&lt;&gt;"Freezer",J90=""),"",SUMPRODUCT(($E$5:$E$304="Freezer")*($J$5:$J$304&lt;J90))+SUMPRODUCT(($E$5:$E$304="Freezer")*($J$5:$J$304=J90)*(ROW($J$5:$J$304)&lt;ROW()))+1)</f>
        <v>0</v>
      </c>
      <c r="S90" s="7"/>
      <c r="T90" s="27"/>
      <c r="U90" s="28"/>
      <c r="V90" s="27"/>
      <c r="W90" s="7"/>
      <c r="X90" s="26"/>
      <c r="Y90" s="8">
        <f>IF(A90="","",IF(K90="Expired","Bin it",IF(K90="Use soon","Cook it",IF(O90="Low","Running low","Keep"))))</f>
        <v>0</v>
      </c>
      <c r="Z90" s="25"/>
    </row>
    <row r="91" spans="1:26">
      <c r="A91" s="7"/>
      <c r="B91" s="8">
        <f>IF(A91="","",IFERROR(INDEX(Ingredients!$B$5:$B$304,MATCH(A91,Ingredients!$A$5:$A$304,0)),""))</f>
        <v>0</v>
      </c>
      <c r="C91" s="26"/>
      <c r="D91" s="27"/>
      <c r="E91" s="27"/>
      <c r="F91" s="30"/>
      <c r="G91" s="30"/>
      <c r="H91" s="8">
        <f>IF(A91="","",IFERROR(INDEX(Ingredients!$M$5:$M$304,MATCH(A91,Ingredients!$A$5:$A$304,0)),""))</f>
        <v>0</v>
      </c>
      <c r="I91" s="8">
        <f>IF(OR(A91="",H91=""),"",IF(G91&lt;&gt;"",G91+H91,IF(F91&lt;&gt;"",F91+H91,"")))</f>
        <v>0</v>
      </c>
      <c r="J91" s="8">
        <f>IF(OR(A91="",I91=""),"",I91-TODAY())</f>
        <v>0</v>
      </c>
      <c r="K91" s="8">
        <f>IF(A91="","",IF(J91="","No date",IF(J91&lt;0,"Expired",IF(J91&lt;=Expiry_Warning_Days,"Use soon","Fresh"))))</f>
        <v>0</v>
      </c>
      <c r="L91" s="8">
        <f>IF(A91="","",COUNTIFS('Recipe Ingredients'!$B$5:$B$1204,A91))</f>
        <v>0</v>
      </c>
      <c r="M91" s="8">
        <f>IF(A91="","",IFERROR(INDEX(Ingredients!$X$5:$X$304,MATCH(A91,Ingredients!$A$5:$A$304,0)),""))</f>
        <v>0</v>
      </c>
      <c r="N91" s="8">
        <f>IF(OR(A91="",M91=""),"",IF(M91&lt;1,MAX(0,1*IFERROR(IFERROR(INDEX(Ingredients!$U$5:$U$304,MATCH(A91,Ingredients!$A$5:$A$304,0)),""),0)-C91),0))</f>
        <v>0</v>
      </c>
      <c r="O91" s="8">
        <f>IF(A91="","",IF(M91="","",IF(M91&lt;1,"Low","OK")))</f>
        <v>0</v>
      </c>
      <c r="P91" s="8">
        <f>IF(OR(A91="",C91=""),"",IFERROR(C91*IFERROR(INDEX(Ingredients!$D$5:$D$304,MATCH(A91,Ingredients!$A$5:$A$304,0)),""),""))</f>
        <v>0</v>
      </c>
      <c r="Q91" s="8">
        <f>IF(OR(E91&lt;&gt;"Fridge",J91=""),"",SUMPRODUCT(($E$5:$E$304="Fridge")*($J$5:$J$304&lt;J91))+SUMPRODUCT(($E$5:$E$304="Fridge")*($J$5:$J$304=J91)*(ROW($J$5:$J$304)&lt;ROW()))+1)</f>
        <v>0</v>
      </c>
      <c r="R91" s="8">
        <f>IF(OR(E91&lt;&gt;"Freezer",J91=""),"",SUMPRODUCT(($E$5:$E$304="Freezer")*($J$5:$J$304&lt;J91))+SUMPRODUCT(($E$5:$E$304="Freezer")*($J$5:$J$304=J91)*(ROW($J$5:$J$304)&lt;ROW()))+1)</f>
        <v>0</v>
      </c>
      <c r="S91" s="7"/>
      <c r="T91" s="27"/>
      <c r="U91" s="28"/>
      <c r="V91" s="27"/>
      <c r="W91" s="7"/>
      <c r="X91" s="26"/>
      <c r="Y91" s="8">
        <f>IF(A91="","",IF(K91="Expired","Bin it",IF(K91="Use soon","Cook it",IF(O91="Low","Running low","Keep"))))</f>
        <v>0</v>
      </c>
      <c r="Z91" s="25"/>
    </row>
    <row r="92" spans="1:26">
      <c r="A92" s="7"/>
      <c r="B92" s="8">
        <f>IF(A92="","",IFERROR(INDEX(Ingredients!$B$5:$B$304,MATCH(A92,Ingredients!$A$5:$A$304,0)),""))</f>
        <v>0</v>
      </c>
      <c r="C92" s="26"/>
      <c r="D92" s="27"/>
      <c r="E92" s="27"/>
      <c r="F92" s="30"/>
      <c r="G92" s="30"/>
      <c r="H92" s="8">
        <f>IF(A92="","",IFERROR(INDEX(Ingredients!$M$5:$M$304,MATCH(A92,Ingredients!$A$5:$A$304,0)),""))</f>
        <v>0</v>
      </c>
      <c r="I92" s="8">
        <f>IF(OR(A92="",H92=""),"",IF(G92&lt;&gt;"",G92+H92,IF(F92&lt;&gt;"",F92+H92,"")))</f>
        <v>0</v>
      </c>
      <c r="J92" s="8">
        <f>IF(OR(A92="",I92=""),"",I92-TODAY())</f>
        <v>0</v>
      </c>
      <c r="K92" s="8">
        <f>IF(A92="","",IF(J92="","No date",IF(J92&lt;0,"Expired",IF(J92&lt;=Expiry_Warning_Days,"Use soon","Fresh"))))</f>
        <v>0</v>
      </c>
      <c r="L92" s="8">
        <f>IF(A92="","",COUNTIFS('Recipe Ingredients'!$B$5:$B$1204,A92))</f>
        <v>0</v>
      </c>
      <c r="M92" s="8">
        <f>IF(A92="","",IFERROR(INDEX(Ingredients!$X$5:$X$304,MATCH(A92,Ingredients!$A$5:$A$304,0)),""))</f>
        <v>0</v>
      </c>
      <c r="N92" s="8">
        <f>IF(OR(A92="",M92=""),"",IF(M92&lt;1,MAX(0,1*IFERROR(IFERROR(INDEX(Ingredients!$U$5:$U$304,MATCH(A92,Ingredients!$A$5:$A$304,0)),""),0)-C92),0))</f>
        <v>0</v>
      </c>
      <c r="O92" s="8">
        <f>IF(A92="","",IF(M92="","",IF(M92&lt;1,"Low","OK")))</f>
        <v>0</v>
      </c>
      <c r="P92" s="8">
        <f>IF(OR(A92="",C92=""),"",IFERROR(C92*IFERROR(INDEX(Ingredients!$D$5:$D$304,MATCH(A92,Ingredients!$A$5:$A$304,0)),""),""))</f>
        <v>0</v>
      </c>
      <c r="Q92" s="8">
        <f>IF(OR(E92&lt;&gt;"Fridge",J92=""),"",SUMPRODUCT(($E$5:$E$304="Fridge")*($J$5:$J$304&lt;J92))+SUMPRODUCT(($E$5:$E$304="Fridge")*($J$5:$J$304=J92)*(ROW($J$5:$J$304)&lt;ROW()))+1)</f>
        <v>0</v>
      </c>
      <c r="R92" s="8">
        <f>IF(OR(E92&lt;&gt;"Freezer",J92=""),"",SUMPRODUCT(($E$5:$E$304="Freezer")*($J$5:$J$304&lt;J92))+SUMPRODUCT(($E$5:$E$304="Freezer")*($J$5:$J$304=J92)*(ROW($J$5:$J$304)&lt;ROW()))+1)</f>
        <v>0</v>
      </c>
      <c r="S92" s="7"/>
      <c r="T92" s="27"/>
      <c r="U92" s="28"/>
      <c r="V92" s="27"/>
      <c r="W92" s="7"/>
      <c r="X92" s="26"/>
      <c r="Y92" s="8">
        <f>IF(A92="","",IF(K92="Expired","Bin it",IF(K92="Use soon","Cook it",IF(O92="Low","Running low","Keep"))))</f>
        <v>0</v>
      </c>
      <c r="Z92" s="25"/>
    </row>
    <row r="93" spans="1:26">
      <c r="A93" s="7"/>
      <c r="B93" s="8">
        <f>IF(A93="","",IFERROR(INDEX(Ingredients!$B$5:$B$304,MATCH(A93,Ingredients!$A$5:$A$304,0)),""))</f>
        <v>0</v>
      </c>
      <c r="C93" s="26"/>
      <c r="D93" s="27"/>
      <c r="E93" s="27"/>
      <c r="F93" s="30"/>
      <c r="G93" s="30"/>
      <c r="H93" s="8">
        <f>IF(A93="","",IFERROR(INDEX(Ingredients!$M$5:$M$304,MATCH(A93,Ingredients!$A$5:$A$304,0)),""))</f>
        <v>0</v>
      </c>
      <c r="I93" s="8">
        <f>IF(OR(A93="",H93=""),"",IF(G93&lt;&gt;"",G93+H93,IF(F93&lt;&gt;"",F93+H93,"")))</f>
        <v>0</v>
      </c>
      <c r="J93" s="8">
        <f>IF(OR(A93="",I93=""),"",I93-TODAY())</f>
        <v>0</v>
      </c>
      <c r="K93" s="8">
        <f>IF(A93="","",IF(J93="","No date",IF(J93&lt;0,"Expired",IF(J93&lt;=Expiry_Warning_Days,"Use soon","Fresh"))))</f>
        <v>0</v>
      </c>
      <c r="L93" s="8">
        <f>IF(A93="","",COUNTIFS('Recipe Ingredients'!$B$5:$B$1204,A93))</f>
        <v>0</v>
      </c>
      <c r="M93" s="8">
        <f>IF(A93="","",IFERROR(INDEX(Ingredients!$X$5:$X$304,MATCH(A93,Ingredients!$A$5:$A$304,0)),""))</f>
        <v>0</v>
      </c>
      <c r="N93" s="8">
        <f>IF(OR(A93="",M93=""),"",IF(M93&lt;1,MAX(0,1*IFERROR(IFERROR(INDEX(Ingredients!$U$5:$U$304,MATCH(A93,Ingredients!$A$5:$A$304,0)),""),0)-C93),0))</f>
        <v>0</v>
      </c>
      <c r="O93" s="8">
        <f>IF(A93="","",IF(M93="","",IF(M93&lt;1,"Low","OK")))</f>
        <v>0</v>
      </c>
      <c r="P93" s="8">
        <f>IF(OR(A93="",C93=""),"",IFERROR(C93*IFERROR(INDEX(Ingredients!$D$5:$D$304,MATCH(A93,Ingredients!$A$5:$A$304,0)),""),""))</f>
        <v>0</v>
      </c>
      <c r="Q93" s="8">
        <f>IF(OR(E93&lt;&gt;"Fridge",J93=""),"",SUMPRODUCT(($E$5:$E$304="Fridge")*($J$5:$J$304&lt;J93))+SUMPRODUCT(($E$5:$E$304="Fridge")*($J$5:$J$304=J93)*(ROW($J$5:$J$304)&lt;ROW()))+1)</f>
        <v>0</v>
      </c>
      <c r="R93" s="8">
        <f>IF(OR(E93&lt;&gt;"Freezer",J93=""),"",SUMPRODUCT(($E$5:$E$304="Freezer")*($J$5:$J$304&lt;J93))+SUMPRODUCT(($E$5:$E$304="Freezer")*($J$5:$J$304=J93)*(ROW($J$5:$J$304)&lt;ROW()))+1)</f>
        <v>0</v>
      </c>
      <c r="S93" s="7"/>
      <c r="T93" s="27"/>
      <c r="U93" s="28"/>
      <c r="V93" s="27"/>
      <c r="W93" s="7"/>
      <c r="X93" s="26"/>
      <c r="Y93" s="8">
        <f>IF(A93="","",IF(K93="Expired","Bin it",IF(K93="Use soon","Cook it",IF(O93="Low","Running low","Keep"))))</f>
        <v>0</v>
      </c>
      <c r="Z93" s="25"/>
    </row>
    <row r="94" spans="1:26">
      <c r="A94" s="7"/>
      <c r="B94" s="8">
        <f>IF(A94="","",IFERROR(INDEX(Ingredients!$B$5:$B$304,MATCH(A94,Ingredients!$A$5:$A$304,0)),""))</f>
        <v>0</v>
      </c>
      <c r="C94" s="26"/>
      <c r="D94" s="27"/>
      <c r="E94" s="27"/>
      <c r="F94" s="30"/>
      <c r="G94" s="30"/>
      <c r="H94" s="8">
        <f>IF(A94="","",IFERROR(INDEX(Ingredients!$M$5:$M$304,MATCH(A94,Ingredients!$A$5:$A$304,0)),""))</f>
        <v>0</v>
      </c>
      <c r="I94" s="8">
        <f>IF(OR(A94="",H94=""),"",IF(G94&lt;&gt;"",G94+H94,IF(F94&lt;&gt;"",F94+H94,"")))</f>
        <v>0</v>
      </c>
      <c r="J94" s="8">
        <f>IF(OR(A94="",I94=""),"",I94-TODAY())</f>
        <v>0</v>
      </c>
      <c r="K94" s="8">
        <f>IF(A94="","",IF(J94="","No date",IF(J94&lt;0,"Expired",IF(J94&lt;=Expiry_Warning_Days,"Use soon","Fresh"))))</f>
        <v>0</v>
      </c>
      <c r="L94" s="8">
        <f>IF(A94="","",COUNTIFS('Recipe Ingredients'!$B$5:$B$1204,A94))</f>
        <v>0</v>
      </c>
      <c r="M94" s="8">
        <f>IF(A94="","",IFERROR(INDEX(Ingredients!$X$5:$X$304,MATCH(A94,Ingredients!$A$5:$A$304,0)),""))</f>
        <v>0</v>
      </c>
      <c r="N94" s="8">
        <f>IF(OR(A94="",M94=""),"",IF(M94&lt;1,MAX(0,1*IFERROR(IFERROR(INDEX(Ingredients!$U$5:$U$304,MATCH(A94,Ingredients!$A$5:$A$304,0)),""),0)-C94),0))</f>
        <v>0</v>
      </c>
      <c r="O94" s="8">
        <f>IF(A94="","",IF(M94="","",IF(M94&lt;1,"Low","OK")))</f>
        <v>0</v>
      </c>
      <c r="P94" s="8">
        <f>IF(OR(A94="",C94=""),"",IFERROR(C94*IFERROR(INDEX(Ingredients!$D$5:$D$304,MATCH(A94,Ingredients!$A$5:$A$304,0)),""),""))</f>
        <v>0</v>
      </c>
      <c r="Q94" s="8">
        <f>IF(OR(E94&lt;&gt;"Fridge",J94=""),"",SUMPRODUCT(($E$5:$E$304="Fridge")*($J$5:$J$304&lt;J94))+SUMPRODUCT(($E$5:$E$304="Fridge")*($J$5:$J$304=J94)*(ROW($J$5:$J$304)&lt;ROW()))+1)</f>
        <v>0</v>
      </c>
      <c r="R94" s="8">
        <f>IF(OR(E94&lt;&gt;"Freezer",J94=""),"",SUMPRODUCT(($E$5:$E$304="Freezer")*($J$5:$J$304&lt;J94))+SUMPRODUCT(($E$5:$E$304="Freezer")*($J$5:$J$304=J94)*(ROW($J$5:$J$304)&lt;ROW()))+1)</f>
        <v>0</v>
      </c>
      <c r="S94" s="7"/>
      <c r="T94" s="27"/>
      <c r="U94" s="28"/>
      <c r="V94" s="27"/>
      <c r="W94" s="7"/>
      <c r="X94" s="26"/>
      <c r="Y94" s="8">
        <f>IF(A94="","",IF(K94="Expired","Bin it",IF(K94="Use soon","Cook it",IF(O94="Low","Running low","Keep"))))</f>
        <v>0</v>
      </c>
      <c r="Z94" s="25"/>
    </row>
    <row r="95" spans="1:26">
      <c r="A95" s="7"/>
      <c r="B95" s="8">
        <f>IF(A95="","",IFERROR(INDEX(Ingredients!$B$5:$B$304,MATCH(A95,Ingredients!$A$5:$A$304,0)),""))</f>
        <v>0</v>
      </c>
      <c r="C95" s="26"/>
      <c r="D95" s="27"/>
      <c r="E95" s="27"/>
      <c r="F95" s="30"/>
      <c r="G95" s="30"/>
      <c r="H95" s="8">
        <f>IF(A95="","",IFERROR(INDEX(Ingredients!$M$5:$M$304,MATCH(A95,Ingredients!$A$5:$A$304,0)),""))</f>
        <v>0</v>
      </c>
      <c r="I95" s="8">
        <f>IF(OR(A95="",H95=""),"",IF(G95&lt;&gt;"",G95+H95,IF(F95&lt;&gt;"",F95+H95,"")))</f>
        <v>0</v>
      </c>
      <c r="J95" s="8">
        <f>IF(OR(A95="",I95=""),"",I95-TODAY())</f>
        <v>0</v>
      </c>
      <c r="K95" s="8">
        <f>IF(A95="","",IF(J95="","No date",IF(J95&lt;0,"Expired",IF(J95&lt;=Expiry_Warning_Days,"Use soon","Fresh"))))</f>
        <v>0</v>
      </c>
      <c r="L95" s="8">
        <f>IF(A95="","",COUNTIFS('Recipe Ingredients'!$B$5:$B$1204,A95))</f>
        <v>0</v>
      </c>
      <c r="M95" s="8">
        <f>IF(A95="","",IFERROR(INDEX(Ingredients!$X$5:$X$304,MATCH(A95,Ingredients!$A$5:$A$304,0)),""))</f>
        <v>0</v>
      </c>
      <c r="N95" s="8">
        <f>IF(OR(A95="",M95=""),"",IF(M95&lt;1,MAX(0,1*IFERROR(IFERROR(INDEX(Ingredients!$U$5:$U$304,MATCH(A95,Ingredients!$A$5:$A$304,0)),""),0)-C95),0))</f>
        <v>0</v>
      </c>
      <c r="O95" s="8">
        <f>IF(A95="","",IF(M95="","",IF(M95&lt;1,"Low","OK")))</f>
        <v>0</v>
      </c>
      <c r="P95" s="8">
        <f>IF(OR(A95="",C95=""),"",IFERROR(C95*IFERROR(INDEX(Ingredients!$D$5:$D$304,MATCH(A95,Ingredients!$A$5:$A$304,0)),""),""))</f>
        <v>0</v>
      </c>
      <c r="Q95" s="8">
        <f>IF(OR(E95&lt;&gt;"Fridge",J95=""),"",SUMPRODUCT(($E$5:$E$304="Fridge")*($J$5:$J$304&lt;J95))+SUMPRODUCT(($E$5:$E$304="Fridge")*($J$5:$J$304=J95)*(ROW($J$5:$J$304)&lt;ROW()))+1)</f>
        <v>0</v>
      </c>
      <c r="R95" s="8">
        <f>IF(OR(E95&lt;&gt;"Freezer",J95=""),"",SUMPRODUCT(($E$5:$E$304="Freezer")*($J$5:$J$304&lt;J95))+SUMPRODUCT(($E$5:$E$304="Freezer")*($J$5:$J$304=J95)*(ROW($J$5:$J$304)&lt;ROW()))+1)</f>
        <v>0</v>
      </c>
      <c r="S95" s="7"/>
      <c r="T95" s="27"/>
      <c r="U95" s="28"/>
      <c r="V95" s="27"/>
      <c r="W95" s="7"/>
      <c r="X95" s="26"/>
      <c r="Y95" s="8">
        <f>IF(A95="","",IF(K95="Expired","Bin it",IF(K95="Use soon","Cook it",IF(O95="Low","Running low","Keep"))))</f>
        <v>0</v>
      </c>
      <c r="Z95" s="25"/>
    </row>
    <row r="96" spans="1:26">
      <c r="A96" s="7"/>
      <c r="B96" s="8">
        <f>IF(A96="","",IFERROR(INDEX(Ingredients!$B$5:$B$304,MATCH(A96,Ingredients!$A$5:$A$304,0)),""))</f>
        <v>0</v>
      </c>
      <c r="C96" s="26"/>
      <c r="D96" s="27"/>
      <c r="E96" s="27"/>
      <c r="F96" s="30"/>
      <c r="G96" s="30"/>
      <c r="H96" s="8">
        <f>IF(A96="","",IFERROR(INDEX(Ingredients!$M$5:$M$304,MATCH(A96,Ingredients!$A$5:$A$304,0)),""))</f>
        <v>0</v>
      </c>
      <c r="I96" s="8">
        <f>IF(OR(A96="",H96=""),"",IF(G96&lt;&gt;"",G96+H96,IF(F96&lt;&gt;"",F96+H96,"")))</f>
        <v>0</v>
      </c>
      <c r="J96" s="8">
        <f>IF(OR(A96="",I96=""),"",I96-TODAY())</f>
        <v>0</v>
      </c>
      <c r="K96" s="8">
        <f>IF(A96="","",IF(J96="","No date",IF(J96&lt;0,"Expired",IF(J96&lt;=Expiry_Warning_Days,"Use soon","Fresh"))))</f>
        <v>0</v>
      </c>
      <c r="L96" s="8">
        <f>IF(A96="","",COUNTIFS('Recipe Ingredients'!$B$5:$B$1204,A96))</f>
        <v>0</v>
      </c>
      <c r="M96" s="8">
        <f>IF(A96="","",IFERROR(INDEX(Ingredients!$X$5:$X$304,MATCH(A96,Ingredients!$A$5:$A$304,0)),""))</f>
        <v>0</v>
      </c>
      <c r="N96" s="8">
        <f>IF(OR(A96="",M96=""),"",IF(M96&lt;1,MAX(0,1*IFERROR(IFERROR(INDEX(Ingredients!$U$5:$U$304,MATCH(A96,Ingredients!$A$5:$A$304,0)),""),0)-C96),0))</f>
        <v>0</v>
      </c>
      <c r="O96" s="8">
        <f>IF(A96="","",IF(M96="","",IF(M96&lt;1,"Low","OK")))</f>
        <v>0</v>
      </c>
      <c r="P96" s="8">
        <f>IF(OR(A96="",C96=""),"",IFERROR(C96*IFERROR(INDEX(Ingredients!$D$5:$D$304,MATCH(A96,Ingredients!$A$5:$A$304,0)),""),""))</f>
        <v>0</v>
      </c>
      <c r="Q96" s="8">
        <f>IF(OR(E96&lt;&gt;"Fridge",J96=""),"",SUMPRODUCT(($E$5:$E$304="Fridge")*($J$5:$J$304&lt;J96))+SUMPRODUCT(($E$5:$E$304="Fridge")*($J$5:$J$304=J96)*(ROW($J$5:$J$304)&lt;ROW()))+1)</f>
        <v>0</v>
      </c>
      <c r="R96" s="8">
        <f>IF(OR(E96&lt;&gt;"Freezer",J96=""),"",SUMPRODUCT(($E$5:$E$304="Freezer")*($J$5:$J$304&lt;J96))+SUMPRODUCT(($E$5:$E$304="Freezer")*($J$5:$J$304=J96)*(ROW($J$5:$J$304)&lt;ROW()))+1)</f>
        <v>0</v>
      </c>
      <c r="S96" s="7"/>
      <c r="T96" s="27"/>
      <c r="U96" s="28"/>
      <c r="V96" s="27"/>
      <c r="W96" s="7"/>
      <c r="X96" s="26"/>
      <c r="Y96" s="8">
        <f>IF(A96="","",IF(K96="Expired","Bin it",IF(K96="Use soon","Cook it",IF(O96="Low","Running low","Keep"))))</f>
        <v>0</v>
      </c>
      <c r="Z96" s="25"/>
    </row>
    <row r="97" spans="1:26">
      <c r="A97" s="7"/>
      <c r="B97" s="8">
        <f>IF(A97="","",IFERROR(INDEX(Ingredients!$B$5:$B$304,MATCH(A97,Ingredients!$A$5:$A$304,0)),""))</f>
        <v>0</v>
      </c>
      <c r="C97" s="26"/>
      <c r="D97" s="27"/>
      <c r="E97" s="27"/>
      <c r="F97" s="30"/>
      <c r="G97" s="30"/>
      <c r="H97" s="8">
        <f>IF(A97="","",IFERROR(INDEX(Ingredients!$M$5:$M$304,MATCH(A97,Ingredients!$A$5:$A$304,0)),""))</f>
        <v>0</v>
      </c>
      <c r="I97" s="8">
        <f>IF(OR(A97="",H97=""),"",IF(G97&lt;&gt;"",G97+H97,IF(F97&lt;&gt;"",F97+H97,"")))</f>
        <v>0</v>
      </c>
      <c r="J97" s="8">
        <f>IF(OR(A97="",I97=""),"",I97-TODAY())</f>
        <v>0</v>
      </c>
      <c r="K97" s="8">
        <f>IF(A97="","",IF(J97="","No date",IF(J97&lt;0,"Expired",IF(J97&lt;=Expiry_Warning_Days,"Use soon","Fresh"))))</f>
        <v>0</v>
      </c>
      <c r="L97" s="8">
        <f>IF(A97="","",COUNTIFS('Recipe Ingredients'!$B$5:$B$1204,A97))</f>
        <v>0</v>
      </c>
      <c r="M97" s="8">
        <f>IF(A97="","",IFERROR(INDEX(Ingredients!$X$5:$X$304,MATCH(A97,Ingredients!$A$5:$A$304,0)),""))</f>
        <v>0</v>
      </c>
      <c r="N97" s="8">
        <f>IF(OR(A97="",M97=""),"",IF(M97&lt;1,MAX(0,1*IFERROR(IFERROR(INDEX(Ingredients!$U$5:$U$304,MATCH(A97,Ingredients!$A$5:$A$304,0)),""),0)-C97),0))</f>
        <v>0</v>
      </c>
      <c r="O97" s="8">
        <f>IF(A97="","",IF(M97="","",IF(M97&lt;1,"Low","OK")))</f>
        <v>0</v>
      </c>
      <c r="P97" s="8">
        <f>IF(OR(A97="",C97=""),"",IFERROR(C97*IFERROR(INDEX(Ingredients!$D$5:$D$304,MATCH(A97,Ingredients!$A$5:$A$304,0)),""),""))</f>
        <v>0</v>
      </c>
      <c r="Q97" s="8">
        <f>IF(OR(E97&lt;&gt;"Fridge",J97=""),"",SUMPRODUCT(($E$5:$E$304="Fridge")*($J$5:$J$304&lt;J97))+SUMPRODUCT(($E$5:$E$304="Fridge")*($J$5:$J$304=J97)*(ROW($J$5:$J$304)&lt;ROW()))+1)</f>
        <v>0</v>
      </c>
      <c r="R97" s="8">
        <f>IF(OR(E97&lt;&gt;"Freezer",J97=""),"",SUMPRODUCT(($E$5:$E$304="Freezer")*($J$5:$J$304&lt;J97))+SUMPRODUCT(($E$5:$E$304="Freezer")*($J$5:$J$304=J97)*(ROW($J$5:$J$304)&lt;ROW()))+1)</f>
        <v>0</v>
      </c>
      <c r="S97" s="7"/>
      <c r="T97" s="27"/>
      <c r="U97" s="28"/>
      <c r="V97" s="27"/>
      <c r="W97" s="7"/>
      <c r="X97" s="26"/>
      <c r="Y97" s="8">
        <f>IF(A97="","",IF(K97="Expired","Bin it",IF(K97="Use soon","Cook it",IF(O97="Low","Running low","Keep"))))</f>
        <v>0</v>
      </c>
      <c r="Z97" s="25"/>
    </row>
    <row r="98" spans="1:26">
      <c r="A98" s="7"/>
      <c r="B98" s="8">
        <f>IF(A98="","",IFERROR(INDEX(Ingredients!$B$5:$B$304,MATCH(A98,Ingredients!$A$5:$A$304,0)),""))</f>
        <v>0</v>
      </c>
      <c r="C98" s="26"/>
      <c r="D98" s="27"/>
      <c r="E98" s="27"/>
      <c r="F98" s="30"/>
      <c r="G98" s="30"/>
      <c r="H98" s="8">
        <f>IF(A98="","",IFERROR(INDEX(Ingredients!$M$5:$M$304,MATCH(A98,Ingredients!$A$5:$A$304,0)),""))</f>
        <v>0</v>
      </c>
      <c r="I98" s="8">
        <f>IF(OR(A98="",H98=""),"",IF(G98&lt;&gt;"",G98+H98,IF(F98&lt;&gt;"",F98+H98,"")))</f>
        <v>0</v>
      </c>
      <c r="J98" s="8">
        <f>IF(OR(A98="",I98=""),"",I98-TODAY())</f>
        <v>0</v>
      </c>
      <c r="K98" s="8">
        <f>IF(A98="","",IF(J98="","No date",IF(J98&lt;0,"Expired",IF(J98&lt;=Expiry_Warning_Days,"Use soon","Fresh"))))</f>
        <v>0</v>
      </c>
      <c r="L98" s="8">
        <f>IF(A98="","",COUNTIFS('Recipe Ingredients'!$B$5:$B$1204,A98))</f>
        <v>0</v>
      </c>
      <c r="M98" s="8">
        <f>IF(A98="","",IFERROR(INDEX(Ingredients!$X$5:$X$304,MATCH(A98,Ingredients!$A$5:$A$304,0)),""))</f>
        <v>0</v>
      </c>
      <c r="N98" s="8">
        <f>IF(OR(A98="",M98=""),"",IF(M98&lt;1,MAX(0,1*IFERROR(IFERROR(INDEX(Ingredients!$U$5:$U$304,MATCH(A98,Ingredients!$A$5:$A$304,0)),""),0)-C98),0))</f>
        <v>0</v>
      </c>
      <c r="O98" s="8">
        <f>IF(A98="","",IF(M98="","",IF(M98&lt;1,"Low","OK")))</f>
        <v>0</v>
      </c>
      <c r="P98" s="8">
        <f>IF(OR(A98="",C98=""),"",IFERROR(C98*IFERROR(INDEX(Ingredients!$D$5:$D$304,MATCH(A98,Ingredients!$A$5:$A$304,0)),""),""))</f>
        <v>0</v>
      </c>
      <c r="Q98" s="8">
        <f>IF(OR(E98&lt;&gt;"Fridge",J98=""),"",SUMPRODUCT(($E$5:$E$304="Fridge")*($J$5:$J$304&lt;J98))+SUMPRODUCT(($E$5:$E$304="Fridge")*($J$5:$J$304=J98)*(ROW($J$5:$J$304)&lt;ROW()))+1)</f>
        <v>0</v>
      </c>
      <c r="R98" s="8">
        <f>IF(OR(E98&lt;&gt;"Freezer",J98=""),"",SUMPRODUCT(($E$5:$E$304="Freezer")*($J$5:$J$304&lt;J98))+SUMPRODUCT(($E$5:$E$304="Freezer")*($J$5:$J$304=J98)*(ROW($J$5:$J$304)&lt;ROW()))+1)</f>
        <v>0</v>
      </c>
      <c r="S98" s="7"/>
      <c r="T98" s="27"/>
      <c r="U98" s="28"/>
      <c r="V98" s="27"/>
      <c r="W98" s="7"/>
      <c r="X98" s="26"/>
      <c r="Y98" s="8">
        <f>IF(A98="","",IF(K98="Expired","Bin it",IF(K98="Use soon","Cook it",IF(O98="Low","Running low","Keep"))))</f>
        <v>0</v>
      </c>
      <c r="Z98" s="25"/>
    </row>
    <row r="99" spans="1:26">
      <c r="A99" s="7"/>
      <c r="B99" s="8">
        <f>IF(A99="","",IFERROR(INDEX(Ingredients!$B$5:$B$304,MATCH(A99,Ingredients!$A$5:$A$304,0)),""))</f>
        <v>0</v>
      </c>
      <c r="C99" s="26"/>
      <c r="D99" s="27"/>
      <c r="E99" s="27"/>
      <c r="F99" s="30"/>
      <c r="G99" s="30"/>
      <c r="H99" s="8">
        <f>IF(A99="","",IFERROR(INDEX(Ingredients!$M$5:$M$304,MATCH(A99,Ingredients!$A$5:$A$304,0)),""))</f>
        <v>0</v>
      </c>
      <c r="I99" s="8">
        <f>IF(OR(A99="",H99=""),"",IF(G99&lt;&gt;"",G99+H99,IF(F99&lt;&gt;"",F99+H99,"")))</f>
        <v>0</v>
      </c>
      <c r="J99" s="8">
        <f>IF(OR(A99="",I99=""),"",I99-TODAY())</f>
        <v>0</v>
      </c>
      <c r="K99" s="8">
        <f>IF(A99="","",IF(J99="","No date",IF(J99&lt;0,"Expired",IF(J99&lt;=Expiry_Warning_Days,"Use soon","Fresh"))))</f>
        <v>0</v>
      </c>
      <c r="L99" s="8">
        <f>IF(A99="","",COUNTIFS('Recipe Ingredients'!$B$5:$B$1204,A99))</f>
        <v>0</v>
      </c>
      <c r="M99" s="8">
        <f>IF(A99="","",IFERROR(INDEX(Ingredients!$X$5:$X$304,MATCH(A99,Ingredients!$A$5:$A$304,0)),""))</f>
        <v>0</v>
      </c>
      <c r="N99" s="8">
        <f>IF(OR(A99="",M99=""),"",IF(M99&lt;1,MAX(0,1*IFERROR(IFERROR(INDEX(Ingredients!$U$5:$U$304,MATCH(A99,Ingredients!$A$5:$A$304,0)),""),0)-C99),0))</f>
        <v>0</v>
      </c>
      <c r="O99" s="8">
        <f>IF(A99="","",IF(M99="","",IF(M99&lt;1,"Low","OK")))</f>
        <v>0</v>
      </c>
      <c r="P99" s="8">
        <f>IF(OR(A99="",C99=""),"",IFERROR(C99*IFERROR(INDEX(Ingredients!$D$5:$D$304,MATCH(A99,Ingredients!$A$5:$A$304,0)),""),""))</f>
        <v>0</v>
      </c>
      <c r="Q99" s="8">
        <f>IF(OR(E99&lt;&gt;"Fridge",J99=""),"",SUMPRODUCT(($E$5:$E$304="Fridge")*($J$5:$J$304&lt;J99))+SUMPRODUCT(($E$5:$E$304="Fridge")*($J$5:$J$304=J99)*(ROW($J$5:$J$304)&lt;ROW()))+1)</f>
        <v>0</v>
      </c>
      <c r="R99" s="8">
        <f>IF(OR(E99&lt;&gt;"Freezer",J99=""),"",SUMPRODUCT(($E$5:$E$304="Freezer")*($J$5:$J$304&lt;J99))+SUMPRODUCT(($E$5:$E$304="Freezer")*($J$5:$J$304=J99)*(ROW($J$5:$J$304)&lt;ROW()))+1)</f>
        <v>0</v>
      </c>
      <c r="S99" s="7"/>
      <c r="T99" s="27"/>
      <c r="U99" s="28"/>
      <c r="V99" s="27"/>
      <c r="W99" s="7"/>
      <c r="X99" s="26"/>
      <c r="Y99" s="8">
        <f>IF(A99="","",IF(K99="Expired","Bin it",IF(K99="Use soon","Cook it",IF(O99="Low","Running low","Keep"))))</f>
        <v>0</v>
      </c>
      <c r="Z99" s="25"/>
    </row>
    <row r="100" spans="1:26">
      <c r="A100" s="7"/>
      <c r="B100" s="8">
        <f>IF(A100="","",IFERROR(INDEX(Ingredients!$B$5:$B$304,MATCH(A100,Ingredients!$A$5:$A$304,0)),""))</f>
        <v>0</v>
      </c>
      <c r="C100" s="26"/>
      <c r="D100" s="27"/>
      <c r="E100" s="27"/>
      <c r="F100" s="30"/>
      <c r="G100" s="30"/>
      <c r="H100" s="8">
        <f>IF(A100="","",IFERROR(INDEX(Ingredients!$M$5:$M$304,MATCH(A100,Ingredients!$A$5:$A$304,0)),""))</f>
        <v>0</v>
      </c>
      <c r="I100" s="8">
        <f>IF(OR(A100="",H100=""),"",IF(G100&lt;&gt;"",G100+H100,IF(F100&lt;&gt;"",F100+H100,"")))</f>
        <v>0</v>
      </c>
      <c r="J100" s="8">
        <f>IF(OR(A100="",I100=""),"",I100-TODAY())</f>
        <v>0</v>
      </c>
      <c r="K100" s="8">
        <f>IF(A100="","",IF(J100="","No date",IF(J100&lt;0,"Expired",IF(J100&lt;=Expiry_Warning_Days,"Use soon","Fresh"))))</f>
        <v>0</v>
      </c>
      <c r="L100" s="8">
        <f>IF(A100="","",COUNTIFS('Recipe Ingredients'!$B$5:$B$1204,A100))</f>
        <v>0</v>
      </c>
      <c r="M100" s="8">
        <f>IF(A100="","",IFERROR(INDEX(Ingredients!$X$5:$X$304,MATCH(A100,Ingredients!$A$5:$A$304,0)),""))</f>
        <v>0</v>
      </c>
      <c r="N100" s="8">
        <f>IF(OR(A100="",M100=""),"",IF(M100&lt;1,MAX(0,1*IFERROR(IFERROR(INDEX(Ingredients!$U$5:$U$304,MATCH(A100,Ingredients!$A$5:$A$304,0)),""),0)-C100),0))</f>
        <v>0</v>
      </c>
      <c r="O100" s="8">
        <f>IF(A100="","",IF(M100="","",IF(M100&lt;1,"Low","OK")))</f>
        <v>0</v>
      </c>
      <c r="P100" s="8">
        <f>IF(OR(A100="",C100=""),"",IFERROR(C100*IFERROR(INDEX(Ingredients!$D$5:$D$304,MATCH(A100,Ingredients!$A$5:$A$304,0)),""),""))</f>
        <v>0</v>
      </c>
      <c r="Q100" s="8">
        <f>IF(OR(E100&lt;&gt;"Fridge",J100=""),"",SUMPRODUCT(($E$5:$E$304="Fridge")*($J$5:$J$304&lt;J100))+SUMPRODUCT(($E$5:$E$304="Fridge")*($J$5:$J$304=J100)*(ROW($J$5:$J$304)&lt;ROW()))+1)</f>
        <v>0</v>
      </c>
      <c r="R100" s="8">
        <f>IF(OR(E100&lt;&gt;"Freezer",J100=""),"",SUMPRODUCT(($E$5:$E$304="Freezer")*($J$5:$J$304&lt;J100))+SUMPRODUCT(($E$5:$E$304="Freezer")*($J$5:$J$304=J100)*(ROW($J$5:$J$304)&lt;ROW()))+1)</f>
        <v>0</v>
      </c>
      <c r="S100" s="7"/>
      <c r="T100" s="27"/>
      <c r="U100" s="28"/>
      <c r="V100" s="27"/>
      <c r="W100" s="7"/>
      <c r="X100" s="26"/>
      <c r="Y100" s="8">
        <f>IF(A100="","",IF(K100="Expired","Bin it",IF(K100="Use soon","Cook it",IF(O100="Low","Running low","Keep"))))</f>
        <v>0</v>
      </c>
      <c r="Z100" s="25"/>
    </row>
    <row r="101" spans="1:26">
      <c r="A101" s="7"/>
      <c r="B101" s="8">
        <f>IF(A101="","",IFERROR(INDEX(Ingredients!$B$5:$B$304,MATCH(A101,Ingredients!$A$5:$A$304,0)),""))</f>
        <v>0</v>
      </c>
      <c r="C101" s="26"/>
      <c r="D101" s="27"/>
      <c r="E101" s="27"/>
      <c r="F101" s="30"/>
      <c r="G101" s="30"/>
      <c r="H101" s="8">
        <f>IF(A101="","",IFERROR(INDEX(Ingredients!$M$5:$M$304,MATCH(A101,Ingredients!$A$5:$A$304,0)),""))</f>
        <v>0</v>
      </c>
      <c r="I101" s="8">
        <f>IF(OR(A101="",H101=""),"",IF(G101&lt;&gt;"",G101+H101,IF(F101&lt;&gt;"",F101+H101,"")))</f>
        <v>0</v>
      </c>
      <c r="J101" s="8">
        <f>IF(OR(A101="",I101=""),"",I101-TODAY())</f>
        <v>0</v>
      </c>
      <c r="K101" s="8">
        <f>IF(A101="","",IF(J101="","No date",IF(J101&lt;0,"Expired",IF(J101&lt;=Expiry_Warning_Days,"Use soon","Fresh"))))</f>
        <v>0</v>
      </c>
      <c r="L101" s="8">
        <f>IF(A101="","",COUNTIFS('Recipe Ingredients'!$B$5:$B$1204,A101))</f>
        <v>0</v>
      </c>
      <c r="M101" s="8">
        <f>IF(A101="","",IFERROR(INDEX(Ingredients!$X$5:$X$304,MATCH(A101,Ingredients!$A$5:$A$304,0)),""))</f>
        <v>0</v>
      </c>
      <c r="N101" s="8">
        <f>IF(OR(A101="",M101=""),"",IF(M101&lt;1,MAX(0,1*IFERROR(IFERROR(INDEX(Ingredients!$U$5:$U$304,MATCH(A101,Ingredients!$A$5:$A$304,0)),""),0)-C101),0))</f>
        <v>0</v>
      </c>
      <c r="O101" s="8">
        <f>IF(A101="","",IF(M101="","",IF(M101&lt;1,"Low","OK")))</f>
        <v>0</v>
      </c>
      <c r="P101" s="8">
        <f>IF(OR(A101="",C101=""),"",IFERROR(C101*IFERROR(INDEX(Ingredients!$D$5:$D$304,MATCH(A101,Ingredients!$A$5:$A$304,0)),""),""))</f>
        <v>0</v>
      </c>
      <c r="Q101" s="8">
        <f>IF(OR(E101&lt;&gt;"Fridge",J101=""),"",SUMPRODUCT(($E$5:$E$304="Fridge")*($J$5:$J$304&lt;J101))+SUMPRODUCT(($E$5:$E$304="Fridge")*($J$5:$J$304=J101)*(ROW($J$5:$J$304)&lt;ROW()))+1)</f>
        <v>0</v>
      </c>
      <c r="R101" s="8">
        <f>IF(OR(E101&lt;&gt;"Freezer",J101=""),"",SUMPRODUCT(($E$5:$E$304="Freezer")*($J$5:$J$304&lt;J101))+SUMPRODUCT(($E$5:$E$304="Freezer")*($J$5:$J$304=J101)*(ROW($J$5:$J$304)&lt;ROW()))+1)</f>
        <v>0</v>
      </c>
      <c r="S101" s="7"/>
      <c r="T101" s="27"/>
      <c r="U101" s="28"/>
      <c r="V101" s="27"/>
      <c r="W101" s="7"/>
      <c r="X101" s="26"/>
      <c r="Y101" s="8">
        <f>IF(A101="","",IF(K101="Expired","Bin it",IF(K101="Use soon","Cook it",IF(O101="Low","Running low","Keep"))))</f>
        <v>0</v>
      </c>
      <c r="Z101" s="25"/>
    </row>
    <row r="102" spans="1:26">
      <c r="A102" s="7"/>
      <c r="B102" s="8">
        <f>IF(A102="","",IFERROR(INDEX(Ingredients!$B$5:$B$304,MATCH(A102,Ingredients!$A$5:$A$304,0)),""))</f>
        <v>0</v>
      </c>
      <c r="C102" s="26"/>
      <c r="D102" s="27"/>
      <c r="E102" s="27"/>
      <c r="F102" s="30"/>
      <c r="G102" s="30"/>
      <c r="H102" s="8">
        <f>IF(A102="","",IFERROR(INDEX(Ingredients!$M$5:$M$304,MATCH(A102,Ingredients!$A$5:$A$304,0)),""))</f>
        <v>0</v>
      </c>
      <c r="I102" s="8">
        <f>IF(OR(A102="",H102=""),"",IF(G102&lt;&gt;"",G102+H102,IF(F102&lt;&gt;"",F102+H102,"")))</f>
        <v>0</v>
      </c>
      <c r="J102" s="8">
        <f>IF(OR(A102="",I102=""),"",I102-TODAY())</f>
        <v>0</v>
      </c>
      <c r="K102" s="8">
        <f>IF(A102="","",IF(J102="","No date",IF(J102&lt;0,"Expired",IF(J102&lt;=Expiry_Warning_Days,"Use soon","Fresh"))))</f>
        <v>0</v>
      </c>
      <c r="L102" s="8">
        <f>IF(A102="","",COUNTIFS('Recipe Ingredients'!$B$5:$B$1204,A102))</f>
        <v>0</v>
      </c>
      <c r="M102" s="8">
        <f>IF(A102="","",IFERROR(INDEX(Ingredients!$X$5:$X$304,MATCH(A102,Ingredients!$A$5:$A$304,0)),""))</f>
        <v>0</v>
      </c>
      <c r="N102" s="8">
        <f>IF(OR(A102="",M102=""),"",IF(M102&lt;1,MAX(0,1*IFERROR(IFERROR(INDEX(Ingredients!$U$5:$U$304,MATCH(A102,Ingredients!$A$5:$A$304,0)),""),0)-C102),0))</f>
        <v>0</v>
      </c>
      <c r="O102" s="8">
        <f>IF(A102="","",IF(M102="","",IF(M102&lt;1,"Low","OK")))</f>
        <v>0</v>
      </c>
      <c r="P102" s="8">
        <f>IF(OR(A102="",C102=""),"",IFERROR(C102*IFERROR(INDEX(Ingredients!$D$5:$D$304,MATCH(A102,Ingredients!$A$5:$A$304,0)),""),""))</f>
        <v>0</v>
      </c>
      <c r="Q102" s="8">
        <f>IF(OR(E102&lt;&gt;"Fridge",J102=""),"",SUMPRODUCT(($E$5:$E$304="Fridge")*($J$5:$J$304&lt;J102))+SUMPRODUCT(($E$5:$E$304="Fridge")*($J$5:$J$304=J102)*(ROW($J$5:$J$304)&lt;ROW()))+1)</f>
        <v>0</v>
      </c>
      <c r="R102" s="8">
        <f>IF(OR(E102&lt;&gt;"Freezer",J102=""),"",SUMPRODUCT(($E$5:$E$304="Freezer")*($J$5:$J$304&lt;J102))+SUMPRODUCT(($E$5:$E$304="Freezer")*($J$5:$J$304=J102)*(ROW($J$5:$J$304)&lt;ROW()))+1)</f>
        <v>0</v>
      </c>
      <c r="S102" s="7"/>
      <c r="T102" s="27"/>
      <c r="U102" s="28"/>
      <c r="V102" s="27"/>
      <c r="W102" s="7"/>
      <c r="X102" s="26"/>
      <c r="Y102" s="8">
        <f>IF(A102="","",IF(K102="Expired","Bin it",IF(K102="Use soon","Cook it",IF(O102="Low","Running low","Keep"))))</f>
        <v>0</v>
      </c>
      <c r="Z102" s="25"/>
    </row>
    <row r="103" spans="1:26">
      <c r="A103" s="7"/>
      <c r="B103" s="8">
        <f>IF(A103="","",IFERROR(INDEX(Ingredients!$B$5:$B$304,MATCH(A103,Ingredients!$A$5:$A$304,0)),""))</f>
        <v>0</v>
      </c>
      <c r="C103" s="26"/>
      <c r="D103" s="27"/>
      <c r="E103" s="27"/>
      <c r="F103" s="30"/>
      <c r="G103" s="30"/>
      <c r="H103" s="8">
        <f>IF(A103="","",IFERROR(INDEX(Ingredients!$M$5:$M$304,MATCH(A103,Ingredients!$A$5:$A$304,0)),""))</f>
        <v>0</v>
      </c>
      <c r="I103" s="8">
        <f>IF(OR(A103="",H103=""),"",IF(G103&lt;&gt;"",G103+H103,IF(F103&lt;&gt;"",F103+H103,"")))</f>
        <v>0</v>
      </c>
      <c r="J103" s="8">
        <f>IF(OR(A103="",I103=""),"",I103-TODAY())</f>
        <v>0</v>
      </c>
      <c r="K103" s="8">
        <f>IF(A103="","",IF(J103="","No date",IF(J103&lt;0,"Expired",IF(J103&lt;=Expiry_Warning_Days,"Use soon","Fresh"))))</f>
        <v>0</v>
      </c>
      <c r="L103" s="8">
        <f>IF(A103="","",COUNTIFS('Recipe Ingredients'!$B$5:$B$1204,A103))</f>
        <v>0</v>
      </c>
      <c r="M103" s="8">
        <f>IF(A103="","",IFERROR(INDEX(Ingredients!$X$5:$X$304,MATCH(A103,Ingredients!$A$5:$A$304,0)),""))</f>
        <v>0</v>
      </c>
      <c r="N103" s="8">
        <f>IF(OR(A103="",M103=""),"",IF(M103&lt;1,MAX(0,1*IFERROR(IFERROR(INDEX(Ingredients!$U$5:$U$304,MATCH(A103,Ingredients!$A$5:$A$304,0)),""),0)-C103),0))</f>
        <v>0</v>
      </c>
      <c r="O103" s="8">
        <f>IF(A103="","",IF(M103="","",IF(M103&lt;1,"Low","OK")))</f>
        <v>0</v>
      </c>
      <c r="P103" s="8">
        <f>IF(OR(A103="",C103=""),"",IFERROR(C103*IFERROR(INDEX(Ingredients!$D$5:$D$304,MATCH(A103,Ingredients!$A$5:$A$304,0)),""),""))</f>
        <v>0</v>
      </c>
      <c r="Q103" s="8">
        <f>IF(OR(E103&lt;&gt;"Fridge",J103=""),"",SUMPRODUCT(($E$5:$E$304="Fridge")*($J$5:$J$304&lt;J103))+SUMPRODUCT(($E$5:$E$304="Fridge")*($J$5:$J$304=J103)*(ROW($J$5:$J$304)&lt;ROW()))+1)</f>
        <v>0</v>
      </c>
      <c r="R103" s="8">
        <f>IF(OR(E103&lt;&gt;"Freezer",J103=""),"",SUMPRODUCT(($E$5:$E$304="Freezer")*($J$5:$J$304&lt;J103))+SUMPRODUCT(($E$5:$E$304="Freezer")*($J$5:$J$304=J103)*(ROW($J$5:$J$304)&lt;ROW()))+1)</f>
        <v>0</v>
      </c>
      <c r="S103" s="7"/>
      <c r="T103" s="27"/>
      <c r="U103" s="28"/>
      <c r="V103" s="27"/>
      <c r="W103" s="7"/>
      <c r="X103" s="26"/>
      <c r="Y103" s="8">
        <f>IF(A103="","",IF(K103="Expired","Bin it",IF(K103="Use soon","Cook it",IF(O103="Low","Running low","Keep"))))</f>
        <v>0</v>
      </c>
      <c r="Z103" s="25"/>
    </row>
    <row r="104" spans="1:26">
      <c r="A104" s="7"/>
      <c r="B104" s="8">
        <f>IF(A104="","",IFERROR(INDEX(Ingredients!$B$5:$B$304,MATCH(A104,Ingredients!$A$5:$A$304,0)),""))</f>
        <v>0</v>
      </c>
      <c r="C104" s="26"/>
      <c r="D104" s="27"/>
      <c r="E104" s="27"/>
      <c r="F104" s="30"/>
      <c r="G104" s="30"/>
      <c r="H104" s="8">
        <f>IF(A104="","",IFERROR(INDEX(Ingredients!$M$5:$M$304,MATCH(A104,Ingredients!$A$5:$A$304,0)),""))</f>
        <v>0</v>
      </c>
      <c r="I104" s="8">
        <f>IF(OR(A104="",H104=""),"",IF(G104&lt;&gt;"",G104+H104,IF(F104&lt;&gt;"",F104+H104,"")))</f>
        <v>0</v>
      </c>
      <c r="J104" s="8">
        <f>IF(OR(A104="",I104=""),"",I104-TODAY())</f>
        <v>0</v>
      </c>
      <c r="K104" s="8">
        <f>IF(A104="","",IF(J104="","No date",IF(J104&lt;0,"Expired",IF(J104&lt;=Expiry_Warning_Days,"Use soon","Fresh"))))</f>
        <v>0</v>
      </c>
      <c r="L104" s="8">
        <f>IF(A104="","",COUNTIFS('Recipe Ingredients'!$B$5:$B$1204,A104))</f>
        <v>0</v>
      </c>
      <c r="M104" s="8">
        <f>IF(A104="","",IFERROR(INDEX(Ingredients!$X$5:$X$304,MATCH(A104,Ingredients!$A$5:$A$304,0)),""))</f>
        <v>0</v>
      </c>
      <c r="N104" s="8">
        <f>IF(OR(A104="",M104=""),"",IF(M104&lt;1,MAX(0,1*IFERROR(IFERROR(INDEX(Ingredients!$U$5:$U$304,MATCH(A104,Ingredients!$A$5:$A$304,0)),""),0)-C104),0))</f>
        <v>0</v>
      </c>
      <c r="O104" s="8">
        <f>IF(A104="","",IF(M104="","",IF(M104&lt;1,"Low","OK")))</f>
        <v>0</v>
      </c>
      <c r="P104" s="8">
        <f>IF(OR(A104="",C104=""),"",IFERROR(C104*IFERROR(INDEX(Ingredients!$D$5:$D$304,MATCH(A104,Ingredients!$A$5:$A$304,0)),""),""))</f>
        <v>0</v>
      </c>
      <c r="Q104" s="8">
        <f>IF(OR(E104&lt;&gt;"Fridge",J104=""),"",SUMPRODUCT(($E$5:$E$304="Fridge")*($J$5:$J$304&lt;J104))+SUMPRODUCT(($E$5:$E$304="Fridge")*($J$5:$J$304=J104)*(ROW($J$5:$J$304)&lt;ROW()))+1)</f>
        <v>0</v>
      </c>
      <c r="R104" s="8">
        <f>IF(OR(E104&lt;&gt;"Freezer",J104=""),"",SUMPRODUCT(($E$5:$E$304="Freezer")*($J$5:$J$304&lt;J104))+SUMPRODUCT(($E$5:$E$304="Freezer")*($J$5:$J$304=J104)*(ROW($J$5:$J$304)&lt;ROW()))+1)</f>
        <v>0</v>
      </c>
      <c r="S104" s="7"/>
      <c r="T104" s="27"/>
      <c r="U104" s="28"/>
      <c r="V104" s="27"/>
      <c r="W104" s="7"/>
      <c r="X104" s="26"/>
      <c r="Y104" s="8">
        <f>IF(A104="","",IF(K104="Expired","Bin it",IF(K104="Use soon","Cook it",IF(O104="Low","Running low","Keep"))))</f>
        <v>0</v>
      </c>
      <c r="Z104" s="25"/>
    </row>
    <row r="105" spans="1:26">
      <c r="A105" s="7"/>
      <c r="B105" s="8">
        <f>IF(A105="","",IFERROR(INDEX(Ingredients!$B$5:$B$304,MATCH(A105,Ingredients!$A$5:$A$304,0)),""))</f>
        <v>0</v>
      </c>
      <c r="C105" s="26"/>
      <c r="D105" s="27"/>
      <c r="E105" s="27"/>
      <c r="F105" s="30"/>
      <c r="G105" s="30"/>
      <c r="H105" s="8">
        <f>IF(A105="","",IFERROR(INDEX(Ingredients!$M$5:$M$304,MATCH(A105,Ingredients!$A$5:$A$304,0)),""))</f>
        <v>0</v>
      </c>
      <c r="I105" s="8">
        <f>IF(OR(A105="",H105=""),"",IF(G105&lt;&gt;"",G105+H105,IF(F105&lt;&gt;"",F105+H105,"")))</f>
        <v>0</v>
      </c>
      <c r="J105" s="8">
        <f>IF(OR(A105="",I105=""),"",I105-TODAY())</f>
        <v>0</v>
      </c>
      <c r="K105" s="8">
        <f>IF(A105="","",IF(J105="","No date",IF(J105&lt;0,"Expired",IF(J105&lt;=Expiry_Warning_Days,"Use soon","Fresh"))))</f>
        <v>0</v>
      </c>
      <c r="L105" s="8">
        <f>IF(A105="","",COUNTIFS('Recipe Ingredients'!$B$5:$B$1204,A105))</f>
        <v>0</v>
      </c>
      <c r="M105" s="8">
        <f>IF(A105="","",IFERROR(INDEX(Ingredients!$X$5:$X$304,MATCH(A105,Ingredients!$A$5:$A$304,0)),""))</f>
        <v>0</v>
      </c>
      <c r="N105" s="8">
        <f>IF(OR(A105="",M105=""),"",IF(M105&lt;1,MAX(0,1*IFERROR(IFERROR(INDEX(Ingredients!$U$5:$U$304,MATCH(A105,Ingredients!$A$5:$A$304,0)),""),0)-C105),0))</f>
        <v>0</v>
      </c>
      <c r="O105" s="8">
        <f>IF(A105="","",IF(M105="","",IF(M105&lt;1,"Low","OK")))</f>
        <v>0</v>
      </c>
      <c r="P105" s="8">
        <f>IF(OR(A105="",C105=""),"",IFERROR(C105*IFERROR(INDEX(Ingredients!$D$5:$D$304,MATCH(A105,Ingredients!$A$5:$A$304,0)),""),""))</f>
        <v>0</v>
      </c>
      <c r="Q105" s="8">
        <f>IF(OR(E105&lt;&gt;"Fridge",J105=""),"",SUMPRODUCT(($E$5:$E$304="Fridge")*($J$5:$J$304&lt;J105))+SUMPRODUCT(($E$5:$E$304="Fridge")*($J$5:$J$304=J105)*(ROW($J$5:$J$304)&lt;ROW()))+1)</f>
        <v>0</v>
      </c>
      <c r="R105" s="8">
        <f>IF(OR(E105&lt;&gt;"Freezer",J105=""),"",SUMPRODUCT(($E$5:$E$304="Freezer")*($J$5:$J$304&lt;J105))+SUMPRODUCT(($E$5:$E$304="Freezer")*($J$5:$J$304=J105)*(ROW($J$5:$J$304)&lt;ROW()))+1)</f>
        <v>0</v>
      </c>
      <c r="S105" s="7"/>
      <c r="T105" s="27"/>
      <c r="U105" s="28"/>
      <c r="V105" s="27"/>
      <c r="W105" s="7"/>
      <c r="X105" s="26"/>
      <c r="Y105" s="8">
        <f>IF(A105="","",IF(K105="Expired","Bin it",IF(K105="Use soon","Cook it",IF(O105="Low","Running low","Keep"))))</f>
        <v>0</v>
      </c>
      <c r="Z105" s="25"/>
    </row>
    <row r="106" spans="1:26">
      <c r="A106" s="7"/>
      <c r="B106" s="8">
        <f>IF(A106="","",IFERROR(INDEX(Ingredients!$B$5:$B$304,MATCH(A106,Ingredients!$A$5:$A$304,0)),""))</f>
        <v>0</v>
      </c>
      <c r="C106" s="26"/>
      <c r="D106" s="27"/>
      <c r="E106" s="27"/>
      <c r="F106" s="30"/>
      <c r="G106" s="30"/>
      <c r="H106" s="8">
        <f>IF(A106="","",IFERROR(INDEX(Ingredients!$M$5:$M$304,MATCH(A106,Ingredients!$A$5:$A$304,0)),""))</f>
        <v>0</v>
      </c>
      <c r="I106" s="8">
        <f>IF(OR(A106="",H106=""),"",IF(G106&lt;&gt;"",G106+H106,IF(F106&lt;&gt;"",F106+H106,"")))</f>
        <v>0</v>
      </c>
      <c r="J106" s="8">
        <f>IF(OR(A106="",I106=""),"",I106-TODAY())</f>
        <v>0</v>
      </c>
      <c r="K106" s="8">
        <f>IF(A106="","",IF(J106="","No date",IF(J106&lt;0,"Expired",IF(J106&lt;=Expiry_Warning_Days,"Use soon","Fresh"))))</f>
        <v>0</v>
      </c>
      <c r="L106" s="8">
        <f>IF(A106="","",COUNTIFS('Recipe Ingredients'!$B$5:$B$1204,A106))</f>
        <v>0</v>
      </c>
      <c r="M106" s="8">
        <f>IF(A106="","",IFERROR(INDEX(Ingredients!$X$5:$X$304,MATCH(A106,Ingredients!$A$5:$A$304,0)),""))</f>
        <v>0</v>
      </c>
      <c r="N106" s="8">
        <f>IF(OR(A106="",M106=""),"",IF(M106&lt;1,MAX(0,1*IFERROR(IFERROR(INDEX(Ingredients!$U$5:$U$304,MATCH(A106,Ingredients!$A$5:$A$304,0)),""),0)-C106),0))</f>
        <v>0</v>
      </c>
      <c r="O106" s="8">
        <f>IF(A106="","",IF(M106="","",IF(M106&lt;1,"Low","OK")))</f>
        <v>0</v>
      </c>
      <c r="P106" s="8">
        <f>IF(OR(A106="",C106=""),"",IFERROR(C106*IFERROR(INDEX(Ingredients!$D$5:$D$304,MATCH(A106,Ingredients!$A$5:$A$304,0)),""),""))</f>
        <v>0</v>
      </c>
      <c r="Q106" s="8">
        <f>IF(OR(E106&lt;&gt;"Fridge",J106=""),"",SUMPRODUCT(($E$5:$E$304="Fridge")*($J$5:$J$304&lt;J106))+SUMPRODUCT(($E$5:$E$304="Fridge")*($J$5:$J$304=J106)*(ROW($J$5:$J$304)&lt;ROW()))+1)</f>
        <v>0</v>
      </c>
      <c r="R106" s="8">
        <f>IF(OR(E106&lt;&gt;"Freezer",J106=""),"",SUMPRODUCT(($E$5:$E$304="Freezer")*($J$5:$J$304&lt;J106))+SUMPRODUCT(($E$5:$E$304="Freezer")*($J$5:$J$304=J106)*(ROW($J$5:$J$304)&lt;ROW()))+1)</f>
        <v>0</v>
      </c>
      <c r="S106" s="7"/>
      <c r="T106" s="27"/>
      <c r="U106" s="28"/>
      <c r="V106" s="27"/>
      <c r="W106" s="7"/>
      <c r="X106" s="26"/>
      <c r="Y106" s="8">
        <f>IF(A106="","",IF(K106="Expired","Bin it",IF(K106="Use soon","Cook it",IF(O106="Low","Running low","Keep"))))</f>
        <v>0</v>
      </c>
      <c r="Z106" s="25"/>
    </row>
    <row r="107" spans="1:26">
      <c r="A107" s="7"/>
      <c r="B107" s="8">
        <f>IF(A107="","",IFERROR(INDEX(Ingredients!$B$5:$B$304,MATCH(A107,Ingredients!$A$5:$A$304,0)),""))</f>
        <v>0</v>
      </c>
      <c r="C107" s="26"/>
      <c r="D107" s="27"/>
      <c r="E107" s="27"/>
      <c r="F107" s="30"/>
      <c r="G107" s="30"/>
      <c r="H107" s="8">
        <f>IF(A107="","",IFERROR(INDEX(Ingredients!$M$5:$M$304,MATCH(A107,Ingredients!$A$5:$A$304,0)),""))</f>
        <v>0</v>
      </c>
      <c r="I107" s="8">
        <f>IF(OR(A107="",H107=""),"",IF(G107&lt;&gt;"",G107+H107,IF(F107&lt;&gt;"",F107+H107,"")))</f>
        <v>0</v>
      </c>
      <c r="J107" s="8">
        <f>IF(OR(A107="",I107=""),"",I107-TODAY())</f>
        <v>0</v>
      </c>
      <c r="K107" s="8">
        <f>IF(A107="","",IF(J107="","No date",IF(J107&lt;0,"Expired",IF(J107&lt;=Expiry_Warning_Days,"Use soon","Fresh"))))</f>
        <v>0</v>
      </c>
      <c r="L107" s="8">
        <f>IF(A107="","",COUNTIFS('Recipe Ingredients'!$B$5:$B$1204,A107))</f>
        <v>0</v>
      </c>
      <c r="M107" s="8">
        <f>IF(A107="","",IFERROR(INDEX(Ingredients!$X$5:$X$304,MATCH(A107,Ingredients!$A$5:$A$304,0)),""))</f>
        <v>0</v>
      </c>
      <c r="N107" s="8">
        <f>IF(OR(A107="",M107=""),"",IF(M107&lt;1,MAX(0,1*IFERROR(IFERROR(INDEX(Ingredients!$U$5:$U$304,MATCH(A107,Ingredients!$A$5:$A$304,0)),""),0)-C107),0))</f>
        <v>0</v>
      </c>
      <c r="O107" s="8">
        <f>IF(A107="","",IF(M107="","",IF(M107&lt;1,"Low","OK")))</f>
        <v>0</v>
      </c>
      <c r="P107" s="8">
        <f>IF(OR(A107="",C107=""),"",IFERROR(C107*IFERROR(INDEX(Ingredients!$D$5:$D$304,MATCH(A107,Ingredients!$A$5:$A$304,0)),""),""))</f>
        <v>0</v>
      </c>
      <c r="Q107" s="8">
        <f>IF(OR(E107&lt;&gt;"Fridge",J107=""),"",SUMPRODUCT(($E$5:$E$304="Fridge")*($J$5:$J$304&lt;J107))+SUMPRODUCT(($E$5:$E$304="Fridge")*($J$5:$J$304=J107)*(ROW($J$5:$J$304)&lt;ROW()))+1)</f>
        <v>0</v>
      </c>
      <c r="R107" s="8">
        <f>IF(OR(E107&lt;&gt;"Freezer",J107=""),"",SUMPRODUCT(($E$5:$E$304="Freezer")*($J$5:$J$304&lt;J107))+SUMPRODUCT(($E$5:$E$304="Freezer")*($J$5:$J$304=J107)*(ROW($J$5:$J$304)&lt;ROW()))+1)</f>
        <v>0</v>
      </c>
      <c r="S107" s="7"/>
      <c r="T107" s="27"/>
      <c r="U107" s="28"/>
      <c r="V107" s="27"/>
      <c r="W107" s="7"/>
      <c r="X107" s="26"/>
      <c r="Y107" s="8">
        <f>IF(A107="","",IF(K107="Expired","Bin it",IF(K107="Use soon","Cook it",IF(O107="Low","Running low","Keep"))))</f>
        <v>0</v>
      </c>
      <c r="Z107" s="25"/>
    </row>
    <row r="108" spans="1:26">
      <c r="A108" s="7"/>
      <c r="B108" s="8">
        <f>IF(A108="","",IFERROR(INDEX(Ingredients!$B$5:$B$304,MATCH(A108,Ingredients!$A$5:$A$304,0)),""))</f>
        <v>0</v>
      </c>
      <c r="C108" s="26"/>
      <c r="D108" s="27"/>
      <c r="E108" s="27"/>
      <c r="F108" s="30"/>
      <c r="G108" s="30"/>
      <c r="H108" s="8">
        <f>IF(A108="","",IFERROR(INDEX(Ingredients!$M$5:$M$304,MATCH(A108,Ingredients!$A$5:$A$304,0)),""))</f>
        <v>0</v>
      </c>
      <c r="I108" s="8">
        <f>IF(OR(A108="",H108=""),"",IF(G108&lt;&gt;"",G108+H108,IF(F108&lt;&gt;"",F108+H108,"")))</f>
        <v>0</v>
      </c>
      <c r="J108" s="8">
        <f>IF(OR(A108="",I108=""),"",I108-TODAY())</f>
        <v>0</v>
      </c>
      <c r="K108" s="8">
        <f>IF(A108="","",IF(J108="","No date",IF(J108&lt;0,"Expired",IF(J108&lt;=Expiry_Warning_Days,"Use soon","Fresh"))))</f>
        <v>0</v>
      </c>
      <c r="L108" s="8">
        <f>IF(A108="","",COUNTIFS('Recipe Ingredients'!$B$5:$B$1204,A108))</f>
        <v>0</v>
      </c>
      <c r="M108" s="8">
        <f>IF(A108="","",IFERROR(INDEX(Ingredients!$X$5:$X$304,MATCH(A108,Ingredients!$A$5:$A$304,0)),""))</f>
        <v>0</v>
      </c>
      <c r="N108" s="8">
        <f>IF(OR(A108="",M108=""),"",IF(M108&lt;1,MAX(0,1*IFERROR(IFERROR(INDEX(Ingredients!$U$5:$U$304,MATCH(A108,Ingredients!$A$5:$A$304,0)),""),0)-C108),0))</f>
        <v>0</v>
      </c>
      <c r="O108" s="8">
        <f>IF(A108="","",IF(M108="","",IF(M108&lt;1,"Low","OK")))</f>
        <v>0</v>
      </c>
      <c r="P108" s="8">
        <f>IF(OR(A108="",C108=""),"",IFERROR(C108*IFERROR(INDEX(Ingredients!$D$5:$D$304,MATCH(A108,Ingredients!$A$5:$A$304,0)),""),""))</f>
        <v>0</v>
      </c>
      <c r="Q108" s="8">
        <f>IF(OR(E108&lt;&gt;"Fridge",J108=""),"",SUMPRODUCT(($E$5:$E$304="Fridge")*($J$5:$J$304&lt;J108))+SUMPRODUCT(($E$5:$E$304="Fridge")*($J$5:$J$304=J108)*(ROW($J$5:$J$304)&lt;ROW()))+1)</f>
        <v>0</v>
      </c>
      <c r="R108" s="8">
        <f>IF(OR(E108&lt;&gt;"Freezer",J108=""),"",SUMPRODUCT(($E$5:$E$304="Freezer")*($J$5:$J$304&lt;J108))+SUMPRODUCT(($E$5:$E$304="Freezer")*($J$5:$J$304=J108)*(ROW($J$5:$J$304)&lt;ROW()))+1)</f>
        <v>0</v>
      </c>
      <c r="S108" s="7"/>
      <c r="T108" s="27"/>
      <c r="U108" s="28"/>
      <c r="V108" s="27"/>
      <c r="W108" s="7"/>
      <c r="X108" s="26"/>
      <c r="Y108" s="8">
        <f>IF(A108="","",IF(K108="Expired","Bin it",IF(K108="Use soon","Cook it",IF(O108="Low","Running low","Keep"))))</f>
        <v>0</v>
      </c>
      <c r="Z108" s="25"/>
    </row>
    <row r="109" spans="1:26">
      <c r="A109" s="7"/>
      <c r="B109" s="8">
        <f>IF(A109="","",IFERROR(INDEX(Ingredients!$B$5:$B$304,MATCH(A109,Ingredients!$A$5:$A$304,0)),""))</f>
        <v>0</v>
      </c>
      <c r="C109" s="26"/>
      <c r="D109" s="27"/>
      <c r="E109" s="27"/>
      <c r="F109" s="30"/>
      <c r="G109" s="30"/>
      <c r="H109" s="8">
        <f>IF(A109="","",IFERROR(INDEX(Ingredients!$M$5:$M$304,MATCH(A109,Ingredients!$A$5:$A$304,0)),""))</f>
        <v>0</v>
      </c>
      <c r="I109" s="8">
        <f>IF(OR(A109="",H109=""),"",IF(G109&lt;&gt;"",G109+H109,IF(F109&lt;&gt;"",F109+H109,"")))</f>
        <v>0</v>
      </c>
      <c r="J109" s="8">
        <f>IF(OR(A109="",I109=""),"",I109-TODAY())</f>
        <v>0</v>
      </c>
      <c r="K109" s="8">
        <f>IF(A109="","",IF(J109="","No date",IF(J109&lt;0,"Expired",IF(J109&lt;=Expiry_Warning_Days,"Use soon","Fresh"))))</f>
        <v>0</v>
      </c>
      <c r="L109" s="8">
        <f>IF(A109="","",COUNTIFS('Recipe Ingredients'!$B$5:$B$1204,A109))</f>
        <v>0</v>
      </c>
      <c r="M109" s="8">
        <f>IF(A109="","",IFERROR(INDEX(Ingredients!$X$5:$X$304,MATCH(A109,Ingredients!$A$5:$A$304,0)),""))</f>
        <v>0</v>
      </c>
      <c r="N109" s="8">
        <f>IF(OR(A109="",M109=""),"",IF(M109&lt;1,MAX(0,1*IFERROR(IFERROR(INDEX(Ingredients!$U$5:$U$304,MATCH(A109,Ingredients!$A$5:$A$304,0)),""),0)-C109),0))</f>
        <v>0</v>
      </c>
      <c r="O109" s="8">
        <f>IF(A109="","",IF(M109="","",IF(M109&lt;1,"Low","OK")))</f>
        <v>0</v>
      </c>
      <c r="P109" s="8">
        <f>IF(OR(A109="",C109=""),"",IFERROR(C109*IFERROR(INDEX(Ingredients!$D$5:$D$304,MATCH(A109,Ingredients!$A$5:$A$304,0)),""),""))</f>
        <v>0</v>
      </c>
      <c r="Q109" s="8">
        <f>IF(OR(E109&lt;&gt;"Fridge",J109=""),"",SUMPRODUCT(($E$5:$E$304="Fridge")*($J$5:$J$304&lt;J109))+SUMPRODUCT(($E$5:$E$304="Fridge")*($J$5:$J$304=J109)*(ROW($J$5:$J$304)&lt;ROW()))+1)</f>
        <v>0</v>
      </c>
      <c r="R109" s="8">
        <f>IF(OR(E109&lt;&gt;"Freezer",J109=""),"",SUMPRODUCT(($E$5:$E$304="Freezer")*($J$5:$J$304&lt;J109))+SUMPRODUCT(($E$5:$E$304="Freezer")*($J$5:$J$304=J109)*(ROW($J$5:$J$304)&lt;ROW()))+1)</f>
        <v>0</v>
      </c>
      <c r="S109" s="7"/>
      <c r="T109" s="27"/>
      <c r="U109" s="28"/>
      <c r="V109" s="27"/>
      <c r="W109" s="7"/>
      <c r="X109" s="26"/>
      <c r="Y109" s="8">
        <f>IF(A109="","",IF(K109="Expired","Bin it",IF(K109="Use soon","Cook it",IF(O109="Low","Running low","Keep"))))</f>
        <v>0</v>
      </c>
      <c r="Z109" s="25"/>
    </row>
    <row r="110" spans="1:26">
      <c r="A110" s="7"/>
      <c r="B110" s="8">
        <f>IF(A110="","",IFERROR(INDEX(Ingredients!$B$5:$B$304,MATCH(A110,Ingredients!$A$5:$A$304,0)),""))</f>
        <v>0</v>
      </c>
      <c r="C110" s="26"/>
      <c r="D110" s="27"/>
      <c r="E110" s="27"/>
      <c r="F110" s="30"/>
      <c r="G110" s="30"/>
      <c r="H110" s="8">
        <f>IF(A110="","",IFERROR(INDEX(Ingredients!$M$5:$M$304,MATCH(A110,Ingredients!$A$5:$A$304,0)),""))</f>
        <v>0</v>
      </c>
      <c r="I110" s="8">
        <f>IF(OR(A110="",H110=""),"",IF(G110&lt;&gt;"",G110+H110,IF(F110&lt;&gt;"",F110+H110,"")))</f>
        <v>0</v>
      </c>
      <c r="J110" s="8">
        <f>IF(OR(A110="",I110=""),"",I110-TODAY())</f>
        <v>0</v>
      </c>
      <c r="K110" s="8">
        <f>IF(A110="","",IF(J110="","No date",IF(J110&lt;0,"Expired",IF(J110&lt;=Expiry_Warning_Days,"Use soon","Fresh"))))</f>
        <v>0</v>
      </c>
      <c r="L110" s="8">
        <f>IF(A110="","",COUNTIFS('Recipe Ingredients'!$B$5:$B$1204,A110))</f>
        <v>0</v>
      </c>
      <c r="M110" s="8">
        <f>IF(A110="","",IFERROR(INDEX(Ingredients!$X$5:$X$304,MATCH(A110,Ingredients!$A$5:$A$304,0)),""))</f>
        <v>0</v>
      </c>
      <c r="N110" s="8">
        <f>IF(OR(A110="",M110=""),"",IF(M110&lt;1,MAX(0,1*IFERROR(IFERROR(INDEX(Ingredients!$U$5:$U$304,MATCH(A110,Ingredients!$A$5:$A$304,0)),""),0)-C110),0))</f>
        <v>0</v>
      </c>
      <c r="O110" s="8">
        <f>IF(A110="","",IF(M110="","",IF(M110&lt;1,"Low","OK")))</f>
        <v>0</v>
      </c>
      <c r="P110" s="8">
        <f>IF(OR(A110="",C110=""),"",IFERROR(C110*IFERROR(INDEX(Ingredients!$D$5:$D$304,MATCH(A110,Ingredients!$A$5:$A$304,0)),""),""))</f>
        <v>0</v>
      </c>
      <c r="Q110" s="8">
        <f>IF(OR(E110&lt;&gt;"Fridge",J110=""),"",SUMPRODUCT(($E$5:$E$304="Fridge")*($J$5:$J$304&lt;J110))+SUMPRODUCT(($E$5:$E$304="Fridge")*($J$5:$J$304=J110)*(ROW($J$5:$J$304)&lt;ROW()))+1)</f>
        <v>0</v>
      </c>
      <c r="R110" s="8">
        <f>IF(OR(E110&lt;&gt;"Freezer",J110=""),"",SUMPRODUCT(($E$5:$E$304="Freezer")*($J$5:$J$304&lt;J110))+SUMPRODUCT(($E$5:$E$304="Freezer")*($J$5:$J$304=J110)*(ROW($J$5:$J$304)&lt;ROW()))+1)</f>
        <v>0</v>
      </c>
      <c r="S110" s="7"/>
      <c r="T110" s="27"/>
      <c r="U110" s="28"/>
      <c r="V110" s="27"/>
      <c r="W110" s="7"/>
      <c r="X110" s="26"/>
      <c r="Y110" s="8">
        <f>IF(A110="","",IF(K110="Expired","Bin it",IF(K110="Use soon","Cook it",IF(O110="Low","Running low","Keep"))))</f>
        <v>0</v>
      </c>
      <c r="Z110" s="25"/>
    </row>
    <row r="111" spans="1:26">
      <c r="A111" s="7"/>
      <c r="B111" s="8">
        <f>IF(A111="","",IFERROR(INDEX(Ingredients!$B$5:$B$304,MATCH(A111,Ingredients!$A$5:$A$304,0)),""))</f>
        <v>0</v>
      </c>
      <c r="C111" s="26"/>
      <c r="D111" s="27"/>
      <c r="E111" s="27"/>
      <c r="F111" s="30"/>
      <c r="G111" s="30"/>
      <c r="H111" s="8">
        <f>IF(A111="","",IFERROR(INDEX(Ingredients!$M$5:$M$304,MATCH(A111,Ingredients!$A$5:$A$304,0)),""))</f>
        <v>0</v>
      </c>
      <c r="I111" s="8">
        <f>IF(OR(A111="",H111=""),"",IF(G111&lt;&gt;"",G111+H111,IF(F111&lt;&gt;"",F111+H111,"")))</f>
        <v>0</v>
      </c>
      <c r="J111" s="8">
        <f>IF(OR(A111="",I111=""),"",I111-TODAY())</f>
        <v>0</v>
      </c>
      <c r="K111" s="8">
        <f>IF(A111="","",IF(J111="","No date",IF(J111&lt;0,"Expired",IF(J111&lt;=Expiry_Warning_Days,"Use soon","Fresh"))))</f>
        <v>0</v>
      </c>
      <c r="L111" s="8">
        <f>IF(A111="","",COUNTIFS('Recipe Ingredients'!$B$5:$B$1204,A111))</f>
        <v>0</v>
      </c>
      <c r="M111" s="8">
        <f>IF(A111="","",IFERROR(INDEX(Ingredients!$X$5:$X$304,MATCH(A111,Ingredients!$A$5:$A$304,0)),""))</f>
        <v>0</v>
      </c>
      <c r="N111" s="8">
        <f>IF(OR(A111="",M111=""),"",IF(M111&lt;1,MAX(0,1*IFERROR(IFERROR(INDEX(Ingredients!$U$5:$U$304,MATCH(A111,Ingredients!$A$5:$A$304,0)),""),0)-C111),0))</f>
        <v>0</v>
      </c>
      <c r="O111" s="8">
        <f>IF(A111="","",IF(M111="","",IF(M111&lt;1,"Low","OK")))</f>
        <v>0</v>
      </c>
      <c r="P111" s="8">
        <f>IF(OR(A111="",C111=""),"",IFERROR(C111*IFERROR(INDEX(Ingredients!$D$5:$D$304,MATCH(A111,Ingredients!$A$5:$A$304,0)),""),""))</f>
        <v>0</v>
      </c>
      <c r="Q111" s="8">
        <f>IF(OR(E111&lt;&gt;"Fridge",J111=""),"",SUMPRODUCT(($E$5:$E$304="Fridge")*($J$5:$J$304&lt;J111))+SUMPRODUCT(($E$5:$E$304="Fridge")*($J$5:$J$304=J111)*(ROW($J$5:$J$304)&lt;ROW()))+1)</f>
        <v>0</v>
      </c>
      <c r="R111" s="8">
        <f>IF(OR(E111&lt;&gt;"Freezer",J111=""),"",SUMPRODUCT(($E$5:$E$304="Freezer")*($J$5:$J$304&lt;J111))+SUMPRODUCT(($E$5:$E$304="Freezer")*($J$5:$J$304=J111)*(ROW($J$5:$J$304)&lt;ROW()))+1)</f>
        <v>0</v>
      </c>
      <c r="S111" s="7"/>
      <c r="T111" s="27"/>
      <c r="U111" s="28"/>
      <c r="V111" s="27"/>
      <c r="W111" s="7"/>
      <c r="X111" s="26"/>
      <c r="Y111" s="8">
        <f>IF(A111="","",IF(K111="Expired","Bin it",IF(K111="Use soon","Cook it",IF(O111="Low","Running low","Keep"))))</f>
        <v>0</v>
      </c>
      <c r="Z111" s="25"/>
    </row>
    <row r="112" spans="1:26">
      <c r="A112" s="7"/>
      <c r="B112" s="8">
        <f>IF(A112="","",IFERROR(INDEX(Ingredients!$B$5:$B$304,MATCH(A112,Ingredients!$A$5:$A$304,0)),""))</f>
        <v>0</v>
      </c>
      <c r="C112" s="26"/>
      <c r="D112" s="27"/>
      <c r="E112" s="27"/>
      <c r="F112" s="30"/>
      <c r="G112" s="30"/>
      <c r="H112" s="8">
        <f>IF(A112="","",IFERROR(INDEX(Ingredients!$M$5:$M$304,MATCH(A112,Ingredients!$A$5:$A$304,0)),""))</f>
        <v>0</v>
      </c>
      <c r="I112" s="8">
        <f>IF(OR(A112="",H112=""),"",IF(G112&lt;&gt;"",G112+H112,IF(F112&lt;&gt;"",F112+H112,"")))</f>
        <v>0</v>
      </c>
      <c r="J112" s="8">
        <f>IF(OR(A112="",I112=""),"",I112-TODAY())</f>
        <v>0</v>
      </c>
      <c r="K112" s="8">
        <f>IF(A112="","",IF(J112="","No date",IF(J112&lt;0,"Expired",IF(J112&lt;=Expiry_Warning_Days,"Use soon","Fresh"))))</f>
        <v>0</v>
      </c>
      <c r="L112" s="8">
        <f>IF(A112="","",COUNTIFS('Recipe Ingredients'!$B$5:$B$1204,A112))</f>
        <v>0</v>
      </c>
      <c r="M112" s="8">
        <f>IF(A112="","",IFERROR(INDEX(Ingredients!$X$5:$X$304,MATCH(A112,Ingredients!$A$5:$A$304,0)),""))</f>
        <v>0</v>
      </c>
      <c r="N112" s="8">
        <f>IF(OR(A112="",M112=""),"",IF(M112&lt;1,MAX(0,1*IFERROR(IFERROR(INDEX(Ingredients!$U$5:$U$304,MATCH(A112,Ingredients!$A$5:$A$304,0)),""),0)-C112),0))</f>
        <v>0</v>
      </c>
      <c r="O112" s="8">
        <f>IF(A112="","",IF(M112="","",IF(M112&lt;1,"Low","OK")))</f>
        <v>0</v>
      </c>
      <c r="P112" s="8">
        <f>IF(OR(A112="",C112=""),"",IFERROR(C112*IFERROR(INDEX(Ingredients!$D$5:$D$304,MATCH(A112,Ingredients!$A$5:$A$304,0)),""),""))</f>
        <v>0</v>
      </c>
      <c r="Q112" s="8">
        <f>IF(OR(E112&lt;&gt;"Fridge",J112=""),"",SUMPRODUCT(($E$5:$E$304="Fridge")*($J$5:$J$304&lt;J112))+SUMPRODUCT(($E$5:$E$304="Fridge")*($J$5:$J$304=J112)*(ROW($J$5:$J$304)&lt;ROW()))+1)</f>
        <v>0</v>
      </c>
      <c r="R112" s="8">
        <f>IF(OR(E112&lt;&gt;"Freezer",J112=""),"",SUMPRODUCT(($E$5:$E$304="Freezer")*($J$5:$J$304&lt;J112))+SUMPRODUCT(($E$5:$E$304="Freezer")*($J$5:$J$304=J112)*(ROW($J$5:$J$304)&lt;ROW()))+1)</f>
        <v>0</v>
      </c>
      <c r="S112" s="7"/>
      <c r="T112" s="27"/>
      <c r="U112" s="28"/>
      <c r="V112" s="27"/>
      <c r="W112" s="7"/>
      <c r="X112" s="26"/>
      <c r="Y112" s="8">
        <f>IF(A112="","",IF(K112="Expired","Bin it",IF(K112="Use soon","Cook it",IF(O112="Low","Running low","Keep"))))</f>
        <v>0</v>
      </c>
      <c r="Z112" s="25"/>
    </row>
    <row r="113" spans="1:26">
      <c r="A113" s="7"/>
      <c r="B113" s="8">
        <f>IF(A113="","",IFERROR(INDEX(Ingredients!$B$5:$B$304,MATCH(A113,Ingredients!$A$5:$A$304,0)),""))</f>
        <v>0</v>
      </c>
      <c r="C113" s="26"/>
      <c r="D113" s="27"/>
      <c r="E113" s="27"/>
      <c r="F113" s="30"/>
      <c r="G113" s="30"/>
      <c r="H113" s="8">
        <f>IF(A113="","",IFERROR(INDEX(Ingredients!$M$5:$M$304,MATCH(A113,Ingredients!$A$5:$A$304,0)),""))</f>
        <v>0</v>
      </c>
      <c r="I113" s="8">
        <f>IF(OR(A113="",H113=""),"",IF(G113&lt;&gt;"",G113+H113,IF(F113&lt;&gt;"",F113+H113,"")))</f>
        <v>0</v>
      </c>
      <c r="J113" s="8">
        <f>IF(OR(A113="",I113=""),"",I113-TODAY())</f>
        <v>0</v>
      </c>
      <c r="K113" s="8">
        <f>IF(A113="","",IF(J113="","No date",IF(J113&lt;0,"Expired",IF(J113&lt;=Expiry_Warning_Days,"Use soon","Fresh"))))</f>
        <v>0</v>
      </c>
      <c r="L113" s="8">
        <f>IF(A113="","",COUNTIFS('Recipe Ingredients'!$B$5:$B$1204,A113))</f>
        <v>0</v>
      </c>
      <c r="M113" s="8">
        <f>IF(A113="","",IFERROR(INDEX(Ingredients!$X$5:$X$304,MATCH(A113,Ingredients!$A$5:$A$304,0)),""))</f>
        <v>0</v>
      </c>
      <c r="N113" s="8">
        <f>IF(OR(A113="",M113=""),"",IF(M113&lt;1,MAX(0,1*IFERROR(IFERROR(INDEX(Ingredients!$U$5:$U$304,MATCH(A113,Ingredients!$A$5:$A$304,0)),""),0)-C113),0))</f>
        <v>0</v>
      </c>
      <c r="O113" s="8">
        <f>IF(A113="","",IF(M113="","",IF(M113&lt;1,"Low","OK")))</f>
        <v>0</v>
      </c>
      <c r="P113" s="8">
        <f>IF(OR(A113="",C113=""),"",IFERROR(C113*IFERROR(INDEX(Ingredients!$D$5:$D$304,MATCH(A113,Ingredients!$A$5:$A$304,0)),""),""))</f>
        <v>0</v>
      </c>
      <c r="Q113" s="8">
        <f>IF(OR(E113&lt;&gt;"Fridge",J113=""),"",SUMPRODUCT(($E$5:$E$304="Fridge")*($J$5:$J$304&lt;J113))+SUMPRODUCT(($E$5:$E$304="Fridge")*($J$5:$J$304=J113)*(ROW($J$5:$J$304)&lt;ROW()))+1)</f>
        <v>0</v>
      </c>
      <c r="R113" s="8">
        <f>IF(OR(E113&lt;&gt;"Freezer",J113=""),"",SUMPRODUCT(($E$5:$E$304="Freezer")*($J$5:$J$304&lt;J113))+SUMPRODUCT(($E$5:$E$304="Freezer")*($J$5:$J$304=J113)*(ROW($J$5:$J$304)&lt;ROW()))+1)</f>
        <v>0</v>
      </c>
      <c r="S113" s="7"/>
      <c r="T113" s="27"/>
      <c r="U113" s="28"/>
      <c r="V113" s="27"/>
      <c r="W113" s="7"/>
      <c r="X113" s="26"/>
      <c r="Y113" s="8">
        <f>IF(A113="","",IF(K113="Expired","Bin it",IF(K113="Use soon","Cook it",IF(O113="Low","Running low","Keep"))))</f>
        <v>0</v>
      </c>
      <c r="Z113" s="25"/>
    </row>
    <row r="114" spans="1:26">
      <c r="A114" s="7"/>
      <c r="B114" s="8">
        <f>IF(A114="","",IFERROR(INDEX(Ingredients!$B$5:$B$304,MATCH(A114,Ingredients!$A$5:$A$304,0)),""))</f>
        <v>0</v>
      </c>
      <c r="C114" s="26"/>
      <c r="D114" s="27"/>
      <c r="E114" s="27"/>
      <c r="F114" s="30"/>
      <c r="G114" s="30"/>
      <c r="H114" s="8">
        <f>IF(A114="","",IFERROR(INDEX(Ingredients!$M$5:$M$304,MATCH(A114,Ingredients!$A$5:$A$304,0)),""))</f>
        <v>0</v>
      </c>
      <c r="I114" s="8">
        <f>IF(OR(A114="",H114=""),"",IF(G114&lt;&gt;"",G114+H114,IF(F114&lt;&gt;"",F114+H114,"")))</f>
        <v>0</v>
      </c>
      <c r="J114" s="8">
        <f>IF(OR(A114="",I114=""),"",I114-TODAY())</f>
        <v>0</v>
      </c>
      <c r="K114" s="8">
        <f>IF(A114="","",IF(J114="","No date",IF(J114&lt;0,"Expired",IF(J114&lt;=Expiry_Warning_Days,"Use soon","Fresh"))))</f>
        <v>0</v>
      </c>
      <c r="L114" s="8">
        <f>IF(A114="","",COUNTIFS('Recipe Ingredients'!$B$5:$B$1204,A114))</f>
        <v>0</v>
      </c>
      <c r="M114" s="8">
        <f>IF(A114="","",IFERROR(INDEX(Ingredients!$X$5:$X$304,MATCH(A114,Ingredients!$A$5:$A$304,0)),""))</f>
        <v>0</v>
      </c>
      <c r="N114" s="8">
        <f>IF(OR(A114="",M114=""),"",IF(M114&lt;1,MAX(0,1*IFERROR(IFERROR(INDEX(Ingredients!$U$5:$U$304,MATCH(A114,Ingredients!$A$5:$A$304,0)),""),0)-C114),0))</f>
        <v>0</v>
      </c>
      <c r="O114" s="8">
        <f>IF(A114="","",IF(M114="","",IF(M114&lt;1,"Low","OK")))</f>
        <v>0</v>
      </c>
      <c r="P114" s="8">
        <f>IF(OR(A114="",C114=""),"",IFERROR(C114*IFERROR(INDEX(Ingredients!$D$5:$D$304,MATCH(A114,Ingredients!$A$5:$A$304,0)),""),""))</f>
        <v>0</v>
      </c>
      <c r="Q114" s="8">
        <f>IF(OR(E114&lt;&gt;"Fridge",J114=""),"",SUMPRODUCT(($E$5:$E$304="Fridge")*($J$5:$J$304&lt;J114))+SUMPRODUCT(($E$5:$E$304="Fridge")*($J$5:$J$304=J114)*(ROW($J$5:$J$304)&lt;ROW()))+1)</f>
        <v>0</v>
      </c>
      <c r="R114" s="8">
        <f>IF(OR(E114&lt;&gt;"Freezer",J114=""),"",SUMPRODUCT(($E$5:$E$304="Freezer")*($J$5:$J$304&lt;J114))+SUMPRODUCT(($E$5:$E$304="Freezer")*($J$5:$J$304=J114)*(ROW($J$5:$J$304)&lt;ROW()))+1)</f>
        <v>0</v>
      </c>
      <c r="S114" s="7"/>
      <c r="T114" s="27"/>
      <c r="U114" s="28"/>
      <c r="V114" s="27"/>
      <c r="W114" s="7"/>
      <c r="X114" s="26"/>
      <c r="Y114" s="8">
        <f>IF(A114="","",IF(K114="Expired","Bin it",IF(K114="Use soon","Cook it",IF(O114="Low","Running low","Keep"))))</f>
        <v>0</v>
      </c>
      <c r="Z114" s="25"/>
    </row>
    <row r="115" spans="1:26">
      <c r="A115" s="7"/>
      <c r="B115" s="8">
        <f>IF(A115="","",IFERROR(INDEX(Ingredients!$B$5:$B$304,MATCH(A115,Ingredients!$A$5:$A$304,0)),""))</f>
        <v>0</v>
      </c>
      <c r="C115" s="26"/>
      <c r="D115" s="27"/>
      <c r="E115" s="27"/>
      <c r="F115" s="30"/>
      <c r="G115" s="30"/>
      <c r="H115" s="8">
        <f>IF(A115="","",IFERROR(INDEX(Ingredients!$M$5:$M$304,MATCH(A115,Ingredients!$A$5:$A$304,0)),""))</f>
        <v>0</v>
      </c>
      <c r="I115" s="8">
        <f>IF(OR(A115="",H115=""),"",IF(G115&lt;&gt;"",G115+H115,IF(F115&lt;&gt;"",F115+H115,"")))</f>
        <v>0</v>
      </c>
      <c r="J115" s="8">
        <f>IF(OR(A115="",I115=""),"",I115-TODAY())</f>
        <v>0</v>
      </c>
      <c r="K115" s="8">
        <f>IF(A115="","",IF(J115="","No date",IF(J115&lt;0,"Expired",IF(J115&lt;=Expiry_Warning_Days,"Use soon","Fresh"))))</f>
        <v>0</v>
      </c>
      <c r="L115" s="8">
        <f>IF(A115="","",COUNTIFS('Recipe Ingredients'!$B$5:$B$1204,A115))</f>
        <v>0</v>
      </c>
      <c r="M115" s="8">
        <f>IF(A115="","",IFERROR(INDEX(Ingredients!$X$5:$X$304,MATCH(A115,Ingredients!$A$5:$A$304,0)),""))</f>
        <v>0</v>
      </c>
      <c r="N115" s="8">
        <f>IF(OR(A115="",M115=""),"",IF(M115&lt;1,MAX(0,1*IFERROR(IFERROR(INDEX(Ingredients!$U$5:$U$304,MATCH(A115,Ingredients!$A$5:$A$304,0)),""),0)-C115),0))</f>
        <v>0</v>
      </c>
      <c r="O115" s="8">
        <f>IF(A115="","",IF(M115="","",IF(M115&lt;1,"Low","OK")))</f>
        <v>0</v>
      </c>
      <c r="P115" s="8">
        <f>IF(OR(A115="",C115=""),"",IFERROR(C115*IFERROR(INDEX(Ingredients!$D$5:$D$304,MATCH(A115,Ingredients!$A$5:$A$304,0)),""),""))</f>
        <v>0</v>
      </c>
      <c r="Q115" s="8">
        <f>IF(OR(E115&lt;&gt;"Fridge",J115=""),"",SUMPRODUCT(($E$5:$E$304="Fridge")*($J$5:$J$304&lt;J115))+SUMPRODUCT(($E$5:$E$304="Fridge")*($J$5:$J$304=J115)*(ROW($J$5:$J$304)&lt;ROW()))+1)</f>
        <v>0</v>
      </c>
      <c r="R115" s="8">
        <f>IF(OR(E115&lt;&gt;"Freezer",J115=""),"",SUMPRODUCT(($E$5:$E$304="Freezer")*($J$5:$J$304&lt;J115))+SUMPRODUCT(($E$5:$E$304="Freezer")*($J$5:$J$304=J115)*(ROW($J$5:$J$304)&lt;ROW()))+1)</f>
        <v>0</v>
      </c>
      <c r="S115" s="7"/>
      <c r="T115" s="27"/>
      <c r="U115" s="28"/>
      <c r="V115" s="27"/>
      <c r="W115" s="7"/>
      <c r="X115" s="26"/>
      <c r="Y115" s="8">
        <f>IF(A115="","",IF(K115="Expired","Bin it",IF(K115="Use soon","Cook it",IF(O115="Low","Running low","Keep"))))</f>
        <v>0</v>
      </c>
      <c r="Z115" s="25"/>
    </row>
    <row r="116" spans="1:26">
      <c r="A116" s="7"/>
      <c r="B116" s="8">
        <f>IF(A116="","",IFERROR(INDEX(Ingredients!$B$5:$B$304,MATCH(A116,Ingredients!$A$5:$A$304,0)),""))</f>
        <v>0</v>
      </c>
      <c r="C116" s="26"/>
      <c r="D116" s="27"/>
      <c r="E116" s="27"/>
      <c r="F116" s="30"/>
      <c r="G116" s="30"/>
      <c r="H116" s="8">
        <f>IF(A116="","",IFERROR(INDEX(Ingredients!$M$5:$M$304,MATCH(A116,Ingredients!$A$5:$A$304,0)),""))</f>
        <v>0</v>
      </c>
      <c r="I116" s="8">
        <f>IF(OR(A116="",H116=""),"",IF(G116&lt;&gt;"",G116+H116,IF(F116&lt;&gt;"",F116+H116,"")))</f>
        <v>0</v>
      </c>
      <c r="J116" s="8">
        <f>IF(OR(A116="",I116=""),"",I116-TODAY())</f>
        <v>0</v>
      </c>
      <c r="K116" s="8">
        <f>IF(A116="","",IF(J116="","No date",IF(J116&lt;0,"Expired",IF(J116&lt;=Expiry_Warning_Days,"Use soon","Fresh"))))</f>
        <v>0</v>
      </c>
      <c r="L116" s="8">
        <f>IF(A116="","",COUNTIFS('Recipe Ingredients'!$B$5:$B$1204,A116))</f>
        <v>0</v>
      </c>
      <c r="M116" s="8">
        <f>IF(A116="","",IFERROR(INDEX(Ingredients!$X$5:$X$304,MATCH(A116,Ingredients!$A$5:$A$304,0)),""))</f>
        <v>0</v>
      </c>
      <c r="N116" s="8">
        <f>IF(OR(A116="",M116=""),"",IF(M116&lt;1,MAX(0,1*IFERROR(IFERROR(INDEX(Ingredients!$U$5:$U$304,MATCH(A116,Ingredients!$A$5:$A$304,0)),""),0)-C116),0))</f>
        <v>0</v>
      </c>
      <c r="O116" s="8">
        <f>IF(A116="","",IF(M116="","",IF(M116&lt;1,"Low","OK")))</f>
        <v>0</v>
      </c>
      <c r="P116" s="8">
        <f>IF(OR(A116="",C116=""),"",IFERROR(C116*IFERROR(INDEX(Ingredients!$D$5:$D$304,MATCH(A116,Ingredients!$A$5:$A$304,0)),""),""))</f>
        <v>0</v>
      </c>
      <c r="Q116" s="8">
        <f>IF(OR(E116&lt;&gt;"Fridge",J116=""),"",SUMPRODUCT(($E$5:$E$304="Fridge")*($J$5:$J$304&lt;J116))+SUMPRODUCT(($E$5:$E$304="Fridge")*($J$5:$J$304=J116)*(ROW($J$5:$J$304)&lt;ROW()))+1)</f>
        <v>0</v>
      </c>
      <c r="R116" s="8">
        <f>IF(OR(E116&lt;&gt;"Freezer",J116=""),"",SUMPRODUCT(($E$5:$E$304="Freezer")*($J$5:$J$304&lt;J116))+SUMPRODUCT(($E$5:$E$304="Freezer")*($J$5:$J$304=J116)*(ROW($J$5:$J$304)&lt;ROW()))+1)</f>
        <v>0</v>
      </c>
      <c r="S116" s="7"/>
      <c r="T116" s="27"/>
      <c r="U116" s="28"/>
      <c r="V116" s="27"/>
      <c r="W116" s="7"/>
      <c r="X116" s="26"/>
      <c r="Y116" s="8">
        <f>IF(A116="","",IF(K116="Expired","Bin it",IF(K116="Use soon","Cook it",IF(O116="Low","Running low","Keep"))))</f>
        <v>0</v>
      </c>
      <c r="Z116" s="25"/>
    </row>
    <row r="117" spans="1:26">
      <c r="A117" s="7"/>
      <c r="B117" s="8">
        <f>IF(A117="","",IFERROR(INDEX(Ingredients!$B$5:$B$304,MATCH(A117,Ingredients!$A$5:$A$304,0)),""))</f>
        <v>0</v>
      </c>
      <c r="C117" s="26"/>
      <c r="D117" s="27"/>
      <c r="E117" s="27"/>
      <c r="F117" s="30"/>
      <c r="G117" s="30"/>
      <c r="H117" s="8">
        <f>IF(A117="","",IFERROR(INDEX(Ingredients!$M$5:$M$304,MATCH(A117,Ingredients!$A$5:$A$304,0)),""))</f>
        <v>0</v>
      </c>
      <c r="I117" s="8">
        <f>IF(OR(A117="",H117=""),"",IF(G117&lt;&gt;"",G117+H117,IF(F117&lt;&gt;"",F117+H117,"")))</f>
        <v>0</v>
      </c>
      <c r="J117" s="8">
        <f>IF(OR(A117="",I117=""),"",I117-TODAY())</f>
        <v>0</v>
      </c>
      <c r="K117" s="8">
        <f>IF(A117="","",IF(J117="","No date",IF(J117&lt;0,"Expired",IF(J117&lt;=Expiry_Warning_Days,"Use soon","Fresh"))))</f>
        <v>0</v>
      </c>
      <c r="L117" s="8">
        <f>IF(A117="","",COUNTIFS('Recipe Ingredients'!$B$5:$B$1204,A117))</f>
        <v>0</v>
      </c>
      <c r="M117" s="8">
        <f>IF(A117="","",IFERROR(INDEX(Ingredients!$X$5:$X$304,MATCH(A117,Ingredients!$A$5:$A$304,0)),""))</f>
        <v>0</v>
      </c>
      <c r="N117" s="8">
        <f>IF(OR(A117="",M117=""),"",IF(M117&lt;1,MAX(0,1*IFERROR(IFERROR(INDEX(Ingredients!$U$5:$U$304,MATCH(A117,Ingredients!$A$5:$A$304,0)),""),0)-C117),0))</f>
        <v>0</v>
      </c>
      <c r="O117" s="8">
        <f>IF(A117="","",IF(M117="","",IF(M117&lt;1,"Low","OK")))</f>
        <v>0</v>
      </c>
      <c r="P117" s="8">
        <f>IF(OR(A117="",C117=""),"",IFERROR(C117*IFERROR(INDEX(Ingredients!$D$5:$D$304,MATCH(A117,Ingredients!$A$5:$A$304,0)),""),""))</f>
        <v>0</v>
      </c>
      <c r="Q117" s="8">
        <f>IF(OR(E117&lt;&gt;"Fridge",J117=""),"",SUMPRODUCT(($E$5:$E$304="Fridge")*($J$5:$J$304&lt;J117))+SUMPRODUCT(($E$5:$E$304="Fridge")*($J$5:$J$304=J117)*(ROW($J$5:$J$304)&lt;ROW()))+1)</f>
        <v>0</v>
      </c>
      <c r="R117" s="8">
        <f>IF(OR(E117&lt;&gt;"Freezer",J117=""),"",SUMPRODUCT(($E$5:$E$304="Freezer")*($J$5:$J$304&lt;J117))+SUMPRODUCT(($E$5:$E$304="Freezer")*($J$5:$J$304=J117)*(ROW($J$5:$J$304)&lt;ROW()))+1)</f>
        <v>0</v>
      </c>
      <c r="S117" s="7"/>
      <c r="T117" s="27"/>
      <c r="U117" s="28"/>
      <c r="V117" s="27"/>
      <c r="W117" s="7"/>
      <c r="X117" s="26"/>
      <c r="Y117" s="8">
        <f>IF(A117="","",IF(K117="Expired","Bin it",IF(K117="Use soon","Cook it",IF(O117="Low","Running low","Keep"))))</f>
        <v>0</v>
      </c>
      <c r="Z117" s="25"/>
    </row>
    <row r="118" spans="1:26">
      <c r="A118" s="7"/>
      <c r="B118" s="8">
        <f>IF(A118="","",IFERROR(INDEX(Ingredients!$B$5:$B$304,MATCH(A118,Ingredients!$A$5:$A$304,0)),""))</f>
        <v>0</v>
      </c>
      <c r="C118" s="26"/>
      <c r="D118" s="27"/>
      <c r="E118" s="27"/>
      <c r="F118" s="30"/>
      <c r="G118" s="30"/>
      <c r="H118" s="8">
        <f>IF(A118="","",IFERROR(INDEX(Ingredients!$M$5:$M$304,MATCH(A118,Ingredients!$A$5:$A$304,0)),""))</f>
        <v>0</v>
      </c>
      <c r="I118" s="8">
        <f>IF(OR(A118="",H118=""),"",IF(G118&lt;&gt;"",G118+H118,IF(F118&lt;&gt;"",F118+H118,"")))</f>
        <v>0</v>
      </c>
      <c r="J118" s="8">
        <f>IF(OR(A118="",I118=""),"",I118-TODAY())</f>
        <v>0</v>
      </c>
      <c r="K118" s="8">
        <f>IF(A118="","",IF(J118="","No date",IF(J118&lt;0,"Expired",IF(J118&lt;=Expiry_Warning_Days,"Use soon","Fresh"))))</f>
        <v>0</v>
      </c>
      <c r="L118" s="8">
        <f>IF(A118="","",COUNTIFS('Recipe Ingredients'!$B$5:$B$1204,A118))</f>
        <v>0</v>
      </c>
      <c r="M118" s="8">
        <f>IF(A118="","",IFERROR(INDEX(Ingredients!$X$5:$X$304,MATCH(A118,Ingredients!$A$5:$A$304,0)),""))</f>
        <v>0</v>
      </c>
      <c r="N118" s="8">
        <f>IF(OR(A118="",M118=""),"",IF(M118&lt;1,MAX(0,1*IFERROR(IFERROR(INDEX(Ingredients!$U$5:$U$304,MATCH(A118,Ingredients!$A$5:$A$304,0)),""),0)-C118),0))</f>
        <v>0</v>
      </c>
      <c r="O118" s="8">
        <f>IF(A118="","",IF(M118="","",IF(M118&lt;1,"Low","OK")))</f>
        <v>0</v>
      </c>
      <c r="P118" s="8">
        <f>IF(OR(A118="",C118=""),"",IFERROR(C118*IFERROR(INDEX(Ingredients!$D$5:$D$304,MATCH(A118,Ingredients!$A$5:$A$304,0)),""),""))</f>
        <v>0</v>
      </c>
      <c r="Q118" s="8">
        <f>IF(OR(E118&lt;&gt;"Fridge",J118=""),"",SUMPRODUCT(($E$5:$E$304="Fridge")*($J$5:$J$304&lt;J118))+SUMPRODUCT(($E$5:$E$304="Fridge")*($J$5:$J$304=J118)*(ROW($J$5:$J$304)&lt;ROW()))+1)</f>
        <v>0</v>
      </c>
      <c r="R118" s="8">
        <f>IF(OR(E118&lt;&gt;"Freezer",J118=""),"",SUMPRODUCT(($E$5:$E$304="Freezer")*($J$5:$J$304&lt;J118))+SUMPRODUCT(($E$5:$E$304="Freezer")*($J$5:$J$304=J118)*(ROW($J$5:$J$304)&lt;ROW()))+1)</f>
        <v>0</v>
      </c>
      <c r="S118" s="7"/>
      <c r="T118" s="27"/>
      <c r="U118" s="28"/>
      <c r="V118" s="27"/>
      <c r="W118" s="7"/>
      <c r="X118" s="26"/>
      <c r="Y118" s="8">
        <f>IF(A118="","",IF(K118="Expired","Bin it",IF(K118="Use soon","Cook it",IF(O118="Low","Running low","Keep"))))</f>
        <v>0</v>
      </c>
      <c r="Z118" s="25"/>
    </row>
    <row r="119" spans="1:26">
      <c r="A119" s="7"/>
      <c r="B119" s="8">
        <f>IF(A119="","",IFERROR(INDEX(Ingredients!$B$5:$B$304,MATCH(A119,Ingredients!$A$5:$A$304,0)),""))</f>
        <v>0</v>
      </c>
      <c r="C119" s="26"/>
      <c r="D119" s="27"/>
      <c r="E119" s="27"/>
      <c r="F119" s="30"/>
      <c r="G119" s="30"/>
      <c r="H119" s="8">
        <f>IF(A119="","",IFERROR(INDEX(Ingredients!$M$5:$M$304,MATCH(A119,Ingredients!$A$5:$A$304,0)),""))</f>
        <v>0</v>
      </c>
      <c r="I119" s="8">
        <f>IF(OR(A119="",H119=""),"",IF(G119&lt;&gt;"",G119+H119,IF(F119&lt;&gt;"",F119+H119,"")))</f>
        <v>0</v>
      </c>
      <c r="J119" s="8">
        <f>IF(OR(A119="",I119=""),"",I119-TODAY())</f>
        <v>0</v>
      </c>
      <c r="K119" s="8">
        <f>IF(A119="","",IF(J119="","No date",IF(J119&lt;0,"Expired",IF(J119&lt;=Expiry_Warning_Days,"Use soon","Fresh"))))</f>
        <v>0</v>
      </c>
      <c r="L119" s="8">
        <f>IF(A119="","",COUNTIFS('Recipe Ingredients'!$B$5:$B$1204,A119))</f>
        <v>0</v>
      </c>
      <c r="M119" s="8">
        <f>IF(A119="","",IFERROR(INDEX(Ingredients!$X$5:$X$304,MATCH(A119,Ingredients!$A$5:$A$304,0)),""))</f>
        <v>0</v>
      </c>
      <c r="N119" s="8">
        <f>IF(OR(A119="",M119=""),"",IF(M119&lt;1,MAX(0,1*IFERROR(IFERROR(INDEX(Ingredients!$U$5:$U$304,MATCH(A119,Ingredients!$A$5:$A$304,0)),""),0)-C119),0))</f>
        <v>0</v>
      </c>
      <c r="O119" s="8">
        <f>IF(A119="","",IF(M119="","",IF(M119&lt;1,"Low","OK")))</f>
        <v>0</v>
      </c>
      <c r="P119" s="8">
        <f>IF(OR(A119="",C119=""),"",IFERROR(C119*IFERROR(INDEX(Ingredients!$D$5:$D$304,MATCH(A119,Ingredients!$A$5:$A$304,0)),""),""))</f>
        <v>0</v>
      </c>
      <c r="Q119" s="8">
        <f>IF(OR(E119&lt;&gt;"Fridge",J119=""),"",SUMPRODUCT(($E$5:$E$304="Fridge")*($J$5:$J$304&lt;J119))+SUMPRODUCT(($E$5:$E$304="Fridge")*($J$5:$J$304=J119)*(ROW($J$5:$J$304)&lt;ROW()))+1)</f>
        <v>0</v>
      </c>
      <c r="R119" s="8">
        <f>IF(OR(E119&lt;&gt;"Freezer",J119=""),"",SUMPRODUCT(($E$5:$E$304="Freezer")*($J$5:$J$304&lt;J119))+SUMPRODUCT(($E$5:$E$304="Freezer")*($J$5:$J$304=J119)*(ROW($J$5:$J$304)&lt;ROW()))+1)</f>
        <v>0</v>
      </c>
      <c r="S119" s="7"/>
      <c r="T119" s="27"/>
      <c r="U119" s="28"/>
      <c r="V119" s="27"/>
      <c r="W119" s="7"/>
      <c r="X119" s="26"/>
      <c r="Y119" s="8">
        <f>IF(A119="","",IF(K119="Expired","Bin it",IF(K119="Use soon","Cook it",IF(O119="Low","Running low","Keep"))))</f>
        <v>0</v>
      </c>
      <c r="Z119" s="25"/>
    </row>
    <row r="120" spans="1:26">
      <c r="A120" s="7"/>
      <c r="B120" s="8">
        <f>IF(A120="","",IFERROR(INDEX(Ingredients!$B$5:$B$304,MATCH(A120,Ingredients!$A$5:$A$304,0)),""))</f>
        <v>0</v>
      </c>
      <c r="C120" s="26"/>
      <c r="D120" s="27"/>
      <c r="E120" s="27"/>
      <c r="F120" s="30"/>
      <c r="G120" s="30"/>
      <c r="H120" s="8">
        <f>IF(A120="","",IFERROR(INDEX(Ingredients!$M$5:$M$304,MATCH(A120,Ingredients!$A$5:$A$304,0)),""))</f>
        <v>0</v>
      </c>
      <c r="I120" s="8">
        <f>IF(OR(A120="",H120=""),"",IF(G120&lt;&gt;"",G120+H120,IF(F120&lt;&gt;"",F120+H120,"")))</f>
        <v>0</v>
      </c>
      <c r="J120" s="8">
        <f>IF(OR(A120="",I120=""),"",I120-TODAY())</f>
        <v>0</v>
      </c>
      <c r="K120" s="8">
        <f>IF(A120="","",IF(J120="","No date",IF(J120&lt;0,"Expired",IF(J120&lt;=Expiry_Warning_Days,"Use soon","Fresh"))))</f>
        <v>0</v>
      </c>
      <c r="L120" s="8">
        <f>IF(A120="","",COUNTIFS('Recipe Ingredients'!$B$5:$B$1204,A120))</f>
        <v>0</v>
      </c>
      <c r="M120" s="8">
        <f>IF(A120="","",IFERROR(INDEX(Ingredients!$X$5:$X$304,MATCH(A120,Ingredients!$A$5:$A$304,0)),""))</f>
        <v>0</v>
      </c>
      <c r="N120" s="8">
        <f>IF(OR(A120="",M120=""),"",IF(M120&lt;1,MAX(0,1*IFERROR(IFERROR(INDEX(Ingredients!$U$5:$U$304,MATCH(A120,Ingredients!$A$5:$A$304,0)),""),0)-C120),0))</f>
        <v>0</v>
      </c>
      <c r="O120" s="8">
        <f>IF(A120="","",IF(M120="","",IF(M120&lt;1,"Low","OK")))</f>
        <v>0</v>
      </c>
      <c r="P120" s="8">
        <f>IF(OR(A120="",C120=""),"",IFERROR(C120*IFERROR(INDEX(Ingredients!$D$5:$D$304,MATCH(A120,Ingredients!$A$5:$A$304,0)),""),""))</f>
        <v>0</v>
      </c>
      <c r="Q120" s="8">
        <f>IF(OR(E120&lt;&gt;"Fridge",J120=""),"",SUMPRODUCT(($E$5:$E$304="Fridge")*($J$5:$J$304&lt;J120))+SUMPRODUCT(($E$5:$E$304="Fridge")*($J$5:$J$304=J120)*(ROW($J$5:$J$304)&lt;ROW()))+1)</f>
        <v>0</v>
      </c>
      <c r="R120" s="8">
        <f>IF(OR(E120&lt;&gt;"Freezer",J120=""),"",SUMPRODUCT(($E$5:$E$304="Freezer")*($J$5:$J$304&lt;J120))+SUMPRODUCT(($E$5:$E$304="Freezer")*($J$5:$J$304=J120)*(ROW($J$5:$J$304)&lt;ROW()))+1)</f>
        <v>0</v>
      </c>
      <c r="S120" s="7"/>
      <c r="T120" s="27"/>
      <c r="U120" s="28"/>
      <c r="V120" s="27"/>
      <c r="W120" s="7"/>
      <c r="X120" s="26"/>
      <c r="Y120" s="8">
        <f>IF(A120="","",IF(K120="Expired","Bin it",IF(K120="Use soon","Cook it",IF(O120="Low","Running low","Keep"))))</f>
        <v>0</v>
      </c>
      <c r="Z120" s="25"/>
    </row>
    <row r="121" spans="1:26">
      <c r="A121" s="7"/>
      <c r="B121" s="8">
        <f>IF(A121="","",IFERROR(INDEX(Ingredients!$B$5:$B$304,MATCH(A121,Ingredients!$A$5:$A$304,0)),""))</f>
        <v>0</v>
      </c>
      <c r="C121" s="26"/>
      <c r="D121" s="27"/>
      <c r="E121" s="27"/>
      <c r="F121" s="30"/>
      <c r="G121" s="30"/>
      <c r="H121" s="8">
        <f>IF(A121="","",IFERROR(INDEX(Ingredients!$M$5:$M$304,MATCH(A121,Ingredients!$A$5:$A$304,0)),""))</f>
        <v>0</v>
      </c>
      <c r="I121" s="8">
        <f>IF(OR(A121="",H121=""),"",IF(G121&lt;&gt;"",G121+H121,IF(F121&lt;&gt;"",F121+H121,"")))</f>
        <v>0</v>
      </c>
      <c r="J121" s="8">
        <f>IF(OR(A121="",I121=""),"",I121-TODAY())</f>
        <v>0</v>
      </c>
      <c r="K121" s="8">
        <f>IF(A121="","",IF(J121="","No date",IF(J121&lt;0,"Expired",IF(J121&lt;=Expiry_Warning_Days,"Use soon","Fresh"))))</f>
        <v>0</v>
      </c>
      <c r="L121" s="8">
        <f>IF(A121="","",COUNTIFS('Recipe Ingredients'!$B$5:$B$1204,A121))</f>
        <v>0</v>
      </c>
      <c r="M121" s="8">
        <f>IF(A121="","",IFERROR(INDEX(Ingredients!$X$5:$X$304,MATCH(A121,Ingredients!$A$5:$A$304,0)),""))</f>
        <v>0</v>
      </c>
      <c r="N121" s="8">
        <f>IF(OR(A121="",M121=""),"",IF(M121&lt;1,MAX(0,1*IFERROR(IFERROR(INDEX(Ingredients!$U$5:$U$304,MATCH(A121,Ingredients!$A$5:$A$304,0)),""),0)-C121),0))</f>
        <v>0</v>
      </c>
      <c r="O121" s="8">
        <f>IF(A121="","",IF(M121="","",IF(M121&lt;1,"Low","OK")))</f>
        <v>0</v>
      </c>
      <c r="P121" s="8">
        <f>IF(OR(A121="",C121=""),"",IFERROR(C121*IFERROR(INDEX(Ingredients!$D$5:$D$304,MATCH(A121,Ingredients!$A$5:$A$304,0)),""),""))</f>
        <v>0</v>
      </c>
      <c r="Q121" s="8">
        <f>IF(OR(E121&lt;&gt;"Fridge",J121=""),"",SUMPRODUCT(($E$5:$E$304="Fridge")*($J$5:$J$304&lt;J121))+SUMPRODUCT(($E$5:$E$304="Fridge")*($J$5:$J$304=J121)*(ROW($J$5:$J$304)&lt;ROW()))+1)</f>
        <v>0</v>
      </c>
      <c r="R121" s="8">
        <f>IF(OR(E121&lt;&gt;"Freezer",J121=""),"",SUMPRODUCT(($E$5:$E$304="Freezer")*($J$5:$J$304&lt;J121))+SUMPRODUCT(($E$5:$E$304="Freezer")*($J$5:$J$304=J121)*(ROW($J$5:$J$304)&lt;ROW()))+1)</f>
        <v>0</v>
      </c>
      <c r="S121" s="7"/>
      <c r="T121" s="27"/>
      <c r="U121" s="28"/>
      <c r="V121" s="27"/>
      <c r="W121" s="7"/>
      <c r="X121" s="26"/>
      <c r="Y121" s="8">
        <f>IF(A121="","",IF(K121="Expired","Bin it",IF(K121="Use soon","Cook it",IF(O121="Low","Running low","Keep"))))</f>
        <v>0</v>
      </c>
      <c r="Z121" s="25"/>
    </row>
    <row r="122" spans="1:26">
      <c r="A122" s="7"/>
      <c r="B122" s="8">
        <f>IF(A122="","",IFERROR(INDEX(Ingredients!$B$5:$B$304,MATCH(A122,Ingredients!$A$5:$A$304,0)),""))</f>
        <v>0</v>
      </c>
      <c r="C122" s="26"/>
      <c r="D122" s="27"/>
      <c r="E122" s="27"/>
      <c r="F122" s="30"/>
      <c r="G122" s="30"/>
      <c r="H122" s="8">
        <f>IF(A122="","",IFERROR(INDEX(Ingredients!$M$5:$M$304,MATCH(A122,Ingredients!$A$5:$A$304,0)),""))</f>
        <v>0</v>
      </c>
      <c r="I122" s="8">
        <f>IF(OR(A122="",H122=""),"",IF(G122&lt;&gt;"",G122+H122,IF(F122&lt;&gt;"",F122+H122,"")))</f>
        <v>0</v>
      </c>
      <c r="J122" s="8">
        <f>IF(OR(A122="",I122=""),"",I122-TODAY())</f>
        <v>0</v>
      </c>
      <c r="K122" s="8">
        <f>IF(A122="","",IF(J122="","No date",IF(J122&lt;0,"Expired",IF(J122&lt;=Expiry_Warning_Days,"Use soon","Fresh"))))</f>
        <v>0</v>
      </c>
      <c r="L122" s="8">
        <f>IF(A122="","",COUNTIFS('Recipe Ingredients'!$B$5:$B$1204,A122))</f>
        <v>0</v>
      </c>
      <c r="M122" s="8">
        <f>IF(A122="","",IFERROR(INDEX(Ingredients!$X$5:$X$304,MATCH(A122,Ingredients!$A$5:$A$304,0)),""))</f>
        <v>0</v>
      </c>
      <c r="N122" s="8">
        <f>IF(OR(A122="",M122=""),"",IF(M122&lt;1,MAX(0,1*IFERROR(IFERROR(INDEX(Ingredients!$U$5:$U$304,MATCH(A122,Ingredients!$A$5:$A$304,0)),""),0)-C122),0))</f>
        <v>0</v>
      </c>
      <c r="O122" s="8">
        <f>IF(A122="","",IF(M122="","",IF(M122&lt;1,"Low","OK")))</f>
        <v>0</v>
      </c>
      <c r="P122" s="8">
        <f>IF(OR(A122="",C122=""),"",IFERROR(C122*IFERROR(INDEX(Ingredients!$D$5:$D$304,MATCH(A122,Ingredients!$A$5:$A$304,0)),""),""))</f>
        <v>0</v>
      </c>
      <c r="Q122" s="8">
        <f>IF(OR(E122&lt;&gt;"Fridge",J122=""),"",SUMPRODUCT(($E$5:$E$304="Fridge")*($J$5:$J$304&lt;J122))+SUMPRODUCT(($E$5:$E$304="Fridge")*($J$5:$J$304=J122)*(ROW($J$5:$J$304)&lt;ROW()))+1)</f>
        <v>0</v>
      </c>
      <c r="R122" s="8">
        <f>IF(OR(E122&lt;&gt;"Freezer",J122=""),"",SUMPRODUCT(($E$5:$E$304="Freezer")*($J$5:$J$304&lt;J122))+SUMPRODUCT(($E$5:$E$304="Freezer")*($J$5:$J$304=J122)*(ROW($J$5:$J$304)&lt;ROW()))+1)</f>
        <v>0</v>
      </c>
      <c r="S122" s="7"/>
      <c r="T122" s="27"/>
      <c r="U122" s="28"/>
      <c r="V122" s="27"/>
      <c r="W122" s="7"/>
      <c r="X122" s="26"/>
      <c r="Y122" s="8">
        <f>IF(A122="","",IF(K122="Expired","Bin it",IF(K122="Use soon","Cook it",IF(O122="Low","Running low","Keep"))))</f>
        <v>0</v>
      </c>
      <c r="Z122" s="25"/>
    </row>
    <row r="123" spans="1:26">
      <c r="A123" s="7"/>
      <c r="B123" s="8">
        <f>IF(A123="","",IFERROR(INDEX(Ingredients!$B$5:$B$304,MATCH(A123,Ingredients!$A$5:$A$304,0)),""))</f>
        <v>0</v>
      </c>
      <c r="C123" s="26"/>
      <c r="D123" s="27"/>
      <c r="E123" s="27"/>
      <c r="F123" s="30"/>
      <c r="G123" s="30"/>
      <c r="H123" s="8">
        <f>IF(A123="","",IFERROR(INDEX(Ingredients!$M$5:$M$304,MATCH(A123,Ingredients!$A$5:$A$304,0)),""))</f>
        <v>0</v>
      </c>
      <c r="I123" s="8">
        <f>IF(OR(A123="",H123=""),"",IF(G123&lt;&gt;"",G123+H123,IF(F123&lt;&gt;"",F123+H123,"")))</f>
        <v>0</v>
      </c>
      <c r="J123" s="8">
        <f>IF(OR(A123="",I123=""),"",I123-TODAY())</f>
        <v>0</v>
      </c>
      <c r="K123" s="8">
        <f>IF(A123="","",IF(J123="","No date",IF(J123&lt;0,"Expired",IF(J123&lt;=Expiry_Warning_Days,"Use soon","Fresh"))))</f>
        <v>0</v>
      </c>
      <c r="L123" s="8">
        <f>IF(A123="","",COUNTIFS('Recipe Ingredients'!$B$5:$B$1204,A123))</f>
        <v>0</v>
      </c>
      <c r="M123" s="8">
        <f>IF(A123="","",IFERROR(INDEX(Ingredients!$X$5:$X$304,MATCH(A123,Ingredients!$A$5:$A$304,0)),""))</f>
        <v>0</v>
      </c>
      <c r="N123" s="8">
        <f>IF(OR(A123="",M123=""),"",IF(M123&lt;1,MAX(0,1*IFERROR(IFERROR(INDEX(Ingredients!$U$5:$U$304,MATCH(A123,Ingredients!$A$5:$A$304,0)),""),0)-C123),0))</f>
        <v>0</v>
      </c>
      <c r="O123" s="8">
        <f>IF(A123="","",IF(M123="","",IF(M123&lt;1,"Low","OK")))</f>
        <v>0</v>
      </c>
      <c r="P123" s="8">
        <f>IF(OR(A123="",C123=""),"",IFERROR(C123*IFERROR(INDEX(Ingredients!$D$5:$D$304,MATCH(A123,Ingredients!$A$5:$A$304,0)),""),""))</f>
        <v>0</v>
      </c>
      <c r="Q123" s="8">
        <f>IF(OR(E123&lt;&gt;"Fridge",J123=""),"",SUMPRODUCT(($E$5:$E$304="Fridge")*($J$5:$J$304&lt;J123))+SUMPRODUCT(($E$5:$E$304="Fridge")*($J$5:$J$304=J123)*(ROW($J$5:$J$304)&lt;ROW()))+1)</f>
        <v>0</v>
      </c>
      <c r="R123" s="8">
        <f>IF(OR(E123&lt;&gt;"Freezer",J123=""),"",SUMPRODUCT(($E$5:$E$304="Freezer")*($J$5:$J$304&lt;J123))+SUMPRODUCT(($E$5:$E$304="Freezer")*($J$5:$J$304=J123)*(ROW($J$5:$J$304)&lt;ROW()))+1)</f>
        <v>0</v>
      </c>
      <c r="S123" s="7"/>
      <c r="T123" s="27"/>
      <c r="U123" s="28"/>
      <c r="V123" s="27"/>
      <c r="W123" s="7"/>
      <c r="X123" s="26"/>
      <c r="Y123" s="8">
        <f>IF(A123="","",IF(K123="Expired","Bin it",IF(K123="Use soon","Cook it",IF(O123="Low","Running low","Keep"))))</f>
        <v>0</v>
      </c>
      <c r="Z123" s="25"/>
    </row>
    <row r="124" spans="1:26">
      <c r="A124" s="7"/>
      <c r="B124" s="8">
        <f>IF(A124="","",IFERROR(INDEX(Ingredients!$B$5:$B$304,MATCH(A124,Ingredients!$A$5:$A$304,0)),""))</f>
        <v>0</v>
      </c>
      <c r="C124" s="26"/>
      <c r="D124" s="27"/>
      <c r="E124" s="27"/>
      <c r="F124" s="30"/>
      <c r="G124" s="30"/>
      <c r="H124" s="8">
        <f>IF(A124="","",IFERROR(INDEX(Ingredients!$M$5:$M$304,MATCH(A124,Ingredients!$A$5:$A$304,0)),""))</f>
        <v>0</v>
      </c>
      <c r="I124" s="8">
        <f>IF(OR(A124="",H124=""),"",IF(G124&lt;&gt;"",G124+H124,IF(F124&lt;&gt;"",F124+H124,"")))</f>
        <v>0</v>
      </c>
      <c r="J124" s="8">
        <f>IF(OR(A124="",I124=""),"",I124-TODAY())</f>
        <v>0</v>
      </c>
      <c r="K124" s="8">
        <f>IF(A124="","",IF(J124="","No date",IF(J124&lt;0,"Expired",IF(J124&lt;=Expiry_Warning_Days,"Use soon","Fresh"))))</f>
        <v>0</v>
      </c>
      <c r="L124" s="8">
        <f>IF(A124="","",COUNTIFS('Recipe Ingredients'!$B$5:$B$1204,A124))</f>
        <v>0</v>
      </c>
      <c r="M124" s="8">
        <f>IF(A124="","",IFERROR(INDEX(Ingredients!$X$5:$X$304,MATCH(A124,Ingredients!$A$5:$A$304,0)),""))</f>
        <v>0</v>
      </c>
      <c r="N124" s="8">
        <f>IF(OR(A124="",M124=""),"",IF(M124&lt;1,MAX(0,1*IFERROR(IFERROR(INDEX(Ingredients!$U$5:$U$304,MATCH(A124,Ingredients!$A$5:$A$304,0)),""),0)-C124),0))</f>
        <v>0</v>
      </c>
      <c r="O124" s="8">
        <f>IF(A124="","",IF(M124="","",IF(M124&lt;1,"Low","OK")))</f>
        <v>0</v>
      </c>
      <c r="P124" s="8">
        <f>IF(OR(A124="",C124=""),"",IFERROR(C124*IFERROR(INDEX(Ingredients!$D$5:$D$304,MATCH(A124,Ingredients!$A$5:$A$304,0)),""),""))</f>
        <v>0</v>
      </c>
      <c r="Q124" s="8">
        <f>IF(OR(E124&lt;&gt;"Fridge",J124=""),"",SUMPRODUCT(($E$5:$E$304="Fridge")*($J$5:$J$304&lt;J124))+SUMPRODUCT(($E$5:$E$304="Fridge")*($J$5:$J$304=J124)*(ROW($J$5:$J$304)&lt;ROW()))+1)</f>
        <v>0</v>
      </c>
      <c r="R124" s="8">
        <f>IF(OR(E124&lt;&gt;"Freezer",J124=""),"",SUMPRODUCT(($E$5:$E$304="Freezer")*($J$5:$J$304&lt;J124))+SUMPRODUCT(($E$5:$E$304="Freezer")*($J$5:$J$304=J124)*(ROW($J$5:$J$304)&lt;ROW()))+1)</f>
        <v>0</v>
      </c>
      <c r="S124" s="7"/>
      <c r="T124" s="27"/>
      <c r="U124" s="28"/>
      <c r="V124" s="27"/>
      <c r="W124" s="7"/>
      <c r="X124" s="26"/>
      <c r="Y124" s="8">
        <f>IF(A124="","",IF(K124="Expired","Bin it",IF(K124="Use soon","Cook it",IF(O124="Low","Running low","Keep"))))</f>
        <v>0</v>
      </c>
      <c r="Z124" s="25"/>
    </row>
    <row r="125" spans="1:26">
      <c r="A125" s="7"/>
      <c r="B125" s="8">
        <f>IF(A125="","",IFERROR(INDEX(Ingredients!$B$5:$B$304,MATCH(A125,Ingredients!$A$5:$A$304,0)),""))</f>
        <v>0</v>
      </c>
      <c r="C125" s="26"/>
      <c r="D125" s="27"/>
      <c r="E125" s="27"/>
      <c r="F125" s="30"/>
      <c r="G125" s="30"/>
      <c r="H125" s="8">
        <f>IF(A125="","",IFERROR(INDEX(Ingredients!$M$5:$M$304,MATCH(A125,Ingredients!$A$5:$A$304,0)),""))</f>
        <v>0</v>
      </c>
      <c r="I125" s="8">
        <f>IF(OR(A125="",H125=""),"",IF(G125&lt;&gt;"",G125+H125,IF(F125&lt;&gt;"",F125+H125,"")))</f>
        <v>0</v>
      </c>
      <c r="J125" s="8">
        <f>IF(OR(A125="",I125=""),"",I125-TODAY())</f>
        <v>0</v>
      </c>
      <c r="K125" s="8">
        <f>IF(A125="","",IF(J125="","No date",IF(J125&lt;0,"Expired",IF(J125&lt;=Expiry_Warning_Days,"Use soon","Fresh"))))</f>
        <v>0</v>
      </c>
      <c r="L125" s="8">
        <f>IF(A125="","",COUNTIFS('Recipe Ingredients'!$B$5:$B$1204,A125))</f>
        <v>0</v>
      </c>
      <c r="M125" s="8">
        <f>IF(A125="","",IFERROR(INDEX(Ingredients!$X$5:$X$304,MATCH(A125,Ingredients!$A$5:$A$304,0)),""))</f>
        <v>0</v>
      </c>
      <c r="N125" s="8">
        <f>IF(OR(A125="",M125=""),"",IF(M125&lt;1,MAX(0,1*IFERROR(IFERROR(INDEX(Ingredients!$U$5:$U$304,MATCH(A125,Ingredients!$A$5:$A$304,0)),""),0)-C125),0))</f>
        <v>0</v>
      </c>
      <c r="O125" s="8">
        <f>IF(A125="","",IF(M125="","",IF(M125&lt;1,"Low","OK")))</f>
        <v>0</v>
      </c>
      <c r="P125" s="8">
        <f>IF(OR(A125="",C125=""),"",IFERROR(C125*IFERROR(INDEX(Ingredients!$D$5:$D$304,MATCH(A125,Ingredients!$A$5:$A$304,0)),""),""))</f>
        <v>0</v>
      </c>
      <c r="Q125" s="8">
        <f>IF(OR(E125&lt;&gt;"Fridge",J125=""),"",SUMPRODUCT(($E$5:$E$304="Fridge")*($J$5:$J$304&lt;J125))+SUMPRODUCT(($E$5:$E$304="Fridge")*($J$5:$J$304=J125)*(ROW($J$5:$J$304)&lt;ROW()))+1)</f>
        <v>0</v>
      </c>
      <c r="R125" s="8">
        <f>IF(OR(E125&lt;&gt;"Freezer",J125=""),"",SUMPRODUCT(($E$5:$E$304="Freezer")*($J$5:$J$304&lt;J125))+SUMPRODUCT(($E$5:$E$304="Freezer")*($J$5:$J$304=J125)*(ROW($J$5:$J$304)&lt;ROW()))+1)</f>
        <v>0</v>
      </c>
      <c r="S125" s="7"/>
      <c r="T125" s="27"/>
      <c r="U125" s="28"/>
      <c r="V125" s="27"/>
      <c r="W125" s="7"/>
      <c r="X125" s="26"/>
      <c r="Y125" s="8">
        <f>IF(A125="","",IF(K125="Expired","Bin it",IF(K125="Use soon","Cook it",IF(O125="Low","Running low","Keep"))))</f>
        <v>0</v>
      </c>
      <c r="Z125" s="25"/>
    </row>
    <row r="126" spans="1:26">
      <c r="A126" s="7"/>
      <c r="B126" s="8">
        <f>IF(A126="","",IFERROR(INDEX(Ingredients!$B$5:$B$304,MATCH(A126,Ingredients!$A$5:$A$304,0)),""))</f>
        <v>0</v>
      </c>
      <c r="C126" s="26"/>
      <c r="D126" s="27"/>
      <c r="E126" s="27"/>
      <c r="F126" s="30"/>
      <c r="G126" s="30"/>
      <c r="H126" s="8">
        <f>IF(A126="","",IFERROR(INDEX(Ingredients!$M$5:$M$304,MATCH(A126,Ingredients!$A$5:$A$304,0)),""))</f>
        <v>0</v>
      </c>
      <c r="I126" s="8">
        <f>IF(OR(A126="",H126=""),"",IF(G126&lt;&gt;"",G126+H126,IF(F126&lt;&gt;"",F126+H126,"")))</f>
        <v>0</v>
      </c>
      <c r="J126" s="8">
        <f>IF(OR(A126="",I126=""),"",I126-TODAY())</f>
        <v>0</v>
      </c>
      <c r="K126" s="8">
        <f>IF(A126="","",IF(J126="","No date",IF(J126&lt;0,"Expired",IF(J126&lt;=Expiry_Warning_Days,"Use soon","Fresh"))))</f>
        <v>0</v>
      </c>
      <c r="L126" s="8">
        <f>IF(A126="","",COUNTIFS('Recipe Ingredients'!$B$5:$B$1204,A126))</f>
        <v>0</v>
      </c>
      <c r="M126" s="8">
        <f>IF(A126="","",IFERROR(INDEX(Ingredients!$X$5:$X$304,MATCH(A126,Ingredients!$A$5:$A$304,0)),""))</f>
        <v>0</v>
      </c>
      <c r="N126" s="8">
        <f>IF(OR(A126="",M126=""),"",IF(M126&lt;1,MAX(0,1*IFERROR(IFERROR(INDEX(Ingredients!$U$5:$U$304,MATCH(A126,Ingredients!$A$5:$A$304,0)),""),0)-C126),0))</f>
        <v>0</v>
      </c>
      <c r="O126" s="8">
        <f>IF(A126="","",IF(M126="","",IF(M126&lt;1,"Low","OK")))</f>
        <v>0</v>
      </c>
      <c r="P126" s="8">
        <f>IF(OR(A126="",C126=""),"",IFERROR(C126*IFERROR(INDEX(Ingredients!$D$5:$D$304,MATCH(A126,Ingredients!$A$5:$A$304,0)),""),""))</f>
        <v>0</v>
      </c>
      <c r="Q126" s="8">
        <f>IF(OR(E126&lt;&gt;"Fridge",J126=""),"",SUMPRODUCT(($E$5:$E$304="Fridge")*($J$5:$J$304&lt;J126))+SUMPRODUCT(($E$5:$E$304="Fridge")*($J$5:$J$304=J126)*(ROW($J$5:$J$304)&lt;ROW()))+1)</f>
        <v>0</v>
      </c>
      <c r="R126" s="8">
        <f>IF(OR(E126&lt;&gt;"Freezer",J126=""),"",SUMPRODUCT(($E$5:$E$304="Freezer")*($J$5:$J$304&lt;J126))+SUMPRODUCT(($E$5:$E$304="Freezer")*($J$5:$J$304=J126)*(ROW($J$5:$J$304)&lt;ROW()))+1)</f>
        <v>0</v>
      </c>
      <c r="S126" s="7"/>
      <c r="T126" s="27"/>
      <c r="U126" s="28"/>
      <c r="V126" s="27"/>
      <c r="W126" s="7"/>
      <c r="X126" s="26"/>
      <c r="Y126" s="8">
        <f>IF(A126="","",IF(K126="Expired","Bin it",IF(K126="Use soon","Cook it",IF(O126="Low","Running low","Keep"))))</f>
        <v>0</v>
      </c>
      <c r="Z126" s="25"/>
    </row>
    <row r="127" spans="1:26">
      <c r="A127" s="7"/>
      <c r="B127" s="8">
        <f>IF(A127="","",IFERROR(INDEX(Ingredients!$B$5:$B$304,MATCH(A127,Ingredients!$A$5:$A$304,0)),""))</f>
        <v>0</v>
      </c>
      <c r="C127" s="26"/>
      <c r="D127" s="27"/>
      <c r="E127" s="27"/>
      <c r="F127" s="30"/>
      <c r="G127" s="30"/>
      <c r="H127" s="8">
        <f>IF(A127="","",IFERROR(INDEX(Ingredients!$M$5:$M$304,MATCH(A127,Ingredients!$A$5:$A$304,0)),""))</f>
        <v>0</v>
      </c>
      <c r="I127" s="8">
        <f>IF(OR(A127="",H127=""),"",IF(G127&lt;&gt;"",G127+H127,IF(F127&lt;&gt;"",F127+H127,"")))</f>
        <v>0</v>
      </c>
      <c r="J127" s="8">
        <f>IF(OR(A127="",I127=""),"",I127-TODAY())</f>
        <v>0</v>
      </c>
      <c r="K127" s="8">
        <f>IF(A127="","",IF(J127="","No date",IF(J127&lt;0,"Expired",IF(J127&lt;=Expiry_Warning_Days,"Use soon","Fresh"))))</f>
        <v>0</v>
      </c>
      <c r="L127" s="8">
        <f>IF(A127="","",COUNTIFS('Recipe Ingredients'!$B$5:$B$1204,A127))</f>
        <v>0</v>
      </c>
      <c r="M127" s="8">
        <f>IF(A127="","",IFERROR(INDEX(Ingredients!$X$5:$X$304,MATCH(A127,Ingredients!$A$5:$A$304,0)),""))</f>
        <v>0</v>
      </c>
      <c r="N127" s="8">
        <f>IF(OR(A127="",M127=""),"",IF(M127&lt;1,MAX(0,1*IFERROR(IFERROR(INDEX(Ingredients!$U$5:$U$304,MATCH(A127,Ingredients!$A$5:$A$304,0)),""),0)-C127),0))</f>
        <v>0</v>
      </c>
      <c r="O127" s="8">
        <f>IF(A127="","",IF(M127="","",IF(M127&lt;1,"Low","OK")))</f>
        <v>0</v>
      </c>
      <c r="P127" s="8">
        <f>IF(OR(A127="",C127=""),"",IFERROR(C127*IFERROR(INDEX(Ingredients!$D$5:$D$304,MATCH(A127,Ingredients!$A$5:$A$304,0)),""),""))</f>
        <v>0</v>
      </c>
      <c r="Q127" s="8">
        <f>IF(OR(E127&lt;&gt;"Fridge",J127=""),"",SUMPRODUCT(($E$5:$E$304="Fridge")*($J$5:$J$304&lt;J127))+SUMPRODUCT(($E$5:$E$304="Fridge")*($J$5:$J$304=J127)*(ROW($J$5:$J$304)&lt;ROW()))+1)</f>
        <v>0</v>
      </c>
      <c r="R127" s="8">
        <f>IF(OR(E127&lt;&gt;"Freezer",J127=""),"",SUMPRODUCT(($E$5:$E$304="Freezer")*($J$5:$J$304&lt;J127))+SUMPRODUCT(($E$5:$E$304="Freezer")*($J$5:$J$304=J127)*(ROW($J$5:$J$304)&lt;ROW()))+1)</f>
        <v>0</v>
      </c>
      <c r="S127" s="7"/>
      <c r="T127" s="27"/>
      <c r="U127" s="28"/>
      <c r="V127" s="27"/>
      <c r="W127" s="7"/>
      <c r="X127" s="26"/>
      <c r="Y127" s="8">
        <f>IF(A127="","",IF(K127="Expired","Bin it",IF(K127="Use soon","Cook it",IF(O127="Low","Running low","Keep"))))</f>
        <v>0</v>
      </c>
      <c r="Z127" s="25"/>
    </row>
    <row r="128" spans="1:26">
      <c r="A128" s="7"/>
      <c r="B128" s="8">
        <f>IF(A128="","",IFERROR(INDEX(Ingredients!$B$5:$B$304,MATCH(A128,Ingredients!$A$5:$A$304,0)),""))</f>
        <v>0</v>
      </c>
      <c r="C128" s="26"/>
      <c r="D128" s="27"/>
      <c r="E128" s="27"/>
      <c r="F128" s="30"/>
      <c r="G128" s="30"/>
      <c r="H128" s="8">
        <f>IF(A128="","",IFERROR(INDEX(Ingredients!$M$5:$M$304,MATCH(A128,Ingredients!$A$5:$A$304,0)),""))</f>
        <v>0</v>
      </c>
      <c r="I128" s="8">
        <f>IF(OR(A128="",H128=""),"",IF(G128&lt;&gt;"",G128+H128,IF(F128&lt;&gt;"",F128+H128,"")))</f>
        <v>0</v>
      </c>
      <c r="J128" s="8">
        <f>IF(OR(A128="",I128=""),"",I128-TODAY())</f>
        <v>0</v>
      </c>
      <c r="K128" s="8">
        <f>IF(A128="","",IF(J128="","No date",IF(J128&lt;0,"Expired",IF(J128&lt;=Expiry_Warning_Days,"Use soon","Fresh"))))</f>
        <v>0</v>
      </c>
      <c r="L128" s="8">
        <f>IF(A128="","",COUNTIFS('Recipe Ingredients'!$B$5:$B$1204,A128))</f>
        <v>0</v>
      </c>
      <c r="M128" s="8">
        <f>IF(A128="","",IFERROR(INDEX(Ingredients!$X$5:$X$304,MATCH(A128,Ingredients!$A$5:$A$304,0)),""))</f>
        <v>0</v>
      </c>
      <c r="N128" s="8">
        <f>IF(OR(A128="",M128=""),"",IF(M128&lt;1,MAX(0,1*IFERROR(IFERROR(INDEX(Ingredients!$U$5:$U$304,MATCH(A128,Ingredients!$A$5:$A$304,0)),""),0)-C128),0))</f>
        <v>0</v>
      </c>
      <c r="O128" s="8">
        <f>IF(A128="","",IF(M128="","",IF(M128&lt;1,"Low","OK")))</f>
        <v>0</v>
      </c>
      <c r="P128" s="8">
        <f>IF(OR(A128="",C128=""),"",IFERROR(C128*IFERROR(INDEX(Ingredients!$D$5:$D$304,MATCH(A128,Ingredients!$A$5:$A$304,0)),""),""))</f>
        <v>0</v>
      </c>
      <c r="Q128" s="8">
        <f>IF(OR(E128&lt;&gt;"Fridge",J128=""),"",SUMPRODUCT(($E$5:$E$304="Fridge")*($J$5:$J$304&lt;J128))+SUMPRODUCT(($E$5:$E$304="Fridge")*($J$5:$J$304=J128)*(ROW($J$5:$J$304)&lt;ROW()))+1)</f>
        <v>0</v>
      </c>
      <c r="R128" s="8">
        <f>IF(OR(E128&lt;&gt;"Freezer",J128=""),"",SUMPRODUCT(($E$5:$E$304="Freezer")*($J$5:$J$304&lt;J128))+SUMPRODUCT(($E$5:$E$304="Freezer")*($J$5:$J$304=J128)*(ROW($J$5:$J$304)&lt;ROW()))+1)</f>
        <v>0</v>
      </c>
      <c r="S128" s="7"/>
      <c r="T128" s="27"/>
      <c r="U128" s="28"/>
      <c r="V128" s="27"/>
      <c r="W128" s="7"/>
      <c r="X128" s="26"/>
      <c r="Y128" s="8">
        <f>IF(A128="","",IF(K128="Expired","Bin it",IF(K128="Use soon","Cook it",IF(O128="Low","Running low","Keep"))))</f>
        <v>0</v>
      </c>
      <c r="Z128" s="25"/>
    </row>
    <row r="129" spans="1:26">
      <c r="A129" s="7"/>
      <c r="B129" s="8">
        <f>IF(A129="","",IFERROR(INDEX(Ingredients!$B$5:$B$304,MATCH(A129,Ingredients!$A$5:$A$304,0)),""))</f>
        <v>0</v>
      </c>
      <c r="C129" s="26"/>
      <c r="D129" s="27"/>
      <c r="E129" s="27"/>
      <c r="F129" s="30"/>
      <c r="G129" s="30"/>
      <c r="H129" s="8">
        <f>IF(A129="","",IFERROR(INDEX(Ingredients!$M$5:$M$304,MATCH(A129,Ingredients!$A$5:$A$304,0)),""))</f>
        <v>0</v>
      </c>
      <c r="I129" s="8">
        <f>IF(OR(A129="",H129=""),"",IF(G129&lt;&gt;"",G129+H129,IF(F129&lt;&gt;"",F129+H129,"")))</f>
        <v>0</v>
      </c>
      <c r="J129" s="8">
        <f>IF(OR(A129="",I129=""),"",I129-TODAY())</f>
        <v>0</v>
      </c>
      <c r="K129" s="8">
        <f>IF(A129="","",IF(J129="","No date",IF(J129&lt;0,"Expired",IF(J129&lt;=Expiry_Warning_Days,"Use soon","Fresh"))))</f>
        <v>0</v>
      </c>
      <c r="L129" s="8">
        <f>IF(A129="","",COUNTIFS('Recipe Ingredients'!$B$5:$B$1204,A129))</f>
        <v>0</v>
      </c>
      <c r="M129" s="8">
        <f>IF(A129="","",IFERROR(INDEX(Ingredients!$X$5:$X$304,MATCH(A129,Ingredients!$A$5:$A$304,0)),""))</f>
        <v>0</v>
      </c>
      <c r="N129" s="8">
        <f>IF(OR(A129="",M129=""),"",IF(M129&lt;1,MAX(0,1*IFERROR(IFERROR(INDEX(Ingredients!$U$5:$U$304,MATCH(A129,Ingredients!$A$5:$A$304,0)),""),0)-C129),0))</f>
        <v>0</v>
      </c>
      <c r="O129" s="8">
        <f>IF(A129="","",IF(M129="","",IF(M129&lt;1,"Low","OK")))</f>
        <v>0</v>
      </c>
      <c r="P129" s="8">
        <f>IF(OR(A129="",C129=""),"",IFERROR(C129*IFERROR(INDEX(Ingredients!$D$5:$D$304,MATCH(A129,Ingredients!$A$5:$A$304,0)),""),""))</f>
        <v>0</v>
      </c>
      <c r="Q129" s="8">
        <f>IF(OR(E129&lt;&gt;"Fridge",J129=""),"",SUMPRODUCT(($E$5:$E$304="Fridge")*($J$5:$J$304&lt;J129))+SUMPRODUCT(($E$5:$E$304="Fridge")*($J$5:$J$304=J129)*(ROW($J$5:$J$304)&lt;ROW()))+1)</f>
        <v>0</v>
      </c>
      <c r="R129" s="8">
        <f>IF(OR(E129&lt;&gt;"Freezer",J129=""),"",SUMPRODUCT(($E$5:$E$304="Freezer")*($J$5:$J$304&lt;J129))+SUMPRODUCT(($E$5:$E$304="Freezer")*($J$5:$J$304=J129)*(ROW($J$5:$J$304)&lt;ROW()))+1)</f>
        <v>0</v>
      </c>
      <c r="S129" s="7"/>
      <c r="T129" s="27"/>
      <c r="U129" s="28"/>
      <c r="V129" s="27"/>
      <c r="W129" s="7"/>
      <c r="X129" s="26"/>
      <c r="Y129" s="8">
        <f>IF(A129="","",IF(K129="Expired","Bin it",IF(K129="Use soon","Cook it",IF(O129="Low","Running low","Keep"))))</f>
        <v>0</v>
      </c>
      <c r="Z129" s="25"/>
    </row>
    <row r="130" spans="1:26">
      <c r="A130" s="7"/>
      <c r="B130" s="8">
        <f>IF(A130="","",IFERROR(INDEX(Ingredients!$B$5:$B$304,MATCH(A130,Ingredients!$A$5:$A$304,0)),""))</f>
        <v>0</v>
      </c>
      <c r="C130" s="26"/>
      <c r="D130" s="27"/>
      <c r="E130" s="27"/>
      <c r="F130" s="30"/>
      <c r="G130" s="30"/>
      <c r="H130" s="8">
        <f>IF(A130="","",IFERROR(INDEX(Ingredients!$M$5:$M$304,MATCH(A130,Ingredients!$A$5:$A$304,0)),""))</f>
        <v>0</v>
      </c>
      <c r="I130" s="8">
        <f>IF(OR(A130="",H130=""),"",IF(G130&lt;&gt;"",G130+H130,IF(F130&lt;&gt;"",F130+H130,"")))</f>
        <v>0</v>
      </c>
      <c r="J130" s="8">
        <f>IF(OR(A130="",I130=""),"",I130-TODAY())</f>
        <v>0</v>
      </c>
      <c r="K130" s="8">
        <f>IF(A130="","",IF(J130="","No date",IF(J130&lt;0,"Expired",IF(J130&lt;=Expiry_Warning_Days,"Use soon","Fresh"))))</f>
        <v>0</v>
      </c>
      <c r="L130" s="8">
        <f>IF(A130="","",COUNTIFS('Recipe Ingredients'!$B$5:$B$1204,A130))</f>
        <v>0</v>
      </c>
      <c r="M130" s="8">
        <f>IF(A130="","",IFERROR(INDEX(Ingredients!$X$5:$X$304,MATCH(A130,Ingredients!$A$5:$A$304,0)),""))</f>
        <v>0</v>
      </c>
      <c r="N130" s="8">
        <f>IF(OR(A130="",M130=""),"",IF(M130&lt;1,MAX(0,1*IFERROR(IFERROR(INDEX(Ingredients!$U$5:$U$304,MATCH(A130,Ingredients!$A$5:$A$304,0)),""),0)-C130),0))</f>
        <v>0</v>
      </c>
      <c r="O130" s="8">
        <f>IF(A130="","",IF(M130="","",IF(M130&lt;1,"Low","OK")))</f>
        <v>0</v>
      </c>
      <c r="P130" s="8">
        <f>IF(OR(A130="",C130=""),"",IFERROR(C130*IFERROR(INDEX(Ingredients!$D$5:$D$304,MATCH(A130,Ingredients!$A$5:$A$304,0)),""),""))</f>
        <v>0</v>
      </c>
      <c r="Q130" s="8">
        <f>IF(OR(E130&lt;&gt;"Fridge",J130=""),"",SUMPRODUCT(($E$5:$E$304="Fridge")*($J$5:$J$304&lt;J130))+SUMPRODUCT(($E$5:$E$304="Fridge")*($J$5:$J$304=J130)*(ROW($J$5:$J$304)&lt;ROW()))+1)</f>
        <v>0</v>
      </c>
      <c r="R130" s="8">
        <f>IF(OR(E130&lt;&gt;"Freezer",J130=""),"",SUMPRODUCT(($E$5:$E$304="Freezer")*($J$5:$J$304&lt;J130))+SUMPRODUCT(($E$5:$E$304="Freezer")*($J$5:$J$304=J130)*(ROW($J$5:$J$304)&lt;ROW()))+1)</f>
        <v>0</v>
      </c>
      <c r="S130" s="7"/>
      <c r="T130" s="27"/>
      <c r="U130" s="28"/>
      <c r="V130" s="27"/>
      <c r="W130" s="7"/>
      <c r="X130" s="26"/>
      <c r="Y130" s="8">
        <f>IF(A130="","",IF(K130="Expired","Bin it",IF(K130="Use soon","Cook it",IF(O130="Low","Running low","Keep"))))</f>
        <v>0</v>
      </c>
      <c r="Z130" s="25"/>
    </row>
    <row r="131" spans="1:26">
      <c r="A131" s="7"/>
      <c r="B131" s="8">
        <f>IF(A131="","",IFERROR(INDEX(Ingredients!$B$5:$B$304,MATCH(A131,Ingredients!$A$5:$A$304,0)),""))</f>
        <v>0</v>
      </c>
      <c r="C131" s="26"/>
      <c r="D131" s="27"/>
      <c r="E131" s="27"/>
      <c r="F131" s="30"/>
      <c r="G131" s="30"/>
      <c r="H131" s="8">
        <f>IF(A131="","",IFERROR(INDEX(Ingredients!$M$5:$M$304,MATCH(A131,Ingredients!$A$5:$A$304,0)),""))</f>
        <v>0</v>
      </c>
      <c r="I131" s="8">
        <f>IF(OR(A131="",H131=""),"",IF(G131&lt;&gt;"",G131+H131,IF(F131&lt;&gt;"",F131+H131,"")))</f>
        <v>0</v>
      </c>
      <c r="J131" s="8">
        <f>IF(OR(A131="",I131=""),"",I131-TODAY())</f>
        <v>0</v>
      </c>
      <c r="K131" s="8">
        <f>IF(A131="","",IF(J131="","No date",IF(J131&lt;0,"Expired",IF(J131&lt;=Expiry_Warning_Days,"Use soon","Fresh"))))</f>
        <v>0</v>
      </c>
      <c r="L131" s="8">
        <f>IF(A131="","",COUNTIFS('Recipe Ingredients'!$B$5:$B$1204,A131))</f>
        <v>0</v>
      </c>
      <c r="M131" s="8">
        <f>IF(A131="","",IFERROR(INDEX(Ingredients!$X$5:$X$304,MATCH(A131,Ingredients!$A$5:$A$304,0)),""))</f>
        <v>0</v>
      </c>
      <c r="N131" s="8">
        <f>IF(OR(A131="",M131=""),"",IF(M131&lt;1,MAX(0,1*IFERROR(IFERROR(INDEX(Ingredients!$U$5:$U$304,MATCH(A131,Ingredients!$A$5:$A$304,0)),""),0)-C131),0))</f>
        <v>0</v>
      </c>
      <c r="O131" s="8">
        <f>IF(A131="","",IF(M131="","",IF(M131&lt;1,"Low","OK")))</f>
        <v>0</v>
      </c>
      <c r="P131" s="8">
        <f>IF(OR(A131="",C131=""),"",IFERROR(C131*IFERROR(INDEX(Ingredients!$D$5:$D$304,MATCH(A131,Ingredients!$A$5:$A$304,0)),""),""))</f>
        <v>0</v>
      </c>
      <c r="Q131" s="8">
        <f>IF(OR(E131&lt;&gt;"Fridge",J131=""),"",SUMPRODUCT(($E$5:$E$304="Fridge")*($J$5:$J$304&lt;J131))+SUMPRODUCT(($E$5:$E$304="Fridge")*($J$5:$J$304=J131)*(ROW($J$5:$J$304)&lt;ROW()))+1)</f>
        <v>0</v>
      </c>
      <c r="R131" s="8">
        <f>IF(OR(E131&lt;&gt;"Freezer",J131=""),"",SUMPRODUCT(($E$5:$E$304="Freezer")*($J$5:$J$304&lt;J131))+SUMPRODUCT(($E$5:$E$304="Freezer")*($J$5:$J$304=J131)*(ROW($J$5:$J$304)&lt;ROW()))+1)</f>
        <v>0</v>
      </c>
      <c r="S131" s="7"/>
      <c r="T131" s="27"/>
      <c r="U131" s="28"/>
      <c r="V131" s="27"/>
      <c r="W131" s="7"/>
      <c r="X131" s="26"/>
      <c r="Y131" s="8">
        <f>IF(A131="","",IF(K131="Expired","Bin it",IF(K131="Use soon","Cook it",IF(O131="Low","Running low","Keep"))))</f>
        <v>0</v>
      </c>
      <c r="Z131" s="25"/>
    </row>
    <row r="132" spans="1:26">
      <c r="A132" s="7"/>
      <c r="B132" s="8">
        <f>IF(A132="","",IFERROR(INDEX(Ingredients!$B$5:$B$304,MATCH(A132,Ingredients!$A$5:$A$304,0)),""))</f>
        <v>0</v>
      </c>
      <c r="C132" s="26"/>
      <c r="D132" s="27"/>
      <c r="E132" s="27"/>
      <c r="F132" s="30"/>
      <c r="G132" s="30"/>
      <c r="H132" s="8">
        <f>IF(A132="","",IFERROR(INDEX(Ingredients!$M$5:$M$304,MATCH(A132,Ingredients!$A$5:$A$304,0)),""))</f>
        <v>0</v>
      </c>
      <c r="I132" s="8">
        <f>IF(OR(A132="",H132=""),"",IF(G132&lt;&gt;"",G132+H132,IF(F132&lt;&gt;"",F132+H132,"")))</f>
        <v>0</v>
      </c>
      <c r="J132" s="8">
        <f>IF(OR(A132="",I132=""),"",I132-TODAY())</f>
        <v>0</v>
      </c>
      <c r="K132" s="8">
        <f>IF(A132="","",IF(J132="","No date",IF(J132&lt;0,"Expired",IF(J132&lt;=Expiry_Warning_Days,"Use soon","Fresh"))))</f>
        <v>0</v>
      </c>
      <c r="L132" s="8">
        <f>IF(A132="","",COUNTIFS('Recipe Ingredients'!$B$5:$B$1204,A132))</f>
        <v>0</v>
      </c>
      <c r="M132" s="8">
        <f>IF(A132="","",IFERROR(INDEX(Ingredients!$X$5:$X$304,MATCH(A132,Ingredients!$A$5:$A$304,0)),""))</f>
        <v>0</v>
      </c>
      <c r="N132" s="8">
        <f>IF(OR(A132="",M132=""),"",IF(M132&lt;1,MAX(0,1*IFERROR(IFERROR(INDEX(Ingredients!$U$5:$U$304,MATCH(A132,Ingredients!$A$5:$A$304,0)),""),0)-C132),0))</f>
        <v>0</v>
      </c>
      <c r="O132" s="8">
        <f>IF(A132="","",IF(M132="","",IF(M132&lt;1,"Low","OK")))</f>
        <v>0</v>
      </c>
      <c r="P132" s="8">
        <f>IF(OR(A132="",C132=""),"",IFERROR(C132*IFERROR(INDEX(Ingredients!$D$5:$D$304,MATCH(A132,Ingredients!$A$5:$A$304,0)),""),""))</f>
        <v>0</v>
      </c>
      <c r="Q132" s="8">
        <f>IF(OR(E132&lt;&gt;"Fridge",J132=""),"",SUMPRODUCT(($E$5:$E$304="Fridge")*($J$5:$J$304&lt;J132))+SUMPRODUCT(($E$5:$E$304="Fridge")*($J$5:$J$304=J132)*(ROW($J$5:$J$304)&lt;ROW()))+1)</f>
        <v>0</v>
      </c>
      <c r="R132" s="8">
        <f>IF(OR(E132&lt;&gt;"Freezer",J132=""),"",SUMPRODUCT(($E$5:$E$304="Freezer")*($J$5:$J$304&lt;J132))+SUMPRODUCT(($E$5:$E$304="Freezer")*($J$5:$J$304=J132)*(ROW($J$5:$J$304)&lt;ROW()))+1)</f>
        <v>0</v>
      </c>
      <c r="S132" s="7"/>
      <c r="T132" s="27"/>
      <c r="U132" s="28"/>
      <c r="V132" s="27"/>
      <c r="W132" s="7"/>
      <c r="X132" s="26"/>
      <c r="Y132" s="8">
        <f>IF(A132="","",IF(K132="Expired","Bin it",IF(K132="Use soon","Cook it",IF(O132="Low","Running low","Keep"))))</f>
        <v>0</v>
      </c>
      <c r="Z132" s="25"/>
    </row>
    <row r="133" spans="1:26">
      <c r="A133" s="7"/>
      <c r="B133" s="8">
        <f>IF(A133="","",IFERROR(INDEX(Ingredients!$B$5:$B$304,MATCH(A133,Ingredients!$A$5:$A$304,0)),""))</f>
        <v>0</v>
      </c>
      <c r="C133" s="26"/>
      <c r="D133" s="27"/>
      <c r="E133" s="27"/>
      <c r="F133" s="30"/>
      <c r="G133" s="30"/>
      <c r="H133" s="8">
        <f>IF(A133="","",IFERROR(INDEX(Ingredients!$M$5:$M$304,MATCH(A133,Ingredients!$A$5:$A$304,0)),""))</f>
        <v>0</v>
      </c>
      <c r="I133" s="8">
        <f>IF(OR(A133="",H133=""),"",IF(G133&lt;&gt;"",G133+H133,IF(F133&lt;&gt;"",F133+H133,"")))</f>
        <v>0</v>
      </c>
      <c r="J133" s="8">
        <f>IF(OR(A133="",I133=""),"",I133-TODAY())</f>
        <v>0</v>
      </c>
      <c r="K133" s="8">
        <f>IF(A133="","",IF(J133="","No date",IF(J133&lt;0,"Expired",IF(J133&lt;=Expiry_Warning_Days,"Use soon","Fresh"))))</f>
        <v>0</v>
      </c>
      <c r="L133" s="8">
        <f>IF(A133="","",COUNTIFS('Recipe Ingredients'!$B$5:$B$1204,A133))</f>
        <v>0</v>
      </c>
      <c r="M133" s="8">
        <f>IF(A133="","",IFERROR(INDEX(Ingredients!$X$5:$X$304,MATCH(A133,Ingredients!$A$5:$A$304,0)),""))</f>
        <v>0</v>
      </c>
      <c r="N133" s="8">
        <f>IF(OR(A133="",M133=""),"",IF(M133&lt;1,MAX(0,1*IFERROR(IFERROR(INDEX(Ingredients!$U$5:$U$304,MATCH(A133,Ingredients!$A$5:$A$304,0)),""),0)-C133),0))</f>
        <v>0</v>
      </c>
      <c r="O133" s="8">
        <f>IF(A133="","",IF(M133="","",IF(M133&lt;1,"Low","OK")))</f>
        <v>0</v>
      </c>
      <c r="P133" s="8">
        <f>IF(OR(A133="",C133=""),"",IFERROR(C133*IFERROR(INDEX(Ingredients!$D$5:$D$304,MATCH(A133,Ingredients!$A$5:$A$304,0)),""),""))</f>
        <v>0</v>
      </c>
      <c r="Q133" s="8">
        <f>IF(OR(E133&lt;&gt;"Fridge",J133=""),"",SUMPRODUCT(($E$5:$E$304="Fridge")*($J$5:$J$304&lt;J133))+SUMPRODUCT(($E$5:$E$304="Fridge")*($J$5:$J$304=J133)*(ROW($J$5:$J$304)&lt;ROW()))+1)</f>
        <v>0</v>
      </c>
      <c r="R133" s="8">
        <f>IF(OR(E133&lt;&gt;"Freezer",J133=""),"",SUMPRODUCT(($E$5:$E$304="Freezer")*($J$5:$J$304&lt;J133))+SUMPRODUCT(($E$5:$E$304="Freezer")*($J$5:$J$304=J133)*(ROW($J$5:$J$304)&lt;ROW()))+1)</f>
        <v>0</v>
      </c>
      <c r="S133" s="7"/>
      <c r="T133" s="27"/>
      <c r="U133" s="28"/>
      <c r="V133" s="27"/>
      <c r="W133" s="7"/>
      <c r="X133" s="26"/>
      <c r="Y133" s="8">
        <f>IF(A133="","",IF(K133="Expired","Bin it",IF(K133="Use soon","Cook it",IF(O133="Low","Running low","Keep"))))</f>
        <v>0</v>
      </c>
      <c r="Z133" s="25"/>
    </row>
    <row r="134" spans="1:26">
      <c r="A134" s="7"/>
      <c r="B134" s="8">
        <f>IF(A134="","",IFERROR(INDEX(Ingredients!$B$5:$B$304,MATCH(A134,Ingredients!$A$5:$A$304,0)),""))</f>
        <v>0</v>
      </c>
      <c r="C134" s="26"/>
      <c r="D134" s="27"/>
      <c r="E134" s="27"/>
      <c r="F134" s="30"/>
      <c r="G134" s="30"/>
      <c r="H134" s="8">
        <f>IF(A134="","",IFERROR(INDEX(Ingredients!$M$5:$M$304,MATCH(A134,Ingredients!$A$5:$A$304,0)),""))</f>
        <v>0</v>
      </c>
      <c r="I134" s="8">
        <f>IF(OR(A134="",H134=""),"",IF(G134&lt;&gt;"",G134+H134,IF(F134&lt;&gt;"",F134+H134,"")))</f>
        <v>0</v>
      </c>
      <c r="J134" s="8">
        <f>IF(OR(A134="",I134=""),"",I134-TODAY())</f>
        <v>0</v>
      </c>
      <c r="K134" s="8">
        <f>IF(A134="","",IF(J134="","No date",IF(J134&lt;0,"Expired",IF(J134&lt;=Expiry_Warning_Days,"Use soon","Fresh"))))</f>
        <v>0</v>
      </c>
      <c r="L134" s="8">
        <f>IF(A134="","",COUNTIFS('Recipe Ingredients'!$B$5:$B$1204,A134))</f>
        <v>0</v>
      </c>
      <c r="M134" s="8">
        <f>IF(A134="","",IFERROR(INDEX(Ingredients!$X$5:$X$304,MATCH(A134,Ingredients!$A$5:$A$304,0)),""))</f>
        <v>0</v>
      </c>
      <c r="N134" s="8">
        <f>IF(OR(A134="",M134=""),"",IF(M134&lt;1,MAX(0,1*IFERROR(IFERROR(INDEX(Ingredients!$U$5:$U$304,MATCH(A134,Ingredients!$A$5:$A$304,0)),""),0)-C134),0))</f>
        <v>0</v>
      </c>
      <c r="O134" s="8">
        <f>IF(A134="","",IF(M134="","",IF(M134&lt;1,"Low","OK")))</f>
        <v>0</v>
      </c>
      <c r="P134" s="8">
        <f>IF(OR(A134="",C134=""),"",IFERROR(C134*IFERROR(INDEX(Ingredients!$D$5:$D$304,MATCH(A134,Ingredients!$A$5:$A$304,0)),""),""))</f>
        <v>0</v>
      </c>
      <c r="Q134" s="8">
        <f>IF(OR(E134&lt;&gt;"Fridge",J134=""),"",SUMPRODUCT(($E$5:$E$304="Fridge")*($J$5:$J$304&lt;J134))+SUMPRODUCT(($E$5:$E$304="Fridge")*($J$5:$J$304=J134)*(ROW($J$5:$J$304)&lt;ROW()))+1)</f>
        <v>0</v>
      </c>
      <c r="R134" s="8">
        <f>IF(OR(E134&lt;&gt;"Freezer",J134=""),"",SUMPRODUCT(($E$5:$E$304="Freezer")*($J$5:$J$304&lt;J134))+SUMPRODUCT(($E$5:$E$304="Freezer")*($J$5:$J$304=J134)*(ROW($J$5:$J$304)&lt;ROW()))+1)</f>
        <v>0</v>
      </c>
      <c r="S134" s="7"/>
      <c r="T134" s="27"/>
      <c r="U134" s="28"/>
      <c r="V134" s="27"/>
      <c r="W134" s="7"/>
      <c r="X134" s="26"/>
      <c r="Y134" s="8">
        <f>IF(A134="","",IF(K134="Expired","Bin it",IF(K134="Use soon","Cook it",IF(O134="Low","Running low","Keep"))))</f>
        <v>0</v>
      </c>
      <c r="Z134" s="25"/>
    </row>
    <row r="135" spans="1:26">
      <c r="A135" s="7"/>
      <c r="B135" s="8">
        <f>IF(A135="","",IFERROR(INDEX(Ingredients!$B$5:$B$304,MATCH(A135,Ingredients!$A$5:$A$304,0)),""))</f>
        <v>0</v>
      </c>
      <c r="C135" s="26"/>
      <c r="D135" s="27"/>
      <c r="E135" s="27"/>
      <c r="F135" s="30"/>
      <c r="G135" s="30"/>
      <c r="H135" s="8">
        <f>IF(A135="","",IFERROR(INDEX(Ingredients!$M$5:$M$304,MATCH(A135,Ingredients!$A$5:$A$304,0)),""))</f>
        <v>0</v>
      </c>
      <c r="I135" s="8">
        <f>IF(OR(A135="",H135=""),"",IF(G135&lt;&gt;"",G135+H135,IF(F135&lt;&gt;"",F135+H135,"")))</f>
        <v>0</v>
      </c>
      <c r="J135" s="8">
        <f>IF(OR(A135="",I135=""),"",I135-TODAY())</f>
        <v>0</v>
      </c>
      <c r="K135" s="8">
        <f>IF(A135="","",IF(J135="","No date",IF(J135&lt;0,"Expired",IF(J135&lt;=Expiry_Warning_Days,"Use soon","Fresh"))))</f>
        <v>0</v>
      </c>
      <c r="L135" s="8">
        <f>IF(A135="","",COUNTIFS('Recipe Ingredients'!$B$5:$B$1204,A135))</f>
        <v>0</v>
      </c>
      <c r="M135" s="8">
        <f>IF(A135="","",IFERROR(INDEX(Ingredients!$X$5:$X$304,MATCH(A135,Ingredients!$A$5:$A$304,0)),""))</f>
        <v>0</v>
      </c>
      <c r="N135" s="8">
        <f>IF(OR(A135="",M135=""),"",IF(M135&lt;1,MAX(0,1*IFERROR(IFERROR(INDEX(Ingredients!$U$5:$U$304,MATCH(A135,Ingredients!$A$5:$A$304,0)),""),0)-C135),0))</f>
        <v>0</v>
      </c>
      <c r="O135" s="8">
        <f>IF(A135="","",IF(M135="","",IF(M135&lt;1,"Low","OK")))</f>
        <v>0</v>
      </c>
      <c r="P135" s="8">
        <f>IF(OR(A135="",C135=""),"",IFERROR(C135*IFERROR(INDEX(Ingredients!$D$5:$D$304,MATCH(A135,Ingredients!$A$5:$A$304,0)),""),""))</f>
        <v>0</v>
      </c>
      <c r="Q135" s="8">
        <f>IF(OR(E135&lt;&gt;"Fridge",J135=""),"",SUMPRODUCT(($E$5:$E$304="Fridge")*($J$5:$J$304&lt;J135))+SUMPRODUCT(($E$5:$E$304="Fridge")*($J$5:$J$304=J135)*(ROW($J$5:$J$304)&lt;ROW()))+1)</f>
        <v>0</v>
      </c>
      <c r="R135" s="8">
        <f>IF(OR(E135&lt;&gt;"Freezer",J135=""),"",SUMPRODUCT(($E$5:$E$304="Freezer")*($J$5:$J$304&lt;J135))+SUMPRODUCT(($E$5:$E$304="Freezer")*($J$5:$J$304=J135)*(ROW($J$5:$J$304)&lt;ROW()))+1)</f>
        <v>0</v>
      </c>
      <c r="S135" s="7"/>
      <c r="T135" s="27"/>
      <c r="U135" s="28"/>
      <c r="V135" s="27"/>
      <c r="W135" s="7"/>
      <c r="X135" s="26"/>
      <c r="Y135" s="8">
        <f>IF(A135="","",IF(K135="Expired","Bin it",IF(K135="Use soon","Cook it",IF(O135="Low","Running low","Keep"))))</f>
        <v>0</v>
      </c>
      <c r="Z135" s="25"/>
    </row>
    <row r="136" spans="1:26">
      <c r="A136" s="7"/>
      <c r="B136" s="8">
        <f>IF(A136="","",IFERROR(INDEX(Ingredients!$B$5:$B$304,MATCH(A136,Ingredients!$A$5:$A$304,0)),""))</f>
        <v>0</v>
      </c>
      <c r="C136" s="26"/>
      <c r="D136" s="27"/>
      <c r="E136" s="27"/>
      <c r="F136" s="30"/>
      <c r="G136" s="30"/>
      <c r="H136" s="8">
        <f>IF(A136="","",IFERROR(INDEX(Ingredients!$M$5:$M$304,MATCH(A136,Ingredients!$A$5:$A$304,0)),""))</f>
        <v>0</v>
      </c>
      <c r="I136" s="8">
        <f>IF(OR(A136="",H136=""),"",IF(G136&lt;&gt;"",G136+H136,IF(F136&lt;&gt;"",F136+H136,"")))</f>
        <v>0</v>
      </c>
      <c r="J136" s="8">
        <f>IF(OR(A136="",I136=""),"",I136-TODAY())</f>
        <v>0</v>
      </c>
      <c r="K136" s="8">
        <f>IF(A136="","",IF(J136="","No date",IF(J136&lt;0,"Expired",IF(J136&lt;=Expiry_Warning_Days,"Use soon","Fresh"))))</f>
        <v>0</v>
      </c>
      <c r="L136" s="8">
        <f>IF(A136="","",COUNTIFS('Recipe Ingredients'!$B$5:$B$1204,A136))</f>
        <v>0</v>
      </c>
      <c r="M136" s="8">
        <f>IF(A136="","",IFERROR(INDEX(Ingredients!$X$5:$X$304,MATCH(A136,Ingredients!$A$5:$A$304,0)),""))</f>
        <v>0</v>
      </c>
      <c r="N136" s="8">
        <f>IF(OR(A136="",M136=""),"",IF(M136&lt;1,MAX(0,1*IFERROR(IFERROR(INDEX(Ingredients!$U$5:$U$304,MATCH(A136,Ingredients!$A$5:$A$304,0)),""),0)-C136),0))</f>
        <v>0</v>
      </c>
      <c r="O136" s="8">
        <f>IF(A136="","",IF(M136="","",IF(M136&lt;1,"Low","OK")))</f>
        <v>0</v>
      </c>
      <c r="P136" s="8">
        <f>IF(OR(A136="",C136=""),"",IFERROR(C136*IFERROR(INDEX(Ingredients!$D$5:$D$304,MATCH(A136,Ingredients!$A$5:$A$304,0)),""),""))</f>
        <v>0</v>
      </c>
      <c r="Q136" s="8">
        <f>IF(OR(E136&lt;&gt;"Fridge",J136=""),"",SUMPRODUCT(($E$5:$E$304="Fridge")*($J$5:$J$304&lt;J136))+SUMPRODUCT(($E$5:$E$304="Fridge")*($J$5:$J$304=J136)*(ROW($J$5:$J$304)&lt;ROW()))+1)</f>
        <v>0</v>
      </c>
      <c r="R136" s="8">
        <f>IF(OR(E136&lt;&gt;"Freezer",J136=""),"",SUMPRODUCT(($E$5:$E$304="Freezer")*($J$5:$J$304&lt;J136))+SUMPRODUCT(($E$5:$E$304="Freezer")*($J$5:$J$304=J136)*(ROW($J$5:$J$304)&lt;ROW()))+1)</f>
        <v>0</v>
      </c>
      <c r="S136" s="7"/>
      <c r="T136" s="27"/>
      <c r="U136" s="28"/>
      <c r="V136" s="27"/>
      <c r="W136" s="7"/>
      <c r="X136" s="26"/>
      <c r="Y136" s="8">
        <f>IF(A136="","",IF(K136="Expired","Bin it",IF(K136="Use soon","Cook it",IF(O136="Low","Running low","Keep"))))</f>
        <v>0</v>
      </c>
      <c r="Z136" s="25"/>
    </row>
    <row r="137" spans="1:26">
      <c r="A137" s="7"/>
      <c r="B137" s="8">
        <f>IF(A137="","",IFERROR(INDEX(Ingredients!$B$5:$B$304,MATCH(A137,Ingredients!$A$5:$A$304,0)),""))</f>
        <v>0</v>
      </c>
      <c r="C137" s="26"/>
      <c r="D137" s="27"/>
      <c r="E137" s="27"/>
      <c r="F137" s="30"/>
      <c r="G137" s="30"/>
      <c r="H137" s="8">
        <f>IF(A137="","",IFERROR(INDEX(Ingredients!$M$5:$M$304,MATCH(A137,Ingredients!$A$5:$A$304,0)),""))</f>
        <v>0</v>
      </c>
      <c r="I137" s="8">
        <f>IF(OR(A137="",H137=""),"",IF(G137&lt;&gt;"",G137+H137,IF(F137&lt;&gt;"",F137+H137,"")))</f>
        <v>0</v>
      </c>
      <c r="J137" s="8">
        <f>IF(OR(A137="",I137=""),"",I137-TODAY())</f>
        <v>0</v>
      </c>
      <c r="K137" s="8">
        <f>IF(A137="","",IF(J137="","No date",IF(J137&lt;0,"Expired",IF(J137&lt;=Expiry_Warning_Days,"Use soon","Fresh"))))</f>
        <v>0</v>
      </c>
      <c r="L137" s="8">
        <f>IF(A137="","",COUNTIFS('Recipe Ingredients'!$B$5:$B$1204,A137))</f>
        <v>0</v>
      </c>
      <c r="M137" s="8">
        <f>IF(A137="","",IFERROR(INDEX(Ingredients!$X$5:$X$304,MATCH(A137,Ingredients!$A$5:$A$304,0)),""))</f>
        <v>0</v>
      </c>
      <c r="N137" s="8">
        <f>IF(OR(A137="",M137=""),"",IF(M137&lt;1,MAX(0,1*IFERROR(IFERROR(INDEX(Ingredients!$U$5:$U$304,MATCH(A137,Ingredients!$A$5:$A$304,0)),""),0)-C137),0))</f>
        <v>0</v>
      </c>
      <c r="O137" s="8">
        <f>IF(A137="","",IF(M137="","",IF(M137&lt;1,"Low","OK")))</f>
        <v>0</v>
      </c>
      <c r="P137" s="8">
        <f>IF(OR(A137="",C137=""),"",IFERROR(C137*IFERROR(INDEX(Ingredients!$D$5:$D$304,MATCH(A137,Ingredients!$A$5:$A$304,0)),""),""))</f>
        <v>0</v>
      </c>
      <c r="Q137" s="8">
        <f>IF(OR(E137&lt;&gt;"Fridge",J137=""),"",SUMPRODUCT(($E$5:$E$304="Fridge")*($J$5:$J$304&lt;J137))+SUMPRODUCT(($E$5:$E$304="Fridge")*($J$5:$J$304=J137)*(ROW($J$5:$J$304)&lt;ROW()))+1)</f>
        <v>0</v>
      </c>
      <c r="R137" s="8">
        <f>IF(OR(E137&lt;&gt;"Freezer",J137=""),"",SUMPRODUCT(($E$5:$E$304="Freezer")*($J$5:$J$304&lt;J137))+SUMPRODUCT(($E$5:$E$304="Freezer")*($J$5:$J$304=J137)*(ROW($J$5:$J$304)&lt;ROW()))+1)</f>
        <v>0</v>
      </c>
      <c r="S137" s="7"/>
      <c r="T137" s="27"/>
      <c r="U137" s="28"/>
      <c r="V137" s="27"/>
      <c r="W137" s="7"/>
      <c r="X137" s="26"/>
      <c r="Y137" s="8">
        <f>IF(A137="","",IF(K137="Expired","Bin it",IF(K137="Use soon","Cook it",IF(O137="Low","Running low","Keep"))))</f>
        <v>0</v>
      </c>
      <c r="Z137" s="25"/>
    </row>
    <row r="138" spans="1:26">
      <c r="A138" s="7"/>
      <c r="B138" s="8">
        <f>IF(A138="","",IFERROR(INDEX(Ingredients!$B$5:$B$304,MATCH(A138,Ingredients!$A$5:$A$304,0)),""))</f>
        <v>0</v>
      </c>
      <c r="C138" s="26"/>
      <c r="D138" s="27"/>
      <c r="E138" s="27"/>
      <c r="F138" s="30"/>
      <c r="G138" s="30"/>
      <c r="H138" s="8">
        <f>IF(A138="","",IFERROR(INDEX(Ingredients!$M$5:$M$304,MATCH(A138,Ingredients!$A$5:$A$304,0)),""))</f>
        <v>0</v>
      </c>
      <c r="I138" s="8">
        <f>IF(OR(A138="",H138=""),"",IF(G138&lt;&gt;"",G138+H138,IF(F138&lt;&gt;"",F138+H138,"")))</f>
        <v>0</v>
      </c>
      <c r="J138" s="8">
        <f>IF(OR(A138="",I138=""),"",I138-TODAY())</f>
        <v>0</v>
      </c>
      <c r="K138" s="8">
        <f>IF(A138="","",IF(J138="","No date",IF(J138&lt;0,"Expired",IF(J138&lt;=Expiry_Warning_Days,"Use soon","Fresh"))))</f>
        <v>0</v>
      </c>
      <c r="L138" s="8">
        <f>IF(A138="","",COUNTIFS('Recipe Ingredients'!$B$5:$B$1204,A138))</f>
        <v>0</v>
      </c>
      <c r="M138" s="8">
        <f>IF(A138="","",IFERROR(INDEX(Ingredients!$X$5:$X$304,MATCH(A138,Ingredients!$A$5:$A$304,0)),""))</f>
        <v>0</v>
      </c>
      <c r="N138" s="8">
        <f>IF(OR(A138="",M138=""),"",IF(M138&lt;1,MAX(0,1*IFERROR(IFERROR(INDEX(Ingredients!$U$5:$U$304,MATCH(A138,Ingredients!$A$5:$A$304,0)),""),0)-C138),0))</f>
        <v>0</v>
      </c>
      <c r="O138" s="8">
        <f>IF(A138="","",IF(M138="","",IF(M138&lt;1,"Low","OK")))</f>
        <v>0</v>
      </c>
      <c r="P138" s="8">
        <f>IF(OR(A138="",C138=""),"",IFERROR(C138*IFERROR(INDEX(Ingredients!$D$5:$D$304,MATCH(A138,Ingredients!$A$5:$A$304,0)),""),""))</f>
        <v>0</v>
      </c>
      <c r="Q138" s="8">
        <f>IF(OR(E138&lt;&gt;"Fridge",J138=""),"",SUMPRODUCT(($E$5:$E$304="Fridge")*($J$5:$J$304&lt;J138))+SUMPRODUCT(($E$5:$E$304="Fridge")*($J$5:$J$304=J138)*(ROW($J$5:$J$304)&lt;ROW()))+1)</f>
        <v>0</v>
      </c>
      <c r="R138" s="8">
        <f>IF(OR(E138&lt;&gt;"Freezer",J138=""),"",SUMPRODUCT(($E$5:$E$304="Freezer")*($J$5:$J$304&lt;J138))+SUMPRODUCT(($E$5:$E$304="Freezer")*($J$5:$J$304=J138)*(ROW($J$5:$J$304)&lt;ROW()))+1)</f>
        <v>0</v>
      </c>
      <c r="S138" s="7"/>
      <c r="T138" s="27"/>
      <c r="U138" s="28"/>
      <c r="V138" s="27"/>
      <c r="W138" s="7"/>
      <c r="X138" s="26"/>
      <c r="Y138" s="8">
        <f>IF(A138="","",IF(K138="Expired","Bin it",IF(K138="Use soon","Cook it",IF(O138="Low","Running low","Keep"))))</f>
        <v>0</v>
      </c>
      <c r="Z138" s="25"/>
    </row>
    <row r="139" spans="1:26">
      <c r="A139" s="7"/>
      <c r="B139" s="8">
        <f>IF(A139="","",IFERROR(INDEX(Ingredients!$B$5:$B$304,MATCH(A139,Ingredients!$A$5:$A$304,0)),""))</f>
        <v>0</v>
      </c>
      <c r="C139" s="26"/>
      <c r="D139" s="27"/>
      <c r="E139" s="27"/>
      <c r="F139" s="30"/>
      <c r="G139" s="30"/>
      <c r="H139" s="8">
        <f>IF(A139="","",IFERROR(INDEX(Ingredients!$M$5:$M$304,MATCH(A139,Ingredients!$A$5:$A$304,0)),""))</f>
        <v>0</v>
      </c>
      <c r="I139" s="8">
        <f>IF(OR(A139="",H139=""),"",IF(G139&lt;&gt;"",G139+H139,IF(F139&lt;&gt;"",F139+H139,"")))</f>
        <v>0</v>
      </c>
      <c r="J139" s="8">
        <f>IF(OR(A139="",I139=""),"",I139-TODAY())</f>
        <v>0</v>
      </c>
      <c r="K139" s="8">
        <f>IF(A139="","",IF(J139="","No date",IF(J139&lt;0,"Expired",IF(J139&lt;=Expiry_Warning_Days,"Use soon","Fresh"))))</f>
        <v>0</v>
      </c>
      <c r="L139" s="8">
        <f>IF(A139="","",COUNTIFS('Recipe Ingredients'!$B$5:$B$1204,A139))</f>
        <v>0</v>
      </c>
      <c r="M139" s="8">
        <f>IF(A139="","",IFERROR(INDEX(Ingredients!$X$5:$X$304,MATCH(A139,Ingredients!$A$5:$A$304,0)),""))</f>
        <v>0</v>
      </c>
      <c r="N139" s="8">
        <f>IF(OR(A139="",M139=""),"",IF(M139&lt;1,MAX(0,1*IFERROR(IFERROR(INDEX(Ingredients!$U$5:$U$304,MATCH(A139,Ingredients!$A$5:$A$304,0)),""),0)-C139),0))</f>
        <v>0</v>
      </c>
      <c r="O139" s="8">
        <f>IF(A139="","",IF(M139="","",IF(M139&lt;1,"Low","OK")))</f>
        <v>0</v>
      </c>
      <c r="P139" s="8">
        <f>IF(OR(A139="",C139=""),"",IFERROR(C139*IFERROR(INDEX(Ingredients!$D$5:$D$304,MATCH(A139,Ingredients!$A$5:$A$304,0)),""),""))</f>
        <v>0</v>
      </c>
      <c r="Q139" s="8">
        <f>IF(OR(E139&lt;&gt;"Fridge",J139=""),"",SUMPRODUCT(($E$5:$E$304="Fridge")*($J$5:$J$304&lt;J139))+SUMPRODUCT(($E$5:$E$304="Fridge")*($J$5:$J$304=J139)*(ROW($J$5:$J$304)&lt;ROW()))+1)</f>
        <v>0</v>
      </c>
      <c r="R139" s="8">
        <f>IF(OR(E139&lt;&gt;"Freezer",J139=""),"",SUMPRODUCT(($E$5:$E$304="Freezer")*($J$5:$J$304&lt;J139))+SUMPRODUCT(($E$5:$E$304="Freezer")*($J$5:$J$304=J139)*(ROW($J$5:$J$304)&lt;ROW()))+1)</f>
        <v>0</v>
      </c>
      <c r="S139" s="7"/>
      <c r="T139" s="27"/>
      <c r="U139" s="28"/>
      <c r="V139" s="27"/>
      <c r="W139" s="7"/>
      <c r="X139" s="26"/>
      <c r="Y139" s="8">
        <f>IF(A139="","",IF(K139="Expired","Bin it",IF(K139="Use soon","Cook it",IF(O139="Low","Running low","Keep"))))</f>
        <v>0</v>
      </c>
      <c r="Z139" s="25"/>
    </row>
    <row r="140" spans="1:26">
      <c r="A140" s="7"/>
      <c r="B140" s="8">
        <f>IF(A140="","",IFERROR(INDEX(Ingredients!$B$5:$B$304,MATCH(A140,Ingredients!$A$5:$A$304,0)),""))</f>
        <v>0</v>
      </c>
      <c r="C140" s="26"/>
      <c r="D140" s="27"/>
      <c r="E140" s="27"/>
      <c r="F140" s="30"/>
      <c r="G140" s="30"/>
      <c r="H140" s="8">
        <f>IF(A140="","",IFERROR(INDEX(Ingredients!$M$5:$M$304,MATCH(A140,Ingredients!$A$5:$A$304,0)),""))</f>
        <v>0</v>
      </c>
      <c r="I140" s="8">
        <f>IF(OR(A140="",H140=""),"",IF(G140&lt;&gt;"",G140+H140,IF(F140&lt;&gt;"",F140+H140,"")))</f>
        <v>0</v>
      </c>
      <c r="J140" s="8">
        <f>IF(OR(A140="",I140=""),"",I140-TODAY())</f>
        <v>0</v>
      </c>
      <c r="K140" s="8">
        <f>IF(A140="","",IF(J140="","No date",IF(J140&lt;0,"Expired",IF(J140&lt;=Expiry_Warning_Days,"Use soon","Fresh"))))</f>
        <v>0</v>
      </c>
      <c r="L140" s="8">
        <f>IF(A140="","",COUNTIFS('Recipe Ingredients'!$B$5:$B$1204,A140))</f>
        <v>0</v>
      </c>
      <c r="M140" s="8">
        <f>IF(A140="","",IFERROR(INDEX(Ingredients!$X$5:$X$304,MATCH(A140,Ingredients!$A$5:$A$304,0)),""))</f>
        <v>0</v>
      </c>
      <c r="N140" s="8">
        <f>IF(OR(A140="",M140=""),"",IF(M140&lt;1,MAX(0,1*IFERROR(IFERROR(INDEX(Ingredients!$U$5:$U$304,MATCH(A140,Ingredients!$A$5:$A$304,0)),""),0)-C140),0))</f>
        <v>0</v>
      </c>
      <c r="O140" s="8">
        <f>IF(A140="","",IF(M140="","",IF(M140&lt;1,"Low","OK")))</f>
        <v>0</v>
      </c>
      <c r="P140" s="8">
        <f>IF(OR(A140="",C140=""),"",IFERROR(C140*IFERROR(INDEX(Ingredients!$D$5:$D$304,MATCH(A140,Ingredients!$A$5:$A$304,0)),""),""))</f>
        <v>0</v>
      </c>
      <c r="Q140" s="8">
        <f>IF(OR(E140&lt;&gt;"Fridge",J140=""),"",SUMPRODUCT(($E$5:$E$304="Fridge")*($J$5:$J$304&lt;J140))+SUMPRODUCT(($E$5:$E$304="Fridge")*($J$5:$J$304=J140)*(ROW($J$5:$J$304)&lt;ROW()))+1)</f>
        <v>0</v>
      </c>
      <c r="R140" s="8">
        <f>IF(OR(E140&lt;&gt;"Freezer",J140=""),"",SUMPRODUCT(($E$5:$E$304="Freezer")*($J$5:$J$304&lt;J140))+SUMPRODUCT(($E$5:$E$304="Freezer")*($J$5:$J$304=J140)*(ROW($J$5:$J$304)&lt;ROW()))+1)</f>
        <v>0</v>
      </c>
      <c r="S140" s="7"/>
      <c r="T140" s="27"/>
      <c r="U140" s="28"/>
      <c r="V140" s="27"/>
      <c r="W140" s="7"/>
      <c r="X140" s="26"/>
      <c r="Y140" s="8">
        <f>IF(A140="","",IF(K140="Expired","Bin it",IF(K140="Use soon","Cook it",IF(O140="Low","Running low","Keep"))))</f>
        <v>0</v>
      </c>
      <c r="Z140" s="25"/>
    </row>
    <row r="141" spans="1:26">
      <c r="A141" s="7"/>
      <c r="B141" s="8">
        <f>IF(A141="","",IFERROR(INDEX(Ingredients!$B$5:$B$304,MATCH(A141,Ingredients!$A$5:$A$304,0)),""))</f>
        <v>0</v>
      </c>
      <c r="C141" s="26"/>
      <c r="D141" s="27"/>
      <c r="E141" s="27"/>
      <c r="F141" s="30"/>
      <c r="G141" s="30"/>
      <c r="H141" s="8">
        <f>IF(A141="","",IFERROR(INDEX(Ingredients!$M$5:$M$304,MATCH(A141,Ingredients!$A$5:$A$304,0)),""))</f>
        <v>0</v>
      </c>
      <c r="I141" s="8">
        <f>IF(OR(A141="",H141=""),"",IF(G141&lt;&gt;"",G141+H141,IF(F141&lt;&gt;"",F141+H141,"")))</f>
        <v>0</v>
      </c>
      <c r="J141" s="8">
        <f>IF(OR(A141="",I141=""),"",I141-TODAY())</f>
        <v>0</v>
      </c>
      <c r="K141" s="8">
        <f>IF(A141="","",IF(J141="","No date",IF(J141&lt;0,"Expired",IF(J141&lt;=Expiry_Warning_Days,"Use soon","Fresh"))))</f>
        <v>0</v>
      </c>
      <c r="L141" s="8">
        <f>IF(A141="","",COUNTIFS('Recipe Ingredients'!$B$5:$B$1204,A141))</f>
        <v>0</v>
      </c>
      <c r="M141" s="8">
        <f>IF(A141="","",IFERROR(INDEX(Ingredients!$X$5:$X$304,MATCH(A141,Ingredients!$A$5:$A$304,0)),""))</f>
        <v>0</v>
      </c>
      <c r="N141" s="8">
        <f>IF(OR(A141="",M141=""),"",IF(M141&lt;1,MAX(0,1*IFERROR(IFERROR(INDEX(Ingredients!$U$5:$U$304,MATCH(A141,Ingredients!$A$5:$A$304,0)),""),0)-C141),0))</f>
        <v>0</v>
      </c>
      <c r="O141" s="8">
        <f>IF(A141="","",IF(M141="","",IF(M141&lt;1,"Low","OK")))</f>
        <v>0</v>
      </c>
      <c r="P141" s="8">
        <f>IF(OR(A141="",C141=""),"",IFERROR(C141*IFERROR(INDEX(Ingredients!$D$5:$D$304,MATCH(A141,Ingredients!$A$5:$A$304,0)),""),""))</f>
        <v>0</v>
      </c>
      <c r="Q141" s="8">
        <f>IF(OR(E141&lt;&gt;"Fridge",J141=""),"",SUMPRODUCT(($E$5:$E$304="Fridge")*($J$5:$J$304&lt;J141))+SUMPRODUCT(($E$5:$E$304="Fridge")*($J$5:$J$304=J141)*(ROW($J$5:$J$304)&lt;ROW()))+1)</f>
        <v>0</v>
      </c>
      <c r="R141" s="8">
        <f>IF(OR(E141&lt;&gt;"Freezer",J141=""),"",SUMPRODUCT(($E$5:$E$304="Freezer")*($J$5:$J$304&lt;J141))+SUMPRODUCT(($E$5:$E$304="Freezer")*($J$5:$J$304=J141)*(ROW($J$5:$J$304)&lt;ROW()))+1)</f>
        <v>0</v>
      </c>
      <c r="S141" s="7"/>
      <c r="T141" s="27"/>
      <c r="U141" s="28"/>
      <c r="V141" s="27"/>
      <c r="W141" s="7"/>
      <c r="X141" s="26"/>
      <c r="Y141" s="8">
        <f>IF(A141="","",IF(K141="Expired","Bin it",IF(K141="Use soon","Cook it",IF(O141="Low","Running low","Keep"))))</f>
        <v>0</v>
      </c>
      <c r="Z141" s="25"/>
    </row>
    <row r="142" spans="1:26">
      <c r="A142" s="7"/>
      <c r="B142" s="8">
        <f>IF(A142="","",IFERROR(INDEX(Ingredients!$B$5:$B$304,MATCH(A142,Ingredients!$A$5:$A$304,0)),""))</f>
        <v>0</v>
      </c>
      <c r="C142" s="26"/>
      <c r="D142" s="27"/>
      <c r="E142" s="27"/>
      <c r="F142" s="30"/>
      <c r="G142" s="30"/>
      <c r="H142" s="8">
        <f>IF(A142="","",IFERROR(INDEX(Ingredients!$M$5:$M$304,MATCH(A142,Ingredients!$A$5:$A$304,0)),""))</f>
        <v>0</v>
      </c>
      <c r="I142" s="8">
        <f>IF(OR(A142="",H142=""),"",IF(G142&lt;&gt;"",G142+H142,IF(F142&lt;&gt;"",F142+H142,"")))</f>
        <v>0</v>
      </c>
      <c r="J142" s="8">
        <f>IF(OR(A142="",I142=""),"",I142-TODAY())</f>
        <v>0</v>
      </c>
      <c r="K142" s="8">
        <f>IF(A142="","",IF(J142="","No date",IF(J142&lt;0,"Expired",IF(J142&lt;=Expiry_Warning_Days,"Use soon","Fresh"))))</f>
        <v>0</v>
      </c>
      <c r="L142" s="8">
        <f>IF(A142="","",COUNTIFS('Recipe Ingredients'!$B$5:$B$1204,A142))</f>
        <v>0</v>
      </c>
      <c r="M142" s="8">
        <f>IF(A142="","",IFERROR(INDEX(Ingredients!$X$5:$X$304,MATCH(A142,Ingredients!$A$5:$A$304,0)),""))</f>
        <v>0</v>
      </c>
      <c r="N142" s="8">
        <f>IF(OR(A142="",M142=""),"",IF(M142&lt;1,MAX(0,1*IFERROR(IFERROR(INDEX(Ingredients!$U$5:$U$304,MATCH(A142,Ingredients!$A$5:$A$304,0)),""),0)-C142),0))</f>
        <v>0</v>
      </c>
      <c r="O142" s="8">
        <f>IF(A142="","",IF(M142="","",IF(M142&lt;1,"Low","OK")))</f>
        <v>0</v>
      </c>
      <c r="P142" s="8">
        <f>IF(OR(A142="",C142=""),"",IFERROR(C142*IFERROR(INDEX(Ingredients!$D$5:$D$304,MATCH(A142,Ingredients!$A$5:$A$304,0)),""),""))</f>
        <v>0</v>
      </c>
      <c r="Q142" s="8">
        <f>IF(OR(E142&lt;&gt;"Fridge",J142=""),"",SUMPRODUCT(($E$5:$E$304="Fridge")*($J$5:$J$304&lt;J142))+SUMPRODUCT(($E$5:$E$304="Fridge")*($J$5:$J$304=J142)*(ROW($J$5:$J$304)&lt;ROW()))+1)</f>
        <v>0</v>
      </c>
      <c r="R142" s="8">
        <f>IF(OR(E142&lt;&gt;"Freezer",J142=""),"",SUMPRODUCT(($E$5:$E$304="Freezer")*($J$5:$J$304&lt;J142))+SUMPRODUCT(($E$5:$E$304="Freezer")*($J$5:$J$304=J142)*(ROW($J$5:$J$304)&lt;ROW()))+1)</f>
        <v>0</v>
      </c>
      <c r="S142" s="7"/>
      <c r="T142" s="27"/>
      <c r="U142" s="28"/>
      <c r="V142" s="27"/>
      <c r="W142" s="7"/>
      <c r="X142" s="26"/>
      <c r="Y142" s="8">
        <f>IF(A142="","",IF(K142="Expired","Bin it",IF(K142="Use soon","Cook it",IF(O142="Low","Running low","Keep"))))</f>
        <v>0</v>
      </c>
      <c r="Z142" s="25"/>
    </row>
    <row r="143" spans="1:26">
      <c r="A143" s="7"/>
      <c r="B143" s="8">
        <f>IF(A143="","",IFERROR(INDEX(Ingredients!$B$5:$B$304,MATCH(A143,Ingredients!$A$5:$A$304,0)),""))</f>
        <v>0</v>
      </c>
      <c r="C143" s="26"/>
      <c r="D143" s="27"/>
      <c r="E143" s="27"/>
      <c r="F143" s="30"/>
      <c r="G143" s="30"/>
      <c r="H143" s="8">
        <f>IF(A143="","",IFERROR(INDEX(Ingredients!$M$5:$M$304,MATCH(A143,Ingredients!$A$5:$A$304,0)),""))</f>
        <v>0</v>
      </c>
      <c r="I143" s="8">
        <f>IF(OR(A143="",H143=""),"",IF(G143&lt;&gt;"",G143+H143,IF(F143&lt;&gt;"",F143+H143,"")))</f>
        <v>0</v>
      </c>
      <c r="J143" s="8">
        <f>IF(OR(A143="",I143=""),"",I143-TODAY())</f>
        <v>0</v>
      </c>
      <c r="K143" s="8">
        <f>IF(A143="","",IF(J143="","No date",IF(J143&lt;0,"Expired",IF(J143&lt;=Expiry_Warning_Days,"Use soon","Fresh"))))</f>
        <v>0</v>
      </c>
      <c r="L143" s="8">
        <f>IF(A143="","",COUNTIFS('Recipe Ingredients'!$B$5:$B$1204,A143))</f>
        <v>0</v>
      </c>
      <c r="M143" s="8">
        <f>IF(A143="","",IFERROR(INDEX(Ingredients!$X$5:$X$304,MATCH(A143,Ingredients!$A$5:$A$304,0)),""))</f>
        <v>0</v>
      </c>
      <c r="N143" s="8">
        <f>IF(OR(A143="",M143=""),"",IF(M143&lt;1,MAX(0,1*IFERROR(IFERROR(INDEX(Ingredients!$U$5:$U$304,MATCH(A143,Ingredients!$A$5:$A$304,0)),""),0)-C143),0))</f>
        <v>0</v>
      </c>
      <c r="O143" s="8">
        <f>IF(A143="","",IF(M143="","",IF(M143&lt;1,"Low","OK")))</f>
        <v>0</v>
      </c>
      <c r="P143" s="8">
        <f>IF(OR(A143="",C143=""),"",IFERROR(C143*IFERROR(INDEX(Ingredients!$D$5:$D$304,MATCH(A143,Ingredients!$A$5:$A$304,0)),""),""))</f>
        <v>0</v>
      </c>
      <c r="Q143" s="8">
        <f>IF(OR(E143&lt;&gt;"Fridge",J143=""),"",SUMPRODUCT(($E$5:$E$304="Fridge")*($J$5:$J$304&lt;J143))+SUMPRODUCT(($E$5:$E$304="Fridge")*($J$5:$J$304=J143)*(ROW($J$5:$J$304)&lt;ROW()))+1)</f>
        <v>0</v>
      </c>
      <c r="R143" s="8">
        <f>IF(OR(E143&lt;&gt;"Freezer",J143=""),"",SUMPRODUCT(($E$5:$E$304="Freezer")*($J$5:$J$304&lt;J143))+SUMPRODUCT(($E$5:$E$304="Freezer")*($J$5:$J$304=J143)*(ROW($J$5:$J$304)&lt;ROW()))+1)</f>
        <v>0</v>
      </c>
      <c r="S143" s="7"/>
      <c r="T143" s="27"/>
      <c r="U143" s="28"/>
      <c r="V143" s="27"/>
      <c r="W143" s="7"/>
      <c r="X143" s="26"/>
      <c r="Y143" s="8">
        <f>IF(A143="","",IF(K143="Expired","Bin it",IF(K143="Use soon","Cook it",IF(O143="Low","Running low","Keep"))))</f>
        <v>0</v>
      </c>
      <c r="Z143" s="25"/>
    </row>
    <row r="144" spans="1:26">
      <c r="A144" s="7"/>
      <c r="B144" s="8">
        <f>IF(A144="","",IFERROR(INDEX(Ingredients!$B$5:$B$304,MATCH(A144,Ingredients!$A$5:$A$304,0)),""))</f>
        <v>0</v>
      </c>
      <c r="C144" s="26"/>
      <c r="D144" s="27"/>
      <c r="E144" s="27"/>
      <c r="F144" s="30"/>
      <c r="G144" s="30"/>
      <c r="H144" s="8">
        <f>IF(A144="","",IFERROR(INDEX(Ingredients!$M$5:$M$304,MATCH(A144,Ingredients!$A$5:$A$304,0)),""))</f>
        <v>0</v>
      </c>
      <c r="I144" s="8">
        <f>IF(OR(A144="",H144=""),"",IF(G144&lt;&gt;"",G144+H144,IF(F144&lt;&gt;"",F144+H144,"")))</f>
        <v>0</v>
      </c>
      <c r="J144" s="8">
        <f>IF(OR(A144="",I144=""),"",I144-TODAY())</f>
        <v>0</v>
      </c>
      <c r="K144" s="8">
        <f>IF(A144="","",IF(J144="","No date",IF(J144&lt;0,"Expired",IF(J144&lt;=Expiry_Warning_Days,"Use soon","Fresh"))))</f>
        <v>0</v>
      </c>
      <c r="L144" s="8">
        <f>IF(A144="","",COUNTIFS('Recipe Ingredients'!$B$5:$B$1204,A144))</f>
        <v>0</v>
      </c>
      <c r="M144" s="8">
        <f>IF(A144="","",IFERROR(INDEX(Ingredients!$X$5:$X$304,MATCH(A144,Ingredients!$A$5:$A$304,0)),""))</f>
        <v>0</v>
      </c>
      <c r="N144" s="8">
        <f>IF(OR(A144="",M144=""),"",IF(M144&lt;1,MAX(0,1*IFERROR(IFERROR(INDEX(Ingredients!$U$5:$U$304,MATCH(A144,Ingredients!$A$5:$A$304,0)),""),0)-C144),0))</f>
        <v>0</v>
      </c>
      <c r="O144" s="8">
        <f>IF(A144="","",IF(M144="","",IF(M144&lt;1,"Low","OK")))</f>
        <v>0</v>
      </c>
      <c r="P144" s="8">
        <f>IF(OR(A144="",C144=""),"",IFERROR(C144*IFERROR(INDEX(Ingredients!$D$5:$D$304,MATCH(A144,Ingredients!$A$5:$A$304,0)),""),""))</f>
        <v>0</v>
      </c>
      <c r="Q144" s="8">
        <f>IF(OR(E144&lt;&gt;"Fridge",J144=""),"",SUMPRODUCT(($E$5:$E$304="Fridge")*($J$5:$J$304&lt;J144))+SUMPRODUCT(($E$5:$E$304="Fridge")*($J$5:$J$304=J144)*(ROW($J$5:$J$304)&lt;ROW()))+1)</f>
        <v>0</v>
      </c>
      <c r="R144" s="8">
        <f>IF(OR(E144&lt;&gt;"Freezer",J144=""),"",SUMPRODUCT(($E$5:$E$304="Freezer")*($J$5:$J$304&lt;J144))+SUMPRODUCT(($E$5:$E$304="Freezer")*($J$5:$J$304=J144)*(ROW($J$5:$J$304)&lt;ROW()))+1)</f>
        <v>0</v>
      </c>
      <c r="S144" s="7"/>
      <c r="T144" s="27"/>
      <c r="U144" s="28"/>
      <c r="V144" s="27"/>
      <c r="W144" s="7"/>
      <c r="X144" s="26"/>
      <c r="Y144" s="8">
        <f>IF(A144="","",IF(K144="Expired","Bin it",IF(K144="Use soon","Cook it",IF(O144="Low","Running low","Keep"))))</f>
        <v>0</v>
      </c>
      <c r="Z144" s="25"/>
    </row>
    <row r="145" spans="1:26">
      <c r="A145" s="7"/>
      <c r="B145" s="8">
        <f>IF(A145="","",IFERROR(INDEX(Ingredients!$B$5:$B$304,MATCH(A145,Ingredients!$A$5:$A$304,0)),""))</f>
        <v>0</v>
      </c>
      <c r="C145" s="26"/>
      <c r="D145" s="27"/>
      <c r="E145" s="27"/>
      <c r="F145" s="30"/>
      <c r="G145" s="30"/>
      <c r="H145" s="8">
        <f>IF(A145="","",IFERROR(INDEX(Ingredients!$M$5:$M$304,MATCH(A145,Ingredients!$A$5:$A$304,0)),""))</f>
        <v>0</v>
      </c>
      <c r="I145" s="8">
        <f>IF(OR(A145="",H145=""),"",IF(G145&lt;&gt;"",G145+H145,IF(F145&lt;&gt;"",F145+H145,"")))</f>
        <v>0</v>
      </c>
      <c r="J145" s="8">
        <f>IF(OR(A145="",I145=""),"",I145-TODAY())</f>
        <v>0</v>
      </c>
      <c r="K145" s="8">
        <f>IF(A145="","",IF(J145="","No date",IF(J145&lt;0,"Expired",IF(J145&lt;=Expiry_Warning_Days,"Use soon","Fresh"))))</f>
        <v>0</v>
      </c>
      <c r="L145" s="8">
        <f>IF(A145="","",COUNTIFS('Recipe Ingredients'!$B$5:$B$1204,A145))</f>
        <v>0</v>
      </c>
      <c r="M145" s="8">
        <f>IF(A145="","",IFERROR(INDEX(Ingredients!$X$5:$X$304,MATCH(A145,Ingredients!$A$5:$A$304,0)),""))</f>
        <v>0</v>
      </c>
      <c r="N145" s="8">
        <f>IF(OR(A145="",M145=""),"",IF(M145&lt;1,MAX(0,1*IFERROR(IFERROR(INDEX(Ingredients!$U$5:$U$304,MATCH(A145,Ingredients!$A$5:$A$304,0)),""),0)-C145),0))</f>
        <v>0</v>
      </c>
      <c r="O145" s="8">
        <f>IF(A145="","",IF(M145="","",IF(M145&lt;1,"Low","OK")))</f>
        <v>0</v>
      </c>
      <c r="P145" s="8">
        <f>IF(OR(A145="",C145=""),"",IFERROR(C145*IFERROR(INDEX(Ingredients!$D$5:$D$304,MATCH(A145,Ingredients!$A$5:$A$304,0)),""),""))</f>
        <v>0</v>
      </c>
      <c r="Q145" s="8">
        <f>IF(OR(E145&lt;&gt;"Fridge",J145=""),"",SUMPRODUCT(($E$5:$E$304="Fridge")*($J$5:$J$304&lt;J145))+SUMPRODUCT(($E$5:$E$304="Fridge")*($J$5:$J$304=J145)*(ROW($J$5:$J$304)&lt;ROW()))+1)</f>
        <v>0</v>
      </c>
      <c r="R145" s="8">
        <f>IF(OR(E145&lt;&gt;"Freezer",J145=""),"",SUMPRODUCT(($E$5:$E$304="Freezer")*($J$5:$J$304&lt;J145))+SUMPRODUCT(($E$5:$E$304="Freezer")*($J$5:$J$304=J145)*(ROW($J$5:$J$304)&lt;ROW()))+1)</f>
        <v>0</v>
      </c>
      <c r="S145" s="7"/>
      <c r="T145" s="27"/>
      <c r="U145" s="28"/>
      <c r="V145" s="27"/>
      <c r="W145" s="7"/>
      <c r="X145" s="26"/>
      <c r="Y145" s="8">
        <f>IF(A145="","",IF(K145="Expired","Bin it",IF(K145="Use soon","Cook it",IF(O145="Low","Running low","Keep"))))</f>
        <v>0</v>
      </c>
      <c r="Z145" s="25"/>
    </row>
    <row r="146" spans="1:26">
      <c r="A146" s="7"/>
      <c r="B146" s="8">
        <f>IF(A146="","",IFERROR(INDEX(Ingredients!$B$5:$B$304,MATCH(A146,Ingredients!$A$5:$A$304,0)),""))</f>
        <v>0</v>
      </c>
      <c r="C146" s="26"/>
      <c r="D146" s="27"/>
      <c r="E146" s="27"/>
      <c r="F146" s="30"/>
      <c r="G146" s="30"/>
      <c r="H146" s="8">
        <f>IF(A146="","",IFERROR(INDEX(Ingredients!$M$5:$M$304,MATCH(A146,Ingredients!$A$5:$A$304,0)),""))</f>
        <v>0</v>
      </c>
      <c r="I146" s="8">
        <f>IF(OR(A146="",H146=""),"",IF(G146&lt;&gt;"",G146+H146,IF(F146&lt;&gt;"",F146+H146,"")))</f>
        <v>0</v>
      </c>
      <c r="J146" s="8">
        <f>IF(OR(A146="",I146=""),"",I146-TODAY())</f>
        <v>0</v>
      </c>
      <c r="K146" s="8">
        <f>IF(A146="","",IF(J146="","No date",IF(J146&lt;0,"Expired",IF(J146&lt;=Expiry_Warning_Days,"Use soon","Fresh"))))</f>
        <v>0</v>
      </c>
      <c r="L146" s="8">
        <f>IF(A146="","",COUNTIFS('Recipe Ingredients'!$B$5:$B$1204,A146))</f>
        <v>0</v>
      </c>
      <c r="M146" s="8">
        <f>IF(A146="","",IFERROR(INDEX(Ingredients!$X$5:$X$304,MATCH(A146,Ingredients!$A$5:$A$304,0)),""))</f>
        <v>0</v>
      </c>
      <c r="N146" s="8">
        <f>IF(OR(A146="",M146=""),"",IF(M146&lt;1,MAX(0,1*IFERROR(IFERROR(INDEX(Ingredients!$U$5:$U$304,MATCH(A146,Ingredients!$A$5:$A$304,0)),""),0)-C146),0))</f>
        <v>0</v>
      </c>
      <c r="O146" s="8">
        <f>IF(A146="","",IF(M146="","",IF(M146&lt;1,"Low","OK")))</f>
        <v>0</v>
      </c>
      <c r="P146" s="8">
        <f>IF(OR(A146="",C146=""),"",IFERROR(C146*IFERROR(INDEX(Ingredients!$D$5:$D$304,MATCH(A146,Ingredients!$A$5:$A$304,0)),""),""))</f>
        <v>0</v>
      </c>
      <c r="Q146" s="8">
        <f>IF(OR(E146&lt;&gt;"Fridge",J146=""),"",SUMPRODUCT(($E$5:$E$304="Fridge")*($J$5:$J$304&lt;J146))+SUMPRODUCT(($E$5:$E$304="Fridge")*($J$5:$J$304=J146)*(ROW($J$5:$J$304)&lt;ROW()))+1)</f>
        <v>0</v>
      </c>
      <c r="R146" s="8">
        <f>IF(OR(E146&lt;&gt;"Freezer",J146=""),"",SUMPRODUCT(($E$5:$E$304="Freezer")*($J$5:$J$304&lt;J146))+SUMPRODUCT(($E$5:$E$304="Freezer")*($J$5:$J$304=J146)*(ROW($J$5:$J$304)&lt;ROW()))+1)</f>
        <v>0</v>
      </c>
      <c r="S146" s="7"/>
      <c r="T146" s="27"/>
      <c r="U146" s="28"/>
      <c r="V146" s="27"/>
      <c r="W146" s="7"/>
      <c r="X146" s="26"/>
      <c r="Y146" s="8">
        <f>IF(A146="","",IF(K146="Expired","Bin it",IF(K146="Use soon","Cook it",IF(O146="Low","Running low","Keep"))))</f>
        <v>0</v>
      </c>
      <c r="Z146" s="25"/>
    </row>
    <row r="147" spans="1:26">
      <c r="A147" s="7"/>
      <c r="B147" s="8">
        <f>IF(A147="","",IFERROR(INDEX(Ingredients!$B$5:$B$304,MATCH(A147,Ingredients!$A$5:$A$304,0)),""))</f>
        <v>0</v>
      </c>
      <c r="C147" s="26"/>
      <c r="D147" s="27"/>
      <c r="E147" s="27"/>
      <c r="F147" s="30"/>
      <c r="G147" s="30"/>
      <c r="H147" s="8">
        <f>IF(A147="","",IFERROR(INDEX(Ingredients!$M$5:$M$304,MATCH(A147,Ingredients!$A$5:$A$304,0)),""))</f>
        <v>0</v>
      </c>
      <c r="I147" s="8">
        <f>IF(OR(A147="",H147=""),"",IF(G147&lt;&gt;"",G147+H147,IF(F147&lt;&gt;"",F147+H147,"")))</f>
        <v>0</v>
      </c>
      <c r="J147" s="8">
        <f>IF(OR(A147="",I147=""),"",I147-TODAY())</f>
        <v>0</v>
      </c>
      <c r="K147" s="8">
        <f>IF(A147="","",IF(J147="","No date",IF(J147&lt;0,"Expired",IF(J147&lt;=Expiry_Warning_Days,"Use soon","Fresh"))))</f>
        <v>0</v>
      </c>
      <c r="L147" s="8">
        <f>IF(A147="","",COUNTIFS('Recipe Ingredients'!$B$5:$B$1204,A147))</f>
        <v>0</v>
      </c>
      <c r="M147" s="8">
        <f>IF(A147="","",IFERROR(INDEX(Ingredients!$X$5:$X$304,MATCH(A147,Ingredients!$A$5:$A$304,0)),""))</f>
        <v>0</v>
      </c>
      <c r="N147" s="8">
        <f>IF(OR(A147="",M147=""),"",IF(M147&lt;1,MAX(0,1*IFERROR(IFERROR(INDEX(Ingredients!$U$5:$U$304,MATCH(A147,Ingredients!$A$5:$A$304,0)),""),0)-C147),0))</f>
        <v>0</v>
      </c>
      <c r="O147" s="8">
        <f>IF(A147="","",IF(M147="","",IF(M147&lt;1,"Low","OK")))</f>
        <v>0</v>
      </c>
      <c r="P147" s="8">
        <f>IF(OR(A147="",C147=""),"",IFERROR(C147*IFERROR(INDEX(Ingredients!$D$5:$D$304,MATCH(A147,Ingredients!$A$5:$A$304,0)),""),""))</f>
        <v>0</v>
      </c>
      <c r="Q147" s="8">
        <f>IF(OR(E147&lt;&gt;"Fridge",J147=""),"",SUMPRODUCT(($E$5:$E$304="Fridge")*($J$5:$J$304&lt;J147))+SUMPRODUCT(($E$5:$E$304="Fridge")*($J$5:$J$304=J147)*(ROW($J$5:$J$304)&lt;ROW()))+1)</f>
        <v>0</v>
      </c>
      <c r="R147" s="8">
        <f>IF(OR(E147&lt;&gt;"Freezer",J147=""),"",SUMPRODUCT(($E$5:$E$304="Freezer")*($J$5:$J$304&lt;J147))+SUMPRODUCT(($E$5:$E$304="Freezer")*($J$5:$J$304=J147)*(ROW($J$5:$J$304)&lt;ROW()))+1)</f>
        <v>0</v>
      </c>
      <c r="S147" s="7"/>
      <c r="T147" s="27"/>
      <c r="U147" s="28"/>
      <c r="V147" s="27"/>
      <c r="W147" s="7"/>
      <c r="X147" s="26"/>
      <c r="Y147" s="8">
        <f>IF(A147="","",IF(K147="Expired","Bin it",IF(K147="Use soon","Cook it",IF(O147="Low","Running low","Keep"))))</f>
        <v>0</v>
      </c>
      <c r="Z147" s="25"/>
    </row>
    <row r="148" spans="1:26">
      <c r="A148" s="7"/>
      <c r="B148" s="8">
        <f>IF(A148="","",IFERROR(INDEX(Ingredients!$B$5:$B$304,MATCH(A148,Ingredients!$A$5:$A$304,0)),""))</f>
        <v>0</v>
      </c>
      <c r="C148" s="26"/>
      <c r="D148" s="27"/>
      <c r="E148" s="27"/>
      <c r="F148" s="30"/>
      <c r="G148" s="30"/>
      <c r="H148" s="8">
        <f>IF(A148="","",IFERROR(INDEX(Ingredients!$M$5:$M$304,MATCH(A148,Ingredients!$A$5:$A$304,0)),""))</f>
        <v>0</v>
      </c>
      <c r="I148" s="8">
        <f>IF(OR(A148="",H148=""),"",IF(G148&lt;&gt;"",G148+H148,IF(F148&lt;&gt;"",F148+H148,"")))</f>
        <v>0</v>
      </c>
      <c r="J148" s="8">
        <f>IF(OR(A148="",I148=""),"",I148-TODAY())</f>
        <v>0</v>
      </c>
      <c r="K148" s="8">
        <f>IF(A148="","",IF(J148="","No date",IF(J148&lt;0,"Expired",IF(J148&lt;=Expiry_Warning_Days,"Use soon","Fresh"))))</f>
        <v>0</v>
      </c>
      <c r="L148" s="8">
        <f>IF(A148="","",COUNTIFS('Recipe Ingredients'!$B$5:$B$1204,A148))</f>
        <v>0</v>
      </c>
      <c r="M148" s="8">
        <f>IF(A148="","",IFERROR(INDEX(Ingredients!$X$5:$X$304,MATCH(A148,Ingredients!$A$5:$A$304,0)),""))</f>
        <v>0</v>
      </c>
      <c r="N148" s="8">
        <f>IF(OR(A148="",M148=""),"",IF(M148&lt;1,MAX(0,1*IFERROR(IFERROR(INDEX(Ingredients!$U$5:$U$304,MATCH(A148,Ingredients!$A$5:$A$304,0)),""),0)-C148),0))</f>
        <v>0</v>
      </c>
      <c r="O148" s="8">
        <f>IF(A148="","",IF(M148="","",IF(M148&lt;1,"Low","OK")))</f>
        <v>0</v>
      </c>
      <c r="P148" s="8">
        <f>IF(OR(A148="",C148=""),"",IFERROR(C148*IFERROR(INDEX(Ingredients!$D$5:$D$304,MATCH(A148,Ingredients!$A$5:$A$304,0)),""),""))</f>
        <v>0</v>
      </c>
      <c r="Q148" s="8">
        <f>IF(OR(E148&lt;&gt;"Fridge",J148=""),"",SUMPRODUCT(($E$5:$E$304="Fridge")*($J$5:$J$304&lt;J148))+SUMPRODUCT(($E$5:$E$304="Fridge")*($J$5:$J$304=J148)*(ROW($J$5:$J$304)&lt;ROW()))+1)</f>
        <v>0</v>
      </c>
      <c r="R148" s="8">
        <f>IF(OR(E148&lt;&gt;"Freezer",J148=""),"",SUMPRODUCT(($E$5:$E$304="Freezer")*($J$5:$J$304&lt;J148))+SUMPRODUCT(($E$5:$E$304="Freezer")*($J$5:$J$304=J148)*(ROW($J$5:$J$304)&lt;ROW()))+1)</f>
        <v>0</v>
      </c>
      <c r="S148" s="7"/>
      <c r="T148" s="27"/>
      <c r="U148" s="28"/>
      <c r="V148" s="27"/>
      <c r="W148" s="7"/>
      <c r="X148" s="26"/>
      <c r="Y148" s="8">
        <f>IF(A148="","",IF(K148="Expired","Bin it",IF(K148="Use soon","Cook it",IF(O148="Low","Running low","Keep"))))</f>
        <v>0</v>
      </c>
      <c r="Z148" s="25"/>
    </row>
    <row r="149" spans="1:26">
      <c r="A149" s="7"/>
      <c r="B149" s="8">
        <f>IF(A149="","",IFERROR(INDEX(Ingredients!$B$5:$B$304,MATCH(A149,Ingredients!$A$5:$A$304,0)),""))</f>
        <v>0</v>
      </c>
      <c r="C149" s="26"/>
      <c r="D149" s="27"/>
      <c r="E149" s="27"/>
      <c r="F149" s="30"/>
      <c r="G149" s="30"/>
      <c r="H149" s="8">
        <f>IF(A149="","",IFERROR(INDEX(Ingredients!$M$5:$M$304,MATCH(A149,Ingredients!$A$5:$A$304,0)),""))</f>
        <v>0</v>
      </c>
      <c r="I149" s="8">
        <f>IF(OR(A149="",H149=""),"",IF(G149&lt;&gt;"",G149+H149,IF(F149&lt;&gt;"",F149+H149,"")))</f>
        <v>0</v>
      </c>
      <c r="J149" s="8">
        <f>IF(OR(A149="",I149=""),"",I149-TODAY())</f>
        <v>0</v>
      </c>
      <c r="K149" s="8">
        <f>IF(A149="","",IF(J149="","No date",IF(J149&lt;0,"Expired",IF(J149&lt;=Expiry_Warning_Days,"Use soon","Fresh"))))</f>
        <v>0</v>
      </c>
      <c r="L149" s="8">
        <f>IF(A149="","",COUNTIFS('Recipe Ingredients'!$B$5:$B$1204,A149))</f>
        <v>0</v>
      </c>
      <c r="M149" s="8">
        <f>IF(A149="","",IFERROR(INDEX(Ingredients!$X$5:$X$304,MATCH(A149,Ingredients!$A$5:$A$304,0)),""))</f>
        <v>0</v>
      </c>
      <c r="N149" s="8">
        <f>IF(OR(A149="",M149=""),"",IF(M149&lt;1,MAX(0,1*IFERROR(IFERROR(INDEX(Ingredients!$U$5:$U$304,MATCH(A149,Ingredients!$A$5:$A$304,0)),""),0)-C149),0))</f>
        <v>0</v>
      </c>
      <c r="O149" s="8">
        <f>IF(A149="","",IF(M149="","",IF(M149&lt;1,"Low","OK")))</f>
        <v>0</v>
      </c>
      <c r="P149" s="8">
        <f>IF(OR(A149="",C149=""),"",IFERROR(C149*IFERROR(INDEX(Ingredients!$D$5:$D$304,MATCH(A149,Ingredients!$A$5:$A$304,0)),""),""))</f>
        <v>0</v>
      </c>
      <c r="Q149" s="8">
        <f>IF(OR(E149&lt;&gt;"Fridge",J149=""),"",SUMPRODUCT(($E$5:$E$304="Fridge")*($J$5:$J$304&lt;J149))+SUMPRODUCT(($E$5:$E$304="Fridge")*($J$5:$J$304=J149)*(ROW($J$5:$J$304)&lt;ROW()))+1)</f>
        <v>0</v>
      </c>
      <c r="R149" s="8">
        <f>IF(OR(E149&lt;&gt;"Freezer",J149=""),"",SUMPRODUCT(($E$5:$E$304="Freezer")*($J$5:$J$304&lt;J149))+SUMPRODUCT(($E$5:$E$304="Freezer")*($J$5:$J$304=J149)*(ROW($J$5:$J$304)&lt;ROW()))+1)</f>
        <v>0</v>
      </c>
      <c r="S149" s="7"/>
      <c r="T149" s="27"/>
      <c r="U149" s="28"/>
      <c r="V149" s="27"/>
      <c r="W149" s="7"/>
      <c r="X149" s="26"/>
      <c r="Y149" s="8">
        <f>IF(A149="","",IF(K149="Expired","Bin it",IF(K149="Use soon","Cook it",IF(O149="Low","Running low","Keep"))))</f>
        <v>0</v>
      </c>
      <c r="Z149" s="25"/>
    </row>
    <row r="150" spans="1:26">
      <c r="A150" s="7"/>
      <c r="B150" s="8">
        <f>IF(A150="","",IFERROR(INDEX(Ingredients!$B$5:$B$304,MATCH(A150,Ingredients!$A$5:$A$304,0)),""))</f>
        <v>0</v>
      </c>
      <c r="C150" s="26"/>
      <c r="D150" s="27"/>
      <c r="E150" s="27"/>
      <c r="F150" s="30"/>
      <c r="G150" s="30"/>
      <c r="H150" s="8">
        <f>IF(A150="","",IFERROR(INDEX(Ingredients!$M$5:$M$304,MATCH(A150,Ingredients!$A$5:$A$304,0)),""))</f>
        <v>0</v>
      </c>
      <c r="I150" s="8">
        <f>IF(OR(A150="",H150=""),"",IF(G150&lt;&gt;"",G150+H150,IF(F150&lt;&gt;"",F150+H150,"")))</f>
        <v>0</v>
      </c>
      <c r="J150" s="8">
        <f>IF(OR(A150="",I150=""),"",I150-TODAY())</f>
        <v>0</v>
      </c>
      <c r="K150" s="8">
        <f>IF(A150="","",IF(J150="","No date",IF(J150&lt;0,"Expired",IF(J150&lt;=Expiry_Warning_Days,"Use soon","Fresh"))))</f>
        <v>0</v>
      </c>
      <c r="L150" s="8">
        <f>IF(A150="","",COUNTIFS('Recipe Ingredients'!$B$5:$B$1204,A150))</f>
        <v>0</v>
      </c>
      <c r="M150" s="8">
        <f>IF(A150="","",IFERROR(INDEX(Ingredients!$X$5:$X$304,MATCH(A150,Ingredients!$A$5:$A$304,0)),""))</f>
        <v>0</v>
      </c>
      <c r="N150" s="8">
        <f>IF(OR(A150="",M150=""),"",IF(M150&lt;1,MAX(0,1*IFERROR(IFERROR(INDEX(Ingredients!$U$5:$U$304,MATCH(A150,Ingredients!$A$5:$A$304,0)),""),0)-C150),0))</f>
        <v>0</v>
      </c>
      <c r="O150" s="8">
        <f>IF(A150="","",IF(M150="","",IF(M150&lt;1,"Low","OK")))</f>
        <v>0</v>
      </c>
      <c r="P150" s="8">
        <f>IF(OR(A150="",C150=""),"",IFERROR(C150*IFERROR(INDEX(Ingredients!$D$5:$D$304,MATCH(A150,Ingredients!$A$5:$A$304,0)),""),""))</f>
        <v>0</v>
      </c>
      <c r="Q150" s="8">
        <f>IF(OR(E150&lt;&gt;"Fridge",J150=""),"",SUMPRODUCT(($E$5:$E$304="Fridge")*($J$5:$J$304&lt;J150))+SUMPRODUCT(($E$5:$E$304="Fridge")*($J$5:$J$304=J150)*(ROW($J$5:$J$304)&lt;ROW()))+1)</f>
        <v>0</v>
      </c>
      <c r="R150" s="8">
        <f>IF(OR(E150&lt;&gt;"Freezer",J150=""),"",SUMPRODUCT(($E$5:$E$304="Freezer")*($J$5:$J$304&lt;J150))+SUMPRODUCT(($E$5:$E$304="Freezer")*($J$5:$J$304=J150)*(ROW($J$5:$J$304)&lt;ROW()))+1)</f>
        <v>0</v>
      </c>
      <c r="S150" s="7"/>
      <c r="T150" s="27"/>
      <c r="U150" s="28"/>
      <c r="V150" s="27"/>
      <c r="W150" s="7"/>
      <c r="X150" s="26"/>
      <c r="Y150" s="8">
        <f>IF(A150="","",IF(K150="Expired","Bin it",IF(K150="Use soon","Cook it",IF(O150="Low","Running low","Keep"))))</f>
        <v>0</v>
      </c>
      <c r="Z150" s="25"/>
    </row>
    <row r="151" spans="1:26">
      <c r="A151" s="7"/>
      <c r="B151" s="8">
        <f>IF(A151="","",IFERROR(INDEX(Ingredients!$B$5:$B$304,MATCH(A151,Ingredients!$A$5:$A$304,0)),""))</f>
        <v>0</v>
      </c>
      <c r="C151" s="26"/>
      <c r="D151" s="27"/>
      <c r="E151" s="27"/>
      <c r="F151" s="30"/>
      <c r="G151" s="30"/>
      <c r="H151" s="8">
        <f>IF(A151="","",IFERROR(INDEX(Ingredients!$M$5:$M$304,MATCH(A151,Ingredients!$A$5:$A$304,0)),""))</f>
        <v>0</v>
      </c>
      <c r="I151" s="8">
        <f>IF(OR(A151="",H151=""),"",IF(G151&lt;&gt;"",G151+H151,IF(F151&lt;&gt;"",F151+H151,"")))</f>
        <v>0</v>
      </c>
      <c r="J151" s="8">
        <f>IF(OR(A151="",I151=""),"",I151-TODAY())</f>
        <v>0</v>
      </c>
      <c r="K151" s="8">
        <f>IF(A151="","",IF(J151="","No date",IF(J151&lt;0,"Expired",IF(J151&lt;=Expiry_Warning_Days,"Use soon","Fresh"))))</f>
        <v>0</v>
      </c>
      <c r="L151" s="8">
        <f>IF(A151="","",COUNTIFS('Recipe Ingredients'!$B$5:$B$1204,A151))</f>
        <v>0</v>
      </c>
      <c r="M151" s="8">
        <f>IF(A151="","",IFERROR(INDEX(Ingredients!$X$5:$X$304,MATCH(A151,Ingredients!$A$5:$A$304,0)),""))</f>
        <v>0</v>
      </c>
      <c r="N151" s="8">
        <f>IF(OR(A151="",M151=""),"",IF(M151&lt;1,MAX(0,1*IFERROR(IFERROR(INDEX(Ingredients!$U$5:$U$304,MATCH(A151,Ingredients!$A$5:$A$304,0)),""),0)-C151),0))</f>
        <v>0</v>
      </c>
      <c r="O151" s="8">
        <f>IF(A151="","",IF(M151="","",IF(M151&lt;1,"Low","OK")))</f>
        <v>0</v>
      </c>
      <c r="P151" s="8">
        <f>IF(OR(A151="",C151=""),"",IFERROR(C151*IFERROR(INDEX(Ingredients!$D$5:$D$304,MATCH(A151,Ingredients!$A$5:$A$304,0)),""),""))</f>
        <v>0</v>
      </c>
      <c r="Q151" s="8">
        <f>IF(OR(E151&lt;&gt;"Fridge",J151=""),"",SUMPRODUCT(($E$5:$E$304="Fridge")*($J$5:$J$304&lt;J151))+SUMPRODUCT(($E$5:$E$304="Fridge")*($J$5:$J$304=J151)*(ROW($J$5:$J$304)&lt;ROW()))+1)</f>
        <v>0</v>
      </c>
      <c r="R151" s="8">
        <f>IF(OR(E151&lt;&gt;"Freezer",J151=""),"",SUMPRODUCT(($E$5:$E$304="Freezer")*($J$5:$J$304&lt;J151))+SUMPRODUCT(($E$5:$E$304="Freezer")*($J$5:$J$304=J151)*(ROW($J$5:$J$304)&lt;ROW()))+1)</f>
        <v>0</v>
      </c>
      <c r="S151" s="7"/>
      <c r="T151" s="27"/>
      <c r="U151" s="28"/>
      <c r="V151" s="27"/>
      <c r="W151" s="7"/>
      <c r="X151" s="26"/>
      <c r="Y151" s="8">
        <f>IF(A151="","",IF(K151="Expired","Bin it",IF(K151="Use soon","Cook it",IF(O151="Low","Running low","Keep"))))</f>
        <v>0</v>
      </c>
      <c r="Z151" s="25"/>
    </row>
    <row r="152" spans="1:26">
      <c r="A152" s="7"/>
      <c r="B152" s="8">
        <f>IF(A152="","",IFERROR(INDEX(Ingredients!$B$5:$B$304,MATCH(A152,Ingredients!$A$5:$A$304,0)),""))</f>
        <v>0</v>
      </c>
      <c r="C152" s="26"/>
      <c r="D152" s="27"/>
      <c r="E152" s="27"/>
      <c r="F152" s="30"/>
      <c r="G152" s="30"/>
      <c r="H152" s="8">
        <f>IF(A152="","",IFERROR(INDEX(Ingredients!$M$5:$M$304,MATCH(A152,Ingredients!$A$5:$A$304,0)),""))</f>
        <v>0</v>
      </c>
      <c r="I152" s="8">
        <f>IF(OR(A152="",H152=""),"",IF(G152&lt;&gt;"",G152+H152,IF(F152&lt;&gt;"",F152+H152,"")))</f>
        <v>0</v>
      </c>
      <c r="J152" s="8">
        <f>IF(OR(A152="",I152=""),"",I152-TODAY())</f>
        <v>0</v>
      </c>
      <c r="K152" s="8">
        <f>IF(A152="","",IF(J152="","No date",IF(J152&lt;0,"Expired",IF(J152&lt;=Expiry_Warning_Days,"Use soon","Fresh"))))</f>
        <v>0</v>
      </c>
      <c r="L152" s="8">
        <f>IF(A152="","",COUNTIFS('Recipe Ingredients'!$B$5:$B$1204,A152))</f>
        <v>0</v>
      </c>
      <c r="M152" s="8">
        <f>IF(A152="","",IFERROR(INDEX(Ingredients!$X$5:$X$304,MATCH(A152,Ingredients!$A$5:$A$304,0)),""))</f>
        <v>0</v>
      </c>
      <c r="N152" s="8">
        <f>IF(OR(A152="",M152=""),"",IF(M152&lt;1,MAX(0,1*IFERROR(IFERROR(INDEX(Ingredients!$U$5:$U$304,MATCH(A152,Ingredients!$A$5:$A$304,0)),""),0)-C152),0))</f>
        <v>0</v>
      </c>
      <c r="O152" s="8">
        <f>IF(A152="","",IF(M152="","",IF(M152&lt;1,"Low","OK")))</f>
        <v>0</v>
      </c>
      <c r="P152" s="8">
        <f>IF(OR(A152="",C152=""),"",IFERROR(C152*IFERROR(INDEX(Ingredients!$D$5:$D$304,MATCH(A152,Ingredients!$A$5:$A$304,0)),""),""))</f>
        <v>0</v>
      </c>
      <c r="Q152" s="8">
        <f>IF(OR(E152&lt;&gt;"Fridge",J152=""),"",SUMPRODUCT(($E$5:$E$304="Fridge")*($J$5:$J$304&lt;J152))+SUMPRODUCT(($E$5:$E$304="Fridge")*($J$5:$J$304=J152)*(ROW($J$5:$J$304)&lt;ROW()))+1)</f>
        <v>0</v>
      </c>
      <c r="R152" s="8">
        <f>IF(OR(E152&lt;&gt;"Freezer",J152=""),"",SUMPRODUCT(($E$5:$E$304="Freezer")*($J$5:$J$304&lt;J152))+SUMPRODUCT(($E$5:$E$304="Freezer")*($J$5:$J$304=J152)*(ROW($J$5:$J$304)&lt;ROW()))+1)</f>
        <v>0</v>
      </c>
      <c r="S152" s="7"/>
      <c r="T152" s="27"/>
      <c r="U152" s="28"/>
      <c r="V152" s="27"/>
      <c r="W152" s="7"/>
      <c r="X152" s="26"/>
      <c r="Y152" s="8">
        <f>IF(A152="","",IF(K152="Expired","Bin it",IF(K152="Use soon","Cook it",IF(O152="Low","Running low","Keep"))))</f>
        <v>0</v>
      </c>
      <c r="Z152" s="25"/>
    </row>
    <row r="153" spans="1:26">
      <c r="A153" s="7"/>
      <c r="B153" s="8">
        <f>IF(A153="","",IFERROR(INDEX(Ingredients!$B$5:$B$304,MATCH(A153,Ingredients!$A$5:$A$304,0)),""))</f>
        <v>0</v>
      </c>
      <c r="C153" s="26"/>
      <c r="D153" s="27"/>
      <c r="E153" s="27"/>
      <c r="F153" s="30"/>
      <c r="G153" s="30"/>
      <c r="H153" s="8">
        <f>IF(A153="","",IFERROR(INDEX(Ingredients!$M$5:$M$304,MATCH(A153,Ingredients!$A$5:$A$304,0)),""))</f>
        <v>0</v>
      </c>
      <c r="I153" s="8">
        <f>IF(OR(A153="",H153=""),"",IF(G153&lt;&gt;"",G153+H153,IF(F153&lt;&gt;"",F153+H153,"")))</f>
        <v>0</v>
      </c>
      <c r="J153" s="8">
        <f>IF(OR(A153="",I153=""),"",I153-TODAY())</f>
        <v>0</v>
      </c>
      <c r="K153" s="8">
        <f>IF(A153="","",IF(J153="","No date",IF(J153&lt;0,"Expired",IF(J153&lt;=Expiry_Warning_Days,"Use soon","Fresh"))))</f>
        <v>0</v>
      </c>
      <c r="L153" s="8">
        <f>IF(A153="","",COUNTIFS('Recipe Ingredients'!$B$5:$B$1204,A153))</f>
        <v>0</v>
      </c>
      <c r="M153" s="8">
        <f>IF(A153="","",IFERROR(INDEX(Ingredients!$X$5:$X$304,MATCH(A153,Ingredients!$A$5:$A$304,0)),""))</f>
        <v>0</v>
      </c>
      <c r="N153" s="8">
        <f>IF(OR(A153="",M153=""),"",IF(M153&lt;1,MAX(0,1*IFERROR(IFERROR(INDEX(Ingredients!$U$5:$U$304,MATCH(A153,Ingredients!$A$5:$A$304,0)),""),0)-C153),0))</f>
        <v>0</v>
      </c>
      <c r="O153" s="8">
        <f>IF(A153="","",IF(M153="","",IF(M153&lt;1,"Low","OK")))</f>
        <v>0</v>
      </c>
      <c r="P153" s="8">
        <f>IF(OR(A153="",C153=""),"",IFERROR(C153*IFERROR(INDEX(Ingredients!$D$5:$D$304,MATCH(A153,Ingredients!$A$5:$A$304,0)),""),""))</f>
        <v>0</v>
      </c>
      <c r="Q153" s="8">
        <f>IF(OR(E153&lt;&gt;"Fridge",J153=""),"",SUMPRODUCT(($E$5:$E$304="Fridge")*($J$5:$J$304&lt;J153))+SUMPRODUCT(($E$5:$E$304="Fridge")*($J$5:$J$304=J153)*(ROW($J$5:$J$304)&lt;ROW()))+1)</f>
        <v>0</v>
      </c>
      <c r="R153" s="8">
        <f>IF(OR(E153&lt;&gt;"Freezer",J153=""),"",SUMPRODUCT(($E$5:$E$304="Freezer")*($J$5:$J$304&lt;J153))+SUMPRODUCT(($E$5:$E$304="Freezer")*($J$5:$J$304=J153)*(ROW($J$5:$J$304)&lt;ROW()))+1)</f>
        <v>0</v>
      </c>
      <c r="S153" s="7"/>
      <c r="T153" s="27"/>
      <c r="U153" s="28"/>
      <c r="V153" s="27"/>
      <c r="W153" s="7"/>
      <c r="X153" s="26"/>
      <c r="Y153" s="8">
        <f>IF(A153="","",IF(K153="Expired","Bin it",IF(K153="Use soon","Cook it",IF(O153="Low","Running low","Keep"))))</f>
        <v>0</v>
      </c>
      <c r="Z153" s="25"/>
    </row>
    <row r="154" spans="1:26">
      <c r="A154" s="7"/>
      <c r="B154" s="8">
        <f>IF(A154="","",IFERROR(INDEX(Ingredients!$B$5:$B$304,MATCH(A154,Ingredients!$A$5:$A$304,0)),""))</f>
        <v>0</v>
      </c>
      <c r="C154" s="26"/>
      <c r="D154" s="27"/>
      <c r="E154" s="27"/>
      <c r="F154" s="30"/>
      <c r="G154" s="30"/>
      <c r="H154" s="8">
        <f>IF(A154="","",IFERROR(INDEX(Ingredients!$M$5:$M$304,MATCH(A154,Ingredients!$A$5:$A$304,0)),""))</f>
        <v>0</v>
      </c>
      <c r="I154" s="8">
        <f>IF(OR(A154="",H154=""),"",IF(G154&lt;&gt;"",G154+H154,IF(F154&lt;&gt;"",F154+H154,"")))</f>
        <v>0</v>
      </c>
      <c r="J154" s="8">
        <f>IF(OR(A154="",I154=""),"",I154-TODAY())</f>
        <v>0</v>
      </c>
      <c r="K154" s="8">
        <f>IF(A154="","",IF(J154="","No date",IF(J154&lt;0,"Expired",IF(J154&lt;=Expiry_Warning_Days,"Use soon","Fresh"))))</f>
        <v>0</v>
      </c>
      <c r="L154" s="8">
        <f>IF(A154="","",COUNTIFS('Recipe Ingredients'!$B$5:$B$1204,A154))</f>
        <v>0</v>
      </c>
      <c r="M154" s="8">
        <f>IF(A154="","",IFERROR(INDEX(Ingredients!$X$5:$X$304,MATCH(A154,Ingredients!$A$5:$A$304,0)),""))</f>
        <v>0</v>
      </c>
      <c r="N154" s="8">
        <f>IF(OR(A154="",M154=""),"",IF(M154&lt;1,MAX(0,1*IFERROR(IFERROR(INDEX(Ingredients!$U$5:$U$304,MATCH(A154,Ingredients!$A$5:$A$304,0)),""),0)-C154),0))</f>
        <v>0</v>
      </c>
      <c r="O154" s="8">
        <f>IF(A154="","",IF(M154="","",IF(M154&lt;1,"Low","OK")))</f>
        <v>0</v>
      </c>
      <c r="P154" s="8">
        <f>IF(OR(A154="",C154=""),"",IFERROR(C154*IFERROR(INDEX(Ingredients!$D$5:$D$304,MATCH(A154,Ingredients!$A$5:$A$304,0)),""),""))</f>
        <v>0</v>
      </c>
      <c r="Q154" s="8">
        <f>IF(OR(E154&lt;&gt;"Fridge",J154=""),"",SUMPRODUCT(($E$5:$E$304="Fridge")*($J$5:$J$304&lt;J154))+SUMPRODUCT(($E$5:$E$304="Fridge")*($J$5:$J$304=J154)*(ROW($J$5:$J$304)&lt;ROW()))+1)</f>
        <v>0</v>
      </c>
      <c r="R154" s="8">
        <f>IF(OR(E154&lt;&gt;"Freezer",J154=""),"",SUMPRODUCT(($E$5:$E$304="Freezer")*($J$5:$J$304&lt;J154))+SUMPRODUCT(($E$5:$E$304="Freezer")*($J$5:$J$304=J154)*(ROW($J$5:$J$304)&lt;ROW()))+1)</f>
        <v>0</v>
      </c>
      <c r="S154" s="7"/>
      <c r="T154" s="27"/>
      <c r="U154" s="28"/>
      <c r="V154" s="27"/>
      <c r="W154" s="7"/>
      <c r="X154" s="26"/>
      <c r="Y154" s="8">
        <f>IF(A154="","",IF(K154="Expired","Bin it",IF(K154="Use soon","Cook it",IF(O154="Low","Running low","Keep"))))</f>
        <v>0</v>
      </c>
      <c r="Z154" s="25"/>
    </row>
    <row r="155" spans="1:26">
      <c r="A155" s="7"/>
      <c r="B155" s="8">
        <f>IF(A155="","",IFERROR(INDEX(Ingredients!$B$5:$B$304,MATCH(A155,Ingredients!$A$5:$A$304,0)),""))</f>
        <v>0</v>
      </c>
      <c r="C155" s="26"/>
      <c r="D155" s="27"/>
      <c r="E155" s="27"/>
      <c r="F155" s="30"/>
      <c r="G155" s="30"/>
      <c r="H155" s="8">
        <f>IF(A155="","",IFERROR(INDEX(Ingredients!$M$5:$M$304,MATCH(A155,Ingredients!$A$5:$A$304,0)),""))</f>
        <v>0</v>
      </c>
      <c r="I155" s="8">
        <f>IF(OR(A155="",H155=""),"",IF(G155&lt;&gt;"",G155+H155,IF(F155&lt;&gt;"",F155+H155,"")))</f>
        <v>0</v>
      </c>
      <c r="J155" s="8">
        <f>IF(OR(A155="",I155=""),"",I155-TODAY())</f>
        <v>0</v>
      </c>
      <c r="K155" s="8">
        <f>IF(A155="","",IF(J155="","No date",IF(J155&lt;0,"Expired",IF(J155&lt;=Expiry_Warning_Days,"Use soon","Fresh"))))</f>
        <v>0</v>
      </c>
      <c r="L155" s="8">
        <f>IF(A155="","",COUNTIFS('Recipe Ingredients'!$B$5:$B$1204,A155))</f>
        <v>0</v>
      </c>
      <c r="M155" s="8">
        <f>IF(A155="","",IFERROR(INDEX(Ingredients!$X$5:$X$304,MATCH(A155,Ingredients!$A$5:$A$304,0)),""))</f>
        <v>0</v>
      </c>
      <c r="N155" s="8">
        <f>IF(OR(A155="",M155=""),"",IF(M155&lt;1,MAX(0,1*IFERROR(IFERROR(INDEX(Ingredients!$U$5:$U$304,MATCH(A155,Ingredients!$A$5:$A$304,0)),""),0)-C155),0))</f>
        <v>0</v>
      </c>
      <c r="O155" s="8">
        <f>IF(A155="","",IF(M155="","",IF(M155&lt;1,"Low","OK")))</f>
        <v>0</v>
      </c>
      <c r="P155" s="8">
        <f>IF(OR(A155="",C155=""),"",IFERROR(C155*IFERROR(INDEX(Ingredients!$D$5:$D$304,MATCH(A155,Ingredients!$A$5:$A$304,0)),""),""))</f>
        <v>0</v>
      </c>
      <c r="Q155" s="8">
        <f>IF(OR(E155&lt;&gt;"Fridge",J155=""),"",SUMPRODUCT(($E$5:$E$304="Fridge")*($J$5:$J$304&lt;J155))+SUMPRODUCT(($E$5:$E$304="Fridge")*($J$5:$J$304=J155)*(ROW($J$5:$J$304)&lt;ROW()))+1)</f>
        <v>0</v>
      </c>
      <c r="R155" s="8">
        <f>IF(OR(E155&lt;&gt;"Freezer",J155=""),"",SUMPRODUCT(($E$5:$E$304="Freezer")*($J$5:$J$304&lt;J155))+SUMPRODUCT(($E$5:$E$304="Freezer")*($J$5:$J$304=J155)*(ROW($J$5:$J$304)&lt;ROW()))+1)</f>
        <v>0</v>
      </c>
      <c r="S155" s="7"/>
      <c r="T155" s="27"/>
      <c r="U155" s="28"/>
      <c r="V155" s="27"/>
      <c r="W155" s="7"/>
      <c r="X155" s="26"/>
      <c r="Y155" s="8">
        <f>IF(A155="","",IF(K155="Expired","Bin it",IF(K155="Use soon","Cook it",IF(O155="Low","Running low","Keep"))))</f>
        <v>0</v>
      </c>
      <c r="Z155" s="25"/>
    </row>
    <row r="156" spans="1:26">
      <c r="A156" s="7"/>
      <c r="B156" s="8">
        <f>IF(A156="","",IFERROR(INDEX(Ingredients!$B$5:$B$304,MATCH(A156,Ingredients!$A$5:$A$304,0)),""))</f>
        <v>0</v>
      </c>
      <c r="C156" s="26"/>
      <c r="D156" s="27"/>
      <c r="E156" s="27"/>
      <c r="F156" s="30"/>
      <c r="G156" s="30"/>
      <c r="H156" s="8">
        <f>IF(A156="","",IFERROR(INDEX(Ingredients!$M$5:$M$304,MATCH(A156,Ingredients!$A$5:$A$304,0)),""))</f>
        <v>0</v>
      </c>
      <c r="I156" s="8">
        <f>IF(OR(A156="",H156=""),"",IF(G156&lt;&gt;"",G156+H156,IF(F156&lt;&gt;"",F156+H156,"")))</f>
        <v>0</v>
      </c>
      <c r="J156" s="8">
        <f>IF(OR(A156="",I156=""),"",I156-TODAY())</f>
        <v>0</v>
      </c>
      <c r="K156" s="8">
        <f>IF(A156="","",IF(J156="","No date",IF(J156&lt;0,"Expired",IF(J156&lt;=Expiry_Warning_Days,"Use soon","Fresh"))))</f>
        <v>0</v>
      </c>
      <c r="L156" s="8">
        <f>IF(A156="","",COUNTIFS('Recipe Ingredients'!$B$5:$B$1204,A156))</f>
        <v>0</v>
      </c>
      <c r="M156" s="8">
        <f>IF(A156="","",IFERROR(INDEX(Ingredients!$X$5:$X$304,MATCH(A156,Ingredients!$A$5:$A$304,0)),""))</f>
        <v>0</v>
      </c>
      <c r="N156" s="8">
        <f>IF(OR(A156="",M156=""),"",IF(M156&lt;1,MAX(0,1*IFERROR(IFERROR(INDEX(Ingredients!$U$5:$U$304,MATCH(A156,Ingredients!$A$5:$A$304,0)),""),0)-C156),0))</f>
        <v>0</v>
      </c>
      <c r="O156" s="8">
        <f>IF(A156="","",IF(M156="","",IF(M156&lt;1,"Low","OK")))</f>
        <v>0</v>
      </c>
      <c r="P156" s="8">
        <f>IF(OR(A156="",C156=""),"",IFERROR(C156*IFERROR(INDEX(Ingredients!$D$5:$D$304,MATCH(A156,Ingredients!$A$5:$A$304,0)),""),""))</f>
        <v>0</v>
      </c>
      <c r="Q156" s="8">
        <f>IF(OR(E156&lt;&gt;"Fridge",J156=""),"",SUMPRODUCT(($E$5:$E$304="Fridge")*($J$5:$J$304&lt;J156))+SUMPRODUCT(($E$5:$E$304="Fridge")*($J$5:$J$304=J156)*(ROW($J$5:$J$304)&lt;ROW()))+1)</f>
        <v>0</v>
      </c>
      <c r="R156" s="8">
        <f>IF(OR(E156&lt;&gt;"Freezer",J156=""),"",SUMPRODUCT(($E$5:$E$304="Freezer")*($J$5:$J$304&lt;J156))+SUMPRODUCT(($E$5:$E$304="Freezer")*($J$5:$J$304=J156)*(ROW($J$5:$J$304)&lt;ROW()))+1)</f>
        <v>0</v>
      </c>
      <c r="S156" s="7"/>
      <c r="T156" s="27"/>
      <c r="U156" s="28"/>
      <c r="V156" s="27"/>
      <c r="W156" s="7"/>
      <c r="X156" s="26"/>
      <c r="Y156" s="8">
        <f>IF(A156="","",IF(K156="Expired","Bin it",IF(K156="Use soon","Cook it",IF(O156="Low","Running low","Keep"))))</f>
        <v>0</v>
      </c>
      <c r="Z156" s="25"/>
    </row>
    <row r="157" spans="1:26">
      <c r="A157" s="7"/>
      <c r="B157" s="8">
        <f>IF(A157="","",IFERROR(INDEX(Ingredients!$B$5:$B$304,MATCH(A157,Ingredients!$A$5:$A$304,0)),""))</f>
        <v>0</v>
      </c>
      <c r="C157" s="26"/>
      <c r="D157" s="27"/>
      <c r="E157" s="27"/>
      <c r="F157" s="30"/>
      <c r="G157" s="30"/>
      <c r="H157" s="8">
        <f>IF(A157="","",IFERROR(INDEX(Ingredients!$M$5:$M$304,MATCH(A157,Ingredients!$A$5:$A$304,0)),""))</f>
        <v>0</v>
      </c>
      <c r="I157" s="8">
        <f>IF(OR(A157="",H157=""),"",IF(G157&lt;&gt;"",G157+H157,IF(F157&lt;&gt;"",F157+H157,"")))</f>
        <v>0</v>
      </c>
      <c r="J157" s="8">
        <f>IF(OR(A157="",I157=""),"",I157-TODAY())</f>
        <v>0</v>
      </c>
      <c r="K157" s="8">
        <f>IF(A157="","",IF(J157="","No date",IF(J157&lt;0,"Expired",IF(J157&lt;=Expiry_Warning_Days,"Use soon","Fresh"))))</f>
        <v>0</v>
      </c>
      <c r="L157" s="8">
        <f>IF(A157="","",COUNTIFS('Recipe Ingredients'!$B$5:$B$1204,A157))</f>
        <v>0</v>
      </c>
      <c r="M157" s="8">
        <f>IF(A157="","",IFERROR(INDEX(Ingredients!$X$5:$X$304,MATCH(A157,Ingredients!$A$5:$A$304,0)),""))</f>
        <v>0</v>
      </c>
      <c r="N157" s="8">
        <f>IF(OR(A157="",M157=""),"",IF(M157&lt;1,MAX(0,1*IFERROR(IFERROR(INDEX(Ingredients!$U$5:$U$304,MATCH(A157,Ingredients!$A$5:$A$304,0)),""),0)-C157),0))</f>
        <v>0</v>
      </c>
      <c r="O157" s="8">
        <f>IF(A157="","",IF(M157="","",IF(M157&lt;1,"Low","OK")))</f>
        <v>0</v>
      </c>
      <c r="P157" s="8">
        <f>IF(OR(A157="",C157=""),"",IFERROR(C157*IFERROR(INDEX(Ingredients!$D$5:$D$304,MATCH(A157,Ingredients!$A$5:$A$304,0)),""),""))</f>
        <v>0</v>
      </c>
      <c r="Q157" s="8">
        <f>IF(OR(E157&lt;&gt;"Fridge",J157=""),"",SUMPRODUCT(($E$5:$E$304="Fridge")*($J$5:$J$304&lt;J157))+SUMPRODUCT(($E$5:$E$304="Fridge")*($J$5:$J$304=J157)*(ROW($J$5:$J$304)&lt;ROW()))+1)</f>
        <v>0</v>
      </c>
      <c r="R157" s="8">
        <f>IF(OR(E157&lt;&gt;"Freezer",J157=""),"",SUMPRODUCT(($E$5:$E$304="Freezer")*($J$5:$J$304&lt;J157))+SUMPRODUCT(($E$5:$E$304="Freezer")*($J$5:$J$304=J157)*(ROW($J$5:$J$304)&lt;ROW()))+1)</f>
        <v>0</v>
      </c>
      <c r="S157" s="7"/>
      <c r="T157" s="27"/>
      <c r="U157" s="28"/>
      <c r="V157" s="27"/>
      <c r="W157" s="7"/>
      <c r="X157" s="26"/>
      <c r="Y157" s="8">
        <f>IF(A157="","",IF(K157="Expired","Bin it",IF(K157="Use soon","Cook it",IF(O157="Low","Running low","Keep"))))</f>
        <v>0</v>
      </c>
      <c r="Z157" s="25"/>
    </row>
    <row r="158" spans="1:26">
      <c r="A158" s="7"/>
      <c r="B158" s="8">
        <f>IF(A158="","",IFERROR(INDEX(Ingredients!$B$5:$B$304,MATCH(A158,Ingredients!$A$5:$A$304,0)),""))</f>
        <v>0</v>
      </c>
      <c r="C158" s="26"/>
      <c r="D158" s="27"/>
      <c r="E158" s="27"/>
      <c r="F158" s="30"/>
      <c r="G158" s="30"/>
      <c r="H158" s="8">
        <f>IF(A158="","",IFERROR(INDEX(Ingredients!$M$5:$M$304,MATCH(A158,Ingredients!$A$5:$A$304,0)),""))</f>
        <v>0</v>
      </c>
      <c r="I158" s="8">
        <f>IF(OR(A158="",H158=""),"",IF(G158&lt;&gt;"",G158+H158,IF(F158&lt;&gt;"",F158+H158,"")))</f>
        <v>0</v>
      </c>
      <c r="J158" s="8">
        <f>IF(OR(A158="",I158=""),"",I158-TODAY())</f>
        <v>0</v>
      </c>
      <c r="K158" s="8">
        <f>IF(A158="","",IF(J158="","No date",IF(J158&lt;0,"Expired",IF(J158&lt;=Expiry_Warning_Days,"Use soon","Fresh"))))</f>
        <v>0</v>
      </c>
      <c r="L158" s="8">
        <f>IF(A158="","",COUNTIFS('Recipe Ingredients'!$B$5:$B$1204,A158))</f>
        <v>0</v>
      </c>
      <c r="M158" s="8">
        <f>IF(A158="","",IFERROR(INDEX(Ingredients!$X$5:$X$304,MATCH(A158,Ingredients!$A$5:$A$304,0)),""))</f>
        <v>0</v>
      </c>
      <c r="N158" s="8">
        <f>IF(OR(A158="",M158=""),"",IF(M158&lt;1,MAX(0,1*IFERROR(IFERROR(INDEX(Ingredients!$U$5:$U$304,MATCH(A158,Ingredients!$A$5:$A$304,0)),""),0)-C158),0))</f>
        <v>0</v>
      </c>
      <c r="O158" s="8">
        <f>IF(A158="","",IF(M158="","",IF(M158&lt;1,"Low","OK")))</f>
        <v>0</v>
      </c>
      <c r="P158" s="8">
        <f>IF(OR(A158="",C158=""),"",IFERROR(C158*IFERROR(INDEX(Ingredients!$D$5:$D$304,MATCH(A158,Ingredients!$A$5:$A$304,0)),""),""))</f>
        <v>0</v>
      </c>
      <c r="Q158" s="8">
        <f>IF(OR(E158&lt;&gt;"Fridge",J158=""),"",SUMPRODUCT(($E$5:$E$304="Fridge")*($J$5:$J$304&lt;J158))+SUMPRODUCT(($E$5:$E$304="Fridge")*($J$5:$J$304=J158)*(ROW($J$5:$J$304)&lt;ROW()))+1)</f>
        <v>0</v>
      </c>
      <c r="R158" s="8">
        <f>IF(OR(E158&lt;&gt;"Freezer",J158=""),"",SUMPRODUCT(($E$5:$E$304="Freezer")*($J$5:$J$304&lt;J158))+SUMPRODUCT(($E$5:$E$304="Freezer")*($J$5:$J$304=J158)*(ROW($J$5:$J$304)&lt;ROW()))+1)</f>
        <v>0</v>
      </c>
      <c r="S158" s="7"/>
      <c r="T158" s="27"/>
      <c r="U158" s="28"/>
      <c r="V158" s="27"/>
      <c r="W158" s="7"/>
      <c r="X158" s="26"/>
      <c r="Y158" s="8">
        <f>IF(A158="","",IF(K158="Expired","Bin it",IF(K158="Use soon","Cook it",IF(O158="Low","Running low","Keep"))))</f>
        <v>0</v>
      </c>
      <c r="Z158" s="25"/>
    </row>
    <row r="159" spans="1:26">
      <c r="A159" s="7"/>
      <c r="B159" s="8">
        <f>IF(A159="","",IFERROR(INDEX(Ingredients!$B$5:$B$304,MATCH(A159,Ingredients!$A$5:$A$304,0)),""))</f>
        <v>0</v>
      </c>
      <c r="C159" s="26"/>
      <c r="D159" s="27"/>
      <c r="E159" s="27"/>
      <c r="F159" s="30"/>
      <c r="G159" s="30"/>
      <c r="H159" s="8">
        <f>IF(A159="","",IFERROR(INDEX(Ingredients!$M$5:$M$304,MATCH(A159,Ingredients!$A$5:$A$304,0)),""))</f>
        <v>0</v>
      </c>
      <c r="I159" s="8">
        <f>IF(OR(A159="",H159=""),"",IF(G159&lt;&gt;"",G159+H159,IF(F159&lt;&gt;"",F159+H159,"")))</f>
        <v>0</v>
      </c>
      <c r="J159" s="8">
        <f>IF(OR(A159="",I159=""),"",I159-TODAY())</f>
        <v>0</v>
      </c>
      <c r="K159" s="8">
        <f>IF(A159="","",IF(J159="","No date",IF(J159&lt;0,"Expired",IF(J159&lt;=Expiry_Warning_Days,"Use soon","Fresh"))))</f>
        <v>0</v>
      </c>
      <c r="L159" s="8">
        <f>IF(A159="","",COUNTIFS('Recipe Ingredients'!$B$5:$B$1204,A159))</f>
        <v>0</v>
      </c>
      <c r="M159" s="8">
        <f>IF(A159="","",IFERROR(INDEX(Ingredients!$X$5:$X$304,MATCH(A159,Ingredients!$A$5:$A$304,0)),""))</f>
        <v>0</v>
      </c>
      <c r="N159" s="8">
        <f>IF(OR(A159="",M159=""),"",IF(M159&lt;1,MAX(0,1*IFERROR(IFERROR(INDEX(Ingredients!$U$5:$U$304,MATCH(A159,Ingredients!$A$5:$A$304,0)),""),0)-C159),0))</f>
        <v>0</v>
      </c>
      <c r="O159" s="8">
        <f>IF(A159="","",IF(M159="","",IF(M159&lt;1,"Low","OK")))</f>
        <v>0</v>
      </c>
      <c r="P159" s="8">
        <f>IF(OR(A159="",C159=""),"",IFERROR(C159*IFERROR(INDEX(Ingredients!$D$5:$D$304,MATCH(A159,Ingredients!$A$5:$A$304,0)),""),""))</f>
        <v>0</v>
      </c>
      <c r="Q159" s="8">
        <f>IF(OR(E159&lt;&gt;"Fridge",J159=""),"",SUMPRODUCT(($E$5:$E$304="Fridge")*($J$5:$J$304&lt;J159))+SUMPRODUCT(($E$5:$E$304="Fridge")*($J$5:$J$304=J159)*(ROW($J$5:$J$304)&lt;ROW()))+1)</f>
        <v>0</v>
      </c>
      <c r="R159" s="8">
        <f>IF(OR(E159&lt;&gt;"Freezer",J159=""),"",SUMPRODUCT(($E$5:$E$304="Freezer")*($J$5:$J$304&lt;J159))+SUMPRODUCT(($E$5:$E$304="Freezer")*($J$5:$J$304=J159)*(ROW($J$5:$J$304)&lt;ROW()))+1)</f>
        <v>0</v>
      </c>
      <c r="S159" s="7"/>
      <c r="T159" s="27"/>
      <c r="U159" s="28"/>
      <c r="V159" s="27"/>
      <c r="W159" s="7"/>
      <c r="X159" s="26"/>
      <c r="Y159" s="8">
        <f>IF(A159="","",IF(K159="Expired","Bin it",IF(K159="Use soon","Cook it",IF(O159="Low","Running low","Keep"))))</f>
        <v>0</v>
      </c>
      <c r="Z159" s="25"/>
    </row>
    <row r="160" spans="1:26">
      <c r="A160" s="7"/>
      <c r="B160" s="8">
        <f>IF(A160="","",IFERROR(INDEX(Ingredients!$B$5:$B$304,MATCH(A160,Ingredients!$A$5:$A$304,0)),""))</f>
        <v>0</v>
      </c>
      <c r="C160" s="26"/>
      <c r="D160" s="27"/>
      <c r="E160" s="27"/>
      <c r="F160" s="30"/>
      <c r="G160" s="30"/>
      <c r="H160" s="8">
        <f>IF(A160="","",IFERROR(INDEX(Ingredients!$M$5:$M$304,MATCH(A160,Ingredients!$A$5:$A$304,0)),""))</f>
        <v>0</v>
      </c>
      <c r="I160" s="8">
        <f>IF(OR(A160="",H160=""),"",IF(G160&lt;&gt;"",G160+H160,IF(F160&lt;&gt;"",F160+H160,"")))</f>
        <v>0</v>
      </c>
      <c r="J160" s="8">
        <f>IF(OR(A160="",I160=""),"",I160-TODAY())</f>
        <v>0</v>
      </c>
      <c r="K160" s="8">
        <f>IF(A160="","",IF(J160="","No date",IF(J160&lt;0,"Expired",IF(J160&lt;=Expiry_Warning_Days,"Use soon","Fresh"))))</f>
        <v>0</v>
      </c>
      <c r="L160" s="8">
        <f>IF(A160="","",COUNTIFS('Recipe Ingredients'!$B$5:$B$1204,A160))</f>
        <v>0</v>
      </c>
      <c r="M160" s="8">
        <f>IF(A160="","",IFERROR(INDEX(Ingredients!$X$5:$X$304,MATCH(A160,Ingredients!$A$5:$A$304,0)),""))</f>
        <v>0</v>
      </c>
      <c r="N160" s="8">
        <f>IF(OR(A160="",M160=""),"",IF(M160&lt;1,MAX(0,1*IFERROR(IFERROR(INDEX(Ingredients!$U$5:$U$304,MATCH(A160,Ingredients!$A$5:$A$304,0)),""),0)-C160),0))</f>
        <v>0</v>
      </c>
      <c r="O160" s="8">
        <f>IF(A160="","",IF(M160="","",IF(M160&lt;1,"Low","OK")))</f>
        <v>0</v>
      </c>
      <c r="P160" s="8">
        <f>IF(OR(A160="",C160=""),"",IFERROR(C160*IFERROR(INDEX(Ingredients!$D$5:$D$304,MATCH(A160,Ingredients!$A$5:$A$304,0)),""),""))</f>
        <v>0</v>
      </c>
      <c r="Q160" s="8">
        <f>IF(OR(E160&lt;&gt;"Fridge",J160=""),"",SUMPRODUCT(($E$5:$E$304="Fridge")*($J$5:$J$304&lt;J160))+SUMPRODUCT(($E$5:$E$304="Fridge")*($J$5:$J$304=J160)*(ROW($J$5:$J$304)&lt;ROW()))+1)</f>
        <v>0</v>
      </c>
      <c r="R160" s="8">
        <f>IF(OR(E160&lt;&gt;"Freezer",J160=""),"",SUMPRODUCT(($E$5:$E$304="Freezer")*($J$5:$J$304&lt;J160))+SUMPRODUCT(($E$5:$E$304="Freezer")*($J$5:$J$304=J160)*(ROW($J$5:$J$304)&lt;ROW()))+1)</f>
        <v>0</v>
      </c>
      <c r="S160" s="7"/>
      <c r="T160" s="27"/>
      <c r="U160" s="28"/>
      <c r="V160" s="27"/>
      <c r="W160" s="7"/>
      <c r="X160" s="26"/>
      <c r="Y160" s="8">
        <f>IF(A160="","",IF(K160="Expired","Bin it",IF(K160="Use soon","Cook it",IF(O160="Low","Running low","Keep"))))</f>
        <v>0</v>
      </c>
      <c r="Z160" s="25"/>
    </row>
    <row r="161" spans="1:26">
      <c r="A161" s="7"/>
      <c r="B161" s="8">
        <f>IF(A161="","",IFERROR(INDEX(Ingredients!$B$5:$B$304,MATCH(A161,Ingredients!$A$5:$A$304,0)),""))</f>
        <v>0</v>
      </c>
      <c r="C161" s="26"/>
      <c r="D161" s="27"/>
      <c r="E161" s="27"/>
      <c r="F161" s="30"/>
      <c r="G161" s="30"/>
      <c r="H161" s="8">
        <f>IF(A161="","",IFERROR(INDEX(Ingredients!$M$5:$M$304,MATCH(A161,Ingredients!$A$5:$A$304,0)),""))</f>
        <v>0</v>
      </c>
      <c r="I161" s="8">
        <f>IF(OR(A161="",H161=""),"",IF(G161&lt;&gt;"",G161+H161,IF(F161&lt;&gt;"",F161+H161,"")))</f>
        <v>0</v>
      </c>
      <c r="J161" s="8">
        <f>IF(OR(A161="",I161=""),"",I161-TODAY())</f>
        <v>0</v>
      </c>
      <c r="K161" s="8">
        <f>IF(A161="","",IF(J161="","No date",IF(J161&lt;0,"Expired",IF(J161&lt;=Expiry_Warning_Days,"Use soon","Fresh"))))</f>
        <v>0</v>
      </c>
      <c r="L161" s="8">
        <f>IF(A161="","",COUNTIFS('Recipe Ingredients'!$B$5:$B$1204,A161))</f>
        <v>0</v>
      </c>
      <c r="M161" s="8">
        <f>IF(A161="","",IFERROR(INDEX(Ingredients!$X$5:$X$304,MATCH(A161,Ingredients!$A$5:$A$304,0)),""))</f>
        <v>0</v>
      </c>
      <c r="N161" s="8">
        <f>IF(OR(A161="",M161=""),"",IF(M161&lt;1,MAX(0,1*IFERROR(IFERROR(INDEX(Ingredients!$U$5:$U$304,MATCH(A161,Ingredients!$A$5:$A$304,0)),""),0)-C161),0))</f>
        <v>0</v>
      </c>
      <c r="O161" s="8">
        <f>IF(A161="","",IF(M161="","",IF(M161&lt;1,"Low","OK")))</f>
        <v>0</v>
      </c>
      <c r="P161" s="8">
        <f>IF(OR(A161="",C161=""),"",IFERROR(C161*IFERROR(INDEX(Ingredients!$D$5:$D$304,MATCH(A161,Ingredients!$A$5:$A$304,0)),""),""))</f>
        <v>0</v>
      </c>
      <c r="Q161" s="8">
        <f>IF(OR(E161&lt;&gt;"Fridge",J161=""),"",SUMPRODUCT(($E$5:$E$304="Fridge")*($J$5:$J$304&lt;J161))+SUMPRODUCT(($E$5:$E$304="Fridge")*($J$5:$J$304=J161)*(ROW($J$5:$J$304)&lt;ROW()))+1)</f>
        <v>0</v>
      </c>
      <c r="R161" s="8">
        <f>IF(OR(E161&lt;&gt;"Freezer",J161=""),"",SUMPRODUCT(($E$5:$E$304="Freezer")*($J$5:$J$304&lt;J161))+SUMPRODUCT(($E$5:$E$304="Freezer")*($J$5:$J$304=J161)*(ROW($J$5:$J$304)&lt;ROW()))+1)</f>
        <v>0</v>
      </c>
      <c r="S161" s="7"/>
      <c r="T161" s="27"/>
      <c r="U161" s="28"/>
      <c r="V161" s="27"/>
      <c r="W161" s="7"/>
      <c r="X161" s="26"/>
      <c r="Y161" s="8">
        <f>IF(A161="","",IF(K161="Expired","Bin it",IF(K161="Use soon","Cook it",IF(O161="Low","Running low","Keep"))))</f>
        <v>0</v>
      </c>
      <c r="Z161" s="25"/>
    </row>
    <row r="162" spans="1:26">
      <c r="A162" s="7"/>
      <c r="B162" s="8">
        <f>IF(A162="","",IFERROR(INDEX(Ingredients!$B$5:$B$304,MATCH(A162,Ingredients!$A$5:$A$304,0)),""))</f>
        <v>0</v>
      </c>
      <c r="C162" s="26"/>
      <c r="D162" s="27"/>
      <c r="E162" s="27"/>
      <c r="F162" s="30"/>
      <c r="G162" s="30"/>
      <c r="H162" s="8">
        <f>IF(A162="","",IFERROR(INDEX(Ingredients!$M$5:$M$304,MATCH(A162,Ingredients!$A$5:$A$304,0)),""))</f>
        <v>0</v>
      </c>
      <c r="I162" s="8">
        <f>IF(OR(A162="",H162=""),"",IF(G162&lt;&gt;"",G162+H162,IF(F162&lt;&gt;"",F162+H162,"")))</f>
        <v>0</v>
      </c>
      <c r="J162" s="8">
        <f>IF(OR(A162="",I162=""),"",I162-TODAY())</f>
        <v>0</v>
      </c>
      <c r="K162" s="8">
        <f>IF(A162="","",IF(J162="","No date",IF(J162&lt;0,"Expired",IF(J162&lt;=Expiry_Warning_Days,"Use soon","Fresh"))))</f>
        <v>0</v>
      </c>
      <c r="L162" s="8">
        <f>IF(A162="","",COUNTIFS('Recipe Ingredients'!$B$5:$B$1204,A162))</f>
        <v>0</v>
      </c>
      <c r="M162" s="8">
        <f>IF(A162="","",IFERROR(INDEX(Ingredients!$X$5:$X$304,MATCH(A162,Ingredients!$A$5:$A$304,0)),""))</f>
        <v>0</v>
      </c>
      <c r="N162" s="8">
        <f>IF(OR(A162="",M162=""),"",IF(M162&lt;1,MAX(0,1*IFERROR(IFERROR(INDEX(Ingredients!$U$5:$U$304,MATCH(A162,Ingredients!$A$5:$A$304,0)),""),0)-C162),0))</f>
        <v>0</v>
      </c>
      <c r="O162" s="8">
        <f>IF(A162="","",IF(M162="","",IF(M162&lt;1,"Low","OK")))</f>
        <v>0</v>
      </c>
      <c r="P162" s="8">
        <f>IF(OR(A162="",C162=""),"",IFERROR(C162*IFERROR(INDEX(Ingredients!$D$5:$D$304,MATCH(A162,Ingredients!$A$5:$A$304,0)),""),""))</f>
        <v>0</v>
      </c>
      <c r="Q162" s="8">
        <f>IF(OR(E162&lt;&gt;"Fridge",J162=""),"",SUMPRODUCT(($E$5:$E$304="Fridge")*($J$5:$J$304&lt;J162))+SUMPRODUCT(($E$5:$E$304="Fridge")*($J$5:$J$304=J162)*(ROW($J$5:$J$304)&lt;ROW()))+1)</f>
        <v>0</v>
      </c>
      <c r="R162" s="8">
        <f>IF(OR(E162&lt;&gt;"Freezer",J162=""),"",SUMPRODUCT(($E$5:$E$304="Freezer")*($J$5:$J$304&lt;J162))+SUMPRODUCT(($E$5:$E$304="Freezer")*($J$5:$J$304=J162)*(ROW($J$5:$J$304)&lt;ROW()))+1)</f>
        <v>0</v>
      </c>
      <c r="S162" s="7"/>
      <c r="T162" s="27"/>
      <c r="U162" s="28"/>
      <c r="V162" s="27"/>
      <c r="W162" s="7"/>
      <c r="X162" s="26"/>
      <c r="Y162" s="8">
        <f>IF(A162="","",IF(K162="Expired","Bin it",IF(K162="Use soon","Cook it",IF(O162="Low","Running low","Keep"))))</f>
        <v>0</v>
      </c>
      <c r="Z162" s="25"/>
    </row>
    <row r="163" spans="1:26">
      <c r="A163" s="7"/>
      <c r="B163" s="8">
        <f>IF(A163="","",IFERROR(INDEX(Ingredients!$B$5:$B$304,MATCH(A163,Ingredients!$A$5:$A$304,0)),""))</f>
        <v>0</v>
      </c>
      <c r="C163" s="26"/>
      <c r="D163" s="27"/>
      <c r="E163" s="27"/>
      <c r="F163" s="30"/>
      <c r="G163" s="30"/>
      <c r="H163" s="8">
        <f>IF(A163="","",IFERROR(INDEX(Ingredients!$M$5:$M$304,MATCH(A163,Ingredients!$A$5:$A$304,0)),""))</f>
        <v>0</v>
      </c>
      <c r="I163" s="8">
        <f>IF(OR(A163="",H163=""),"",IF(G163&lt;&gt;"",G163+H163,IF(F163&lt;&gt;"",F163+H163,"")))</f>
        <v>0</v>
      </c>
      <c r="J163" s="8">
        <f>IF(OR(A163="",I163=""),"",I163-TODAY())</f>
        <v>0</v>
      </c>
      <c r="K163" s="8">
        <f>IF(A163="","",IF(J163="","No date",IF(J163&lt;0,"Expired",IF(J163&lt;=Expiry_Warning_Days,"Use soon","Fresh"))))</f>
        <v>0</v>
      </c>
      <c r="L163" s="8">
        <f>IF(A163="","",COUNTIFS('Recipe Ingredients'!$B$5:$B$1204,A163))</f>
        <v>0</v>
      </c>
      <c r="M163" s="8">
        <f>IF(A163="","",IFERROR(INDEX(Ingredients!$X$5:$X$304,MATCH(A163,Ingredients!$A$5:$A$304,0)),""))</f>
        <v>0</v>
      </c>
      <c r="N163" s="8">
        <f>IF(OR(A163="",M163=""),"",IF(M163&lt;1,MAX(0,1*IFERROR(IFERROR(INDEX(Ingredients!$U$5:$U$304,MATCH(A163,Ingredients!$A$5:$A$304,0)),""),0)-C163),0))</f>
        <v>0</v>
      </c>
      <c r="O163" s="8">
        <f>IF(A163="","",IF(M163="","",IF(M163&lt;1,"Low","OK")))</f>
        <v>0</v>
      </c>
      <c r="P163" s="8">
        <f>IF(OR(A163="",C163=""),"",IFERROR(C163*IFERROR(INDEX(Ingredients!$D$5:$D$304,MATCH(A163,Ingredients!$A$5:$A$304,0)),""),""))</f>
        <v>0</v>
      </c>
      <c r="Q163" s="8">
        <f>IF(OR(E163&lt;&gt;"Fridge",J163=""),"",SUMPRODUCT(($E$5:$E$304="Fridge")*($J$5:$J$304&lt;J163))+SUMPRODUCT(($E$5:$E$304="Fridge")*($J$5:$J$304=J163)*(ROW($J$5:$J$304)&lt;ROW()))+1)</f>
        <v>0</v>
      </c>
      <c r="R163" s="8">
        <f>IF(OR(E163&lt;&gt;"Freezer",J163=""),"",SUMPRODUCT(($E$5:$E$304="Freezer")*($J$5:$J$304&lt;J163))+SUMPRODUCT(($E$5:$E$304="Freezer")*($J$5:$J$304=J163)*(ROW($J$5:$J$304)&lt;ROW()))+1)</f>
        <v>0</v>
      </c>
      <c r="S163" s="7"/>
      <c r="T163" s="27"/>
      <c r="U163" s="28"/>
      <c r="V163" s="27"/>
      <c r="W163" s="7"/>
      <c r="X163" s="26"/>
      <c r="Y163" s="8">
        <f>IF(A163="","",IF(K163="Expired","Bin it",IF(K163="Use soon","Cook it",IF(O163="Low","Running low","Keep"))))</f>
        <v>0</v>
      </c>
      <c r="Z163" s="25"/>
    </row>
    <row r="164" spans="1:26">
      <c r="A164" s="7"/>
      <c r="B164" s="8">
        <f>IF(A164="","",IFERROR(INDEX(Ingredients!$B$5:$B$304,MATCH(A164,Ingredients!$A$5:$A$304,0)),""))</f>
        <v>0</v>
      </c>
      <c r="C164" s="26"/>
      <c r="D164" s="27"/>
      <c r="E164" s="27"/>
      <c r="F164" s="30"/>
      <c r="G164" s="30"/>
      <c r="H164" s="8">
        <f>IF(A164="","",IFERROR(INDEX(Ingredients!$M$5:$M$304,MATCH(A164,Ingredients!$A$5:$A$304,0)),""))</f>
        <v>0</v>
      </c>
      <c r="I164" s="8">
        <f>IF(OR(A164="",H164=""),"",IF(G164&lt;&gt;"",G164+H164,IF(F164&lt;&gt;"",F164+H164,"")))</f>
        <v>0</v>
      </c>
      <c r="J164" s="8">
        <f>IF(OR(A164="",I164=""),"",I164-TODAY())</f>
        <v>0</v>
      </c>
      <c r="K164" s="8">
        <f>IF(A164="","",IF(J164="","No date",IF(J164&lt;0,"Expired",IF(J164&lt;=Expiry_Warning_Days,"Use soon","Fresh"))))</f>
        <v>0</v>
      </c>
      <c r="L164" s="8">
        <f>IF(A164="","",COUNTIFS('Recipe Ingredients'!$B$5:$B$1204,A164))</f>
        <v>0</v>
      </c>
      <c r="M164" s="8">
        <f>IF(A164="","",IFERROR(INDEX(Ingredients!$X$5:$X$304,MATCH(A164,Ingredients!$A$5:$A$304,0)),""))</f>
        <v>0</v>
      </c>
      <c r="N164" s="8">
        <f>IF(OR(A164="",M164=""),"",IF(M164&lt;1,MAX(0,1*IFERROR(IFERROR(INDEX(Ingredients!$U$5:$U$304,MATCH(A164,Ingredients!$A$5:$A$304,0)),""),0)-C164),0))</f>
        <v>0</v>
      </c>
      <c r="O164" s="8">
        <f>IF(A164="","",IF(M164="","",IF(M164&lt;1,"Low","OK")))</f>
        <v>0</v>
      </c>
      <c r="P164" s="8">
        <f>IF(OR(A164="",C164=""),"",IFERROR(C164*IFERROR(INDEX(Ingredients!$D$5:$D$304,MATCH(A164,Ingredients!$A$5:$A$304,0)),""),""))</f>
        <v>0</v>
      </c>
      <c r="Q164" s="8">
        <f>IF(OR(E164&lt;&gt;"Fridge",J164=""),"",SUMPRODUCT(($E$5:$E$304="Fridge")*($J$5:$J$304&lt;J164))+SUMPRODUCT(($E$5:$E$304="Fridge")*($J$5:$J$304=J164)*(ROW($J$5:$J$304)&lt;ROW()))+1)</f>
        <v>0</v>
      </c>
      <c r="R164" s="8">
        <f>IF(OR(E164&lt;&gt;"Freezer",J164=""),"",SUMPRODUCT(($E$5:$E$304="Freezer")*($J$5:$J$304&lt;J164))+SUMPRODUCT(($E$5:$E$304="Freezer")*($J$5:$J$304=J164)*(ROW($J$5:$J$304)&lt;ROW()))+1)</f>
        <v>0</v>
      </c>
      <c r="S164" s="7"/>
      <c r="T164" s="27"/>
      <c r="U164" s="28"/>
      <c r="V164" s="27"/>
      <c r="W164" s="7"/>
      <c r="X164" s="26"/>
      <c r="Y164" s="8">
        <f>IF(A164="","",IF(K164="Expired","Bin it",IF(K164="Use soon","Cook it",IF(O164="Low","Running low","Keep"))))</f>
        <v>0</v>
      </c>
      <c r="Z164" s="25"/>
    </row>
    <row r="165" spans="1:26">
      <c r="A165" s="7"/>
      <c r="B165" s="8">
        <f>IF(A165="","",IFERROR(INDEX(Ingredients!$B$5:$B$304,MATCH(A165,Ingredients!$A$5:$A$304,0)),""))</f>
        <v>0</v>
      </c>
      <c r="C165" s="26"/>
      <c r="D165" s="27"/>
      <c r="E165" s="27"/>
      <c r="F165" s="30"/>
      <c r="G165" s="30"/>
      <c r="H165" s="8">
        <f>IF(A165="","",IFERROR(INDEX(Ingredients!$M$5:$M$304,MATCH(A165,Ingredients!$A$5:$A$304,0)),""))</f>
        <v>0</v>
      </c>
      <c r="I165" s="8">
        <f>IF(OR(A165="",H165=""),"",IF(G165&lt;&gt;"",G165+H165,IF(F165&lt;&gt;"",F165+H165,"")))</f>
        <v>0</v>
      </c>
      <c r="J165" s="8">
        <f>IF(OR(A165="",I165=""),"",I165-TODAY())</f>
        <v>0</v>
      </c>
      <c r="K165" s="8">
        <f>IF(A165="","",IF(J165="","No date",IF(J165&lt;0,"Expired",IF(J165&lt;=Expiry_Warning_Days,"Use soon","Fresh"))))</f>
        <v>0</v>
      </c>
      <c r="L165" s="8">
        <f>IF(A165="","",COUNTIFS('Recipe Ingredients'!$B$5:$B$1204,A165))</f>
        <v>0</v>
      </c>
      <c r="M165" s="8">
        <f>IF(A165="","",IFERROR(INDEX(Ingredients!$X$5:$X$304,MATCH(A165,Ingredients!$A$5:$A$304,0)),""))</f>
        <v>0</v>
      </c>
      <c r="N165" s="8">
        <f>IF(OR(A165="",M165=""),"",IF(M165&lt;1,MAX(0,1*IFERROR(IFERROR(INDEX(Ingredients!$U$5:$U$304,MATCH(A165,Ingredients!$A$5:$A$304,0)),""),0)-C165),0))</f>
        <v>0</v>
      </c>
      <c r="O165" s="8">
        <f>IF(A165="","",IF(M165="","",IF(M165&lt;1,"Low","OK")))</f>
        <v>0</v>
      </c>
      <c r="P165" s="8">
        <f>IF(OR(A165="",C165=""),"",IFERROR(C165*IFERROR(INDEX(Ingredients!$D$5:$D$304,MATCH(A165,Ingredients!$A$5:$A$304,0)),""),""))</f>
        <v>0</v>
      </c>
      <c r="Q165" s="8">
        <f>IF(OR(E165&lt;&gt;"Fridge",J165=""),"",SUMPRODUCT(($E$5:$E$304="Fridge")*($J$5:$J$304&lt;J165))+SUMPRODUCT(($E$5:$E$304="Fridge")*($J$5:$J$304=J165)*(ROW($J$5:$J$304)&lt;ROW()))+1)</f>
        <v>0</v>
      </c>
      <c r="R165" s="8">
        <f>IF(OR(E165&lt;&gt;"Freezer",J165=""),"",SUMPRODUCT(($E$5:$E$304="Freezer")*($J$5:$J$304&lt;J165))+SUMPRODUCT(($E$5:$E$304="Freezer")*($J$5:$J$304=J165)*(ROW($J$5:$J$304)&lt;ROW()))+1)</f>
        <v>0</v>
      </c>
      <c r="S165" s="7"/>
      <c r="T165" s="27"/>
      <c r="U165" s="28"/>
      <c r="V165" s="27"/>
      <c r="W165" s="7"/>
      <c r="X165" s="26"/>
      <c r="Y165" s="8">
        <f>IF(A165="","",IF(K165="Expired","Bin it",IF(K165="Use soon","Cook it",IF(O165="Low","Running low","Keep"))))</f>
        <v>0</v>
      </c>
      <c r="Z165" s="25"/>
    </row>
    <row r="166" spans="1:26">
      <c r="A166" s="7"/>
      <c r="B166" s="8">
        <f>IF(A166="","",IFERROR(INDEX(Ingredients!$B$5:$B$304,MATCH(A166,Ingredients!$A$5:$A$304,0)),""))</f>
        <v>0</v>
      </c>
      <c r="C166" s="26"/>
      <c r="D166" s="27"/>
      <c r="E166" s="27"/>
      <c r="F166" s="30"/>
      <c r="G166" s="30"/>
      <c r="H166" s="8">
        <f>IF(A166="","",IFERROR(INDEX(Ingredients!$M$5:$M$304,MATCH(A166,Ingredients!$A$5:$A$304,0)),""))</f>
        <v>0</v>
      </c>
      <c r="I166" s="8">
        <f>IF(OR(A166="",H166=""),"",IF(G166&lt;&gt;"",G166+H166,IF(F166&lt;&gt;"",F166+H166,"")))</f>
        <v>0</v>
      </c>
      <c r="J166" s="8">
        <f>IF(OR(A166="",I166=""),"",I166-TODAY())</f>
        <v>0</v>
      </c>
      <c r="K166" s="8">
        <f>IF(A166="","",IF(J166="","No date",IF(J166&lt;0,"Expired",IF(J166&lt;=Expiry_Warning_Days,"Use soon","Fresh"))))</f>
        <v>0</v>
      </c>
      <c r="L166" s="8">
        <f>IF(A166="","",COUNTIFS('Recipe Ingredients'!$B$5:$B$1204,A166))</f>
        <v>0</v>
      </c>
      <c r="M166" s="8">
        <f>IF(A166="","",IFERROR(INDEX(Ingredients!$X$5:$X$304,MATCH(A166,Ingredients!$A$5:$A$304,0)),""))</f>
        <v>0</v>
      </c>
      <c r="N166" s="8">
        <f>IF(OR(A166="",M166=""),"",IF(M166&lt;1,MAX(0,1*IFERROR(IFERROR(INDEX(Ingredients!$U$5:$U$304,MATCH(A166,Ingredients!$A$5:$A$304,0)),""),0)-C166),0))</f>
        <v>0</v>
      </c>
      <c r="O166" s="8">
        <f>IF(A166="","",IF(M166="","",IF(M166&lt;1,"Low","OK")))</f>
        <v>0</v>
      </c>
      <c r="P166" s="8">
        <f>IF(OR(A166="",C166=""),"",IFERROR(C166*IFERROR(INDEX(Ingredients!$D$5:$D$304,MATCH(A166,Ingredients!$A$5:$A$304,0)),""),""))</f>
        <v>0</v>
      </c>
      <c r="Q166" s="8">
        <f>IF(OR(E166&lt;&gt;"Fridge",J166=""),"",SUMPRODUCT(($E$5:$E$304="Fridge")*($J$5:$J$304&lt;J166))+SUMPRODUCT(($E$5:$E$304="Fridge")*($J$5:$J$304=J166)*(ROW($J$5:$J$304)&lt;ROW()))+1)</f>
        <v>0</v>
      </c>
      <c r="R166" s="8">
        <f>IF(OR(E166&lt;&gt;"Freezer",J166=""),"",SUMPRODUCT(($E$5:$E$304="Freezer")*($J$5:$J$304&lt;J166))+SUMPRODUCT(($E$5:$E$304="Freezer")*($J$5:$J$304=J166)*(ROW($J$5:$J$304)&lt;ROW()))+1)</f>
        <v>0</v>
      </c>
      <c r="S166" s="7"/>
      <c r="T166" s="27"/>
      <c r="U166" s="28"/>
      <c r="V166" s="27"/>
      <c r="W166" s="7"/>
      <c r="X166" s="26"/>
      <c r="Y166" s="8">
        <f>IF(A166="","",IF(K166="Expired","Bin it",IF(K166="Use soon","Cook it",IF(O166="Low","Running low","Keep"))))</f>
        <v>0</v>
      </c>
      <c r="Z166" s="25"/>
    </row>
    <row r="167" spans="1:26">
      <c r="A167" s="7"/>
      <c r="B167" s="8">
        <f>IF(A167="","",IFERROR(INDEX(Ingredients!$B$5:$B$304,MATCH(A167,Ingredients!$A$5:$A$304,0)),""))</f>
        <v>0</v>
      </c>
      <c r="C167" s="26"/>
      <c r="D167" s="27"/>
      <c r="E167" s="27"/>
      <c r="F167" s="30"/>
      <c r="G167" s="30"/>
      <c r="H167" s="8">
        <f>IF(A167="","",IFERROR(INDEX(Ingredients!$M$5:$M$304,MATCH(A167,Ingredients!$A$5:$A$304,0)),""))</f>
        <v>0</v>
      </c>
      <c r="I167" s="8">
        <f>IF(OR(A167="",H167=""),"",IF(G167&lt;&gt;"",G167+H167,IF(F167&lt;&gt;"",F167+H167,"")))</f>
        <v>0</v>
      </c>
      <c r="J167" s="8">
        <f>IF(OR(A167="",I167=""),"",I167-TODAY())</f>
        <v>0</v>
      </c>
      <c r="K167" s="8">
        <f>IF(A167="","",IF(J167="","No date",IF(J167&lt;0,"Expired",IF(J167&lt;=Expiry_Warning_Days,"Use soon","Fresh"))))</f>
        <v>0</v>
      </c>
      <c r="L167" s="8">
        <f>IF(A167="","",COUNTIFS('Recipe Ingredients'!$B$5:$B$1204,A167))</f>
        <v>0</v>
      </c>
      <c r="M167" s="8">
        <f>IF(A167="","",IFERROR(INDEX(Ingredients!$X$5:$X$304,MATCH(A167,Ingredients!$A$5:$A$304,0)),""))</f>
        <v>0</v>
      </c>
      <c r="N167" s="8">
        <f>IF(OR(A167="",M167=""),"",IF(M167&lt;1,MAX(0,1*IFERROR(IFERROR(INDEX(Ingredients!$U$5:$U$304,MATCH(A167,Ingredients!$A$5:$A$304,0)),""),0)-C167),0))</f>
        <v>0</v>
      </c>
      <c r="O167" s="8">
        <f>IF(A167="","",IF(M167="","",IF(M167&lt;1,"Low","OK")))</f>
        <v>0</v>
      </c>
      <c r="P167" s="8">
        <f>IF(OR(A167="",C167=""),"",IFERROR(C167*IFERROR(INDEX(Ingredients!$D$5:$D$304,MATCH(A167,Ingredients!$A$5:$A$304,0)),""),""))</f>
        <v>0</v>
      </c>
      <c r="Q167" s="8">
        <f>IF(OR(E167&lt;&gt;"Fridge",J167=""),"",SUMPRODUCT(($E$5:$E$304="Fridge")*($J$5:$J$304&lt;J167))+SUMPRODUCT(($E$5:$E$304="Fridge")*($J$5:$J$304=J167)*(ROW($J$5:$J$304)&lt;ROW()))+1)</f>
        <v>0</v>
      </c>
      <c r="R167" s="8">
        <f>IF(OR(E167&lt;&gt;"Freezer",J167=""),"",SUMPRODUCT(($E$5:$E$304="Freezer")*($J$5:$J$304&lt;J167))+SUMPRODUCT(($E$5:$E$304="Freezer")*($J$5:$J$304=J167)*(ROW($J$5:$J$304)&lt;ROW()))+1)</f>
        <v>0</v>
      </c>
      <c r="S167" s="7"/>
      <c r="T167" s="27"/>
      <c r="U167" s="28"/>
      <c r="V167" s="27"/>
      <c r="W167" s="7"/>
      <c r="X167" s="26"/>
      <c r="Y167" s="8">
        <f>IF(A167="","",IF(K167="Expired","Bin it",IF(K167="Use soon","Cook it",IF(O167="Low","Running low","Keep"))))</f>
        <v>0</v>
      </c>
      <c r="Z167" s="25"/>
    </row>
    <row r="168" spans="1:26">
      <c r="A168" s="7"/>
      <c r="B168" s="8">
        <f>IF(A168="","",IFERROR(INDEX(Ingredients!$B$5:$B$304,MATCH(A168,Ingredients!$A$5:$A$304,0)),""))</f>
        <v>0</v>
      </c>
      <c r="C168" s="26"/>
      <c r="D168" s="27"/>
      <c r="E168" s="27"/>
      <c r="F168" s="30"/>
      <c r="G168" s="30"/>
      <c r="H168" s="8">
        <f>IF(A168="","",IFERROR(INDEX(Ingredients!$M$5:$M$304,MATCH(A168,Ingredients!$A$5:$A$304,0)),""))</f>
        <v>0</v>
      </c>
      <c r="I168" s="8">
        <f>IF(OR(A168="",H168=""),"",IF(G168&lt;&gt;"",G168+H168,IF(F168&lt;&gt;"",F168+H168,"")))</f>
        <v>0</v>
      </c>
      <c r="J168" s="8">
        <f>IF(OR(A168="",I168=""),"",I168-TODAY())</f>
        <v>0</v>
      </c>
      <c r="K168" s="8">
        <f>IF(A168="","",IF(J168="","No date",IF(J168&lt;0,"Expired",IF(J168&lt;=Expiry_Warning_Days,"Use soon","Fresh"))))</f>
        <v>0</v>
      </c>
      <c r="L168" s="8">
        <f>IF(A168="","",COUNTIFS('Recipe Ingredients'!$B$5:$B$1204,A168))</f>
        <v>0</v>
      </c>
      <c r="M168" s="8">
        <f>IF(A168="","",IFERROR(INDEX(Ingredients!$X$5:$X$304,MATCH(A168,Ingredients!$A$5:$A$304,0)),""))</f>
        <v>0</v>
      </c>
      <c r="N168" s="8">
        <f>IF(OR(A168="",M168=""),"",IF(M168&lt;1,MAX(0,1*IFERROR(IFERROR(INDEX(Ingredients!$U$5:$U$304,MATCH(A168,Ingredients!$A$5:$A$304,0)),""),0)-C168),0))</f>
        <v>0</v>
      </c>
      <c r="O168" s="8">
        <f>IF(A168="","",IF(M168="","",IF(M168&lt;1,"Low","OK")))</f>
        <v>0</v>
      </c>
      <c r="P168" s="8">
        <f>IF(OR(A168="",C168=""),"",IFERROR(C168*IFERROR(INDEX(Ingredients!$D$5:$D$304,MATCH(A168,Ingredients!$A$5:$A$304,0)),""),""))</f>
        <v>0</v>
      </c>
      <c r="Q168" s="8">
        <f>IF(OR(E168&lt;&gt;"Fridge",J168=""),"",SUMPRODUCT(($E$5:$E$304="Fridge")*($J$5:$J$304&lt;J168))+SUMPRODUCT(($E$5:$E$304="Fridge")*($J$5:$J$304=J168)*(ROW($J$5:$J$304)&lt;ROW()))+1)</f>
        <v>0</v>
      </c>
      <c r="R168" s="8">
        <f>IF(OR(E168&lt;&gt;"Freezer",J168=""),"",SUMPRODUCT(($E$5:$E$304="Freezer")*($J$5:$J$304&lt;J168))+SUMPRODUCT(($E$5:$E$304="Freezer")*($J$5:$J$304=J168)*(ROW($J$5:$J$304)&lt;ROW()))+1)</f>
        <v>0</v>
      </c>
      <c r="S168" s="7"/>
      <c r="T168" s="27"/>
      <c r="U168" s="28"/>
      <c r="V168" s="27"/>
      <c r="W168" s="7"/>
      <c r="X168" s="26"/>
      <c r="Y168" s="8">
        <f>IF(A168="","",IF(K168="Expired","Bin it",IF(K168="Use soon","Cook it",IF(O168="Low","Running low","Keep"))))</f>
        <v>0</v>
      </c>
      <c r="Z168" s="25"/>
    </row>
    <row r="169" spans="1:26">
      <c r="A169" s="7"/>
      <c r="B169" s="8">
        <f>IF(A169="","",IFERROR(INDEX(Ingredients!$B$5:$B$304,MATCH(A169,Ingredients!$A$5:$A$304,0)),""))</f>
        <v>0</v>
      </c>
      <c r="C169" s="26"/>
      <c r="D169" s="27"/>
      <c r="E169" s="27"/>
      <c r="F169" s="30"/>
      <c r="G169" s="30"/>
      <c r="H169" s="8">
        <f>IF(A169="","",IFERROR(INDEX(Ingredients!$M$5:$M$304,MATCH(A169,Ingredients!$A$5:$A$304,0)),""))</f>
        <v>0</v>
      </c>
      <c r="I169" s="8">
        <f>IF(OR(A169="",H169=""),"",IF(G169&lt;&gt;"",G169+H169,IF(F169&lt;&gt;"",F169+H169,"")))</f>
        <v>0</v>
      </c>
      <c r="J169" s="8">
        <f>IF(OR(A169="",I169=""),"",I169-TODAY())</f>
        <v>0</v>
      </c>
      <c r="K169" s="8">
        <f>IF(A169="","",IF(J169="","No date",IF(J169&lt;0,"Expired",IF(J169&lt;=Expiry_Warning_Days,"Use soon","Fresh"))))</f>
        <v>0</v>
      </c>
      <c r="L169" s="8">
        <f>IF(A169="","",COUNTIFS('Recipe Ingredients'!$B$5:$B$1204,A169))</f>
        <v>0</v>
      </c>
      <c r="M169" s="8">
        <f>IF(A169="","",IFERROR(INDEX(Ingredients!$X$5:$X$304,MATCH(A169,Ingredients!$A$5:$A$304,0)),""))</f>
        <v>0</v>
      </c>
      <c r="N169" s="8">
        <f>IF(OR(A169="",M169=""),"",IF(M169&lt;1,MAX(0,1*IFERROR(IFERROR(INDEX(Ingredients!$U$5:$U$304,MATCH(A169,Ingredients!$A$5:$A$304,0)),""),0)-C169),0))</f>
        <v>0</v>
      </c>
      <c r="O169" s="8">
        <f>IF(A169="","",IF(M169="","",IF(M169&lt;1,"Low","OK")))</f>
        <v>0</v>
      </c>
      <c r="P169" s="8">
        <f>IF(OR(A169="",C169=""),"",IFERROR(C169*IFERROR(INDEX(Ingredients!$D$5:$D$304,MATCH(A169,Ingredients!$A$5:$A$304,0)),""),""))</f>
        <v>0</v>
      </c>
      <c r="Q169" s="8">
        <f>IF(OR(E169&lt;&gt;"Fridge",J169=""),"",SUMPRODUCT(($E$5:$E$304="Fridge")*($J$5:$J$304&lt;J169))+SUMPRODUCT(($E$5:$E$304="Fridge")*($J$5:$J$304=J169)*(ROW($J$5:$J$304)&lt;ROW()))+1)</f>
        <v>0</v>
      </c>
      <c r="R169" s="8">
        <f>IF(OR(E169&lt;&gt;"Freezer",J169=""),"",SUMPRODUCT(($E$5:$E$304="Freezer")*($J$5:$J$304&lt;J169))+SUMPRODUCT(($E$5:$E$304="Freezer")*($J$5:$J$304=J169)*(ROW($J$5:$J$304)&lt;ROW()))+1)</f>
        <v>0</v>
      </c>
      <c r="S169" s="7"/>
      <c r="T169" s="27"/>
      <c r="U169" s="28"/>
      <c r="V169" s="27"/>
      <c r="W169" s="7"/>
      <c r="X169" s="26"/>
      <c r="Y169" s="8">
        <f>IF(A169="","",IF(K169="Expired","Bin it",IF(K169="Use soon","Cook it",IF(O169="Low","Running low","Keep"))))</f>
        <v>0</v>
      </c>
      <c r="Z169" s="25"/>
    </row>
    <row r="170" spans="1:26">
      <c r="A170" s="7"/>
      <c r="B170" s="8">
        <f>IF(A170="","",IFERROR(INDEX(Ingredients!$B$5:$B$304,MATCH(A170,Ingredients!$A$5:$A$304,0)),""))</f>
        <v>0</v>
      </c>
      <c r="C170" s="26"/>
      <c r="D170" s="27"/>
      <c r="E170" s="27"/>
      <c r="F170" s="30"/>
      <c r="G170" s="30"/>
      <c r="H170" s="8">
        <f>IF(A170="","",IFERROR(INDEX(Ingredients!$M$5:$M$304,MATCH(A170,Ingredients!$A$5:$A$304,0)),""))</f>
        <v>0</v>
      </c>
      <c r="I170" s="8">
        <f>IF(OR(A170="",H170=""),"",IF(G170&lt;&gt;"",G170+H170,IF(F170&lt;&gt;"",F170+H170,"")))</f>
        <v>0</v>
      </c>
      <c r="J170" s="8">
        <f>IF(OR(A170="",I170=""),"",I170-TODAY())</f>
        <v>0</v>
      </c>
      <c r="K170" s="8">
        <f>IF(A170="","",IF(J170="","No date",IF(J170&lt;0,"Expired",IF(J170&lt;=Expiry_Warning_Days,"Use soon","Fresh"))))</f>
        <v>0</v>
      </c>
      <c r="L170" s="8">
        <f>IF(A170="","",COUNTIFS('Recipe Ingredients'!$B$5:$B$1204,A170))</f>
        <v>0</v>
      </c>
      <c r="M170" s="8">
        <f>IF(A170="","",IFERROR(INDEX(Ingredients!$X$5:$X$304,MATCH(A170,Ingredients!$A$5:$A$304,0)),""))</f>
        <v>0</v>
      </c>
      <c r="N170" s="8">
        <f>IF(OR(A170="",M170=""),"",IF(M170&lt;1,MAX(0,1*IFERROR(IFERROR(INDEX(Ingredients!$U$5:$U$304,MATCH(A170,Ingredients!$A$5:$A$304,0)),""),0)-C170),0))</f>
        <v>0</v>
      </c>
      <c r="O170" s="8">
        <f>IF(A170="","",IF(M170="","",IF(M170&lt;1,"Low","OK")))</f>
        <v>0</v>
      </c>
      <c r="P170" s="8">
        <f>IF(OR(A170="",C170=""),"",IFERROR(C170*IFERROR(INDEX(Ingredients!$D$5:$D$304,MATCH(A170,Ingredients!$A$5:$A$304,0)),""),""))</f>
        <v>0</v>
      </c>
      <c r="Q170" s="8">
        <f>IF(OR(E170&lt;&gt;"Fridge",J170=""),"",SUMPRODUCT(($E$5:$E$304="Fridge")*($J$5:$J$304&lt;J170))+SUMPRODUCT(($E$5:$E$304="Fridge")*($J$5:$J$304=J170)*(ROW($J$5:$J$304)&lt;ROW()))+1)</f>
        <v>0</v>
      </c>
      <c r="R170" s="8">
        <f>IF(OR(E170&lt;&gt;"Freezer",J170=""),"",SUMPRODUCT(($E$5:$E$304="Freezer")*($J$5:$J$304&lt;J170))+SUMPRODUCT(($E$5:$E$304="Freezer")*($J$5:$J$304=J170)*(ROW($J$5:$J$304)&lt;ROW()))+1)</f>
        <v>0</v>
      </c>
      <c r="S170" s="7"/>
      <c r="T170" s="27"/>
      <c r="U170" s="28"/>
      <c r="V170" s="27"/>
      <c r="W170" s="7"/>
      <c r="X170" s="26"/>
      <c r="Y170" s="8">
        <f>IF(A170="","",IF(K170="Expired","Bin it",IF(K170="Use soon","Cook it",IF(O170="Low","Running low","Keep"))))</f>
        <v>0</v>
      </c>
      <c r="Z170" s="25"/>
    </row>
    <row r="171" spans="1:26">
      <c r="A171" s="7"/>
      <c r="B171" s="8">
        <f>IF(A171="","",IFERROR(INDEX(Ingredients!$B$5:$B$304,MATCH(A171,Ingredients!$A$5:$A$304,0)),""))</f>
        <v>0</v>
      </c>
      <c r="C171" s="26"/>
      <c r="D171" s="27"/>
      <c r="E171" s="27"/>
      <c r="F171" s="30"/>
      <c r="G171" s="30"/>
      <c r="H171" s="8">
        <f>IF(A171="","",IFERROR(INDEX(Ingredients!$M$5:$M$304,MATCH(A171,Ingredients!$A$5:$A$304,0)),""))</f>
        <v>0</v>
      </c>
      <c r="I171" s="8">
        <f>IF(OR(A171="",H171=""),"",IF(G171&lt;&gt;"",G171+H171,IF(F171&lt;&gt;"",F171+H171,"")))</f>
        <v>0</v>
      </c>
      <c r="J171" s="8">
        <f>IF(OR(A171="",I171=""),"",I171-TODAY())</f>
        <v>0</v>
      </c>
      <c r="K171" s="8">
        <f>IF(A171="","",IF(J171="","No date",IF(J171&lt;0,"Expired",IF(J171&lt;=Expiry_Warning_Days,"Use soon","Fresh"))))</f>
        <v>0</v>
      </c>
      <c r="L171" s="8">
        <f>IF(A171="","",COUNTIFS('Recipe Ingredients'!$B$5:$B$1204,A171))</f>
        <v>0</v>
      </c>
      <c r="M171" s="8">
        <f>IF(A171="","",IFERROR(INDEX(Ingredients!$X$5:$X$304,MATCH(A171,Ingredients!$A$5:$A$304,0)),""))</f>
        <v>0</v>
      </c>
      <c r="N171" s="8">
        <f>IF(OR(A171="",M171=""),"",IF(M171&lt;1,MAX(0,1*IFERROR(IFERROR(INDEX(Ingredients!$U$5:$U$304,MATCH(A171,Ingredients!$A$5:$A$304,0)),""),0)-C171),0))</f>
        <v>0</v>
      </c>
      <c r="O171" s="8">
        <f>IF(A171="","",IF(M171="","",IF(M171&lt;1,"Low","OK")))</f>
        <v>0</v>
      </c>
      <c r="P171" s="8">
        <f>IF(OR(A171="",C171=""),"",IFERROR(C171*IFERROR(INDEX(Ingredients!$D$5:$D$304,MATCH(A171,Ingredients!$A$5:$A$304,0)),""),""))</f>
        <v>0</v>
      </c>
      <c r="Q171" s="8">
        <f>IF(OR(E171&lt;&gt;"Fridge",J171=""),"",SUMPRODUCT(($E$5:$E$304="Fridge")*($J$5:$J$304&lt;J171))+SUMPRODUCT(($E$5:$E$304="Fridge")*($J$5:$J$304=J171)*(ROW($J$5:$J$304)&lt;ROW()))+1)</f>
        <v>0</v>
      </c>
      <c r="R171" s="8">
        <f>IF(OR(E171&lt;&gt;"Freezer",J171=""),"",SUMPRODUCT(($E$5:$E$304="Freezer")*($J$5:$J$304&lt;J171))+SUMPRODUCT(($E$5:$E$304="Freezer")*($J$5:$J$304=J171)*(ROW($J$5:$J$304)&lt;ROW()))+1)</f>
        <v>0</v>
      </c>
      <c r="S171" s="7"/>
      <c r="T171" s="27"/>
      <c r="U171" s="28"/>
      <c r="V171" s="27"/>
      <c r="W171" s="7"/>
      <c r="X171" s="26"/>
      <c r="Y171" s="8">
        <f>IF(A171="","",IF(K171="Expired","Bin it",IF(K171="Use soon","Cook it",IF(O171="Low","Running low","Keep"))))</f>
        <v>0</v>
      </c>
      <c r="Z171" s="25"/>
    </row>
    <row r="172" spans="1:26">
      <c r="A172" s="7"/>
      <c r="B172" s="8">
        <f>IF(A172="","",IFERROR(INDEX(Ingredients!$B$5:$B$304,MATCH(A172,Ingredients!$A$5:$A$304,0)),""))</f>
        <v>0</v>
      </c>
      <c r="C172" s="26"/>
      <c r="D172" s="27"/>
      <c r="E172" s="27"/>
      <c r="F172" s="30"/>
      <c r="G172" s="30"/>
      <c r="H172" s="8">
        <f>IF(A172="","",IFERROR(INDEX(Ingredients!$M$5:$M$304,MATCH(A172,Ingredients!$A$5:$A$304,0)),""))</f>
        <v>0</v>
      </c>
      <c r="I172" s="8">
        <f>IF(OR(A172="",H172=""),"",IF(G172&lt;&gt;"",G172+H172,IF(F172&lt;&gt;"",F172+H172,"")))</f>
        <v>0</v>
      </c>
      <c r="J172" s="8">
        <f>IF(OR(A172="",I172=""),"",I172-TODAY())</f>
        <v>0</v>
      </c>
      <c r="K172" s="8">
        <f>IF(A172="","",IF(J172="","No date",IF(J172&lt;0,"Expired",IF(J172&lt;=Expiry_Warning_Days,"Use soon","Fresh"))))</f>
        <v>0</v>
      </c>
      <c r="L172" s="8">
        <f>IF(A172="","",COUNTIFS('Recipe Ingredients'!$B$5:$B$1204,A172))</f>
        <v>0</v>
      </c>
      <c r="M172" s="8">
        <f>IF(A172="","",IFERROR(INDEX(Ingredients!$X$5:$X$304,MATCH(A172,Ingredients!$A$5:$A$304,0)),""))</f>
        <v>0</v>
      </c>
      <c r="N172" s="8">
        <f>IF(OR(A172="",M172=""),"",IF(M172&lt;1,MAX(0,1*IFERROR(IFERROR(INDEX(Ingredients!$U$5:$U$304,MATCH(A172,Ingredients!$A$5:$A$304,0)),""),0)-C172),0))</f>
        <v>0</v>
      </c>
      <c r="O172" s="8">
        <f>IF(A172="","",IF(M172="","",IF(M172&lt;1,"Low","OK")))</f>
        <v>0</v>
      </c>
      <c r="P172" s="8">
        <f>IF(OR(A172="",C172=""),"",IFERROR(C172*IFERROR(INDEX(Ingredients!$D$5:$D$304,MATCH(A172,Ingredients!$A$5:$A$304,0)),""),""))</f>
        <v>0</v>
      </c>
      <c r="Q172" s="8">
        <f>IF(OR(E172&lt;&gt;"Fridge",J172=""),"",SUMPRODUCT(($E$5:$E$304="Fridge")*($J$5:$J$304&lt;J172))+SUMPRODUCT(($E$5:$E$304="Fridge")*($J$5:$J$304=J172)*(ROW($J$5:$J$304)&lt;ROW()))+1)</f>
        <v>0</v>
      </c>
      <c r="R172" s="8">
        <f>IF(OR(E172&lt;&gt;"Freezer",J172=""),"",SUMPRODUCT(($E$5:$E$304="Freezer")*($J$5:$J$304&lt;J172))+SUMPRODUCT(($E$5:$E$304="Freezer")*($J$5:$J$304=J172)*(ROW($J$5:$J$304)&lt;ROW()))+1)</f>
        <v>0</v>
      </c>
      <c r="S172" s="7"/>
      <c r="T172" s="27"/>
      <c r="U172" s="28"/>
      <c r="V172" s="27"/>
      <c r="W172" s="7"/>
      <c r="X172" s="26"/>
      <c r="Y172" s="8">
        <f>IF(A172="","",IF(K172="Expired","Bin it",IF(K172="Use soon","Cook it",IF(O172="Low","Running low","Keep"))))</f>
        <v>0</v>
      </c>
      <c r="Z172" s="25"/>
    </row>
    <row r="173" spans="1:26">
      <c r="A173" s="7"/>
      <c r="B173" s="8">
        <f>IF(A173="","",IFERROR(INDEX(Ingredients!$B$5:$B$304,MATCH(A173,Ingredients!$A$5:$A$304,0)),""))</f>
        <v>0</v>
      </c>
      <c r="C173" s="26"/>
      <c r="D173" s="27"/>
      <c r="E173" s="27"/>
      <c r="F173" s="30"/>
      <c r="G173" s="30"/>
      <c r="H173" s="8">
        <f>IF(A173="","",IFERROR(INDEX(Ingredients!$M$5:$M$304,MATCH(A173,Ingredients!$A$5:$A$304,0)),""))</f>
        <v>0</v>
      </c>
      <c r="I173" s="8">
        <f>IF(OR(A173="",H173=""),"",IF(G173&lt;&gt;"",G173+H173,IF(F173&lt;&gt;"",F173+H173,"")))</f>
        <v>0</v>
      </c>
      <c r="J173" s="8">
        <f>IF(OR(A173="",I173=""),"",I173-TODAY())</f>
        <v>0</v>
      </c>
      <c r="K173" s="8">
        <f>IF(A173="","",IF(J173="","No date",IF(J173&lt;0,"Expired",IF(J173&lt;=Expiry_Warning_Days,"Use soon","Fresh"))))</f>
        <v>0</v>
      </c>
      <c r="L173" s="8">
        <f>IF(A173="","",COUNTIFS('Recipe Ingredients'!$B$5:$B$1204,A173))</f>
        <v>0</v>
      </c>
      <c r="M173" s="8">
        <f>IF(A173="","",IFERROR(INDEX(Ingredients!$X$5:$X$304,MATCH(A173,Ingredients!$A$5:$A$304,0)),""))</f>
        <v>0</v>
      </c>
      <c r="N173" s="8">
        <f>IF(OR(A173="",M173=""),"",IF(M173&lt;1,MAX(0,1*IFERROR(IFERROR(INDEX(Ingredients!$U$5:$U$304,MATCH(A173,Ingredients!$A$5:$A$304,0)),""),0)-C173),0))</f>
        <v>0</v>
      </c>
      <c r="O173" s="8">
        <f>IF(A173="","",IF(M173="","",IF(M173&lt;1,"Low","OK")))</f>
        <v>0</v>
      </c>
      <c r="P173" s="8">
        <f>IF(OR(A173="",C173=""),"",IFERROR(C173*IFERROR(INDEX(Ingredients!$D$5:$D$304,MATCH(A173,Ingredients!$A$5:$A$304,0)),""),""))</f>
        <v>0</v>
      </c>
      <c r="Q173" s="8">
        <f>IF(OR(E173&lt;&gt;"Fridge",J173=""),"",SUMPRODUCT(($E$5:$E$304="Fridge")*($J$5:$J$304&lt;J173))+SUMPRODUCT(($E$5:$E$304="Fridge")*($J$5:$J$304=J173)*(ROW($J$5:$J$304)&lt;ROW()))+1)</f>
        <v>0</v>
      </c>
      <c r="R173" s="8">
        <f>IF(OR(E173&lt;&gt;"Freezer",J173=""),"",SUMPRODUCT(($E$5:$E$304="Freezer")*($J$5:$J$304&lt;J173))+SUMPRODUCT(($E$5:$E$304="Freezer")*($J$5:$J$304=J173)*(ROW($J$5:$J$304)&lt;ROW()))+1)</f>
        <v>0</v>
      </c>
      <c r="S173" s="7"/>
      <c r="T173" s="27"/>
      <c r="U173" s="28"/>
      <c r="V173" s="27"/>
      <c r="W173" s="7"/>
      <c r="X173" s="26"/>
      <c r="Y173" s="8">
        <f>IF(A173="","",IF(K173="Expired","Bin it",IF(K173="Use soon","Cook it",IF(O173="Low","Running low","Keep"))))</f>
        <v>0</v>
      </c>
      <c r="Z173" s="25"/>
    </row>
    <row r="174" spans="1:26">
      <c r="A174" s="7"/>
      <c r="B174" s="8">
        <f>IF(A174="","",IFERROR(INDEX(Ingredients!$B$5:$B$304,MATCH(A174,Ingredients!$A$5:$A$304,0)),""))</f>
        <v>0</v>
      </c>
      <c r="C174" s="26"/>
      <c r="D174" s="27"/>
      <c r="E174" s="27"/>
      <c r="F174" s="30"/>
      <c r="G174" s="30"/>
      <c r="H174" s="8">
        <f>IF(A174="","",IFERROR(INDEX(Ingredients!$M$5:$M$304,MATCH(A174,Ingredients!$A$5:$A$304,0)),""))</f>
        <v>0</v>
      </c>
      <c r="I174" s="8">
        <f>IF(OR(A174="",H174=""),"",IF(G174&lt;&gt;"",G174+H174,IF(F174&lt;&gt;"",F174+H174,"")))</f>
        <v>0</v>
      </c>
      <c r="J174" s="8">
        <f>IF(OR(A174="",I174=""),"",I174-TODAY())</f>
        <v>0</v>
      </c>
      <c r="K174" s="8">
        <f>IF(A174="","",IF(J174="","No date",IF(J174&lt;0,"Expired",IF(J174&lt;=Expiry_Warning_Days,"Use soon","Fresh"))))</f>
        <v>0</v>
      </c>
      <c r="L174" s="8">
        <f>IF(A174="","",COUNTIFS('Recipe Ingredients'!$B$5:$B$1204,A174))</f>
        <v>0</v>
      </c>
      <c r="M174" s="8">
        <f>IF(A174="","",IFERROR(INDEX(Ingredients!$X$5:$X$304,MATCH(A174,Ingredients!$A$5:$A$304,0)),""))</f>
        <v>0</v>
      </c>
      <c r="N174" s="8">
        <f>IF(OR(A174="",M174=""),"",IF(M174&lt;1,MAX(0,1*IFERROR(IFERROR(INDEX(Ingredients!$U$5:$U$304,MATCH(A174,Ingredients!$A$5:$A$304,0)),""),0)-C174),0))</f>
        <v>0</v>
      </c>
      <c r="O174" s="8">
        <f>IF(A174="","",IF(M174="","",IF(M174&lt;1,"Low","OK")))</f>
        <v>0</v>
      </c>
      <c r="P174" s="8">
        <f>IF(OR(A174="",C174=""),"",IFERROR(C174*IFERROR(INDEX(Ingredients!$D$5:$D$304,MATCH(A174,Ingredients!$A$5:$A$304,0)),""),""))</f>
        <v>0</v>
      </c>
      <c r="Q174" s="8">
        <f>IF(OR(E174&lt;&gt;"Fridge",J174=""),"",SUMPRODUCT(($E$5:$E$304="Fridge")*($J$5:$J$304&lt;J174))+SUMPRODUCT(($E$5:$E$304="Fridge")*($J$5:$J$304=J174)*(ROW($J$5:$J$304)&lt;ROW()))+1)</f>
        <v>0</v>
      </c>
      <c r="R174" s="8">
        <f>IF(OR(E174&lt;&gt;"Freezer",J174=""),"",SUMPRODUCT(($E$5:$E$304="Freezer")*($J$5:$J$304&lt;J174))+SUMPRODUCT(($E$5:$E$304="Freezer")*($J$5:$J$304=J174)*(ROW($J$5:$J$304)&lt;ROW()))+1)</f>
        <v>0</v>
      </c>
      <c r="S174" s="7"/>
      <c r="T174" s="27"/>
      <c r="U174" s="28"/>
      <c r="V174" s="27"/>
      <c r="W174" s="7"/>
      <c r="X174" s="26"/>
      <c r="Y174" s="8">
        <f>IF(A174="","",IF(K174="Expired","Bin it",IF(K174="Use soon","Cook it",IF(O174="Low","Running low","Keep"))))</f>
        <v>0</v>
      </c>
      <c r="Z174" s="25"/>
    </row>
    <row r="175" spans="1:26">
      <c r="A175" s="7"/>
      <c r="B175" s="8">
        <f>IF(A175="","",IFERROR(INDEX(Ingredients!$B$5:$B$304,MATCH(A175,Ingredients!$A$5:$A$304,0)),""))</f>
        <v>0</v>
      </c>
      <c r="C175" s="26"/>
      <c r="D175" s="27"/>
      <c r="E175" s="27"/>
      <c r="F175" s="30"/>
      <c r="G175" s="30"/>
      <c r="H175" s="8">
        <f>IF(A175="","",IFERROR(INDEX(Ingredients!$M$5:$M$304,MATCH(A175,Ingredients!$A$5:$A$304,0)),""))</f>
        <v>0</v>
      </c>
      <c r="I175" s="8">
        <f>IF(OR(A175="",H175=""),"",IF(G175&lt;&gt;"",G175+H175,IF(F175&lt;&gt;"",F175+H175,"")))</f>
        <v>0</v>
      </c>
      <c r="J175" s="8">
        <f>IF(OR(A175="",I175=""),"",I175-TODAY())</f>
        <v>0</v>
      </c>
      <c r="K175" s="8">
        <f>IF(A175="","",IF(J175="","No date",IF(J175&lt;0,"Expired",IF(J175&lt;=Expiry_Warning_Days,"Use soon","Fresh"))))</f>
        <v>0</v>
      </c>
      <c r="L175" s="8">
        <f>IF(A175="","",COUNTIFS('Recipe Ingredients'!$B$5:$B$1204,A175))</f>
        <v>0</v>
      </c>
      <c r="M175" s="8">
        <f>IF(A175="","",IFERROR(INDEX(Ingredients!$X$5:$X$304,MATCH(A175,Ingredients!$A$5:$A$304,0)),""))</f>
        <v>0</v>
      </c>
      <c r="N175" s="8">
        <f>IF(OR(A175="",M175=""),"",IF(M175&lt;1,MAX(0,1*IFERROR(IFERROR(INDEX(Ingredients!$U$5:$U$304,MATCH(A175,Ingredients!$A$5:$A$304,0)),""),0)-C175),0))</f>
        <v>0</v>
      </c>
      <c r="O175" s="8">
        <f>IF(A175="","",IF(M175="","",IF(M175&lt;1,"Low","OK")))</f>
        <v>0</v>
      </c>
      <c r="P175" s="8">
        <f>IF(OR(A175="",C175=""),"",IFERROR(C175*IFERROR(INDEX(Ingredients!$D$5:$D$304,MATCH(A175,Ingredients!$A$5:$A$304,0)),""),""))</f>
        <v>0</v>
      </c>
      <c r="Q175" s="8">
        <f>IF(OR(E175&lt;&gt;"Fridge",J175=""),"",SUMPRODUCT(($E$5:$E$304="Fridge")*($J$5:$J$304&lt;J175))+SUMPRODUCT(($E$5:$E$304="Fridge")*($J$5:$J$304=J175)*(ROW($J$5:$J$304)&lt;ROW()))+1)</f>
        <v>0</v>
      </c>
      <c r="R175" s="8">
        <f>IF(OR(E175&lt;&gt;"Freezer",J175=""),"",SUMPRODUCT(($E$5:$E$304="Freezer")*($J$5:$J$304&lt;J175))+SUMPRODUCT(($E$5:$E$304="Freezer")*($J$5:$J$304=J175)*(ROW($J$5:$J$304)&lt;ROW()))+1)</f>
        <v>0</v>
      </c>
      <c r="S175" s="7"/>
      <c r="T175" s="27"/>
      <c r="U175" s="28"/>
      <c r="V175" s="27"/>
      <c r="W175" s="7"/>
      <c r="X175" s="26"/>
      <c r="Y175" s="8">
        <f>IF(A175="","",IF(K175="Expired","Bin it",IF(K175="Use soon","Cook it",IF(O175="Low","Running low","Keep"))))</f>
        <v>0</v>
      </c>
      <c r="Z175" s="25"/>
    </row>
    <row r="176" spans="1:26">
      <c r="A176" s="7"/>
      <c r="B176" s="8">
        <f>IF(A176="","",IFERROR(INDEX(Ingredients!$B$5:$B$304,MATCH(A176,Ingredients!$A$5:$A$304,0)),""))</f>
        <v>0</v>
      </c>
      <c r="C176" s="26"/>
      <c r="D176" s="27"/>
      <c r="E176" s="27"/>
      <c r="F176" s="30"/>
      <c r="G176" s="30"/>
      <c r="H176" s="8">
        <f>IF(A176="","",IFERROR(INDEX(Ingredients!$M$5:$M$304,MATCH(A176,Ingredients!$A$5:$A$304,0)),""))</f>
        <v>0</v>
      </c>
      <c r="I176" s="8">
        <f>IF(OR(A176="",H176=""),"",IF(G176&lt;&gt;"",G176+H176,IF(F176&lt;&gt;"",F176+H176,"")))</f>
        <v>0</v>
      </c>
      <c r="J176" s="8">
        <f>IF(OR(A176="",I176=""),"",I176-TODAY())</f>
        <v>0</v>
      </c>
      <c r="K176" s="8">
        <f>IF(A176="","",IF(J176="","No date",IF(J176&lt;0,"Expired",IF(J176&lt;=Expiry_Warning_Days,"Use soon","Fresh"))))</f>
        <v>0</v>
      </c>
      <c r="L176" s="8">
        <f>IF(A176="","",COUNTIFS('Recipe Ingredients'!$B$5:$B$1204,A176))</f>
        <v>0</v>
      </c>
      <c r="M176" s="8">
        <f>IF(A176="","",IFERROR(INDEX(Ingredients!$X$5:$X$304,MATCH(A176,Ingredients!$A$5:$A$304,0)),""))</f>
        <v>0</v>
      </c>
      <c r="N176" s="8">
        <f>IF(OR(A176="",M176=""),"",IF(M176&lt;1,MAX(0,1*IFERROR(IFERROR(INDEX(Ingredients!$U$5:$U$304,MATCH(A176,Ingredients!$A$5:$A$304,0)),""),0)-C176),0))</f>
        <v>0</v>
      </c>
      <c r="O176" s="8">
        <f>IF(A176="","",IF(M176="","",IF(M176&lt;1,"Low","OK")))</f>
        <v>0</v>
      </c>
      <c r="P176" s="8">
        <f>IF(OR(A176="",C176=""),"",IFERROR(C176*IFERROR(INDEX(Ingredients!$D$5:$D$304,MATCH(A176,Ingredients!$A$5:$A$304,0)),""),""))</f>
        <v>0</v>
      </c>
      <c r="Q176" s="8">
        <f>IF(OR(E176&lt;&gt;"Fridge",J176=""),"",SUMPRODUCT(($E$5:$E$304="Fridge")*($J$5:$J$304&lt;J176))+SUMPRODUCT(($E$5:$E$304="Fridge")*($J$5:$J$304=J176)*(ROW($J$5:$J$304)&lt;ROW()))+1)</f>
        <v>0</v>
      </c>
      <c r="R176" s="8">
        <f>IF(OR(E176&lt;&gt;"Freezer",J176=""),"",SUMPRODUCT(($E$5:$E$304="Freezer")*($J$5:$J$304&lt;J176))+SUMPRODUCT(($E$5:$E$304="Freezer")*($J$5:$J$304=J176)*(ROW($J$5:$J$304)&lt;ROW()))+1)</f>
        <v>0</v>
      </c>
      <c r="S176" s="7"/>
      <c r="T176" s="27"/>
      <c r="U176" s="28"/>
      <c r="V176" s="27"/>
      <c r="W176" s="7"/>
      <c r="X176" s="26"/>
      <c r="Y176" s="8">
        <f>IF(A176="","",IF(K176="Expired","Bin it",IF(K176="Use soon","Cook it",IF(O176="Low","Running low","Keep"))))</f>
        <v>0</v>
      </c>
      <c r="Z176" s="25"/>
    </row>
    <row r="177" spans="1:26">
      <c r="A177" s="7"/>
      <c r="B177" s="8">
        <f>IF(A177="","",IFERROR(INDEX(Ingredients!$B$5:$B$304,MATCH(A177,Ingredients!$A$5:$A$304,0)),""))</f>
        <v>0</v>
      </c>
      <c r="C177" s="26"/>
      <c r="D177" s="27"/>
      <c r="E177" s="27"/>
      <c r="F177" s="30"/>
      <c r="G177" s="30"/>
      <c r="H177" s="8">
        <f>IF(A177="","",IFERROR(INDEX(Ingredients!$M$5:$M$304,MATCH(A177,Ingredients!$A$5:$A$304,0)),""))</f>
        <v>0</v>
      </c>
      <c r="I177" s="8">
        <f>IF(OR(A177="",H177=""),"",IF(G177&lt;&gt;"",G177+H177,IF(F177&lt;&gt;"",F177+H177,"")))</f>
        <v>0</v>
      </c>
      <c r="J177" s="8">
        <f>IF(OR(A177="",I177=""),"",I177-TODAY())</f>
        <v>0</v>
      </c>
      <c r="K177" s="8">
        <f>IF(A177="","",IF(J177="","No date",IF(J177&lt;0,"Expired",IF(J177&lt;=Expiry_Warning_Days,"Use soon","Fresh"))))</f>
        <v>0</v>
      </c>
      <c r="L177" s="8">
        <f>IF(A177="","",COUNTIFS('Recipe Ingredients'!$B$5:$B$1204,A177))</f>
        <v>0</v>
      </c>
      <c r="M177" s="8">
        <f>IF(A177="","",IFERROR(INDEX(Ingredients!$X$5:$X$304,MATCH(A177,Ingredients!$A$5:$A$304,0)),""))</f>
        <v>0</v>
      </c>
      <c r="N177" s="8">
        <f>IF(OR(A177="",M177=""),"",IF(M177&lt;1,MAX(0,1*IFERROR(IFERROR(INDEX(Ingredients!$U$5:$U$304,MATCH(A177,Ingredients!$A$5:$A$304,0)),""),0)-C177),0))</f>
        <v>0</v>
      </c>
      <c r="O177" s="8">
        <f>IF(A177="","",IF(M177="","",IF(M177&lt;1,"Low","OK")))</f>
        <v>0</v>
      </c>
      <c r="P177" s="8">
        <f>IF(OR(A177="",C177=""),"",IFERROR(C177*IFERROR(INDEX(Ingredients!$D$5:$D$304,MATCH(A177,Ingredients!$A$5:$A$304,0)),""),""))</f>
        <v>0</v>
      </c>
      <c r="Q177" s="8">
        <f>IF(OR(E177&lt;&gt;"Fridge",J177=""),"",SUMPRODUCT(($E$5:$E$304="Fridge")*($J$5:$J$304&lt;J177))+SUMPRODUCT(($E$5:$E$304="Fridge")*($J$5:$J$304=J177)*(ROW($J$5:$J$304)&lt;ROW()))+1)</f>
        <v>0</v>
      </c>
      <c r="R177" s="8">
        <f>IF(OR(E177&lt;&gt;"Freezer",J177=""),"",SUMPRODUCT(($E$5:$E$304="Freezer")*($J$5:$J$304&lt;J177))+SUMPRODUCT(($E$5:$E$304="Freezer")*($J$5:$J$304=J177)*(ROW($J$5:$J$304)&lt;ROW()))+1)</f>
        <v>0</v>
      </c>
      <c r="S177" s="7"/>
      <c r="T177" s="27"/>
      <c r="U177" s="28"/>
      <c r="V177" s="27"/>
      <c r="W177" s="7"/>
      <c r="X177" s="26"/>
      <c r="Y177" s="8">
        <f>IF(A177="","",IF(K177="Expired","Bin it",IF(K177="Use soon","Cook it",IF(O177="Low","Running low","Keep"))))</f>
        <v>0</v>
      </c>
      <c r="Z177" s="25"/>
    </row>
    <row r="178" spans="1:26">
      <c r="A178" s="7"/>
      <c r="B178" s="8">
        <f>IF(A178="","",IFERROR(INDEX(Ingredients!$B$5:$B$304,MATCH(A178,Ingredients!$A$5:$A$304,0)),""))</f>
        <v>0</v>
      </c>
      <c r="C178" s="26"/>
      <c r="D178" s="27"/>
      <c r="E178" s="27"/>
      <c r="F178" s="30"/>
      <c r="G178" s="30"/>
      <c r="H178" s="8">
        <f>IF(A178="","",IFERROR(INDEX(Ingredients!$M$5:$M$304,MATCH(A178,Ingredients!$A$5:$A$304,0)),""))</f>
        <v>0</v>
      </c>
      <c r="I178" s="8">
        <f>IF(OR(A178="",H178=""),"",IF(G178&lt;&gt;"",G178+H178,IF(F178&lt;&gt;"",F178+H178,"")))</f>
        <v>0</v>
      </c>
      <c r="J178" s="8">
        <f>IF(OR(A178="",I178=""),"",I178-TODAY())</f>
        <v>0</v>
      </c>
      <c r="K178" s="8">
        <f>IF(A178="","",IF(J178="","No date",IF(J178&lt;0,"Expired",IF(J178&lt;=Expiry_Warning_Days,"Use soon","Fresh"))))</f>
        <v>0</v>
      </c>
      <c r="L178" s="8">
        <f>IF(A178="","",COUNTIFS('Recipe Ingredients'!$B$5:$B$1204,A178))</f>
        <v>0</v>
      </c>
      <c r="M178" s="8">
        <f>IF(A178="","",IFERROR(INDEX(Ingredients!$X$5:$X$304,MATCH(A178,Ingredients!$A$5:$A$304,0)),""))</f>
        <v>0</v>
      </c>
      <c r="N178" s="8">
        <f>IF(OR(A178="",M178=""),"",IF(M178&lt;1,MAX(0,1*IFERROR(IFERROR(INDEX(Ingredients!$U$5:$U$304,MATCH(A178,Ingredients!$A$5:$A$304,0)),""),0)-C178),0))</f>
        <v>0</v>
      </c>
      <c r="O178" s="8">
        <f>IF(A178="","",IF(M178="","",IF(M178&lt;1,"Low","OK")))</f>
        <v>0</v>
      </c>
      <c r="P178" s="8">
        <f>IF(OR(A178="",C178=""),"",IFERROR(C178*IFERROR(INDEX(Ingredients!$D$5:$D$304,MATCH(A178,Ingredients!$A$5:$A$304,0)),""),""))</f>
        <v>0</v>
      </c>
      <c r="Q178" s="8">
        <f>IF(OR(E178&lt;&gt;"Fridge",J178=""),"",SUMPRODUCT(($E$5:$E$304="Fridge")*($J$5:$J$304&lt;J178))+SUMPRODUCT(($E$5:$E$304="Fridge")*($J$5:$J$304=J178)*(ROW($J$5:$J$304)&lt;ROW()))+1)</f>
        <v>0</v>
      </c>
      <c r="R178" s="8">
        <f>IF(OR(E178&lt;&gt;"Freezer",J178=""),"",SUMPRODUCT(($E$5:$E$304="Freezer")*($J$5:$J$304&lt;J178))+SUMPRODUCT(($E$5:$E$304="Freezer")*($J$5:$J$304=J178)*(ROW($J$5:$J$304)&lt;ROW()))+1)</f>
        <v>0</v>
      </c>
      <c r="S178" s="7"/>
      <c r="T178" s="27"/>
      <c r="U178" s="28"/>
      <c r="V178" s="27"/>
      <c r="W178" s="7"/>
      <c r="X178" s="26"/>
      <c r="Y178" s="8">
        <f>IF(A178="","",IF(K178="Expired","Bin it",IF(K178="Use soon","Cook it",IF(O178="Low","Running low","Keep"))))</f>
        <v>0</v>
      </c>
      <c r="Z178" s="25"/>
    </row>
    <row r="179" spans="1:26">
      <c r="A179" s="7"/>
      <c r="B179" s="8">
        <f>IF(A179="","",IFERROR(INDEX(Ingredients!$B$5:$B$304,MATCH(A179,Ingredients!$A$5:$A$304,0)),""))</f>
        <v>0</v>
      </c>
      <c r="C179" s="26"/>
      <c r="D179" s="27"/>
      <c r="E179" s="27"/>
      <c r="F179" s="30"/>
      <c r="G179" s="30"/>
      <c r="H179" s="8">
        <f>IF(A179="","",IFERROR(INDEX(Ingredients!$M$5:$M$304,MATCH(A179,Ingredients!$A$5:$A$304,0)),""))</f>
        <v>0</v>
      </c>
      <c r="I179" s="8">
        <f>IF(OR(A179="",H179=""),"",IF(G179&lt;&gt;"",G179+H179,IF(F179&lt;&gt;"",F179+H179,"")))</f>
        <v>0</v>
      </c>
      <c r="J179" s="8">
        <f>IF(OR(A179="",I179=""),"",I179-TODAY())</f>
        <v>0</v>
      </c>
      <c r="K179" s="8">
        <f>IF(A179="","",IF(J179="","No date",IF(J179&lt;0,"Expired",IF(J179&lt;=Expiry_Warning_Days,"Use soon","Fresh"))))</f>
        <v>0</v>
      </c>
      <c r="L179" s="8">
        <f>IF(A179="","",COUNTIFS('Recipe Ingredients'!$B$5:$B$1204,A179))</f>
        <v>0</v>
      </c>
      <c r="M179" s="8">
        <f>IF(A179="","",IFERROR(INDEX(Ingredients!$X$5:$X$304,MATCH(A179,Ingredients!$A$5:$A$304,0)),""))</f>
        <v>0</v>
      </c>
      <c r="N179" s="8">
        <f>IF(OR(A179="",M179=""),"",IF(M179&lt;1,MAX(0,1*IFERROR(IFERROR(INDEX(Ingredients!$U$5:$U$304,MATCH(A179,Ingredients!$A$5:$A$304,0)),""),0)-C179),0))</f>
        <v>0</v>
      </c>
      <c r="O179" s="8">
        <f>IF(A179="","",IF(M179="","",IF(M179&lt;1,"Low","OK")))</f>
        <v>0</v>
      </c>
      <c r="P179" s="8">
        <f>IF(OR(A179="",C179=""),"",IFERROR(C179*IFERROR(INDEX(Ingredients!$D$5:$D$304,MATCH(A179,Ingredients!$A$5:$A$304,0)),""),""))</f>
        <v>0</v>
      </c>
      <c r="Q179" s="8">
        <f>IF(OR(E179&lt;&gt;"Fridge",J179=""),"",SUMPRODUCT(($E$5:$E$304="Fridge")*($J$5:$J$304&lt;J179))+SUMPRODUCT(($E$5:$E$304="Fridge")*($J$5:$J$304=J179)*(ROW($J$5:$J$304)&lt;ROW()))+1)</f>
        <v>0</v>
      </c>
      <c r="R179" s="8">
        <f>IF(OR(E179&lt;&gt;"Freezer",J179=""),"",SUMPRODUCT(($E$5:$E$304="Freezer")*($J$5:$J$304&lt;J179))+SUMPRODUCT(($E$5:$E$304="Freezer")*($J$5:$J$304=J179)*(ROW($J$5:$J$304)&lt;ROW()))+1)</f>
        <v>0</v>
      </c>
      <c r="S179" s="7"/>
      <c r="T179" s="27"/>
      <c r="U179" s="28"/>
      <c r="V179" s="27"/>
      <c r="W179" s="7"/>
      <c r="X179" s="26"/>
      <c r="Y179" s="8">
        <f>IF(A179="","",IF(K179="Expired","Bin it",IF(K179="Use soon","Cook it",IF(O179="Low","Running low","Keep"))))</f>
        <v>0</v>
      </c>
      <c r="Z179" s="25"/>
    </row>
    <row r="180" spans="1:26">
      <c r="A180" s="7"/>
      <c r="B180" s="8">
        <f>IF(A180="","",IFERROR(INDEX(Ingredients!$B$5:$B$304,MATCH(A180,Ingredients!$A$5:$A$304,0)),""))</f>
        <v>0</v>
      </c>
      <c r="C180" s="26"/>
      <c r="D180" s="27"/>
      <c r="E180" s="27"/>
      <c r="F180" s="30"/>
      <c r="G180" s="30"/>
      <c r="H180" s="8">
        <f>IF(A180="","",IFERROR(INDEX(Ingredients!$M$5:$M$304,MATCH(A180,Ingredients!$A$5:$A$304,0)),""))</f>
        <v>0</v>
      </c>
      <c r="I180" s="8">
        <f>IF(OR(A180="",H180=""),"",IF(G180&lt;&gt;"",G180+H180,IF(F180&lt;&gt;"",F180+H180,"")))</f>
        <v>0</v>
      </c>
      <c r="J180" s="8">
        <f>IF(OR(A180="",I180=""),"",I180-TODAY())</f>
        <v>0</v>
      </c>
      <c r="K180" s="8">
        <f>IF(A180="","",IF(J180="","No date",IF(J180&lt;0,"Expired",IF(J180&lt;=Expiry_Warning_Days,"Use soon","Fresh"))))</f>
        <v>0</v>
      </c>
      <c r="L180" s="8">
        <f>IF(A180="","",COUNTIFS('Recipe Ingredients'!$B$5:$B$1204,A180))</f>
        <v>0</v>
      </c>
      <c r="M180" s="8">
        <f>IF(A180="","",IFERROR(INDEX(Ingredients!$X$5:$X$304,MATCH(A180,Ingredients!$A$5:$A$304,0)),""))</f>
        <v>0</v>
      </c>
      <c r="N180" s="8">
        <f>IF(OR(A180="",M180=""),"",IF(M180&lt;1,MAX(0,1*IFERROR(IFERROR(INDEX(Ingredients!$U$5:$U$304,MATCH(A180,Ingredients!$A$5:$A$304,0)),""),0)-C180),0))</f>
        <v>0</v>
      </c>
      <c r="O180" s="8">
        <f>IF(A180="","",IF(M180="","",IF(M180&lt;1,"Low","OK")))</f>
        <v>0</v>
      </c>
      <c r="P180" s="8">
        <f>IF(OR(A180="",C180=""),"",IFERROR(C180*IFERROR(INDEX(Ingredients!$D$5:$D$304,MATCH(A180,Ingredients!$A$5:$A$304,0)),""),""))</f>
        <v>0</v>
      </c>
      <c r="Q180" s="8">
        <f>IF(OR(E180&lt;&gt;"Fridge",J180=""),"",SUMPRODUCT(($E$5:$E$304="Fridge")*($J$5:$J$304&lt;J180))+SUMPRODUCT(($E$5:$E$304="Fridge")*($J$5:$J$304=J180)*(ROW($J$5:$J$304)&lt;ROW()))+1)</f>
        <v>0</v>
      </c>
      <c r="R180" s="8">
        <f>IF(OR(E180&lt;&gt;"Freezer",J180=""),"",SUMPRODUCT(($E$5:$E$304="Freezer")*($J$5:$J$304&lt;J180))+SUMPRODUCT(($E$5:$E$304="Freezer")*($J$5:$J$304=J180)*(ROW($J$5:$J$304)&lt;ROW()))+1)</f>
        <v>0</v>
      </c>
      <c r="S180" s="7"/>
      <c r="T180" s="27"/>
      <c r="U180" s="28"/>
      <c r="V180" s="27"/>
      <c r="W180" s="7"/>
      <c r="X180" s="26"/>
      <c r="Y180" s="8">
        <f>IF(A180="","",IF(K180="Expired","Bin it",IF(K180="Use soon","Cook it",IF(O180="Low","Running low","Keep"))))</f>
        <v>0</v>
      </c>
      <c r="Z180" s="25"/>
    </row>
    <row r="181" spans="1:26">
      <c r="A181" s="7"/>
      <c r="B181" s="8">
        <f>IF(A181="","",IFERROR(INDEX(Ingredients!$B$5:$B$304,MATCH(A181,Ingredients!$A$5:$A$304,0)),""))</f>
        <v>0</v>
      </c>
      <c r="C181" s="26"/>
      <c r="D181" s="27"/>
      <c r="E181" s="27"/>
      <c r="F181" s="30"/>
      <c r="G181" s="30"/>
      <c r="H181" s="8">
        <f>IF(A181="","",IFERROR(INDEX(Ingredients!$M$5:$M$304,MATCH(A181,Ingredients!$A$5:$A$304,0)),""))</f>
        <v>0</v>
      </c>
      <c r="I181" s="8">
        <f>IF(OR(A181="",H181=""),"",IF(G181&lt;&gt;"",G181+H181,IF(F181&lt;&gt;"",F181+H181,"")))</f>
        <v>0</v>
      </c>
      <c r="J181" s="8">
        <f>IF(OR(A181="",I181=""),"",I181-TODAY())</f>
        <v>0</v>
      </c>
      <c r="K181" s="8">
        <f>IF(A181="","",IF(J181="","No date",IF(J181&lt;0,"Expired",IF(J181&lt;=Expiry_Warning_Days,"Use soon","Fresh"))))</f>
        <v>0</v>
      </c>
      <c r="L181" s="8">
        <f>IF(A181="","",COUNTIFS('Recipe Ingredients'!$B$5:$B$1204,A181))</f>
        <v>0</v>
      </c>
      <c r="M181" s="8">
        <f>IF(A181="","",IFERROR(INDEX(Ingredients!$X$5:$X$304,MATCH(A181,Ingredients!$A$5:$A$304,0)),""))</f>
        <v>0</v>
      </c>
      <c r="N181" s="8">
        <f>IF(OR(A181="",M181=""),"",IF(M181&lt;1,MAX(0,1*IFERROR(IFERROR(INDEX(Ingredients!$U$5:$U$304,MATCH(A181,Ingredients!$A$5:$A$304,0)),""),0)-C181),0))</f>
        <v>0</v>
      </c>
      <c r="O181" s="8">
        <f>IF(A181="","",IF(M181="","",IF(M181&lt;1,"Low","OK")))</f>
        <v>0</v>
      </c>
      <c r="P181" s="8">
        <f>IF(OR(A181="",C181=""),"",IFERROR(C181*IFERROR(INDEX(Ingredients!$D$5:$D$304,MATCH(A181,Ingredients!$A$5:$A$304,0)),""),""))</f>
        <v>0</v>
      </c>
      <c r="Q181" s="8">
        <f>IF(OR(E181&lt;&gt;"Fridge",J181=""),"",SUMPRODUCT(($E$5:$E$304="Fridge")*($J$5:$J$304&lt;J181))+SUMPRODUCT(($E$5:$E$304="Fridge")*($J$5:$J$304=J181)*(ROW($J$5:$J$304)&lt;ROW()))+1)</f>
        <v>0</v>
      </c>
      <c r="R181" s="8">
        <f>IF(OR(E181&lt;&gt;"Freezer",J181=""),"",SUMPRODUCT(($E$5:$E$304="Freezer")*($J$5:$J$304&lt;J181))+SUMPRODUCT(($E$5:$E$304="Freezer")*($J$5:$J$304=J181)*(ROW($J$5:$J$304)&lt;ROW()))+1)</f>
        <v>0</v>
      </c>
      <c r="S181" s="7"/>
      <c r="T181" s="27"/>
      <c r="U181" s="28"/>
      <c r="V181" s="27"/>
      <c r="W181" s="7"/>
      <c r="X181" s="26"/>
      <c r="Y181" s="8">
        <f>IF(A181="","",IF(K181="Expired","Bin it",IF(K181="Use soon","Cook it",IF(O181="Low","Running low","Keep"))))</f>
        <v>0</v>
      </c>
      <c r="Z181" s="25"/>
    </row>
    <row r="182" spans="1:26">
      <c r="A182" s="7"/>
      <c r="B182" s="8">
        <f>IF(A182="","",IFERROR(INDEX(Ingredients!$B$5:$B$304,MATCH(A182,Ingredients!$A$5:$A$304,0)),""))</f>
        <v>0</v>
      </c>
      <c r="C182" s="26"/>
      <c r="D182" s="27"/>
      <c r="E182" s="27"/>
      <c r="F182" s="30"/>
      <c r="G182" s="30"/>
      <c r="H182" s="8">
        <f>IF(A182="","",IFERROR(INDEX(Ingredients!$M$5:$M$304,MATCH(A182,Ingredients!$A$5:$A$304,0)),""))</f>
        <v>0</v>
      </c>
      <c r="I182" s="8">
        <f>IF(OR(A182="",H182=""),"",IF(G182&lt;&gt;"",G182+H182,IF(F182&lt;&gt;"",F182+H182,"")))</f>
        <v>0</v>
      </c>
      <c r="J182" s="8">
        <f>IF(OR(A182="",I182=""),"",I182-TODAY())</f>
        <v>0</v>
      </c>
      <c r="K182" s="8">
        <f>IF(A182="","",IF(J182="","No date",IF(J182&lt;0,"Expired",IF(J182&lt;=Expiry_Warning_Days,"Use soon","Fresh"))))</f>
        <v>0</v>
      </c>
      <c r="L182" s="8">
        <f>IF(A182="","",COUNTIFS('Recipe Ingredients'!$B$5:$B$1204,A182))</f>
        <v>0</v>
      </c>
      <c r="M182" s="8">
        <f>IF(A182="","",IFERROR(INDEX(Ingredients!$X$5:$X$304,MATCH(A182,Ingredients!$A$5:$A$304,0)),""))</f>
        <v>0</v>
      </c>
      <c r="N182" s="8">
        <f>IF(OR(A182="",M182=""),"",IF(M182&lt;1,MAX(0,1*IFERROR(IFERROR(INDEX(Ingredients!$U$5:$U$304,MATCH(A182,Ingredients!$A$5:$A$304,0)),""),0)-C182),0))</f>
        <v>0</v>
      </c>
      <c r="O182" s="8">
        <f>IF(A182="","",IF(M182="","",IF(M182&lt;1,"Low","OK")))</f>
        <v>0</v>
      </c>
      <c r="P182" s="8">
        <f>IF(OR(A182="",C182=""),"",IFERROR(C182*IFERROR(INDEX(Ingredients!$D$5:$D$304,MATCH(A182,Ingredients!$A$5:$A$304,0)),""),""))</f>
        <v>0</v>
      </c>
      <c r="Q182" s="8">
        <f>IF(OR(E182&lt;&gt;"Fridge",J182=""),"",SUMPRODUCT(($E$5:$E$304="Fridge")*($J$5:$J$304&lt;J182))+SUMPRODUCT(($E$5:$E$304="Fridge")*($J$5:$J$304=J182)*(ROW($J$5:$J$304)&lt;ROW()))+1)</f>
        <v>0</v>
      </c>
      <c r="R182" s="8">
        <f>IF(OR(E182&lt;&gt;"Freezer",J182=""),"",SUMPRODUCT(($E$5:$E$304="Freezer")*($J$5:$J$304&lt;J182))+SUMPRODUCT(($E$5:$E$304="Freezer")*($J$5:$J$304=J182)*(ROW($J$5:$J$304)&lt;ROW()))+1)</f>
        <v>0</v>
      </c>
      <c r="S182" s="7"/>
      <c r="T182" s="27"/>
      <c r="U182" s="28"/>
      <c r="V182" s="27"/>
      <c r="W182" s="7"/>
      <c r="X182" s="26"/>
      <c r="Y182" s="8">
        <f>IF(A182="","",IF(K182="Expired","Bin it",IF(K182="Use soon","Cook it",IF(O182="Low","Running low","Keep"))))</f>
        <v>0</v>
      </c>
      <c r="Z182" s="25"/>
    </row>
    <row r="183" spans="1:26">
      <c r="A183" s="7"/>
      <c r="B183" s="8">
        <f>IF(A183="","",IFERROR(INDEX(Ingredients!$B$5:$B$304,MATCH(A183,Ingredients!$A$5:$A$304,0)),""))</f>
        <v>0</v>
      </c>
      <c r="C183" s="26"/>
      <c r="D183" s="27"/>
      <c r="E183" s="27"/>
      <c r="F183" s="30"/>
      <c r="G183" s="30"/>
      <c r="H183" s="8">
        <f>IF(A183="","",IFERROR(INDEX(Ingredients!$M$5:$M$304,MATCH(A183,Ingredients!$A$5:$A$304,0)),""))</f>
        <v>0</v>
      </c>
      <c r="I183" s="8">
        <f>IF(OR(A183="",H183=""),"",IF(G183&lt;&gt;"",G183+H183,IF(F183&lt;&gt;"",F183+H183,"")))</f>
        <v>0</v>
      </c>
      <c r="J183" s="8">
        <f>IF(OR(A183="",I183=""),"",I183-TODAY())</f>
        <v>0</v>
      </c>
      <c r="K183" s="8">
        <f>IF(A183="","",IF(J183="","No date",IF(J183&lt;0,"Expired",IF(J183&lt;=Expiry_Warning_Days,"Use soon","Fresh"))))</f>
        <v>0</v>
      </c>
      <c r="L183" s="8">
        <f>IF(A183="","",COUNTIFS('Recipe Ingredients'!$B$5:$B$1204,A183))</f>
        <v>0</v>
      </c>
      <c r="M183" s="8">
        <f>IF(A183="","",IFERROR(INDEX(Ingredients!$X$5:$X$304,MATCH(A183,Ingredients!$A$5:$A$304,0)),""))</f>
        <v>0</v>
      </c>
      <c r="N183" s="8">
        <f>IF(OR(A183="",M183=""),"",IF(M183&lt;1,MAX(0,1*IFERROR(IFERROR(INDEX(Ingredients!$U$5:$U$304,MATCH(A183,Ingredients!$A$5:$A$304,0)),""),0)-C183),0))</f>
        <v>0</v>
      </c>
      <c r="O183" s="8">
        <f>IF(A183="","",IF(M183="","",IF(M183&lt;1,"Low","OK")))</f>
        <v>0</v>
      </c>
      <c r="P183" s="8">
        <f>IF(OR(A183="",C183=""),"",IFERROR(C183*IFERROR(INDEX(Ingredients!$D$5:$D$304,MATCH(A183,Ingredients!$A$5:$A$304,0)),""),""))</f>
        <v>0</v>
      </c>
      <c r="Q183" s="8">
        <f>IF(OR(E183&lt;&gt;"Fridge",J183=""),"",SUMPRODUCT(($E$5:$E$304="Fridge")*($J$5:$J$304&lt;J183))+SUMPRODUCT(($E$5:$E$304="Fridge")*($J$5:$J$304=J183)*(ROW($J$5:$J$304)&lt;ROW()))+1)</f>
        <v>0</v>
      </c>
      <c r="R183" s="8">
        <f>IF(OR(E183&lt;&gt;"Freezer",J183=""),"",SUMPRODUCT(($E$5:$E$304="Freezer")*($J$5:$J$304&lt;J183))+SUMPRODUCT(($E$5:$E$304="Freezer")*($J$5:$J$304=J183)*(ROW($J$5:$J$304)&lt;ROW()))+1)</f>
        <v>0</v>
      </c>
      <c r="S183" s="7"/>
      <c r="T183" s="27"/>
      <c r="U183" s="28"/>
      <c r="V183" s="27"/>
      <c r="W183" s="7"/>
      <c r="X183" s="26"/>
      <c r="Y183" s="8">
        <f>IF(A183="","",IF(K183="Expired","Bin it",IF(K183="Use soon","Cook it",IF(O183="Low","Running low","Keep"))))</f>
        <v>0</v>
      </c>
      <c r="Z183" s="25"/>
    </row>
    <row r="184" spans="1:26">
      <c r="A184" s="7"/>
      <c r="B184" s="8">
        <f>IF(A184="","",IFERROR(INDEX(Ingredients!$B$5:$B$304,MATCH(A184,Ingredients!$A$5:$A$304,0)),""))</f>
        <v>0</v>
      </c>
      <c r="C184" s="26"/>
      <c r="D184" s="27"/>
      <c r="E184" s="27"/>
      <c r="F184" s="30"/>
      <c r="G184" s="30"/>
      <c r="H184" s="8">
        <f>IF(A184="","",IFERROR(INDEX(Ingredients!$M$5:$M$304,MATCH(A184,Ingredients!$A$5:$A$304,0)),""))</f>
        <v>0</v>
      </c>
      <c r="I184" s="8">
        <f>IF(OR(A184="",H184=""),"",IF(G184&lt;&gt;"",G184+H184,IF(F184&lt;&gt;"",F184+H184,"")))</f>
        <v>0</v>
      </c>
      <c r="J184" s="8">
        <f>IF(OR(A184="",I184=""),"",I184-TODAY())</f>
        <v>0</v>
      </c>
      <c r="K184" s="8">
        <f>IF(A184="","",IF(J184="","No date",IF(J184&lt;0,"Expired",IF(J184&lt;=Expiry_Warning_Days,"Use soon","Fresh"))))</f>
        <v>0</v>
      </c>
      <c r="L184" s="8">
        <f>IF(A184="","",COUNTIFS('Recipe Ingredients'!$B$5:$B$1204,A184))</f>
        <v>0</v>
      </c>
      <c r="M184" s="8">
        <f>IF(A184="","",IFERROR(INDEX(Ingredients!$X$5:$X$304,MATCH(A184,Ingredients!$A$5:$A$304,0)),""))</f>
        <v>0</v>
      </c>
      <c r="N184" s="8">
        <f>IF(OR(A184="",M184=""),"",IF(M184&lt;1,MAX(0,1*IFERROR(IFERROR(INDEX(Ingredients!$U$5:$U$304,MATCH(A184,Ingredients!$A$5:$A$304,0)),""),0)-C184),0))</f>
        <v>0</v>
      </c>
      <c r="O184" s="8">
        <f>IF(A184="","",IF(M184="","",IF(M184&lt;1,"Low","OK")))</f>
        <v>0</v>
      </c>
      <c r="P184" s="8">
        <f>IF(OR(A184="",C184=""),"",IFERROR(C184*IFERROR(INDEX(Ingredients!$D$5:$D$304,MATCH(A184,Ingredients!$A$5:$A$304,0)),""),""))</f>
        <v>0</v>
      </c>
      <c r="Q184" s="8">
        <f>IF(OR(E184&lt;&gt;"Fridge",J184=""),"",SUMPRODUCT(($E$5:$E$304="Fridge")*($J$5:$J$304&lt;J184))+SUMPRODUCT(($E$5:$E$304="Fridge")*($J$5:$J$304=J184)*(ROW($J$5:$J$304)&lt;ROW()))+1)</f>
        <v>0</v>
      </c>
      <c r="R184" s="8">
        <f>IF(OR(E184&lt;&gt;"Freezer",J184=""),"",SUMPRODUCT(($E$5:$E$304="Freezer")*($J$5:$J$304&lt;J184))+SUMPRODUCT(($E$5:$E$304="Freezer")*($J$5:$J$304=J184)*(ROW($J$5:$J$304)&lt;ROW()))+1)</f>
        <v>0</v>
      </c>
      <c r="S184" s="7"/>
      <c r="T184" s="27"/>
      <c r="U184" s="28"/>
      <c r="V184" s="27"/>
      <c r="W184" s="7"/>
      <c r="X184" s="26"/>
      <c r="Y184" s="8">
        <f>IF(A184="","",IF(K184="Expired","Bin it",IF(K184="Use soon","Cook it",IF(O184="Low","Running low","Keep"))))</f>
        <v>0</v>
      </c>
      <c r="Z184" s="25"/>
    </row>
    <row r="185" spans="1:26">
      <c r="A185" s="7"/>
      <c r="B185" s="8">
        <f>IF(A185="","",IFERROR(INDEX(Ingredients!$B$5:$B$304,MATCH(A185,Ingredients!$A$5:$A$304,0)),""))</f>
        <v>0</v>
      </c>
      <c r="C185" s="26"/>
      <c r="D185" s="27"/>
      <c r="E185" s="27"/>
      <c r="F185" s="30"/>
      <c r="G185" s="30"/>
      <c r="H185" s="8">
        <f>IF(A185="","",IFERROR(INDEX(Ingredients!$M$5:$M$304,MATCH(A185,Ingredients!$A$5:$A$304,0)),""))</f>
        <v>0</v>
      </c>
      <c r="I185" s="8">
        <f>IF(OR(A185="",H185=""),"",IF(G185&lt;&gt;"",G185+H185,IF(F185&lt;&gt;"",F185+H185,"")))</f>
        <v>0</v>
      </c>
      <c r="J185" s="8">
        <f>IF(OR(A185="",I185=""),"",I185-TODAY())</f>
        <v>0</v>
      </c>
      <c r="K185" s="8">
        <f>IF(A185="","",IF(J185="","No date",IF(J185&lt;0,"Expired",IF(J185&lt;=Expiry_Warning_Days,"Use soon","Fresh"))))</f>
        <v>0</v>
      </c>
      <c r="L185" s="8">
        <f>IF(A185="","",COUNTIFS('Recipe Ingredients'!$B$5:$B$1204,A185))</f>
        <v>0</v>
      </c>
      <c r="M185" s="8">
        <f>IF(A185="","",IFERROR(INDEX(Ingredients!$X$5:$X$304,MATCH(A185,Ingredients!$A$5:$A$304,0)),""))</f>
        <v>0</v>
      </c>
      <c r="N185" s="8">
        <f>IF(OR(A185="",M185=""),"",IF(M185&lt;1,MAX(0,1*IFERROR(IFERROR(INDEX(Ingredients!$U$5:$U$304,MATCH(A185,Ingredients!$A$5:$A$304,0)),""),0)-C185),0))</f>
        <v>0</v>
      </c>
      <c r="O185" s="8">
        <f>IF(A185="","",IF(M185="","",IF(M185&lt;1,"Low","OK")))</f>
        <v>0</v>
      </c>
      <c r="P185" s="8">
        <f>IF(OR(A185="",C185=""),"",IFERROR(C185*IFERROR(INDEX(Ingredients!$D$5:$D$304,MATCH(A185,Ingredients!$A$5:$A$304,0)),""),""))</f>
        <v>0</v>
      </c>
      <c r="Q185" s="8">
        <f>IF(OR(E185&lt;&gt;"Fridge",J185=""),"",SUMPRODUCT(($E$5:$E$304="Fridge")*($J$5:$J$304&lt;J185))+SUMPRODUCT(($E$5:$E$304="Fridge")*($J$5:$J$304=J185)*(ROW($J$5:$J$304)&lt;ROW()))+1)</f>
        <v>0</v>
      </c>
      <c r="R185" s="8">
        <f>IF(OR(E185&lt;&gt;"Freezer",J185=""),"",SUMPRODUCT(($E$5:$E$304="Freezer")*($J$5:$J$304&lt;J185))+SUMPRODUCT(($E$5:$E$304="Freezer")*($J$5:$J$304=J185)*(ROW($J$5:$J$304)&lt;ROW()))+1)</f>
        <v>0</v>
      </c>
      <c r="S185" s="7"/>
      <c r="T185" s="27"/>
      <c r="U185" s="28"/>
      <c r="V185" s="27"/>
      <c r="W185" s="7"/>
      <c r="X185" s="26"/>
      <c r="Y185" s="8">
        <f>IF(A185="","",IF(K185="Expired","Bin it",IF(K185="Use soon","Cook it",IF(O185="Low","Running low","Keep"))))</f>
        <v>0</v>
      </c>
      <c r="Z185" s="25"/>
    </row>
    <row r="186" spans="1:26">
      <c r="A186" s="7"/>
      <c r="B186" s="8">
        <f>IF(A186="","",IFERROR(INDEX(Ingredients!$B$5:$B$304,MATCH(A186,Ingredients!$A$5:$A$304,0)),""))</f>
        <v>0</v>
      </c>
      <c r="C186" s="26"/>
      <c r="D186" s="27"/>
      <c r="E186" s="27"/>
      <c r="F186" s="30"/>
      <c r="G186" s="30"/>
      <c r="H186" s="8">
        <f>IF(A186="","",IFERROR(INDEX(Ingredients!$M$5:$M$304,MATCH(A186,Ingredients!$A$5:$A$304,0)),""))</f>
        <v>0</v>
      </c>
      <c r="I186" s="8">
        <f>IF(OR(A186="",H186=""),"",IF(G186&lt;&gt;"",G186+H186,IF(F186&lt;&gt;"",F186+H186,"")))</f>
        <v>0</v>
      </c>
      <c r="J186" s="8">
        <f>IF(OR(A186="",I186=""),"",I186-TODAY())</f>
        <v>0</v>
      </c>
      <c r="K186" s="8">
        <f>IF(A186="","",IF(J186="","No date",IF(J186&lt;0,"Expired",IF(J186&lt;=Expiry_Warning_Days,"Use soon","Fresh"))))</f>
        <v>0</v>
      </c>
      <c r="L186" s="8">
        <f>IF(A186="","",COUNTIFS('Recipe Ingredients'!$B$5:$B$1204,A186))</f>
        <v>0</v>
      </c>
      <c r="M186" s="8">
        <f>IF(A186="","",IFERROR(INDEX(Ingredients!$X$5:$X$304,MATCH(A186,Ingredients!$A$5:$A$304,0)),""))</f>
        <v>0</v>
      </c>
      <c r="N186" s="8">
        <f>IF(OR(A186="",M186=""),"",IF(M186&lt;1,MAX(0,1*IFERROR(IFERROR(INDEX(Ingredients!$U$5:$U$304,MATCH(A186,Ingredients!$A$5:$A$304,0)),""),0)-C186),0))</f>
        <v>0</v>
      </c>
      <c r="O186" s="8">
        <f>IF(A186="","",IF(M186="","",IF(M186&lt;1,"Low","OK")))</f>
        <v>0</v>
      </c>
      <c r="P186" s="8">
        <f>IF(OR(A186="",C186=""),"",IFERROR(C186*IFERROR(INDEX(Ingredients!$D$5:$D$304,MATCH(A186,Ingredients!$A$5:$A$304,0)),""),""))</f>
        <v>0</v>
      </c>
      <c r="Q186" s="8">
        <f>IF(OR(E186&lt;&gt;"Fridge",J186=""),"",SUMPRODUCT(($E$5:$E$304="Fridge")*($J$5:$J$304&lt;J186))+SUMPRODUCT(($E$5:$E$304="Fridge")*($J$5:$J$304=J186)*(ROW($J$5:$J$304)&lt;ROW()))+1)</f>
        <v>0</v>
      </c>
      <c r="R186" s="8">
        <f>IF(OR(E186&lt;&gt;"Freezer",J186=""),"",SUMPRODUCT(($E$5:$E$304="Freezer")*($J$5:$J$304&lt;J186))+SUMPRODUCT(($E$5:$E$304="Freezer")*($J$5:$J$304=J186)*(ROW($J$5:$J$304)&lt;ROW()))+1)</f>
        <v>0</v>
      </c>
      <c r="S186" s="7"/>
      <c r="T186" s="27"/>
      <c r="U186" s="28"/>
      <c r="V186" s="27"/>
      <c r="W186" s="7"/>
      <c r="X186" s="26"/>
      <c r="Y186" s="8">
        <f>IF(A186="","",IF(K186="Expired","Bin it",IF(K186="Use soon","Cook it",IF(O186="Low","Running low","Keep"))))</f>
        <v>0</v>
      </c>
      <c r="Z186" s="25"/>
    </row>
    <row r="187" spans="1:26">
      <c r="A187" s="7"/>
      <c r="B187" s="8">
        <f>IF(A187="","",IFERROR(INDEX(Ingredients!$B$5:$B$304,MATCH(A187,Ingredients!$A$5:$A$304,0)),""))</f>
        <v>0</v>
      </c>
      <c r="C187" s="26"/>
      <c r="D187" s="27"/>
      <c r="E187" s="27"/>
      <c r="F187" s="30"/>
      <c r="G187" s="30"/>
      <c r="H187" s="8">
        <f>IF(A187="","",IFERROR(INDEX(Ingredients!$M$5:$M$304,MATCH(A187,Ingredients!$A$5:$A$304,0)),""))</f>
        <v>0</v>
      </c>
      <c r="I187" s="8">
        <f>IF(OR(A187="",H187=""),"",IF(G187&lt;&gt;"",G187+H187,IF(F187&lt;&gt;"",F187+H187,"")))</f>
        <v>0</v>
      </c>
      <c r="J187" s="8">
        <f>IF(OR(A187="",I187=""),"",I187-TODAY())</f>
        <v>0</v>
      </c>
      <c r="K187" s="8">
        <f>IF(A187="","",IF(J187="","No date",IF(J187&lt;0,"Expired",IF(J187&lt;=Expiry_Warning_Days,"Use soon","Fresh"))))</f>
        <v>0</v>
      </c>
      <c r="L187" s="8">
        <f>IF(A187="","",COUNTIFS('Recipe Ingredients'!$B$5:$B$1204,A187))</f>
        <v>0</v>
      </c>
      <c r="M187" s="8">
        <f>IF(A187="","",IFERROR(INDEX(Ingredients!$X$5:$X$304,MATCH(A187,Ingredients!$A$5:$A$304,0)),""))</f>
        <v>0</v>
      </c>
      <c r="N187" s="8">
        <f>IF(OR(A187="",M187=""),"",IF(M187&lt;1,MAX(0,1*IFERROR(IFERROR(INDEX(Ingredients!$U$5:$U$304,MATCH(A187,Ingredients!$A$5:$A$304,0)),""),0)-C187),0))</f>
        <v>0</v>
      </c>
      <c r="O187" s="8">
        <f>IF(A187="","",IF(M187="","",IF(M187&lt;1,"Low","OK")))</f>
        <v>0</v>
      </c>
      <c r="P187" s="8">
        <f>IF(OR(A187="",C187=""),"",IFERROR(C187*IFERROR(INDEX(Ingredients!$D$5:$D$304,MATCH(A187,Ingredients!$A$5:$A$304,0)),""),""))</f>
        <v>0</v>
      </c>
      <c r="Q187" s="8">
        <f>IF(OR(E187&lt;&gt;"Fridge",J187=""),"",SUMPRODUCT(($E$5:$E$304="Fridge")*($J$5:$J$304&lt;J187))+SUMPRODUCT(($E$5:$E$304="Fridge")*($J$5:$J$304=J187)*(ROW($J$5:$J$304)&lt;ROW()))+1)</f>
        <v>0</v>
      </c>
      <c r="R187" s="8">
        <f>IF(OR(E187&lt;&gt;"Freezer",J187=""),"",SUMPRODUCT(($E$5:$E$304="Freezer")*($J$5:$J$304&lt;J187))+SUMPRODUCT(($E$5:$E$304="Freezer")*($J$5:$J$304=J187)*(ROW($J$5:$J$304)&lt;ROW()))+1)</f>
        <v>0</v>
      </c>
      <c r="S187" s="7"/>
      <c r="T187" s="27"/>
      <c r="U187" s="28"/>
      <c r="V187" s="27"/>
      <c r="W187" s="7"/>
      <c r="X187" s="26"/>
      <c r="Y187" s="8">
        <f>IF(A187="","",IF(K187="Expired","Bin it",IF(K187="Use soon","Cook it",IF(O187="Low","Running low","Keep"))))</f>
        <v>0</v>
      </c>
      <c r="Z187" s="25"/>
    </row>
    <row r="188" spans="1:26">
      <c r="A188" s="7"/>
      <c r="B188" s="8">
        <f>IF(A188="","",IFERROR(INDEX(Ingredients!$B$5:$B$304,MATCH(A188,Ingredients!$A$5:$A$304,0)),""))</f>
        <v>0</v>
      </c>
      <c r="C188" s="26"/>
      <c r="D188" s="27"/>
      <c r="E188" s="27"/>
      <c r="F188" s="30"/>
      <c r="G188" s="30"/>
      <c r="H188" s="8">
        <f>IF(A188="","",IFERROR(INDEX(Ingredients!$M$5:$M$304,MATCH(A188,Ingredients!$A$5:$A$304,0)),""))</f>
        <v>0</v>
      </c>
      <c r="I188" s="8">
        <f>IF(OR(A188="",H188=""),"",IF(G188&lt;&gt;"",G188+H188,IF(F188&lt;&gt;"",F188+H188,"")))</f>
        <v>0</v>
      </c>
      <c r="J188" s="8">
        <f>IF(OR(A188="",I188=""),"",I188-TODAY())</f>
        <v>0</v>
      </c>
      <c r="K188" s="8">
        <f>IF(A188="","",IF(J188="","No date",IF(J188&lt;0,"Expired",IF(J188&lt;=Expiry_Warning_Days,"Use soon","Fresh"))))</f>
        <v>0</v>
      </c>
      <c r="L188" s="8">
        <f>IF(A188="","",COUNTIFS('Recipe Ingredients'!$B$5:$B$1204,A188))</f>
        <v>0</v>
      </c>
      <c r="M188" s="8">
        <f>IF(A188="","",IFERROR(INDEX(Ingredients!$X$5:$X$304,MATCH(A188,Ingredients!$A$5:$A$304,0)),""))</f>
        <v>0</v>
      </c>
      <c r="N188" s="8">
        <f>IF(OR(A188="",M188=""),"",IF(M188&lt;1,MAX(0,1*IFERROR(IFERROR(INDEX(Ingredients!$U$5:$U$304,MATCH(A188,Ingredients!$A$5:$A$304,0)),""),0)-C188),0))</f>
        <v>0</v>
      </c>
      <c r="O188" s="8">
        <f>IF(A188="","",IF(M188="","",IF(M188&lt;1,"Low","OK")))</f>
        <v>0</v>
      </c>
      <c r="P188" s="8">
        <f>IF(OR(A188="",C188=""),"",IFERROR(C188*IFERROR(INDEX(Ingredients!$D$5:$D$304,MATCH(A188,Ingredients!$A$5:$A$304,0)),""),""))</f>
        <v>0</v>
      </c>
      <c r="Q188" s="8">
        <f>IF(OR(E188&lt;&gt;"Fridge",J188=""),"",SUMPRODUCT(($E$5:$E$304="Fridge")*($J$5:$J$304&lt;J188))+SUMPRODUCT(($E$5:$E$304="Fridge")*($J$5:$J$304=J188)*(ROW($J$5:$J$304)&lt;ROW()))+1)</f>
        <v>0</v>
      </c>
      <c r="R188" s="8">
        <f>IF(OR(E188&lt;&gt;"Freezer",J188=""),"",SUMPRODUCT(($E$5:$E$304="Freezer")*($J$5:$J$304&lt;J188))+SUMPRODUCT(($E$5:$E$304="Freezer")*($J$5:$J$304=J188)*(ROW($J$5:$J$304)&lt;ROW()))+1)</f>
        <v>0</v>
      </c>
      <c r="S188" s="7"/>
      <c r="T188" s="27"/>
      <c r="U188" s="28"/>
      <c r="V188" s="27"/>
      <c r="W188" s="7"/>
      <c r="X188" s="26"/>
      <c r="Y188" s="8">
        <f>IF(A188="","",IF(K188="Expired","Bin it",IF(K188="Use soon","Cook it",IF(O188="Low","Running low","Keep"))))</f>
        <v>0</v>
      </c>
      <c r="Z188" s="25"/>
    </row>
    <row r="189" spans="1:26">
      <c r="A189" s="7"/>
      <c r="B189" s="8">
        <f>IF(A189="","",IFERROR(INDEX(Ingredients!$B$5:$B$304,MATCH(A189,Ingredients!$A$5:$A$304,0)),""))</f>
        <v>0</v>
      </c>
      <c r="C189" s="26"/>
      <c r="D189" s="27"/>
      <c r="E189" s="27"/>
      <c r="F189" s="30"/>
      <c r="G189" s="30"/>
      <c r="H189" s="8">
        <f>IF(A189="","",IFERROR(INDEX(Ingredients!$M$5:$M$304,MATCH(A189,Ingredients!$A$5:$A$304,0)),""))</f>
        <v>0</v>
      </c>
      <c r="I189" s="8">
        <f>IF(OR(A189="",H189=""),"",IF(G189&lt;&gt;"",G189+H189,IF(F189&lt;&gt;"",F189+H189,"")))</f>
        <v>0</v>
      </c>
      <c r="J189" s="8">
        <f>IF(OR(A189="",I189=""),"",I189-TODAY())</f>
        <v>0</v>
      </c>
      <c r="K189" s="8">
        <f>IF(A189="","",IF(J189="","No date",IF(J189&lt;0,"Expired",IF(J189&lt;=Expiry_Warning_Days,"Use soon","Fresh"))))</f>
        <v>0</v>
      </c>
      <c r="L189" s="8">
        <f>IF(A189="","",COUNTIFS('Recipe Ingredients'!$B$5:$B$1204,A189))</f>
        <v>0</v>
      </c>
      <c r="M189" s="8">
        <f>IF(A189="","",IFERROR(INDEX(Ingredients!$X$5:$X$304,MATCH(A189,Ingredients!$A$5:$A$304,0)),""))</f>
        <v>0</v>
      </c>
      <c r="N189" s="8">
        <f>IF(OR(A189="",M189=""),"",IF(M189&lt;1,MAX(0,1*IFERROR(IFERROR(INDEX(Ingredients!$U$5:$U$304,MATCH(A189,Ingredients!$A$5:$A$304,0)),""),0)-C189),0))</f>
        <v>0</v>
      </c>
      <c r="O189" s="8">
        <f>IF(A189="","",IF(M189="","",IF(M189&lt;1,"Low","OK")))</f>
        <v>0</v>
      </c>
      <c r="P189" s="8">
        <f>IF(OR(A189="",C189=""),"",IFERROR(C189*IFERROR(INDEX(Ingredients!$D$5:$D$304,MATCH(A189,Ingredients!$A$5:$A$304,0)),""),""))</f>
        <v>0</v>
      </c>
      <c r="Q189" s="8">
        <f>IF(OR(E189&lt;&gt;"Fridge",J189=""),"",SUMPRODUCT(($E$5:$E$304="Fridge")*($J$5:$J$304&lt;J189))+SUMPRODUCT(($E$5:$E$304="Fridge")*($J$5:$J$304=J189)*(ROW($J$5:$J$304)&lt;ROW()))+1)</f>
        <v>0</v>
      </c>
      <c r="R189" s="8">
        <f>IF(OR(E189&lt;&gt;"Freezer",J189=""),"",SUMPRODUCT(($E$5:$E$304="Freezer")*($J$5:$J$304&lt;J189))+SUMPRODUCT(($E$5:$E$304="Freezer")*($J$5:$J$304=J189)*(ROW($J$5:$J$304)&lt;ROW()))+1)</f>
        <v>0</v>
      </c>
      <c r="S189" s="7"/>
      <c r="T189" s="27"/>
      <c r="U189" s="28"/>
      <c r="V189" s="27"/>
      <c r="W189" s="7"/>
      <c r="X189" s="26"/>
      <c r="Y189" s="8">
        <f>IF(A189="","",IF(K189="Expired","Bin it",IF(K189="Use soon","Cook it",IF(O189="Low","Running low","Keep"))))</f>
        <v>0</v>
      </c>
      <c r="Z189" s="25"/>
    </row>
    <row r="190" spans="1:26">
      <c r="A190" s="7"/>
      <c r="B190" s="8">
        <f>IF(A190="","",IFERROR(INDEX(Ingredients!$B$5:$B$304,MATCH(A190,Ingredients!$A$5:$A$304,0)),""))</f>
        <v>0</v>
      </c>
      <c r="C190" s="26"/>
      <c r="D190" s="27"/>
      <c r="E190" s="27"/>
      <c r="F190" s="30"/>
      <c r="G190" s="30"/>
      <c r="H190" s="8">
        <f>IF(A190="","",IFERROR(INDEX(Ingredients!$M$5:$M$304,MATCH(A190,Ingredients!$A$5:$A$304,0)),""))</f>
        <v>0</v>
      </c>
      <c r="I190" s="8">
        <f>IF(OR(A190="",H190=""),"",IF(G190&lt;&gt;"",G190+H190,IF(F190&lt;&gt;"",F190+H190,"")))</f>
        <v>0</v>
      </c>
      <c r="J190" s="8">
        <f>IF(OR(A190="",I190=""),"",I190-TODAY())</f>
        <v>0</v>
      </c>
      <c r="K190" s="8">
        <f>IF(A190="","",IF(J190="","No date",IF(J190&lt;0,"Expired",IF(J190&lt;=Expiry_Warning_Days,"Use soon","Fresh"))))</f>
        <v>0</v>
      </c>
      <c r="L190" s="8">
        <f>IF(A190="","",COUNTIFS('Recipe Ingredients'!$B$5:$B$1204,A190))</f>
        <v>0</v>
      </c>
      <c r="M190" s="8">
        <f>IF(A190="","",IFERROR(INDEX(Ingredients!$X$5:$X$304,MATCH(A190,Ingredients!$A$5:$A$304,0)),""))</f>
        <v>0</v>
      </c>
      <c r="N190" s="8">
        <f>IF(OR(A190="",M190=""),"",IF(M190&lt;1,MAX(0,1*IFERROR(IFERROR(INDEX(Ingredients!$U$5:$U$304,MATCH(A190,Ingredients!$A$5:$A$304,0)),""),0)-C190),0))</f>
        <v>0</v>
      </c>
      <c r="O190" s="8">
        <f>IF(A190="","",IF(M190="","",IF(M190&lt;1,"Low","OK")))</f>
        <v>0</v>
      </c>
      <c r="P190" s="8">
        <f>IF(OR(A190="",C190=""),"",IFERROR(C190*IFERROR(INDEX(Ingredients!$D$5:$D$304,MATCH(A190,Ingredients!$A$5:$A$304,0)),""),""))</f>
        <v>0</v>
      </c>
      <c r="Q190" s="8">
        <f>IF(OR(E190&lt;&gt;"Fridge",J190=""),"",SUMPRODUCT(($E$5:$E$304="Fridge")*($J$5:$J$304&lt;J190))+SUMPRODUCT(($E$5:$E$304="Fridge")*($J$5:$J$304=J190)*(ROW($J$5:$J$304)&lt;ROW()))+1)</f>
        <v>0</v>
      </c>
      <c r="R190" s="8">
        <f>IF(OR(E190&lt;&gt;"Freezer",J190=""),"",SUMPRODUCT(($E$5:$E$304="Freezer")*($J$5:$J$304&lt;J190))+SUMPRODUCT(($E$5:$E$304="Freezer")*($J$5:$J$304=J190)*(ROW($J$5:$J$304)&lt;ROW()))+1)</f>
        <v>0</v>
      </c>
      <c r="S190" s="7"/>
      <c r="T190" s="27"/>
      <c r="U190" s="28"/>
      <c r="V190" s="27"/>
      <c r="W190" s="7"/>
      <c r="X190" s="26"/>
      <c r="Y190" s="8">
        <f>IF(A190="","",IF(K190="Expired","Bin it",IF(K190="Use soon","Cook it",IF(O190="Low","Running low","Keep"))))</f>
        <v>0</v>
      </c>
      <c r="Z190" s="25"/>
    </row>
    <row r="191" spans="1:26">
      <c r="A191" s="7"/>
      <c r="B191" s="8">
        <f>IF(A191="","",IFERROR(INDEX(Ingredients!$B$5:$B$304,MATCH(A191,Ingredients!$A$5:$A$304,0)),""))</f>
        <v>0</v>
      </c>
      <c r="C191" s="26"/>
      <c r="D191" s="27"/>
      <c r="E191" s="27"/>
      <c r="F191" s="30"/>
      <c r="G191" s="30"/>
      <c r="H191" s="8">
        <f>IF(A191="","",IFERROR(INDEX(Ingredients!$M$5:$M$304,MATCH(A191,Ingredients!$A$5:$A$304,0)),""))</f>
        <v>0</v>
      </c>
      <c r="I191" s="8">
        <f>IF(OR(A191="",H191=""),"",IF(G191&lt;&gt;"",G191+H191,IF(F191&lt;&gt;"",F191+H191,"")))</f>
        <v>0</v>
      </c>
      <c r="J191" s="8">
        <f>IF(OR(A191="",I191=""),"",I191-TODAY())</f>
        <v>0</v>
      </c>
      <c r="K191" s="8">
        <f>IF(A191="","",IF(J191="","No date",IF(J191&lt;0,"Expired",IF(J191&lt;=Expiry_Warning_Days,"Use soon","Fresh"))))</f>
        <v>0</v>
      </c>
      <c r="L191" s="8">
        <f>IF(A191="","",COUNTIFS('Recipe Ingredients'!$B$5:$B$1204,A191))</f>
        <v>0</v>
      </c>
      <c r="M191" s="8">
        <f>IF(A191="","",IFERROR(INDEX(Ingredients!$X$5:$X$304,MATCH(A191,Ingredients!$A$5:$A$304,0)),""))</f>
        <v>0</v>
      </c>
      <c r="N191" s="8">
        <f>IF(OR(A191="",M191=""),"",IF(M191&lt;1,MAX(0,1*IFERROR(IFERROR(INDEX(Ingredients!$U$5:$U$304,MATCH(A191,Ingredients!$A$5:$A$304,0)),""),0)-C191),0))</f>
        <v>0</v>
      </c>
      <c r="O191" s="8">
        <f>IF(A191="","",IF(M191="","",IF(M191&lt;1,"Low","OK")))</f>
        <v>0</v>
      </c>
      <c r="P191" s="8">
        <f>IF(OR(A191="",C191=""),"",IFERROR(C191*IFERROR(INDEX(Ingredients!$D$5:$D$304,MATCH(A191,Ingredients!$A$5:$A$304,0)),""),""))</f>
        <v>0</v>
      </c>
      <c r="Q191" s="8">
        <f>IF(OR(E191&lt;&gt;"Fridge",J191=""),"",SUMPRODUCT(($E$5:$E$304="Fridge")*($J$5:$J$304&lt;J191))+SUMPRODUCT(($E$5:$E$304="Fridge")*($J$5:$J$304=J191)*(ROW($J$5:$J$304)&lt;ROW()))+1)</f>
        <v>0</v>
      </c>
      <c r="R191" s="8">
        <f>IF(OR(E191&lt;&gt;"Freezer",J191=""),"",SUMPRODUCT(($E$5:$E$304="Freezer")*($J$5:$J$304&lt;J191))+SUMPRODUCT(($E$5:$E$304="Freezer")*($J$5:$J$304=J191)*(ROW($J$5:$J$304)&lt;ROW()))+1)</f>
        <v>0</v>
      </c>
      <c r="S191" s="7"/>
      <c r="T191" s="27"/>
      <c r="U191" s="28"/>
      <c r="V191" s="27"/>
      <c r="W191" s="7"/>
      <c r="X191" s="26"/>
      <c r="Y191" s="8">
        <f>IF(A191="","",IF(K191="Expired","Bin it",IF(K191="Use soon","Cook it",IF(O191="Low","Running low","Keep"))))</f>
        <v>0</v>
      </c>
      <c r="Z191" s="25"/>
    </row>
    <row r="192" spans="1:26">
      <c r="A192" s="7"/>
      <c r="B192" s="8">
        <f>IF(A192="","",IFERROR(INDEX(Ingredients!$B$5:$B$304,MATCH(A192,Ingredients!$A$5:$A$304,0)),""))</f>
        <v>0</v>
      </c>
      <c r="C192" s="26"/>
      <c r="D192" s="27"/>
      <c r="E192" s="27"/>
      <c r="F192" s="30"/>
      <c r="G192" s="30"/>
      <c r="H192" s="8">
        <f>IF(A192="","",IFERROR(INDEX(Ingredients!$M$5:$M$304,MATCH(A192,Ingredients!$A$5:$A$304,0)),""))</f>
        <v>0</v>
      </c>
      <c r="I192" s="8">
        <f>IF(OR(A192="",H192=""),"",IF(G192&lt;&gt;"",G192+H192,IF(F192&lt;&gt;"",F192+H192,"")))</f>
        <v>0</v>
      </c>
      <c r="J192" s="8">
        <f>IF(OR(A192="",I192=""),"",I192-TODAY())</f>
        <v>0</v>
      </c>
      <c r="K192" s="8">
        <f>IF(A192="","",IF(J192="","No date",IF(J192&lt;0,"Expired",IF(J192&lt;=Expiry_Warning_Days,"Use soon","Fresh"))))</f>
        <v>0</v>
      </c>
      <c r="L192" s="8">
        <f>IF(A192="","",COUNTIFS('Recipe Ingredients'!$B$5:$B$1204,A192))</f>
        <v>0</v>
      </c>
      <c r="M192" s="8">
        <f>IF(A192="","",IFERROR(INDEX(Ingredients!$X$5:$X$304,MATCH(A192,Ingredients!$A$5:$A$304,0)),""))</f>
        <v>0</v>
      </c>
      <c r="N192" s="8">
        <f>IF(OR(A192="",M192=""),"",IF(M192&lt;1,MAX(0,1*IFERROR(IFERROR(INDEX(Ingredients!$U$5:$U$304,MATCH(A192,Ingredients!$A$5:$A$304,0)),""),0)-C192),0))</f>
        <v>0</v>
      </c>
      <c r="O192" s="8">
        <f>IF(A192="","",IF(M192="","",IF(M192&lt;1,"Low","OK")))</f>
        <v>0</v>
      </c>
      <c r="P192" s="8">
        <f>IF(OR(A192="",C192=""),"",IFERROR(C192*IFERROR(INDEX(Ingredients!$D$5:$D$304,MATCH(A192,Ingredients!$A$5:$A$304,0)),""),""))</f>
        <v>0</v>
      </c>
      <c r="Q192" s="8">
        <f>IF(OR(E192&lt;&gt;"Fridge",J192=""),"",SUMPRODUCT(($E$5:$E$304="Fridge")*($J$5:$J$304&lt;J192))+SUMPRODUCT(($E$5:$E$304="Fridge")*($J$5:$J$304=J192)*(ROW($J$5:$J$304)&lt;ROW()))+1)</f>
        <v>0</v>
      </c>
      <c r="R192" s="8">
        <f>IF(OR(E192&lt;&gt;"Freezer",J192=""),"",SUMPRODUCT(($E$5:$E$304="Freezer")*($J$5:$J$304&lt;J192))+SUMPRODUCT(($E$5:$E$304="Freezer")*($J$5:$J$304=J192)*(ROW($J$5:$J$304)&lt;ROW()))+1)</f>
        <v>0</v>
      </c>
      <c r="S192" s="7"/>
      <c r="T192" s="27"/>
      <c r="U192" s="28"/>
      <c r="V192" s="27"/>
      <c r="W192" s="7"/>
      <c r="X192" s="26"/>
      <c r="Y192" s="8">
        <f>IF(A192="","",IF(K192="Expired","Bin it",IF(K192="Use soon","Cook it",IF(O192="Low","Running low","Keep"))))</f>
        <v>0</v>
      </c>
      <c r="Z192" s="25"/>
    </row>
    <row r="193" spans="1:26">
      <c r="A193" s="7"/>
      <c r="B193" s="8">
        <f>IF(A193="","",IFERROR(INDEX(Ingredients!$B$5:$B$304,MATCH(A193,Ingredients!$A$5:$A$304,0)),""))</f>
        <v>0</v>
      </c>
      <c r="C193" s="26"/>
      <c r="D193" s="27"/>
      <c r="E193" s="27"/>
      <c r="F193" s="30"/>
      <c r="G193" s="30"/>
      <c r="H193" s="8">
        <f>IF(A193="","",IFERROR(INDEX(Ingredients!$M$5:$M$304,MATCH(A193,Ingredients!$A$5:$A$304,0)),""))</f>
        <v>0</v>
      </c>
      <c r="I193" s="8">
        <f>IF(OR(A193="",H193=""),"",IF(G193&lt;&gt;"",G193+H193,IF(F193&lt;&gt;"",F193+H193,"")))</f>
        <v>0</v>
      </c>
      <c r="J193" s="8">
        <f>IF(OR(A193="",I193=""),"",I193-TODAY())</f>
        <v>0</v>
      </c>
      <c r="K193" s="8">
        <f>IF(A193="","",IF(J193="","No date",IF(J193&lt;0,"Expired",IF(J193&lt;=Expiry_Warning_Days,"Use soon","Fresh"))))</f>
        <v>0</v>
      </c>
      <c r="L193" s="8">
        <f>IF(A193="","",COUNTIFS('Recipe Ingredients'!$B$5:$B$1204,A193))</f>
        <v>0</v>
      </c>
      <c r="M193" s="8">
        <f>IF(A193="","",IFERROR(INDEX(Ingredients!$X$5:$X$304,MATCH(A193,Ingredients!$A$5:$A$304,0)),""))</f>
        <v>0</v>
      </c>
      <c r="N193" s="8">
        <f>IF(OR(A193="",M193=""),"",IF(M193&lt;1,MAX(0,1*IFERROR(IFERROR(INDEX(Ingredients!$U$5:$U$304,MATCH(A193,Ingredients!$A$5:$A$304,0)),""),0)-C193),0))</f>
        <v>0</v>
      </c>
      <c r="O193" s="8">
        <f>IF(A193="","",IF(M193="","",IF(M193&lt;1,"Low","OK")))</f>
        <v>0</v>
      </c>
      <c r="P193" s="8">
        <f>IF(OR(A193="",C193=""),"",IFERROR(C193*IFERROR(INDEX(Ingredients!$D$5:$D$304,MATCH(A193,Ingredients!$A$5:$A$304,0)),""),""))</f>
        <v>0</v>
      </c>
      <c r="Q193" s="8">
        <f>IF(OR(E193&lt;&gt;"Fridge",J193=""),"",SUMPRODUCT(($E$5:$E$304="Fridge")*($J$5:$J$304&lt;J193))+SUMPRODUCT(($E$5:$E$304="Fridge")*($J$5:$J$304=J193)*(ROW($J$5:$J$304)&lt;ROW()))+1)</f>
        <v>0</v>
      </c>
      <c r="R193" s="8">
        <f>IF(OR(E193&lt;&gt;"Freezer",J193=""),"",SUMPRODUCT(($E$5:$E$304="Freezer")*($J$5:$J$304&lt;J193))+SUMPRODUCT(($E$5:$E$304="Freezer")*($J$5:$J$304=J193)*(ROW($J$5:$J$304)&lt;ROW()))+1)</f>
        <v>0</v>
      </c>
      <c r="S193" s="7"/>
      <c r="T193" s="27"/>
      <c r="U193" s="28"/>
      <c r="V193" s="27"/>
      <c r="W193" s="7"/>
      <c r="X193" s="26"/>
      <c r="Y193" s="8">
        <f>IF(A193="","",IF(K193="Expired","Bin it",IF(K193="Use soon","Cook it",IF(O193="Low","Running low","Keep"))))</f>
        <v>0</v>
      </c>
      <c r="Z193" s="25"/>
    </row>
    <row r="194" spans="1:26">
      <c r="A194" s="7"/>
      <c r="B194" s="8">
        <f>IF(A194="","",IFERROR(INDEX(Ingredients!$B$5:$B$304,MATCH(A194,Ingredients!$A$5:$A$304,0)),""))</f>
        <v>0</v>
      </c>
      <c r="C194" s="26"/>
      <c r="D194" s="27"/>
      <c r="E194" s="27"/>
      <c r="F194" s="30"/>
      <c r="G194" s="30"/>
      <c r="H194" s="8">
        <f>IF(A194="","",IFERROR(INDEX(Ingredients!$M$5:$M$304,MATCH(A194,Ingredients!$A$5:$A$304,0)),""))</f>
        <v>0</v>
      </c>
      <c r="I194" s="8">
        <f>IF(OR(A194="",H194=""),"",IF(G194&lt;&gt;"",G194+H194,IF(F194&lt;&gt;"",F194+H194,"")))</f>
        <v>0</v>
      </c>
      <c r="J194" s="8">
        <f>IF(OR(A194="",I194=""),"",I194-TODAY())</f>
        <v>0</v>
      </c>
      <c r="K194" s="8">
        <f>IF(A194="","",IF(J194="","No date",IF(J194&lt;0,"Expired",IF(J194&lt;=Expiry_Warning_Days,"Use soon","Fresh"))))</f>
        <v>0</v>
      </c>
      <c r="L194" s="8">
        <f>IF(A194="","",COUNTIFS('Recipe Ingredients'!$B$5:$B$1204,A194))</f>
        <v>0</v>
      </c>
      <c r="M194" s="8">
        <f>IF(A194="","",IFERROR(INDEX(Ingredients!$X$5:$X$304,MATCH(A194,Ingredients!$A$5:$A$304,0)),""))</f>
        <v>0</v>
      </c>
      <c r="N194" s="8">
        <f>IF(OR(A194="",M194=""),"",IF(M194&lt;1,MAX(0,1*IFERROR(IFERROR(INDEX(Ingredients!$U$5:$U$304,MATCH(A194,Ingredients!$A$5:$A$304,0)),""),0)-C194),0))</f>
        <v>0</v>
      </c>
      <c r="O194" s="8">
        <f>IF(A194="","",IF(M194="","",IF(M194&lt;1,"Low","OK")))</f>
        <v>0</v>
      </c>
      <c r="P194" s="8">
        <f>IF(OR(A194="",C194=""),"",IFERROR(C194*IFERROR(INDEX(Ingredients!$D$5:$D$304,MATCH(A194,Ingredients!$A$5:$A$304,0)),""),""))</f>
        <v>0</v>
      </c>
      <c r="Q194" s="8">
        <f>IF(OR(E194&lt;&gt;"Fridge",J194=""),"",SUMPRODUCT(($E$5:$E$304="Fridge")*($J$5:$J$304&lt;J194))+SUMPRODUCT(($E$5:$E$304="Fridge")*($J$5:$J$304=J194)*(ROW($J$5:$J$304)&lt;ROW()))+1)</f>
        <v>0</v>
      </c>
      <c r="R194" s="8">
        <f>IF(OR(E194&lt;&gt;"Freezer",J194=""),"",SUMPRODUCT(($E$5:$E$304="Freezer")*($J$5:$J$304&lt;J194))+SUMPRODUCT(($E$5:$E$304="Freezer")*($J$5:$J$304=J194)*(ROW($J$5:$J$304)&lt;ROW()))+1)</f>
        <v>0</v>
      </c>
      <c r="S194" s="7"/>
      <c r="T194" s="27"/>
      <c r="U194" s="28"/>
      <c r="V194" s="27"/>
      <c r="W194" s="7"/>
      <c r="X194" s="26"/>
      <c r="Y194" s="8">
        <f>IF(A194="","",IF(K194="Expired","Bin it",IF(K194="Use soon","Cook it",IF(O194="Low","Running low","Keep"))))</f>
        <v>0</v>
      </c>
      <c r="Z194" s="25"/>
    </row>
    <row r="195" spans="1:26">
      <c r="A195" s="7"/>
      <c r="B195" s="8">
        <f>IF(A195="","",IFERROR(INDEX(Ingredients!$B$5:$B$304,MATCH(A195,Ingredients!$A$5:$A$304,0)),""))</f>
        <v>0</v>
      </c>
      <c r="C195" s="26"/>
      <c r="D195" s="27"/>
      <c r="E195" s="27"/>
      <c r="F195" s="30"/>
      <c r="G195" s="30"/>
      <c r="H195" s="8">
        <f>IF(A195="","",IFERROR(INDEX(Ingredients!$M$5:$M$304,MATCH(A195,Ingredients!$A$5:$A$304,0)),""))</f>
        <v>0</v>
      </c>
      <c r="I195" s="8">
        <f>IF(OR(A195="",H195=""),"",IF(G195&lt;&gt;"",G195+H195,IF(F195&lt;&gt;"",F195+H195,"")))</f>
        <v>0</v>
      </c>
      <c r="J195" s="8">
        <f>IF(OR(A195="",I195=""),"",I195-TODAY())</f>
        <v>0</v>
      </c>
      <c r="K195" s="8">
        <f>IF(A195="","",IF(J195="","No date",IF(J195&lt;0,"Expired",IF(J195&lt;=Expiry_Warning_Days,"Use soon","Fresh"))))</f>
        <v>0</v>
      </c>
      <c r="L195" s="8">
        <f>IF(A195="","",COUNTIFS('Recipe Ingredients'!$B$5:$B$1204,A195))</f>
        <v>0</v>
      </c>
      <c r="M195" s="8">
        <f>IF(A195="","",IFERROR(INDEX(Ingredients!$X$5:$X$304,MATCH(A195,Ingredients!$A$5:$A$304,0)),""))</f>
        <v>0</v>
      </c>
      <c r="N195" s="8">
        <f>IF(OR(A195="",M195=""),"",IF(M195&lt;1,MAX(0,1*IFERROR(IFERROR(INDEX(Ingredients!$U$5:$U$304,MATCH(A195,Ingredients!$A$5:$A$304,0)),""),0)-C195),0))</f>
        <v>0</v>
      </c>
      <c r="O195" s="8">
        <f>IF(A195="","",IF(M195="","",IF(M195&lt;1,"Low","OK")))</f>
        <v>0</v>
      </c>
      <c r="P195" s="8">
        <f>IF(OR(A195="",C195=""),"",IFERROR(C195*IFERROR(INDEX(Ingredients!$D$5:$D$304,MATCH(A195,Ingredients!$A$5:$A$304,0)),""),""))</f>
        <v>0</v>
      </c>
      <c r="Q195" s="8">
        <f>IF(OR(E195&lt;&gt;"Fridge",J195=""),"",SUMPRODUCT(($E$5:$E$304="Fridge")*($J$5:$J$304&lt;J195))+SUMPRODUCT(($E$5:$E$304="Fridge")*($J$5:$J$304=J195)*(ROW($J$5:$J$304)&lt;ROW()))+1)</f>
        <v>0</v>
      </c>
      <c r="R195" s="8">
        <f>IF(OR(E195&lt;&gt;"Freezer",J195=""),"",SUMPRODUCT(($E$5:$E$304="Freezer")*($J$5:$J$304&lt;J195))+SUMPRODUCT(($E$5:$E$304="Freezer")*($J$5:$J$304=J195)*(ROW($J$5:$J$304)&lt;ROW()))+1)</f>
        <v>0</v>
      </c>
      <c r="S195" s="7"/>
      <c r="T195" s="27"/>
      <c r="U195" s="28"/>
      <c r="V195" s="27"/>
      <c r="W195" s="7"/>
      <c r="X195" s="26"/>
      <c r="Y195" s="8">
        <f>IF(A195="","",IF(K195="Expired","Bin it",IF(K195="Use soon","Cook it",IF(O195="Low","Running low","Keep"))))</f>
        <v>0</v>
      </c>
      <c r="Z195" s="25"/>
    </row>
    <row r="196" spans="1:26">
      <c r="A196" s="7"/>
      <c r="B196" s="8">
        <f>IF(A196="","",IFERROR(INDEX(Ingredients!$B$5:$B$304,MATCH(A196,Ingredients!$A$5:$A$304,0)),""))</f>
        <v>0</v>
      </c>
      <c r="C196" s="26"/>
      <c r="D196" s="27"/>
      <c r="E196" s="27"/>
      <c r="F196" s="30"/>
      <c r="G196" s="30"/>
      <c r="H196" s="8">
        <f>IF(A196="","",IFERROR(INDEX(Ingredients!$M$5:$M$304,MATCH(A196,Ingredients!$A$5:$A$304,0)),""))</f>
        <v>0</v>
      </c>
      <c r="I196" s="8">
        <f>IF(OR(A196="",H196=""),"",IF(G196&lt;&gt;"",G196+H196,IF(F196&lt;&gt;"",F196+H196,"")))</f>
        <v>0</v>
      </c>
      <c r="J196" s="8">
        <f>IF(OR(A196="",I196=""),"",I196-TODAY())</f>
        <v>0</v>
      </c>
      <c r="K196" s="8">
        <f>IF(A196="","",IF(J196="","No date",IF(J196&lt;0,"Expired",IF(J196&lt;=Expiry_Warning_Days,"Use soon","Fresh"))))</f>
        <v>0</v>
      </c>
      <c r="L196" s="8">
        <f>IF(A196="","",COUNTIFS('Recipe Ingredients'!$B$5:$B$1204,A196))</f>
        <v>0</v>
      </c>
      <c r="M196" s="8">
        <f>IF(A196="","",IFERROR(INDEX(Ingredients!$X$5:$X$304,MATCH(A196,Ingredients!$A$5:$A$304,0)),""))</f>
        <v>0</v>
      </c>
      <c r="N196" s="8">
        <f>IF(OR(A196="",M196=""),"",IF(M196&lt;1,MAX(0,1*IFERROR(IFERROR(INDEX(Ingredients!$U$5:$U$304,MATCH(A196,Ingredients!$A$5:$A$304,0)),""),0)-C196),0))</f>
        <v>0</v>
      </c>
      <c r="O196" s="8">
        <f>IF(A196="","",IF(M196="","",IF(M196&lt;1,"Low","OK")))</f>
        <v>0</v>
      </c>
      <c r="P196" s="8">
        <f>IF(OR(A196="",C196=""),"",IFERROR(C196*IFERROR(INDEX(Ingredients!$D$5:$D$304,MATCH(A196,Ingredients!$A$5:$A$304,0)),""),""))</f>
        <v>0</v>
      </c>
      <c r="Q196" s="8">
        <f>IF(OR(E196&lt;&gt;"Fridge",J196=""),"",SUMPRODUCT(($E$5:$E$304="Fridge")*($J$5:$J$304&lt;J196))+SUMPRODUCT(($E$5:$E$304="Fridge")*($J$5:$J$304=J196)*(ROW($J$5:$J$304)&lt;ROW()))+1)</f>
        <v>0</v>
      </c>
      <c r="R196" s="8">
        <f>IF(OR(E196&lt;&gt;"Freezer",J196=""),"",SUMPRODUCT(($E$5:$E$304="Freezer")*($J$5:$J$304&lt;J196))+SUMPRODUCT(($E$5:$E$304="Freezer")*($J$5:$J$304=J196)*(ROW($J$5:$J$304)&lt;ROW()))+1)</f>
        <v>0</v>
      </c>
      <c r="S196" s="7"/>
      <c r="T196" s="27"/>
      <c r="U196" s="28"/>
      <c r="V196" s="27"/>
      <c r="W196" s="7"/>
      <c r="X196" s="26"/>
      <c r="Y196" s="8">
        <f>IF(A196="","",IF(K196="Expired","Bin it",IF(K196="Use soon","Cook it",IF(O196="Low","Running low","Keep"))))</f>
        <v>0</v>
      </c>
      <c r="Z196" s="25"/>
    </row>
    <row r="197" spans="1:26">
      <c r="A197" s="7"/>
      <c r="B197" s="8">
        <f>IF(A197="","",IFERROR(INDEX(Ingredients!$B$5:$B$304,MATCH(A197,Ingredients!$A$5:$A$304,0)),""))</f>
        <v>0</v>
      </c>
      <c r="C197" s="26"/>
      <c r="D197" s="27"/>
      <c r="E197" s="27"/>
      <c r="F197" s="30"/>
      <c r="G197" s="30"/>
      <c r="H197" s="8">
        <f>IF(A197="","",IFERROR(INDEX(Ingredients!$M$5:$M$304,MATCH(A197,Ingredients!$A$5:$A$304,0)),""))</f>
        <v>0</v>
      </c>
      <c r="I197" s="8">
        <f>IF(OR(A197="",H197=""),"",IF(G197&lt;&gt;"",G197+H197,IF(F197&lt;&gt;"",F197+H197,"")))</f>
        <v>0</v>
      </c>
      <c r="J197" s="8">
        <f>IF(OR(A197="",I197=""),"",I197-TODAY())</f>
        <v>0</v>
      </c>
      <c r="K197" s="8">
        <f>IF(A197="","",IF(J197="","No date",IF(J197&lt;0,"Expired",IF(J197&lt;=Expiry_Warning_Days,"Use soon","Fresh"))))</f>
        <v>0</v>
      </c>
      <c r="L197" s="8">
        <f>IF(A197="","",COUNTIFS('Recipe Ingredients'!$B$5:$B$1204,A197))</f>
        <v>0</v>
      </c>
      <c r="M197" s="8">
        <f>IF(A197="","",IFERROR(INDEX(Ingredients!$X$5:$X$304,MATCH(A197,Ingredients!$A$5:$A$304,0)),""))</f>
        <v>0</v>
      </c>
      <c r="N197" s="8">
        <f>IF(OR(A197="",M197=""),"",IF(M197&lt;1,MAX(0,1*IFERROR(IFERROR(INDEX(Ingredients!$U$5:$U$304,MATCH(A197,Ingredients!$A$5:$A$304,0)),""),0)-C197),0))</f>
        <v>0</v>
      </c>
      <c r="O197" s="8">
        <f>IF(A197="","",IF(M197="","",IF(M197&lt;1,"Low","OK")))</f>
        <v>0</v>
      </c>
      <c r="P197" s="8">
        <f>IF(OR(A197="",C197=""),"",IFERROR(C197*IFERROR(INDEX(Ingredients!$D$5:$D$304,MATCH(A197,Ingredients!$A$5:$A$304,0)),""),""))</f>
        <v>0</v>
      </c>
      <c r="Q197" s="8">
        <f>IF(OR(E197&lt;&gt;"Fridge",J197=""),"",SUMPRODUCT(($E$5:$E$304="Fridge")*($J$5:$J$304&lt;J197))+SUMPRODUCT(($E$5:$E$304="Fridge")*($J$5:$J$304=J197)*(ROW($J$5:$J$304)&lt;ROW()))+1)</f>
        <v>0</v>
      </c>
      <c r="R197" s="8">
        <f>IF(OR(E197&lt;&gt;"Freezer",J197=""),"",SUMPRODUCT(($E$5:$E$304="Freezer")*($J$5:$J$304&lt;J197))+SUMPRODUCT(($E$5:$E$304="Freezer")*($J$5:$J$304=J197)*(ROW($J$5:$J$304)&lt;ROW()))+1)</f>
        <v>0</v>
      </c>
      <c r="S197" s="7"/>
      <c r="T197" s="27"/>
      <c r="U197" s="28"/>
      <c r="V197" s="27"/>
      <c r="W197" s="7"/>
      <c r="X197" s="26"/>
      <c r="Y197" s="8">
        <f>IF(A197="","",IF(K197="Expired","Bin it",IF(K197="Use soon","Cook it",IF(O197="Low","Running low","Keep"))))</f>
        <v>0</v>
      </c>
      <c r="Z197" s="25"/>
    </row>
    <row r="198" spans="1:26">
      <c r="A198" s="7"/>
      <c r="B198" s="8">
        <f>IF(A198="","",IFERROR(INDEX(Ingredients!$B$5:$B$304,MATCH(A198,Ingredients!$A$5:$A$304,0)),""))</f>
        <v>0</v>
      </c>
      <c r="C198" s="26"/>
      <c r="D198" s="27"/>
      <c r="E198" s="27"/>
      <c r="F198" s="30"/>
      <c r="G198" s="30"/>
      <c r="H198" s="8">
        <f>IF(A198="","",IFERROR(INDEX(Ingredients!$M$5:$M$304,MATCH(A198,Ingredients!$A$5:$A$304,0)),""))</f>
        <v>0</v>
      </c>
      <c r="I198" s="8">
        <f>IF(OR(A198="",H198=""),"",IF(G198&lt;&gt;"",G198+H198,IF(F198&lt;&gt;"",F198+H198,"")))</f>
        <v>0</v>
      </c>
      <c r="J198" s="8">
        <f>IF(OR(A198="",I198=""),"",I198-TODAY())</f>
        <v>0</v>
      </c>
      <c r="K198" s="8">
        <f>IF(A198="","",IF(J198="","No date",IF(J198&lt;0,"Expired",IF(J198&lt;=Expiry_Warning_Days,"Use soon","Fresh"))))</f>
        <v>0</v>
      </c>
      <c r="L198" s="8">
        <f>IF(A198="","",COUNTIFS('Recipe Ingredients'!$B$5:$B$1204,A198))</f>
        <v>0</v>
      </c>
      <c r="M198" s="8">
        <f>IF(A198="","",IFERROR(INDEX(Ingredients!$X$5:$X$304,MATCH(A198,Ingredients!$A$5:$A$304,0)),""))</f>
        <v>0</v>
      </c>
      <c r="N198" s="8">
        <f>IF(OR(A198="",M198=""),"",IF(M198&lt;1,MAX(0,1*IFERROR(IFERROR(INDEX(Ingredients!$U$5:$U$304,MATCH(A198,Ingredients!$A$5:$A$304,0)),""),0)-C198),0))</f>
        <v>0</v>
      </c>
      <c r="O198" s="8">
        <f>IF(A198="","",IF(M198="","",IF(M198&lt;1,"Low","OK")))</f>
        <v>0</v>
      </c>
      <c r="P198" s="8">
        <f>IF(OR(A198="",C198=""),"",IFERROR(C198*IFERROR(INDEX(Ingredients!$D$5:$D$304,MATCH(A198,Ingredients!$A$5:$A$304,0)),""),""))</f>
        <v>0</v>
      </c>
      <c r="Q198" s="8">
        <f>IF(OR(E198&lt;&gt;"Fridge",J198=""),"",SUMPRODUCT(($E$5:$E$304="Fridge")*($J$5:$J$304&lt;J198))+SUMPRODUCT(($E$5:$E$304="Fridge")*($J$5:$J$304=J198)*(ROW($J$5:$J$304)&lt;ROW()))+1)</f>
        <v>0</v>
      </c>
      <c r="R198" s="8">
        <f>IF(OR(E198&lt;&gt;"Freezer",J198=""),"",SUMPRODUCT(($E$5:$E$304="Freezer")*($J$5:$J$304&lt;J198))+SUMPRODUCT(($E$5:$E$304="Freezer")*($J$5:$J$304=J198)*(ROW($J$5:$J$304)&lt;ROW()))+1)</f>
        <v>0</v>
      </c>
      <c r="S198" s="7"/>
      <c r="T198" s="27"/>
      <c r="U198" s="28"/>
      <c r="V198" s="27"/>
      <c r="W198" s="7"/>
      <c r="X198" s="26"/>
      <c r="Y198" s="8">
        <f>IF(A198="","",IF(K198="Expired","Bin it",IF(K198="Use soon","Cook it",IF(O198="Low","Running low","Keep"))))</f>
        <v>0</v>
      </c>
      <c r="Z198" s="25"/>
    </row>
    <row r="199" spans="1:26">
      <c r="A199" s="7"/>
      <c r="B199" s="8">
        <f>IF(A199="","",IFERROR(INDEX(Ingredients!$B$5:$B$304,MATCH(A199,Ingredients!$A$5:$A$304,0)),""))</f>
        <v>0</v>
      </c>
      <c r="C199" s="26"/>
      <c r="D199" s="27"/>
      <c r="E199" s="27"/>
      <c r="F199" s="30"/>
      <c r="G199" s="30"/>
      <c r="H199" s="8">
        <f>IF(A199="","",IFERROR(INDEX(Ingredients!$M$5:$M$304,MATCH(A199,Ingredients!$A$5:$A$304,0)),""))</f>
        <v>0</v>
      </c>
      <c r="I199" s="8">
        <f>IF(OR(A199="",H199=""),"",IF(G199&lt;&gt;"",G199+H199,IF(F199&lt;&gt;"",F199+H199,"")))</f>
        <v>0</v>
      </c>
      <c r="J199" s="8">
        <f>IF(OR(A199="",I199=""),"",I199-TODAY())</f>
        <v>0</v>
      </c>
      <c r="K199" s="8">
        <f>IF(A199="","",IF(J199="","No date",IF(J199&lt;0,"Expired",IF(J199&lt;=Expiry_Warning_Days,"Use soon","Fresh"))))</f>
        <v>0</v>
      </c>
      <c r="L199" s="8">
        <f>IF(A199="","",COUNTIFS('Recipe Ingredients'!$B$5:$B$1204,A199))</f>
        <v>0</v>
      </c>
      <c r="M199" s="8">
        <f>IF(A199="","",IFERROR(INDEX(Ingredients!$X$5:$X$304,MATCH(A199,Ingredients!$A$5:$A$304,0)),""))</f>
        <v>0</v>
      </c>
      <c r="N199" s="8">
        <f>IF(OR(A199="",M199=""),"",IF(M199&lt;1,MAX(0,1*IFERROR(IFERROR(INDEX(Ingredients!$U$5:$U$304,MATCH(A199,Ingredients!$A$5:$A$304,0)),""),0)-C199),0))</f>
        <v>0</v>
      </c>
      <c r="O199" s="8">
        <f>IF(A199="","",IF(M199="","",IF(M199&lt;1,"Low","OK")))</f>
        <v>0</v>
      </c>
      <c r="P199" s="8">
        <f>IF(OR(A199="",C199=""),"",IFERROR(C199*IFERROR(INDEX(Ingredients!$D$5:$D$304,MATCH(A199,Ingredients!$A$5:$A$304,0)),""),""))</f>
        <v>0</v>
      </c>
      <c r="Q199" s="8">
        <f>IF(OR(E199&lt;&gt;"Fridge",J199=""),"",SUMPRODUCT(($E$5:$E$304="Fridge")*($J$5:$J$304&lt;J199))+SUMPRODUCT(($E$5:$E$304="Fridge")*($J$5:$J$304=J199)*(ROW($J$5:$J$304)&lt;ROW()))+1)</f>
        <v>0</v>
      </c>
      <c r="R199" s="8">
        <f>IF(OR(E199&lt;&gt;"Freezer",J199=""),"",SUMPRODUCT(($E$5:$E$304="Freezer")*($J$5:$J$304&lt;J199))+SUMPRODUCT(($E$5:$E$304="Freezer")*($J$5:$J$304=J199)*(ROW($J$5:$J$304)&lt;ROW()))+1)</f>
        <v>0</v>
      </c>
      <c r="S199" s="7"/>
      <c r="T199" s="27"/>
      <c r="U199" s="28"/>
      <c r="V199" s="27"/>
      <c r="W199" s="7"/>
      <c r="X199" s="26"/>
      <c r="Y199" s="8">
        <f>IF(A199="","",IF(K199="Expired","Bin it",IF(K199="Use soon","Cook it",IF(O199="Low","Running low","Keep"))))</f>
        <v>0</v>
      </c>
      <c r="Z199" s="25"/>
    </row>
    <row r="200" spans="1:26">
      <c r="A200" s="7"/>
      <c r="B200" s="8">
        <f>IF(A200="","",IFERROR(INDEX(Ingredients!$B$5:$B$304,MATCH(A200,Ingredients!$A$5:$A$304,0)),""))</f>
        <v>0</v>
      </c>
      <c r="C200" s="26"/>
      <c r="D200" s="27"/>
      <c r="E200" s="27"/>
      <c r="F200" s="30"/>
      <c r="G200" s="30"/>
      <c r="H200" s="8">
        <f>IF(A200="","",IFERROR(INDEX(Ingredients!$M$5:$M$304,MATCH(A200,Ingredients!$A$5:$A$304,0)),""))</f>
        <v>0</v>
      </c>
      <c r="I200" s="8">
        <f>IF(OR(A200="",H200=""),"",IF(G200&lt;&gt;"",G200+H200,IF(F200&lt;&gt;"",F200+H200,"")))</f>
        <v>0</v>
      </c>
      <c r="J200" s="8">
        <f>IF(OR(A200="",I200=""),"",I200-TODAY())</f>
        <v>0</v>
      </c>
      <c r="K200" s="8">
        <f>IF(A200="","",IF(J200="","No date",IF(J200&lt;0,"Expired",IF(J200&lt;=Expiry_Warning_Days,"Use soon","Fresh"))))</f>
        <v>0</v>
      </c>
      <c r="L200" s="8">
        <f>IF(A200="","",COUNTIFS('Recipe Ingredients'!$B$5:$B$1204,A200))</f>
        <v>0</v>
      </c>
      <c r="M200" s="8">
        <f>IF(A200="","",IFERROR(INDEX(Ingredients!$X$5:$X$304,MATCH(A200,Ingredients!$A$5:$A$304,0)),""))</f>
        <v>0</v>
      </c>
      <c r="N200" s="8">
        <f>IF(OR(A200="",M200=""),"",IF(M200&lt;1,MAX(0,1*IFERROR(IFERROR(INDEX(Ingredients!$U$5:$U$304,MATCH(A200,Ingredients!$A$5:$A$304,0)),""),0)-C200),0))</f>
        <v>0</v>
      </c>
      <c r="O200" s="8">
        <f>IF(A200="","",IF(M200="","",IF(M200&lt;1,"Low","OK")))</f>
        <v>0</v>
      </c>
      <c r="P200" s="8">
        <f>IF(OR(A200="",C200=""),"",IFERROR(C200*IFERROR(INDEX(Ingredients!$D$5:$D$304,MATCH(A200,Ingredients!$A$5:$A$304,0)),""),""))</f>
        <v>0</v>
      </c>
      <c r="Q200" s="8">
        <f>IF(OR(E200&lt;&gt;"Fridge",J200=""),"",SUMPRODUCT(($E$5:$E$304="Fridge")*($J$5:$J$304&lt;J200))+SUMPRODUCT(($E$5:$E$304="Fridge")*($J$5:$J$304=J200)*(ROW($J$5:$J$304)&lt;ROW()))+1)</f>
        <v>0</v>
      </c>
      <c r="R200" s="8">
        <f>IF(OR(E200&lt;&gt;"Freezer",J200=""),"",SUMPRODUCT(($E$5:$E$304="Freezer")*($J$5:$J$304&lt;J200))+SUMPRODUCT(($E$5:$E$304="Freezer")*($J$5:$J$304=J200)*(ROW($J$5:$J$304)&lt;ROW()))+1)</f>
        <v>0</v>
      </c>
      <c r="S200" s="7"/>
      <c r="T200" s="27"/>
      <c r="U200" s="28"/>
      <c r="V200" s="27"/>
      <c r="W200" s="7"/>
      <c r="X200" s="26"/>
      <c r="Y200" s="8">
        <f>IF(A200="","",IF(K200="Expired","Bin it",IF(K200="Use soon","Cook it",IF(O200="Low","Running low","Keep"))))</f>
        <v>0</v>
      </c>
      <c r="Z200" s="25"/>
    </row>
    <row r="201" spans="1:26">
      <c r="A201" s="7"/>
      <c r="B201" s="8">
        <f>IF(A201="","",IFERROR(INDEX(Ingredients!$B$5:$B$304,MATCH(A201,Ingredients!$A$5:$A$304,0)),""))</f>
        <v>0</v>
      </c>
      <c r="C201" s="26"/>
      <c r="D201" s="27"/>
      <c r="E201" s="27"/>
      <c r="F201" s="30"/>
      <c r="G201" s="30"/>
      <c r="H201" s="8">
        <f>IF(A201="","",IFERROR(INDEX(Ingredients!$M$5:$M$304,MATCH(A201,Ingredients!$A$5:$A$304,0)),""))</f>
        <v>0</v>
      </c>
      <c r="I201" s="8">
        <f>IF(OR(A201="",H201=""),"",IF(G201&lt;&gt;"",G201+H201,IF(F201&lt;&gt;"",F201+H201,"")))</f>
        <v>0</v>
      </c>
      <c r="J201" s="8">
        <f>IF(OR(A201="",I201=""),"",I201-TODAY())</f>
        <v>0</v>
      </c>
      <c r="K201" s="8">
        <f>IF(A201="","",IF(J201="","No date",IF(J201&lt;0,"Expired",IF(J201&lt;=Expiry_Warning_Days,"Use soon","Fresh"))))</f>
        <v>0</v>
      </c>
      <c r="L201" s="8">
        <f>IF(A201="","",COUNTIFS('Recipe Ingredients'!$B$5:$B$1204,A201))</f>
        <v>0</v>
      </c>
      <c r="M201" s="8">
        <f>IF(A201="","",IFERROR(INDEX(Ingredients!$X$5:$X$304,MATCH(A201,Ingredients!$A$5:$A$304,0)),""))</f>
        <v>0</v>
      </c>
      <c r="N201" s="8">
        <f>IF(OR(A201="",M201=""),"",IF(M201&lt;1,MAX(0,1*IFERROR(IFERROR(INDEX(Ingredients!$U$5:$U$304,MATCH(A201,Ingredients!$A$5:$A$304,0)),""),0)-C201),0))</f>
        <v>0</v>
      </c>
      <c r="O201" s="8">
        <f>IF(A201="","",IF(M201="","",IF(M201&lt;1,"Low","OK")))</f>
        <v>0</v>
      </c>
      <c r="P201" s="8">
        <f>IF(OR(A201="",C201=""),"",IFERROR(C201*IFERROR(INDEX(Ingredients!$D$5:$D$304,MATCH(A201,Ingredients!$A$5:$A$304,0)),""),""))</f>
        <v>0</v>
      </c>
      <c r="Q201" s="8">
        <f>IF(OR(E201&lt;&gt;"Fridge",J201=""),"",SUMPRODUCT(($E$5:$E$304="Fridge")*($J$5:$J$304&lt;J201))+SUMPRODUCT(($E$5:$E$304="Fridge")*($J$5:$J$304=J201)*(ROW($J$5:$J$304)&lt;ROW()))+1)</f>
        <v>0</v>
      </c>
      <c r="R201" s="8">
        <f>IF(OR(E201&lt;&gt;"Freezer",J201=""),"",SUMPRODUCT(($E$5:$E$304="Freezer")*($J$5:$J$304&lt;J201))+SUMPRODUCT(($E$5:$E$304="Freezer")*($J$5:$J$304=J201)*(ROW($J$5:$J$304)&lt;ROW()))+1)</f>
        <v>0</v>
      </c>
      <c r="S201" s="7"/>
      <c r="T201" s="27"/>
      <c r="U201" s="28"/>
      <c r="V201" s="27"/>
      <c r="W201" s="7"/>
      <c r="X201" s="26"/>
      <c r="Y201" s="8">
        <f>IF(A201="","",IF(K201="Expired","Bin it",IF(K201="Use soon","Cook it",IF(O201="Low","Running low","Keep"))))</f>
        <v>0</v>
      </c>
      <c r="Z201" s="25"/>
    </row>
    <row r="202" spans="1:26">
      <c r="A202" s="7"/>
      <c r="B202" s="8">
        <f>IF(A202="","",IFERROR(INDEX(Ingredients!$B$5:$B$304,MATCH(A202,Ingredients!$A$5:$A$304,0)),""))</f>
        <v>0</v>
      </c>
      <c r="C202" s="26"/>
      <c r="D202" s="27"/>
      <c r="E202" s="27"/>
      <c r="F202" s="30"/>
      <c r="G202" s="30"/>
      <c r="H202" s="8">
        <f>IF(A202="","",IFERROR(INDEX(Ingredients!$M$5:$M$304,MATCH(A202,Ingredients!$A$5:$A$304,0)),""))</f>
        <v>0</v>
      </c>
      <c r="I202" s="8">
        <f>IF(OR(A202="",H202=""),"",IF(G202&lt;&gt;"",G202+H202,IF(F202&lt;&gt;"",F202+H202,"")))</f>
        <v>0</v>
      </c>
      <c r="J202" s="8">
        <f>IF(OR(A202="",I202=""),"",I202-TODAY())</f>
        <v>0</v>
      </c>
      <c r="K202" s="8">
        <f>IF(A202="","",IF(J202="","No date",IF(J202&lt;0,"Expired",IF(J202&lt;=Expiry_Warning_Days,"Use soon","Fresh"))))</f>
        <v>0</v>
      </c>
      <c r="L202" s="8">
        <f>IF(A202="","",COUNTIFS('Recipe Ingredients'!$B$5:$B$1204,A202))</f>
        <v>0</v>
      </c>
      <c r="M202" s="8">
        <f>IF(A202="","",IFERROR(INDEX(Ingredients!$X$5:$X$304,MATCH(A202,Ingredients!$A$5:$A$304,0)),""))</f>
        <v>0</v>
      </c>
      <c r="N202" s="8">
        <f>IF(OR(A202="",M202=""),"",IF(M202&lt;1,MAX(0,1*IFERROR(IFERROR(INDEX(Ingredients!$U$5:$U$304,MATCH(A202,Ingredients!$A$5:$A$304,0)),""),0)-C202),0))</f>
        <v>0</v>
      </c>
      <c r="O202" s="8">
        <f>IF(A202="","",IF(M202="","",IF(M202&lt;1,"Low","OK")))</f>
        <v>0</v>
      </c>
      <c r="P202" s="8">
        <f>IF(OR(A202="",C202=""),"",IFERROR(C202*IFERROR(INDEX(Ingredients!$D$5:$D$304,MATCH(A202,Ingredients!$A$5:$A$304,0)),""),""))</f>
        <v>0</v>
      </c>
      <c r="Q202" s="8">
        <f>IF(OR(E202&lt;&gt;"Fridge",J202=""),"",SUMPRODUCT(($E$5:$E$304="Fridge")*($J$5:$J$304&lt;J202))+SUMPRODUCT(($E$5:$E$304="Fridge")*($J$5:$J$304=J202)*(ROW($J$5:$J$304)&lt;ROW()))+1)</f>
        <v>0</v>
      </c>
      <c r="R202" s="8">
        <f>IF(OR(E202&lt;&gt;"Freezer",J202=""),"",SUMPRODUCT(($E$5:$E$304="Freezer")*($J$5:$J$304&lt;J202))+SUMPRODUCT(($E$5:$E$304="Freezer")*($J$5:$J$304=J202)*(ROW($J$5:$J$304)&lt;ROW()))+1)</f>
        <v>0</v>
      </c>
      <c r="S202" s="7"/>
      <c r="T202" s="27"/>
      <c r="U202" s="28"/>
      <c r="V202" s="27"/>
      <c r="W202" s="7"/>
      <c r="X202" s="26"/>
      <c r="Y202" s="8">
        <f>IF(A202="","",IF(K202="Expired","Bin it",IF(K202="Use soon","Cook it",IF(O202="Low","Running low","Keep"))))</f>
        <v>0</v>
      </c>
      <c r="Z202" s="25"/>
    </row>
    <row r="203" spans="1:26">
      <c r="A203" s="7"/>
      <c r="B203" s="8">
        <f>IF(A203="","",IFERROR(INDEX(Ingredients!$B$5:$B$304,MATCH(A203,Ingredients!$A$5:$A$304,0)),""))</f>
        <v>0</v>
      </c>
      <c r="C203" s="26"/>
      <c r="D203" s="27"/>
      <c r="E203" s="27"/>
      <c r="F203" s="30"/>
      <c r="G203" s="30"/>
      <c r="H203" s="8">
        <f>IF(A203="","",IFERROR(INDEX(Ingredients!$M$5:$M$304,MATCH(A203,Ingredients!$A$5:$A$304,0)),""))</f>
        <v>0</v>
      </c>
      <c r="I203" s="8">
        <f>IF(OR(A203="",H203=""),"",IF(G203&lt;&gt;"",G203+H203,IF(F203&lt;&gt;"",F203+H203,"")))</f>
        <v>0</v>
      </c>
      <c r="J203" s="8">
        <f>IF(OR(A203="",I203=""),"",I203-TODAY())</f>
        <v>0</v>
      </c>
      <c r="K203" s="8">
        <f>IF(A203="","",IF(J203="","No date",IF(J203&lt;0,"Expired",IF(J203&lt;=Expiry_Warning_Days,"Use soon","Fresh"))))</f>
        <v>0</v>
      </c>
      <c r="L203" s="8">
        <f>IF(A203="","",COUNTIFS('Recipe Ingredients'!$B$5:$B$1204,A203))</f>
        <v>0</v>
      </c>
      <c r="M203" s="8">
        <f>IF(A203="","",IFERROR(INDEX(Ingredients!$X$5:$X$304,MATCH(A203,Ingredients!$A$5:$A$304,0)),""))</f>
        <v>0</v>
      </c>
      <c r="N203" s="8">
        <f>IF(OR(A203="",M203=""),"",IF(M203&lt;1,MAX(0,1*IFERROR(IFERROR(INDEX(Ingredients!$U$5:$U$304,MATCH(A203,Ingredients!$A$5:$A$304,0)),""),0)-C203),0))</f>
        <v>0</v>
      </c>
      <c r="O203" s="8">
        <f>IF(A203="","",IF(M203="","",IF(M203&lt;1,"Low","OK")))</f>
        <v>0</v>
      </c>
      <c r="P203" s="8">
        <f>IF(OR(A203="",C203=""),"",IFERROR(C203*IFERROR(INDEX(Ingredients!$D$5:$D$304,MATCH(A203,Ingredients!$A$5:$A$304,0)),""),""))</f>
        <v>0</v>
      </c>
      <c r="Q203" s="8">
        <f>IF(OR(E203&lt;&gt;"Fridge",J203=""),"",SUMPRODUCT(($E$5:$E$304="Fridge")*($J$5:$J$304&lt;J203))+SUMPRODUCT(($E$5:$E$304="Fridge")*($J$5:$J$304=J203)*(ROW($J$5:$J$304)&lt;ROW()))+1)</f>
        <v>0</v>
      </c>
      <c r="R203" s="8">
        <f>IF(OR(E203&lt;&gt;"Freezer",J203=""),"",SUMPRODUCT(($E$5:$E$304="Freezer")*($J$5:$J$304&lt;J203))+SUMPRODUCT(($E$5:$E$304="Freezer")*($J$5:$J$304=J203)*(ROW($J$5:$J$304)&lt;ROW()))+1)</f>
        <v>0</v>
      </c>
      <c r="S203" s="7"/>
      <c r="T203" s="27"/>
      <c r="U203" s="28"/>
      <c r="V203" s="27"/>
      <c r="W203" s="7"/>
      <c r="X203" s="26"/>
      <c r="Y203" s="8">
        <f>IF(A203="","",IF(K203="Expired","Bin it",IF(K203="Use soon","Cook it",IF(O203="Low","Running low","Keep"))))</f>
        <v>0</v>
      </c>
      <c r="Z203" s="25"/>
    </row>
    <row r="204" spans="1:26">
      <c r="A204" s="7"/>
      <c r="B204" s="8">
        <f>IF(A204="","",IFERROR(INDEX(Ingredients!$B$5:$B$304,MATCH(A204,Ingredients!$A$5:$A$304,0)),""))</f>
        <v>0</v>
      </c>
      <c r="C204" s="26"/>
      <c r="D204" s="27"/>
      <c r="E204" s="27"/>
      <c r="F204" s="30"/>
      <c r="G204" s="30"/>
      <c r="H204" s="8">
        <f>IF(A204="","",IFERROR(INDEX(Ingredients!$M$5:$M$304,MATCH(A204,Ingredients!$A$5:$A$304,0)),""))</f>
        <v>0</v>
      </c>
      <c r="I204" s="8">
        <f>IF(OR(A204="",H204=""),"",IF(G204&lt;&gt;"",G204+H204,IF(F204&lt;&gt;"",F204+H204,"")))</f>
        <v>0</v>
      </c>
      <c r="J204" s="8">
        <f>IF(OR(A204="",I204=""),"",I204-TODAY())</f>
        <v>0</v>
      </c>
      <c r="K204" s="8">
        <f>IF(A204="","",IF(J204="","No date",IF(J204&lt;0,"Expired",IF(J204&lt;=Expiry_Warning_Days,"Use soon","Fresh"))))</f>
        <v>0</v>
      </c>
      <c r="L204" s="8">
        <f>IF(A204="","",COUNTIFS('Recipe Ingredients'!$B$5:$B$1204,A204))</f>
        <v>0</v>
      </c>
      <c r="M204" s="8">
        <f>IF(A204="","",IFERROR(INDEX(Ingredients!$X$5:$X$304,MATCH(A204,Ingredients!$A$5:$A$304,0)),""))</f>
        <v>0</v>
      </c>
      <c r="N204" s="8">
        <f>IF(OR(A204="",M204=""),"",IF(M204&lt;1,MAX(0,1*IFERROR(IFERROR(INDEX(Ingredients!$U$5:$U$304,MATCH(A204,Ingredients!$A$5:$A$304,0)),""),0)-C204),0))</f>
        <v>0</v>
      </c>
      <c r="O204" s="8">
        <f>IF(A204="","",IF(M204="","",IF(M204&lt;1,"Low","OK")))</f>
        <v>0</v>
      </c>
      <c r="P204" s="8">
        <f>IF(OR(A204="",C204=""),"",IFERROR(C204*IFERROR(INDEX(Ingredients!$D$5:$D$304,MATCH(A204,Ingredients!$A$5:$A$304,0)),""),""))</f>
        <v>0</v>
      </c>
      <c r="Q204" s="8">
        <f>IF(OR(E204&lt;&gt;"Fridge",J204=""),"",SUMPRODUCT(($E$5:$E$304="Fridge")*($J$5:$J$304&lt;J204))+SUMPRODUCT(($E$5:$E$304="Fridge")*($J$5:$J$304=J204)*(ROW($J$5:$J$304)&lt;ROW()))+1)</f>
        <v>0</v>
      </c>
      <c r="R204" s="8">
        <f>IF(OR(E204&lt;&gt;"Freezer",J204=""),"",SUMPRODUCT(($E$5:$E$304="Freezer")*($J$5:$J$304&lt;J204))+SUMPRODUCT(($E$5:$E$304="Freezer")*($J$5:$J$304=J204)*(ROW($J$5:$J$304)&lt;ROW()))+1)</f>
        <v>0</v>
      </c>
      <c r="S204" s="7"/>
      <c r="T204" s="27"/>
      <c r="U204" s="28"/>
      <c r="V204" s="27"/>
      <c r="W204" s="7"/>
      <c r="X204" s="26"/>
      <c r="Y204" s="8">
        <f>IF(A204="","",IF(K204="Expired","Bin it",IF(K204="Use soon","Cook it",IF(O204="Low","Running low","Keep"))))</f>
        <v>0</v>
      </c>
      <c r="Z204" s="25"/>
    </row>
    <row r="205" spans="1:26">
      <c r="A205" s="7"/>
      <c r="B205" s="8">
        <f>IF(A205="","",IFERROR(INDEX(Ingredients!$B$5:$B$304,MATCH(A205,Ingredients!$A$5:$A$304,0)),""))</f>
        <v>0</v>
      </c>
      <c r="C205" s="26"/>
      <c r="D205" s="27"/>
      <c r="E205" s="27"/>
      <c r="F205" s="30"/>
      <c r="G205" s="30"/>
      <c r="H205" s="8">
        <f>IF(A205="","",IFERROR(INDEX(Ingredients!$M$5:$M$304,MATCH(A205,Ingredients!$A$5:$A$304,0)),""))</f>
        <v>0</v>
      </c>
      <c r="I205" s="8">
        <f>IF(OR(A205="",H205=""),"",IF(G205&lt;&gt;"",G205+H205,IF(F205&lt;&gt;"",F205+H205,"")))</f>
        <v>0</v>
      </c>
      <c r="J205" s="8">
        <f>IF(OR(A205="",I205=""),"",I205-TODAY())</f>
        <v>0</v>
      </c>
      <c r="K205" s="8">
        <f>IF(A205="","",IF(J205="","No date",IF(J205&lt;0,"Expired",IF(J205&lt;=Expiry_Warning_Days,"Use soon","Fresh"))))</f>
        <v>0</v>
      </c>
      <c r="L205" s="8">
        <f>IF(A205="","",COUNTIFS('Recipe Ingredients'!$B$5:$B$1204,A205))</f>
        <v>0</v>
      </c>
      <c r="M205" s="8">
        <f>IF(A205="","",IFERROR(INDEX(Ingredients!$X$5:$X$304,MATCH(A205,Ingredients!$A$5:$A$304,0)),""))</f>
        <v>0</v>
      </c>
      <c r="N205" s="8">
        <f>IF(OR(A205="",M205=""),"",IF(M205&lt;1,MAX(0,1*IFERROR(IFERROR(INDEX(Ingredients!$U$5:$U$304,MATCH(A205,Ingredients!$A$5:$A$304,0)),""),0)-C205),0))</f>
        <v>0</v>
      </c>
      <c r="O205" s="8">
        <f>IF(A205="","",IF(M205="","",IF(M205&lt;1,"Low","OK")))</f>
        <v>0</v>
      </c>
      <c r="P205" s="8">
        <f>IF(OR(A205="",C205=""),"",IFERROR(C205*IFERROR(INDEX(Ingredients!$D$5:$D$304,MATCH(A205,Ingredients!$A$5:$A$304,0)),""),""))</f>
        <v>0</v>
      </c>
      <c r="Q205" s="8">
        <f>IF(OR(E205&lt;&gt;"Fridge",J205=""),"",SUMPRODUCT(($E$5:$E$304="Fridge")*($J$5:$J$304&lt;J205))+SUMPRODUCT(($E$5:$E$304="Fridge")*($J$5:$J$304=J205)*(ROW($J$5:$J$304)&lt;ROW()))+1)</f>
        <v>0</v>
      </c>
      <c r="R205" s="8">
        <f>IF(OR(E205&lt;&gt;"Freezer",J205=""),"",SUMPRODUCT(($E$5:$E$304="Freezer")*($J$5:$J$304&lt;J205))+SUMPRODUCT(($E$5:$E$304="Freezer")*($J$5:$J$304=J205)*(ROW($J$5:$J$304)&lt;ROW()))+1)</f>
        <v>0</v>
      </c>
      <c r="S205" s="7"/>
      <c r="T205" s="27"/>
      <c r="U205" s="28"/>
      <c r="V205" s="27"/>
      <c r="W205" s="7"/>
      <c r="X205" s="26"/>
      <c r="Y205" s="8">
        <f>IF(A205="","",IF(K205="Expired","Bin it",IF(K205="Use soon","Cook it",IF(O205="Low","Running low","Keep"))))</f>
        <v>0</v>
      </c>
      <c r="Z205" s="25"/>
    </row>
    <row r="206" spans="1:26">
      <c r="A206" s="7"/>
      <c r="B206" s="8">
        <f>IF(A206="","",IFERROR(INDEX(Ingredients!$B$5:$B$304,MATCH(A206,Ingredients!$A$5:$A$304,0)),""))</f>
        <v>0</v>
      </c>
      <c r="C206" s="26"/>
      <c r="D206" s="27"/>
      <c r="E206" s="27"/>
      <c r="F206" s="30"/>
      <c r="G206" s="30"/>
      <c r="H206" s="8">
        <f>IF(A206="","",IFERROR(INDEX(Ingredients!$M$5:$M$304,MATCH(A206,Ingredients!$A$5:$A$304,0)),""))</f>
        <v>0</v>
      </c>
      <c r="I206" s="8">
        <f>IF(OR(A206="",H206=""),"",IF(G206&lt;&gt;"",G206+H206,IF(F206&lt;&gt;"",F206+H206,"")))</f>
        <v>0</v>
      </c>
      <c r="J206" s="8">
        <f>IF(OR(A206="",I206=""),"",I206-TODAY())</f>
        <v>0</v>
      </c>
      <c r="K206" s="8">
        <f>IF(A206="","",IF(J206="","No date",IF(J206&lt;0,"Expired",IF(J206&lt;=Expiry_Warning_Days,"Use soon","Fresh"))))</f>
        <v>0</v>
      </c>
      <c r="L206" s="8">
        <f>IF(A206="","",COUNTIFS('Recipe Ingredients'!$B$5:$B$1204,A206))</f>
        <v>0</v>
      </c>
      <c r="M206" s="8">
        <f>IF(A206="","",IFERROR(INDEX(Ingredients!$X$5:$X$304,MATCH(A206,Ingredients!$A$5:$A$304,0)),""))</f>
        <v>0</v>
      </c>
      <c r="N206" s="8">
        <f>IF(OR(A206="",M206=""),"",IF(M206&lt;1,MAX(0,1*IFERROR(IFERROR(INDEX(Ingredients!$U$5:$U$304,MATCH(A206,Ingredients!$A$5:$A$304,0)),""),0)-C206),0))</f>
        <v>0</v>
      </c>
      <c r="O206" s="8">
        <f>IF(A206="","",IF(M206="","",IF(M206&lt;1,"Low","OK")))</f>
        <v>0</v>
      </c>
      <c r="P206" s="8">
        <f>IF(OR(A206="",C206=""),"",IFERROR(C206*IFERROR(INDEX(Ingredients!$D$5:$D$304,MATCH(A206,Ingredients!$A$5:$A$304,0)),""),""))</f>
        <v>0</v>
      </c>
      <c r="Q206" s="8">
        <f>IF(OR(E206&lt;&gt;"Fridge",J206=""),"",SUMPRODUCT(($E$5:$E$304="Fridge")*($J$5:$J$304&lt;J206))+SUMPRODUCT(($E$5:$E$304="Fridge")*($J$5:$J$304=J206)*(ROW($J$5:$J$304)&lt;ROW()))+1)</f>
        <v>0</v>
      </c>
      <c r="R206" s="8">
        <f>IF(OR(E206&lt;&gt;"Freezer",J206=""),"",SUMPRODUCT(($E$5:$E$304="Freezer")*($J$5:$J$304&lt;J206))+SUMPRODUCT(($E$5:$E$304="Freezer")*($J$5:$J$304=J206)*(ROW($J$5:$J$304)&lt;ROW()))+1)</f>
        <v>0</v>
      </c>
      <c r="S206" s="7"/>
      <c r="T206" s="27"/>
      <c r="U206" s="28"/>
      <c r="V206" s="27"/>
      <c r="W206" s="7"/>
      <c r="X206" s="26"/>
      <c r="Y206" s="8">
        <f>IF(A206="","",IF(K206="Expired","Bin it",IF(K206="Use soon","Cook it",IF(O206="Low","Running low","Keep"))))</f>
        <v>0</v>
      </c>
      <c r="Z206" s="25"/>
    </row>
    <row r="207" spans="1:26">
      <c r="A207" s="7"/>
      <c r="B207" s="8">
        <f>IF(A207="","",IFERROR(INDEX(Ingredients!$B$5:$B$304,MATCH(A207,Ingredients!$A$5:$A$304,0)),""))</f>
        <v>0</v>
      </c>
      <c r="C207" s="26"/>
      <c r="D207" s="27"/>
      <c r="E207" s="27"/>
      <c r="F207" s="30"/>
      <c r="G207" s="30"/>
      <c r="H207" s="8">
        <f>IF(A207="","",IFERROR(INDEX(Ingredients!$M$5:$M$304,MATCH(A207,Ingredients!$A$5:$A$304,0)),""))</f>
        <v>0</v>
      </c>
      <c r="I207" s="8">
        <f>IF(OR(A207="",H207=""),"",IF(G207&lt;&gt;"",G207+H207,IF(F207&lt;&gt;"",F207+H207,"")))</f>
        <v>0</v>
      </c>
      <c r="J207" s="8">
        <f>IF(OR(A207="",I207=""),"",I207-TODAY())</f>
        <v>0</v>
      </c>
      <c r="K207" s="8">
        <f>IF(A207="","",IF(J207="","No date",IF(J207&lt;0,"Expired",IF(J207&lt;=Expiry_Warning_Days,"Use soon","Fresh"))))</f>
        <v>0</v>
      </c>
      <c r="L207" s="8">
        <f>IF(A207="","",COUNTIFS('Recipe Ingredients'!$B$5:$B$1204,A207))</f>
        <v>0</v>
      </c>
      <c r="M207" s="8">
        <f>IF(A207="","",IFERROR(INDEX(Ingredients!$X$5:$X$304,MATCH(A207,Ingredients!$A$5:$A$304,0)),""))</f>
        <v>0</v>
      </c>
      <c r="N207" s="8">
        <f>IF(OR(A207="",M207=""),"",IF(M207&lt;1,MAX(0,1*IFERROR(IFERROR(INDEX(Ingredients!$U$5:$U$304,MATCH(A207,Ingredients!$A$5:$A$304,0)),""),0)-C207),0))</f>
        <v>0</v>
      </c>
      <c r="O207" s="8">
        <f>IF(A207="","",IF(M207="","",IF(M207&lt;1,"Low","OK")))</f>
        <v>0</v>
      </c>
      <c r="P207" s="8">
        <f>IF(OR(A207="",C207=""),"",IFERROR(C207*IFERROR(INDEX(Ingredients!$D$5:$D$304,MATCH(A207,Ingredients!$A$5:$A$304,0)),""),""))</f>
        <v>0</v>
      </c>
      <c r="Q207" s="8">
        <f>IF(OR(E207&lt;&gt;"Fridge",J207=""),"",SUMPRODUCT(($E$5:$E$304="Fridge")*($J$5:$J$304&lt;J207))+SUMPRODUCT(($E$5:$E$304="Fridge")*($J$5:$J$304=J207)*(ROW($J$5:$J$304)&lt;ROW()))+1)</f>
        <v>0</v>
      </c>
      <c r="R207" s="8">
        <f>IF(OR(E207&lt;&gt;"Freezer",J207=""),"",SUMPRODUCT(($E$5:$E$304="Freezer")*($J$5:$J$304&lt;J207))+SUMPRODUCT(($E$5:$E$304="Freezer")*($J$5:$J$304=J207)*(ROW($J$5:$J$304)&lt;ROW()))+1)</f>
        <v>0</v>
      </c>
      <c r="S207" s="7"/>
      <c r="T207" s="27"/>
      <c r="U207" s="28"/>
      <c r="V207" s="27"/>
      <c r="W207" s="7"/>
      <c r="X207" s="26"/>
      <c r="Y207" s="8">
        <f>IF(A207="","",IF(K207="Expired","Bin it",IF(K207="Use soon","Cook it",IF(O207="Low","Running low","Keep"))))</f>
        <v>0</v>
      </c>
      <c r="Z207" s="25"/>
    </row>
    <row r="208" spans="1:26">
      <c r="A208" s="7"/>
      <c r="B208" s="8">
        <f>IF(A208="","",IFERROR(INDEX(Ingredients!$B$5:$B$304,MATCH(A208,Ingredients!$A$5:$A$304,0)),""))</f>
        <v>0</v>
      </c>
      <c r="C208" s="26"/>
      <c r="D208" s="27"/>
      <c r="E208" s="27"/>
      <c r="F208" s="30"/>
      <c r="G208" s="30"/>
      <c r="H208" s="8">
        <f>IF(A208="","",IFERROR(INDEX(Ingredients!$M$5:$M$304,MATCH(A208,Ingredients!$A$5:$A$304,0)),""))</f>
        <v>0</v>
      </c>
      <c r="I208" s="8">
        <f>IF(OR(A208="",H208=""),"",IF(G208&lt;&gt;"",G208+H208,IF(F208&lt;&gt;"",F208+H208,"")))</f>
        <v>0</v>
      </c>
      <c r="J208" s="8">
        <f>IF(OR(A208="",I208=""),"",I208-TODAY())</f>
        <v>0</v>
      </c>
      <c r="K208" s="8">
        <f>IF(A208="","",IF(J208="","No date",IF(J208&lt;0,"Expired",IF(J208&lt;=Expiry_Warning_Days,"Use soon","Fresh"))))</f>
        <v>0</v>
      </c>
      <c r="L208" s="8">
        <f>IF(A208="","",COUNTIFS('Recipe Ingredients'!$B$5:$B$1204,A208))</f>
        <v>0</v>
      </c>
      <c r="M208" s="8">
        <f>IF(A208="","",IFERROR(INDEX(Ingredients!$X$5:$X$304,MATCH(A208,Ingredients!$A$5:$A$304,0)),""))</f>
        <v>0</v>
      </c>
      <c r="N208" s="8">
        <f>IF(OR(A208="",M208=""),"",IF(M208&lt;1,MAX(0,1*IFERROR(IFERROR(INDEX(Ingredients!$U$5:$U$304,MATCH(A208,Ingredients!$A$5:$A$304,0)),""),0)-C208),0))</f>
        <v>0</v>
      </c>
      <c r="O208" s="8">
        <f>IF(A208="","",IF(M208="","",IF(M208&lt;1,"Low","OK")))</f>
        <v>0</v>
      </c>
      <c r="P208" s="8">
        <f>IF(OR(A208="",C208=""),"",IFERROR(C208*IFERROR(INDEX(Ingredients!$D$5:$D$304,MATCH(A208,Ingredients!$A$5:$A$304,0)),""),""))</f>
        <v>0</v>
      </c>
      <c r="Q208" s="8">
        <f>IF(OR(E208&lt;&gt;"Fridge",J208=""),"",SUMPRODUCT(($E$5:$E$304="Fridge")*($J$5:$J$304&lt;J208))+SUMPRODUCT(($E$5:$E$304="Fridge")*($J$5:$J$304=J208)*(ROW($J$5:$J$304)&lt;ROW()))+1)</f>
        <v>0</v>
      </c>
      <c r="R208" s="8">
        <f>IF(OR(E208&lt;&gt;"Freezer",J208=""),"",SUMPRODUCT(($E$5:$E$304="Freezer")*($J$5:$J$304&lt;J208))+SUMPRODUCT(($E$5:$E$304="Freezer")*($J$5:$J$304=J208)*(ROW($J$5:$J$304)&lt;ROW()))+1)</f>
        <v>0</v>
      </c>
      <c r="S208" s="7"/>
      <c r="T208" s="27"/>
      <c r="U208" s="28"/>
      <c r="V208" s="27"/>
      <c r="W208" s="7"/>
      <c r="X208" s="26"/>
      <c r="Y208" s="8">
        <f>IF(A208="","",IF(K208="Expired","Bin it",IF(K208="Use soon","Cook it",IF(O208="Low","Running low","Keep"))))</f>
        <v>0</v>
      </c>
      <c r="Z208" s="25"/>
    </row>
    <row r="209" spans="1:26">
      <c r="A209" s="7"/>
      <c r="B209" s="8">
        <f>IF(A209="","",IFERROR(INDEX(Ingredients!$B$5:$B$304,MATCH(A209,Ingredients!$A$5:$A$304,0)),""))</f>
        <v>0</v>
      </c>
      <c r="C209" s="26"/>
      <c r="D209" s="27"/>
      <c r="E209" s="27"/>
      <c r="F209" s="30"/>
      <c r="G209" s="30"/>
      <c r="H209" s="8">
        <f>IF(A209="","",IFERROR(INDEX(Ingredients!$M$5:$M$304,MATCH(A209,Ingredients!$A$5:$A$304,0)),""))</f>
        <v>0</v>
      </c>
      <c r="I209" s="8">
        <f>IF(OR(A209="",H209=""),"",IF(G209&lt;&gt;"",G209+H209,IF(F209&lt;&gt;"",F209+H209,"")))</f>
        <v>0</v>
      </c>
      <c r="J209" s="8">
        <f>IF(OR(A209="",I209=""),"",I209-TODAY())</f>
        <v>0</v>
      </c>
      <c r="K209" s="8">
        <f>IF(A209="","",IF(J209="","No date",IF(J209&lt;0,"Expired",IF(J209&lt;=Expiry_Warning_Days,"Use soon","Fresh"))))</f>
        <v>0</v>
      </c>
      <c r="L209" s="8">
        <f>IF(A209="","",COUNTIFS('Recipe Ingredients'!$B$5:$B$1204,A209))</f>
        <v>0</v>
      </c>
      <c r="M209" s="8">
        <f>IF(A209="","",IFERROR(INDEX(Ingredients!$X$5:$X$304,MATCH(A209,Ingredients!$A$5:$A$304,0)),""))</f>
        <v>0</v>
      </c>
      <c r="N209" s="8">
        <f>IF(OR(A209="",M209=""),"",IF(M209&lt;1,MAX(0,1*IFERROR(IFERROR(INDEX(Ingredients!$U$5:$U$304,MATCH(A209,Ingredients!$A$5:$A$304,0)),""),0)-C209),0))</f>
        <v>0</v>
      </c>
      <c r="O209" s="8">
        <f>IF(A209="","",IF(M209="","",IF(M209&lt;1,"Low","OK")))</f>
        <v>0</v>
      </c>
      <c r="P209" s="8">
        <f>IF(OR(A209="",C209=""),"",IFERROR(C209*IFERROR(INDEX(Ingredients!$D$5:$D$304,MATCH(A209,Ingredients!$A$5:$A$304,0)),""),""))</f>
        <v>0</v>
      </c>
      <c r="Q209" s="8">
        <f>IF(OR(E209&lt;&gt;"Fridge",J209=""),"",SUMPRODUCT(($E$5:$E$304="Fridge")*($J$5:$J$304&lt;J209))+SUMPRODUCT(($E$5:$E$304="Fridge")*($J$5:$J$304=J209)*(ROW($J$5:$J$304)&lt;ROW()))+1)</f>
        <v>0</v>
      </c>
      <c r="R209" s="8">
        <f>IF(OR(E209&lt;&gt;"Freezer",J209=""),"",SUMPRODUCT(($E$5:$E$304="Freezer")*($J$5:$J$304&lt;J209))+SUMPRODUCT(($E$5:$E$304="Freezer")*($J$5:$J$304=J209)*(ROW($J$5:$J$304)&lt;ROW()))+1)</f>
        <v>0</v>
      </c>
      <c r="S209" s="7"/>
      <c r="T209" s="27"/>
      <c r="U209" s="28"/>
      <c r="V209" s="27"/>
      <c r="W209" s="7"/>
      <c r="X209" s="26"/>
      <c r="Y209" s="8">
        <f>IF(A209="","",IF(K209="Expired","Bin it",IF(K209="Use soon","Cook it",IF(O209="Low","Running low","Keep"))))</f>
        <v>0</v>
      </c>
      <c r="Z209" s="25"/>
    </row>
    <row r="210" spans="1:26">
      <c r="A210" s="7"/>
      <c r="B210" s="8">
        <f>IF(A210="","",IFERROR(INDEX(Ingredients!$B$5:$B$304,MATCH(A210,Ingredients!$A$5:$A$304,0)),""))</f>
        <v>0</v>
      </c>
      <c r="C210" s="26"/>
      <c r="D210" s="27"/>
      <c r="E210" s="27"/>
      <c r="F210" s="30"/>
      <c r="G210" s="30"/>
      <c r="H210" s="8">
        <f>IF(A210="","",IFERROR(INDEX(Ingredients!$M$5:$M$304,MATCH(A210,Ingredients!$A$5:$A$304,0)),""))</f>
        <v>0</v>
      </c>
      <c r="I210" s="8">
        <f>IF(OR(A210="",H210=""),"",IF(G210&lt;&gt;"",G210+H210,IF(F210&lt;&gt;"",F210+H210,"")))</f>
        <v>0</v>
      </c>
      <c r="J210" s="8">
        <f>IF(OR(A210="",I210=""),"",I210-TODAY())</f>
        <v>0</v>
      </c>
      <c r="K210" s="8">
        <f>IF(A210="","",IF(J210="","No date",IF(J210&lt;0,"Expired",IF(J210&lt;=Expiry_Warning_Days,"Use soon","Fresh"))))</f>
        <v>0</v>
      </c>
      <c r="L210" s="8">
        <f>IF(A210="","",COUNTIFS('Recipe Ingredients'!$B$5:$B$1204,A210))</f>
        <v>0</v>
      </c>
      <c r="M210" s="8">
        <f>IF(A210="","",IFERROR(INDEX(Ingredients!$X$5:$X$304,MATCH(A210,Ingredients!$A$5:$A$304,0)),""))</f>
        <v>0</v>
      </c>
      <c r="N210" s="8">
        <f>IF(OR(A210="",M210=""),"",IF(M210&lt;1,MAX(0,1*IFERROR(IFERROR(INDEX(Ingredients!$U$5:$U$304,MATCH(A210,Ingredients!$A$5:$A$304,0)),""),0)-C210),0))</f>
        <v>0</v>
      </c>
      <c r="O210" s="8">
        <f>IF(A210="","",IF(M210="","",IF(M210&lt;1,"Low","OK")))</f>
        <v>0</v>
      </c>
      <c r="P210" s="8">
        <f>IF(OR(A210="",C210=""),"",IFERROR(C210*IFERROR(INDEX(Ingredients!$D$5:$D$304,MATCH(A210,Ingredients!$A$5:$A$304,0)),""),""))</f>
        <v>0</v>
      </c>
      <c r="Q210" s="8">
        <f>IF(OR(E210&lt;&gt;"Fridge",J210=""),"",SUMPRODUCT(($E$5:$E$304="Fridge")*($J$5:$J$304&lt;J210))+SUMPRODUCT(($E$5:$E$304="Fridge")*($J$5:$J$304=J210)*(ROW($J$5:$J$304)&lt;ROW()))+1)</f>
        <v>0</v>
      </c>
      <c r="R210" s="8">
        <f>IF(OR(E210&lt;&gt;"Freezer",J210=""),"",SUMPRODUCT(($E$5:$E$304="Freezer")*($J$5:$J$304&lt;J210))+SUMPRODUCT(($E$5:$E$304="Freezer")*($J$5:$J$304=J210)*(ROW($J$5:$J$304)&lt;ROW()))+1)</f>
        <v>0</v>
      </c>
      <c r="S210" s="7"/>
      <c r="T210" s="27"/>
      <c r="U210" s="28"/>
      <c r="V210" s="27"/>
      <c r="W210" s="7"/>
      <c r="X210" s="26"/>
      <c r="Y210" s="8">
        <f>IF(A210="","",IF(K210="Expired","Bin it",IF(K210="Use soon","Cook it",IF(O210="Low","Running low","Keep"))))</f>
        <v>0</v>
      </c>
      <c r="Z210" s="25"/>
    </row>
    <row r="211" spans="1:26">
      <c r="A211" s="7"/>
      <c r="B211" s="8">
        <f>IF(A211="","",IFERROR(INDEX(Ingredients!$B$5:$B$304,MATCH(A211,Ingredients!$A$5:$A$304,0)),""))</f>
        <v>0</v>
      </c>
      <c r="C211" s="26"/>
      <c r="D211" s="27"/>
      <c r="E211" s="27"/>
      <c r="F211" s="30"/>
      <c r="G211" s="30"/>
      <c r="H211" s="8">
        <f>IF(A211="","",IFERROR(INDEX(Ingredients!$M$5:$M$304,MATCH(A211,Ingredients!$A$5:$A$304,0)),""))</f>
        <v>0</v>
      </c>
      <c r="I211" s="8">
        <f>IF(OR(A211="",H211=""),"",IF(G211&lt;&gt;"",G211+H211,IF(F211&lt;&gt;"",F211+H211,"")))</f>
        <v>0</v>
      </c>
      <c r="J211" s="8">
        <f>IF(OR(A211="",I211=""),"",I211-TODAY())</f>
        <v>0</v>
      </c>
      <c r="K211" s="8">
        <f>IF(A211="","",IF(J211="","No date",IF(J211&lt;0,"Expired",IF(J211&lt;=Expiry_Warning_Days,"Use soon","Fresh"))))</f>
        <v>0</v>
      </c>
      <c r="L211" s="8">
        <f>IF(A211="","",COUNTIFS('Recipe Ingredients'!$B$5:$B$1204,A211))</f>
        <v>0</v>
      </c>
      <c r="M211" s="8">
        <f>IF(A211="","",IFERROR(INDEX(Ingredients!$X$5:$X$304,MATCH(A211,Ingredients!$A$5:$A$304,0)),""))</f>
        <v>0</v>
      </c>
      <c r="N211" s="8">
        <f>IF(OR(A211="",M211=""),"",IF(M211&lt;1,MAX(0,1*IFERROR(IFERROR(INDEX(Ingredients!$U$5:$U$304,MATCH(A211,Ingredients!$A$5:$A$304,0)),""),0)-C211),0))</f>
        <v>0</v>
      </c>
      <c r="O211" s="8">
        <f>IF(A211="","",IF(M211="","",IF(M211&lt;1,"Low","OK")))</f>
        <v>0</v>
      </c>
      <c r="P211" s="8">
        <f>IF(OR(A211="",C211=""),"",IFERROR(C211*IFERROR(INDEX(Ingredients!$D$5:$D$304,MATCH(A211,Ingredients!$A$5:$A$304,0)),""),""))</f>
        <v>0</v>
      </c>
      <c r="Q211" s="8">
        <f>IF(OR(E211&lt;&gt;"Fridge",J211=""),"",SUMPRODUCT(($E$5:$E$304="Fridge")*($J$5:$J$304&lt;J211))+SUMPRODUCT(($E$5:$E$304="Fridge")*($J$5:$J$304=J211)*(ROW($J$5:$J$304)&lt;ROW()))+1)</f>
        <v>0</v>
      </c>
      <c r="R211" s="8">
        <f>IF(OR(E211&lt;&gt;"Freezer",J211=""),"",SUMPRODUCT(($E$5:$E$304="Freezer")*($J$5:$J$304&lt;J211))+SUMPRODUCT(($E$5:$E$304="Freezer")*($J$5:$J$304=J211)*(ROW($J$5:$J$304)&lt;ROW()))+1)</f>
        <v>0</v>
      </c>
      <c r="S211" s="7"/>
      <c r="T211" s="27"/>
      <c r="U211" s="28"/>
      <c r="V211" s="27"/>
      <c r="W211" s="7"/>
      <c r="X211" s="26"/>
      <c r="Y211" s="8">
        <f>IF(A211="","",IF(K211="Expired","Bin it",IF(K211="Use soon","Cook it",IF(O211="Low","Running low","Keep"))))</f>
        <v>0</v>
      </c>
      <c r="Z211" s="25"/>
    </row>
    <row r="212" spans="1:26">
      <c r="A212" s="7"/>
      <c r="B212" s="8">
        <f>IF(A212="","",IFERROR(INDEX(Ingredients!$B$5:$B$304,MATCH(A212,Ingredients!$A$5:$A$304,0)),""))</f>
        <v>0</v>
      </c>
      <c r="C212" s="26"/>
      <c r="D212" s="27"/>
      <c r="E212" s="27"/>
      <c r="F212" s="30"/>
      <c r="G212" s="30"/>
      <c r="H212" s="8">
        <f>IF(A212="","",IFERROR(INDEX(Ingredients!$M$5:$M$304,MATCH(A212,Ingredients!$A$5:$A$304,0)),""))</f>
        <v>0</v>
      </c>
      <c r="I212" s="8">
        <f>IF(OR(A212="",H212=""),"",IF(G212&lt;&gt;"",G212+H212,IF(F212&lt;&gt;"",F212+H212,"")))</f>
        <v>0</v>
      </c>
      <c r="J212" s="8">
        <f>IF(OR(A212="",I212=""),"",I212-TODAY())</f>
        <v>0</v>
      </c>
      <c r="K212" s="8">
        <f>IF(A212="","",IF(J212="","No date",IF(J212&lt;0,"Expired",IF(J212&lt;=Expiry_Warning_Days,"Use soon","Fresh"))))</f>
        <v>0</v>
      </c>
      <c r="L212" s="8">
        <f>IF(A212="","",COUNTIFS('Recipe Ingredients'!$B$5:$B$1204,A212))</f>
        <v>0</v>
      </c>
      <c r="M212" s="8">
        <f>IF(A212="","",IFERROR(INDEX(Ingredients!$X$5:$X$304,MATCH(A212,Ingredients!$A$5:$A$304,0)),""))</f>
        <v>0</v>
      </c>
      <c r="N212" s="8">
        <f>IF(OR(A212="",M212=""),"",IF(M212&lt;1,MAX(0,1*IFERROR(IFERROR(INDEX(Ingredients!$U$5:$U$304,MATCH(A212,Ingredients!$A$5:$A$304,0)),""),0)-C212),0))</f>
        <v>0</v>
      </c>
      <c r="O212" s="8">
        <f>IF(A212="","",IF(M212="","",IF(M212&lt;1,"Low","OK")))</f>
        <v>0</v>
      </c>
      <c r="P212" s="8">
        <f>IF(OR(A212="",C212=""),"",IFERROR(C212*IFERROR(INDEX(Ingredients!$D$5:$D$304,MATCH(A212,Ingredients!$A$5:$A$304,0)),""),""))</f>
        <v>0</v>
      </c>
      <c r="Q212" s="8">
        <f>IF(OR(E212&lt;&gt;"Fridge",J212=""),"",SUMPRODUCT(($E$5:$E$304="Fridge")*($J$5:$J$304&lt;J212))+SUMPRODUCT(($E$5:$E$304="Fridge")*($J$5:$J$304=J212)*(ROW($J$5:$J$304)&lt;ROW()))+1)</f>
        <v>0</v>
      </c>
      <c r="R212" s="8">
        <f>IF(OR(E212&lt;&gt;"Freezer",J212=""),"",SUMPRODUCT(($E$5:$E$304="Freezer")*($J$5:$J$304&lt;J212))+SUMPRODUCT(($E$5:$E$304="Freezer")*($J$5:$J$304=J212)*(ROW($J$5:$J$304)&lt;ROW()))+1)</f>
        <v>0</v>
      </c>
      <c r="S212" s="7"/>
      <c r="T212" s="27"/>
      <c r="U212" s="28"/>
      <c r="V212" s="27"/>
      <c r="W212" s="7"/>
      <c r="X212" s="26"/>
      <c r="Y212" s="8">
        <f>IF(A212="","",IF(K212="Expired","Bin it",IF(K212="Use soon","Cook it",IF(O212="Low","Running low","Keep"))))</f>
        <v>0</v>
      </c>
      <c r="Z212" s="25"/>
    </row>
    <row r="213" spans="1:26">
      <c r="A213" s="7"/>
      <c r="B213" s="8">
        <f>IF(A213="","",IFERROR(INDEX(Ingredients!$B$5:$B$304,MATCH(A213,Ingredients!$A$5:$A$304,0)),""))</f>
        <v>0</v>
      </c>
      <c r="C213" s="26"/>
      <c r="D213" s="27"/>
      <c r="E213" s="27"/>
      <c r="F213" s="30"/>
      <c r="G213" s="30"/>
      <c r="H213" s="8">
        <f>IF(A213="","",IFERROR(INDEX(Ingredients!$M$5:$M$304,MATCH(A213,Ingredients!$A$5:$A$304,0)),""))</f>
        <v>0</v>
      </c>
      <c r="I213" s="8">
        <f>IF(OR(A213="",H213=""),"",IF(G213&lt;&gt;"",G213+H213,IF(F213&lt;&gt;"",F213+H213,"")))</f>
        <v>0</v>
      </c>
      <c r="J213" s="8">
        <f>IF(OR(A213="",I213=""),"",I213-TODAY())</f>
        <v>0</v>
      </c>
      <c r="K213" s="8">
        <f>IF(A213="","",IF(J213="","No date",IF(J213&lt;0,"Expired",IF(J213&lt;=Expiry_Warning_Days,"Use soon","Fresh"))))</f>
        <v>0</v>
      </c>
      <c r="L213" s="8">
        <f>IF(A213="","",COUNTIFS('Recipe Ingredients'!$B$5:$B$1204,A213))</f>
        <v>0</v>
      </c>
      <c r="M213" s="8">
        <f>IF(A213="","",IFERROR(INDEX(Ingredients!$X$5:$X$304,MATCH(A213,Ingredients!$A$5:$A$304,0)),""))</f>
        <v>0</v>
      </c>
      <c r="N213" s="8">
        <f>IF(OR(A213="",M213=""),"",IF(M213&lt;1,MAX(0,1*IFERROR(IFERROR(INDEX(Ingredients!$U$5:$U$304,MATCH(A213,Ingredients!$A$5:$A$304,0)),""),0)-C213),0))</f>
        <v>0</v>
      </c>
      <c r="O213" s="8">
        <f>IF(A213="","",IF(M213="","",IF(M213&lt;1,"Low","OK")))</f>
        <v>0</v>
      </c>
      <c r="P213" s="8">
        <f>IF(OR(A213="",C213=""),"",IFERROR(C213*IFERROR(INDEX(Ingredients!$D$5:$D$304,MATCH(A213,Ingredients!$A$5:$A$304,0)),""),""))</f>
        <v>0</v>
      </c>
      <c r="Q213" s="8">
        <f>IF(OR(E213&lt;&gt;"Fridge",J213=""),"",SUMPRODUCT(($E$5:$E$304="Fridge")*($J$5:$J$304&lt;J213))+SUMPRODUCT(($E$5:$E$304="Fridge")*($J$5:$J$304=J213)*(ROW($J$5:$J$304)&lt;ROW()))+1)</f>
        <v>0</v>
      </c>
      <c r="R213" s="8">
        <f>IF(OR(E213&lt;&gt;"Freezer",J213=""),"",SUMPRODUCT(($E$5:$E$304="Freezer")*($J$5:$J$304&lt;J213))+SUMPRODUCT(($E$5:$E$304="Freezer")*($J$5:$J$304=J213)*(ROW($J$5:$J$304)&lt;ROW()))+1)</f>
        <v>0</v>
      </c>
      <c r="S213" s="7"/>
      <c r="T213" s="27"/>
      <c r="U213" s="28"/>
      <c r="V213" s="27"/>
      <c r="W213" s="7"/>
      <c r="X213" s="26"/>
      <c r="Y213" s="8">
        <f>IF(A213="","",IF(K213="Expired","Bin it",IF(K213="Use soon","Cook it",IF(O213="Low","Running low","Keep"))))</f>
        <v>0</v>
      </c>
      <c r="Z213" s="25"/>
    </row>
    <row r="214" spans="1:26">
      <c r="A214" s="7"/>
      <c r="B214" s="8">
        <f>IF(A214="","",IFERROR(INDEX(Ingredients!$B$5:$B$304,MATCH(A214,Ingredients!$A$5:$A$304,0)),""))</f>
        <v>0</v>
      </c>
      <c r="C214" s="26"/>
      <c r="D214" s="27"/>
      <c r="E214" s="27"/>
      <c r="F214" s="30"/>
      <c r="G214" s="30"/>
      <c r="H214" s="8">
        <f>IF(A214="","",IFERROR(INDEX(Ingredients!$M$5:$M$304,MATCH(A214,Ingredients!$A$5:$A$304,0)),""))</f>
        <v>0</v>
      </c>
      <c r="I214" s="8">
        <f>IF(OR(A214="",H214=""),"",IF(G214&lt;&gt;"",G214+H214,IF(F214&lt;&gt;"",F214+H214,"")))</f>
        <v>0</v>
      </c>
      <c r="J214" s="8">
        <f>IF(OR(A214="",I214=""),"",I214-TODAY())</f>
        <v>0</v>
      </c>
      <c r="K214" s="8">
        <f>IF(A214="","",IF(J214="","No date",IF(J214&lt;0,"Expired",IF(J214&lt;=Expiry_Warning_Days,"Use soon","Fresh"))))</f>
        <v>0</v>
      </c>
      <c r="L214" s="8">
        <f>IF(A214="","",COUNTIFS('Recipe Ingredients'!$B$5:$B$1204,A214))</f>
        <v>0</v>
      </c>
      <c r="M214" s="8">
        <f>IF(A214="","",IFERROR(INDEX(Ingredients!$X$5:$X$304,MATCH(A214,Ingredients!$A$5:$A$304,0)),""))</f>
        <v>0</v>
      </c>
      <c r="N214" s="8">
        <f>IF(OR(A214="",M214=""),"",IF(M214&lt;1,MAX(0,1*IFERROR(IFERROR(INDEX(Ingredients!$U$5:$U$304,MATCH(A214,Ingredients!$A$5:$A$304,0)),""),0)-C214),0))</f>
        <v>0</v>
      </c>
      <c r="O214" s="8">
        <f>IF(A214="","",IF(M214="","",IF(M214&lt;1,"Low","OK")))</f>
        <v>0</v>
      </c>
      <c r="P214" s="8">
        <f>IF(OR(A214="",C214=""),"",IFERROR(C214*IFERROR(INDEX(Ingredients!$D$5:$D$304,MATCH(A214,Ingredients!$A$5:$A$304,0)),""),""))</f>
        <v>0</v>
      </c>
      <c r="Q214" s="8">
        <f>IF(OR(E214&lt;&gt;"Fridge",J214=""),"",SUMPRODUCT(($E$5:$E$304="Fridge")*($J$5:$J$304&lt;J214))+SUMPRODUCT(($E$5:$E$304="Fridge")*($J$5:$J$304=J214)*(ROW($J$5:$J$304)&lt;ROW()))+1)</f>
        <v>0</v>
      </c>
      <c r="R214" s="8">
        <f>IF(OR(E214&lt;&gt;"Freezer",J214=""),"",SUMPRODUCT(($E$5:$E$304="Freezer")*($J$5:$J$304&lt;J214))+SUMPRODUCT(($E$5:$E$304="Freezer")*($J$5:$J$304=J214)*(ROW($J$5:$J$304)&lt;ROW()))+1)</f>
        <v>0</v>
      </c>
      <c r="S214" s="7"/>
      <c r="T214" s="27"/>
      <c r="U214" s="28"/>
      <c r="V214" s="27"/>
      <c r="W214" s="7"/>
      <c r="X214" s="26"/>
      <c r="Y214" s="8">
        <f>IF(A214="","",IF(K214="Expired","Bin it",IF(K214="Use soon","Cook it",IF(O214="Low","Running low","Keep"))))</f>
        <v>0</v>
      </c>
      <c r="Z214" s="25"/>
    </row>
    <row r="215" spans="1:26">
      <c r="A215" s="7"/>
      <c r="B215" s="8">
        <f>IF(A215="","",IFERROR(INDEX(Ingredients!$B$5:$B$304,MATCH(A215,Ingredients!$A$5:$A$304,0)),""))</f>
        <v>0</v>
      </c>
      <c r="C215" s="26"/>
      <c r="D215" s="27"/>
      <c r="E215" s="27"/>
      <c r="F215" s="30"/>
      <c r="G215" s="30"/>
      <c r="H215" s="8">
        <f>IF(A215="","",IFERROR(INDEX(Ingredients!$M$5:$M$304,MATCH(A215,Ingredients!$A$5:$A$304,0)),""))</f>
        <v>0</v>
      </c>
      <c r="I215" s="8">
        <f>IF(OR(A215="",H215=""),"",IF(G215&lt;&gt;"",G215+H215,IF(F215&lt;&gt;"",F215+H215,"")))</f>
        <v>0</v>
      </c>
      <c r="J215" s="8">
        <f>IF(OR(A215="",I215=""),"",I215-TODAY())</f>
        <v>0</v>
      </c>
      <c r="K215" s="8">
        <f>IF(A215="","",IF(J215="","No date",IF(J215&lt;0,"Expired",IF(J215&lt;=Expiry_Warning_Days,"Use soon","Fresh"))))</f>
        <v>0</v>
      </c>
      <c r="L215" s="8">
        <f>IF(A215="","",COUNTIFS('Recipe Ingredients'!$B$5:$B$1204,A215))</f>
        <v>0</v>
      </c>
      <c r="M215" s="8">
        <f>IF(A215="","",IFERROR(INDEX(Ingredients!$X$5:$X$304,MATCH(A215,Ingredients!$A$5:$A$304,0)),""))</f>
        <v>0</v>
      </c>
      <c r="N215" s="8">
        <f>IF(OR(A215="",M215=""),"",IF(M215&lt;1,MAX(0,1*IFERROR(IFERROR(INDEX(Ingredients!$U$5:$U$304,MATCH(A215,Ingredients!$A$5:$A$304,0)),""),0)-C215),0))</f>
        <v>0</v>
      </c>
      <c r="O215" s="8">
        <f>IF(A215="","",IF(M215="","",IF(M215&lt;1,"Low","OK")))</f>
        <v>0</v>
      </c>
      <c r="P215" s="8">
        <f>IF(OR(A215="",C215=""),"",IFERROR(C215*IFERROR(INDEX(Ingredients!$D$5:$D$304,MATCH(A215,Ingredients!$A$5:$A$304,0)),""),""))</f>
        <v>0</v>
      </c>
      <c r="Q215" s="8">
        <f>IF(OR(E215&lt;&gt;"Fridge",J215=""),"",SUMPRODUCT(($E$5:$E$304="Fridge")*($J$5:$J$304&lt;J215))+SUMPRODUCT(($E$5:$E$304="Fridge")*($J$5:$J$304=J215)*(ROW($J$5:$J$304)&lt;ROW()))+1)</f>
        <v>0</v>
      </c>
      <c r="R215" s="8">
        <f>IF(OR(E215&lt;&gt;"Freezer",J215=""),"",SUMPRODUCT(($E$5:$E$304="Freezer")*($J$5:$J$304&lt;J215))+SUMPRODUCT(($E$5:$E$304="Freezer")*($J$5:$J$304=J215)*(ROW($J$5:$J$304)&lt;ROW()))+1)</f>
        <v>0</v>
      </c>
      <c r="S215" s="7"/>
      <c r="T215" s="27"/>
      <c r="U215" s="28"/>
      <c r="V215" s="27"/>
      <c r="W215" s="7"/>
      <c r="X215" s="26"/>
      <c r="Y215" s="8">
        <f>IF(A215="","",IF(K215="Expired","Bin it",IF(K215="Use soon","Cook it",IF(O215="Low","Running low","Keep"))))</f>
        <v>0</v>
      </c>
      <c r="Z215" s="25"/>
    </row>
    <row r="216" spans="1:26">
      <c r="A216" s="7"/>
      <c r="B216" s="8">
        <f>IF(A216="","",IFERROR(INDEX(Ingredients!$B$5:$B$304,MATCH(A216,Ingredients!$A$5:$A$304,0)),""))</f>
        <v>0</v>
      </c>
      <c r="C216" s="26"/>
      <c r="D216" s="27"/>
      <c r="E216" s="27"/>
      <c r="F216" s="30"/>
      <c r="G216" s="30"/>
      <c r="H216" s="8">
        <f>IF(A216="","",IFERROR(INDEX(Ingredients!$M$5:$M$304,MATCH(A216,Ingredients!$A$5:$A$304,0)),""))</f>
        <v>0</v>
      </c>
      <c r="I216" s="8">
        <f>IF(OR(A216="",H216=""),"",IF(G216&lt;&gt;"",G216+H216,IF(F216&lt;&gt;"",F216+H216,"")))</f>
        <v>0</v>
      </c>
      <c r="J216" s="8">
        <f>IF(OR(A216="",I216=""),"",I216-TODAY())</f>
        <v>0</v>
      </c>
      <c r="K216" s="8">
        <f>IF(A216="","",IF(J216="","No date",IF(J216&lt;0,"Expired",IF(J216&lt;=Expiry_Warning_Days,"Use soon","Fresh"))))</f>
        <v>0</v>
      </c>
      <c r="L216" s="8">
        <f>IF(A216="","",COUNTIFS('Recipe Ingredients'!$B$5:$B$1204,A216))</f>
        <v>0</v>
      </c>
      <c r="M216" s="8">
        <f>IF(A216="","",IFERROR(INDEX(Ingredients!$X$5:$X$304,MATCH(A216,Ingredients!$A$5:$A$304,0)),""))</f>
        <v>0</v>
      </c>
      <c r="N216" s="8">
        <f>IF(OR(A216="",M216=""),"",IF(M216&lt;1,MAX(0,1*IFERROR(IFERROR(INDEX(Ingredients!$U$5:$U$304,MATCH(A216,Ingredients!$A$5:$A$304,0)),""),0)-C216),0))</f>
        <v>0</v>
      </c>
      <c r="O216" s="8">
        <f>IF(A216="","",IF(M216="","",IF(M216&lt;1,"Low","OK")))</f>
        <v>0</v>
      </c>
      <c r="P216" s="8">
        <f>IF(OR(A216="",C216=""),"",IFERROR(C216*IFERROR(INDEX(Ingredients!$D$5:$D$304,MATCH(A216,Ingredients!$A$5:$A$304,0)),""),""))</f>
        <v>0</v>
      </c>
      <c r="Q216" s="8">
        <f>IF(OR(E216&lt;&gt;"Fridge",J216=""),"",SUMPRODUCT(($E$5:$E$304="Fridge")*($J$5:$J$304&lt;J216))+SUMPRODUCT(($E$5:$E$304="Fridge")*($J$5:$J$304=J216)*(ROW($J$5:$J$304)&lt;ROW()))+1)</f>
        <v>0</v>
      </c>
      <c r="R216" s="8">
        <f>IF(OR(E216&lt;&gt;"Freezer",J216=""),"",SUMPRODUCT(($E$5:$E$304="Freezer")*($J$5:$J$304&lt;J216))+SUMPRODUCT(($E$5:$E$304="Freezer")*($J$5:$J$304=J216)*(ROW($J$5:$J$304)&lt;ROW()))+1)</f>
        <v>0</v>
      </c>
      <c r="S216" s="7"/>
      <c r="T216" s="27"/>
      <c r="U216" s="28"/>
      <c r="V216" s="27"/>
      <c r="W216" s="7"/>
      <c r="X216" s="26"/>
      <c r="Y216" s="8">
        <f>IF(A216="","",IF(K216="Expired","Bin it",IF(K216="Use soon","Cook it",IF(O216="Low","Running low","Keep"))))</f>
        <v>0</v>
      </c>
      <c r="Z216" s="25"/>
    </row>
    <row r="217" spans="1:26">
      <c r="A217" s="7"/>
      <c r="B217" s="8">
        <f>IF(A217="","",IFERROR(INDEX(Ingredients!$B$5:$B$304,MATCH(A217,Ingredients!$A$5:$A$304,0)),""))</f>
        <v>0</v>
      </c>
      <c r="C217" s="26"/>
      <c r="D217" s="27"/>
      <c r="E217" s="27"/>
      <c r="F217" s="30"/>
      <c r="G217" s="30"/>
      <c r="H217" s="8">
        <f>IF(A217="","",IFERROR(INDEX(Ingredients!$M$5:$M$304,MATCH(A217,Ingredients!$A$5:$A$304,0)),""))</f>
        <v>0</v>
      </c>
      <c r="I217" s="8">
        <f>IF(OR(A217="",H217=""),"",IF(G217&lt;&gt;"",G217+H217,IF(F217&lt;&gt;"",F217+H217,"")))</f>
        <v>0</v>
      </c>
      <c r="J217" s="8">
        <f>IF(OR(A217="",I217=""),"",I217-TODAY())</f>
        <v>0</v>
      </c>
      <c r="K217" s="8">
        <f>IF(A217="","",IF(J217="","No date",IF(J217&lt;0,"Expired",IF(J217&lt;=Expiry_Warning_Days,"Use soon","Fresh"))))</f>
        <v>0</v>
      </c>
      <c r="L217" s="8">
        <f>IF(A217="","",COUNTIFS('Recipe Ingredients'!$B$5:$B$1204,A217))</f>
        <v>0</v>
      </c>
      <c r="M217" s="8">
        <f>IF(A217="","",IFERROR(INDEX(Ingredients!$X$5:$X$304,MATCH(A217,Ingredients!$A$5:$A$304,0)),""))</f>
        <v>0</v>
      </c>
      <c r="N217" s="8">
        <f>IF(OR(A217="",M217=""),"",IF(M217&lt;1,MAX(0,1*IFERROR(IFERROR(INDEX(Ingredients!$U$5:$U$304,MATCH(A217,Ingredients!$A$5:$A$304,0)),""),0)-C217),0))</f>
        <v>0</v>
      </c>
      <c r="O217" s="8">
        <f>IF(A217="","",IF(M217="","",IF(M217&lt;1,"Low","OK")))</f>
        <v>0</v>
      </c>
      <c r="P217" s="8">
        <f>IF(OR(A217="",C217=""),"",IFERROR(C217*IFERROR(INDEX(Ingredients!$D$5:$D$304,MATCH(A217,Ingredients!$A$5:$A$304,0)),""),""))</f>
        <v>0</v>
      </c>
      <c r="Q217" s="8">
        <f>IF(OR(E217&lt;&gt;"Fridge",J217=""),"",SUMPRODUCT(($E$5:$E$304="Fridge")*($J$5:$J$304&lt;J217))+SUMPRODUCT(($E$5:$E$304="Fridge")*($J$5:$J$304=J217)*(ROW($J$5:$J$304)&lt;ROW()))+1)</f>
        <v>0</v>
      </c>
      <c r="R217" s="8">
        <f>IF(OR(E217&lt;&gt;"Freezer",J217=""),"",SUMPRODUCT(($E$5:$E$304="Freezer")*($J$5:$J$304&lt;J217))+SUMPRODUCT(($E$5:$E$304="Freezer")*($J$5:$J$304=J217)*(ROW($J$5:$J$304)&lt;ROW()))+1)</f>
        <v>0</v>
      </c>
      <c r="S217" s="7"/>
      <c r="T217" s="27"/>
      <c r="U217" s="28"/>
      <c r="V217" s="27"/>
      <c r="W217" s="7"/>
      <c r="X217" s="26"/>
      <c r="Y217" s="8">
        <f>IF(A217="","",IF(K217="Expired","Bin it",IF(K217="Use soon","Cook it",IF(O217="Low","Running low","Keep"))))</f>
        <v>0</v>
      </c>
      <c r="Z217" s="25"/>
    </row>
    <row r="218" spans="1:26">
      <c r="A218" s="7"/>
      <c r="B218" s="8">
        <f>IF(A218="","",IFERROR(INDEX(Ingredients!$B$5:$B$304,MATCH(A218,Ingredients!$A$5:$A$304,0)),""))</f>
        <v>0</v>
      </c>
      <c r="C218" s="26"/>
      <c r="D218" s="27"/>
      <c r="E218" s="27"/>
      <c r="F218" s="30"/>
      <c r="G218" s="30"/>
      <c r="H218" s="8">
        <f>IF(A218="","",IFERROR(INDEX(Ingredients!$M$5:$M$304,MATCH(A218,Ingredients!$A$5:$A$304,0)),""))</f>
        <v>0</v>
      </c>
      <c r="I218" s="8">
        <f>IF(OR(A218="",H218=""),"",IF(G218&lt;&gt;"",G218+H218,IF(F218&lt;&gt;"",F218+H218,"")))</f>
        <v>0</v>
      </c>
      <c r="J218" s="8">
        <f>IF(OR(A218="",I218=""),"",I218-TODAY())</f>
        <v>0</v>
      </c>
      <c r="K218" s="8">
        <f>IF(A218="","",IF(J218="","No date",IF(J218&lt;0,"Expired",IF(J218&lt;=Expiry_Warning_Days,"Use soon","Fresh"))))</f>
        <v>0</v>
      </c>
      <c r="L218" s="8">
        <f>IF(A218="","",COUNTIFS('Recipe Ingredients'!$B$5:$B$1204,A218))</f>
        <v>0</v>
      </c>
      <c r="M218" s="8">
        <f>IF(A218="","",IFERROR(INDEX(Ingredients!$X$5:$X$304,MATCH(A218,Ingredients!$A$5:$A$304,0)),""))</f>
        <v>0</v>
      </c>
      <c r="N218" s="8">
        <f>IF(OR(A218="",M218=""),"",IF(M218&lt;1,MAX(0,1*IFERROR(IFERROR(INDEX(Ingredients!$U$5:$U$304,MATCH(A218,Ingredients!$A$5:$A$304,0)),""),0)-C218),0))</f>
        <v>0</v>
      </c>
      <c r="O218" s="8">
        <f>IF(A218="","",IF(M218="","",IF(M218&lt;1,"Low","OK")))</f>
        <v>0</v>
      </c>
      <c r="P218" s="8">
        <f>IF(OR(A218="",C218=""),"",IFERROR(C218*IFERROR(INDEX(Ingredients!$D$5:$D$304,MATCH(A218,Ingredients!$A$5:$A$304,0)),""),""))</f>
        <v>0</v>
      </c>
      <c r="Q218" s="8">
        <f>IF(OR(E218&lt;&gt;"Fridge",J218=""),"",SUMPRODUCT(($E$5:$E$304="Fridge")*($J$5:$J$304&lt;J218))+SUMPRODUCT(($E$5:$E$304="Fridge")*($J$5:$J$304=J218)*(ROW($J$5:$J$304)&lt;ROW()))+1)</f>
        <v>0</v>
      </c>
      <c r="R218" s="8">
        <f>IF(OR(E218&lt;&gt;"Freezer",J218=""),"",SUMPRODUCT(($E$5:$E$304="Freezer")*($J$5:$J$304&lt;J218))+SUMPRODUCT(($E$5:$E$304="Freezer")*($J$5:$J$304=J218)*(ROW($J$5:$J$304)&lt;ROW()))+1)</f>
        <v>0</v>
      </c>
      <c r="S218" s="7"/>
      <c r="T218" s="27"/>
      <c r="U218" s="28"/>
      <c r="V218" s="27"/>
      <c r="W218" s="7"/>
      <c r="X218" s="26"/>
      <c r="Y218" s="8">
        <f>IF(A218="","",IF(K218="Expired","Bin it",IF(K218="Use soon","Cook it",IF(O218="Low","Running low","Keep"))))</f>
        <v>0</v>
      </c>
      <c r="Z218" s="25"/>
    </row>
    <row r="219" spans="1:26">
      <c r="A219" s="7"/>
      <c r="B219" s="8">
        <f>IF(A219="","",IFERROR(INDEX(Ingredients!$B$5:$B$304,MATCH(A219,Ingredients!$A$5:$A$304,0)),""))</f>
        <v>0</v>
      </c>
      <c r="C219" s="26"/>
      <c r="D219" s="27"/>
      <c r="E219" s="27"/>
      <c r="F219" s="30"/>
      <c r="G219" s="30"/>
      <c r="H219" s="8">
        <f>IF(A219="","",IFERROR(INDEX(Ingredients!$M$5:$M$304,MATCH(A219,Ingredients!$A$5:$A$304,0)),""))</f>
        <v>0</v>
      </c>
      <c r="I219" s="8">
        <f>IF(OR(A219="",H219=""),"",IF(G219&lt;&gt;"",G219+H219,IF(F219&lt;&gt;"",F219+H219,"")))</f>
        <v>0</v>
      </c>
      <c r="J219" s="8">
        <f>IF(OR(A219="",I219=""),"",I219-TODAY())</f>
        <v>0</v>
      </c>
      <c r="K219" s="8">
        <f>IF(A219="","",IF(J219="","No date",IF(J219&lt;0,"Expired",IF(J219&lt;=Expiry_Warning_Days,"Use soon","Fresh"))))</f>
        <v>0</v>
      </c>
      <c r="L219" s="8">
        <f>IF(A219="","",COUNTIFS('Recipe Ingredients'!$B$5:$B$1204,A219))</f>
        <v>0</v>
      </c>
      <c r="M219" s="8">
        <f>IF(A219="","",IFERROR(INDEX(Ingredients!$X$5:$X$304,MATCH(A219,Ingredients!$A$5:$A$304,0)),""))</f>
        <v>0</v>
      </c>
      <c r="N219" s="8">
        <f>IF(OR(A219="",M219=""),"",IF(M219&lt;1,MAX(0,1*IFERROR(IFERROR(INDEX(Ingredients!$U$5:$U$304,MATCH(A219,Ingredients!$A$5:$A$304,0)),""),0)-C219),0))</f>
        <v>0</v>
      </c>
      <c r="O219" s="8">
        <f>IF(A219="","",IF(M219="","",IF(M219&lt;1,"Low","OK")))</f>
        <v>0</v>
      </c>
      <c r="P219" s="8">
        <f>IF(OR(A219="",C219=""),"",IFERROR(C219*IFERROR(INDEX(Ingredients!$D$5:$D$304,MATCH(A219,Ingredients!$A$5:$A$304,0)),""),""))</f>
        <v>0</v>
      </c>
      <c r="Q219" s="8">
        <f>IF(OR(E219&lt;&gt;"Fridge",J219=""),"",SUMPRODUCT(($E$5:$E$304="Fridge")*($J$5:$J$304&lt;J219))+SUMPRODUCT(($E$5:$E$304="Fridge")*($J$5:$J$304=J219)*(ROW($J$5:$J$304)&lt;ROW()))+1)</f>
        <v>0</v>
      </c>
      <c r="R219" s="8">
        <f>IF(OR(E219&lt;&gt;"Freezer",J219=""),"",SUMPRODUCT(($E$5:$E$304="Freezer")*($J$5:$J$304&lt;J219))+SUMPRODUCT(($E$5:$E$304="Freezer")*($J$5:$J$304=J219)*(ROW($J$5:$J$304)&lt;ROW()))+1)</f>
        <v>0</v>
      </c>
      <c r="S219" s="7"/>
      <c r="T219" s="27"/>
      <c r="U219" s="28"/>
      <c r="V219" s="27"/>
      <c r="W219" s="7"/>
      <c r="X219" s="26"/>
      <c r="Y219" s="8">
        <f>IF(A219="","",IF(K219="Expired","Bin it",IF(K219="Use soon","Cook it",IF(O219="Low","Running low","Keep"))))</f>
        <v>0</v>
      </c>
      <c r="Z219" s="25"/>
    </row>
    <row r="220" spans="1:26">
      <c r="A220" s="7"/>
      <c r="B220" s="8">
        <f>IF(A220="","",IFERROR(INDEX(Ingredients!$B$5:$B$304,MATCH(A220,Ingredients!$A$5:$A$304,0)),""))</f>
        <v>0</v>
      </c>
      <c r="C220" s="26"/>
      <c r="D220" s="27"/>
      <c r="E220" s="27"/>
      <c r="F220" s="30"/>
      <c r="G220" s="30"/>
      <c r="H220" s="8">
        <f>IF(A220="","",IFERROR(INDEX(Ingredients!$M$5:$M$304,MATCH(A220,Ingredients!$A$5:$A$304,0)),""))</f>
        <v>0</v>
      </c>
      <c r="I220" s="8">
        <f>IF(OR(A220="",H220=""),"",IF(G220&lt;&gt;"",G220+H220,IF(F220&lt;&gt;"",F220+H220,"")))</f>
        <v>0</v>
      </c>
      <c r="J220" s="8">
        <f>IF(OR(A220="",I220=""),"",I220-TODAY())</f>
        <v>0</v>
      </c>
      <c r="K220" s="8">
        <f>IF(A220="","",IF(J220="","No date",IF(J220&lt;0,"Expired",IF(J220&lt;=Expiry_Warning_Days,"Use soon","Fresh"))))</f>
        <v>0</v>
      </c>
      <c r="L220" s="8">
        <f>IF(A220="","",COUNTIFS('Recipe Ingredients'!$B$5:$B$1204,A220))</f>
        <v>0</v>
      </c>
      <c r="M220" s="8">
        <f>IF(A220="","",IFERROR(INDEX(Ingredients!$X$5:$X$304,MATCH(A220,Ingredients!$A$5:$A$304,0)),""))</f>
        <v>0</v>
      </c>
      <c r="N220" s="8">
        <f>IF(OR(A220="",M220=""),"",IF(M220&lt;1,MAX(0,1*IFERROR(IFERROR(INDEX(Ingredients!$U$5:$U$304,MATCH(A220,Ingredients!$A$5:$A$304,0)),""),0)-C220),0))</f>
        <v>0</v>
      </c>
      <c r="O220" s="8">
        <f>IF(A220="","",IF(M220="","",IF(M220&lt;1,"Low","OK")))</f>
        <v>0</v>
      </c>
      <c r="P220" s="8">
        <f>IF(OR(A220="",C220=""),"",IFERROR(C220*IFERROR(INDEX(Ingredients!$D$5:$D$304,MATCH(A220,Ingredients!$A$5:$A$304,0)),""),""))</f>
        <v>0</v>
      </c>
      <c r="Q220" s="8">
        <f>IF(OR(E220&lt;&gt;"Fridge",J220=""),"",SUMPRODUCT(($E$5:$E$304="Fridge")*($J$5:$J$304&lt;J220))+SUMPRODUCT(($E$5:$E$304="Fridge")*($J$5:$J$304=J220)*(ROW($J$5:$J$304)&lt;ROW()))+1)</f>
        <v>0</v>
      </c>
      <c r="R220" s="8">
        <f>IF(OR(E220&lt;&gt;"Freezer",J220=""),"",SUMPRODUCT(($E$5:$E$304="Freezer")*($J$5:$J$304&lt;J220))+SUMPRODUCT(($E$5:$E$304="Freezer")*($J$5:$J$304=J220)*(ROW($J$5:$J$304)&lt;ROW()))+1)</f>
        <v>0</v>
      </c>
      <c r="S220" s="7"/>
      <c r="T220" s="27"/>
      <c r="U220" s="28"/>
      <c r="V220" s="27"/>
      <c r="W220" s="7"/>
      <c r="X220" s="26"/>
      <c r="Y220" s="8">
        <f>IF(A220="","",IF(K220="Expired","Bin it",IF(K220="Use soon","Cook it",IF(O220="Low","Running low","Keep"))))</f>
        <v>0</v>
      </c>
      <c r="Z220" s="25"/>
    </row>
    <row r="221" spans="1:26">
      <c r="A221" s="7"/>
      <c r="B221" s="8">
        <f>IF(A221="","",IFERROR(INDEX(Ingredients!$B$5:$B$304,MATCH(A221,Ingredients!$A$5:$A$304,0)),""))</f>
        <v>0</v>
      </c>
      <c r="C221" s="26"/>
      <c r="D221" s="27"/>
      <c r="E221" s="27"/>
      <c r="F221" s="30"/>
      <c r="G221" s="30"/>
      <c r="H221" s="8">
        <f>IF(A221="","",IFERROR(INDEX(Ingredients!$M$5:$M$304,MATCH(A221,Ingredients!$A$5:$A$304,0)),""))</f>
        <v>0</v>
      </c>
      <c r="I221" s="8">
        <f>IF(OR(A221="",H221=""),"",IF(G221&lt;&gt;"",G221+H221,IF(F221&lt;&gt;"",F221+H221,"")))</f>
        <v>0</v>
      </c>
      <c r="J221" s="8">
        <f>IF(OR(A221="",I221=""),"",I221-TODAY())</f>
        <v>0</v>
      </c>
      <c r="K221" s="8">
        <f>IF(A221="","",IF(J221="","No date",IF(J221&lt;0,"Expired",IF(J221&lt;=Expiry_Warning_Days,"Use soon","Fresh"))))</f>
        <v>0</v>
      </c>
      <c r="L221" s="8">
        <f>IF(A221="","",COUNTIFS('Recipe Ingredients'!$B$5:$B$1204,A221))</f>
        <v>0</v>
      </c>
      <c r="M221" s="8">
        <f>IF(A221="","",IFERROR(INDEX(Ingredients!$X$5:$X$304,MATCH(A221,Ingredients!$A$5:$A$304,0)),""))</f>
        <v>0</v>
      </c>
      <c r="N221" s="8">
        <f>IF(OR(A221="",M221=""),"",IF(M221&lt;1,MAX(0,1*IFERROR(IFERROR(INDEX(Ingredients!$U$5:$U$304,MATCH(A221,Ingredients!$A$5:$A$304,0)),""),0)-C221),0))</f>
        <v>0</v>
      </c>
      <c r="O221" s="8">
        <f>IF(A221="","",IF(M221="","",IF(M221&lt;1,"Low","OK")))</f>
        <v>0</v>
      </c>
      <c r="P221" s="8">
        <f>IF(OR(A221="",C221=""),"",IFERROR(C221*IFERROR(INDEX(Ingredients!$D$5:$D$304,MATCH(A221,Ingredients!$A$5:$A$304,0)),""),""))</f>
        <v>0</v>
      </c>
      <c r="Q221" s="8">
        <f>IF(OR(E221&lt;&gt;"Fridge",J221=""),"",SUMPRODUCT(($E$5:$E$304="Fridge")*($J$5:$J$304&lt;J221))+SUMPRODUCT(($E$5:$E$304="Fridge")*($J$5:$J$304=J221)*(ROW($J$5:$J$304)&lt;ROW()))+1)</f>
        <v>0</v>
      </c>
      <c r="R221" s="8">
        <f>IF(OR(E221&lt;&gt;"Freezer",J221=""),"",SUMPRODUCT(($E$5:$E$304="Freezer")*($J$5:$J$304&lt;J221))+SUMPRODUCT(($E$5:$E$304="Freezer")*($J$5:$J$304=J221)*(ROW($J$5:$J$304)&lt;ROW()))+1)</f>
        <v>0</v>
      </c>
      <c r="S221" s="7"/>
      <c r="T221" s="27"/>
      <c r="U221" s="28"/>
      <c r="V221" s="27"/>
      <c r="W221" s="7"/>
      <c r="X221" s="26"/>
      <c r="Y221" s="8">
        <f>IF(A221="","",IF(K221="Expired","Bin it",IF(K221="Use soon","Cook it",IF(O221="Low","Running low","Keep"))))</f>
        <v>0</v>
      </c>
      <c r="Z221" s="25"/>
    </row>
    <row r="222" spans="1:26">
      <c r="A222" s="7"/>
      <c r="B222" s="8">
        <f>IF(A222="","",IFERROR(INDEX(Ingredients!$B$5:$B$304,MATCH(A222,Ingredients!$A$5:$A$304,0)),""))</f>
        <v>0</v>
      </c>
      <c r="C222" s="26"/>
      <c r="D222" s="27"/>
      <c r="E222" s="27"/>
      <c r="F222" s="30"/>
      <c r="G222" s="30"/>
      <c r="H222" s="8">
        <f>IF(A222="","",IFERROR(INDEX(Ingredients!$M$5:$M$304,MATCH(A222,Ingredients!$A$5:$A$304,0)),""))</f>
        <v>0</v>
      </c>
      <c r="I222" s="8">
        <f>IF(OR(A222="",H222=""),"",IF(G222&lt;&gt;"",G222+H222,IF(F222&lt;&gt;"",F222+H222,"")))</f>
        <v>0</v>
      </c>
      <c r="J222" s="8">
        <f>IF(OR(A222="",I222=""),"",I222-TODAY())</f>
        <v>0</v>
      </c>
      <c r="K222" s="8">
        <f>IF(A222="","",IF(J222="","No date",IF(J222&lt;0,"Expired",IF(J222&lt;=Expiry_Warning_Days,"Use soon","Fresh"))))</f>
        <v>0</v>
      </c>
      <c r="L222" s="8">
        <f>IF(A222="","",COUNTIFS('Recipe Ingredients'!$B$5:$B$1204,A222))</f>
        <v>0</v>
      </c>
      <c r="M222" s="8">
        <f>IF(A222="","",IFERROR(INDEX(Ingredients!$X$5:$X$304,MATCH(A222,Ingredients!$A$5:$A$304,0)),""))</f>
        <v>0</v>
      </c>
      <c r="N222" s="8">
        <f>IF(OR(A222="",M222=""),"",IF(M222&lt;1,MAX(0,1*IFERROR(IFERROR(INDEX(Ingredients!$U$5:$U$304,MATCH(A222,Ingredients!$A$5:$A$304,0)),""),0)-C222),0))</f>
        <v>0</v>
      </c>
      <c r="O222" s="8">
        <f>IF(A222="","",IF(M222="","",IF(M222&lt;1,"Low","OK")))</f>
        <v>0</v>
      </c>
      <c r="P222" s="8">
        <f>IF(OR(A222="",C222=""),"",IFERROR(C222*IFERROR(INDEX(Ingredients!$D$5:$D$304,MATCH(A222,Ingredients!$A$5:$A$304,0)),""),""))</f>
        <v>0</v>
      </c>
      <c r="Q222" s="8">
        <f>IF(OR(E222&lt;&gt;"Fridge",J222=""),"",SUMPRODUCT(($E$5:$E$304="Fridge")*($J$5:$J$304&lt;J222))+SUMPRODUCT(($E$5:$E$304="Fridge")*($J$5:$J$304=J222)*(ROW($J$5:$J$304)&lt;ROW()))+1)</f>
        <v>0</v>
      </c>
      <c r="R222" s="8">
        <f>IF(OR(E222&lt;&gt;"Freezer",J222=""),"",SUMPRODUCT(($E$5:$E$304="Freezer")*($J$5:$J$304&lt;J222))+SUMPRODUCT(($E$5:$E$304="Freezer")*($J$5:$J$304=J222)*(ROW($J$5:$J$304)&lt;ROW()))+1)</f>
        <v>0</v>
      </c>
      <c r="S222" s="7"/>
      <c r="T222" s="27"/>
      <c r="U222" s="28"/>
      <c r="V222" s="27"/>
      <c r="W222" s="7"/>
      <c r="X222" s="26"/>
      <c r="Y222" s="8">
        <f>IF(A222="","",IF(K222="Expired","Bin it",IF(K222="Use soon","Cook it",IF(O222="Low","Running low","Keep"))))</f>
        <v>0</v>
      </c>
      <c r="Z222" s="25"/>
    </row>
    <row r="223" spans="1:26">
      <c r="A223" s="7"/>
      <c r="B223" s="8">
        <f>IF(A223="","",IFERROR(INDEX(Ingredients!$B$5:$B$304,MATCH(A223,Ingredients!$A$5:$A$304,0)),""))</f>
        <v>0</v>
      </c>
      <c r="C223" s="26"/>
      <c r="D223" s="27"/>
      <c r="E223" s="27"/>
      <c r="F223" s="30"/>
      <c r="G223" s="30"/>
      <c r="H223" s="8">
        <f>IF(A223="","",IFERROR(INDEX(Ingredients!$M$5:$M$304,MATCH(A223,Ingredients!$A$5:$A$304,0)),""))</f>
        <v>0</v>
      </c>
      <c r="I223" s="8">
        <f>IF(OR(A223="",H223=""),"",IF(G223&lt;&gt;"",G223+H223,IF(F223&lt;&gt;"",F223+H223,"")))</f>
        <v>0</v>
      </c>
      <c r="J223" s="8">
        <f>IF(OR(A223="",I223=""),"",I223-TODAY())</f>
        <v>0</v>
      </c>
      <c r="K223" s="8">
        <f>IF(A223="","",IF(J223="","No date",IF(J223&lt;0,"Expired",IF(J223&lt;=Expiry_Warning_Days,"Use soon","Fresh"))))</f>
        <v>0</v>
      </c>
      <c r="L223" s="8">
        <f>IF(A223="","",COUNTIFS('Recipe Ingredients'!$B$5:$B$1204,A223))</f>
        <v>0</v>
      </c>
      <c r="M223" s="8">
        <f>IF(A223="","",IFERROR(INDEX(Ingredients!$X$5:$X$304,MATCH(A223,Ingredients!$A$5:$A$304,0)),""))</f>
        <v>0</v>
      </c>
      <c r="N223" s="8">
        <f>IF(OR(A223="",M223=""),"",IF(M223&lt;1,MAX(0,1*IFERROR(IFERROR(INDEX(Ingredients!$U$5:$U$304,MATCH(A223,Ingredients!$A$5:$A$304,0)),""),0)-C223),0))</f>
        <v>0</v>
      </c>
      <c r="O223" s="8">
        <f>IF(A223="","",IF(M223="","",IF(M223&lt;1,"Low","OK")))</f>
        <v>0</v>
      </c>
      <c r="P223" s="8">
        <f>IF(OR(A223="",C223=""),"",IFERROR(C223*IFERROR(INDEX(Ingredients!$D$5:$D$304,MATCH(A223,Ingredients!$A$5:$A$304,0)),""),""))</f>
        <v>0</v>
      </c>
      <c r="Q223" s="8">
        <f>IF(OR(E223&lt;&gt;"Fridge",J223=""),"",SUMPRODUCT(($E$5:$E$304="Fridge")*($J$5:$J$304&lt;J223))+SUMPRODUCT(($E$5:$E$304="Fridge")*($J$5:$J$304=J223)*(ROW($J$5:$J$304)&lt;ROW()))+1)</f>
        <v>0</v>
      </c>
      <c r="R223" s="8">
        <f>IF(OR(E223&lt;&gt;"Freezer",J223=""),"",SUMPRODUCT(($E$5:$E$304="Freezer")*($J$5:$J$304&lt;J223))+SUMPRODUCT(($E$5:$E$304="Freezer")*($J$5:$J$304=J223)*(ROW($J$5:$J$304)&lt;ROW()))+1)</f>
        <v>0</v>
      </c>
      <c r="S223" s="7"/>
      <c r="T223" s="27"/>
      <c r="U223" s="28"/>
      <c r="V223" s="27"/>
      <c r="W223" s="7"/>
      <c r="X223" s="26"/>
      <c r="Y223" s="8">
        <f>IF(A223="","",IF(K223="Expired","Bin it",IF(K223="Use soon","Cook it",IF(O223="Low","Running low","Keep"))))</f>
        <v>0</v>
      </c>
      <c r="Z223" s="25"/>
    </row>
    <row r="224" spans="1:26">
      <c r="A224" s="7"/>
      <c r="B224" s="8">
        <f>IF(A224="","",IFERROR(INDEX(Ingredients!$B$5:$B$304,MATCH(A224,Ingredients!$A$5:$A$304,0)),""))</f>
        <v>0</v>
      </c>
      <c r="C224" s="26"/>
      <c r="D224" s="27"/>
      <c r="E224" s="27"/>
      <c r="F224" s="30"/>
      <c r="G224" s="30"/>
      <c r="H224" s="8">
        <f>IF(A224="","",IFERROR(INDEX(Ingredients!$M$5:$M$304,MATCH(A224,Ingredients!$A$5:$A$304,0)),""))</f>
        <v>0</v>
      </c>
      <c r="I224" s="8">
        <f>IF(OR(A224="",H224=""),"",IF(G224&lt;&gt;"",G224+H224,IF(F224&lt;&gt;"",F224+H224,"")))</f>
        <v>0</v>
      </c>
      <c r="J224" s="8">
        <f>IF(OR(A224="",I224=""),"",I224-TODAY())</f>
        <v>0</v>
      </c>
      <c r="K224" s="8">
        <f>IF(A224="","",IF(J224="","No date",IF(J224&lt;0,"Expired",IF(J224&lt;=Expiry_Warning_Days,"Use soon","Fresh"))))</f>
        <v>0</v>
      </c>
      <c r="L224" s="8">
        <f>IF(A224="","",COUNTIFS('Recipe Ingredients'!$B$5:$B$1204,A224))</f>
        <v>0</v>
      </c>
      <c r="M224" s="8">
        <f>IF(A224="","",IFERROR(INDEX(Ingredients!$X$5:$X$304,MATCH(A224,Ingredients!$A$5:$A$304,0)),""))</f>
        <v>0</v>
      </c>
      <c r="N224" s="8">
        <f>IF(OR(A224="",M224=""),"",IF(M224&lt;1,MAX(0,1*IFERROR(IFERROR(INDEX(Ingredients!$U$5:$U$304,MATCH(A224,Ingredients!$A$5:$A$304,0)),""),0)-C224),0))</f>
        <v>0</v>
      </c>
      <c r="O224" s="8">
        <f>IF(A224="","",IF(M224="","",IF(M224&lt;1,"Low","OK")))</f>
        <v>0</v>
      </c>
      <c r="P224" s="8">
        <f>IF(OR(A224="",C224=""),"",IFERROR(C224*IFERROR(INDEX(Ingredients!$D$5:$D$304,MATCH(A224,Ingredients!$A$5:$A$304,0)),""),""))</f>
        <v>0</v>
      </c>
      <c r="Q224" s="8">
        <f>IF(OR(E224&lt;&gt;"Fridge",J224=""),"",SUMPRODUCT(($E$5:$E$304="Fridge")*($J$5:$J$304&lt;J224))+SUMPRODUCT(($E$5:$E$304="Fridge")*($J$5:$J$304=J224)*(ROW($J$5:$J$304)&lt;ROW()))+1)</f>
        <v>0</v>
      </c>
      <c r="R224" s="8">
        <f>IF(OR(E224&lt;&gt;"Freezer",J224=""),"",SUMPRODUCT(($E$5:$E$304="Freezer")*($J$5:$J$304&lt;J224))+SUMPRODUCT(($E$5:$E$304="Freezer")*($J$5:$J$304=J224)*(ROW($J$5:$J$304)&lt;ROW()))+1)</f>
        <v>0</v>
      </c>
      <c r="S224" s="7"/>
      <c r="T224" s="27"/>
      <c r="U224" s="28"/>
      <c r="V224" s="27"/>
      <c r="W224" s="7"/>
      <c r="X224" s="26"/>
      <c r="Y224" s="8">
        <f>IF(A224="","",IF(K224="Expired","Bin it",IF(K224="Use soon","Cook it",IF(O224="Low","Running low","Keep"))))</f>
        <v>0</v>
      </c>
      <c r="Z224" s="25"/>
    </row>
    <row r="225" spans="1:26">
      <c r="A225" s="7"/>
      <c r="B225" s="8">
        <f>IF(A225="","",IFERROR(INDEX(Ingredients!$B$5:$B$304,MATCH(A225,Ingredients!$A$5:$A$304,0)),""))</f>
        <v>0</v>
      </c>
      <c r="C225" s="26"/>
      <c r="D225" s="27"/>
      <c r="E225" s="27"/>
      <c r="F225" s="30"/>
      <c r="G225" s="30"/>
      <c r="H225" s="8">
        <f>IF(A225="","",IFERROR(INDEX(Ingredients!$M$5:$M$304,MATCH(A225,Ingredients!$A$5:$A$304,0)),""))</f>
        <v>0</v>
      </c>
      <c r="I225" s="8">
        <f>IF(OR(A225="",H225=""),"",IF(G225&lt;&gt;"",G225+H225,IF(F225&lt;&gt;"",F225+H225,"")))</f>
        <v>0</v>
      </c>
      <c r="J225" s="8">
        <f>IF(OR(A225="",I225=""),"",I225-TODAY())</f>
        <v>0</v>
      </c>
      <c r="K225" s="8">
        <f>IF(A225="","",IF(J225="","No date",IF(J225&lt;0,"Expired",IF(J225&lt;=Expiry_Warning_Days,"Use soon","Fresh"))))</f>
        <v>0</v>
      </c>
      <c r="L225" s="8">
        <f>IF(A225="","",COUNTIFS('Recipe Ingredients'!$B$5:$B$1204,A225))</f>
        <v>0</v>
      </c>
      <c r="M225" s="8">
        <f>IF(A225="","",IFERROR(INDEX(Ingredients!$X$5:$X$304,MATCH(A225,Ingredients!$A$5:$A$304,0)),""))</f>
        <v>0</v>
      </c>
      <c r="N225" s="8">
        <f>IF(OR(A225="",M225=""),"",IF(M225&lt;1,MAX(0,1*IFERROR(IFERROR(INDEX(Ingredients!$U$5:$U$304,MATCH(A225,Ingredients!$A$5:$A$304,0)),""),0)-C225),0))</f>
        <v>0</v>
      </c>
      <c r="O225" s="8">
        <f>IF(A225="","",IF(M225="","",IF(M225&lt;1,"Low","OK")))</f>
        <v>0</v>
      </c>
      <c r="P225" s="8">
        <f>IF(OR(A225="",C225=""),"",IFERROR(C225*IFERROR(INDEX(Ingredients!$D$5:$D$304,MATCH(A225,Ingredients!$A$5:$A$304,0)),""),""))</f>
        <v>0</v>
      </c>
      <c r="Q225" s="8">
        <f>IF(OR(E225&lt;&gt;"Fridge",J225=""),"",SUMPRODUCT(($E$5:$E$304="Fridge")*($J$5:$J$304&lt;J225))+SUMPRODUCT(($E$5:$E$304="Fridge")*($J$5:$J$304=J225)*(ROW($J$5:$J$304)&lt;ROW()))+1)</f>
        <v>0</v>
      </c>
      <c r="R225" s="8">
        <f>IF(OR(E225&lt;&gt;"Freezer",J225=""),"",SUMPRODUCT(($E$5:$E$304="Freezer")*($J$5:$J$304&lt;J225))+SUMPRODUCT(($E$5:$E$304="Freezer")*($J$5:$J$304=J225)*(ROW($J$5:$J$304)&lt;ROW()))+1)</f>
        <v>0</v>
      </c>
      <c r="S225" s="7"/>
      <c r="T225" s="27"/>
      <c r="U225" s="28"/>
      <c r="V225" s="27"/>
      <c r="W225" s="7"/>
      <c r="X225" s="26"/>
      <c r="Y225" s="8">
        <f>IF(A225="","",IF(K225="Expired","Bin it",IF(K225="Use soon","Cook it",IF(O225="Low","Running low","Keep"))))</f>
        <v>0</v>
      </c>
      <c r="Z225" s="25"/>
    </row>
    <row r="226" spans="1:26">
      <c r="A226" s="7"/>
      <c r="B226" s="8">
        <f>IF(A226="","",IFERROR(INDEX(Ingredients!$B$5:$B$304,MATCH(A226,Ingredients!$A$5:$A$304,0)),""))</f>
        <v>0</v>
      </c>
      <c r="C226" s="26"/>
      <c r="D226" s="27"/>
      <c r="E226" s="27"/>
      <c r="F226" s="30"/>
      <c r="G226" s="30"/>
      <c r="H226" s="8">
        <f>IF(A226="","",IFERROR(INDEX(Ingredients!$M$5:$M$304,MATCH(A226,Ingredients!$A$5:$A$304,0)),""))</f>
        <v>0</v>
      </c>
      <c r="I226" s="8">
        <f>IF(OR(A226="",H226=""),"",IF(G226&lt;&gt;"",G226+H226,IF(F226&lt;&gt;"",F226+H226,"")))</f>
        <v>0</v>
      </c>
      <c r="J226" s="8">
        <f>IF(OR(A226="",I226=""),"",I226-TODAY())</f>
        <v>0</v>
      </c>
      <c r="K226" s="8">
        <f>IF(A226="","",IF(J226="","No date",IF(J226&lt;0,"Expired",IF(J226&lt;=Expiry_Warning_Days,"Use soon","Fresh"))))</f>
        <v>0</v>
      </c>
      <c r="L226" s="8">
        <f>IF(A226="","",COUNTIFS('Recipe Ingredients'!$B$5:$B$1204,A226))</f>
        <v>0</v>
      </c>
      <c r="M226" s="8">
        <f>IF(A226="","",IFERROR(INDEX(Ingredients!$X$5:$X$304,MATCH(A226,Ingredients!$A$5:$A$304,0)),""))</f>
        <v>0</v>
      </c>
      <c r="N226" s="8">
        <f>IF(OR(A226="",M226=""),"",IF(M226&lt;1,MAX(0,1*IFERROR(IFERROR(INDEX(Ingredients!$U$5:$U$304,MATCH(A226,Ingredients!$A$5:$A$304,0)),""),0)-C226),0))</f>
        <v>0</v>
      </c>
      <c r="O226" s="8">
        <f>IF(A226="","",IF(M226="","",IF(M226&lt;1,"Low","OK")))</f>
        <v>0</v>
      </c>
      <c r="P226" s="8">
        <f>IF(OR(A226="",C226=""),"",IFERROR(C226*IFERROR(INDEX(Ingredients!$D$5:$D$304,MATCH(A226,Ingredients!$A$5:$A$304,0)),""),""))</f>
        <v>0</v>
      </c>
      <c r="Q226" s="8">
        <f>IF(OR(E226&lt;&gt;"Fridge",J226=""),"",SUMPRODUCT(($E$5:$E$304="Fridge")*($J$5:$J$304&lt;J226))+SUMPRODUCT(($E$5:$E$304="Fridge")*($J$5:$J$304=J226)*(ROW($J$5:$J$304)&lt;ROW()))+1)</f>
        <v>0</v>
      </c>
      <c r="R226" s="8">
        <f>IF(OR(E226&lt;&gt;"Freezer",J226=""),"",SUMPRODUCT(($E$5:$E$304="Freezer")*($J$5:$J$304&lt;J226))+SUMPRODUCT(($E$5:$E$304="Freezer")*($J$5:$J$304=J226)*(ROW($J$5:$J$304)&lt;ROW()))+1)</f>
        <v>0</v>
      </c>
      <c r="S226" s="7"/>
      <c r="T226" s="27"/>
      <c r="U226" s="28"/>
      <c r="V226" s="27"/>
      <c r="W226" s="7"/>
      <c r="X226" s="26"/>
      <c r="Y226" s="8">
        <f>IF(A226="","",IF(K226="Expired","Bin it",IF(K226="Use soon","Cook it",IF(O226="Low","Running low","Keep"))))</f>
        <v>0</v>
      </c>
      <c r="Z226" s="25"/>
    </row>
    <row r="227" spans="1:26">
      <c r="A227" s="7"/>
      <c r="B227" s="8">
        <f>IF(A227="","",IFERROR(INDEX(Ingredients!$B$5:$B$304,MATCH(A227,Ingredients!$A$5:$A$304,0)),""))</f>
        <v>0</v>
      </c>
      <c r="C227" s="26"/>
      <c r="D227" s="27"/>
      <c r="E227" s="27"/>
      <c r="F227" s="30"/>
      <c r="G227" s="30"/>
      <c r="H227" s="8">
        <f>IF(A227="","",IFERROR(INDEX(Ingredients!$M$5:$M$304,MATCH(A227,Ingredients!$A$5:$A$304,0)),""))</f>
        <v>0</v>
      </c>
      <c r="I227" s="8">
        <f>IF(OR(A227="",H227=""),"",IF(G227&lt;&gt;"",G227+H227,IF(F227&lt;&gt;"",F227+H227,"")))</f>
        <v>0</v>
      </c>
      <c r="J227" s="8">
        <f>IF(OR(A227="",I227=""),"",I227-TODAY())</f>
        <v>0</v>
      </c>
      <c r="K227" s="8">
        <f>IF(A227="","",IF(J227="","No date",IF(J227&lt;0,"Expired",IF(J227&lt;=Expiry_Warning_Days,"Use soon","Fresh"))))</f>
        <v>0</v>
      </c>
      <c r="L227" s="8">
        <f>IF(A227="","",COUNTIFS('Recipe Ingredients'!$B$5:$B$1204,A227))</f>
        <v>0</v>
      </c>
      <c r="M227" s="8">
        <f>IF(A227="","",IFERROR(INDEX(Ingredients!$X$5:$X$304,MATCH(A227,Ingredients!$A$5:$A$304,0)),""))</f>
        <v>0</v>
      </c>
      <c r="N227" s="8">
        <f>IF(OR(A227="",M227=""),"",IF(M227&lt;1,MAX(0,1*IFERROR(IFERROR(INDEX(Ingredients!$U$5:$U$304,MATCH(A227,Ingredients!$A$5:$A$304,0)),""),0)-C227),0))</f>
        <v>0</v>
      </c>
      <c r="O227" s="8">
        <f>IF(A227="","",IF(M227="","",IF(M227&lt;1,"Low","OK")))</f>
        <v>0</v>
      </c>
      <c r="P227" s="8">
        <f>IF(OR(A227="",C227=""),"",IFERROR(C227*IFERROR(INDEX(Ingredients!$D$5:$D$304,MATCH(A227,Ingredients!$A$5:$A$304,0)),""),""))</f>
        <v>0</v>
      </c>
      <c r="Q227" s="8">
        <f>IF(OR(E227&lt;&gt;"Fridge",J227=""),"",SUMPRODUCT(($E$5:$E$304="Fridge")*($J$5:$J$304&lt;J227))+SUMPRODUCT(($E$5:$E$304="Fridge")*($J$5:$J$304=J227)*(ROW($J$5:$J$304)&lt;ROW()))+1)</f>
        <v>0</v>
      </c>
      <c r="R227" s="8">
        <f>IF(OR(E227&lt;&gt;"Freezer",J227=""),"",SUMPRODUCT(($E$5:$E$304="Freezer")*($J$5:$J$304&lt;J227))+SUMPRODUCT(($E$5:$E$304="Freezer")*($J$5:$J$304=J227)*(ROW($J$5:$J$304)&lt;ROW()))+1)</f>
        <v>0</v>
      </c>
      <c r="S227" s="7"/>
      <c r="T227" s="27"/>
      <c r="U227" s="28"/>
      <c r="V227" s="27"/>
      <c r="W227" s="7"/>
      <c r="X227" s="26"/>
      <c r="Y227" s="8">
        <f>IF(A227="","",IF(K227="Expired","Bin it",IF(K227="Use soon","Cook it",IF(O227="Low","Running low","Keep"))))</f>
        <v>0</v>
      </c>
      <c r="Z227" s="25"/>
    </row>
    <row r="228" spans="1:26">
      <c r="A228" s="7"/>
      <c r="B228" s="8">
        <f>IF(A228="","",IFERROR(INDEX(Ingredients!$B$5:$B$304,MATCH(A228,Ingredients!$A$5:$A$304,0)),""))</f>
        <v>0</v>
      </c>
      <c r="C228" s="26"/>
      <c r="D228" s="27"/>
      <c r="E228" s="27"/>
      <c r="F228" s="30"/>
      <c r="G228" s="30"/>
      <c r="H228" s="8">
        <f>IF(A228="","",IFERROR(INDEX(Ingredients!$M$5:$M$304,MATCH(A228,Ingredients!$A$5:$A$304,0)),""))</f>
        <v>0</v>
      </c>
      <c r="I228" s="8">
        <f>IF(OR(A228="",H228=""),"",IF(G228&lt;&gt;"",G228+H228,IF(F228&lt;&gt;"",F228+H228,"")))</f>
        <v>0</v>
      </c>
      <c r="J228" s="8">
        <f>IF(OR(A228="",I228=""),"",I228-TODAY())</f>
        <v>0</v>
      </c>
      <c r="K228" s="8">
        <f>IF(A228="","",IF(J228="","No date",IF(J228&lt;0,"Expired",IF(J228&lt;=Expiry_Warning_Days,"Use soon","Fresh"))))</f>
        <v>0</v>
      </c>
      <c r="L228" s="8">
        <f>IF(A228="","",COUNTIFS('Recipe Ingredients'!$B$5:$B$1204,A228))</f>
        <v>0</v>
      </c>
      <c r="M228" s="8">
        <f>IF(A228="","",IFERROR(INDEX(Ingredients!$X$5:$X$304,MATCH(A228,Ingredients!$A$5:$A$304,0)),""))</f>
        <v>0</v>
      </c>
      <c r="N228" s="8">
        <f>IF(OR(A228="",M228=""),"",IF(M228&lt;1,MAX(0,1*IFERROR(IFERROR(INDEX(Ingredients!$U$5:$U$304,MATCH(A228,Ingredients!$A$5:$A$304,0)),""),0)-C228),0))</f>
        <v>0</v>
      </c>
      <c r="O228" s="8">
        <f>IF(A228="","",IF(M228="","",IF(M228&lt;1,"Low","OK")))</f>
        <v>0</v>
      </c>
      <c r="P228" s="8">
        <f>IF(OR(A228="",C228=""),"",IFERROR(C228*IFERROR(INDEX(Ingredients!$D$5:$D$304,MATCH(A228,Ingredients!$A$5:$A$304,0)),""),""))</f>
        <v>0</v>
      </c>
      <c r="Q228" s="8">
        <f>IF(OR(E228&lt;&gt;"Fridge",J228=""),"",SUMPRODUCT(($E$5:$E$304="Fridge")*($J$5:$J$304&lt;J228))+SUMPRODUCT(($E$5:$E$304="Fridge")*($J$5:$J$304=J228)*(ROW($J$5:$J$304)&lt;ROW()))+1)</f>
        <v>0</v>
      </c>
      <c r="R228" s="8">
        <f>IF(OR(E228&lt;&gt;"Freezer",J228=""),"",SUMPRODUCT(($E$5:$E$304="Freezer")*($J$5:$J$304&lt;J228))+SUMPRODUCT(($E$5:$E$304="Freezer")*($J$5:$J$304=J228)*(ROW($J$5:$J$304)&lt;ROW()))+1)</f>
        <v>0</v>
      </c>
      <c r="S228" s="7"/>
      <c r="T228" s="27"/>
      <c r="U228" s="28"/>
      <c r="V228" s="27"/>
      <c r="W228" s="7"/>
      <c r="X228" s="26"/>
      <c r="Y228" s="8">
        <f>IF(A228="","",IF(K228="Expired","Bin it",IF(K228="Use soon","Cook it",IF(O228="Low","Running low","Keep"))))</f>
        <v>0</v>
      </c>
      <c r="Z228" s="25"/>
    </row>
    <row r="229" spans="1:26">
      <c r="A229" s="7"/>
      <c r="B229" s="8">
        <f>IF(A229="","",IFERROR(INDEX(Ingredients!$B$5:$B$304,MATCH(A229,Ingredients!$A$5:$A$304,0)),""))</f>
        <v>0</v>
      </c>
      <c r="C229" s="26"/>
      <c r="D229" s="27"/>
      <c r="E229" s="27"/>
      <c r="F229" s="30"/>
      <c r="G229" s="30"/>
      <c r="H229" s="8">
        <f>IF(A229="","",IFERROR(INDEX(Ingredients!$M$5:$M$304,MATCH(A229,Ingredients!$A$5:$A$304,0)),""))</f>
        <v>0</v>
      </c>
      <c r="I229" s="8">
        <f>IF(OR(A229="",H229=""),"",IF(G229&lt;&gt;"",G229+H229,IF(F229&lt;&gt;"",F229+H229,"")))</f>
        <v>0</v>
      </c>
      <c r="J229" s="8">
        <f>IF(OR(A229="",I229=""),"",I229-TODAY())</f>
        <v>0</v>
      </c>
      <c r="K229" s="8">
        <f>IF(A229="","",IF(J229="","No date",IF(J229&lt;0,"Expired",IF(J229&lt;=Expiry_Warning_Days,"Use soon","Fresh"))))</f>
        <v>0</v>
      </c>
      <c r="L229" s="8">
        <f>IF(A229="","",COUNTIFS('Recipe Ingredients'!$B$5:$B$1204,A229))</f>
        <v>0</v>
      </c>
      <c r="M229" s="8">
        <f>IF(A229="","",IFERROR(INDEX(Ingredients!$X$5:$X$304,MATCH(A229,Ingredients!$A$5:$A$304,0)),""))</f>
        <v>0</v>
      </c>
      <c r="N229" s="8">
        <f>IF(OR(A229="",M229=""),"",IF(M229&lt;1,MAX(0,1*IFERROR(IFERROR(INDEX(Ingredients!$U$5:$U$304,MATCH(A229,Ingredients!$A$5:$A$304,0)),""),0)-C229),0))</f>
        <v>0</v>
      </c>
      <c r="O229" s="8">
        <f>IF(A229="","",IF(M229="","",IF(M229&lt;1,"Low","OK")))</f>
        <v>0</v>
      </c>
      <c r="P229" s="8">
        <f>IF(OR(A229="",C229=""),"",IFERROR(C229*IFERROR(INDEX(Ingredients!$D$5:$D$304,MATCH(A229,Ingredients!$A$5:$A$304,0)),""),""))</f>
        <v>0</v>
      </c>
      <c r="Q229" s="8">
        <f>IF(OR(E229&lt;&gt;"Fridge",J229=""),"",SUMPRODUCT(($E$5:$E$304="Fridge")*($J$5:$J$304&lt;J229))+SUMPRODUCT(($E$5:$E$304="Fridge")*($J$5:$J$304=J229)*(ROW($J$5:$J$304)&lt;ROW()))+1)</f>
        <v>0</v>
      </c>
      <c r="R229" s="8">
        <f>IF(OR(E229&lt;&gt;"Freezer",J229=""),"",SUMPRODUCT(($E$5:$E$304="Freezer")*($J$5:$J$304&lt;J229))+SUMPRODUCT(($E$5:$E$304="Freezer")*($J$5:$J$304=J229)*(ROW($J$5:$J$304)&lt;ROW()))+1)</f>
        <v>0</v>
      </c>
      <c r="S229" s="7"/>
      <c r="T229" s="27"/>
      <c r="U229" s="28"/>
      <c r="V229" s="27"/>
      <c r="W229" s="7"/>
      <c r="X229" s="26"/>
      <c r="Y229" s="8">
        <f>IF(A229="","",IF(K229="Expired","Bin it",IF(K229="Use soon","Cook it",IF(O229="Low","Running low","Keep"))))</f>
        <v>0</v>
      </c>
      <c r="Z229" s="25"/>
    </row>
    <row r="230" spans="1:26">
      <c r="A230" s="7"/>
      <c r="B230" s="8">
        <f>IF(A230="","",IFERROR(INDEX(Ingredients!$B$5:$B$304,MATCH(A230,Ingredients!$A$5:$A$304,0)),""))</f>
        <v>0</v>
      </c>
      <c r="C230" s="26"/>
      <c r="D230" s="27"/>
      <c r="E230" s="27"/>
      <c r="F230" s="30"/>
      <c r="G230" s="30"/>
      <c r="H230" s="8">
        <f>IF(A230="","",IFERROR(INDEX(Ingredients!$M$5:$M$304,MATCH(A230,Ingredients!$A$5:$A$304,0)),""))</f>
        <v>0</v>
      </c>
      <c r="I230" s="8">
        <f>IF(OR(A230="",H230=""),"",IF(G230&lt;&gt;"",G230+H230,IF(F230&lt;&gt;"",F230+H230,"")))</f>
        <v>0</v>
      </c>
      <c r="J230" s="8">
        <f>IF(OR(A230="",I230=""),"",I230-TODAY())</f>
        <v>0</v>
      </c>
      <c r="K230" s="8">
        <f>IF(A230="","",IF(J230="","No date",IF(J230&lt;0,"Expired",IF(J230&lt;=Expiry_Warning_Days,"Use soon","Fresh"))))</f>
        <v>0</v>
      </c>
      <c r="L230" s="8">
        <f>IF(A230="","",COUNTIFS('Recipe Ingredients'!$B$5:$B$1204,A230))</f>
        <v>0</v>
      </c>
      <c r="M230" s="8">
        <f>IF(A230="","",IFERROR(INDEX(Ingredients!$X$5:$X$304,MATCH(A230,Ingredients!$A$5:$A$304,0)),""))</f>
        <v>0</v>
      </c>
      <c r="N230" s="8">
        <f>IF(OR(A230="",M230=""),"",IF(M230&lt;1,MAX(0,1*IFERROR(IFERROR(INDEX(Ingredients!$U$5:$U$304,MATCH(A230,Ingredients!$A$5:$A$304,0)),""),0)-C230),0))</f>
        <v>0</v>
      </c>
      <c r="O230" s="8">
        <f>IF(A230="","",IF(M230="","",IF(M230&lt;1,"Low","OK")))</f>
        <v>0</v>
      </c>
      <c r="P230" s="8">
        <f>IF(OR(A230="",C230=""),"",IFERROR(C230*IFERROR(INDEX(Ingredients!$D$5:$D$304,MATCH(A230,Ingredients!$A$5:$A$304,0)),""),""))</f>
        <v>0</v>
      </c>
      <c r="Q230" s="8">
        <f>IF(OR(E230&lt;&gt;"Fridge",J230=""),"",SUMPRODUCT(($E$5:$E$304="Fridge")*($J$5:$J$304&lt;J230))+SUMPRODUCT(($E$5:$E$304="Fridge")*($J$5:$J$304=J230)*(ROW($J$5:$J$304)&lt;ROW()))+1)</f>
        <v>0</v>
      </c>
      <c r="R230" s="8">
        <f>IF(OR(E230&lt;&gt;"Freezer",J230=""),"",SUMPRODUCT(($E$5:$E$304="Freezer")*($J$5:$J$304&lt;J230))+SUMPRODUCT(($E$5:$E$304="Freezer")*($J$5:$J$304=J230)*(ROW($J$5:$J$304)&lt;ROW()))+1)</f>
        <v>0</v>
      </c>
      <c r="S230" s="7"/>
      <c r="T230" s="27"/>
      <c r="U230" s="28"/>
      <c r="V230" s="27"/>
      <c r="W230" s="7"/>
      <c r="X230" s="26"/>
      <c r="Y230" s="8">
        <f>IF(A230="","",IF(K230="Expired","Bin it",IF(K230="Use soon","Cook it",IF(O230="Low","Running low","Keep"))))</f>
        <v>0</v>
      </c>
      <c r="Z230" s="25"/>
    </row>
    <row r="231" spans="1:26">
      <c r="A231" s="7"/>
      <c r="B231" s="8">
        <f>IF(A231="","",IFERROR(INDEX(Ingredients!$B$5:$B$304,MATCH(A231,Ingredients!$A$5:$A$304,0)),""))</f>
        <v>0</v>
      </c>
      <c r="C231" s="26"/>
      <c r="D231" s="27"/>
      <c r="E231" s="27"/>
      <c r="F231" s="30"/>
      <c r="G231" s="30"/>
      <c r="H231" s="8">
        <f>IF(A231="","",IFERROR(INDEX(Ingredients!$M$5:$M$304,MATCH(A231,Ingredients!$A$5:$A$304,0)),""))</f>
        <v>0</v>
      </c>
      <c r="I231" s="8">
        <f>IF(OR(A231="",H231=""),"",IF(G231&lt;&gt;"",G231+H231,IF(F231&lt;&gt;"",F231+H231,"")))</f>
        <v>0</v>
      </c>
      <c r="J231" s="8">
        <f>IF(OR(A231="",I231=""),"",I231-TODAY())</f>
        <v>0</v>
      </c>
      <c r="K231" s="8">
        <f>IF(A231="","",IF(J231="","No date",IF(J231&lt;0,"Expired",IF(J231&lt;=Expiry_Warning_Days,"Use soon","Fresh"))))</f>
        <v>0</v>
      </c>
      <c r="L231" s="8">
        <f>IF(A231="","",COUNTIFS('Recipe Ingredients'!$B$5:$B$1204,A231))</f>
        <v>0</v>
      </c>
      <c r="M231" s="8">
        <f>IF(A231="","",IFERROR(INDEX(Ingredients!$X$5:$X$304,MATCH(A231,Ingredients!$A$5:$A$304,0)),""))</f>
        <v>0</v>
      </c>
      <c r="N231" s="8">
        <f>IF(OR(A231="",M231=""),"",IF(M231&lt;1,MAX(0,1*IFERROR(IFERROR(INDEX(Ingredients!$U$5:$U$304,MATCH(A231,Ingredients!$A$5:$A$304,0)),""),0)-C231),0))</f>
        <v>0</v>
      </c>
      <c r="O231" s="8">
        <f>IF(A231="","",IF(M231="","",IF(M231&lt;1,"Low","OK")))</f>
        <v>0</v>
      </c>
      <c r="P231" s="8">
        <f>IF(OR(A231="",C231=""),"",IFERROR(C231*IFERROR(INDEX(Ingredients!$D$5:$D$304,MATCH(A231,Ingredients!$A$5:$A$304,0)),""),""))</f>
        <v>0</v>
      </c>
      <c r="Q231" s="8">
        <f>IF(OR(E231&lt;&gt;"Fridge",J231=""),"",SUMPRODUCT(($E$5:$E$304="Fridge")*($J$5:$J$304&lt;J231))+SUMPRODUCT(($E$5:$E$304="Fridge")*($J$5:$J$304=J231)*(ROW($J$5:$J$304)&lt;ROW()))+1)</f>
        <v>0</v>
      </c>
      <c r="R231" s="8">
        <f>IF(OR(E231&lt;&gt;"Freezer",J231=""),"",SUMPRODUCT(($E$5:$E$304="Freezer")*($J$5:$J$304&lt;J231))+SUMPRODUCT(($E$5:$E$304="Freezer")*($J$5:$J$304=J231)*(ROW($J$5:$J$304)&lt;ROW()))+1)</f>
        <v>0</v>
      </c>
      <c r="S231" s="7"/>
      <c r="T231" s="27"/>
      <c r="U231" s="28"/>
      <c r="V231" s="27"/>
      <c r="W231" s="7"/>
      <c r="X231" s="26"/>
      <c r="Y231" s="8">
        <f>IF(A231="","",IF(K231="Expired","Bin it",IF(K231="Use soon","Cook it",IF(O231="Low","Running low","Keep"))))</f>
        <v>0</v>
      </c>
      <c r="Z231" s="25"/>
    </row>
    <row r="232" spans="1:26">
      <c r="A232" s="7"/>
      <c r="B232" s="8">
        <f>IF(A232="","",IFERROR(INDEX(Ingredients!$B$5:$B$304,MATCH(A232,Ingredients!$A$5:$A$304,0)),""))</f>
        <v>0</v>
      </c>
      <c r="C232" s="26"/>
      <c r="D232" s="27"/>
      <c r="E232" s="27"/>
      <c r="F232" s="30"/>
      <c r="G232" s="30"/>
      <c r="H232" s="8">
        <f>IF(A232="","",IFERROR(INDEX(Ingredients!$M$5:$M$304,MATCH(A232,Ingredients!$A$5:$A$304,0)),""))</f>
        <v>0</v>
      </c>
      <c r="I232" s="8">
        <f>IF(OR(A232="",H232=""),"",IF(G232&lt;&gt;"",G232+H232,IF(F232&lt;&gt;"",F232+H232,"")))</f>
        <v>0</v>
      </c>
      <c r="J232" s="8">
        <f>IF(OR(A232="",I232=""),"",I232-TODAY())</f>
        <v>0</v>
      </c>
      <c r="K232" s="8">
        <f>IF(A232="","",IF(J232="","No date",IF(J232&lt;0,"Expired",IF(J232&lt;=Expiry_Warning_Days,"Use soon","Fresh"))))</f>
        <v>0</v>
      </c>
      <c r="L232" s="8">
        <f>IF(A232="","",COUNTIFS('Recipe Ingredients'!$B$5:$B$1204,A232))</f>
        <v>0</v>
      </c>
      <c r="M232" s="8">
        <f>IF(A232="","",IFERROR(INDEX(Ingredients!$X$5:$X$304,MATCH(A232,Ingredients!$A$5:$A$304,0)),""))</f>
        <v>0</v>
      </c>
      <c r="N232" s="8">
        <f>IF(OR(A232="",M232=""),"",IF(M232&lt;1,MAX(0,1*IFERROR(IFERROR(INDEX(Ingredients!$U$5:$U$304,MATCH(A232,Ingredients!$A$5:$A$304,0)),""),0)-C232),0))</f>
        <v>0</v>
      </c>
      <c r="O232" s="8">
        <f>IF(A232="","",IF(M232="","",IF(M232&lt;1,"Low","OK")))</f>
        <v>0</v>
      </c>
      <c r="P232" s="8">
        <f>IF(OR(A232="",C232=""),"",IFERROR(C232*IFERROR(INDEX(Ingredients!$D$5:$D$304,MATCH(A232,Ingredients!$A$5:$A$304,0)),""),""))</f>
        <v>0</v>
      </c>
      <c r="Q232" s="8">
        <f>IF(OR(E232&lt;&gt;"Fridge",J232=""),"",SUMPRODUCT(($E$5:$E$304="Fridge")*($J$5:$J$304&lt;J232))+SUMPRODUCT(($E$5:$E$304="Fridge")*($J$5:$J$304=J232)*(ROW($J$5:$J$304)&lt;ROW()))+1)</f>
        <v>0</v>
      </c>
      <c r="R232" s="8">
        <f>IF(OR(E232&lt;&gt;"Freezer",J232=""),"",SUMPRODUCT(($E$5:$E$304="Freezer")*($J$5:$J$304&lt;J232))+SUMPRODUCT(($E$5:$E$304="Freezer")*($J$5:$J$304=J232)*(ROW($J$5:$J$304)&lt;ROW()))+1)</f>
        <v>0</v>
      </c>
      <c r="S232" s="7"/>
      <c r="T232" s="27"/>
      <c r="U232" s="28"/>
      <c r="V232" s="27"/>
      <c r="W232" s="7"/>
      <c r="X232" s="26"/>
      <c r="Y232" s="8">
        <f>IF(A232="","",IF(K232="Expired","Bin it",IF(K232="Use soon","Cook it",IF(O232="Low","Running low","Keep"))))</f>
        <v>0</v>
      </c>
      <c r="Z232" s="25"/>
    </row>
    <row r="233" spans="1:26">
      <c r="A233" s="7"/>
      <c r="B233" s="8">
        <f>IF(A233="","",IFERROR(INDEX(Ingredients!$B$5:$B$304,MATCH(A233,Ingredients!$A$5:$A$304,0)),""))</f>
        <v>0</v>
      </c>
      <c r="C233" s="26"/>
      <c r="D233" s="27"/>
      <c r="E233" s="27"/>
      <c r="F233" s="30"/>
      <c r="G233" s="30"/>
      <c r="H233" s="8">
        <f>IF(A233="","",IFERROR(INDEX(Ingredients!$M$5:$M$304,MATCH(A233,Ingredients!$A$5:$A$304,0)),""))</f>
        <v>0</v>
      </c>
      <c r="I233" s="8">
        <f>IF(OR(A233="",H233=""),"",IF(G233&lt;&gt;"",G233+H233,IF(F233&lt;&gt;"",F233+H233,"")))</f>
        <v>0</v>
      </c>
      <c r="J233" s="8">
        <f>IF(OR(A233="",I233=""),"",I233-TODAY())</f>
        <v>0</v>
      </c>
      <c r="K233" s="8">
        <f>IF(A233="","",IF(J233="","No date",IF(J233&lt;0,"Expired",IF(J233&lt;=Expiry_Warning_Days,"Use soon","Fresh"))))</f>
        <v>0</v>
      </c>
      <c r="L233" s="8">
        <f>IF(A233="","",COUNTIFS('Recipe Ingredients'!$B$5:$B$1204,A233))</f>
        <v>0</v>
      </c>
      <c r="M233" s="8">
        <f>IF(A233="","",IFERROR(INDEX(Ingredients!$X$5:$X$304,MATCH(A233,Ingredients!$A$5:$A$304,0)),""))</f>
        <v>0</v>
      </c>
      <c r="N233" s="8">
        <f>IF(OR(A233="",M233=""),"",IF(M233&lt;1,MAX(0,1*IFERROR(IFERROR(INDEX(Ingredients!$U$5:$U$304,MATCH(A233,Ingredients!$A$5:$A$304,0)),""),0)-C233),0))</f>
        <v>0</v>
      </c>
      <c r="O233" s="8">
        <f>IF(A233="","",IF(M233="","",IF(M233&lt;1,"Low","OK")))</f>
        <v>0</v>
      </c>
      <c r="P233" s="8">
        <f>IF(OR(A233="",C233=""),"",IFERROR(C233*IFERROR(INDEX(Ingredients!$D$5:$D$304,MATCH(A233,Ingredients!$A$5:$A$304,0)),""),""))</f>
        <v>0</v>
      </c>
      <c r="Q233" s="8">
        <f>IF(OR(E233&lt;&gt;"Fridge",J233=""),"",SUMPRODUCT(($E$5:$E$304="Fridge")*($J$5:$J$304&lt;J233))+SUMPRODUCT(($E$5:$E$304="Fridge")*($J$5:$J$304=J233)*(ROW($J$5:$J$304)&lt;ROW()))+1)</f>
        <v>0</v>
      </c>
      <c r="R233" s="8">
        <f>IF(OR(E233&lt;&gt;"Freezer",J233=""),"",SUMPRODUCT(($E$5:$E$304="Freezer")*($J$5:$J$304&lt;J233))+SUMPRODUCT(($E$5:$E$304="Freezer")*($J$5:$J$304=J233)*(ROW($J$5:$J$304)&lt;ROW()))+1)</f>
        <v>0</v>
      </c>
      <c r="S233" s="7"/>
      <c r="T233" s="27"/>
      <c r="U233" s="28"/>
      <c r="V233" s="27"/>
      <c r="W233" s="7"/>
      <c r="X233" s="26"/>
      <c r="Y233" s="8">
        <f>IF(A233="","",IF(K233="Expired","Bin it",IF(K233="Use soon","Cook it",IF(O233="Low","Running low","Keep"))))</f>
        <v>0</v>
      </c>
      <c r="Z233" s="25"/>
    </row>
    <row r="234" spans="1:26">
      <c r="A234" s="7"/>
      <c r="B234" s="8">
        <f>IF(A234="","",IFERROR(INDEX(Ingredients!$B$5:$B$304,MATCH(A234,Ingredients!$A$5:$A$304,0)),""))</f>
        <v>0</v>
      </c>
      <c r="C234" s="26"/>
      <c r="D234" s="27"/>
      <c r="E234" s="27"/>
      <c r="F234" s="30"/>
      <c r="G234" s="30"/>
      <c r="H234" s="8">
        <f>IF(A234="","",IFERROR(INDEX(Ingredients!$M$5:$M$304,MATCH(A234,Ingredients!$A$5:$A$304,0)),""))</f>
        <v>0</v>
      </c>
      <c r="I234" s="8">
        <f>IF(OR(A234="",H234=""),"",IF(G234&lt;&gt;"",G234+H234,IF(F234&lt;&gt;"",F234+H234,"")))</f>
        <v>0</v>
      </c>
      <c r="J234" s="8">
        <f>IF(OR(A234="",I234=""),"",I234-TODAY())</f>
        <v>0</v>
      </c>
      <c r="K234" s="8">
        <f>IF(A234="","",IF(J234="","No date",IF(J234&lt;0,"Expired",IF(J234&lt;=Expiry_Warning_Days,"Use soon","Fresh"))))</f>
        <v>0</v>
      </c>
      <c r="L234" s="8">
        <f>IF(A234="","",COUNTIFS('Recipe Ingredients'!$B$5:$B$1204,A234))</f>
        <v>0</v>
      </c>
      <c r="M234" s="8">
        <f>IF(A234="","",IFERROR(INDEX(Ingredients!$X$5:$X$304,MATCH(A234,Ingredients!$A$5:$A$304,0)),""))</f>
        <v>0</v>
      </c>
      <c r="N234" s="8">
        <f>IF(OR(A234="",M234=""),"",IF(M234&lt;1,MAX(0,1*IFERROR(IFERROR(INDEX(Ingredients!$U$5:$U$304,MATCH(A234,Ingredients!$A$5:$A$304,0)),""),0)-C234),0))</f>
        <v>0</v>
      </c>
      <c r="O234" s="8">
        <f>IF(A234="","",IF(M234="","",IF(M234&lt;1,"Low","OK")))</f>
        <v>0</v>
      </c>
      <c r="P234" s="8">
        <f>IF(OR(A234="",C234=""),"",IFERROR(C234*IFERROR(INDEX(Ingredients!$D$5:$D$304,MATCH(A234,Ingredients!$A$5:$A$304,0)),""),""))</f>
        <v>0</v>
      </c>
      <c r="Q234" s="8">
        <f>IF(OR(E234&lt;&gt;"Fridge",J234=""),"",SUMPRODUCT(($E$5:$E$304="Fridge")*($J$5:$J$304&lt;J234))+SUMPRODUCT(($E$5:$E$304="Fridge")*($J$5:$J$304=J234)*(ROW($J$5:$J$304)&lt;ROW()))+1)</f>
        <v>0</v>
      </c>
      <c r="R234" s="8">
        <f>IF(OR(E234&lt;&gt;"Freezer",J234=""),"",SUMPRODUCT(($E$5:$E$304="Freezer")*($J$5:$J$304&lt;J234))+SUMPRODUCT(($E$5:$E$304="Freezer")*($J$5:$J$304=J234)*(ROW($J$5:$J$304)&lt;ROW()))+1)</f>
        <v>0</v>
      </c>
      <c r="S234" s="7"/>
      <c r="T234" s="27"/>
      <c r="U234" s="28"/>
      <c r="V234" s="27"/>
      <c r="W234" s="7"/>
      <c r="X234" s="26"/>
      <c r="Y234" s="8">
        <f>IF(A234="","",IF(K234="Expired","Bin it",IF(K234="Use soon","Cook it",IF(O234="Low","Running low","Keep"))))</f>
        <v>0</v>
      </c>
      <c r="Z234" s="25"/>
    </row>
    <row r="235" spans="1:26">
      <c r="A235" s="7"/>
      <c r="B235" s="8">
        <f>IF(A235="","",IFERROR(INDEX(Ingredients!$B$5:$B$304,MATCH(A235,Ingredients!$A$5:$A$304,0)),""))</f>
        <v>0</v>
      </c>
      <c r="C235" s="26"/>
      <c r="D235" s="27"/>
      <c r="E235" s="27"/>
      <c r="F235" s="30"/>
      <c r="G235" s="30"/>
      <c r="H235" s="8">
        <f>IF(A235="","",IFERROR(INDEX(Ingredients!$M$5:$M$304,MATCH(A235,Ingredients!$A$5:$A$304,0)),""))</f>
        <v>0</v>
      </c>
      <c r="I235" s="8">
        <f>IF(OR(A235="",H235=""),"",IF(G235&lt;&gt;"",G235+H235,IF(F235&lt;&gt;"",F235+H235,"")))</f>
        <v>0</v>
      </c>
      <c r="J235" s="8">
        <f>IF(OR(A235="",I235=""),"",I235-TODAY())</f>
        <v>0</v>
      </c>
      <c r="K235" s="8">
        <f>IF(A235="","",IF(J235="","No date",IF(J235&lt;0,"Expired",IF(J235&lt;=Expiry_Warning_Days,"Use soon","Fresh"))))</f>
        <v>0</v>
      </c>
      <c r="L235" s="8">
        <f>IF(A235="","",COUNTIFS('Recipe Ingredients'!$B$5:$B$1204,A235))</f>
        <v>0</v>
      </c>
      <c r="M235" s="8">
        <f>IF(A235="","",IFERROR(INDEX(Ingredients!$X$5:$X$304,MATCH(A235,Ingredients!$A$5:$A$304,0)),""))</f>
        <v>0</v>
      </c>
      <c r="N235" s="8">
        <f>IF(OR(A235="",M235=""),"",IF(M235&lt;1,MAX(0,1*IFERROR(IFERROR(INDEX(Ingredients!$U$5:$U$304,MATCH(A235,Ingredients!$A$5:$A$304,0)),""),0)-C235),0))</f>
        <v>0</v>
      </c>
      <c r="O235" s="8">
        <f>IF(A235="","",IF(M235="","",IF(M235&lt;1,"Low","OK")))</f>
        <v>0</v>
      </c>
      <c r="P235" s="8">
        <f>IF(OR(A235="",C235=""),"",IFERROR(C235*IFERROR(INDEX(Ingredients!$D$5:$D$304,MATCH(A235,Ingredients!$A$5:$A$304,0)),""),""))</f>
        <v>0</v>
      </c>
      <c r="Q235" s="8">
        <f>IF(OR(E235&lt;&gt;"Fridge",J235=""),"",SUMPRODUCT(($E$5:$E$304="Fridge")*($J$5:$J$304&lt;J235))+SUMPRODUCT(($E$5:$E$304="Fridge")*($J$5:$J$304=J235)*(ROW($J$5:$J$304)&lt;ROW()))+1)</f>
        <v>0</v>
      </c>
      <c r="R235" s="8">
        <f>IF(OR(E235&lt;&gt;"Freezer",J235=""),"",SUMPRODUCT(($E$5:$E$304="Freezer")*($J$5:$J$304&lt;J235))+SUMPRODUCT(($E$5:$E$304="Freezer")*($J$5:$J$304=J235)*(ROW($J$5:$J$304)&lt;ROW()))+1)</f>
        <v>0</v>
      </c>
      <c r="S235" s="7"/>
      <c r="T235" s="27"/>
      <c r="U235" s="28"/>
      <c r="V235" s="27"/>
      <c r="W235" s="7"/>
      <c r="X235" s="26"/>
      <c r="Y235" s="8">
        <f>IF(A235="","",IF(K235="Expired","Bin it",IF(K235="Use soon","Cook it",IF(O235="Low","Running low","Keep"))))</f>
        <v>0</v>
      </c>
      <c r="Z235" s="25"/>
    </row>
    <row r="236" spans="1:26">
      <c r="A236" s="7"/>
      <c r="B236" s="8">
        <f>IF(A236="","",IFERROR(INDEX(Ingredients!$B$5:$B$304,MATCH(A236,Ingredients!$A$5:$A$304,0)),""))</f>
        <v>0</v>
      </c>
      <c r="C236" s="26"/>
      <c r="D236" s="27"/>
      <c r="E236" s="27"/>
      <c r="F236" s="30"/>
      <c r="G236" s="30"/>
      <c r="H236" s="8">
        <f>IF(A236="","",IFERROR(INDEX(Ingredients!$M$5:$M$304,MATCH(A236,Ingredients!$A$5:$A$304,0)),""))</f>
        <v>0</v>
      </c>
      <c r="I236" s="8">
        <f>IF(OR(A236="",H236=""),"",IF(G236&lt;&gt;"",G236+H236,IF(F236&lt;&gt;"",F236+H236,"")))</f>
        <v>0</v>
      </c>
      <c r="J236" s="8">
        <f>IF(OR(A236="",I236=""),"",I236-TODAY())</f>
        <v>0</v>
      </c>
      <c r="K236" s="8">
        <f>IF(A236="","",IF(J236="","No date",IF(J236&lt;0,"Expired",IF(J236&lt;=Expiry_Warning_Days,"Use soon","Fresh"))))</f>
        <v>0</v>
      </c>
      <c r="L236" s="8">
        <f>IF(A236="","",COUNTIFS('Recipe Ingredients'!$B$5:$B$1204,A236))</f>
        <v>0</v>
      </c>
      <c r="M236" s="8">
        <f>IF(A236="","",IFERROR(INDEX(Ingredients!$X$5:$X$304,MATCH(A236,Ingredients!$A$5:$A$304,0)),""))</f>
        <v>0</v>
      </c>
      <c r="N236" s="8">
        <f>IF(OR(A236="",M236=""),"",IF(M236&lt;1,MAX(0,1*IFERROR(IFERROR(INDEX(Ingredients!$U$5:$U$304,MATCH(A236,Ingredients!$A$5:$A$304,0)),""),0)-C236),0))</f>
        <v>0</v>
      </c>
      <c r="O236" s="8">
        <f>IF(A236="","",IF(M236="","",IF(M236&lt;1,"Low","OK")))</f>
        <v>0</v>
      </c>
      <c r="P236" s="8">
        <f>IF(OR(A236="",C236=""),"",IFERROR(C236*IFERROR(INDEX(Ingredients!$D$5:$D$304,MATCH(A236,Ingredients!$A$5:$A$304,0)),""),""))</f>
        <v>0</v>
      </c>
      <c r="Q236" s="8">
        <f>IF(OR(E236&lt;&gt;"Fridge",J236=""),"",SUMPRODUCT(($E$5:$E$304="Fridge")*($J$5:$J$304&lt;J236))+SUMPRODUCT(($E$5:$E$304="Fridge")*($J$5:$J$304=J236)*(ROW($J$5:$J$304)&lt;ROW()))+1)</f>
        <v>0</v>
      </c>
      <c r="R236" s="8">
        <f>IF(OR(E236&lt;&gt;"Freezer",J236=""),"",SUMPRODUCT(($E$5:$E$304="Freezer")*($J$5:$J$304&lt;J236))+SUMPRODUCT(($E$5:$E$304="Freezer")*($J$5:$J$304=J236)*(ROW($J$5:$J$304)&lt;ROW()))+1)</f>
        <v>0</v>
      </c>
      <c r="S236" s="7"/>
      <c r="T236" s="27"/>
      <c r="U236" s="28"/>
      <c r="V236" s="27"/>
      <c r="W236" s="7"/>
      <c r="X236" s="26"/>
      <c r="Y236" s="8">
        <f>IF(A236="","",IF(K236="Expired","Bin it",IF(K236="Use soon","Cook it",IF(O236="Low","Running low","Keep"))))</f>
        <v>0</v>
      </c>
      <c r="Z236" s="25"/>
    </row>
    <row r="237" spans="1:26">
      <c r="A237" s="7"/>
      <c r="B237" s="8">
        <f>IF(A237="","",IFERROR(INDEX(Ingredients!$B$5:$B$304,MATCH(A237,Ingredients!$A$5:$A$304,0)),""))</f>
        <v>0</v>
      </c>
      <c r="C237" s="26"/>
      <c r="D237" s="27"/>
      <c r="E237" s="27"/>
      <c r="F237" s="30"/>
      <c r="G237" s="30"/>
      <c r="H237" s="8">
        <f>IF(A237="","",IFERROR(INDEX(Ingredients!$M$5:$M$304,MATCH(A237,Ingredients!$A$5:$A$304,0)),""))</f>
        <v>0</v>
      </c>
      <c r="I237" s="8">
        <f>IF(OR(A237="",H237=""),"",IF(G237&lt;&gt;"",G237+H237,IF(F237&lt;&gt;"",F237+H237,"")))</f>
        <v>0</v>
      </c>
      <c r="J237" s="8">
        <f>IF(OR(A237="",I237=""),"",I237-TODAY())</f>
        <v>0</v>
      </c>
      <c r="K237" s="8">
        <f>IF(A237="","",IF(J237="","No date",IF(J237&lt;0,"Expired",IF(J237&lt;=Expiry_Warning_Days,"Use soon","Fresh"))))</f>
        <v>0</v>
      </c>
      <c r="L237" s="8">
        <f>IF(A237="","",COUNTIFS('Recipe Ingredients'!$B$5:$B$1204,A237))</f>
        <v>0</v>
      </c>
      <c r="M237" s="8">
        <f>IF(A237="","",IFERROR(INDEX(Ingredients!$X$5:$X$304,MATCH(A237,Ingredients!$A$5:$A$304,0)),""))</f>
        <v>0</v>
      </c>
      <c r="N237" s="8">
        <f>IF(OR(A237="",M237=""),"",IF(M237&lt;1,MAX(0,1*IFERROR(IFERROR(INDEX(Ingredients!$U$5:$U$304,MATCH(A237,Ingredients!$A$5:$A$304,0)),""),0)-C237),0))</f>
        <v>0</v>
      </c>
      <c r="O237" s="8">
        <f>IF(A237="","",IF(M237="","",IF(M237&lt;1,"Low","OK")))</f>
        <v>0</v>
      </c>
      <c r="P237" s="8">
        <f>IF(OR(A237="",C237=""),"",IFERROR(C237*IFERROR(INDEX(Ingredients!$D$5:$D$304,MATCH(A237,Ingredients!$A$5:$A$304,0)),""),""))</f>
        <v>0</v>
      </c>
      <c r="Q237" s="8">
        <f>IF(OR(E237&lt;&gt;"Fridge",J237=""),"",SUMPRODUCT(($E$5:$E$304="Fridge")*($J$5:$J$304&lt;J237))+SUMPRODUCT(($E$5:$E$304="Fridge")*($J$5:$J$304=J237)*(ROW($J$5:$J$304)&lt;ROW()))+1)</f>
        <v>0</v>
      </c>
      <c r="R237" s="8">
        <f>IF(OR(E237&lt;&gt;"Freezer",J237=""),"",SUMPRODUCT(($E$5:$E$304="Freezer")*($J$5:$J$304&lt;J237))+SUMPRODUCT(($E$5:$E$304="Freezer")*($J$5:$J$304=J237)*(ROW($J$5:$J$304)&lt;ROW()))+1)</f>
        <v>0</v>
      </c>
      <c r="S237" s="7"/>
      <c r="T237" s="27"/>
      <c r="U237" s="28"/>
      <c r="V237" s="27"/>
      <c r="W237" s="7"/>
      <c r="X237" s="26"/>
      <c r="Y237" s="8">
        <f>IF(A237="","",IF(K237="Expired","Bin it",IF(K237="Use soon","Cook it",IF(O237="Low","Running low","Keep"))))</f>
        <v>0</v>
      </c>
      <c r="Z237" s="25"/>
    </row>
    <row r="238" spans="1:26">
      <c r="A238" s="7"/>
      <c r="B238" s="8">
        <f>IF(A238="","",IFERROR(INDEX(Ingredients!$B$5:$B$304,MATCH(A238,Ingredients!$A$5:$A$304,0)),""))</f>
        <v>0</v>
      </c>
      <c r="C238" s="26"/>
      <c r="D238" s="27"/>
      <c r="E238" s="27"/>
      <c r="F238" s="30"/>
      <c r="G238" s="30"/>
      <c r="H238" s="8">
        <f>IF(A238="","",IFERROR(INDEX(Ingredients!$M$5:$M$304,MATCH(A238,Ingredients!$A$5:$A$304,0)),""))</f>
        <v>0</v>
      </c>
      <c r="I238" s="8">
        <f>IF(OR(A238="",H238=""),"",IF(G238&lt;&gt;"",G238+H238,IF(F238&lt;&gt;"",F238+H238,"")))</f>
        <v>0</v>
      </c>
      <c r="J238" s="8">
        <f>IF(OR(A238="",I238=""),"",I238-TODAY())</f>
        <v>0</v>
      </c>
      <c r="K238" s="8">
        <f>IF(A238="","",IF(J238="","No date",IF(J238&lt;0,"Expired",IF(J238&lt;=Expiry_Warning_Days,"Use soon","Fresh"))))</f>
        <v>0</v>
      </c>
      <c r="L238" s="8">
        <f>IF(A238="","",COUNTIFS('Recipe Ingredients'!$B$5:$B$1204,A238))</f>
        <v>0</v>
      </c>
      <c r="M238" s="8">
        <f>IF(A238="","",IFERROR(INDEX(Ingredients!$X$5:$X$304,MATCH(A238,Ingredients!$A$5:$A$304,0)),""))</f>
        <v>0</v>
      </c>
      <c r="N238" s="8">
        <f>IF(OR(A238="",M238=""),"",IF(M238&lt;1,MAX(0,1*IFERROR(IFERROR(INDEX(Ingredients!$U$5:$U$304,MATCH(A238,Ingredients!$A$5:$A$304,0)),""),0)-C238),0))</f>
        <v>0</v>
      </c>
      <c r="O238" s="8">
        <f>IF(A238="","",IF(M238="","",IF(M238&lt;1,"Low","OK")))</f>
        <v>0</v>
      </c>
      <c r="P238" s="8">
        <f>IF(OR(A238="",C238=""),"",IFERROR(C238*IFERROR(INDEX(Ingredients!$D$5:$D$304,MATCH(A238,Ingredients!$A$5:$A$304,0)),""),""))</f>
        <v>0</v>
      </c>
      <c r="Q238" s="8">
        <f>IF(OR(E238&lt;&gt;"Fridge",J238=""),"",SUMPRODUCT(($E$5:$E$304="Fridge")*($J$5:$J$304&lt;J238))+SUMPRODUCT(($E$5:$E$304="Fridge")*($J$5:$J$304=J238)*(ROW($J$5:$J$304)&lt;ROW()))+1)</f>
        <v>0</v>
      </c>
      <c r="R238" s="8">
        <f>IF(OR(E238&lt;&gt;"Freezer",J238=""),"",SUMPRODUCT(($E$5:$E$304="Freezer")*($J$5:$J$304&lt;J238))+SUMPRODUCT(($E$5:$E$304="Freezer")*($J$5:$J$304=J238)*(ROW($J$5:$J$304)&lt;ROW()))+1)</f>
        <v>0</v>
      </c>
      <c r="S238" s="7"/>
      <c r="T238" s="27"/>
      <c r="U238" s="28"/>
      <c r="V238" s="27"/>
      <c r="W238" s="7"/>
      <c r="X238" s="26"/>
      <c r="Y238" s="8">
        <f>IF(A238="","",IF(K238="Expired","Bin it",IF(K238="Use soon","Cook it",IF(O238="Low","Running low","Keep"))))</f>
        <v>0</v>
      </c>
      <c r="Z238" s="25"/>
    </row>
    <row r="239" spans="1:26">
      <c r="A239" s="7"/>
      <c r="B239" s="8">
        <f>IF(A239="","",IFERROR(INDEX(Ingredients!$B$5:$B$304,MATCH(A239,Ingredients!$A$5:$A$304,0)),""))</f>
        <v>0</v>
      </c>
      <c r="C239" s="26"/>
      <c r="D239" s="27"/>
      <c r="E239" s="27"/>
      <c r="F239" s="30"/>
      <c r="G239" s="30"/>
      <c r="H239" s="8">
        <f>IF(A239="","",IFERROR(INDEX(Ingredients!$M$5:$M$304,MATCH(A239,Ingredients!$A$5:$A$304,0)),""))</f>
        <v>0</v>
      </c>
      <c r="I239" s="8">
        <f>IF(OR(A239="",H239=""),"",IF(G239&lt;&gt;"",G239+H239,IF(F239&lt;&gt;"",F239+H239,"")))</f>
        <v>0</v>
      </c>
      <c r="J239" s="8">
        <f>IF(OR(A239="",I239=""),"",I239-TODAY())</f>
        <v>0</v>
      </c>
      <c r="K239" s="8">
        <f>IF(A239="","",IF(J239="","No date",IF(J239&lt;0,"Expired",IF(J239&lt;=Expiry_Warning_Days,"Use soon","Fresh"))))</f>
        <v>0</v>
      </c>
      <c r="L239" s="8">
        <f>IF(A239="","",COUNTIFS('Recipe Ingredients'!$B$5:$B$1204,A239))</f>
        <v>0</v>
      </c>
      <c r="M239" s="8">
        <f>IF(A239="","",IFERROR(INDEX(Ingredients!$X$5:$X$304,MATCH(A239,Ingredients!$A$5:$A$304,0)),""))</f>
        <v>0</v>
      </c>
      <c r="N239" s="8">
        <f>IF(OR(A239="",M239=""),"",IF(M239&lt;1,MAX(0,1*IFERROR(IFERROR(INDEX(Ingredients!$U$5:$U$304,MATCH(A239,Ingredients!$A$5:$A$304,0)),""),0)-C239),0))</f>
        <v>0</v>
      </c>
      <c r="O239" s="8">
        <f>IF(A239="","",IF(M239="","",IF(M239&lt;1,"Low","OK")))</f>
        <v>0</v>
      </c>
      <c r="P239" s="8">
        <f>IF(OR(A239="",C239=""),"",IFERROR(C239*IFERROR(INDEX(Ingredients!$D$5:$D$304,MATCH(A239,Ingredients!$A$5:$A$304,0)),""),""))</f>
        <v>0</v>
      </c>
      <c r="Q239" s="8">
        <f>IF(OR(E239&lt;&gt;"Fridge",J239=""),"",SUMPRODUCT(($E$5:$E$304="Fridge")*($J$5:$J$304&lt;J239))+SUMPRODUCT(($E$5:$E$304="Fridge")*($J$5:$J$304=J239)*(ROW($J$5:$J$304)&lt;ROW()))+1)</f>
        <v>0</v>
      </c>
      <c r="R239" s="8">
        <f>IF(OR(E239&lt;&gt;"Freezer",J239=""),"",SUMPRODUCT(($E$5:$E$304="Freezer")*($J$5:$J$304&lt;J239))+SUMPRODUCT(($E$5:$E$304="Freezer")*($J$5:$J$304=J239)*(ROW($J$5:$J$304)&lt;ROW()))+1)</f>
        <v>0</v>
      </c>
      <c r="S239" s="7"/>
      <c r="T239" s="27"/>
      <c r="U239" s="28"/>
      <c r="V239" s="27"/>
      <c r="W239" s="7"/>
      <c r="X239" s="26"/>
      <c r="Y239" s="8">
        <f>IF(A239="","",IF(K239="Expired","Bin it",IF(K239="Use soon","Cook it",IF(O239="Low","Running low","Keep"))))</f>
        <v>0</v>
      </c>
      <c r="Z239" s="25"/>
    </row>
    <row r="240" spans="1:26">
      <c r="A240" s="7"/>
      <c r="B240" s="8">
        <f>IF(A240="","",IFERROR(INDEX(Ingredients!$B$5:$B$304,MATCH(A240,Ingredients!$A$5:$A$304,0)),""))</f>
        <v>0</v>
      </c>
      <c r="C240" s="26"/>
      <c r="D240" s="27"/>
      <c r="E240" s="27"/>
      <c r="F240" s="30"/>
      <c r="G240" s="30"/>
      <c r="H240" s="8">
        <f>IF(A240="","",IFERROR(INDEX(Ingredients!$M$5:$M$304,MATCH(A240,Ingredients!$A$5:$A$304,0)),""))</f>
        <v>0</v>
      </c>
      <c r="I240" s="8">
        <f>IF(OR(A240="",H240=""),"",IF(G240&lt;&gt;"",G240+H240,IF(F240&lt;&gt;"",F240+H240,"")))</f>
        <v>0</v>
      </c>
      <c r="J240" s="8">
        <f>IF(OR(A240="",I240=""),"",I240-TODAY())</f>
        <v>0</v>
      </c>
      <c r="K240" s="8">
        <f>IF(A240="","",IF(J240="","No date",IF(J240&lt;0,"Expired",IF(J240&lt;=Expiry_Warning_Days,"Use soon","Fresh"))))</f>
        <v>0</v>
      </c>
      <c r="L240" s="8">
        <f>IF(A240="","",COUNTIFS('Recipe Ingredients'!$B$5:$B$1204,A240))</f>
        <v>0</v>
      </c>
      <c r="M240" s="8">
        <f>IF(A240="","",IFERROR(INDEX(Ingredients!$X$5:$X$304,MATCH(A240,Ingredients!$A$5:$A$304,0)),""))</f>
        <v>0</v>
      </c>
      <c r="N240" s="8">
        <f>IF(OR(A240="",M240=""),"",IF(M240&lt;1,MAX(0,1*IFERROR(IFERROR(INDEX(Ingredients!$U$5:$U$304,MATCH(A240,Ingredients!$A$5:$A$304,0)),""),0)-C240),0))</f>
        <v>0</v>
      </c>
      <c r="O240" s="8">
        <f>IF(A240="","",IF(M240="","",IF(M240&lt;1,"Low","OK")))</f>
        <v>0</v>
      </c>
      <c r="P240" s="8">
        <f>IF(OR(A240="",C240=""),"",IFERROR(C240*IFERROR(INDEX(Ingredients!$D$5:$D$304,MATCH(A240,Ingredients!$A$5:$A$304,0)),""),""))</f>
        <v>0</v>
      </c>
      <c r="Q240" s="8">
        <f>IF(OR(E240&lt;&gt;"Fridge",J240=""),"",SUMPRODUCT(($E$5:$E$304="Fridge")*($J$5:$J$304&lt;J240))+SUMPRODUCT(($E$5:$E$304="Fridge")*($J$5:$J$304=J240)*(ROW($J$5:$J$304)&lt;ROW()))+1)</f>
        <v>0</v>
      </c>
      <c r="R240" s="8">
        <f>IF(OR(E240&lt;&gt;"Freezer",J240=""),"",SUMPRODUCT(($E$5:$E$304="Freezer")*($J$5:$J$304&lt;J240))+SUMPRODUCT(($E$5:$E$304="Freezer")*($J$5:$J$304=J240)*(ROW($J$5:$J$304)&lt;ROW()))+1)</f>
        <v>0</v>
      </c>
      <c r="S240" s="7"/>
      <c r="T240" s="27"/>
      <c r="U240" s="28"/>
      <c r="V240" s="27"/>
      <c r="W240" s="7"/>
      <c r="X240" s="26"/>
      <c r="Y240" s="8">
        <f>IF(A240="","",IF(K240="Expired","Bin it",IF(K240="Use soon","Cook it",IF(O240="Low","Running low","Keep"))))</f>
        <v>0</v>
      </c>
      <c r="Z240" s="25"/>
    </row>
    <row r="241" spans="1:26">
      <c r="A241" s="7"/>
      <c r="B241" s="8">
        <f>IF(A241="","",IFERROR(INDEX(Ingredients!$B$5:$B$304,MATCH(A241,Ingredients!$A$5:$A$304,0)),""))</f>
        <v>0</v>
      </c>
      <c r="C241" s="26"/>
      <c r="D241" s="27"/>
      <c r="E241" s="27"/>
      <c r="F241" s="30"/>
      <c r="G241" s="30"/>
      <c r="H241" s="8">
        <f>IF(A241="","",IFERROR(INDEX(Ingredients!$M$5:$M$304,MATCH(A241,Ingredients!$A$5:$A$304,0)),""))</f>
        <v>0</v>
      </c>
      <c r="I241" s="8">
        <f>IF(OR(A241="",H241=""),"",IF(G241&lt;&gt;"",G241+H241,IF(F241&lt;&gt;"",F241+H241,"")))</f>
        <v>0</v>
      </c>
      <c r="J241" s="8">
        <f>IF(OR(A241="",I241=""),"",I241-TODAY())</f>
        <v>0</v>
      </c>
      <c r="K241" s="8">
        <f>IF(A241="","",IF(J241="","No date",IF(J241&lt;0,"Expired",IF(J241&lt;=Expiry_Warning_Days,"Use soon","Fresh"))))</f>
        <v>0</v>
      </c>
      <c r="L241" s="8">
        <f>IF(A241="","",COUNTIFS('Recipe Ingredients'!$B$5:$B$1204,A241))</f>
        <v>0</v>
      </c>
      <c r="M241" s="8">
        <f>IF(A241="","",IFERROR(INDEX(Ingredients!$X$5:$X$304,MATCH(A241,Ingredients!$A$5:$A$304,0)),""))</f>
        <v>0</v>
      </c>
      <c r="N241" s="8">
        <f>IF(OR(A241="",M241=""),"",IF(M241&lt;1,MAX(0,1*IFERROR(IFERROR(INDEX(Ingredients!$U$5:$U$304,MATCH(A241,Ingredients!$A$5:$A$304,0)),""),0)-C241),0))</f>
        <v>0</v>
      </c>
      <c r="O241" s="8">
        <f>IF(A241="","",IF(M241="","",IF(M241&lt;1,"Low","OK")))</f>
        <v>0</v>
      </c>
      <c r="P241" s="8">
        <f>IF(OR(A241="",C241=""),"",IFERROR(C241*IFERROR(INDEX(Ingredients!$D$5:$D$304,MATCH(A241,Ingredients!$A$5:$A$304,0)),""),""))</f>
        <v>0</v>
      </c>
      <c r="Q241" s="8">
        <f>IF(OR(E241&lt;&gt;"Fridge",J241=""),"",SUMPRODUCT(($E$5:$E$304="Fridge")*($J$5:$J$304&lt;J241))+SUMPRODUCT(($E$5:$E$304="Fridge")*($J$5:$J$304=J241)*(ROW($J$5:$J$304)&lt;ROW()))+1)</f>
        <v>0</v>
      </c>
      <c r="R241" s="8">
        <f>IF(OR(E241&lt;&gt;"Freezer",J241=""),"",SUMPRODUCT(($E$5:$E$304="Freezer")*($J$5:$J$304&lt;J241))+SUMPRODUCT(($E$5:$E$304="Freezer")*($J$5:$J$304=J241)*(ROW($J$5:$J$304)&lt;ROW()))+1)</f>
        <v>0</v>
      </c>
      <c r="S241" s="7"/>
      <c r="T241" s="27"/>
      <c r="U241" s="28"/>
      <c r="V241" s="27"/>
      <c r="W241" s="7"/>
      <c r="X241" s="26"/>
      <c r="Y241" s="8">
        <f>IF(A241="","",IF(K241="Expired","Bin it",IF(K241="Use soon","Cook it",IF(O241="Low","Running low","Keep"))))</f>
        <v>0</v>
      </c>
      <c r="Z241" s="25"/>
    </row>
    <row r="242" spans="1:26">
      <c r="A242" s="7"/>
      <c r="B242" s="8">
        <f>IF(A242="","",IFERROR(INDEX(Ingredients!$B$5:$B$304,MATCH(A242,Ingredients!$A$5:$A$304,0)),""))</f>
        <v>0</v>
      </c>
      <c r="C242" s="26"/>
      <c r="D242" s="27"/>
      <c r="E242" s="27"/>
      <c r="F242" s="30"/>
      <c r="G242" s="30"/>
      <c r="H242" s="8">
        <f>IF(A242="","",IFERROR(INDEX(Ingredients!$M$5:$M$304,MATCH(A242,Ingredients!$A$5:$A$304,0)),""))</f>
        <v>0</v>
      </c>
      <c r="I242" s="8">
        <f>IF(OR(A242="",H242=""),"",IF(G242&lt;&gt;"",G242+H242,IF(F242&lt;&gt;"",F242+H242,"")))</f>
        <v>0</v>
      </c>
      <c r="J242" s="8">
        <f>IF(OR(A242="",I242=""),"",I242-TODAY())</f>
        <v>0</v>
      </c>
      <c r="K242" s="8">
        <f>IF(A242="","",IF(J242="","No date",IF(J242&lt;0,"Expired",IF(J242&lt;=Expiry_Warning_Days,"Use soon","Fresh"))))</f>
        <v>0</v>
      </c>
      <c r="L242" s="8">
        <f>IF(A242="","",COUNTIFS('Recipe Ingredients'!$B$5:$B$1204,A242))</f>
        <v>0</v>
      </c>
      <c r="M242" s="8">
        <f>IF(A242="","",IFERROR(INDEX(Ingredients!$X$5:$X$304,MATCH(A242,Ingredients!$A$5:$A$304,0)),""))</f>
        <v>0</v>
      </c>
      <c r="N242" s="8">
        <f>IF(OR(A242="",M242=""),"",IF(M242&lt;1,MAX(0,1*IFERROR(IFERROR(INDEX(Ingredients!$U$5:$U$304,MATCH(A242,Ingredients!$A$5:$A$304,0)),""),0)-C242),0))</f>
        <v>0</v>
      </c>
      <c r="O242" s="8">
        <f>IF(A242="","",IF(M242="","",IF(M242&lt;1,"Low","OK")))</f>
        <v>0</v>
      </c>
      <c r="P242" s="8">
        <f>IF(OR(A242="",C242=""),"",IFERROR(C242*IFERROR(INDEX(Ingredients!$D$5:$D$304,MATCH(A242,Ingredients!$A$5:$A$304,0)),""),""))</f>
        <v>0</v>
      </c>
      <c r="Q242" s="8">
        <f>IF(OR(E242&lt;&gt;"Fridge",J242=""),"",SUMPRODUCT(($E$5:$E$304="Fridge")*($J$5:$J$304&lt;J242))+SUMPRODUCT(($E$5:$E$304="Fridge")*($J$5:$J$304=J242)*(ROW($J$5:$J$304)&lt;ROW()))+1)</f>
        <v>0</v>
      </c>
      <c r="R242" s="8">
        <f>IF(OR(E242&lt;&gt;"Freezer",J242=""),"",SUMPRODUCT(($E$5:$E$304="Freezer")*($J$5:$J$304&lt;J242))+SUMPRODUCT(($E$5:$E$304="Freezer")*($J$5:$J$304=J242)*(ROW($J$5:$J$304)&lt;ROW()))+1)</f>
        <v>0</v>
      </c>
      <c r="S242" s="7"/>
      <c r="T242" s="27"/>
      <c r="U242" s="28"/>
      <c r="V242" s="27"/>
      <c r="W242" s="7"/>
      <c r="X242" s="26"/>
      <c r="Y242" s="8">
        <f>IF(A242="","",IF(K242="Expired","Bin it",IF(K242="Use soon","Cook it",IF(O242="Low","Running low","Keep"))))</f>
        <v>0</v>
      </c>
      <c r="Z242" s="25"/>
    </row>
    <row r="243" spans="1:26">
      <c r="A243" s="7"/>
      <c r="B243" s="8">
        <f>IF(A243="","",IFERROR(INDEX(Ingredients!$B$5:$B$304,MATCH(A243,Ingredients!$A$5:$A$304,0)),""))</f>
        <v>0</v>
      </c>
      <c r="C243" s="26"/>
      <c r="D243" s="27"/>
      <c r="E243" s="27"/>
      <c r="F243" s="30"/>
      <c r="G243" s="30"/>
      <c r="H243" s="8">
        <f>IF(A243="","",IFERROR(INDEX(Ingredients!$M$5:$M$304,MATCH(A243,Ingredients!$A$5:$A$304,0)),""))</f>
        <v>0</v>
      </c>
      <c r="I243" s="8">
        <f>IF(OR(A243="",H243=""),"",IF(G243&lt;&gt;"",G243+H243,IF(F243&lt;&gt;"",F243+H243,"")))</f>
        <v>0</v>
      </c>
      <c r="J243" s="8">
        <f>IF(OR(A243="",I243=""),"",I243-TODAY())</f>
        <v>0</v>
      </c>
      <c r="K243" s="8">
        <f>IF(A243="","",IF(J243="","No date",IF(J243&lt;0,"Expired",IF(J243&lt;=Expiry_Warning_Days,"Use soon","Fresh"))))</f>
        <v>0</v>
      </c>
      <c r="L243" s="8">
        <f>IF(A243="","",COUNTIFS('Recipe Ingredients'!$B$5:$B$1204,A243))</f>
        <v>0</v>
      </c>
      <c r="M243" s="8">
        <f>IF(A243="","",IFERROR(INDEX(Ingredients!$X$5:$X$304,MATCH(A243,Ingredients!$A$5:$A$304,0)),""))</f>
        <v>0</v>
      </c>
      <c r="N243" s="8">
        <f>IF(OR(A243="",M243=""),"",IF(M243&lt;1,MAX(0,1*IFERROR(IFERROR(INDEX(Ingredients!$U$5:$U$304,MATCH(A243,Ingredients!$A$5:$A$304,0)),""),0)-C243),0))</f>
        <v>0</v>
      </c>
      <c r="O243" s="8">
        <f>IF(A243="","",IF(M243="","",IF(M243&lt;1,"Low","OK")))</f>
        <v>0</v>
      </c>
      <c r="P243" s="8">
        <f>IF(OR(A243="",C243=""),"",IFERROR(C243*IFERROR(INDEX(Ingredients!$D$5:$D$304,MATCH(A243,Ingredients!$A$5:$A$304,0)),""),""))</f>
        <v>0</v>
      </c>
      <c r="Q243" s="8">
        <f>IF(OR(E243&lt;&gt;"Fridge",J243=""),"",SUMPRODUCT(($E$5:$E$304="Fridge")*($J$5:$J$304&lt;J243))+SUMPRODUCT(($E$5:$E$304="Fridge")*($J$5:$J$304=J243)*(ROW($J$5:$J$304)&lt;ROW()))+1)</f>
        <v>0</v>
      </c>
      <c r="R243" s="8">
        <f>IF(OR(E243&lt;&gt;"Freezer",J243=""),"",SUMPRODUCT(($E$5:$E$304="Freezer")*($J$5:$J$304&lt;J243))+SUMPRODUCT(($E$5:$E$304="Freezer")*($J$5:$J$304=J243)*(ROW($J$5:$J$304)&lt;ROW()))+1)</f>
        <v>0</v>
      </c>
      <c r="S243" s="7"/>
      <c r="T243" s="27"/>
      <c r="U243" s="28"/>
      <c r="V243" s="27"/>
      <c r="W243" s="7"/>
      <c r="X243" s="26"/>
      <c r="Y243" s="8">
        <f>IF(A243="","",IF(K243="Expired","Bin it",IF(K243="Use soon","Cook it",IF(O243="Low","Running low","Keep"))))</f>
        <v>0</v>
      </c>
      <c r="Z243" s="25"/>
    </row>
    <row r="244" spans="1:26">
      <c r="A244" s="7"/>
      <c r="B244" s="8">
        <f>IF(A244="","",IFERROR(INDEX(Ingredients!$B$5:$B$304,MATCH(A244,Ingredients!$A$5:$A$304,0)),""))</f>
        <v>0</v>
      </c>
      <c r="C244" s="26"/>
      <c r="D244" s="27"/>
      <c r="E244" s="27"/>
      <c r="F244" s="30"/>
      <c r="G244" s="30"/>
      <c r="H244" s="8">
        <f>IF(A244="","",IFERROR(INDEX(Ingredients!$M$5:$M$304,MATCH(A244,Ingredients!$A$5:$A$304,0)),""))</f>
        <v>0</v>
      </c>
      <c r="I244" s="8">
        <f>IF(OR(A244="",H244=""),"",IF(G244&lt;&gt;"",G244+H244,IF(F244&lt;&gt;"",F244+H244,"")))</f>
        <v>0</v>
      </c>
      <c r="J244" s="8">
        <f>IF(OR(A244="",I244=""),"",I244-TODAY())</f>
        <v>0</v>
      </c>
      <c r="K244" s="8">
        <f>IF(A244="","",IF(J244="","No date",IF(J244&lt;0,"Expired",IF(J244&lt;=Expiry_Warning_Days,"Use soon","Fresh"))))</f>
        <v>0</v>
      </c>
      <c r="L244" s="8">
        <f>IF(A244="","",COUNTIFS('Recipe Ingredients'!$B$5:$B$1204,A244))</f>
        <v>0</v>
      </c>
      <c r="M244" s="8">
        <f>IF(A244="","",IFERROR(INDEX(Ingredients!$X$5:$X$304,MATCH(A244,Ingredients!$A$5:$A$304,0)),""))</f>
        <v>0</v>
      </c>
      <c r="N244" s="8">
        <f>IF(OR(A244="",M244=""),"",IF(M244&lt;1,MAX(0,1*IFERROR(IFERROR(INDEX(Ingredients!$U$5:$U$304,MATCH(A244,Ingredients!$A$5:$A$304,0)),""),0)-C244),0))</f>
        <v>0</v>
      </c>
      <c r="O244" s="8">
        <f>IF(A244="","",IF(M244="","",IF(M244&lt;1,"Low","OK")))</f>
        <v>0</v>
      </c>
      <c r="P244" s="8">
        <f>IF(OR(A244="",C244=""),"",IFERROR(C244*IFERROR(INDEX(Ingredients!$D$5:$D$304,MATCH(A244,Ingredients!$A$5:$A$304,0)),""),""))</f>
        <v>0</v>
      </c>
      <c r="Q244" s="8">
        <f>IF(OR(E244&lt;&gt;"Fridge",J244=""),"",SUMPRODUCT(($E$5:$E$304="Fridge")*($J$5:$J$304&lt;J244))+SUMPRODUCT(($E$5:$E$304="Fridge")*($J$5:$J$304=J244)*(ROW($J$5:$J$304)&lt;ROW()))+1)</f>
        <v>0</v>
      </c>
      <c r="R244" s="8">
        <f>IF(OR(E244&lt;&gt;"Freezer",J244=""),"",SUMPRODUCT(($E$5:$E$304="Freezer")*($J$5:$J$304&lt;J244))+SUMPRODUCT(($E$5:$E$304="Freezer")*($J$5:$J$304=J244)*(ROW($J$5:$J$304)&lt;ROW()))+1)</f>
        <v>0</v>
      </c>
      <c r="S244" s="7"/>
      <c r="T244" s="27"/>
      <c r="U244" s="28"/>
      <c r="V244" s="27"/>
      <c r="W244" s="7"/>
      <c r="X244" s="26"/>
      <c r="Y244" s="8">
        <f>IF(A244="","",IF(K244="Expired","Bin it",IF(K244="Use soon","Cook it",IF(O244="Low","Running low","Keep"))))</f>
        <v>0</v>
      </c>
      <c r="Z244" s="25"/>
    </row>
    <row r="245" spans="1:26">
      <c r="A245" s="7"/>
      <c r="B245" s="8">
        <f>IF(A245="","",IFERROR(INDEX(Ingredients!$B$5:$B$304,MATCH(A245,Ingredients!$A$5:$A$304,0)),""))</f>
        <v>0</v>
      </c>
      <c r="C245" s="26"/>
      <c r="D245" s="27"/>
      <c r="E245" s="27"/>
      <c r="F245" s="30"/>
      <c r="G245" s="30"/>
      <c r="H245" s="8">
        <f>IF(A245="","",IFERROR(INDEX(Ingredients!$M$5:$M$304,MATCH(A245,Ingredients!$A$5:$A$304,0)),""))</f>
        <v>0</v>
      </c>
      <c r="I245" s="8">
        <f>IF(OR(A245="",H245=""),"",IF(G245&lt;&gt;"",G245+H245,IF(F245&lt;&gt;"",F245+H245,"")))</f>
        <v>0</v>
      </c>
      <c r="J245" s="8">
        <f>IF(OR(A245="",I245=""),"",I245-TODAY())</f>
        <v>0</v>
      </c>
      <c r="K245" s="8">
        <f>IF(A245="","",IF(J245="","No date",IF(J245&lt;0,"Expired",IF(J245&lt;=Expiry_Warning_Days,"Use soon","Fresh"))))</f>
        <v>0</v>
      </c>
      <c r="L245" s="8">
        <f>IF(A245="","",COUNTIFS('Recipe Ingredients'!$B$5:$B$1204,A245))</f>
        <v>0</v>
      </c>
      <c r="M245" s="8">
        <f>IF(A245="","",IFERROR(INDEX(Ingredients!$X$5:$X$304,MATCH(A245,Ingredients!$A$5:$A$304,0)),""))</f>
        <v>0</v>
      </c>
      <c r="N245" s="8">
        <f>IF(OR(A245="",M245=""),"",IF(M245&lt;1,MAX(0,1*IFERROR(IFERROR(INDEX(Ingredients!$U$5:$U$304,MATCH(A245,Ingredients!$A$5:$A$304,0)),""),0)-C245),0))</f>
        <v>0</v>
      </c>
      <c r="O245" s="8">
        <f>IF(A245="","",IF(M245="","",IF(M245&lt;1,"Low","OK")))</f>
        <v>0</v>
      </c>
      <c r="P245" s="8">
        <f>IF(OR(A245="",C245=""),"",IFERROR(C245*IFERROR(INDEX(Ingredients!$D$5:$D$304,MATCH(A245,Ingredients!$A$5:$A$304,0)),""),""))</f>
        <v>0</v>
      </c>
      <c r="Q245" s="8">
        <f>IF(OR(E245&lt;&gt;"Fridge",J245=""),"",SUMPRODUCT(($E$5:$E$304="Fridge")*($J$5:$J$304&lt;J245))+SUMPRODUCT(($E$5:$E$304="Fridge")*($J$5:$J$304=J245)*(ROW($J$5:$J$304)&lt;ROW()))+1)</f>
        <v>0</v>
      </c>
      <c r="R245" s="8">
        <f>IF(OR(E245&lt;&gt;"Freezer",J245=""),"",SUMPRODUCT(($E$5:$E$304="Freezer")*($J$5:$J$304&lt;J245))+SUMPRODUCT(($E$5:$E$304="Freezer")*($J$5:$J$304=J245)*(ROW($J$5:$J$304)&lt;ROW()))+1)</f>
        <v>0</v>
      </c>
      <c r="S245" s="7"/>
      <c r="T245" s="27"/>
      <c r="U245" s="28"/>
      <c r="V245" s="27"/>
      <c r="W245" s="7"/>
      <c r="X245" s="26"/>
      <c r="Y245" s="8">
        <f>IF(A245="","",IF(K245="Expired","Bin it",IF(K245="Use soon","Cook it",IF(O245="Low","Running low","Keep"))))</f>
        <v>0</v>
      </c>
      <c r="Z245" s="25"/>
    </row>
    <row r="246" spans="1:26">
      <c r="A246" s="7"/>
      <c r="B246" s="8">
        <f>IF(A246="","",IFERROR(INDEX(Ingredients!$B$5:$B$304,MATCH(A246,Ingredients!$A$5:$A$304,0)),""))</f>
        <v>0</v>
      </c>
      <c r="C246" s="26"/>
      <c r="D246" s="27"/>
      <c r="E246" s="27"/>
      <c r="F246" s="30"/>
      <c r="G246" s="30"/>
      <c r="H246" s="8">
        <f>IF(A246="","",IFERROR(INDEX(Ingredients!$M$5:$M$304,MATCH(A246,Ingredients!$A$5:$A$304,0)),""))</f>
        <v>0</v>
      </c>
      <c r="I246" s="8">
        <f>IF(OR(A246="",H246=""),"",IF(G246&lt;&gt;"",G246+H246,IF(F246&lt;&gt;"",F246+H246,"")))</f>
        <v>0</v>
      </c>
      <c r="J246" s="8">
        <f>IF(OR(A246="",I246=""),"",I246-TODAY())</f>
        <v>0</v>
      </c>
      <c r="K246" s="8">
        <f>IF(A246="","",IF(J246="","No date",IF(J246&lt;0,"Expired",IF(J246&lt;=Expiry_Warning_Days,"Use soon","Fresh"))))</f>
        <v>0</v>
      </c>
      <c r="L246" s="8">
        <f>IF(A246="","",COUNTIFS('Recipe Ingredients'!$B$5:$B$1204,A246))</f>
        <v>0</v>
      </c>
      <c r="M246" s="8">
        <f>IF(A246="","",IFERROR(INDEX(Ingredients!$X$5:$X$304,MATCH(A246,Ingredients!$A$5:$A$304,0)),""))</f>
        <v>0</v>
      </c>
      <c r="N246" s="8">
        <f>IF(OR(A246="",M246=""),"",IF(M246&lt;1,MAX(0,1*IFERROR(IFERROR(INDEX(Ingredients!$U$5:$U$304,MATCH(A246,Ingredients!$A$5:$A$304,0)),""),0)-C246),0))</f>
        <v>0</v>
      </c>
      <c r="O246" s="8">
        <f>IF(A246="","",IF(M246="","",IF(M246&lt;1,"Low","OK")))</f>
        <v>0</v>
      </c>
      <c r="P246" s="8">
        <f>IF(OR(A246="",C246=""),"",IFERROR(C246*IFERROR(INDEX(Ingredients!$D$5:$D$304,MATCH(A246,Ingredients!$A$5:$A$304,0)),""),""))</f>
        <v>0</v>
      </c>
      <c r="Q246" s="8">
        <f>IF(OR(E246&lt;&gt;"Fridge",J246=""),"",SUMPRODUCT(($E$5:$E$304="Fridge")*($J$5:$J$304&lt;J246))+SUMPRODUCT(($E$5:$E$304="Fridge")*($J$5:$J$304=J246)*(ROW($J$5:$J$304)&lt;ROW()))+1)</f>
        <v>0</v>
      </c>
      <c r="R246" s="8">
        <f>IF(OR(E246&lt;&gt;"Freezer",J246=""),"",SUMPRODUCT(($E$5:$E$304="Freezer")*($J$5:$J$304&lt;J246))+SUMPRODUCT(($E$5:$E$304="Freezer")*($J$5:$J$304=J246)*(ROW($J$5:$J$304)&lt;ROW()))+1)</f>
        <v>0</v>
      </c>
      <c r="S246" s="7"/>
      <c r="T246" s="27"/>
      <c r="U246" s="28"/>
      <c r="V246" s="27"/>
      <c r="W246" s="7"/>
      <c r="X246" s="26"/>
      <c r="Y246" s="8">
        <f>IF(A246="","",IF(K246="Expired","Bin it",IF(K246="Use soon","Cook it",IF(O246="Low","Running low","Keep"))))</f>
        <v>0</v>
      </c>
      <c r="Z246" s="25"/>
    </row>
    <row r="247" spans="1:26">
      <c r="A247" s="7"/>
      <c r="B247" s="8">
        <f>IF(A247="","",IFERROR(INDEX(Ingredients!$B$5:$B$304,MATCH(A247,Ingredients!$A$5:$A$304,0)),""))</f>
        <v>0</v>
      </c>
      <c r="C247" s="26"/>
      <c r="D247" s="27"/>
      <c r="E247" s="27"/>
      <c r="F247" s="30"/>
      <c r="G247" s="30"/>
      <c r="H247" s="8">
        <f>IF(A247="","",IFERROR(INDEX(Ingredients!$M$5:$M$304,MATCH(A247,Ingredients!$A$5:$A$304,0)),""))</f>
        <v>0</v>
      </c>
      <c r="I247" s="8">
        <f>IF(OR(A247="",H247=""),"",IF(G247&lt;&gt;"",G247+H247,IF(F247&lt;&gt;"",F247+H247,"")))</f>
        <v>0</v>
      </c>
      <c r="J247" s="8">
        <f>IF(OR(A247="",I247=""),"",I247-TODAY())</f>
        <v>0</v>
      </c>
      <c r="K247" s="8">
        <f>IF(A247="","",IF(J247="","No date",IF(J247&lt;0,"Expired",IF(J247&lt;=Expiry_Warning_Days,"Use soon","Fresh"))))</f>
        <v>0</v>
      </c>
      <c r="L247" s="8">
        <f>IF(A247="","",COUNTIFS('Recipe Ingredients'!$B$5:$B$1204,A247))</f>
        <v>0</v>
      </c>
      <c r="M247" s="8">
        <f>IF(A247="","",IFERROR(INDEX(Ingredients!$X$5:$X$304,MATCH(A247,Ingredients!$A$5:$A$304,0)),""))</f>
        <v>0</v>
      </c>
      <c r="N247" s="8">
        <f>IF(OR(A247="",M247=""),"",IF(M247&lt;1,MAX(0,1*IFERROR(IFERROR(INDEX(Ingredients!$U$5:$U$304,MATCH(A247,Ingredients!$A$5:$A$304,0)),""),0)-C247),0))</f>
        <v>0</v>
      </c>
      <c r="O247" s="8">
        <f>IF(A247="","",IF(M247="","",IF(M247&lt;1,"Low","OK")))</f>
        <v>0</v>
      </c>
      <c r="P247" s="8">
        <f>IF(OR(A247="",C247=""),"",IFERROR(C247*IFERROR(INDEX(Ingredients!$D$5:$D$304,MATCH(A247,Ingredients!$A$5:$A$304,0)),""),""))</f>
        <v>0</v>
      </c>
      <c r="Q247" s="8">
        <f>IF(OR(E247&lt;&gt;"Fridge",J247=""),"",SUMPRODUCT(($E$5:$E$304="Fridge")*($J$5:$J$304&lt;J247))+SUMPRODUCT(($E$5:$E$304="Fridge")*($J$5:$J$304=J247)*(ROW($J$5:$J$304)&lt;ROW()))+1)</f>
        <v>0</v>
      </c>
      <c r="R247" s="8">
        <f>IF(OR(E247&lt;&gt;"Freezer",J247=""),"",SUMPRODUCT(($E$5:$E$304="Freezer")*($J$5:$J$304&lt;J247))+SUMPRODUCT(($E$5:$E$304="Freezer")*($J$5:$J$304=J247)*(ROW($J$5:$J$304)&lt;ROW()))+1)</f>
        <v>0</v>
      </c>
      <c r="S247" s="7"/>
      <c r="T247" s="27"/>
      <c r="U247" s="28"/>
      <c r="V247" s="27"/>
      <c r="W247" s="7"/>
      <c r="X247" s="26"/>
      <c r="Y247" s="8">
        <f>IF(A247="","",IF(K247="Expired","Bin it",IF(K247="Use soon","Cook it",IF(O247="Low","Running low","Keep"))))</f>
        <v>0</v>
      </c>
      <c r="Z247" s="25"/>
    </row>
    <row r="248" spans="1:26">
      <c r="A248" s="7"/>
      <c r="B248" s="8">
        <f>IF(A248="","",IFERROR(INDEX(Ingredients!$B$5:$B$304,MATCH(A248,Ingredients!$A$5:$A$304,0)),""))</f>
        <v>0</v>
      </c>
      <c r="C248" s="26"/>
      <c r="D248" s="27"/>
      <c r="E248" s="27"/>
      <c r="F248" s="30"/>
      <c r="G248" s="30"/>
      <c r="H248" s="8">
        <f>IF(A248="","",IFERROR(INDEX(Ingredients!$M$5:$M$304,MATCH(A248,Ingredients!$A$5:$A$304,0)),""))</f>
        <v>0</v>
      </c>
      <c r="I248" s="8">
        <f>IF(OR(A248="",H248=""),"",IF(G248&lt;&gt;"",G248+H248,IF(F248&lt;&gt;"",F248+H248,"")))</f>
        <v>0</v>
      </c>
      <c r="J248" s="8">
        <f>IF(OR(A248="",I248=""),"",I248-TODAY())</f>
        <v>0</v>
      </c>
      <c r="K248" s="8">
        <f>IF(A248="","",IF(J248="","No date",IF(J248&lt;0,"Expired",IF(J248&lt;=Expiry_Warning_Days,"Use soon","Fresh"))))</f>
        <v>0</v>
      </c>
      <c r="L248" s="8">
        <f>IF(A248="","",COUNTIFS('Recipe Ingredients'!$B$5:$B$1204,A248))</f>
        <v>0</v>
      </c>
      <c r="M248" s="8">
        <f>IF(A248="","",IFERROR(INDEX(Ingredients!$X$5:$X$304,MATCH(A248,Ingredients!$A$5:$A$304,0)),""))</f>
        <v>0</v>
      </c>
      <c r="N248" s="8">
        <f>IF(OR(A248="",M248=""),"",IF(M248&lt;1,MAX(0,1*IFERROR(IFERROR(INDEX(Ingredients!$U$5:$U$304,MATCH(A248,Ingredients!$A$5:$A$304,0)),""),0)-C248),0))</f>
        <v>0</v>
      </c>
      <c r="O248" s="8">
        <f>IF(A248="","",IF(M248="","",IF(M248&lt;1,"Low","OK")))</f>
        <v>0</v>
      </c>
      <c r="P248" s="8">
        <f>IF(OR(A248="",C248=""),"",IFERROR(C248*IFERROR(INDEX(Ingredients!$D$5:$D$304,MATCH(A248,Ingredients!$A$5:$A$304,0)),""),""))</f>
        <v>0</v>
      </c>
      <c r="Q248" s="8">
        <f>IF(OR(E248&lt;&gt;"Fridge",J248=""),"",SUMPRODUCT(($E$5:$E$304="Fridge")*($J$5:$J$304&lt;J248))+SUMPRODUCT(($E$5:$E$304="Fridge")*($J$5:$J$304=J248)*(ROW($J$5:$J$304)&lt;ROW()))+1)</f>
        <v>0</v>
      </c>
      <c r="R248" s="8">
        <f>IF(OR(E248&lt;&gt;"Freezer",J248=""),"",SUMPRODUCT(($E$5:$E$304="Freezer")*($J$5:$J$304&lt;J248))+SUMPRODUCT(($E$5:$E$304="Freezer")*($J$5:$J$304=J248)*(ROW($J$5:$J$304)&lt;ROW()))+1)</f>
        <v>0</v>
      </c>
      <c r="S248" s="7"/>
      <c r="T248" s="27"/>
      <c r="U248" s="28"/>
      <c r="V248" s="27"/>
      <c r="W248" s="7"/>
      <c r="X248" s="26"/>
      <c r="Y248" s="8">
        <f>IF(A248="","",IF(K248="Expired","Bin it",IF(K248="Use soon","Cook it",IF(O248="Low","Running low","Keep"))))</f>
        <v>0</v>
      </c>
      <c r="Z248" s="25"/>
    </row>
    <row r="249" spans="1:26">
      <c r="A249" s="7"/>
      <c r="B249" s="8">
        <f>IF(A249="","",IFERROR(INDEX(Ingredients!$B$5:$B$304,MATCH(A249,Ingredients!$A$5:$A$304,0)),""))</f>
        <v>0</v>
      </c>
      <c r="C249" s="26"/>
      <c r="D249" s="27"/>
      <c r="E249" s="27"/>
      <c r="F249" s="30"/>
      <c r="G249" s="30"/>
      <c r="H249" s="8">
        <f>IF(A249="","",IFERROR(INDEX(Ingredients!$M$5:$M$304,MATCH(A249,Ingredients!$A$5:$A$304,0)),""))</f>
        <v>0</v>
      </c>
      <c r="I249" s="8">
        <f>IF(OR(A249="",H249=""),"",IF(G249&lt;&gt;"",G249+H249,IF(F249&lt;&gt;"",F249+H249,"")))</f>
        <v>0</v>
      </c>
      <c r="J249" s="8">
        <f>IF(OR(A249="",I249=""),"",I249-TODAY())</f>
        <v>0</v>
      </c>
      <c r="K249" s="8">
        <f>IF(A249="","",IF(J249="","No date",IF(J249&lt;0,"Expired",IF(J249&lt;=Expiry_Warning_Days,"Use soon","Fresh"))))</f>
        <v>0</v>
      </c>
      <c r="L249" s="8">
        <f>IF(A249="","",COUNTIFS('Recipe Ingredients'!$B$5:$B$1204,A249))</f>
        <v>0</v>
      </c>
      <c r="M249" s="8">
        <f>IF(A249="","",IFERROR(INDEX(Ingredients!$X$5:$X$304,MATCH(A249,Ingredients!$A$5:$A$304,0)),""))</f>
        <v>0</v>
      </c>
      <c r="N249" s="8">
        <f>IF(OR(A249="",M249=""),"",IF(M249&lt;1,MAX(0,1*IFERROR(IFERROR(INDEX(Ingredients!$U$5:$U$304,MATCH(A249,Ingredients!$A$5:$A$304,0)),""),0)-C249),0))</f>
        <v>0</v>
      </c>
      <c r="O249" s="8">
        <f>IF(A249="","",IF(M249="","",IF(M249&lt;1,"Low","OK")))</f>
        <v>0</v>
      </c>
      <c r="P249" s="8">
        <f>IF(OR(A249="",C249=""),"",IFERROR(C249*IFERROR(INDEX(Ingredients!$D$5:$D$304,MATCH(A249,Ingredients!$A$5:$A$304,0)),""),""))</f>
        <v>0</v>
      </c>
      <c r="Q249" s="8">
        <f>IF(OR(E249&lt;&gt;"Fridge",J249=""),"",SUMPRODUCT(($E$5:$E$304="Fridge")*($J$5:$J$304&lt;J249))+SUMPRODUCT(($E$5:$E$304="Fridge")*($J$5:$J$304=J249)*(ROW($J$5:$J$304)&lt;ROW()))+1)</f>
        <v>0</v>
      </c>
      <c r="R249" s="8">
        <f>IF(OR(E249&lt;&gt;"Freezer",J249=""),"",SUMPRODUCT(($E$5:$E$304="Freezer")*($J$5:$J$304&lt;J249))+SUMPRODUCT(($E$5:$E$304="Freezer")*($J$5:$J$304=J249)*(ROW($J$5:$J$304)&lt;ROW()))+1)</f>
        <v>0</v>
      </c>
      <c r="S249" s="7"/>
      <c r="T249" s="27"/>
      <c r="U249" s="28"/>
      <c r="V249" s="27"/>
      <c r="W249" s="7"/>
      <c r="X249" s="26"/>
      <c r="Y249" s="8">
        <f>IF(A249="","",IF(K249="Expired","Bin it",IF(K249="Use soon","Cook it",IF(O249="Low","Running low","Keep"))))</f>
        <v>0</v>
      </c>
      <c r="Z249" s="25"/>
    </row>
    <row r="250" spans="1:26">
      <c r="A250" s="7"/>
      <c r="B250" s="8">
        <f>IF(A250="","",IFERROR(INDEX(Ingredients!$B$5:$B$304,MATCH(A250,Ingredients!$A$5:$A$304,0)),""))</f>
        <v>0</v>
      </c>
      <c r="C250" s="26"/>
      <c r="D250" s="27"/>
      <c r="E250" s="27"/>
      <c r="F250" s="30"/>
      <c r="G250" s="30"/>
      <c r="H250" s="8">
        <f>IF(A250="","",IFERROR(INDEX(Ingredients!$M$5:$M$304,MATCH(A250,Ingredients!$A$5:$A$304,0)),""))</f>
        <v>0</v>
      </c>
      <c r="I250" s="8">
        <f>IF(OR(A250="",H250=""),"",IF(G250&lt;&gt;"",G250+H250,IF(F250&lt;&gt;"",F250+H250,"")))</f>
        <v>0</v>
      </c>
      <c r="J250" s="8">
        <f>IF(OR(A250="",I250=""),"",I250-TODAY())</f>
        <v>0</v>
      </c>
      <c r="K250" s="8">
        <f>IF(A250="","",IF(J250="","No date",IF(J250&lt;0,"Expired",IF(J250&lt;=Expiry_Warning_Days,"Use soon","Fresh"))))</f>
        <v>0</v>
      </c>
      <c r="L250" s="8">
        <f>IF(A250="","",COUNTIFS('Recipe Ingredients'!$B$5:$B$1204,A250))</f>
        <v>0</v>
      </c>
      <c r="M250" s="8">
        <f>IF(A250="","",IFERROR(INDEX(Ingredients!$X$5:$X$304,MATCH(A250,Ingredients!$A$5:$A$304,0)),""))</f>
        <v>0</v>
      </c>
      <c r="N250" s="8">
        <f>IF(OR(A250="",M250=""),"",IF(M250&lt;1,MAX(0,1*IFERROR(IFERROR(INDEX(Ingredients!$U$5:$U$304,MATCH(A250,Ingredients!$A$5:$A$304,0)),""),0)-C250),0))</f>
        <v>0</v>
      </c>
      <c r="O250" s="8">
        <f>IF(A250="","",IF(M250="","",IF(M250&lt;1,"Low","OK")))</f>
        <v>0</v>
      </c>
      <c r="P250" s="8">
        <f>IF(OR(A250="",C250=""),"",IFERROR(C250*IFERROR(INDEX(Ingredients!$D$5:$D$304,MATCH(A250,Ingredients!$A$5:$A$304,0)),""),""))</f>
        <v>0</v>
      </c>
      <c r="Q250" s="8">
        <f>IF(OR(E250&lt;&gt;"Fridge",J250=""),"",SUMPRODUCT(($E$5:$E$304="Fridge")*($J$5:$J$304&lt;J250))+SUMPRODUCT(($E$5:$E$304="Fridge")*($J$5:$J$304=J250)*(ROW($J$5:$J$304)&lt;ROW()))+1)</f>
        <v>0</v>
      </c>
      <c r="R250" s="8">
        <f>IF(OR(E250&lt;&gt;"Freezer",J250=""),"",SUMPRODUCT(($E$5:$E$304="Freezer")*($J$5:$J$304&lt;J250))+SUMPRODUCT(($E$5:$E$304="Freezer")*($J$5:$J$304=J250)*(ROW($J$5:$J$304)&lt;ROW()))+1)</f>
        <v>0</v>
      </c>
      <c r="S250" s="7"/>
      <c r="T250" s="27"/>
      <c r="U250" s="28"/>
      <c r="V250" s="27"/>
      <c r="W250" s="7"/>
      <c r="X250" s="26"/>
      <c r="Y250" s="8">
        <f>IF(A250="","",IF(K250="Expired","Bin it",IF(K250="Use soon","Cook it",IF(O250="Low","Running low","Keep"))))</f>
        <v>0</v>
      </c>
      <c r="Z250" s="25"/>
    </row>
    <row r="251" spans="1:26">
      <c r="A251" s="7"/>
      <c r="B251" s="8">
        <f>IF(A251="","",IFERROR(INDEX(Ingredients!$B$5:$B$304,MATCH(A251,Ingredients!$A$5:$A$304,0)),""))</f>
        <v>0</v>
      </c>
      <c r="C251" s="26"/>
      <c r="D251" s="27"/>
      <c r="E251" s="27"/>
      <c r="F251" s="30"/>
      <c r="G251" s="30"/>
      <c r="H251" s="8">
        <f>IF(A251="","",IFERROR(INDEX(Ingredients!$M$5:$M$304,MATCH(A251,Ingredients!$A$5:$A$304,0)),""))</f>
        <v>0</v>
      </c>
      <c r="I251" s="8">
        <f>IF(OR(A251="",H251=""),"",IF(G251&lt;&gt;"",G251+H251,IF(F251&lt;&gt;"",F251+H251,"")))</f>
        <v>0</v>
      </c>
      <c r="J251" s="8">
        <f>IF(OR(A251="",I251=""),"",I251-TODAY())</f>
        <v>0</v>
      </c>
      <c r="K251" s="8">
        <f>IF(A251="","",IF(J251="","No date",IF(J251&lt;0,"Expired",IF(J251&lt;=Expiry_Warning_Days,"Use soon","Fresh"))))</f>
        <v>0</v>
      </c>
      <c r="L251" s="8">
        <f>IF(A251="","",COUNTIFS('Recipe Ingredients'!$B$5:$B$1204,A251))</f>
        <v>0</v>
      </c>
      <c r="M251" s="8">
        <f>IF(A251="","",IFERROR(INDEX(Ingredients!$X$5:$X$304,MATCH(A251,Ingredients!$A$5:$A$304,0)),""))</f>
        <v>0</v>
      </c>
      <c r="N251" s="8">
        <f>IF(OR(A251="",M251=""),"",IF(M251&lt;1,MAX(0,1*IFERROR(IFERROR(INDEX(Ingredients!$U$5:$U$304,MATCH(A251,Ingredients!$A$5:$A$304,0)),""),0)-C251),0))</f>
        <v>0</v>
      </c>
      <c r="O251" s="8">
        <f>IF(A251="","",IF(M251="","",IF(M251&lt;1,"Low","OK")))</f>
        <v>0</v>
      </c>
      <c r="P251" s="8">
        <f>IF(OR(A251="",C251=""),"",IFERROR(C251*IFERROR(INDEX(Ingredients!$D$5:$D$304,MATCH(A251,Ingredients!$A$5:$A$304,0)),""),""))</f>
        <v>0</v>
      </c>
      <c r="Q251" s="8">
        <f>IF(OR(E251&lt;&gt;"Fridge",J251=""),"",SUMPRODUCT(($E$5:$E$304="Fridge")*($J$5:$J$304&lt;J251))+SUMPRODUCT(($E$5:$E$304="Fridge")*($J$5:$J$304=J251)*(ROW($J$5:$J$304)&lt;ROW()))+1)</f>
        <v>0</v>
      </c>
      <c r="R251" s="8">
        <f>IF(OR(E251&lt;&gt;"Freezer",J251=""),"",SUMPRODUCT(($E$5:$E$304="Freezer")*($J$5:$J$304&lt;J251))+SUMPRODUCT(($E$5:$E$304="Freezer")*($J$5:$J$304=J251)*(ROW($J$5:$J$304)&lt;ROW()))+1)</f>
        <v>0</v>
      </c>
      <c r="S251" s="7"/>
      <c r="T251" s="27"/>
      <c r="U251" s="28"/>
      <c r="V251" s="27"/>
      <c r="W251" s="7"/>
      <c r="X251" s="26"/>
      <c r="Y251" s="8">
        <f>IF(A251="","",IF(K251="Expired","Bin it",IF(K251="Use soon","Cook it",IF(O251="Low","Running low","Keep"))))</f>
        <v>0</v>
      </c>
      <c r="Z251" s="25"/>
    </row>
    <row r="252" spans="1:26">
      <c r="A252" s="7"/>
      <c r="B252" s="8">
        <f>IF(A252="","",IFERROR(INDEX(Ingredients!$B$5:$B$304,MATCH(A252,Ingredients!$A$5:$A$304,0)),""))</f>
        <v>0</v>
      </c>
      <c r="C252" s="26"/>
      <c r="D252" s="27"/>
      <c r="E252" s="27"/>
      <c r="F252" s="30"/>
      <c r="G252" s="30"/>
      <c r="H252" s="8">
        <f>IF(A252="","",IFERROR(INDEX(Ingredients!$M$5:$M$304,MATCH(A252,Ingredients!$A$5:$A$304,0)),""))</f>
        <v>0</v>
      </c>
      <c r="I252" s="8">
        <f>IF(OR(A252="",H252=""),"",IF(G252&lt;&gt;"",G252+H252,IF(F252&lt;&gt;"",F252+H252,"")))</f>
        <v>0</v>
      </c>
      <c r="J252" s="8">
        <f>IF(OR(A252="",I252=""),"",I252-TODAY())</f>
        <v>0</v>
      </c>
      <c r="K252" s="8">
        <f>IF(A252="","",IF(J252="","No date",IF(J252&lt;0,"Expired",IF(J252&lt;=Expiry_Warning_Days,"Use soon","Fresh"))))</f>
        <v>0</v>
      </c>
      <c r="L252" s="8">
        <f>IF(A252="","",COUNTIFS('Recipe Ingredients'!$B$5:$B$1204,A252))</f>
        <v>0</v>
      </c>
      <c r="M252" s="8">
        <f>IF(A252="","",IFERROR(INDEX(Ingredients!$X$5:$X$304,MATCH(A252,Ingredients!$A$5:$A$304,0)),""))</f>
        <v>0</v>
      </c>
      <c r="N252" s="8">
        <f>IF(OR(A252="",M252=""),"",IF(M252&lt;1,MAX(0,1*IFERROR(IFERROR(INDEX(Ingredients!$U$5:$U$304,MATCH(A252,Ingredients!$A$5:$A$304,0)),""),0)-C252),0))</f>
        <v>0</v>
      </c>
      <c r="O252" s="8">
        <f>IF(A252="","",IF(M252="","",IF(M252&lt;1,"Low","OK")))</f>
        <v>0</v>
      </c>
      <c r="P252" s="8">
        <f>IF(OR(A252="",C252=""),"",IFERROR(C252*IFERROR(INDEX(Ingredients!$D$5:$D$304,MATCH(A252,Ingredients!$A$5:$A$304,0)),""),""))</f>
        <v>0</v>
      </c>
      <c r="Q252" s="8">
        <f>IF(OR(E252&lt;&gt;"Fridge",J252=""),"",SUMPRODUCT(($E$5:$E$304="Fridge")*($J$5:$J$304&lt;J252))+SUMPRODUCT(($E$5:$E$304="Fridge")*($J$5:$J$304=J252)*(ROW($J$5:$J$304)&lt;ROW()))+1)</f>
        <v>0</v>
      </c>
      <c r="R252" s="8">
        <f>IF(OR(E252&lt;&gt;"Freezer",J252=""),"",SUMPRODUCT(($E$5:$E$304="Freezer")*($J$5:$J$304&lt;J252))+SUMPRODUCT(($E$5:$E$304="Freezer")*($J$5:$J$304=J252)*(ROW($J$5:$J$304)&lt;ROW()))+1)</f>
        <v>0</v>
      </c>
      <c r="S252" s="7"/>
      <c r="T252" s="27"/>
      <c r="U252" s="28"/>
      <c r="V252" s="27"/>
      <c r="W252" s="7"/>
      <c r="X252" s="26"/>
      <c r="Y252" s="8">
        <f>IF(A252="","",IF(K252="Expired","Bin it",IF(K252="Use soon","Cook it",IF(O252="Low","Running low","Keep"))))</f>
        <v>0</v>
      </c>
      <c r="Z252" s="25"/>
    </row>
    <row r="253" spans="1:26">
      <c r="A253" s="7"/>
      <c r="B253" s="8">
        <f>IF(A253="","",IFERROR(INDEX(Ingredients!$B$5:$B$304,MATCH(A253,Ingredients!$A$5:$A$304,0)),""))</f>
        <v>0</v>
      </c>
      <c r="C253" s="26"/>
      <c r="D253" s="27"/>
      <c r="E253" s="27"/>
      <c r="F253" s="30"/>
      <c r="G253" s="30"/>
      <c r="H253" s="8">
        <f>IF(A253="","",IFERROR(INDEX(Ingredients!$M$5:$M$304,MATCH(A253,Ingredients!$A$5:$A$304,0)),""))</f>
        <v>0</v>
      </c>
      <c r="I253" s="8">
        <f>IF(OR(A253="",H253=""),"",IF(G253&lt;&gt;"",G253+H253,IF(F253&lt;&gt;"",F253+H253,"")))</f>
        <v>0</v>
      </c>
      <c r="J253" s="8">
        <f>IF(OR(A253="",I253=""),"",I253-TODAY())</f>
        <v>0</v>
      </c>
      <c r="K253" s="8">
        <f>IF(A253="","",IF(J253="","No date",IF(J253&lt;0,"Expired",IF(J253&lt;=Expiry_Warning_Days,"Use soon","Fresh"))))</f>
        <v>0</v>
      </c>
      <c r="L253" s="8">
        <f>IF(A253="","",COUNTIFS('Recipe Ingredients'!$B$5:$B$1204,A253))</f>
        <v>0</v>
      </c>
      <c r="M253" s="8">
        <f>IF(A253="","",IFERROR(INDEX(Ingredients!$X$5:$X$304,MATCH(A253,Ingredients!$A$5:$A$304,0)),""))</f>
        <v>0</v>
      </c>
      <c r="N253" s="8">
        <f>IF(OR(A253="",M253=""),"",IF(M253&lt;1,MAX(0,1*IFERROR(IFERROR(INDEX(Ingredients!$U$5:$U$304,MATCH(A253,Ingredients!$A$5:$A$304,0)),""),0)-C253),0))</f>
        <v>0</v>
      </c>
      <c r="O253" s="8">
        <f>IF(A253="","",IF(M253="","",IF(M253&lt;1,"Low","OK")))</f>
        <v>0</v>
      </c>
      <c r="P253" s="8">
        <f>IF(OR(A253="",C253=""),"",IFERROR(C253*IFERROR(INDEX(Ingredients!$D$5:$D$304,MATCH(A253,Ingredients!$A$5:$A$304,0)),""),""))</f>
        <v>0</v>
      </c>
      <c r="Q253" s="8">
        <f>IF(OR(E253&lt;&gt;"Fridge",J253=""),"",SUMPRODUCT(($E$5:$E$304="Fridge")*($J$5:$J$304&lt;J253))+SUMPRODUCT(($E$5:$E$304="Fridge")*($J$5:$J$304=J253)*(ROW($J$5:$J$304)&lt;ROW()))+1)</f>
        <v>0</v>
      </c>
      <c r="R253" s="8">
        <f>IF(OR(E253&lt;&gt;"Freezer",J253=""),"",SUMPRODUCT(($E$5:$E$304="Freezer")*($J$5:$J$304&lt;J253))+SUMPRODUCT(($E$5:$E$304="Freezer")*($J$5:$J$304=J253)*(ROW($J$5:$J$304)&lt;ROW()))+1)</f>
        <v>0</v>
      </c>
      <c r="S253" s="7"/>
      <c r="T253" s="27"/>
      <c r="U253" s="28"/>
      <c r="V253" s="27"/>
      <c r="W253" s="7"/>
      <c r="X253" s="26"/>
      <c r="Y253" s="8">
        <f>IF(A253="","",IF(K253="Expired","Bin it",IF(K253="Use soon","Cook it",IF(O253="Low","Running low","Keep"))))</f>
        <v>0</v>
      </c>
      <c r="Z253" s="25"/>
    </row>
    <row r="254" spans="1:26">
      <c r="A254" s="7"/>
      <c r="B254" s="8">
        <f>IF(A254="","",IFERROR(INDEX(Ingredients!$B$5:$B$304,MATCH(A254,Ingredients!$A$5:$A$304,0)),""))</f>
        <v>0</v>
      </c>
      <c r="C254" s="26"/>
      <c r="D254" s="27"/>
      <c r="E254" s="27"/>
      <c r="F254" s="30"/>
      <c r="G254" s="30"/>
      <c r="H254" s="8">
        <f>IF(A254="","",IFERROR(INDEX(Ingredients!$M$5:$M$304,MATCH(A254,Ingredients!$A$5:$A$304,0)),""))</f>
        <v>0</v>
      </c>
      <c r="I254" s="8">
        <f>IF(OR(A254="",H254=""),"",IF(G254&lt;&gt;"",G254+H254,IF(F254&lt;&gt;"",F254+H254,"")))</f>
        <v>0</v>
      </c>
      <c r="J254" s="8">
        <f>IF(OR(A254="",I254=""),"",I254-TODAY())</f>
        <v>0</v>
      </c>
      <c r="K254" s="8">
        <f>IF(A254="","",IF(J254="","No date",IF(J254&lt;0,"Expired",IF(J254&lt;=Expiry_Warning_Days,"Use soon","Fresh"))))</f>
        <v>0</v>
      </c>
      <c r="L254" s="8">
        <f>IF(A254="","",COUNTIFS('Recipe Ingredients'!$B$5:$B$1204,A254))</f>
        <v>0</v>
      </c>
      <c r="M254" s="8">
        <f>IF(A254="","",IFERROR(INDEX(Ingredients!$X$5:$X$304,MATCH(A254,Ingredients!$A$5:$A$304,0)),""))</f>
        <v>0</v>
      </c>
      <c r="N254" s="8">
        <f>IF(OR(A254="",M254=""),"",IF(M254&lt;1,MAX(0,1*IFERROR(IFERROR(INDEX(Ingredients!$U$5:$U$304,MATCH(A254,Ingredients!$A$5:$A$304,0)),""),0)-C254),0))</f>
        <v>0</v>
      </c>
      <c r="O254" s="8">
        <f>IF(A254="","",IF(M254="","",IF(M254&lt;1,"Low","OK")))</f>
        <v>0</v>
      </c>
      <c r="P254" s="8">
        <f>IF(OR(A254="",C254=""),"",IFERROR(C254*IFERROR(INDEX(Ingredients!$D$5:$D$304,MATCH(A254,Ingredients!$A$5:$A$304,0)),""),""))</f>
        <v>0</v>
      </c>
      <c r="Q254" s="8">
        <f>IF(OR(E254&lt;&gt;"Fridge",J254=""),"",SUMPRODUCT(($E$5:$E$304="Fridge")*($J$5:$J$304&lt;J254))+SUMPRODUCT(($E$5:$E$304="Fridge")*($J$5:$J$304=J254)*(ROW($J$5:$J$304)&lt;ROW()))+1)</f>
        <v>0</v>
      </c>
      <c r="R254" s="8">
        <f>IF(OR(E254&lt;&gt;"Freezer",J254=""),"",SUMPRODUCT(($E$5:$E$304="Freezer")*($J$5:$J$304&lt;J254))+SUMPRODUCT(($E$5:$E$304="Freezer")*($J$5:$J$304=J254)*(ROW($J$5:$J$304)&lt;ROW()))+1)</f>
        <v>0</v>
      </c>
      <c r="S254" s="7"/>
      <c r="T254" s="27"/>
      <c r="U254" s="28"/>
      <c r="V254" s="27"/>
      <c r="W254" s="7"/>
      <c r="X254" s="26"/>
      <c r="Y254" s="8">
        <f>IF(A254="","",IF(K254="Expired","Bin it",IF(K254="Use soon","Cook it",IF(O254="Low","Running low","Keep"))))</f>
        <v>0</v>
      </c>
      <c r="Z254" s="25"/>
    </row>
    <row r="255" spans="1:26">
      <c r="A255" s="7"/>
      <c r="B255" s="8">
        <f>IF(A255="","",IFERROR(INDEX(Ingredients!$B$5:$B$304,MATCH(A255,Ingredients!$A$5:$A$304,0)),""))</f>
        <v>0</v>
      </c>
      <c r="C255" s="26"/>
      <c r="D255" s="27"/>
      <c r="E255" s="27"/>
      <c r="F255" s="30"/>
      <c r="G255" s="30"/>
      <c r="H255" s="8">
        <f>IF(A255="","",IFERROR(INDEX(Ingredients!$M$5:$M$304,MATCH(A255,Ingredients!$A$5:$A$304,0)),""))</f>
        <v>0</v>
      </c>
      <c r="I255" s="8">
        <f>IF(OR(A255="",H255=""),"",IF(G255&lt;&gt;"",G255+H255,IF(F255&lt;&gt;"",F255+H255,"")))</f>
        <v>0</v>
      </c>
      <c r="J255" s="8">
        <f>IF(OR(A255="",I255=""),"",I255-TODAY())</f>
        <v>0</v>
      </c>
      <c r="K255" s="8">
        <f>IF(A255="","",IF(J255="","No date",IF(J255&lt;0,"Expired",IF(J255&lt;=Expiry_Warning_Days,"Use soon","Fresh"))))</f>
        <v>0</v>
      </c>
      <c r="L255" s="8">
        <f>IF(A255="","",COUNTIFS('Recipe Ingredients'!$B$5:$B$1204,A255))</f>
        <v>0</v>
      </c>
      <c r="M255" s="8">
        <f>IF(A255="","",IFERROR(INDEX(Ingredients!$X$5:$X$304,MATCH(A255,Ingredients!$A$5:$A$304,0)),""))</f>
        <v>0</v>
      </c>
      <c r="N255" s="8">
        <f>IF(OR(A255="",M255=""),"",IF(M255&lt;1,MAX(0,1*IFERROR(IFERROR(INDEX(Ingredients!$U$5:$U$304,MATCH(A255,Ingredients!$A$5:$A$304,0)),""),0)-C255),0))</f>
        <v>0</v>
      </c>
      <c r="O255" s="8">
        <f>IF(A255="","",IF(M255="","",IF(M255&lt;1,"Low","OK")))</f>
        <v>0</v>
      </c>
      <c r="P255" s="8">
        <f>IF(OR(A255="",C255=""),"",IFERROR(C255*IFERROR(INDEX(Ingredients!$D$5:$D$304,MATCH(A255,Ingredients!$A$5:$A$304,0)),""),""))</f>
        <v>0</v>
      </c>
      <c r="Q255" s="8">
        <f>IF(OR(E255&lt;&gt;"Fridge",J255=""),"",SUMPRODUCT(($E$5:$E$304="Fridge")*($J$5:$J$304&lt;J255))+SUMPRODUCT(($E$5:$E$304="Fridge")*($J$5:$J$304=J255)*(ROW($J$5:$J$304)&lt;ROW()))+1)</f>
        <v>0</v>
      </c>
      <c r="R255" s="8">
        <f>IF(OR(E255&lt;&gt;"Freezer",J255=""),"",SUMPRODUCT(($E$5:$E$304="Freezer")*($J$5:$J$304&lt;J255))+SUMPRODUCT(($E$5:$E$304="Freezer")*($J$5:$J$304=J255)*(ROW($J$5:$J$304)&lt;ROW()))+1)</f>
        <v>0</v>
      </c>
      <c r="S255" s="7"/>
      <c r="T255" s="27"/>
      <c r="U255" s="28"/>
      <c r="V255" s="27"/>
      <c r="W255" s="7"/>
      <c r="X255" s="26"/>
      <c r="Y255" s="8">
        <f>IF(A255="","",IF(K255="Expired","Bin it",IF(K255="Use soon","Cook it",IF(O255="Low","Running low","Keep"))))</f>
        <v>0</v>
      </c>
      <c r="Z255" s="25"/>
    </row>
    <row r="256" spans="1:26">
      <c r="A256" s="7"/>
      <c r="B256" s="8">
        <f>IF(A256="","",IFERROR(INDEX(Ingredients!$B$5:$B$304,MATCH(A256,Ingredients!$A$5:$A$304,0)),""))</f>
        <v>0</v>
      </c>
      <c r="C256" s="26"/>
      <c r="D256" s="27"/>
      <c r="E256" s="27"/>
      <c r="F256" s="30"/>
      <c r="G256" s="30"/>
      <c r="H256" s="8">
        <f>IF(A256="","",IFERROR(INDEX(Ingredients!$M$5:$M$304,MATCH(A256,Ingredients!$A$5:$A$304,0)),""))</f>
        <v>0</v>
      </c>
      <c r="I256" s="8">
        <f>IF(OR(A256="",H256=""),"",IF(G256&lt;&gt;"",G256+H256,IF(F256&lt;&gt;"",F256+H256,"")))</f>
        <v>0</v>
      </c>
      <c r="J256" s="8">
        <f>IF(OR(A256="",I256=""),"",I256-TODAY())</f>
        <v>0</v>
      </c>
      <c r="K256" s="8">
        <f>IF(A256="","",IF(J256="","No date",IF(J256&lt;0,"Expired",IF(J256&lt;=Expiry_Warning_Days,"Use soon","Fresh"))))</f>
        <v>0</v>
      </c>
      <c r="L256" s="8">
        <f>IF(A256="","",COUNTIFS('Recipe Ingredients'!$B$5:$B$1204,A256))</f>
        <v>0</v>
      </c>
      <c r="M256" s="8">
        <f>IF(A256="","",IFERROR(INDEX(Ingredients!$X$5:$X$304,MATCH(A256,Ingredients!$A$5:$A$304,0)),""))</f>
        <v>0</v>
      </c>
      <c r="N256" s="8">
        <f>IF(OR(A256="",M256=""),"",IF(M256&lt;1,MAX(0,1*IFERROR(IFERROR(INDEX(Ingredients!$U$5:$U$304,MATCH(A256,Ingredients!$A$5:$A$304,0)),""),0)-C256),0))</f>
        <v>0</v>
      </c>
      <c r="O256" s="8">
        <f>IF(A256="","",IF(M256="","",IF(M256&lt;1,"Low","OK")))</f>
        <v>0</v>
      </c>
      <c r="P256" s="8">
        <f>IF(OR(A256="",C256=""),"",IFERROR(C256*IFERROR(INDEX(Ingredients!$D$5:$D$304,MATCH(A256,Ingredients!$A$5:$A$304,0)),""),""))</f>
        <v>0</v>
      </c>
      <c r="Q256" s="8">
        <f>IF(OR(E256&lt;&gt;"Fridge",J256=""),"",SUMPRODUCT(($E$5:$E$304="Fridge")*($J$5:$J$304&lt;J256))+SUMPRODUCT(($E$5:$E$304="Fridge")*($J$5:$J$304=J256)*(ROW($J$5:$J$304)&lt;ROW()))+1)</f>
        <v>0</v>
      </c>
      <c r="R256" s="8">
        <f>IF(OR(E256&lt;&gt;"Freezer",J256=""),"",SUMPRODUCT(($E$5:$E$304="Freezer")*($J$5:$J$304&lt;J256))+SUMPRODUCT(($E$5:$E$304="Freezer")*($J$5:$J$304=J256)*(ROW($J$5:$J$304)&lt;ROW()))+1)</f>
        <v>0</v>
      </c>
      <c r="S256" s="7"/>
      <c r="T256" s="27"/>
      <c r="U256" s="28"/>
      <c r="V256" s="27"/>
      <c r="W256" s="7"/>
      <c r="X256" s="26"/>
      <c r="Y256" s="8">
        <f>IF(A256="","",IF(K256="Expired","Bin it",IF(K256="Use soon","Cook it",IF(O256="Low","Running low","Keep"))))</f>
        <v>0</v>
      </c>
      <c r="Z256" s="25"/>
    </row>
    <row r="257" spans="1:26">
      <c r="A257" s="7"/>
      <c r="B257" s="8">
        <f>IF(A257="","",IFERROR(INDEX(Ingredients!$B$5:$B$304,MATCH(A257,Ingredients!$A$5:$A$304,0)),""))</f>
        <v>0</v>
      </c>
      <c r="C257" s="26"/>
      <c r="D257" s="27"/>
      <c r="E257" s="27"/>
      <c r="F257" s="30"/>
      <c r="G257" s="30"/>
      <c r="H257" s="8">
        <f>IF(A257="","",IFERROR(INDEX(Ingredients!$M$5:$M$304,MATCH(A257,Ingredients!$A$5:$A$304,0)),""))</f>
        <v>0</v>
      </c>
      <c r="I257" s="8">
        <f>IF(OR(A257="",H257=""),"",IF(G257&lt;&gt;"",G257+H257,IF(F257&lt;&gt;"",F257+H257,"")))</f>
        <v>0</v>
      </c>
      <c r="J257" s="8">
        <f>IF(OR(A257="",I257=""),"",I257-TODAY())</f>
        <v>0</v>
      </c>
      <c r="K257" s="8">
        <f>IF(A257="","",IF(J257="","No date",IF(J257&lt;0,"Expired",IF(J257&lt;=Expiry_Warning_Days,"Use soon","Fresh"))))</f>
        <v>0</v>
      </c>
      <c r="L257" s="8">
        <f>IF(A257="","",COUNTIFS('Recipe Ingredients'!$B$5:$B$1204,A257))</f>
        <v>0</v>
      </c>
      <c r="M257" s="8">
        <f>IF(A257="","",IFERROR(INDEX(Ingredients!$X$5:$X$304,MATCH(A257,Ingredients!$A$5:$A$304,0)),""))</f>
        <v>0</v>
      </c>
      <c r="N257" s="8">
        <f>IF(OR(A257="",M257=""),"",IF(M257&lt;1,MAX(0,1*IFERROR(IFERROR(INDEX(Ingredients!$U$5:$U$304,MATCH(A257,Ingredients!$A$5:$A$304,0)),""),0)-C257),0))</f>
        <v>0</v>
      </c>
      <c r="O257" s="8">
        <f>IF(A257="","",IF(M257="","",IF(M257&lt;1,"Low","OK")))</f>
        <v>0</v>
      </c>
      <c r="P257" s="8">
        <f>IF(OR(A257="",C257=""),"",IFERROR(C257*IFERROR(INDEX(Ingredients!$D$5:$D$304,MATCH(A257,Ingredients!$A$5:$A$304,0)),""),""))</f>
        <v>0</v>
      </c>
      <c r="Q257" s="8">
        <f>IF(OR(E257&lt;&gt;"Fridge",J257=""),"",SUMPRODUCT(($E$5:$E$304="Fridge")*($J$5:$J$304&lt;J257))+SUMPRODUCT(($E$5:$E$304="Fridge")*($J$5:$J$304=J257)*(ROW($J$5:$J$304)&lt;ROW()))+1)</f>
        <v>0</v>
      </c>
      <c r="R257" s="8">
        <f>IF(OR(E257&lt;&gt;"Freezer",J257=""),"",SUMPRODUCT(($E$5:$E$304="Freezer")*($J$5:$J$304&lt;J257))+SUMPRODUCT(($E$5:$E$304="Freezer")*($J$5:$J$304=J257)*(ROW($J$5:$J$304)&lt;ROW()))+1)</f>
        <v>0</v>
      </c>
      <c r="S257" s="7"/>
      <c r="T257" s="27"/>
      <c r="U257" s="28"/>
      <c r="V257" s="27"/>
      <c r="W257" s="7"/>
      <c r="X257" s="26"/>
      <c r="Y257" s="8">
        <f>IF(A257="","",IF(K257="Expired","Bin it",IF(K257="Use soon","Cook it",IF(O257="Low","Running low","Keep"))))</f>
        <v>0</v>
      </c>
      <c r="Z257" s="25"/>
    </row>
    <row r="258" spans="1:26">
      <c r="A258" s="7"/>
      <c r="B258" s="8">
        <f>IF(A258="","",IFERROR(INDEX(Ingredients!$B$5:$B$304,MATCH(A258,Ingredients!$A$5:$A$304,0)),""))</f>
        <v>0</v>
      </c>
      <c r="C258" s="26"/>
      <c r="D258" s="27"/>
      <c r="E258" s="27"/>
      <c r="F258" s="30"/>
      <c r="G258" s="30"/>
      <c r="H258" s="8">
        <f>IF(A258="","",IFERROR(INDEX(Ingredients!$M$5:$M$304,MATCH(A258,Ingredients!$A$5:$A$304,0)),""))</f>
        <v>0</v>
      </c>
      <c r="I258" s="8">
        <f>IF(OR(A258="",H258=""),"",IF(G258&lt;&gt;"",G258+H258,IF(F258&lt;&gt;"",F258+H258,"")))</f>
        <v>0</v>
      </c>
      <c r="J258" s="8">
        <f>IF(OR(A258="",I258=""),"",I258-TODAY())</f>
        <v>0</v>
      </c>
      <c r="K258" s="8">
        <f>IF(A258="","",IF(J258="","No date",IF(J258&lt;0,"Expired",IF(J258&lt;=Expiry_Warning_Days,"Use soon","Fresh"))))</f>
        <v>0</v>
      </c>
      <c r="L258" s="8">
        <f>IF(A258="","",COUNTIFS('Recipe Ingredients'!$B$5:$B$1204,A258))</f>
        <v>0</v>
      </c>
      <c r="M258" s="8">
        <f>IF(A258="","",IFERROR(INDEX(Ingredients!$X$5:$X$304,MATCH(A258,Ingredients!$A$5:$A$304,0)),""))</f>
        <v>0</v>
      </c>
      <c r="N258" s="8">
        <f>IF(OR(A258="",M258=""),"",IF(M258&lt;1,MAX(0,1*IFERROR(IFERROR(INDEX(Ingredients!$U$5:$U$304,MATCH(A258,Ingredients!$A$5:$A$304,0)),""),0)-C258),0))</f>
        <v>0</v>
      </c>
      <c r="O258" s="8">
        <f>IF(A258="","",IF(M258="","",IF(M258&lt;1,"Low","OK")))</f>
        <v>0</v>
      </c>
      <c r="P258" s="8">
        <f>IF(OR(A258="",C258=""),"",IFERROR(C258*IFERROR(INDEX(Ingredients!$D$5:$D$304,MATCH(A258,Ingredients!$A$5:$A$304,0)),""),""))</f>
        <v>0</v>
      </c>
      <c r="Q258" s="8">
        <f>IF(OR(E258&lt;&gt;"Fridge",J258=""),"",SUMPRODUCT(($E$5:$E$304="Fridge")*($J$5:$J$304&lt;J258))+SUMPRODUCT(($E$5:$E$304="Fridge")*($J$5:$J$304=J258)*(ROW($J$5:$J$304)&lt;ROW()))+1)</f>
        <v>0</v>
      </c>
      <c r="R258" s="8">
        <f>IF(OR(E258&lt;&gt;"Freezer",J258=""),"",SUMPRODUCT(($E$5:$E$304="Freezer")*($J$5:$J$304&lt;J258))+SUMPRODUCT(($E$5:$E$304="Freezer")*($J$5:$J$304=J258)*(ROW($J$5:$J$304)&lt;ROW()))+1)</f>
        <v>0</v>
      </c>
      <c r="S258" s="7"/>
      <c r="T258" s="27"/>
      <c r="U258" s="28"/>
      <c r="V258" s="27"/>
      <c r="W258" s="7"/>
      <c r="X258" s="26"/>
      <c r="Y258" s="8">
        <f>IF(A258="","",IF(K258="Expired","Bin it",IF(K258="Use soon","Cook it",IF(O258="Low","Running low","Keep"))))</f>
        <v>0</v>
      </c>
      <c r="Z258" s="25"/>
    </row>
    <row r="259" spans="1:26">
      <c r="A259" s="7"/>
      <c r="B259" s="8">
        <f>IF(A259="","",IFERROR(INDEX(Ingredients!$B$5:$B$304,MATCH(A259,Ingredients!$A$5:$A$304,0)),""))</f>
        <v>0</v>
      </c>
      <c r="C259" s="26"/>
      <c r="D259" s="27"/>
      <c r="E259" s="27"/>
      <c r="F259" s="30"/>
      <c r="G259" s="30"/>
      <c r="H259" s="8">
        <f>IF(A259="","",IFERROR(INDEX(Ingredients!$M$5:$M$304,MATCH(A259,Ingredients!$A$5:$A$304,0)),""))</f>
        <v>0</v>
      </c>
      <c r="I259" s="8">
        <f>IF(OR(A259="",H259=""),"",IF(G259&lt;&gt;"",G259+H259,IF(F259&lt;&gt;"",F259+H259,"")))</f>
        <v>0</v>
      </c>
      <c r="J259" s="8">
        <f>IF(OR(A259="",I259=""),"",I259-TODAY())</f>
        <v>0</v>
      </c>
      <c r="K259" s="8">
        <f>IF(A259="","",IF(J259="","No date",IF(J259&lt;0,"Expired",IF(J259&lt;=Expiry_Warning_Days,"Use soon","Fresh"))))</f>
        <v>0</v>
      </c>
      <c r="L259" s="8">
        <f>IF(A259="","",COUNTIFS('Recipe Ingredients'!$B$5:$B$1204,A259))</f>
        <v>0</v>
      </c>
      <c r="M259" s="8">
        <f>IF(A259="","",IFERROR(INDEX(Ingredients!$X$5:$X$304,MATCH(A259,Ingredients!$A$5:$A$304,0)),""))</f>
        <v>0</v>
      </c>
      <c r="N259" s="8">
        <f>IF(OR(A259="",M259=""),"",IF(M259&lt;1,MAX(0,1*IFERROR(IFERROR(INDEX(Ingredients!$U$5:$U$304,MATCH(A259,Ingredients!$A$5:$A$304,0)),""),0)-C259),0))</f>
        <v>0</v>
      </c>
      <c r="O259" s="8">
        <f>IF(A259="","",IF(M259="","",IF(M259&lt;1,"Low","OK")))</f>
        <v>0</v>
      </c>
      <c r="P259" s="8">
        <f>IF(OR(A259="",C259=""),"",IFERROR(C259*IFERROR(INDEX(Ingredients!$D$5:$D$304,MATCH(A259,Ingredients!$A$5:$A$304,0)),""),""))</f>
        <v>0</v>
      </c>
      <c r="Q259" s="8">
        <f>IF(OR(E259&lt;&gt;"Fridge",J259=""),"",SUMPRODUCT(($E$5:$E$304="Fridge")*($J$5:$J$304&lt;J259))+SUMPRODUCT(($E$5:$E$304="Fridge")*($J$5:$J$304=J259)*(ROW($J$5:$J$304)&lt;ROW()))+1)</f>
        <v>0</v>
      </c>
      <c r="R259" s="8">
        <f>IF(OR(E259&lt;&gt;"Freezer",J259=""),"",SUMPRODUCT(($E$5:$E$304="Freezer")*($J$5:$J$304&lt;J259))+SUMPRODUCT(($E$5:$E$304="Freezer")*($J$5:$J$304=J259)*(ROW($J$5:$J$304)&lt;ROW()))+1)</f>
        <v>0</v>
      </c>
      <c r="S259" s="7"/>
      <c r="T259" s="27"/>
      <c r="U259" s="28"/>
      <c r="V259" s="27"/>
      <c r="W259" s="7"/>
      <c r="X259" s="26"/>
      <c r="Y259" s="8">
        <f>IF(A259="","",IF(K259="Expired","Bin it",IF(K259="Use soon","Cook it",IF(O259="Low","Running low","Keep"))))</f>
        <v>0</v>
      </c>
      <c r="Z259" s="25"/>
    </row>
    <row r="260" spans="1:26">
      <c r="A260" s="7"/>
      <c r="B260" s="8">
        <f>IF(A260="","",IFERROR(INDEX(Ingredients!$B$5:$B$304,MATCH(A260,Ingredients!$A$5:$A$304,0)),""))</f>
        <v>0</v>
      </c>
      <c r="C260" s="26"/>
      <c r="D260" s="27"/>
      <c r="E260" s="27"/>
      <c r="F260" s="30"/>
      <c r="G260" s="30"/>
      <c r="H260" s="8">
        <f>IF(A260="","",IFERROR(INDEX(Ingredients!$M$5:$M$304,MATCH(A260,Ingredients!$A$5:$A$304,0)),""))</f>
        <v>0</v>
      </c>
      <c r="I260" s="8">
        <f>IF(OR(A260="",H260=""),"",IF(G260&lt;&gt;"",G260+H260,IF(F260&lt;&gt;"",F260+H260,"")))</f>
        <v>0</v>
      </c>
      <c r="J260" s="8">
        <f>IF(OR(A260="",I260=""),"",I260-TODAY())</f>
        <v>0</v>
      </c>
      <c r="K260" s="8">
        <f>IF(A260="","",IF(J260="","No date",IF(J260&lt;0,"Expired",IF(J260&lt;=Expiry_Warning_Days,"Use soon","Fresh"))))</f>
        <v>0</v>
      </c>
      <c r="L260" s="8">
        <f>IF(A260="","",COUNTIFS('Recipe Ingredients'!$B$5:$B$1204,A260))</f>
        <v>0</v>
      </c>
      <c r="M260" s="8">
        <f>IF(A260="","",IFERROR(INDEX(Ingredients!$X$5:$X$304,MATCH(A260,Ingredients!$A$5:$A$304,0)),""))</f>
        <v>0</v>
      </c>
      <c r="N260" s="8">
        <f>IF(OR(A260="",M260=""),"",IF(M260&lt;1,MAX(0,1*IFERROR(IFERROR(INDEX(Ingredients!$U$5:$U$304,MATCH(A260,Ingredients!$A$5:$A$304,0)),""),0)-C260),0))</f>
        <v>0</v>
      </c>
      <c r="O260" s="8">
        <f>IF(A260="","",IF(M260="","",IF(M260&lt;1,"Low","OK")))</f>
        <v>0</v>
      </c>
      <c r="P260" s="8">
        <f>IF(OR(A260="",C260=""),"",IFERROR(C260*IFERROR(INDEX(Ingredients!$D$5:$D$304,MATCH(A260,Ingredients!$A$5:$A$304,0)),""),""))</f>
        <v>0</v>
      </c>
      <c r="Q260" s="8">
        <f>IF(OR(E260&lt;&gt;"Fridge",J260=""),"",SUMPRODUCT(($E$5:$E$304="Fridge")*($J$5:$J$304&lt;J260))+SUMPRODUCT(($E$5:$E$304="Fridge")*($J$5:$J$304=J260)*(ROW($J$5:$J$304)&lt;ROW()))+1)</f>
        <v>0</v>
      </c>
      <c r="R260" s="8">
        <f>IF(OR(E260&lt;&gt;"Freezer",J260=""),"",SUMPRODUCT(($E$5:$E$304="Freezer")*($J$5:$J$304&lt;J260))+SUMPRODUCT(($E$5:$E$304="Freezer")*($J$5:$J$304=J260)*(ROW($J$5:$J$304)&lt;ROW()))+1)</f>
        <v>0</v>
      </c>
      <c r="S260" s="7"/>
      <c r="T260" s="27"/>
      <c r="U260" s="28"/>
      <c r="V260" s="27"/>
      <c r="W260" s="7"/>
      <c r="X260" s="26"/>
      <c r="Y260" s="8">
        <f>IF(A260="","",IF(K260="Expired","Bin it",IF(K260="Use soon","Cook it",IF(O260="Low","Running low","Keep"))))</f>
        <v>0</v>
      </c>
      <c r="Z260" s="25"/>
    </row>
    <row r="261" spans="1:26">
      <c r="A261" s="7"/>
      <c r="B261" s="8">
        <f>IF(A261="","",IFERROR(INDEX(Ingredients!$B$5:$B$304,MATCH(A261,Ingredients!$A$5:$A$304,0)),""))</f>
        <v>0</v>
      </c>
      <c r="C261" s="26"/>
      <c r="D261" s="27"/>
      <c r="E261" s="27"/>
      <c r="F261" s="30"/>
      <c r="G261" s="30"/>
      <c r="H261" s="8">
        <f>IF(A261="","",IFERROR(INDEX(Ingredients!$M$5:$M$304,MATCH(A261,Ingredients!$A$5:$A$304,0)),""))</f>
        <v>0</v>
      </c>
      <c r="I261" s="8">
        <f>IF(OR(A261="",H261=""),"",IF(G261&lt;&gt;"",G261+H261,IF(F261&lt;&gt;"",F261+H261,"")))</f>
        <v>0</v>
      </c>
      <c r="J261" s="8">
        <f>IF(OR(A261="",I261=""),"",I261-TODAY())</f>
        <v>0</v>
      </c>
      <c r="K261" s="8">
        <f>IF(A261="","",IF(J261="","No date",IF(J261&lt;0,"Expired",IF(J261&lt;=Expiry_Warning_Days,"Use soon","Fresh"))))</f>
        <v>0</v>
      </c>
      <c r="L261" s="8">
        <f>IF(A261="","",COUNTIFS('Recipe Ingredients'!$B$5:$B$1204,A261))</f>
        <v>0</v>
      </c>
      <c r="M261" s="8">
        <f>IF(A261="","",IFERROR(INDEX(Ingredients!$X$5:$X$304,MATCH(A261,Ingredients!$A$5:$A$304,0)),""))</f>
        <v>0</v>
      </c>
      <c r="N261" s="8">
        <f>IF(OR(A261="",M261=""),"",IF(M261&lt;1,MAX(0,1*IFERROR(IFERROR(INDEX(Ingredients!$U$5:$U$304,MATCH(A261,Ingredients!$A$5:$A$304,0)),""),0)-C261),0))</f>
        <v>0</v>
      </c>
      <c r="O261" s="8">
        <f>IF(A261="","",IF(M261="","",IF(M261&lt;1,"Low","OK")))</f>
        <v>0</v>
      </c>
      <c r="P261" s="8">
        <f>IF(OR(A261="",C261=""),"",IFERROR(C261*IFERROR(INDEX(Ingredients!$D$5:$D$304,MATCH(A261,Ingredients!$A$5:$A$304,0)),""),""))</f>
        <v>0</v>
      </c>
      <c r="Q261" s="8">
        <f>IF(OR(E261&lt;&gt;"Fridge",J261=""),"",SUMPRODUCT(($E$5:$E$304="Fridge")*($J$5:$J$304&lt;J261))+SUMPRODUCT(($E$5:$E$304="Fridge")*($J$5:$J$304=J261)*(ROW($J$5:$J$304)&lt;ROW()))+1)</f>
        <v>0</v>
      </c>
      <c r="R261" s="8">
        <f>IF(OR(E261&lt;&gt;"Freezer",J261=""),"",SUMPRODUCT(($E$5:$E$304="Freezer")*($J$5:$J$304&lt;J261))+SUMPRODUCT(($E$5:$E$304="Freezer")*($J$5:$J$304=J261)*(ROW($J$5:$J$304)&lt;ROW()))+1)</f>
        <v>0</v>
      </c>
      <c r="S261" s="7"/>
      <c r="T261" s="27"/>
      <c r="U261" s="28"/>
      <c r="V261" s="27"/>
      <c r="W261" s="7"/>
      <c r="X261" s="26"/>
      <c r="Y261" s="8">
        <f>IF(A261="","",IF(K261="Expired","Bin it",IF(K261="Use soon","Cook it",IF(O261="Low","Running low","Keep"))))</f>
        <v>0</v>
      </c>
      <c r="Z261" s="25"/>
    </row>
    <row r="262" spans="1:26">
      <c r="A262" s="7"/>
      <c r="B262" s="8">
        <f>IF(A262="","",IFERROR(INDEX(Ingredients!$B$5:$B$304,MATCH(A262,Ingredients!$A$5:$A$304,0)),""))</f>
        <v>0</v>
      </c>
      <c r="C262" s="26"/>
      <c r="D262" s="27"/>
      <c r="E262" s="27"/>
      <c r="F262" s="30"/>
      <c r="G262" s="30"/>
      <c r="H262" s="8">
        <f>IF(A262="","",IFERROR(INDEX(Ingredients!$M$5:$M$304,MATCH(A262,Ingredients!$A$5:$A$304,0)),""))</f>
        <v>0</v>
      </c>
      <c r="I262" s="8">
        <f>IF(OR(A262="",H262=""),"",IF(G262&lt;&gt;"",G262+H262,IF(F262&lt;&gt;"",F262+H262,"")))</f>
        <v>0</v>
      </c>
      <c r="J262" s="8">
        <f>IF(OR(A262="",I262=""),"",I262-TODAY())</f>
        <v>0</v>
      </c>
      <c r="K262" s="8">
        <f>IF(A262="","",IF(J262="","No date",IF(J262&lt;0,"Expired",IF(J262&lt;=Expiry_Warning_Days,"Use soon","Fresh"))))</f>
        <v>0</v>
      </c>
      <c r="L262" s="8">
        <f>IF(A262="","",COUNTIFS('Recipe Ingredients'!$B$5:$B$1204,A262))</f>
        <v>0</v>
      </c>
      <c r="M262" s="8">
        <f>IF(A262="","",IFERROR(INDEX(Ingredients!$X$5:$X$304,MATCH(A262,Ingredients!$A$5:$A$304,0)),""))</f>
        <v>0</v>
      </c>
      <c r="N262" s="8">
        <f>IF(OR(A262="",M262=""),"",IF(M262&lt;1,MAX(0,1*IFERROR(IFERROR(INDEX(Ingredients!$U$5:$U$304,MATCH(A262,Ingredients!$A$5:$A$304,0)),""),0)-C262),0))</f>
        <v>0</v>
      </c>
      <c r="O262" s="8">
        <f>IF(A262="","",IF(M262="","",IF(M262&lt;1,"Low","OK")))</f>
        <v>0</v>
      </c>
      <c r="P262" s="8">
        <f>IF(OR(A262="",C262=""),"",IFERROR(C262*IFERROR(INDEX(Ingredients!$D$5:$D$304,MATCH(A262,Ingredients!$A$5:$A$304,0)),""),""))</f>
        <v>0</v>
      </c>
      <c r="Q262" s="8">
        <f>IF(OR(E262&lt;&gt;"Fridge",J262=""),"",SUMPRODUCT(($E$5:$E$304="Fridge")*($J$5:$J$304&lt;J262))+SUMPRODUCT(($E$5:$E$304="Fridge")*($J$5:$J$304=J262)*(ROW($J$5:$J$304)&lt;ROW()))+1)</f>
        <v>0</v>
      </c>
      <c r="R262" s="8">
        <f>IF(OR(E262&lt;&gt;"Freezer",J262=""),"",SUMPRODUCT(($E$5:$E$304="Freezer")*($J$5:$J$304&lt;J262))+SUMPRODUCT(($E$5:$E$304="Freezer")*($J$5:$J$304=J262)*(ROW($J$5:$J$304)&lt;ROW()))+1)</f>
        <v>0</v>
      </c>
      <c r="S262" s="7"/>
      <c r="T262" s="27"/>
      <c r="U262" s="28"/>
      <c r="V262" s="27"/>
      <c r="W262" s="7"/>
      <c r="X262" s="26"/>
      <c r="Y262" s="8">
        <f>IF(A262="","",IF(K262="Expired","Bin it",IF(K262="Use soon","Cook it",IF(O262="Low","Running low","Keep"))))</f>
        <v>0</v>
      </c>
      <c r="Z262" s="25"/>
    </row>
    <row r="263" spans="1:26">
      <c r="A263" s="7"/>
      <c r="B263" s="8">
        <f>IF(A263="","",IFERROR(INDEX(Ingredients!$B$5:$B$304,MATCH(A263,Ingredients!$A$5:$A$304,0)),""))</f>
        <v>0</v>
      </c>
      <c r="C263" s="26"/>
      <c r="D263" s="27"/>
      <c r="E263" s="27"/>
      <c r="F263" s="30"/>
      <c r="G263" s="30"/>
      <c r="H263" s="8">
        <f>IF(A263="","",IFERROR(INDEX(Ingredients!$M$5:$M$304,MATCH(A263,Ingredients!$A$5:$A$304,0)),""))</f>
        <v>0</v>
      </c>
      <c r="I263" s="8">
        <f>IF(OR(A263="",H263=""),"",IF(G263&lt;&gt;"",G263+H263,IF(F263&lt;&gt;"",F263+H263,"")))</f>
        <v>0</v>
      </c>
      <c r="J263" s="8">
        <f>IF(OR(A263="",I263=""),"",I263-TODAY())</f>
        <v>0</v>
      </c>
      <c r="K263" s="8">
        <f>IF(A263="","",IF(J263="","No date",IF(J263&lt;0,"Expired",IF(J263&lt;=Expiry_Warning_Days,"Use soon","Fresh"))))</f>
        <v>0</v>
      </c>
      <c r="L263" s="8">
        <f>IF(A263="","",COUNTIFS('Recipe Ingredients'!$B$5:$B$1204,A263))</f>
        <v>0</v>
      </c>
      <c r="M263" s="8">
        <f>IF(A263="","",IFERROR(INDEX(Ingredients!$X$5:$X$304,MATCH(A263,Ingredients!$A$5:$A$304,0)),""))</f>
        <v>0</v>
      </c>
      <c r="N263" s="8">
        <f>IF(OR(A263="",M263=""),"",IF(M263&lt;1,MAX(0,1*IFERROR(IFERROR(INDEX(Ingredients!$U$5:$U$304,MATCH(A263,Ingredients!$A$5:$A$304,0)),""),0)-C263),0))</f>
        <v>0</v>
      </c>
      <c r="O263" s="8">
        <f>IF(A263="","",IF(M263="","",IF(M263&lt;1,"Low","OK")))</f>
        <v>0</v>
      </c>
      <c r="P263" s="8">
        <f>IF(OR(A263="",C263=""),"",IFERROR(C263*IFERROR(INDEX(Ingredients!$D$5:$D$304,MATCH(A263,Ingredients!$A$5:$A$304,0)),""),""))</f>
        <v>0</v>
      </c>
      <c r="Q263" s="8">
        <f>IF(OR(E263&lt;&gt;"Fridge",J263=""),"",SUMPRODUCT(($E$5:$E$304="Fridge")*($J$5:$J$304&lt;J263))+SUMPRODUCT(($E$5:$E$304="Fridge")*($J$5:$J$304=J263)*(ROW($J$5:$J$304)&lt;ROW()))+1)</f>
        <v>0</v>
      </c>
      <c r="R263" s="8">
        <f>IF(OR(E263&lt;&gt;"Freezer",J263=""),"",SUMPRODUCT(($E$5:$E$304="Freezer")*($J$5:$J$304&lt;J263))+SUMPRODUCT(($E$5:$E$304="Freezer")*($J$5:$J$304=J263)*(ROW($J$5:$J$304)&lt;ROW()))+1)</f>
        <v>0</v>
      </c>
      <c r="S263" s="7"/>
      <c r="T263" s="27"/>
      <c r="U263" s="28"/>
      <c r="V263" s="27"/>
      <c r="W263" s="7"/>
      <c r="X263" s="26"/>
      <c r="Y263" s="8">
        <f>IF(A263="","",IF(K263="Expired","Bin it",IF(K263="Use soon","Cook it",IF(O263="Low","Running low","Keep"))))</f>
        <v>0</v>
      </c>
      <c r="Z263" s="25"/>
    </row>
    <row r="264" spans="1:26">
      <c r="A264" s="7"/>
      <c r="B264" s="8">
        <f>IF(A264="","",IFERROR(INDEX(Ingredients!$B$5:$B$304,MATCH(A264,Ingredients!$A$5:$A$304,0)),""))</f>
        <v>0</v>
      </c>
      <c r="C264" s="26"/>
      <c r="D264" s="27"/>
      <c r="E264" s="27"/>
      <c r="F264" s="30"/>
      <c r="G264" s="30"/>
      <c r="H264" s="8">
        <f>IF(A264="","",IFERROR(INDEX(Ingredients!$M$5:$M$304,MATCH(A264,Ingredients!$A$5:$A$304,0)),""))</f>
        <v>0</v>
      </c>
      <c r="I264" s="8">
        <f>IF(OR(A264="",H264=""),"",IF(G264&lt;&gt;"",G264+H264,IF(F264&lt;&gt;"",F264+H264,"")))</f>
        <v>0</v>
      </c>
      <c r="J264" s="8">
        <f>IF(OR(A264="",I264=""),"",I264-TODAY())</f>
        <v>0</v>
      </c>
      <c r="K264" s="8">
        <f>IF(A264="","",IF(J264="","No date",IF(J264&lt;0,"Expired",IF(J264&lt;=Expiry_Warning_Days,"Use soon","Fresh"))))</f>
        <v>0</v>
      </c>
      <c r="L264" s="8">
        <f>IF(A264="","",COUNTIFS('Recipe Ingredients'!$B$5:$B$1204,A264))</f>
        <v>0</v>
      </c>
      <c r="M264" s="8">
        <f>IF(A264="","",IFERROR(INDEX(Ingredients!$X$5:$X$304,MATCH(A264,Ingredients!$A$5:$A$304,0)),""))</f>
        <v>0</v>
      </c>
      <c r="N264" s="8">
        <f>IF(OR(A264="",M264=""),"",IF(M264&lt;1,MAX(0,1*IFERROR(IFERROR(INDEX(Ingredients!$U$5:$U$304,MATCH(A264,Ingredients!$A$5:$A$304,0)),""),0)-C264),0))</f>
        <v>0</v>
      </c>
      <c r="O264" s="8">
        <f>IF(A264="","",IF(M264="","",IF(M264&lt;1,"Low","OK")))</f>
        <v>0</v>
      </c>
      <c r="P264" s="8">
        <f>IF(OR(A264="",C264=""),"",IFERROR(C264*IFERROR(INDEX(Ingredients!$D$5:$D$304,MATCH(A264,Ingredients!$A$5:$A$304,0)),""),""))</f>
        <v>0</v>
      </c>
      <c r="Q264" s="8">
        <f>IF(OR(E264&lt;&gt;"Fridge",J264=""),"",SUMPRODUCT(($E$5:$E$304="Fridge")*($J$5:$J$304&lt;J264))+SUMPRODUCT(($E$5:$E$304="Fridge")*($J$5:$J$304=J264)*(ROW($J$5:$J$304)&lt;ROW()))+1)</f>
        <v>0</v>
      </c>
      <c r="R264" s="8">
        <f>IF(OR(E264&lt;&gt;"Freezer",J264=""),"",SUMPRODUCT(($E$5:$E$304="Freezer")*($J$5:$J$304&lt;J264))+SUMPRODUCT(($E$5:$E$304="Freezer")*($J$5:$J$304=J264)*(ROW($J$5:$J$304)&lt;ROW()))+1)</f>
        <v>0</v>
      </c>
      <c r="S264" s="7"/>
      <c r="T264" s="27"/>
      <c r="U264" s="28"/>
      <c r="V264" s="27"/>
      <c r="W264" s="7"/>
      <c r="X264" s="26"/>
      <c r="Y264" s="8">
        <f>IF(A264="","",IF(K264="Expired","Bin it",IF(K264="Use soon","Cook it",IF(O264="Low","Running low","Keep"))))</f>
        <v>0</v>
      </c>
      <c r="Z264" s="25"/>
    </row>
    <row r="265" spans="1:26">
      <c r="A265" s="7"/>
      <c r="B265" s="8">
        <f>IF(A265="","",IFERROR(INDEX(Ingredients!$B$5:$B$304,MATCH(A265,Ingredients!$A$5:$A$304,0)),""))</f>
        <v>0</v>
      </c>
      <c r="C265" s="26"/>
      <c r="D265" s="27"/>
      <c r="E265" s="27"/>
      <c r="F265" s="30"/>
      <c r="G265" s="30"/>
      <c r="H265" s="8">
        <f>IF(A265="","",IFERROR(INDEX(Ingredients!$M$5:$M$304,MATCH(A265,Ingredients!$A$5:$A$304,0)),""))</f>
        <v>0</v>
      </c>
      <c r="I265" s="8">
        <f>IF(OR(A265="",H265=""),"",IF(G265&lt;&gt;"",G265+H265,IF(F265&lt;&gt;"",F265+H265,"")))</f>
        <v>0</v>
      </c>
      <c r="J265" s="8">
        <f>IF(OR(A265="",I265=""),"",I265-TODAY())</f>
        <v>0</v>
      </c>
      <c r="K265" s="8">
        <f>IF(A265="","",IF(J265="","No date",IF(J265&lt;0,"Expired",IF(J265&lt;=Expiry_Warning_Days,"Use soon","Fresh"))))</f>
        <v>0</v>
      </c>
      <c r="L265" s="8">
        <f>IF(A265="","",COUNTIFS('Recipe Ingredients'!$B$5:$B$1204,A265))</f>
        <v>0</v>
      </c>
      <c r="M265" s="8">
        <f>IF(A265="","",IFERROR(INDEX(Ingredients!$X$5:$X$304,MATCH(A265,Ingredients!$A$5:$A$304,0)),""))</f>
        <v>0</v>
      </c>
      <c r="N265" s="8">
        <f>IF(OR(A265="",M265=""),"",IF(M265&lt;1,MAX(0,1*IFERROR(IFERROR(INDEX(Ingredients!$U$5:$U$304,MATCH(A265,Ingredients!$A$5:$A$304,0)),""),0)-C265),0))</f>
        <v>0</v>
      </c>
      <c r="O265" s="8">
        <f>IF(A265="","",IF(M265="","",IF(M265&lt;1,"Low","OK")))</f>
        <v>0</v>
      </c>
      <c r="P265" s="8">
        <f>IF(OR(A265="",C265=""),"",IFERROR(C265*IFERROR(INDEX(Ingredients!$D$5:$D$304,MATCH(A265,Ingredients!$A$5:$A$304,0)),""),""))</f>
        <v>0</v>
      </c>
      <c r="Q265" s="8">
        <f>IF(OR(E265&lt;&gt;"Fridge",J265=""),"",SUMPRODUCT(($E$5:$E$304="Fridge")*($J$5:$J$304&lt;J265))+SUMPRODUCT(($E$5:$E$304="Fridge")*($J$5:$J$304=J265)*(ROW($J$5:$J$304)&lt;ROW()))+1)</f>
        <v>0</v>
      </c>
      <c r="R265" s="8">
        <f>IF(OR(E265&lt;&gt;"Freezer",J265=""),"",SUMPRODUCT(($E$5:$E$304="Freezer")*($J$5:$J$304&lt;J265))+SUMPRODUCT(($E$5:$E$304="Freezer")*($J$5:$J$304=J265)*(ROW($J$5:$J$304)&lt;ROW()))+1)</f>
        <v>0</v>
      </c>
      <c r="S265" s="7"/>
      <c r="T265" s="27"/>
      <c r="U265" s="28"/>
      <c r="V265" s="27"/>
      <c r="W265" s="7"/>
      <c r="X265" s="26"/>
      <c r="Y265" s="8">
        <f>IF(A265="","",IF(K265="Expired","Bin it",IF(K265="Use soon","Cook it",IF(O265="Low","Running low","Keep"))))</f>
        <v>0</v>
      </c>
      <c r="Z265" s="25"/>
    </row>
    <row r="266" spans="1:26">
      <c r="A266" s="7"/>
      <c r="B266" s="8">
        <f>IF(A266="","",IFERROR(INDEX(Ingredients!$B$5:$B$304,MATCH(A266,Ingredients!$A$5:$A$304,0)),""))</f>
        <v>0</v>
      </c>
      <c r="C266" s="26"/>
      <c r="D266" s="27"/>
      <c r="E266" s="27"/>
      <c r="F266" s="30"/>
      <c r="G266" s="30"/>
      <c r="H266" s="8">
        <f>IF(A266="","",IFERROR(INDEX(Ingredients!$M$5:$M$304,MATCH(A266,Ingredients!$A$5:$A$304,0)),""))</f>
        <v>0</v>
      </c>
      <c r="I266" s="8">
        <f>IF(OR(A266="",H266=""),"",IF(G266&lt;&gt;"",G266+H266,IF(F266&lt;&gt;"",F266+H266,"")))</f>
        <v>0</v>
      </c>
      <c r="J266" s="8">
        <f>IF(OR(A266="",I266=""),"",I266-TODAY())</f>
        <v>0</v>
      </c>
      <c r="K266" s="8">
        <f>IF(A266="","",IF(J266="","No date",IF(J266&lt;0,"Expired",IF(J266&lt;=Expiry_Warning_Days,"Use soon","Fresh"))))</f>
        <v>0</v>
      </c>
      <c r="L266" s="8">
        <f>IF(A266="","",COUNTIFS('Recipe Ingredients'!$B$5:$B$1204,A266))</f>
        <v>0</v>
      </c>
      <c r="M266" s="8">
        <f>IF(A266="","",IFERROR(INDEX(Ingredients!$X$5:$X$304,MATCH(A266,Ingredients!$A$5:$A$304,0)),""))</f>
        <v>0</v>
      </c>
      <c r="N266" s="8">
        <f>IF(OR(A266="",M266=""),"",IF(M266&lt;1,MAX(0,1*IFERROR(IFERROR(INDEX(Ingredients!$U$5:$U$304,MATCH(A266,Ingredients!$A$5:$A$304,0)),""),0)-C266),0))</f>
        <v>0</v>
      </c>
      <c r="O266" s="8">
        <f>IF(A266="","",IF(M266="","",IF(M266&lt;1,"Low","OK")))</f>
        <v>0</v>
      </c>
      <c r="P266" s="8">
        <f>IF(OR(A266="",C266=""),"",IFERROR(C266*IFERROR(INDEX(Ingredients!$D$5:$D$304,MATCH(A266,Ingredients!$A$5:$A$304,0)),""),""))</f>
        <v>0</v>
      </c>
      <c r="Q266" s="8">
        <f>IF(OR(E266&lt;&gt;"Fridge",J266=""),"",SUMPRODUCT(($E$5:$E$304="Fridge")*($J$5:$J$304&lt;J266))+SUMPRODUCT(($E$5:$E$304="Fridge")*($J$5:$J$304=J266)*(ROW($J$5:$J$304)&lt;ROW()))+1)</f>
        <v>0</v>
      </c>
      <c r="R266" s="8">
        <f>IF(OR(E266&lt;&gt;"Freezer",J266=""),"",SUMPRODUCT(($E$5:$E$304="Freezer")*($J$5:$J$304&lt;J266))+SUMPRODUCT(($E$5:$E$304="Freezer")*($J$5:$J$304=J266)*(ROW($J$5:$J$304)&lt;ROW()))+1)</f>
        <v>0</v>
      </c>
      <c r="S266" s="7"/>
      <c r="T266" s="27"/>
      <c r="U266" s="28"/>
      <c r="V266" s="27"/>
      <c r="W266" s="7"/>
      <c r="X266" s="26"/>
      <c r="Y266" s="8">
        <f>IF(A266="","",IF(K266="Expired","Bin it",IF(K266="Use soon","Cook it",IF(O266="Low","Running low","Keep"))))</f>
        <v>0</v>
      </c>
      <c r="Z266" s="25"/>
    </row>
    <row r="267" spans="1:26">
      <c r="A267" s="7"/>
      <c r="B267" s="8">
        <f>IF(A267="","",IFERROR(INDEX(Ingredients!$B$5:$B$304,MATCH(A267,Ingredients!$A$5:$A$304,0)),""))</f>
        <v>0</v>
      </c>
      <c r="C267" s="26"/>
      <c r="D267" s="27"/>
      <c r="E267" s="27"/>
      <c r="F267" s="30"/>
      <c r="G267" s="30"/>
      <c r="H267" s="8">
        <f>IF(A267="","",IFERROR(INDEX(Ingredients!$M$5:$M$304,MATCH(A267,Ingredients!$A$5:$A$304,0)),""))</f>
        <v>0</v>
      </c>
      <c r="I267" s="8">
        <f>IF(OR(A267="",H267=""),"",IF(G267&lt;&gt;"",G267+H267,IF(F267&lt;&gt;"",F267+H267,"")))</f>
        <v>0</v>
      </c>
      <c r="J267" s="8">
        <f>IF(OR(A267="",I267=""),"",I267-TODAY())</f>
        <v>0</v>
      </c>
      <c r="K267" s="8">
        <f>IF(A267="","",IF(J267="","No date",IF(J267&lt;0,"Expired",IF(J267&lt;=Expiry_Warning_Days,"Use soon","Fresh"))))</f>
        <v>0</v>
      </c>
      <c r="L267" s="8">
        <f>IF(A267="","",COUNTIFS('Recipe Ingredients'!$B$5:$B$1204,A267))</f>
        <v>0</v>
      </c>
      <c r="M267" s="8">
        <f>IF(A267="","",IFERROR(INDEX(Ingredients!$X$5:$X$304,MATCH(A267,Ingredients!$A$5:$A$304,0)),""))</f>
        <v>0</v>
      </c>
      <c r="N267" s="8">
        <f>IF(OR(A267="",M267=""),"",IF(M267&lt;1,MAX(0,1*IFERROR(IFERROR(INDEX(Ingredients!$U$5:$U$304,MATCH(A267,Ingredients!$A$5:$A$304,0)),""),0)-C267),0))</f>
        <v>0</v>
      </c>
      <c r="O267" s="8">
        <f>IF(A267="","",IF(M267="","",IF(M267&lt;1,"Low","OK")))</f>
        <v>0</v>
      </c>
      <c r="P267" s="8">
        <f>IF(OR(A267="",C267=""),"",IFERROR(C267*IFERROR(INDEX(Ingredients!$D$5:$D$304,MATCH(A267,Ingredients!$A$5:$A$304,0)),""),""))</f>
        <v>0</v>
      </c>
      <c r="Q267" s="8">
        <f>IF(OR(E267&lt;&gt;"Fridge",J267=""),"",SUMPRODUCT(($E$5:$E$304="Fridge")*($J$5:$J$304&lt;J267))+SUMPRODUCT(($E$5:$E$304="Fridge")*($J$5:$J$304=J267)*(ROW($J$5:$J$304)&lt;ROW()))+1)</f>
        <v>0</v>
      </c>
      <c r="R267" s="8">
        <f>IF(OR(E267&lt;&gt;"Freezer",J267=""),"",SUMPRODUCT(($E$5:$E$304="Freezer")*($J$5:$J$304&lt;J267))+SUMPRODUCT(($E$5:$E$304="Freezer")*($J$5:$J$304=J267)*(ROW($J$5:$J$304)&lt;ROW()))+1)</f>
        <v>0</v>
      </c>
      <c r="S267" s="7"/>
      <c r="T267" s="27"/>
      <c r="U267" s="28"/>
      <c r="V267" s="27"/>
      <c r="W267" s="7"/>
      <c r="X267" s="26"/>
      <c r="Y267" s="8">
        <f>IF(A267="","",IF(K267="Expired","Bin it",IF(K267="Use soon","Cook it",IF(O267="Low","Running low","Keep"))))</f>
        <v>0</v>
      </c>
      <c r="Z267" s="25"/>
    </row>
    <row r="268" spans="1:26">
      <c r="A268" s="7"/>
      <c r="B268" s="8">
        <f>IF(A268="","",IFERROR(INDEX(Ingredients!$B$5:$B$304,MATCH(A268,Ingredients!$A$5:$A$304,0)),""))</f>
        <v>0</v>
      </c>
      <c r="C268" s="26"/>
      <c r="D268" s="27"/>
      <c r="E268" s="27"/>
      <c r="F268" s="30"/>
      <c r="G268" s="30"/>
      <c r="H268" s="8">
        <f>IF(A268="","",IFERROR(INDEX(Ingredients!$M$5:$M$304,MATCH(A268,Ingredients!$A$5:$A$304,0)),""))</f>
        <v>0</v>
      </c>
      <c r="I268" s="8">
        <f>IF(OR(A268="",H268=""),"",IF(G268&lt;&gt;"",G268+H268,IF(F268&lt;&gt;"",F268+H268,"")))</f>
        <v>0</v>
      </c>
      <c r="J268" s="8">
        <f>IF(OR(A268="",I268=""),"",I268-TODAY())</f>
        <v>0</v>
      </c>
      <c r="K268" s="8">
        <f>IF(A268="","",IF(J268="","No date",IF(J268&lt;0,"Expired",IF(J268&lt;=Expiry_Warning_Days,"Use soon","Fresh"))))</f>
        <v>0</v>
      </c>
      <c r="L268" s="8">
        <f>IF(A268="","",COUNTIFS('Recipe Ingredients'!$B$5:$B$1204,A268))</f>
        <v>0</v>
      </c>
      <c r="M268" s="8">
        <f>IF(A268="","",IFERROR(INDEX(Ingredients!$X$5:$X$304,MATCH(A268,Ingredients!$A$5:$A$304,0)),""))</f>
        <v>0</v>
      </c>
      <c r="N268" s="8">
        <f>IF(OR(A268="",M268=""),"",IF(M268&lt;1,MAX(0,1*IFERROR(IFERROR(INDEX(Ingredients!$U$5:$U$304,MATCH(A268,Ingredients!$A$5:$A$304,0)),""),0)-C268),0))</f>
        <v>0</v>
      </c>
      <c r="O268" s="8">
        <f>IF(A268="","",IF(M268="","",IF(M268&lt;1,"Low","OK")))</f>
        <v>0</v>
      </c>
      <c r="P268" s="8">
        <f>IF(OR(A268="",C268=""),"",IFERROR(C268*IFERROR(INDEX(Ingredients!$D$5:$D$304,MATCH(A268,Ingredients!$A$5:$A$304,0)),""),""))</f>
        <v>0</v>
      </c>
      <c r="Q268" s="8">
        <f>IF(OR(E268&lt;&gt;"Fridge",J268=""),"",SUMPRODUCT(($E$5:$E$304="Fridge")*($J$5:$J$304&lt;J268))+SUMPRODUCT(($E$5:$E$304="Fridge")*($J$5:$J$304=J268)*(ROW($J$5:$J$304)&lt;ROW()))+1)</f>
        <v>0</v>
      </c>
      <c r="R268" s="8">
        <f>IF(OR(E268&lt;&gt;"Freezer",J268=""),"",SUMPRODUCT(($E$5:$E$304="Freezer")*($J$5:$J$304&lt;J268))+SUMPRODUCT(($E$5:$E$304="Freezer")*($J$5:$J$304=J268)*(ROW($J$5:$J$304)&lt;ROW()))+1)</f>
        <v>0</v>
      </c>
      <c r="S268" s="7"/>
      <c r="T268" s="27"/>
      <c r="U268" s="28"/>
      <c r="V268" s="27"/>
      <c r="W268" s="7"/>
      <c r="X268" s="26"/>
      <c r="Y268" s="8">
        <f>IF(A268="","",IF(K268="Expired","Bin it",IF(K268="Use soon","Cook it",IF(O268="Low","Running low","Keep"))))</f>
        <v>0</v>
      </c>
      <c r="Z268" s="25"/>
    </row>
    <row r="269" spans="1:26">
      <c r="A269" s="7"/>
      <c r="B269" s="8">
        <f>IF(A269="","",IFERROR(INDEX(Ingredients!$B$5:$B$304,MATCH(A269,Ingredients!$A$5:$A$304,0)),""))</f>
        <v>0</v>
      </c>
      <c r="C269" s="26"/>
      <c r="D269" s="27"/>
      <c r="E269" s="27"/>
      <c r="F269" s="30"/>
      <c r="G269" s="30"/>
      <c r="H269" s="8">
        <f>IF(A269="","",IFERROR(INDEX(Ingredients!$M$5:$M$304,MATCH(A269,Ingredients!$A$5:$A$304,0)),""))</f>
        <v>0</v>
      </c>
      <c r="I269" s="8">
        <f>IF(OR(A269="",H269=""),"",IF(G269&lt;&gt;"",G269+H269,IF(F269&lt;&gt;"",F269+H269,"")))</f>
        <v>0</v>
      </c>
      <c r="J269" s="8">
        <f>IF(OR(A269="",I269=""),"",I269-TODAY())</f>
        <v>0</v>
      </c>
      <c r="K269" s="8">
        <f>IF(A269="","",IF(J269="","No date",IF(J269&lt;0,"Expired",IF(J269&lt;=Expiry_Warning_Days,"Use soon","Fresh"))))</f>
        <v>0</v>
      </c>
      <c r="L269" s="8">
        <f>IF(A269="","",COUNTIFS('Recipe Ingredients'!$B$5:$B$1204,A269))</f>
        <v>0</v>
      </c>
      <c r="M269" s="8">
        <f>IF(A269="","",IFERROR(INDEX(Ingredients!$X$5:$X$304,MATCH(A269,Ingredients!$A$5:$A$304,0)),""))</f>
        <v>0</v>
      </c>
      <c r="N269" s="8">
        <f>IF(OR(A269="",M269=""),"",IF(M269&lt;1,MAX(0,1*IFERROR(IFERROR(INDEX(Ingredients!$U$5:$U$304,MATCH(A269,Ingredients!$A$5:$A$304,0)),""),0)-C269),0))</f>
        <v>0</v>
      </c>
      <c r="O269" s="8">
        <f>IF(A269="","",IF(M269="","",IF(M269&lt;1,"Low","OK")))</f>
        <v>0</v>
      </c>
      <c r="P269" s="8">
        <f>IF(OR(A269="",C269=""),"",IFERROR(C269*IFERROR(INDEX(Ingredients!$D$5:$D$304,MATCH(A269,Ingredients!$A$5:$A$304,0)),""),""))</f>
        <v>0</v>
      </c>
      <c r="Q269" s="8">
        <f>IF(OR(E269&lt;&gt;"Fridge",J269=""),"",SUMPRODUCT(($E$5:$E$304="Fridge")*($J$5:$J$304&lt;J269))+SUMPRODUCT(($E$5:$E$304="Fridge")*($J$5:$J$304=J269)*(ROW($J$5:$J$304)&lt;ROW()))+1)</f>
        <v>0</v>
      </c>
      <c r="R269" s="8">
        <f>IF(OR(E269&lt;&gt;"Freezer",J269=""),"",SUMPRODUCT(($E$5:$E$304="Freezer")*($J$5:$J$304&lt;J269))+SUMPRODUCT(($E$5:$E$304="Freezer")*($J$5:$J$304=J269)*(ROW($J$5:$J$304)&lt;ROW()))+1)</f>
        <v>0</v>
      </c>
      <c r="S269" s="7"/>
      <c r="T269" s="27"/>
      <c r="U269" s="28"/>
      <c r="V269" s="27"/>
      <c r="W269" s="7"/>
      <c r="X269" s="26"/>
      <c r="Y269" s="8">
        <f>IF(A269="","",IF(K269="Expired","Bin it",IF(K269="Use soon","Cook it",IF(O269="Low","Running low","Keep"))))</f>
        <v>0</v>
      </c>
      <c r="Z269" s="25"/>
    </row>
    <row r="270" spans="1:26">
      <c r="A270" s="7"/>
      <c r="B270" s="8">
        <f>IF(A270="","",IFERROR(INDEX(Ingredients!$B$5:$B$304,MATCH(A270,Ingredients!$A$5:$A$304,0)),""))</f>
        <v>0</v>
      </c>
      <c r="C270" s="26"/>
      <c r="D270" s="27"/>
      <c r="E270" s="27"/>
      <c r="F270" s="30"/>
      <c r="G270" s="30"/>
      <c r="H270" s="8">
        <f>IF(A270="","",IFERROR(INDEX(Ingredients!$M$5:$M$304,MATCH(A270,Ingredients!$A$5:$A$304,0)),""))</f>
        <v>0</v>
      </c>
      <c r="I270" s="8">
        <f>IF(OR(A270="",H270=""),"",IF(G270&lt;&gt;"",G270+H270,IF(F270&lt;&gt;"",F270+H270,"")))</f>
        <v>0</v>
      </c>
      <c r="J270" s="8">
        <f>IF(OR(A270="",I270=""),"",I270-TODAY())</f>
        <v>0</v>
      </c>
      <c r="K270" s="8">
        <f>IF(A270="","",IF(J270="","No date",IF(J270&lt;0,"Expired",IF(J270&lt;=Expiry_Warning_Days,"Use soon","Fresh"))))</f>
        <v>0</v>
      </c>
      <c r="L270" s="8">
        <f>IF(A270="","",COUNTIFS('Recipe Ingredients'!$B$5:$B$1204,A270))</f>
        <v>0</v>
      </c>
      <c r="M270" s="8">
        <f>IF(A270="","",IFERROR(INDEX(Ingredients!$X$5:$X$304,MATCH(A270,Ingredients!$A$5:$A$304,0)),""))</f>
        <v>0</v>
      </c>
      <c r="N270" s="8">
        <f>IF(OR(A270="",M270=""),"",IF(M270&lt;1,MAX(0,1*IFERROR(IFERROR(INDEX(Ingredients!$U$5:$U$304,MATCH(A270,Ingredients!$A$5:$A$304,0)),""),0)-C270),0))</f>
        <v>0</v>
      </c>
      <c r="O270" s="8">
        <f>IF(A270="","",IF(M270="","",IF(M270&lt;1,"Low","OK")))</f>
        <v>0</v>
      </c>
      <c r="P270" s="8">
        <f>IF(OR(A270="",C270=""),"",IFERROR(C270*IFERROR(INDEX(Ingredients!$D$5:$D$304,MATCH(A270,Ingredients!$A$5:$A$304,0)),""),""))</f>
        <v>0</v>
      </c>
      <c r="Q270" s="8">
        <f>IF(OR(E270&lt;&gt;"Fridge",J270=""),"",SUMPRODUCT(($E$5:$E$304="Fridge")*($J$5:$J$304&lt;J270))+SUMPRODUCT(($E$5:$E$304="Fridge")*($J$5:$J$304=J270)*(ROW($J$5:$J$304)&lt;ROW()))+1)</f>
        <v>0</v>
      </c>
      <c r="R270" s="8">
        <f>IF(OR(E270&lt;&gt;"Freezer",J270=""),"",SUMPRODUCT(($E$5:$E$304="Freezer")*($J$5:$J$304&lt;J270))+SUMPRODUCT(($E$5:$E$304="Freezer")*($J$5:$J$304=J270)*(ROW($J$5:$J$304)&lt;ROW()))+1)</f>
        <v>0</v>
      </c>
      <c r="S270" s="7"/>
      <c r="T270" s="27"/>
      <c r="U270" s="28"/>
      <c r="V270" s="27"/>
      <c r="W270" s="7"/>
      <c r="X270" s="26"/>
      <c r="Y270" s="8">
        <f>IF(A270="","",IF(K270="Expired","Bin it",IF(K270="Use soon","Cook it",IF(O270="Low","Running low","Keep"))))</f>
        <v>0</v>
      </c>
      <c r="Z270" s="25"/>
    </row>
    <row r="271" spans="1:26">
      <c r="A271" s="7"/>
      <c r="B271" s="8">
        <f>IF(A271="","",IFERROR(INDEX(Ingredients!$B$5:$B$304,MATCH(A271,Ingredients!$A$5:$A$304,0)),""))</f>
        <v>0</v>
      </c>
      <c r="C271" s="26"/>
      <c r="D271" s="27"/>
      <c r="E271" s="27"/>
      <c r="F271" s="30"/>
      <c r="G271" s="30"/>
      <c r="H271" s="8">
        <f>IF(A271="","",IFERROR(INDEX(Ingredients!$M$5:$M$304,MATCH(A271,Ingredients!$A$5:$A$304,0)),""))</f>
        <v>0</v>
      </c>
      <c r="I271" s="8">
        <f>IF(OR(A271="",H271=""),"",IF(G271&lt;&gt;"",G271+H271,IF(F271&lt;&gt;"",F271+H271,"")))</f>
        <v>0</v>
      </c>
      <c r="J271" s="8">
        <f>IF(OR(A271="",I271=""),"",I271-TODAY())</f>
        <v>0</v>
      </c>
      <c r="K271" s="8">
        <f>IF(A271="","",IF(J271="","No date",IF(J271&lt;0,"Expired",IF(J271&lt;=Expiry_Warning_Days,"Use soon","Fresh"))))</f>
        <v>0</v>
      </c>
      <c r="L271" s="8">
        <f>IF(A271="","",COUNTIFS('Recipe Ingredients'!$B$5:$B$1204,A271))</f>
        <v>0</v>
      </c>
      <c r="M271" s="8">
        <f>IF(A271="","",IFERROR(INDEX(Ingredients!$X$5:$X$304,MATCH(A271,Ingredients!$A$5:$A$304,0)),""))</f>
        <v>0</v>
      </c>
      <c r="N271" s="8">
        <f>IF(OR(A271="",M271=""),"",IF(M271&lt;1,MAX(0,1*IFERROR(IFERROR(INDEX(Ingredients!$U$5:$U$304,MATCH(A271,Ingredients!$A$5:$A$304,0)),""),0)-C271),0))</f>
        <v>0</v>
      </c>
      <c r="O271" s="8">
        <f>IF(A271="","",IF(M271="","",IF(M271&lt;1,"Low","OK")))</f>
        <v>0</v>
      </c>
      <c r="P271" s="8">
        <f>IF(OR(A271="",C271=""),"",IFERROR(C271*IFERROR(INDEX(Ingredients!$D$5:$D$304,MATCH(A271,Ingredients!$A$5:$A$304,0)),""),""))</f>
        <v>0</v>
      </c>
      <c r="Q271" s="8">
        <f>IF(OR(E271&lt;&gt;"Fridge",J271=""),"",SUMPRODUCT(($E$5:$E$304="Fridge")*($J$5:$J$304&lt;J271))+SUMPRODUCT(($E$5:$E$304="Fridge")*($J$5:$J$304=J271)*(ROW($J$5:$J$304)&lt;ROW()))+1)</f>
        <v>0</v>
      </c>
      <c r="R271" s="8">
        <f>IF(OR(E271&lt;&gt;"Freezer",J271=""),"",SUMPRODUCT(($E$5:$E$304="Freezer")*($J$5:$J$304&lt;J271))+SUMPRODUCT(($E$5:$E$304="Freezer")*($J$5:$J$304=J271)*(ROW($J$5:$J$304)&lt;ROW()))+1)</f>
        <v>0</v>
      </c>
      <c r="S271" s="7"/>
      <c r="T271" s="27"/>
      <c r="U271" s="28"/>
      <c r="V271" s="27"/>
      <c r="W271" s="7"/>
      <c r="X271" s="26"/>
      <c r="Y271" s="8">
        <f>IF(A271="","",IF(K271="Expired","Bin it",IF(K271="Use soon","Cook it",IF(O271="Low","Running low","Keep"))))</f>
        <v>0</v>
      </c>
      <c r="Z271" s="25"/>
    </row>
    <row r="272" spans="1:26">
      <c r="A272" s="7"/>
      <c r="B272" s="8">
        <f>IF(A272="","",IFERROR(INDEX(Ingredients!$B$5:$B$304,MATCH(A272,Ingredients!$A$5:$A$304,0)),""))</f>
        <v>0</v>
      </c>
      <c r="C272" s="26"/>
      <c r="D272" s="27"/>
      <c r="E272" s="27"/>
      <c r="F272" s="30"/>
      <c r="G272" s="30"/>
      <c r="H272" s="8">
        <f>IF(A272="","",IFERROR(INDEX(Ingredients!$M$5:$M$304,MATCH(A272,Ingredients!$A$5:$A$304,0)),""))</f>
        <v>0</v>
      </c>
      <c r="I272" s="8">
        <f>IF(OR(A272="",H272=""),"",IF(G272&lt;&gt;"",G272+H272,IF(F272&lt;&gt;"",F272+H272,"")))</f>
        <v>0</v>
      </c>
      <c r="J272" s="8">
        <f>IF(OR(A272="",I272=""),"",I272-TODAY())</f>
        <v>0</v>
      </c>
      <c r="K272" s="8">
        <f>IF(A272="","",IF(J272="","No date",IF(J272&lt;0,"Expired",IF(J272&lt;=Expiry_Warning_Days,"Use soon","Fresh"))))</f>
        <v>0</v>
      </c>
      <c r="L272" s="8">
        <f>IF(A272="","",COUNTIFS('Recipe Ingredients'!$B$5:$B$1204,A272))</f>
        <v>0</v>
      </c>
      <c r="M272" s="8">
        <f>IF(A272="","",IFERROR(INDEX(Ingredients!$X$5:$X$304,MATCH(A272,Ingredients!$A$5:$A$304,0)),""))</f>
        <v>0</v>
      </c>
      <c r="N272" s="8">
        <f>IF(OR(A272="",M272=""),"",IF(M272&lt;1,MAX(0,1*IFERROR(IFERROR(INDEX(Ingredients!$U$5:$U$304,MATCH(A272,Ingredients!$A$5:$A$304,0)),""),0)-C272),0))</f>
        <v>0</v>
      </c>
      <c r="O272" s="8">
        <f>IF(A272="","",IF(M272="","",IF(M272&lt;1,"Low","OK")))</f>
        <v>0</v>
      </c>
      <c r="P272" s="8">
        <f>IF(OR(A272="",C272=""),"",IFERROR(C272*IFERROR(INDEX(Ingredients!$D$5:$D$304,MATCH(A272,Ingredients!$A$5:$A$304,0)),""),""))</f>
        <v>0</v>
      </c>
      <c r="Q272" s="8">
        <f>IF(OR(E272&lt;&gt;"Fridge",J272=""),"",SUMPRODUCT(($E$5:$E$304="Fridge")*($J$5:$J$304&lt;J272))+SUMPRODUCT(($E$5:$E$304="Fridge")*($J$5:$J$304=J272)*(ROW($J$5:$J$304)&lt;ROW()))+1)</f>
        <v>0</v>
      </c>
      <c r="R272" s="8">
        <f>IF(OR(E272&lt;&gt;"Freezer",J272=""),"",SUMPRODUCT(($E$5:$E$304="Freezer")*($J$5:$J$304&lt;J272))+SUMPRODUCT(($E$5:$E$304="Freezer")*($J$5:$J$304=J272)*(ROW($J$5:$J$304)&lt;ROW()))+1)</f>
        <v>0</v>
      </c>
      <c r="S272" s="7"/>
      <c r="T272" s="27"/>
      <c r="U272" s="28"/>
      <c r="V272" s="27"/>
      <c r="W272" s="7"/>
      <c r="X272" s="26"/>
      <c r="Y272" s="8">
        <f>IF(A272="","",IF(K272="Expired","Bin it",IF(K272="Use soon","Cook it",IF(O272="Low","Running low","Keep"))))</f>
        <v>0</v>
      </c>
      <c r="Z272" s="25"/>
    </row>
    <row r="273" spans="1:26">
      <c r="A273" s="7"/>
      <c r="B273" s="8">
        <f>IF(A273="","",IFERROR(INDEX(Ingredients!$B$5:$B$304,MATCH(A273,Ingredients!$A$5:$A$304,0)),""))</f>
        <v>0</v>
      </c>
      <c r="C273" s="26"/>
      <c r="D273" s="27"/>
      <c r="E273" s="27"/>
      <c r="F273" s="30"/>
      <c r="G273" s="30"/>
      <c r="H273" s="8">
        <f>IF(A273="","",IFERROR(INDEX(Ingredients!$M$5:$M$304,MATCH(A273,Ingredients!$A$5:$A$304,0)),""))</f>
        <v>0</v>
      </c>
      <c r="I273" s="8">
        <f>IF(OR(A273="",H273=""),"",IF(G273&lt;&gt;"",G273+H273,IF(F273&lt;&gt;"",F273+H273,"")))</f>
        <v>0</v>
      </c>
      <c r="J273" s="8">
        <f>IF(OR(A273="",I273=""),"",I273-TODAY())</f>
        <v>0</v>
      </c>
      <c r="K273" s="8">
        <f>IF(A273="","",IF(J273="","No date",IF(J273&lt;0,"Expired",IF(J273&lt;=Expiry_Warning_Days,"Use soon","Fresh"))))</f>
        <v>0</v>
      </c>
      <c r="L273" s="8">
        <f>IF(A273="","",COUNTIFS('Recipe Ingredients'!$B$5:$B$1204,A273))</f>
        <v>0</v>
      </c>
      <c r="M273" s="8">
        <f>IF(A273="","",IFERROR(INDEX(Ingredients!$X$5:$X$304,MATCH(A273,Ingredients!$A$5:$A$304,0)),""))</f>
        <v>0</v>
      </c>
      <c r="N273" s="8">
        <f>IF(OR(A273="",M273=""),"",IF(M273&lt;1,MAX(0,1*IFERROR(IFERROR(INDEX(Ingredients!$U$5:$U$304,MATCH(A273,Ingredients!$A$5:$A$304,0)),""),0)-C273),0))</f>
        <v>0</v>
      </c>
      <c r="O273" s="8">
        <f>IF(A273="","",IF(M273="","",IF(M273&lt;1,"Low","OK")))</f>
        <v>0</v>
      </c>
      <c r="P273" s="8">
        <f>IF(OR(A273="",C273=""),"",IFERROR(C273*IFERROR(INDEX(Ingredients!$D$5:$D$304,MATCH(A273,Ingredients!$A$5:$A$304,0)),""),""))</f>
        <v>0</v>
      </c>
      <c r="Q273" s="8">
        <f>IF(OR(E273&lt;&gt;"Fridge",J273=""),"",SUMPRODUCT(($E$5:$E$304="Fridge")*($J$5:$J$304&lt;J273))+SUMPRODUCT(($E$5:$E$304="Fridge")*($J$5:$J$304=J273)*(ROW($J$5:$J$304)&lt;ROW()))+1)</f>
        <v>0</v>
      </c>
      <c r="R273" s="8">
        <f>IF(OR(E273&lt;&gt;"Freezer",J273=""),"",SUMPRODUCT(($E$5:$E$304="Freezer")*($J$5:$J$304&lt;J273))+SUMPRODUCT(($E$5:$E$304="Freezer")*($J$5:$J$304=J273)*(ROW($J$5:$J$304)&lt;ROW()))+1)</f>
        <v>0</v>
      </c>
      <c r="S273" s="7"/>
      <c r="T273" s="27"/>
      <c r="U273" s="28"/>
      <c r="V273" s="27"/>
      <c r="W273" s="7"/>
      <c r="X273" s="26"/>
      <c r="Y273" s="8">
        <f>IF(A273="","",IF(K273="Expired","Bin it",IF(K273="Use soon","Cook it",IF(O273="Low","Running low","Keep"))))</f>
        <v>0</v>
      </c>
      <c r="Z273" s="25"/>
    </row>
    <row r="274" spans="1:26">
      <c r="A274" s="7"/>
      <c r="B274" s="8">
        <f>IF(A274="","",IFERROR(INDEX(Ingredients!$B$5:$B$304,MATCH(A274,Ingredients!$A$5:$A$304,0)),""))</f>
        <v>0</v>
      </c>
      <c r="C274" s="26"/>
      <c r="D274" s="27"/>
      <c r="E274" s="27"/>
      <c r="F274" s="30"/>
      <c r="G274" s="30"/>
      <c r="H274" s="8">
        <f>IF(A274="","",IFERROR(INDEX(Ingredients!$M$5:$M$304,MATCH(A274,Ingredients!$A$5:$A$304,0)),""))</f>
        <v>0</v>
      </c>
      <c r="I274" s="8">
        <f>IF(OR(A274="",H274=""),"",IF(G274&lt;&gt;"",G274+H274,IF(F274&lt;&gt;"",F274+H274,"")))</f>
        <v>0</v>
      </c>
      <c r="J274" s="8">
        <f>IF(OR(A274="",I274=""),"",I274-TODAY())</f>
        <v>0</v>
      </c>
      <c r="K274" s="8">
        <f>IF(A274="","",IF(J274="","No date",IF(J274&lt;0,"Expired",IF(J274&lt;=Expiry_Warning_Days,"Use soon","Fresh"))))</f>
        <v>0</v>
      </c>
      <c r="L274" s="8">
        <f>IF(A274="","",COUNTIFS('Recipe Ingredients'!$B$5:$B$1204,A274))</f>
        <v>0</v>
      </c>
      <c r="M274" s="8">
        <f>IF(A274="","",IFERROR(INDEX(Ingredients!$X$5:$X$304,MATCH(A274,Ingredients!$A$5:$A$304,0)),""))</f>
        <v>0</v>
      </c>
      <c r="N274" s="8">
        <f>IF(OR(A274="",M274=""),"",IF(M274&lt;1,MAX(0,1*IFERROR(IFERROR(INDEX(Ingredients!$U$5:$U$304,MATCH(A274,Ingredients!$A$5:$A$304,0)),""),0)-C274),0))</f>
        <v>0</v>
      </c>
      <c r="O274" s="8">
        <f>IF(A274="","",IF(M274="","",IF(M274&lt;1,"Low","OK")))</f>
        <v>0</v>
      </c>
      <c r="P274" s="8">
        <f>IF(OR(A274="",C274=""),"",IFERROR(C274*IFERROR(INDEX(Ingredients!$D$5:$D$304,MATCH(A274,Ingredients!$A$5:$A$304,0)),""),""))</f>
        <v>0</v>
      </c>
      <c r="Q274" s="8">
        <f>IF(OR(E274&lt;&gt;"Fridge",J274=""),"",SUMPRODUCT(($E$5:$E$304="Fridge")*($J$5:$J$304&lt;J274))+SUMPRODUCT(($E$5:$E$304="Fridge")*($J$5:$J$304=J274)*(ROW($J$5:$J$304)&lt;ROW()))+1)</f>
        <v>0</v>
      </c>
      <c r="R274" s="8">
        <f>IF(OR(E274&lt;&gt;"Freezer",J274=""),"",SUMPRODUCT(($E$5:$E$304="Freezer")*($J$5:$J$304&lt;J274))+SUMPRODUCT(($E$5:$E$304="Freezer")*($J$5:$J$304=J274)*(ROW($J$5:$J$304)&lt;ROW()))+1)</f>
        <v>0</v>
      </c>
      <c r="S274" s="7"/>
      <c r="T274" s="27"/>
      <c r="U274" s="28"/>
      <c r="V274" s="27"/>
      <c r="W274" s="7"/>
      <c r="X274" s="26"/>
      <c r="Y274" s="8">
        <f>IF(A274="","",IF(K274="Expired","Bin it",IF(K274="Use soon","Cook it",IF(O274="Low","Running low","Keep"))))</f>
        <v>0</v>
      </c>
      <c r="Z274" s="25"/>
    </row>
    <row r="275" spans="1:26">
      <c r="A275" s="7"/>
      <c r="B275" s="8">
        <f>IF(A275="","",IFERROR(INDEX(Ingredients!$B$5:$B$304,MATCH(A275,Ingredients!$A$5:$A$304,0)),""))</f>
        <v>0</v>
      </c>
      <c r="C275" s="26"/>
      <c r="D275" s="27"/>
      <c r="E275" s="27"/>
      <c r="F275" s="30"/>
      <c r="G275" s="30"/>
      <c r="H275" s="8">
        <f>IF(A275="","",IFERROR(INDEX(Ingredients!$M$5:$M$304,MATCH(A275,Ingredients!$A$5:$A$304,0)),""))</f>
        <v>0</v>
      </c>
      <c r="I275" s="8">
        <f>IF(OR(A275="",H275=""),"",IF(G275&lt;&gt;"",G275+H275,IF(F275&lt;&gt;"",F275+H275,"")))</f>
        <v>0</v>
      </c>
      <c r="J275" s="8">
        <f>IF(OR(A275="",I275=""),"",I275-TODAY())</f>
        <v>0</v>
      </c>
      <c r="K275" s="8">
        <f>IF(A275="","",IF(J275="","No date",IF(J275&lt;0,"Expired",IF(J275&lt;=Expiry_Warning_Days,"Use soon","Fresh"))))</f>
        <v>0</v>
      </c>
      <c r="L275" s="8">
        <f>IF(A275="","",COUNTIFS('Recipe Ingredients'!$B$5:$B$1204,A275))</f>
        <v>0</v>
      </c>
      <c r="M275" s="8">
        <f>IF(A275="","",IFERROR(INDEX(Ingredients!$X$5:$X$304,MATCH(A275,Ingredients!$A$5:$A$304,0)),""))</f>
        <v>0</v>
      </c>
      <c r="N275" s="8">
        <f>IF(OR(A275="",M275=""),"",IF(M275&lt;1,MAX(0,1*IFERROR(IFERROR(INDEX(Ingredients!$U$5:$U$304,MATCH(A275,Ingredients!$A$5:$A$304,0)),""),0)-C275),0))</f>
        <v>0</v>
      </c>
      <c r="O275" s="8">
        <f>IF(A275="","",IF(M275="","",IF(M275&lt;1,"Low","OK")))</f>
        <v>0</v>
      </c>
      <c r="P275" s="8">
        <f>IF(OR(A275="",C275=""),"",IFERROR(C275*IFERROR(INDEX(Ingredients!$D$5:$D$304,MATCH(A275,Ingredients!$A$5:$A$304,0)),""),""))</f>
        <v>0</v>
      </c>
      <c r="Q275" s="8">
        <f>IF(OR(E275&lt;&gt;"Fridge",J275=""),"",SUMPRODUCT(($E$5:$E$304="Fridge")*($J$5:$J$304&lt;J275))+SUMPRODUCT(($E$5:$E$304="Fridge")*($J$5:$J$304=J275)*(ROW($J$5:$J$304)&lt;ROW()))+1)</f>
        <v>0</v>
      </c>
      <c r="R275" s="8">
        <f>IF(OR(E275&lt;&gt;"Freezer",J275=""),"",SUMPRODUCT(($E$5:$E$304="Freezer")*($J$5:$J$304&lt;J275))+SUMPRODUCT(($E$5:$E$304="Freezer")*($J$5:$J$304=J275)*(ROW($J$5:$J$304)&lt;ROW()))+1)</f>
        <v>0</v>
      </c>
      <c r="S275" s="7"/>
      <c r="T275" s="27"/>
      <c r="U275" s="28"/>
      <c r="V275" s="27"/>
      <c r="W275" s="7"/>
      <c r="X275" s="26"/>
      <c r="Y275" s="8">
        <f>IF(A275="","",IF(K275="Expired","Bin it",IF(K275="Use soon","Cook it",IF(O275="Low","Running low","Keep"))))</f>
        <v>0</v>
      </c>
      <c r="Z275" s="25"/>
    </row>
    <row r="276" spans="1:26">
      <c r="A276" s="7"/>
      <c r="B276" s="8">
        <f>IF(A276="","",IFERROR(INDEX(Ingredients!$B$5:$B$304,MATCH(A276,Ingredients!$A$5:$A$304,0)),""))</f>
        <v>0</v>
      </c>
      <c r="C276" s="26"/>
      <c r="D276" s="27"/>
      <c r="E276" s="27"/>
      <c r="F276" s="30"/>
      <c r="G276" s="30"/>
      <c r="H276" s="8">
        <f>IF(A276="","",IFERROR(INDEX(Ingredients!$M$5:$M$304,MATCH(A276,Ingredients!$A$5:$A$304,0)),""))</f>
        <v>0</v>
      </c>
      <c r="I276" s="8">
        <f>IF(OR(A276="",H276=""),"",IF(G276&lt;&gt;"",G276+H276,IF(F276&lt;&gt;"",F276+H276,"")))</f>
        <v>0</v>
      </c>
      <c r="J276" s="8">
        <f>IF(OR(A276="",I276=""),"",I276-TODAY())</f>
        <v>0</v>
      </c>
      <c r="K276" s="8">
        <f>IF(A276="","",IF(J276="","No date",IF(J276&lt;0,"Expired",IF(J276&lt;=Expiry_Warning_Days,"Use soon","Fresh"))))</f>
        <v>0</v>
      </c>
      <c r="L276" s="8">
        <f>IF(A276="","",COUNTIFS('Recipe Ingredients'!$B$5:$B$1204,A276))</f>
        <v>0</v>
      </c>
      <c r="M276" s="8">
        <f>IF(A276="","",IFERROR(INDEX(Ingredients!$X$5:$X$304,MATCH(A276,Ingredients!$A$5:$A$304,0)),""))</f>
        <v>0</v>
      </c>
      <c r="N276" s="8">
        <f>IF(OR(A276="",M276=""),"",IF(M276&lt;1,MAX(0,1*IFERROR(IFERROR(INDEX(Ingredients!$U$5:$U$304,MATCH(A276,Ingredients!$A$5:$A$304,0)),""),0)-C276),0))</f>
        <v>0</v>
      </c>
      <c r="O276" s="8">
        <f>IF(A276="","",IF(M276="","",IF(M276&lt;1,"Low","OK")))</f>
        <v>0</v>
      </c>
      <c r="P276" s="8">
        <f>IF(OR(A276="",C276=""),"",IFERROR(C276*IFERROR(INDEX(Ingredients!$D$5:$D$304,MATCH(A276,Ingredients!$A$5:$A$304,0)),""),""))</f>
        <v>0</v>
      </c>
      <c r="Q276" s="8">
        <f>IF(OR(E276&lt;&gt;"Fridge",J276=""),"",SUMPRODUCT(($E$5:$E$304="Fridge")*($J$5:$J$304&lt;J276))+SUMPRODUCT(($E$5:$E$304="Fridge")*($J$5:$J$304=J276)*(ROW($J$5:$J$304)&lt;ROW()))+1)</f>
        <v>0</v>
      </c>
      <c r="R276" s="8">
        <f>IF(OR(E276&lt;&gt;"Freezer",J276=""),"",SUMPRODUCT(($E$5:$E$304="Freezer")*($J$5:$J$304&lt;J276))+SUMPRODUCT(($E$5:$E$304="Freezer")*($J$5:$J$304=J276)*(ROW($J$5:$J$304)&lt;ROW()))+1)</f>
        <v>0</v>
      </c>
      <c r="S276" s="7"/>
      <c r="T276" s="27"/>
      <c r="U276" s="28"/>
      <c r="V276" s="27"/>
      <c r="W276" s="7"/>
      <c r="X276" s="26"/>
      <c r="Y276" s="8">
        <f>IF(A276="","",IF(K276="Expired","Bin it",IF(K276="Use soon","Cook it",IF(O276="Low","Running low","Keep"))))</f>
        <v>0</v>
      </c>
      <c r="Z276" s="25"/>
    </row>
    <row r="277" spans="1:26">
      <c r="A277" s="7"/>
      <c r="B277" s="8">
        <f>IF(A277="","",IFERROR(INDEX(Ingredients!$B$5:$B$304,MATCH(A277,Ingredients!$A$5:$A$304,0)),""))</f>
        <v>0</v>
      </c>
      <c r="C277" s="26"/>
      <c r="D277" s="27"/>
      <c r="E277" s="27"/>
      <c r="F277" s="30"/>
      <c r="G277" s="30"/>
      <c r="H277" s="8">
        <f>IF(A277="","",IFERROR(INDEX(Ingredients!$M$5:$M$304,MATCH(A277,Ingredients!$A$5:$A$304,0)),""))</f>
        <v>0</v>
      </c>
      <c r="I277" s="8">
        <f>IF(OR(A277="",H277=""),"",IF(G277&lt;&gt;"",G277+H277,IF(F277&lt;&gt;"",F277+H277,"")))</f>
        <v>0</v>
      </c>
      <c r="J277" s="8">
        <f>IF(OR(A277="",I277=""),"",I277-TODAY())</f>
        <v>0</v>
      </c>
      <c r="K277" s="8">
        <f>IF(A277="","",IF(J277="","No date",IF(J277&lt;0,"Expired",IF(J277&lt;=Expiry_Warning_Days,"Use soon","Fresh"))))</f>
        <v>0</v>
      </c>
      <c r="L277" s="8">
        <f>IF(A277="","",COUNTIFS('Recipe Ingredients'!$B$5:$B$1204,A277))</f>
        <v>0</v>
      </c>
      <c r="M277" s="8">
        <f>IF(A277="","",IFERROR(INDEX(Ingredients!$X$5:$X$304,MATCH(A277,Ingredients!$A$5:$A$304,0)),""))</f>
        <v>0</v>
      </c>
      <c r="N277" s="8">
        <f>IF(OR(A277="",M277=""),"",IF(M277&lt;1,MAX(0,1*IFERROR(IFERROR(INDEX(Ingredients!$U$5:$U$304,MATCH(A277,Ingredients!$A$5:$A$304,0)),""),0)-C277),0))</f>
        <v>0</v>
      </c>
      <c r="O277" s="8">
        <f>IF(A277="","",IF(M277="","",IF(M277&lt;1,"Low","OK")))</f>
        <v>0</v>
      </c>
      <c r="P277" s="8">
        <f>IF(OR(A277="",C277=""),"",IFERROR(C277*IFERROR(INDEX(Ingredients!$D$5:$D$304,MATCH(A277,Ingredients!$A$5:$A$304,0)),""),""))</f>
        <v>0</v>
      </c>
      <c r="Q277" s="8">
        <f>IF(OR(E277&lt;&gt;"Fridge",J277=""),"",SUMPRODUCT(($E$5:$E$304="Fridge")*($J$5:$J$304&lt;J277))+SUMPRODUCT(($E$5:$E$304="Fridge")*($J$5:$J$304=J277)*(ROW($J$5:$J$304)&lt;ROW()))+1)</f>
        <v>0</v>
      </c>
      <c r="R277" s="8">
        <f>IF(OR(E277&lt;&gt;"Freezer",J277=""),"",SUMPRODUCT(($E$5:$E$304="Freezer")*($J$5:$J$304&lt;J277))+SUMPRODUCT(($E$5:$E$304="Freezer")*($J$5:$J$304=J277)*(ROW($J$5:$J$304)&lt;ROW()))+1)</f>
        <v>0</v>
      </c>
      <c r="S277" s="7"/>
      <c r="T277" s="27"/>
      <c r="U277" s="28"/>
      <c r="V277" s="27"/>
      <c r="W277" s="7"/>
      <c r="X277" s="26"/>
      <c r="Y277" s="8">
        <f>IF(A277="","",IF(K277="Expired","Bin it",IF(K277="Use soon","Cook it",IF(O277="Low","Running low","Keep"))))</f>
        <v>0</v>
      </c>
      <c r="Z277" s="25"/>
    </row>
    <row r="278" spans="1:26">
      <c r="A278" s="7"/>
      <c r="B278" s="8">
        <f>IF(A278="","",IFERROR(INDEX(Ingredients!$B$5:$B$304,MATCH(A278,Ingredients!$A$5:$A$304,0)),""))</f>
        <v>0</v>
      </c>
      <c r="C278" s="26"/>
      <c r="D278" s="27"/>
      <c r="E278" s="27"/>
      <c r="F278" s="30"/>
      <c r="G278" s="30"/>
      <c r="H278" s="8">
        <f>IF(A278="","",IFERROR(INDEX(Ingredients!$M$5:$M$304,MATCH(A278,Ingredients!$A$5:$A$304,0)),""))</f>
        <v>0</v>
      </c>
      <c r="I278" s="8">
        <f>IF(OR(A278="",H278=""),"",IF(G278&lt;&gt;"",G278+H278,IF(F278&lt;&gt;"",F278+H278,"")))</f>
        <v>0</v>
      </c>
      <c r="J278" s="8">
        <f>IF(OR(A278="",I278=""),"",I278-TODAY())</f>
        <v>0</v>
      </c>
      <c r="K278" s="8">
        <f>IF(A278="","",IF(J278="","No date",IF(J278&lt;0,"Expired",IF(J278&lt;=Expiry_Warning_Days,"Use soon","Fresh"))))</f>
        <v>0</v>
      </c>
      <c r="L278" s="8">
        <f>IF(A278="","",COUNTIFS('Recipe Ingredients'!$B$5:$B$1204,A278))</f>
        <v>0</v>
      </c>
      <c r="M278" s="8">
        <f>IF(A278="","",IFERROR(INDEX(Ingredients!$X$5:$X$304,MATCH(A278,Ingredients!$A$5:$A$304,0)),""))</f>
        <v>0</v>
      </c>
      <c r="N278" s="8">
        <f>IF(OR(A278="",M278=""),"",IF(M278&lt;1,MAX(0,1*IFERROR(IFERROR(INDEX(Ingredients!$U$5:$U$304,MATCH(A278,Ingredients!$A$5:$A$304,0)),""),0)-C278),0))</f>
        <v>0</v>
      </c>
      <c r="O278" s="8">
        <f>IF(A278="","",IF(M278="","",IF(M278&lt;1,"Low","OK")))</f>
        <v>0</v>
      </c>
      <c r="P278" s="8">
        <f>IF(OR(A278="",C278=""),"",IFERROR(C278*IFERROR(INDEX(Ingredients!$D$5:$D$304,MATCH(A278,Ingredients!$A$5:$A$304,0)),""),""))</f>
        <v>0</v>
      </c>
      <c r="Q278" s="8">
        <f>IF(OR(E278&lt;&gt;"Fridge",J278=""),"",SUMPRODUCT(($E$5:$E$304="Fridge")*($J$5:$J$304&lt;J278))+SUMPRODUCT(($E$5:$E$304="Fridge")*($J$5:$J$304=J278)*(ROW($J$5:$J$304)&lt;ROW()))+1)</f>
        <v>0</v>
      </c>
      <c r="R278" s="8">
        <f>IF(OR(E278&lt;&gt;"Freezer",J278=""),"",SUMPRODUCT(($E$5:$E$304="Freezer")*($J$5:$J$304&lt;J278))+SUMPRODUCT(($E$5:$E$304="Freezer")*($J$5:$J$304=J278)*(ROW($J$5:$J$304)&lt;ROW()))+1)</f>
        <v>0</v>
      </c>
      <c r="S278" s="7"/>
      <c r="T278" s="27"/>
      <c r="U278" s="28"/>
      <c r="V278" s="27"/>
      <c r="W278" s="7"/>
      <c r="X278" s="26"/>
      <c r="Y278" s="8">
        <f>IF(A278="","",IF(K278="Expired","Bin it",IF(K278="Use soon","Cook it",IF(O278="Low","Running low","Keep"))))</f>
        <v>0</v>
      </c>
      <c r="Z278" s="25"/>
    </row>
    <row r="279" spans="1:26">
      <c r="A279" s="7"/>
      <c r="B279" s="8">
        <f>IF(A279="","",IFERROR(INDEX(Ingredients!$B$5:$B$304,MATCH(A279,Ingredients!$A$5:$A$304,0)),""))</f>
        <v>0</v>
      </c>
      <c r="C279" s="26"/>
      <c r="D279" s="27"/>
      <c r="E279" s="27"/>
      <c r="F279" s="30"/>
      <c r="G279" s="30"/>
      <c r="H279" s="8">
        <f>IF(A279="","",IFERROR(INDEX(Ingredients!$M$5:$M$304,MATCH(A279,Ingredients!$A$5:$A$304,0)),""))</f>
        <v>0</v>
      </c>
      <c r="I279" s="8">
        <f>IF(OR(A279="",H279=""),"",IF(G279&lt;&gt;"",G279+H279,IF(F279&lt;&gt;"",F279+H279,"")))</f>
        <v>0</v>
      </c>
      <c r="J279" s="8">
        <f>IF(OR(A279="",I279=""),"",I279-TODAY())</f>
        <v>0</v>
      </c>
      <c r="K279" s="8">
        <f>IF(A279="","",IF(J279="","No date",IF(J279&lt;0,"Expired",IF(J279&lt;=Expiry_Warning_Days,"Use soon","Fresh"))))</f>
        <v>0</v>
      </c>
      <c r="L279" s="8">
        <f>IF(A279="","",COUNTIFS('Recipe Ingredients'!$B$5:$B$1204,A279))</f>
        <v>0</v>
      </c>
      <c r="M279" s="8">
        <f>IF(A279="","",IFERROR(INDEX(Ingredients!$X$5:$X$304,MATCH(A279,Ingredients!$A$5:$A$304,0)),""))</f>
        <v>0</v>
      </c>
      <c r="N279" s="8">
        <f>IF(OR(A279="",M279=""),"",IF(M279&lt;1,MAX(0,1*IFERROR(IFERROR(INDEX(Ingredients!$U$5:$U$304,MATCH(A279,Ingredients!$A$5:$A$304,0)),""),0)-C279),0))</f>
        <v>0</v>
      </c>
      <c r="O279" s="8">
        <f>IF(A279="","",IF(M279="","",IF(M279&lt;1,"Low","OK")))</f>
        <v>0</v>
      </c>
      <c r="P279" s="8">
        <f>IF(OR(A279="",C279=""),"",IFERROR(C279*IFERROR(INDEX(Ingredients!$D$5:$D$304,MATCH(A279,Ingredients!$A$5:$A$304,0)),""),""))</f>
        <v>0</v>
      </c>
      <c r="Q279" s="8">
        <f>IF(OR(E279&lt;&gt;"Fridge",J279=""),"",SUMPRODUCT(($E$5:$E$304="Fridge")*($J$5:$J$304&lt;J279))+SUMPRODUCT(($E$5:$E$304="Fridge")*($J$5:$J$304=J279)*(ROW($J$5:$J$304)&lt;ROW()))+1)</f>
        <v>0</v>
      </c>
      <c r="R279" s="8">
        <f>IF(OR(E279&lt;&gt;"Freezer",J279=""),"",SUMPRODUCT(($E$5:$E$304="Freezer")*($J$5:$J$304&lt;J279))+SUMPRODUCT(($E$5:$E$304="Freezer")*($J$5:$J$304=J279)*(ROW($J$5:$J$304)&lt;ROW()))+1)</f>
        <v>0</v>
      </c>
      <c r="S279" s="7"/>
      <c r="T279" s="27"/>
      <c r="U279" s="28"/>
      <c r="V279" s="27"/>
      <c r="W279" s="7"/>
      <c r="X279" s="26"/>
      <c r="Y279" s="8">
        <f>IF(A279="","",IF(K279="Expired","Bin it",IF(K279="Use soon","Cook it",IF(O279="Low","Running low","Keep"))))</f>
        <v>0</v>
      </c>
      <c r="Z279" s="25"/>
    </row>
    <row r="280" spans="1:26">
      <c r="A280" s="7"/>
      <c r="B280" s="8">
        <f>IF(A280="","",IFERROR(INDEX(Ingredients!$B$5:$B$304,MATCH(A280,Ingredients!$A$5:$A$304,0)),""))</f>
        <v>0</v>
      </c>
      <c r="C280" s="26"/>
      <c r="D280" s="27"/>
      <c r="E280" s="27"/>
      <c r="F280" s="30"/>
      <c r="G280" s="30"/>
      <c r="H280" s="8">
        <f>IF(A280="","",IFERROR(INDEX(Ingredients!$M$5:$M$304,MATCH(A280,Ingredients!$A$5:$A$304,0)),""))</f>
        <v>0</v>
      </c>
      <c r="I280" s="8">
        <f>IF(OR(A280="",H280=""),"",IF(G280&lt;&gt;"",G280+H280,IF(F280&lt;&gt;"",F280+H280,"")))</f>
        <v>0</v>
      </c>
      <c r="J280" s="8">
        <f>IF(OR(A280="",I280=""),"",I280-TODAY())</f>
        <v>0</v>
      </c>
      <c r="K280" s="8">
        <f>IF(A280="","",IF(J280="","No date",IF(J280&lt;0,"Expired",IF(J280&lt;=Expiry_Warning_Days,"Use soon","Fresh"))))</f>
        <v>0</v>
      </c>
      <c r="L280" s="8">
        <f>IF(A280="","",COUNTIFS('Recipe Ingredients'!$B$5:$B$1204,A280))</f>
        <v>0</v>
      </c>
      <c r="M280" s="8">
        <f>IF(A280="","",IFERROR(INDEX(Ingredients!$X$5:$X$304,MATCH(A280,Ingredients!$A$5:$A$304,0)),""))</f>
        <v>0</v>
      </c>
      <c r="N280" s="8">
        <f>IF(OR(A280="",M280=""),"",IF(M280&lt;1,MAX(0,1*IFERROR(IFERROR(INDEX(Ingredients!$U$5:$U$304,MATCH(A280,Ingredients!$A$5:$A$304,0)),""),0)-C280),0))</f>
        <v>0</v>
      </c>
      <c r="O280" s="8">
        <f>IF(A280="","",IF(M280="","",IF(M280&lt;1,"Low","OK")))</f>
        <v>0</v>
      </c>
      <c r="P280" s="8">
        <f>IF(OR(A280="",C280=""),"",IFERROR(C280*IFERROR(INDEX(Ingredients!$D$5:$D$304,MATCH(A280,Ingredients!$A$5:$A$304,0)),""),""))</f>
        <v>0</v>
      </c>
      <c r="Q280" s="8">
        <f>IF(OR(E280&lt;&gt;"Fridge",J280=""),"",SUMPRODUCT(($E$5:$E$304="Fridge")*($J$5:$J$304&lt;J280))+SUMPRODUCT(($E$5:$E$304="Fridge")*($J$5:$J$304=J280)*(ROW($J$5:$J$304)&lt;ROW()))+1)</f>
        <v>0</v>
      </c>
      <c r="R280" s="8">
        <f>IF(OR(E280&lt;&gt;"Freezer",J280=""),"",SUMPRODUCT(($E$5:$E$304="Freezer")*($J$5:$J$304&lt;J280))+SUMPRODUCT(($E$5:$E$304="Freezer")*($J$5:$J$304=J280)*(ROW($J$5:$J$304)&lt;ROW()))+1)</f>
        <v>0</v>
      </c>
      <c r="S280" s="7"/>
      <c r="T280" s="27"/>
      <c r="U280" s="28"/>
      <c r="V280" s="27"/>
      <c r="W280" s="7"/>
      <c r="X280" s="26"/>
      <c r="Y280" s="8">
        <f>IF(A280="","",IF(K280="Expired","Bin it",IF(K280="Use soon","Cook it",IF(O280="Low","Running low","Keep"))))</f>
        <v>0</v>
      </c>
      <c r="Z280" s="25"/>
    </row>
    <row r="281" spans="1:26">
      <c r="A281" s="7"/>
      <c r="B281" s="8">
        <f>IF(A281="","",IFERROR(INDEX(Ingredients!$B$5:$B$304,MATCH(A281,Ingredients!$A$5:$A$304,0)),""))</f>
        <v>0</v>
      </c>
      <c r="C281" s="26"/>
      <c r="D281" s="27"/>
      <c r="E281" s="27"/>
      <c r="F281" s="30"/>
      <c r="G281" s="30"/>
      <c r="H281" s="8">
        <f>IF(A281="","",IFERROR(INDEX(Ingredients!$M$5:$M$304,MATCH(A281,Ingredients!$A$5:$A$304,0)),""))</f>
        <v>0</v>
      </c>
      <c r="I281" s="8">
        <f>IF(OR(A281="",H281=""),"",IF(G281&lt;&gt;"",G281+H281,IF(F281&lt;&gt;"",F281+H281,"")))</f>
        <v>0</v>
      </c>
      <c r="J281" s="8">
        <f>IF(OR(A281="",I281=""),"",I281-TODAY())</f>
        <v>0</v>
      </c>
      <c r="K281" s="8">
        <f>IF(A281="","",IF(J281="","No date",IF(J281&lt;0,"Expired",IF(J281&lt;=Expiry_Warning_Days,"Use soon","Fresh"))))</f>
        <v>0</v>
      </c>
      <c r="L281" s="8">
        <f>IF(A281="","",COUNTIFS('Recipe Ingredients'!$B$5:$B$1204,A281))</f>
        <v>0</v>
      </c>
      <c r="M281" s="8">
        <f>IF(A281="","",IFERROR(INDEX(Ingredients!$X$5:$X$304,MATCH(A281,Ingredients!$A$5:$A$304,0)),""))</f>
        <v>0</v>
      </c>
      <c r="N281" s="8">
        <f>IF(OR(A281="",M281=""),"",IF(M281&lt;1,MAX(0,1*IFERROR(IFERROR(INDEX(Ingredients!$U$5:$U$304,MATCH(A281,Ingredients!$A$5:$A$304,0)),""),0)-C281),0))</f>
        <v>0</v>
      </c>
      <c r="O281" s="8">
        <f>IF(A281="","",IF(M281="","",IF(M281&lt;1,"Low","OK")))</f>
        <v>0</v>
      </c>
      <c r="P281" s="8">
        <f>IF(OR(A281="",C281=""),"",IFERROR(C281*IFERROR(INDEX(Ingredients!$D$5:$D$304,MATCH(A281,Ingredients!$A$5:$A$304,0)),""),""))</f>
        <v>0</v>
      </c>
      <c r="Q281" s="8">
        <f>IF(OR(E281&lt;&gt;"Fridge",J281=""),"",SUMPRODUCT(($E$5:$E$304="Fridge")*($J$5:$J$304&lt;J281))+SUMPRODUCT(($E$5:$E$304="Fridge")*($J$5:$J$304=J281)*(ROW($J$5:$J$304)&lt;ROW()))+1)</f>
        <v>0</v>
      </c>
      <c r="R281" s="8">
        <f>IF(OR(E281&lt;&gt;"Freezer",J281=""),"",SUMPRODUCT(($E$5:$E$304="Freezer")*($J$5:$J$304&lt;J281))+SUMPRODUCT(($E$5:$E$304="Freezer")*($J$5:$J$304=J281)*(ROW($J$5:$J$304)&lt;ROW()))+1)</f>
        <v>0</v>
      </c>
      <c r="S281" s="7"/>
      <c r="T281" s="27"/>
      <c r="U281" s="28"/>
      <c r="V281" s="27"/>
      <c r="W281" s="7"/>
      <c r="X281" s="26"/>
      <c r="Y281" s="8">
        <f>IF(A281="","",IF(K281="Expired","Bin it",IF(K281="Use soon","Cook it",IF(O281="Low","Running low","Keep"))))</f>
        <v>0</v>
      </c>
      <c r="Z281" s="25"/>
    </row>
    <row r="282" spans="1:26">
      <c r="A282" s="7"/>
      <c r="B282" s="8">
        <f>IF(A282="","",IFERROR(INDEX(Ingredients!$B$5:$B$304,MATCH(A282,Ingredients!$A$5:$A$304,0)),""))</f>
        <v>0</v>
      </c>
      <c r="C282" s="26"/>
      <c r="D282" s="27"/>
      <c r="E282" s="27"/>
      <c r="F282" s="30"/>
      <c r="G282" s="30"/>
      <c r="H282" s="8">
        <f>IF(A282="","",IFERROR(INDEX(Ingredients!$M$5:$M$304,MATCH(A282,Ingredients!$A$5:$A$304,0)),""))</f>
        <v>0</v>
      </c>
      <c r="I282" s="8">
        <f>IF(OR(A282="",H282=""),"",IF(G282&lt;&gt;"",G282+H282,IF(F282&lt;&gt;"",F282+H282,"")))</f>
        <v>0</v>
      </c>
      <c r="J282" s="8">
        <f>IF(OR(A282="",I282=""),"",I282-TODAY())</f>
        <v>0</v>
      </c>
      <c r="K282" s="8">
        <f>IF(A282="","",IF(J282="","No date",IF(J282&lt;0,"Expired",IF(J282&lt;=Expiry_Warning_Days,"Use soon","Fresh"))))</f>
        <v>0</v>
      </c>
      <c r="L282" s="8">
        <f>IF(A282="","",COUNTIFS('Recipe Ingredients'!$B$5:$B$1204,A282))</f>
        <v>0</v>
      </c>
      <c r="M282" s="8">
        <f>IF(A282="","",IFERROR(INDEX(Ingredients!$X$5:$X$304,MATCH(A282,Ingredients!$A$5:$A$304,0)),""))</f>
        <v>0</v>
      </c>
      <c r="N282" s="8">
        <f>IF(OR(A282="",M282=""),"",IF(M282&lt;1,MAX(0,1*IFERROR(IFERROR(INDEX(Ingredients!$U$5:$U$304,MATCH(A282,Ingredients!$A$5:$A$304,0)),""),0)-C282),0))</f>
        <v>0</v>
      </c>
      <c r="O282" s="8">
        <f>IF(A282="","",IF(M282="","",IF(M282&lt;1,"Low","OK")))</f>
        <v>0</v>
      </c>
      <c r="P282" s="8">
        <f>IF(OR(A282="",C282=""),"",IFERROR(C282*IFERROR(INDEX(Ingredients!$D$5:$D$304,MATCH(A282,Ingredients!$A$5:$A$304,0)),""),""))</f>
        <v>0</v>
      </c>
      <c r="Q282" s="8">
        <f>IF(OR(E282&lt;&gt;"Fridge",J282=""),"",SUMPRODUCT(($E$5:$E$304="Fridge")*($J$5:$J$304&lt;J282))+SUMPRODUCT(($E$5:$E$304="Fridge")*($J$5:$J$304=J282)*(ROW($J$5:$J$304)&lt;ROW()))+1)</f>
        <v>0</v>
      </c>
      <c r="R282" s="8">
        <f>IF(OR(E282&lt;&gt;"Freezer",J282=""),"",SUMPRODUCT(($E$5:$E$304="Freezer")*($J$5:$J$304&lt;J282))+SUMPRODUCT(($E$5:$E$304="Freezer")*($J$5:$J$304=J282)*(ROW($J$5:$J$304)&lt;ROW()))+1)</f>
        <v>0</v>
      </c>
      <c r="S282" s="7"/>
      <c r="T282" s="27"/>
      <c r="U282" s="28"/>
      <c r="V282" s="27"/>
      <c r="W282" s="7"/>
      <c r="X282" s="26"/>
      <c r="Y282" s="8">
        <f>IF(A282="","",IF(K282="Expired","Bin it",IF(K282="Use soon","Cook it",IF(O282="Low","Running low","Keep"))))</f>
        <v>0</v>
      </c>
      <c r="Z282" s="25"/>
    </row>
    <row r="283" spans="1:26">
      <c r="A283" s="7"/>
      <c r="B283" s="8">
        <f>IF(A283="","",IFERROR(INDEX(Ingredients!$B$5:$B$304,MATCH(A283,Ingredients!$A$5:$A$304,0)),""))</f>
        <v>0</v>
      </c>
      <c r="C283" s="26"/>
      <c r="D283" s="27"/>
      <c r="E283" s="27"/>
      <c r="F283" s="30"/>
      <c r="G283" s="30"/>
      <c r="H283" s="8">
        <f>IF(A283="","",IFERROR(INDEX(Ingredients!$M$5:$M$304,MATCH(A283,Ingredients!$A$5:$A$304,0)),""))</f>
        <v>0</v>
      </c>
      <c r="I283" s="8">
        <f>IF(OR(A283="",H283=""),"",IF(G283&lt;&gt;"",G283+H283,IF(F283&lt;&gt;"",F283+H283,"")))</f>
        <v>0</v>
      </c>
      <c r="J283" s="8">
        <f>IF(OR(A283="",I283=""),"",I283-TODAY())</f>
        <v>0</v>
      </c>
      <c r="K283" s="8">
        <f>IF(A283="","",IF(J283="","No date",IF(J283&lt;0,"Expired",IF(J283&lt;=Expiry_Warning_Days,"Use soon","Fresh"))))</f>
        <v>0</v>
      </c>
      <c r="L283" s="8">
        <f>IF(A283="","",COUNTIFS('Recipe Ingredients'!$B$5:$B$1204,A283))</f>
        <v>0</v>
      </c>
      <c r="M283" s="8">
        <f>IF(A283="","",IFERROR(INDEX(Ingredients!$X$5:$X$304,MATCH(A283,Ingredients!$A$5:$A$304,0)),""))</f>
        <v>0</v>
      </c>
      <c r="N283" s="8">
        <f>IF(OR(A283="",M283=""),"",IF(M283&lt;1,MAX(0,1*IFERROR(IFERROR(INDEX(Ingredients!$U$5:$U$304,MATCH(A283,Ingredients!$A$5:$A$304,0)),""),0)-C283),0))</f>
        <v>0</v>
      </c>
      <c r="O283" s="8">
        <f>IF(A283="","",IF(M283="","",IF(M283&lt;1,"Low","OK")))</f>
        <v>0</v>
      </c>
      <c r="P283" s="8">
        <f>IF(OR(A283="",C283=""),"",IFERROR(C283*IFERROR(INDEX(Ingredients!$D$5:$D$304,MATCH(A283,Ingredients!$A$5:$A$304,0)),""),""))</f>
        <v>0</v>
      </c>
      <c r="Q283" s="8">
        <f>IF(OR(E283&lt;&gt;"Fridge",J283=""),"",SUMPRODUCT(($E$5:$E$304="Fridge")*($J$5:$J$304&lt;J283))+SUMPRODUCT(($E$5:$E$304="Fridge")*($J$5:$J$304=J283)*(ROW($J$5:$J$304)&lt;ROW()))+1)</f>
        <v>0</v>
      </c>
      <c r="R283" s="8">
        <f>IF(OR(E283&lt;&gt;"Freezer",J283=""),"",SUMPRODUCT(($E$5:$E$304="Freezer")*($J$5:$J$304&lt;J283))+SUMPRODUCT(($E$5:$E$304="Freezer")*($J$5:$J$304=J283)*(ROW($J$5:$J$304)&lt;ROW()))+1)</f>
        <v>0</v>
      </c>
      <c r="S283" s="7"/>
      <c r="T283" s="27"/>
      <c r="U283" s="28"/>
      <c r="V283" s="27"/>
      <c r="W283" s="7"/>
      <c r="X283" s="26"/>
      <c r="Y283" s="8">
        <f>IF(A283="","",IF(K283="Expired","Bin it",IF(K283="Use soon","Cook it",IF(O283="Low","Running low","Keep"))))</f>
        <v>0</v>
      </c>
      <c r="Z283" s="25"/>
    </row>
    <row r="284" spans="1:26">
      <c r="A284" s="7"/>
      <c r="B284" s="8">
        <f>IF(A284="","",IFERROR(INDEX(Ingredients!$B$5:$B$304,MATCH(A284,Ingredients!$A$5:$A$304,0)),""))</f>
        <v>0</v>
      </c>
      <c r="C284" s="26"/>
      <c r="D284" s="27"/>
      <c r="E284" s="27"/>
      <c r="F284" s="30"/>
      <c r="G284" s="30"/>
      <c r="H284" s="8">
        <f>IF(A284="","",IFERROR(INDEX(Ingredients!$M$5:$M$304,MATCH(A284,Ingredients!$A$5:$A$304,0)),""))</f>
        <v>0</v>
      </c>
      <c r="I284" s="8">
        <f>IF(OR(A284="",H284=""),"",IF(G284&lt;&gt;"",G284+H284,IF(F284&lt;&gt;"",F284+H284,"")))</f>
        <v>0</v>
      </c>
      <c r="J284" s="8">
        <f>IF(OR(A284="",I284=""),"",I284-TODAY())</f>
        <v>0</v>
      </c>
      <c r="K284" s="8">
        <f>IF(A284="","",IF(J284="","No date",IF(J284&lt;0,"Expired",IF(J284&lt;=Expiry_Warning_Days,"Use soon","Fresh"))))</f>
        <v>0</v>
      </c>
      <c r="L284" s="8">
        <f>IF(A284="","",COUNTIFS('Recipe Ingredients'!$B$5:$B$1204,A284))</f>
        <v>0</v>
      </c>
      <c r="M284" s="8">
        <f>IF(A284="","",IFERROR(INDEX(Ingredients!$X$5:$X$304,MATCH(A284,Ingredients!$A$5:$A$304,0)),""))</f>
        <v>0</v>
      </c>
      <c r="N284" s="8">
        <f>IF(OR(A284="",M284=""),"",IF(M284&lt;1,MAX(0,1*IFERROR(IFERROR(INDEX(Ingredients!$U$5:$U$304,MATCH(A284,Ingredients!$A$5:$A$304,0)),""),0)-C284),0))</f>
        <v>0</v>
      </c>
      <c r="O284" s="8">
        <f>IF(A284="","",IF(M284="","",IF(M284&lt;1,"Low","OK")))</f>
        <v>0</v>
      </c>
      <c r="P284" s="8">
        <f>IF(OR(A284="",C284=""),"",IFERROR(C284*IFERROR(INDEX(Ingredients!$D$5:$D$304,MATCH(A284,Ingredients!$A$5:$A$304,0)),""),""))</f>
        <v>0</v>
      </c>
      <c r="Q284" s="8">
        <f>IF(OR(E284&lt;&gt;"Fridge",J284=""),"",SUMPRODUCT(($E$5:$E$304="Fridge")*($J$5:$J$304&lt;J284))+SUMPRODUCT(($E$5:$E$304="Fridge")*($J$5:$J$304=J284)*(ROW($J$5:$J$304)&lt;ROW()))+1)</f>
        <v>0</v>
      </c>
      <c r="R284" s="8">
        <f>IF(OR(E284&lt;&gt;"Freezer",J284=""),"",SUMPRODUCT(($E$5:$E$304="Freezer")*($J$5:$J$304&lt;J284))+SUMPRODUCT(($E$5:$E$304="Freezer")*($J$5:$J$304=J284)*(ROW($J$5:$J$304)&lt;ROW()))+1)</f>
        <v>0</v>
      </c>
      <c r="S284" s="7"/>
      <c r="T284" s="27"/>
      <c r="U284" s="28"/>
      <c r="V284" s="27"/>
      <c r="W284" s="7"/>
      <c r="X284" s="26"/>
      <c r="Y284" s="8">
        <f>IF(A284="","",IF(K284="Expired","Bin it",IF(K284="Use soon","Cook it",IF(O284="Low","Running low","Keep"))))</f>
        <v>0</v>
      </c>
      <c r="Z284" s="25"/>
    </row>
    <row r="285" spans="1:26">
      <c r="A285" s="7"/>
      <c r="B285" s="8">
        <f>IF(A285="","",IFERROR(INDEX(Ingredients!$B$5:$B$304,MATCH(A285,Ingredients!$A$5:$A$304,0)),""))</f>
        <v>0</v>
      </c>
      <c r="C285" s="26"/>
      <c r="D285" s="27"/>
      <c r="E285" s="27"/>
      <c r="F285" s="30"/>
      <c r="G285" s="30"/>
      <c r="H285" s="8">
        <f>IF(A285="","",IFERROR(INDEX(Ingredients!$M$5:$M$304,MATCH(A285,Ingredients!$A$5:$A$304,0)),""))</f>
        <v>0</v>
      </c>
      <c r="I285" s="8">
        <f>IF(OR(A285="",H285=""),"",IF(G285&lt;&gt;"",G285+H285,IF(F285&lt;&gt;"",F285+H285,"")))</f>
        <v>0</v>
      </c>
      <c r="J285" s="8">
        <f>IF(OR(A285="",I285=""),"",I285-TODAY())</f>
        <v>0</v>
      </c>
      <c r="K285" s="8">
        <f>IF(A285="","",IF(J285="","No date",IF(J285&lt;0,"Expired",IF(J285&lt;=Expiry_Warning_Days,"Use soon","Fresh"))))</f>
        <v>0</v>
      </c>
      <c r="L285" s="8">
        <f>IF(A285="","",COUNTIFS('Recipe Ingredients'!$B$5:$B$1204,A285))</f>
        <v>0</v>
      </c>
      <c r="M285" s="8">
        <f>IF(A285="","",IFERROR(INDEX(Ingredients!$X$5:$X$304,MATCH(A285,Ingredients!$A$5:$A$304,0)),""))</f>
        <v>0</v>
      </c>
      <c r="N285" s="8">
        <f>IF(OR(A285="",M285=""),"",IF(M285&lt;1,MAX(0,1*IFERROR(IFERROR(INDEX(Ingredients!$U$5:$U$304,MATCH(A285,Ingredients!$A$5:$A$304,0)),""),0)-C285),0))</f>
        <v>0</v>
      </c>
      <c r="O285" s="8">
        <f>IF(A285="","",IF(M285="","",IF(M285&lt;1,"Low","OK")))</f>
        <v>0</v>
      </c>
      <c r="P285" s="8">
        <f>IF(OR(A285="",C285=""),"",IFERROR(C285*IFERROR(INDEX(Ingredients!$D$5:$D$304,MATCH(A285,Ingredients!$A$5:$A$304,0)),""),""))</f>
        <v>0</v>
      </c>
      <c r="Q285" s="8">
        <f>IF(OR(E285&lt;&gt;"Fridge",J285=""),"",SUMPRODUCT(($E$5:$E$304="Fridge")*($J$5:$J$304&lt;J285))+SUMPRODUCT(($E$5:$E$304="Fridge")*($J$5:$J$304=J285)*(ROW($J$5:$J$304)&lt;ROW()))+1)</f>
        <v>0</v>
      </c>
      <c r="R285" s="8">
        <f>IF(OR(E285&lt;&gt;"Freezer",J285=""),"",SUMPRODUCT(($E$5:$E$304="Freezer")*($J$5:$J$304&lt;J285))+SUMPRODUCT(($E$5:$E$304="Freezer")*($J$5:$J$304=J285)*(ROW($J$5:$J$304)&lt;ROW()))+1)</f>
        <v>0</v>
      </c>
      <c r="S285" s="7"/>
      <c r="T285" s="27"/>
      <c r="U285" s="28"/>
      <c r="V285" s="27"/>
      <c r="W285" s="7"/>
      <c r="X285" s="26"/>
      <c r="Y285" s="8">
        <f>IF(A285="","",IF(K285="Expired","Bin it",IF(K285="Use soon","Cook it",IF(O285="Low","Running low","Keep"))))</f>
        <v>0</v>
      </c>
      <c r="Z285" s="25"/>
    </row>
    <row r="286" spans="1:26">
      <c r="A286" s="7"/>
      <c r="B286" s="8">
        <f>IF(A286="","",IFERROR(INDEX(Ingredients!$B$5:$B$304,MATCH(A286,Ingredients!$A$5:$A$304,0)),""))</f>
        <v>0</v>
      </c>
      <c r="C286" s="26"/>
      <c r="D286" s="27"/>
      <c r="E286" s="27"/>
      <c r="F286" s="30"/>
      <c r="G286" s="30"/>
      <c r="H286" s="8">
        <f>IF(A286="","",IFERROR(INDEX(Ingredients!$M$5:$M$304,MATCH(A286,Ingredients!$A$5:$A$304,0)),""))</f>
        <v>0</v>
      </c>
      <c r="I286" s="8">
        <f>IF(OR(A286="",H286=""),"",IF(G286&lt;&gt;"",G286+H286,IF(F286&lt;&gt;"",F286+H286,"")))</f>
        <v>0</v>
      </c>
      <c r="J286" s="8">
        <f>IF(OR(A286="",I286=""),"",I286-TODAY())</f>
        <v>0</v>
      </c>
      <c r="K286" s="8">
        <f>IF(A286="","",IF(J286="","No date",IF(J286&lt;0,"Expired",IF(J286&lt;=Expiry_Warning_Days,"Use soon","Fresh"))))</f>
        <v>0</v>
      </c>
      <c r="L286" s="8">
        <f>IF(A286="","",COUNTIFS('Recipe Ingredients'!$B$5:$B$1204,A286))</f>
        <v>0</v>
      </c>
      <c r="M286" s="8">
        <f>IF(A286="","",IFERROR(INDEX(Ingredients!$X$5:$X$304,MATCH(A286,Ingredients!$A$5:$A$304,0)),""))</f>
        <v>0</v>
      </c>
      <c r="N286" s="8">
        <f>IF(OR(A286="",M286=""),"",IF(M286&lt;1,MAX(0,1*IFERROR(IFERROR(INDEX(Ingredients!$U$5:$U$304,MATCH(A286,Ingredients!$A$5:$A$304,0)),""),0)-C286),0))</f>
        <v>0</v>
      </c>
      <c r="O286" s="8">
        <f>IF(A286="","",IF(M286="","",IF(M286&lt;1,"Low","OK")))</f>
        <v>0</v>
      </c>
      <c r="P286" s="8">
        <f>IF(OR(A286="",C286=""),"",IFERROR(C286*IFERROR(INDEX(Ingredients!$D$5:$D$304,MATCH(A286,Ingredients!$A$5:$A$304,0)),""),""))</f>
        <v>0</v>
      </c>
      <c r="Q286" s="8">
        <f>IF(OR(E286&lt;&gt;"Fridge",J286=""),"",SUMPRODUCT(($E$5:$E$304="Fridge")*($J$5:$J$304&lt;J286))+SUMPRODUCT(($E$5:$E$304="Fridge")*($J$5:$J$304=J286)*(ROW($J$5:$J$304)&lt;ROW()))+1)</f>
        <v>0</v>
      </c>
      <c r="R286" s="8">
        <f>IF(OR(E286&lt;&gt;"Freezer",J286=""),"",SUMPRODUCT(($E$5:$E$304="Freezer")*($J$5:$J$304&lt;J286))+SUMPRODUCT(($E$5:$E$304="Freezer")*($J$5:$J$304=J286)*(ROW($J$5:$J$304)&lt;ROW()))+1)</f>
        <v>0</v>
      </c>
      <c r="S286" s="7"/>
      <c r="T286" s="27"/>
      <c r="U286" s="28"/>
      <c r="V286" s="27"/>
      <c r="W286" s="7"/>
      <c r="X286" s="26"/>
      <c r="Y286" s="8">
        <f>IF(A286="","",IF(K286="Expired","Bin it",IF(K286="Use soon","Cook it",IF(O286="Low","Running low","Keep"))))</f>
        <v>0</v>
      </c>
      <c r="Z286" s="25"/>
    </row>
    <row r="287" spans="1:26">
      <c r="A287" s="7"/>
      <c r="B287" s="8">
        <f>IF(A287="","",IFERROR(INDEX(Ingredients!$B$5:$B$304,MATCH(A287,Ingredients!$A$5:$A$304,0)),""))</f>
        <v>0</v>
      </c>
      <c r="C287" s="26"/>
      <c r="D287" s="27"/>
      <c r="E287" s="27"/>
      <c r="F287" s="30"/>
      <c r="G287" s="30"/>
      <c r="H287" s="8">
        <f>IF(A287="","",IFERROR(INDEX(Ingredients!$M$5:$M$304,MATCH(A287,Ingredients!$A$5:$A$304,0)),""))</f>
        <v>0</v>
      </c>
      <c r="I287" s="8">
        <f>IF(OR(A287="",H287=""),"",IF(G287&lt;&gt;"",G287+H287,IF(F287&lt;&gt;"",F287+H287,"")))</f>
        <v>0</v>
      </c>
      <c r="J287" s="8">
        <f>IF(OR(A287="",I287=""),"",I287-TODAY())</f>
        <v>0</v>
      </c>
      <c r="K287" s="8">
        <f>IF(A287="","",IF(J287="","No date",IF(J287&lt;0,"Expired",IF(J287&lt;=Expiry_Warning_Days,"Use soon","Fresh"))))</f>
        <v>0</v>
      </c>
      <c r="L287" s="8">
        <f>IF(A287="","",COUNTIFS('Recipe Ingredients'!$B$5:$B$1204,A287))</f>
        <v>0</v>
      </c>
      <c r="M287" s="8">
        <f>IF(A287="","",IFERROR(INDEX(Ingredients!$X$5:$X$304,MATCH(A287,Ingredients!$A$5:$A$304,0)),""))</f>
        <v>0</v>
      </c>
      <c r="N287" s="8">
        <f>IF(OR(A287="",M287=""),"",IF(M287&lt;1,MAX(0,1*IFERROR(IFERROR(INDEX(Ingredients!$U$5:$U$304,MATCH(A287,Ingredients!$A$5:$A$304,0)),""),0)-C287),0))</f>
        <v>0</v>
      </c>
      <c r="O287" s="8">
        <f>IF(A287="","",IF(M287="","",IF(M287&lt;1,"Low","OK")))</f>
        <v>0</v>
      </c>
      <c r="P287" s="8">
        <f>IF(OR(A287="",C287=""),"",IFERROR(C287*IFERROR(INDEX(Ingredients!$D$5:$D$304,MATCH(A287,Ingredients!$A$5:$A$304,0)),""),""))</f>
        <v>0</v>
      </c>
      <c r="Q287" s="8">
        <f>IF(OR(E287&lt;&gt;"Fridge",J287=""),"",SUMPRODUCT(($E$5:$E$304="Fridge")*($J$5:$J$304&lt;J287))+SUMPRODUCT(($E$5:$E$304="Fridge")*($J$5:$J$304=J287)*(ROW($J$5:$J$304)&lt;ROW()))+1)</f>
        <v>0</v>
      </c>
      <c r="R287" s="8">
        <f>IF(OR(E287&lt;&gt;"Freezer",J287=""),"",SUMPRODUCT(($E$5:$E$304="Freezer")*($J$5:$J$304&lt;J287))+SUMPRODUCT(($E$5:$E$304="Freezer")*($J$5:$J$304=J287)*(ROW($J$5:$J$304)&lt;ROW()))+1)</f>
        <v>0</v>
      </c>
      <c r="S287" s="7"/>
      <c r="T287" s="27"/>
      <c r="U287" s="28"/>
      <c r="V287" s="27"/>
      <c r="W287" s="7"/>
      <c r="X287" s="26"/>
      <c r="Y287" s="8">
        <f>IF(A287="","",IF(K287="Expired","Bin it",IF(K287="Use soon","Cook it",IF(O287="Low","Running low","Keep"))))</f>
        <v>0</v>
      </c>
      <c r="Z287" s="25"/>
    </row>
    <row r="288" spans="1:26">
      <c r="A288" s="7"/>
      <c r="B288" s="8">
        <f>IF(A288="","",IFERROR(INDEX(Ingredients!$B$5:$B$304,MATCH(A288,Ingredients!$A$5:$A$304,0)),""))</f>
        <v>0</v>
      </c>
      <c r="C288" s="26"/>
      <c r="D288" s="27"/>
      <c r="E288" s="27"/>
      <c r="F288" s="30"/>
      <c r="G288" s="30"/>
      <c r="H288" s="8">
        <f>IF(A288="","",IFERROR(INDEX(Ingredients!$M$5:$M$304,MATCH(A288,Ingredients!$A$5:$A$304,0)),""))</f>
        <v>0</v>
      </c>
      <c r="I288" s="8">
        <f>IF(OR(A288="",H288=""),"",IF(G288&lt;&gt;"",G288+H288,IF(F288&lt;&gt;"",F288+H288,"")))</f>
        <v>0</v>
      </c>
      <c r="J288" s="8">
        <f>IF(OR(A288="",I288=""),"",I288-TODAY())</f>
        <v>0</v>
      </c>
      <c r="K288" s="8">
        <f>IF(A288="","",IF(J288="","No date",IF(J288&lt;0,"Expired",IF(J288&lt;=Expiry_Warning_Days,"Use soon","Fresh"))))</f>
        <v>0</v>
      </c>
      <c r="L288" s="8">
        <f>IF(A288="","",COUNTIFS('Recipe Ingredients'!$B$5:$B$1204,A288))</f>
        <v>0</v>
      </c>
      <c r="M288" s="8">
        <f>IF(A288="","",IFERROR(INDEX(Ingredients!$X$5:$X$304,MATCH(A288,Ingredients!$A$5:$A$304,0)),""))</f>
        <v>0</v>
      </c>
      <c r="N288" s="8">
        <f>IF(OR(A288="",M288=""),"",IF(M288&lt;1,MAX(0,1*IFERROR(IFERROR(INDEX(Ingredients!$U$5:$U$304,MATCH(A288,Ingredients!$A$5:$A$304,0)),""),0)-C288),0))</f>
        <v>0</v>
      </c>
      <c r="O288" s="8">
        <f>IF(A288="","",IF(M288="","",IF(M288&lt;1,"Low","OK")))</f>
        <v>0</v>
      </c>
      <c r="P288" s="8">
        <f>IF(OR(A288="",C288=""),"",IFERROR(C288*IFERROR(INDEX(Ingredients!$D$5:$D$304,MATCH(A288,Ingredients!$A$5:$A$304,0)),""),""))</f>
        <v>0</v>
      </c>
      <c r="Q288" s="8">
        <f>IF(OR(E288&lt;&gt;"Fridge",J288=""),"",SUMPRODUCT(($E$5:$E$304="Fridge")*($J$5:$J$304&lt;J288))+SUMPRODUCT(($E$5:$E$304="Fridge")*($J$5:$J$304=J288)*(ROW($J$5:$J$304)&lt;ROW()))+1)</f>
        <v>0</v>
      </c>
      <c r="R288" s="8">
        <f>IF(OR(E288&lt;&gt;"Freezer",J288=""),"",SUMPRODUCT(($E$5:$E$304="Freezer")*($J$5:$J$304&lt;J288))+SUMPRODUCT(($E$5:$E$304="Freezer")*($J$5:$J$304=J288)*(ROW($J$5:$J$304)&lt;ROW()))+1)</f>
        <v>0</v>
      </c>
      <c r="S288" s="7"/>
      <c r="T288" s="27"/>
      <c r="U288" s="28"/>
      <c r="V288" s="27"/>
      <c r="W288" s="7"/>
      <c r="X288" s="26"/>
      <c r="Y288" s="8">
        <f>IF(A288="","",IF(K288="Expired","Bin it",IF(K288="Use soon","Cook it",IF(O288="Low","Running low","Keep"))))</f>
        <v>0</v>
      </c>
      <c r="Z288" s="25"/>
    </row>
    <row r="289" spans="1:26">
      <c r="A289" s="7"/>
      <c r="B289" s="8">
        <f>IF(A289="","",IFERROR(INDEX(Ingredients!$B$5:$B$304,MATCH(A289,Ingredients!$A$5:$A$304,0)),""))</f>
        <v>0</v>
      </c>
      <c r="C289" s="26"/>
      <c r="D289" s="27"/>
      <c r="E289" s="27"/>
      <c r="F289" s="30"/>
      <c r="G289" s="30"/>
      <c r="H289" s="8">
        <f>IF(A289="","",IFERROR(INDEX(Ingredients!$M$5:$M$304,MATCH(A289,Ingredients!$A$5:$A$304,0)),""))</f>
        <v>0</v>
      </c>
      <c r="I289" s="8">
        <f>IF(OR(A289="",H289=""),"",IF(G289&lt;&gt;"",G289+H289,IF(F289&lt;&gt;"",F289+H289,"")))</f>
        <v>0</v>
      </c>
      <c r="J289" s="8">
        <f>IF(OR(A289="",I289=""),"",I289-TODAY())</f>
        <v>0</v>
      </c>
      <c r="K289" s="8">
        <f>IF(A289="","",IF(J289="","No date",IF(J289&lt;0,"Expired",IF(J289&lt;=Expiry_Warning_Days,"Use soon","Fresh"))))</f>
        <v>0</v>
      </c>
      <c r="L289" s="8">
        <f>IF(A289="","",COUNTIFS('Recipe Ingredients'!$B$5:$B$1204,A289))</f>
        <v>0</v>
      </c>
      <c r="M289" s="8">
        <f>IF(A289="","",IFERROR(INDEX(Ingredients!$X$5:$X$304,MATCH(A289,Ingredients!$A$5:$A$304,0)),""))</f>
        <v>0</v>
      </c>
      <c r="N289" s="8">
        <f>IF(OR(A289="",M289=""),"",IF(M289&lt;1,MAX(0,1*IFERROR(IFERROR(INDEX(Ingredients!$U$5:$U$304,MATCH(A289,Ingredients!$A$5:$A$304,0)),""),0)-C289),0))</f>
        <v>0</v>
      </c>
      <c r="O289" s="8">
        <f>IF(A289="","",IF(M289="","",IF(M289&lt;1,"Low","OK")))</f>
        <v>0</v>
      </c>
      <c r="P289" s="8">
        <f>IF(OR(A289="",C289=""),"",IFERROR(C289*IFERROR(INDEX(Ingredients!$D$5:$D$304,MATCH(A289,Ingredients!$A$5:$A$304,0)),""),""))</f>
        <v>0</v>
      </c>
      <c r="Q289" s="8">
        <f>IF(OR(E289&lt;&gt;"Fridge",J289=""),"",SUMPRODUCT(($E$5:$E$304="Fridge")*($J$5:$J$304&lt;J289))+SUMPRODUCT(($E$5:$E$304="Fridge")*($J$5:$J$304=J289)*(ROW($J$5:$J$304)&lt;ROW()))+1)</f>
        <v>0</v>
      </c>
      <c r="R289" s="8">
        <f>IF(OR(E289&lt;&gt;"Freezer",J289=""),"",SUMPRODUCT(($E$5:$E$304="Freezer")*($J$5:$J$304&lt;J289))+SUMPRODUCT(($E$5:$E$304="Freezer")*($J$5:$J$304=J289)*(ROW($J$5:$J$304)&lt;ROW()))+1)</f>
        <v>0</v>
      </c>
      <c r="S289" s="7"/>
      <c r="T289" s="27"/>
      <c r="U289" s="28"/>
      <c r="V289" s="27"/>
      <c r="W289" s="7"/>
      <c r="X289" s="26"/>
      <c r="Y289" s="8">
        <f>IF(A289="","",IF(K289="Expired","Bin it",IF(K289="Use soon","Cook it",IF(O289="Low","Running low","Keep"))))</f>
        <v>0</v>
      </c>
      <c r="Z289" s="25"/>
    </row>
    <row r="290" spans="1:26">
      <c r="A290" s="7"/>
      <c r="B290" s="8">
        <f>IF(A290="","",IFERROR(INDEX(Ingredients!$B$5:$B$304,MATCH(A290,Ingredients!$A$5:$A$304,0)),""))</f>
        <v>0</v>
      </c>
      <c r="C290" s="26"/>
      <c r="D290" s="27"/>
      <c r="E290" s="27"/>
      <c r="F290" s="30"/>
      <c r="G290" s="30"/>
      <c r="H290" s="8">
        <f>IF(A290="","",IFERROR(INDEX(Ingredients!$M$5:$M$304,MATCH(A290,Ingredients!$A$5:$A$304,0)),""))</f>
        <v>0</v>
      </c>
      <c r="I290" s="8">
        <f>IF(OR(A290="",H290=""),"",IF(G290&lt;&gt;"",G290+H290,IF(F290&lt;&gt;"",F290+H290,"")))</f>
        <v>0</v>
      </c>
      <c r="J290" s="8">
        <f>IF(OR(A290="",I290=""),"",I290-TODAY())</f>
        <v>0</v>
      </c>
      <c r="K290" s="8">
        <f>IF(A290="","",IF(J290="","No date",IF(J290&lt;0,"Expired",IF(J290&lt;=Expiry_Warning_Days,"Use soon","Fresh"))))</f>
        <v>0</v>
      </c>
      <c r="L290" s="8">
        <f>IF(A290="","",COUNTIFS('Recipe Ingredients'!$B$5:$B$1204,A290))</f>
        <v>0</v>
      </c>
      <c r="M290" s="8">
        <f>IF(A290="","",IFERROR(INDEX(Ingredients!$X$5:$X$304,MATCH(A290,Ingredients!$A$5:$A$304,0)),""))</f>
        <v>0</v>
      </c>
      <c r="N290" s="8">
        <f>IF(OR(A290="",M290=""),"",IF(M290&lt;1,MAX(0,1*IFERROR(IFERROR(INDEX(Ingredients!$U$5:$U$304,MATCH(A290,Ingredients!$A$5:$A$304,0)),""),0)-C290),0))</f>
        <v>0</v>
      </c>
      <c r="O290" s="8">
        <f>IF(A290="","",IF(M290="","",IF(M290&lt;1,"Low","OK")))</f>
        <v>0</v>
      </c>
      <c r="P290" s="8">
        <f>IF(OR(A290="",C290=""),"",IFERROR(C290*IFERROR(INDEX(Ingredients!$D$5:$D$304,MATCH(A290,Ingredients!$A$5:$A$304,0)),""),""))</f>
        <v>0</v>
      </c>
      <c r="Q290" s="8">
        <f>IF(OR(E290&lt;&gt;"Fridge",J290=""),"",SUMPRODUCT(($E$5:$E$304="Fridge")*($J$5:$J$304&lt;J290))+SUMPRODUCT(($E$5:$E$304="Fridge")*($J$5:$J$304=J290)*(ROW($J$5:$J$304)&lt;ROW()))+1)</f>
        <v>0</v>
      </c>
      <c r="R290" s="8">
        <f>IF(OR(E290&lt;&gt;"Freezer",J290=""),"",SUMPRODUCT(($E$5:$E$304="Freezer")*($J$5:$J$304&lt;J290))+SUMPRODUCT(($E$5:$E$304="Freezer")*($J$5:$J$304=J290)*(ROW($J$5:$J$304)&lt;ROW()))+1)</f>
        <v>0</v>
      </c>
      <c r="S290" s="7"/>
      <c r="T290" s="27"/>
      <c r="U290" s="28"/>
      <c r="V290" s="27"/>
      <c r="W290" s="7"/>
      <c r="X290" s="26"/>
      <c r="Y290" s="8">
        <f>IF(A290="","",IF(K290="Expired","Bin it",IF(K290="Use soon","Cook it",IF(O290="Low","Running low","Keep"))))</f>
        <v>0</v>
      </c>
      <c r="Z290" s="25"/>
    </row>
    <row r="291" spans="1:26">
      <c r="A291" s="7"/>
      <c r="B291" s="8">
        <f>IF(A291="","",IFERROR(INDEX(Ingredients!$B$5:$B$304,MATCH(A291,Ingredients!$A$5:$A$304,0)),""))</f>
        <v>0</v>
      </c>
      <c r="C291" s="26"/>
      <c r="D291" s="27"/>
      <c r="E291" s="27"/>
      <c r="F291" s="30"/>
      <c r="G291" s="30"/>
      <c r="H291" s="8">
        <f>IF(A291="","",IFERROR(INDEX(Ingredients!$M$5:$M$304,MATCH(A291,Ingredients!$A$5:$A$304,0)),""))</f>
        <v>0</v>
      </c>
      <c r="I291" s="8">
        <f>IF(OR(A291="",H291=""),"",IF(G291&lt;&gt;"",G291+H291,IF(F291&lt;&gt;"",F291+H291,"")))</f>
        <v>0</v>
      </c>
      <c r="J291" s="8">
        <f>IF(OR(A291="",I291=""),"",I291-TODAY())</f>
        <v>0</v>
      </c>
      <c r="K291" s="8">
        <f>IF(A291="","",IF(J291="","No date",IF(J291&lt;0,"Expired",IF(J291&lt;=Expiry_Warning_Days,"Use soon","Fresh"))))</f>
        <v>0</v>
      </c>
      <c r="L291" s="8">
        <f>IF(A291="","",COUNTIFS('Recipe Ingredients'!$B$5:$B$1204,A291))</f>
        <v>0</v>
      </c>
      <c r="M291" s="8">
        <f>IF(A291="","",IFERROR(INDEX(Ingredients!$X$5:$X$304,MATCH(A291,Ingredients!$A$5:$A$304,0)),""))</f>
        <v>0</v>
      </c>
      <c r="N291" s="8">
        <f>IF(OR(A291="",M291=""),"",IF(M291&lt;1,MAX(0,1*IFERROR(IFERROR(INDEX(Ingredients!$U$5:$U$304,MATCH(A291,Ingredients!$A$5:$A$304,0)),""),0)-C291),0))</f>
        <v>0</v>
      </c>
      <c r="O291" s="8">
        <f>IF(A291="","",IF(M291="","",IF(M291&lt;1,"Low","OK")))</f>
        <v>0</v>
      </c>
      <c r="P291" s="8">
        <f>IF(OR(A291="",C291=""),"",IFERROR(C291*IFERROR(INDEX(Ingredients!$D$5:$D$304,MATCH(A291,Ingredients!$A$5:$A$304,0)),""),""))</f>
        <v>0</v>
      </c>
      <c r="Q291" s="8">
        <f>IF(OR(E291&lt;&gt;"Fridge",J291=""),"",SUMPRODUCT(($E$5:$E$304="Fridge")*($J$5:$J$304&lt;J291))+SUMPRODUCT(($E$5:$E$304="Fridge")*($J$5:$J$304=J291)*(ROW($J$5:$J$304)&lt;ROW()))+1)</f>
        <v>0</v>
      </c>
      <c r="R291" s="8">
        <f>IF(OR(E291&lt;&gt;"Freezer",J291=""),"",SUMPRODUCT(($E$5:$E$304="Freezer")*($J$5:$J$304&lt;J291))+SUMPRODUCT(($E$5:$E$304="Freezer")*($J$5:$J$304=J291)*(ROW($J$5:$J$304)&lt;ROW()))+1)</f>
        <v>0</v>
      </c>
      <c r="S291" s="7"/>
      <c r="T291" s="27"/>
      <c r="U291" s="28"/>
      <c r="V291" s="27"/>
      <c r="W291" s="7"/>
      <c r="X291" s="26"/>
      <c r="Y291" s="8">
        <f>IF(A291="","",IF(K291="Expired","Bin it",IF(K291="Use soon","Cook it",IF(O291="Low","Running low","Keep"))))</f>
        <v>0</v>
      </c>
      <c r="Z291" s="25"/>
    </row>
    <row r="292" spans="1:26">
      <c r="A292" s="7"/>
      <c r="B292" s="8">
        <f>IF(A292="","",IFERROR(INDEX(Ingredients!$B$5:$B$304,MATCH(A292,Ingredients!$A$5:$A$304,0)),""))</f>
        <v>0</v>
      </c>
      <c r="C292" s="26"/>
      <c r="D292" s="27"/>
      <c r="E292" s="27"/>
      <c r="F292" s="30"/>
      <c r="G292" s="30"/>
      <c r="H292" s="8">
        <f>IF(A292="","",IFERROR(INDEX(Ingredients!$M$5:$M$304,MATCH(A292,Ingredients!$A$5:$A$304,0)),""))</f>
        <v>0</v>
      </c>
      <c r="I292" s="8">
        <f>IF(OR(A292="",H292=""),"",IF(G292&lt;&gt;"",G292+H292,IF(F292&lt;&gt;"",F292+H292,"")))</f>
        <v>0</v>
      </c>
      <c r="J292" s="8">
        <f>IF(OR(A292="",I292=""),"",I292-TODAY())</f>
        <v>0</v>
      </c>
      <c r="K292" s="8">
        <f>IF(A292="","",IF(J292="","No date",IF(J292&lt;0,"Expired",IF(J292&lt;=Expiry_Warning_Days,"Use soon","Fresh"))))</f>
        <v>0</v>
      </c>
      <c r="L292" s="8">
        <f>IF(A292="","",COUNTIFS('Recipe Ingredients'!$B$5:$B$1204,A292))</f>
        <v>0</v>
      </c>
      <c r="M292" s="8">
        <f>IF(A292="","",IFERROR(INDEX(Ingredients!$X$5:$X$304,MATCH(A292,Ingredients!$A$5:$A$304,0)),""))</f>
        <v>0</v>
      </c>
      <c r="N292" s="8">
        <f>IF(OR(A292="",M292=""),"",IF(M292&lt;1,MAX(0,1*IFERROR(IFERROR(INDEX(Ingredients!$U$5:$U$304,MATCH(A292,Ingredients!$A$5:$A$304,0)),""),0)-C292),0))</f>
        <v>0</v>
      </c>
      <c r="O292" s="8">
        <f>IF(A292="","",IF(M292="","",IF(M292&lt;1,"Low","OK")))</f>
        <v>0</v>
      </c>
      <c r="P292" s="8">
        <f>IF(OR(A292="",C292=""),"",IFERROR(C292*IFERROR(INDEX(Ingredients!$D$5:$D$304,MATCH(A292,Ingredients!$A$5:$A$304,0)),""),""))</f>
        <v>0</v>
      </c>
      <c r="Q292" s="8">
        <f>IF(OR(E292&lt;&gt;"Fridge",J292=""),"",SUMPRODUCT(($E$5:$E$304="Fridge")*($J$5:$J$304&lt;J292))+SUMPRODUCT(($E$5:$E$304="Fridge")*($J$5:$J$304=J292)*(ROW($J$5:$J$304)&lt;ROW()))+1)</f>
        <v>0</v>
      </c>
      <c r="R292" s="8">
        <f>IF(OR(E292&lt;&gt;"Freezer",J292=""),"",SUMPRODUCT(($E$5:$E$304="Freezer")*($J$5:$J$304&lt;J292))+SUMPRODUCT(($E$5:$E$304="Freezer")*($J$5:$J$304=J292)*(ROW($J$5:$J$304)&lt;ROW()))+1)</f>
        <v>0</v>
      </c>
      <c r="S292" s="7"/>
      <c r="T292" s="27"/>
      <c r="U292" s="28"/>
      <c r="V292" s="27"/>
      <c r="W292" s="7"/>
      <c r="X292" s="26"/>
      <c r="Y292" s="8">
        <f>IF(A292="","",IF(K292="Expired","Bin it",IF(K292="Use soon","Cook it",IF(O292="Low","Running low","Keep"))))</f>
        <v>0</v>
      </c>
      <c r="Z292" s="25"/>
    </row>
    <row r="293" spans="1:26">
      <c r="A293" s="7"/>
      <c r="B293" s="8">
        <f>IF(A293="","",IFERROR(INDEX(Ingredients!$B$5:$B$304,MATCH(A293,Ingredients!$A$5:$A$304,0)),""))</f>
        <v>0</v>
      </c>
      <c r="C293" s="26"/>
      <c r="D293" s="27"/>
      <c r="E293" s="27"/>
      <c r="F293" s="30"/>
      <c r="G293" s="30"/>
      <c r="H293" s="8">
        <f>IF(A293="","",IFERROR(INDEX(Ingredients!$M$5:$M$304,MATCH(A293,Ingredients!$A$5:$A$304,0)),""))</f>
        <v>0</v>
      </c>
      <c r="I293" s="8">
        <f>IF(OR(A293="",H293=""),"",IF(G293&lt;&gt;"",G293+H293,IF(F293&lt;&gt;"",F293+H293,"")))</f>
        <v>0</v>
      </c>
      <c r="J293" s="8">
        <f>IF(OR(A293="",I293=""),"",I293-TODAY())</f>
        <v>0</v>
      </c>
      <c r="K293" s="8">
        <f>IF(A293="","",IF(J293="","No date",IF(J293&lt;0,"Expired",IF(J293&lt;=Expiry_Warning_Days,"Use soon","Fresh"))))</f>
        <v>0</v>
      </c>
      <c r="L293" s="8">
        <f>IF(A293="","",COUNTIFS('Recipe Ingredients'!$B$5:$B$1204,A293))</f>
        <v>0</v>
      </c>
      <c r="M293" s="8">
        <f>IF(A293="","",IFERROR(INDEX(Ingredients!$X$5:$X$304,MATCH(A293,Ingredients!$A$5:$A$304,0)),""))</f>
        <v>0</v>
      </c>
      <c r="N293" s="8">
        <f>IF(OR(A293="",M293=""),"",IF(M293&lt;1,MAX(0,1*IFERROR(IFERROR(INDEX(Ingredients!$U$5:$U$304,MATCH(A293,Ingredients!$A$5:$A$304,0)),""),0)-C293),0))</f>
        <v>0</v>
      </c>
      <c r="O293" s="8">
        <f>IF(A293="","",IF(M293="","",IF(M293&lt;1,"Low","OK")))</f>
        <v>0</v>
      </c>
      <c r="P293" s="8">
        <f>IF(OR(A293="",C293=""),"",IFERROR(C293*IFERROR(INDEX(Ingredients!$D$5:$D$304,MATCH(A293,Ingredients!$A$5:$A$304,0)),""),""))</f>
        <v>0</v>
      </c>
      <c r="Q293" s="8">
        <f>IF(OR(E293&lt;&gt;"Fridge",J293=""),"",SUMPRODUCT(($E$5:$E$304="Fridge")*($J$5:$J$304&lt;J293))+SUMPRODUCT(($E$5:$E$304="Fridge")*($J$5:$J$304=J293)*(ROW($J$5:$J$304)&lt;ROW()))+1)</f>
        <v>0</v>
      </c>
      <c r="R293" s="8">
        <f>IF(OR(E293&lt;&gt;"Freezer",J293=""),"",SUMPRODUCT(($E$5:$E$304="Freezer")*($J$5:$J$304&lt;J293))+SUMPRODUCT(($E$5:$E$304="Freezer")*($J$5:$J$304=J293)*(ROW($J$5:$J$304)&lt;ROW()))+1)</f>
        <v>0</v>
      </c>
      <c r="S293" s="7"/>
      <c r="T293" s="27"/>
      <c r="U293" s="28"/>
      <c r="V293" s="27"/>
      <c r="W293" s="7"/>
      <c r="X293" s="26"/>
      <c r="Y293" s="8">
        <f>IF(A293="","",IF(K293="Expired","Bin it",IF(K293="Use soon","Cook it",IF(O293="Low","Running low","Keep"))))</f>
        <v>0</v>
      </c>
      <c r="Z293" s="25"/>
    </row>
    <row r="294" spans="1:26">
      <c r="A294" s="7"/>
      <c r="B294" s="8">
        <f>IF(A294="","",IFERROR(INDEX(Ingredients!$B$5:$B$304,MATCH(A294,Ingredients!$A$5:$A$304,0)),""))</f>
        <v>0</v>
      </c>
      <c r="C294" s="26"/>
      <c r="D294" s="27"/>
      <c r="E294" s="27"/>
      <c r="F294" s="30"/>
      <c r="G294" s="30"/>
      <c r="H294" s="8">
        <f>IF(A294="","",IFERROR(INDEX(Ingredients!$M$5:$M$304,MATCH(A294,Ingredients!$A$5:$A$304,0)),""))</f>
        <v>0</v>
      </c>
      <c r="I294" s="8">
        <f>IF(OR(A294="",H294=""),"",IF(G294&lt;&gt;"",G294+H294,IF(F294&lt;&gt;"",F294+H294,"")))</f>
        <v>0</v>
      </c>
      <c r="J294" s="8">
        <f>IF(OR(A294="",I294=""),"",I294-TODAY())</f>
        <v>0</v>
      </c>
      <c r="K294" s="8">
        <f>IF(A294="","",IF(J294="","No date",IF(J294&lt;0,"Expired",IF(J294&lt;=Expiry_Warning_Days,"Use soon","Fresh"))))</f>
        <v>0</v>
      </c>
      <c r="L294" s="8">
        <f>IF(A294="","",COUNTIFS('Recipe Ingredients'!$B$5:$B$1204,A294))</f>
        <v>0</v>
      </c>
      <c r="M294" s="8">
        <f>IF(A294="","",IFERROR(INDEX(Ingredients!$X$5:$X$304,MATCH(A294,Ingredients!$A$5:$A$304,0)),""))</f>
        <v>0</v>
      </c>
      <c r="N294" s="8">
        <f>IF(OR(A294="",M294=""),"",IF(M294&lt;1,MAX(0,1*IFERROR(IFERROR(INDEX(Ingredients!$U$5:$U$304,MATCH(A294,Ingredients!$A$5:$A$304,0)),""),0)-C294),0))</f>
        <v>0</v>
      </c>
      <c r="O294" s="8">
        <f>IF(A294="","",IF(M294="","",IF(M294&lt;1,"Low","OK")))</f>
        <v>0</v>
      </c>
      <c r="P294" s="8">
        <f>IF(OR(A294="",C294=""),"",IFERROR(C294*IFERROR(INDEX(Ingredients!$D$5:$D$304,MATCH(A294,Ingredients!$A$5:$A$304,0)),""),""))</f>
        <v>0</v>
      </c>
      <c r="Q294" s="8">
        <f>IF(OR(E294&lt;&gt;"Fridge",J294=""),"",SUMPRODUCT(($E$5:$E$304="Fridge")*($J$5:$J$304&lt;J294))+SUMPRODUCT(($E$5:$E$304="Fridge")*($J$5:$J$304=J294)*(ROW($J$5:$J$304)&lt;ROW()))+1)</f>
        <v>0</v>
      </c>
      <c r="R294" s="8">
        <f>IF(OR(E294&lt;&gt;"Freezer",J294=""),"",SUMPRODUCT(($E$5:$E$304="Freezer")*($J$5:$J$304&lt;J294))+SUMPRODUCT(($E$5:$E$304="Freezer")*($J$5:$J$304=J294)*(ROW($J$5:$J$304)&lt;ROW()))+1)</f>
        <v>0</v>
      </c>
      <c r="S294" s="7"/>
      <c r="T294" s="27"/>
      <c r="U294" s="28"/>
      <c r="V294" s="27"/>
      <c r="W294" s="7"/>
      <c r="X294" s="26"/>
      <c r="Y294" s="8">
        <f>IF(A294="","",IF(K294="Expired","Bin it",IF(K294="Use soon","Cook it",IF(O294="Low","Running low","Keep"))))</f>
        <v>0</v>
      </c>
      <c r="Z294" s="25"/>
    </row>
    <row r="295" spans="1:26">
      <c r="A295" s="7"/>
      <c r="B295" s="8">
        <f>IF(A295="","",IFERROR(INDEX(Ingredients!$B$5:$B$304,MATCH(A295,Ingredients!$A$5:$A$304,0)),""))</f>
        <v>0</v>
      </c>
      <c r="C295" s="26"/>
      <c r="D295" s="27"/>
      <c r="E295" s="27"/>
      <c r="F295" s="30"/>
      <c r="G295" s="30"/>
      <c r="H295" s="8">
        <f>IF(A295="","",IFERROR(INDEX(Ingredients!$M$5:$M$304,MATCH(A295,Ingredients!$A$5:$A$304,0)),""))</f>
        <v>0</v>
      </c>
      <c r="I295" s="8">
        <f>IF(OR(A295="",H295=""),"",IF(G295&lt;&gt;"",G295+H295,IF(F295&lt;&gt;"",F295+H295,"")))</f>
        <v>0</v>
      </c>
      <c r="J295" s="8">
        <f>IF(OR(A295="",I295=""),"",I295-TODAY())</f>
        <v>0</v>
      </c>
      <c r="K295" s="8">
        <f>IF(A295="","",IF(J295="","No date",IF(J295&lt;0,"Expired",IF(J295&lt;=Expiry_Warning_Days,"Use soon","Fresh"))))</f>
        <v>0</v>
      </c>
      <c r="L295" s="8">
        <f>IF(A295="","",COUNTIFS('Recipe Ingredients'!$B$5:$B$1204,A295))</f>
        <v>0</v>
      </c>
      <c r="M295" s="8">
        <f>IF(A295="","",IFERROR(INDEX(Ingredients!$X$5:$X$304,MATCH(A295,Ingredients!$A$5:$A$304,0)),""))</f>
        <v>0</v>
      </c>
      <c r="N295" s="8">
        <f>IF(OR(A295="",M295=""),"",IF(M295&lt;1,MAX(0,1*IFERROR(IFERROR(INDEX(Ingredients!$U$5:$U$304,MATCH(A295,Ingredients!$A$5:$A$304,0)),""),0)-C295),0))</f>
        <v>0</v>
      </c>
      <c r="O295" s="8">
        <f>IF(A295="","",IF(M295="","",IF(M295&lt;1,"Low","OK")))</f>
        <v>0</v>
      </c>
      <c r="P295" s="8">
        <f>IF(OR(A295="",C295=""),"",IFERROR(C295*IFERROR(INDEX(Ingredients!$D$5:$D$304,MATCH(A295,Ingredients!$A$5:$A$304,0)),""),""))</f>
        <v>0</v>
      </c>
      <c r="Q295" s="8">
        <f>IF(OR(E295&lt;&gt;"Fridge",J295=""),"",SUMPRODUCT(($E$5:$E$304="Fridge")*($J$5:$J$304&lt;J295))+SUMPRODUCT(($E$5:$E$304="Fridge")*($J$5:$J$304=J295)*(ROW($J$5:$J$304)&lt;ROW()))+1)</f>
        <v>0</v>
      </c>
      <c r="R295" s="8">
        <f>IF(OR(E295&lt;&gt;"Freezer",J295=""),"",SUMPRODUCT(($E$5:$E$304="Freezer")*($J$5:$J$304&lt;J295))+SUMPRODUCT(($E$5:$E$304="Freezer")*($J$5:$J$304=J295)*(ROW($J$5:$J$304)&lt;ROW()))+1)</f>
        <v>0</v>
      </c>
      <c r="S295" s="7"/>
      <c r="T295" s="27"/>
      <c r="U295" s="28"/>
      <c r="V295" s="27"/>
      <c r="W295" s="7"/>
      <c r="X295" s="26"/>
      <c r="Y295" s="8">
        <f>IF(A295="","",IF(K295="Expired","Bin it",IF(K295="Use soon","Cook it",IF(O295="Low","Running low","Keep"))))</f>
        <v>0</v>
      </c>
      <c r="Z295" s="25"/>
    </row>
    <row r="296" spans="1:26">
      <c r="A296" s="7"/>
      <c r="B296" s="8">
        <f>IF(A296="","",IFERROR(INDEX(Ingredients!$B$5:$B$304,MATCH(A296,Ingredients!$A$5:$A$304,0)),""))</f>
        <v>0</v>
      </c>
      <c r="C296" s="26"/>
      <c r="D296" s="27"/>
      <c r="E296" s="27"/>
      <c r="F296" s="30"/>
      <c r="G296" s="30"/>
      <c r="H296" s="8">
        <f>IF(A296="","",IFERROR(INDEX(Ingredients!$M$5:$M$304,MATCH(A296,Ingredients!$A$5:$A$304,0)),""))</f>
        <v>0</v>
      </c>
      <c r="I296" s="8">
        <f>IF(OR(A296="",H296=""),"",IF(G296&lt;&gt;"",G296+H296,IF(F296&lt;&gt;"",F296+H296,"")))</f>
        <v>0</v>
      </c>
      <c r="J296" s="8">
        <f>IF(OR(A296="",I296=""),"",I296-TODAY())</f>
        <v>0</v>
      </c>
      <c r="K296" s="8">
        <f>IF(A296="","",IF(J296="","No date",IF(J296&lt;0,"Expired",IF(J296&lt;=Expiry_Warning_Days,"Use soon","Fresh"))))</f>
        <v>0</v>
      </c>
      <c r="L296" s="8">
        <f>IF(A296="","",COUNTIFS('Recipe Ingredients'!$B$5:$B$1204,A296))</f>
        <v>0</v>
      </c>
      <c r="M296" s="8">
        <f>IF(A296="","",IFERROR(INDEX(Ingredients!$X$5:$X$304,MATCH(A296,Ingredients!$A$5:$A$304,0)),""))</f>
        <v>0</v>
      </c>
      <c r="N296" s="8">
        <f>IF(OR(A296="",M296=""),"",IF(M296&lt;1,MAX(0,1*IFERROR(IFERROR(INDEX(Ingredients!$U$5:$U$304,MATCH(A296,Ingredients!$A$5:$A$304,0)),""),0)-C296),0))</f>
        <v>0</v>
      </c>
      <c r="O296" s="8">
        <f>IF(A296="","",IF(M296="","",IF(M296&lt;1,"Low","OK")))</f>
        <v>0</v>
      </c>
      <c r="P296" s="8">
        <f>IF(OR(A296="",C296=""),"",IFERROR(C296*IFERROR(INDEX(Ingredients!$D$5:$D$304,MATCH(A296,Ingredients!$A$5:$A$304,0)),""),""))</f>
        <v>0</v>
      </c>
      <c r="Q296" s="8">
        <f>IF(OR(E296&lt;&gt;"Fridge",J296=""),"",SUMPRODUCT(($E$5:$E$304="Fridge")*($J$5:$J$304&lt;J296))+SUMPRODUCT(($E$5:$E$304="Fridge")*($J$5:$J$304=J296)*(ROW($J$5:$J$304)&lt;ROW()))+1)</f>
        <v>0</v>
      </c>
      <c r="R296" s="8">
        <f>IF(OR(E296&lt;&gt;"Freezer",J296=""),"",SUMPRODUCT(($E$5:$E$304="Freezer")*($J$5:$J$304&lt;J296))+SUMPRODUCT(($E$5:$E$304="Freezer")*($J$5:$J$304=J296)*(ROW($J$5:$J$304)&lt;ROW()))+1)</f>
        <v>0</v>
      </c>
      <c r="S296" s="7"/>
      <c r="T296" s="27"/>
      <c r="U296" s="28"/>
      <c r="V296" s="27"/>
      <c r="W296" s="7"/>
      <c r="X296" s="26"/>
      <c r="Y296" s="8">
        <f>IF(A296="","",IF(K296="Expired","Bin it",IF(K296="Use soon","Cook it",IF(O296="Low","Running low","Keep"))))</f>
        <v>0</v>
      </c>
      <c r="Z296" s="25"/>
    </row>
    <row r="297" spans="1:26">
      <c r="A297" s="7"/>
      <c r="B297" s="8">
        <f>IF(A297="","",IFERROR(INDEX(Ingredients!$B$5:$B$304,MATCH(A297,Ingredients!$A$5:$A$304,0)),""))</f>
        <v>0</v>
      </c>
      <c r="C297" s="26"/>
      <c r="D297" s="27"/>
      <c r="E297" s="27"/>
      <c r="F297" s="30"/>
      <c r="G297" s="30"/>
      <c r="H297" s="8">
        <f>IF(A297="","",IFERROR(INDEX(Ingredients!$M$5:$M$304,MATCH(A297,Ingredients!$A$5:$A$304,0)),""))</f>
        <v>0</v>
      </c>
      <c r="I297" s="8">
        <f>IF(OR(A297="",H297=""),"",IF(G297&lt;&gt;"",G297+H297,IF(F297&lt;&gt;"",F297+H297,"")))</f>
        <v>0</v>
      </c>
      <c r="J297" s="8">
        <f>IF(OR(A297="",I297=""),"",I297-TODAY())</f>
        <v>0</v>
      </c>
      <c r="K297" s="8">
        <f>IF(A297="","",IF(J297="","No date",IF(J297&lt;0,"Expired",IF(J297&lt;=Expiry_Warning_Days,"Use soon","Fresh"))))</f>
        <v>0</v>
      </c>
      <c r="L297" s="8">
        <f>IF(A297="","",COUNTIFS('Recipe Ingredients'!$B$5:$B$1204,A297))</f>
        <v>0</v>
      </c>
      <c r="M297" s="8">
        <f>IF(A297="","",IFERROR(INDEX(Ingredients!$X$5:$X$304,MATCH(A297,Ingredients!$A$5:$A$304,0)),""))</f>
        <v>0</v>
      </c>
      <c r="N297" s="8">
        <f>IF(OR(A297="",M297=""),"",IF(M297&lt;1,MAX(0,1*IFERROR(IFERROR(INDEX(Ingredients!$U$5:$U$304,MATCH(A297,Ingredients!$A$5:$A$304,0)),""),0)-C297),0))</f>
        <v>0</v>
      </c>
      <c r="O297" s="8">
        <f>IF(A297="","",IF(M297="","",IF(M297&lt;1,"Low","OK")))</f>
        <v>0</v>
      </c>
      <c r="P297" s="8">
        <f>IF(OR(A297="",C297=""),"",IFERROR(C297*IFERROR(INDEX(Ingredients!$D$5:$D$304,MATCH(A297,Ingredients!$A$5:$A$304,0)),""),""))</f>
        <v>0</v>
      </c>
      <c r="Q297" s="8">
        <f>IF(OR(E297&lt;&gt;"Fridge",J297=""),"",SUMPRODUCT(($E$5:$E$304="Fridge")*($J$5:$J$304&lt;J297))+SUMPRODUCT(($E$5:$E$304="Fridge")*($J$5:$J$304=J297)*(ROW($J$5:$J$304)&lt;ROW()))+1)</f>
        <v>0</v>
      </c>
      <c r="R297" s="8">
        <f>IF(OR(E297&lt;&gt;"Freezer",J297=""),"",SUMPRODUCT(($E$5:$E$304="Freezer")*($J$5:$J$304&lt;J297))+SUMPRODUCT(($E$5:$E$304="Freezer")*($J$5:$J$304=J297)*(ROW($J$5:$J$304)&lt;ROW()))+1)</f>
        <v>0</v>
      </c>
      <c r="S297" s="7"/>
      <c r="T297" s="27"/>
      <c r="U297" s="28"/>
      <c r="V297" s="27"/>
      <c r="W297" s="7"/>
      <c r="X297" s="26"/>
      <c r="Y297" s="8">
        <f>IF(A297="","",IF(K297="Expired","Bin it",IF(K297="Use soon","Cook it",IF(O297="Low","Running low","Keep"))))</f>
        <v>0</v>
      </c>
      <c r="Z297" s="25"/>
    </row>
    <row r="298" spans="1:26">
      <c r="A298" s="7"/>
      <c r="B298" s="8">
        <f>IF(A298="","",IFERROR(INDEX(Ingredients!$B$5:$B$304,MATCH(A298,Ingredients!$A$5:$A$304,0)),""))</f>
        <v>0</v>
      </c>
      <c r="C298" s="26"/>
      <c r="D298" s="27"/>
      <c r="E298" s="27"/>
      <c r="F298" s="30"/>
      <c r="G298" s="30"/>
      <c r="H298" s="8">
        <f>IF(A298="","",IFERROR(INDEX(Ingredients!$M$5:$M$304,MATCH(A298,Ingredients!$A$5:$A$304,0)),""))</f>
        <v>0</v>
      </c>
      <c r="I298" s="8">
        <f>IF(OR(A298="",H298=""),"",IF(G298&lt;&gt;"",G298+H298,IF(F298&lt;&gt;"",F298+H298,"")))</f>
        <v>0</v>
      </c>
      <c r="J298" s="8">
        <f>IF(OR(A298="",I298=""),"",I298-TODAY())</f>
        <v>0</v>
      </c>
      <c r="K298" s="8">
        <f>IF(A298="","",IF(J298="","No date",IF(J298&lt;0,"Expired",IF(J298&lt;=Expiry_Warning_Days,"Use soon","Fresh"))))</f>
        <v>0</v>
      </c>
      <c r="L298" s="8">
        <f>IF(A298="","",COUNTIFS('Recipe Ingredients'!$B$5:$B$1204,A298))</f>
        <v>0</v>
      </c>
      <c r="M298" s="8">
        <f>IF(A298="","",IFERROR(INDEX(Ingredients!$X$5:$X$304,MATCH(A298,Ingredients!$A$5:$A$304,0)),""))</f>
        <v>0</v>
      </c>
      <c r="N298" s="8">
        <f>IF(OR(A298="",M298=""),"",IF(M298&lt;1,MAX(0,1*IFERROR(IFERROR(INDEX(Ingredients!$U$5:$U$304,MATCH(A298,Ingredients!$A$5:$A$304,0)),""),0)-C298),0))</f>
        <v>0</v>
      </c>
      <c r="O298" s="8">
        <f>IF(A298="","",IF(M298="","",IF(M298&lt;1,"Low","OK")))</f>
        <v>0</v>
      </c>
      <c r="P298" s="8">
        <f>IF(OR(A298="",C298=""),"",IFERROR(C298*IFERROR(INDEX(Ingredients!$D$5:$D$304,MATCH(A298,Ingredients!$A$5:$A$304,0)),""),""))</f>
        <v>0</v>
      </c>
      <c r="Q298" s="8">
        <f>IF(OR(E298&lt;&gt;"Fridge",J298=""),"",SUMPRODUCT(($E$5:$E$304="Fridge")*($J$5:$J$304&lt;J298))+SUMPRODUCT(($E$5:$E$304="Fridge")*($J$5:$J$304=J298)*(ROW($J$5:$J$304)&lt;ROW()))+1)</f>
        <v>0</v>
      </c>
      <c r="R298" s="8">
        <f>IF(OR(E298&lt;&gt;"Freezer",J298=""),"",SUMPRODUCT(($E$5:$E$304="Freezer")*($J$5:$J$304&lt;J298))+SUMPRODUCT(($E$5:$E$304="Freezer")*($J$5:$J$304=J298)*(ROW($J$5:$J$304)&lt;ROW()))+1)</f>
        <v>0</v>
      </c>
      <c r="S298" s="7"/>
      <c r="T298" s="27"/>
      <c r="U298" s="28"/>
      <c r="V298" s="27"/>
      <c r="W298" s="7"/>
      <c r="X298" s="26"/>
      <c r="Y298" s="8">
        <f>IF(A298="","",IF(K298="Expired","Bin it",IF(K298="Use soon","Cook it",IF(O298="Low","Running low","Keep"))))</f>
        <v>0</v>
      </c>
      <c r="Z298" s="25"/>
    </row>
    <row r="299" spans="1:26">
      <c r="A299" s="7"/>
      <c r="B299" s="8">
        <f>IF(A299="","",IFERROR(INDEX(Ingredients!$B$5:$B$304,MATCH(A299,Ingredients!$A$5:$A$304,0)),""))</f>
        <v>0</v>
      </c>
      <c r="C299" s="26"/>
      <c r="D299" s="27"/>
      <c r="E299" s="27"/>
      <c r="F299" s="30"/>
      <c r="G299" s="30"/>
      <c r="H299" s="8">
        <f>IF(A299="","",IFERROR(INDEX(Ingredients!$M$5:$M$304,MATCH(A299,Ingredients!$A$5:$A$304,0)),""))</f>
        <v>0</v>
      </c>
      <c r="I299" s="8">
        <f>IF(OR(A299="",H299=""),"",IF(G299&lt;&gt;"",G299+H299,IF(F299&lt;&gt;"",F299+H299,"")))</f>
        <v>0</v>
      </c>
      <c r="J299" s="8">
        <f>IF(OR(A299="",I299=""),"",I299-TODAY())</f>
        <v>0</v>
      </c>
      <c r="K299" s="8">
        <f>IF(A299="","",IF(J299="","No date",IF(J299&lt;0,"Expired",IF(J299&lt;=Expiry_Warning_Days,"Use soon","Fresh"))))</f>
        <v>0</v>
      </c>
      <c r="L299" s="8">
        <f>IF(A299="","",COUNTIFS('Recipe Ingredients'!$B$5:$B$1204,A299))</f>
        <v>0</v>
      </c>
      <c r="M299" s="8">
        <f>IF(A299="","",IFERROR(INDEX(Ingredients!$X$5:$X$304,MATCH(A299,Ingredients!$A$5:$A$304,0)),""))</f>
        <v>0</v>
      </c>
      <c r="N299" s="8">
        <f>IF(OR(A299="",M299=""),"",IF(M299&lt;1,MAX(0,1*IFERROR(IFERROR(INDEX(Ingredients!$U$5:$U$304,MATCH(A299,Ingredients!$A$5:$A$304,0)),""),0)-C299),0))</f>
        <v>0</v>
      </c>
      <c r="O299" s="8">
        <f>IF(A299="","",IF(M299="","",IF(M299&lt;1,"Low","OK")))</f>
        <v>0</v>
      </c>
      <c r="P299" s="8">
        <f>IF(OR(A299="",C299=""),"",IFERROR(C299*IFERROR(INDEX(Ingredients!$D$5:$D$304,MATCH(A299,Ingredients!$A$5:$A$304,0)),""),""))</f>
        <v>0</v>
      </c>
      <c r="Q299" s="8">
        <f>IF(OR(E299&lt;&gt;"Fridge",J299=""),"",SUMPRODUCT(($E$5:$E$304="Fridge")*($J$5:$J$304&lt;J299))+SUMPRODUCT(($E$5:$E$304="Fridge")*($J$5:$J$304=J299)*(ROW($J$5:$J$304)&lt;ROW()))+1)</f>
        <v>0</v>
      </c>
      <c r="R299" s="8">
        <f>IF(OR(E299&lt;&gt;"Freezer",J299=""),"",SUMPRODUCT(($E$5:$E$304="Freezer")*($J$5:$J$304&lt;J299))+SUMPRODUCT(($E$5:$E$304="Freezer")*($J$5:$J$304=J299)*(ROW($J$5:$J$304)&lt;ROW()))+1)</f>
        <v>0</v>
      </c>
      <c r="S299" s="7"/>
      <c r="T299" s="27"/>
      <c r="U299" s="28"/>
      <c r="V299" s="27"/>
      <c r="W299" s="7"/>
      <c r="X299" s="26"/>
      <c r="Y299" s="8">
        <f>IF(A299="","",IF(K299="Expired","Bin it",IF(K299="Use soon","Cook it",IF(O299="Low","Running low","Keep"))))</f>
        <v>0</v>
      </c>
      <c r="Z299" s="25"/>
    </row>
    <row r="300" spans="1:26">
      <c r="A300" s="7"/>
      <c r="B300" s="8">
        <f>IF(A300="","",IFERROR(INDEX(Ingredients!$B$5:$B$304,MATCH(A300,Ingredients!$A$5:$A$304,0)),""))</f>
        <v>0</v>
      </c>
      <c r="C300" s="26"/>
      <c r="D300" s="27"/>
      <c r="E300" s="27"/>
      <c r="F300" s="30"/>
      <c r="G300" s="30"/>
      <c r="H300" s="8">
        <f>IF(A300="","",IFERROR(INDEX(Ingredients!$M$5:$M$304,MATCH(A300,Ingredients!$A$5:$A$304,0)),""))</f>
        <v>0</v>
      </c>
      <c r="I300" s="8">
        <f>IF(OR(A300="",H300=""),"",IF(G300&lt;&gt;"",G300+H300,IF(F300&lt;&gt;"",F300+H300,"")))</f>
        <v>0</v>
      </c>
      <c r="J300" s="8">
        <f>IF(OR(A300="",I300=""),"",I300-TODAY())</f>
        <v>0</v>
      </c>
      <c r="K300" s="8">
        <f>IF(A300="","",IF(J300="","No date",IF(J300&lt;0,"Expired",IF(J300&lt;=Expiry_Warning_Days,"Use soon","Fresh"))))</f>
        <v>0</v>
      </c>
      <c r="L300" s="8">
        <f>IF(A300="","",COUNTIFS('Recipe Ingredients'!$B$5:$B$1204,A300))</f>
        <v>0</v>
      </c>
      <c r="M300" s="8">
        <f>IF(A300="","",IFERROR(INDEX(Ingredients!$X$5:$X$304,MATCH(A300,Ingredients!$A$5:$A$304,0)),""))</f>
        <v>0</v>
      </c>
      <c r="N300" s="8">
        <f>IF(OR(A300="",M300=""),"",IF(M300&lt;1,MAX(0,1*IFERROR(IFERROR(INDEX(Ingredients!$U$5:$U$304,MATCH(A300,Ingredients!$A$5:$A$304,0)),""),0)-C300),0))</f>
        <v>0</v>
      </c>
      <c r="O300" s="8">
        <f>IF(A300="","",IF(M300="","",IF(M300&lt;1,"Low","OK")))</f>
        <v>0</v>
      </c>
      <c r="P300" s="8">
        <f>IF(OR(A300="",C300=""),"",IFERROR(C300*IFERROR(INDEX(Ingredients!$D$5:$D$304,MATCH(A300,Ingredients!$A$5:$A$304,0)),""),""))</f>
        <v>0</v>
      </c>
      <c r="Q300" s="8">
        <f>IF(OR(E300&lt;&gt;"Fridge",J300=""),"",SUMPRODUCT(($E$5:$E$304="Fridge")*($J$5:$J$304&lt;J300))+SUMPRODUCT(($E$5:$E$304="Fridge")*($J$5:$J$304=J300)*(ROW($J$5:$J$304)&lt;ROW()))+1)</f>
        <v>0</v>
      </c>
      <c r="R300" s="8">
        <f>IF(OR(E300&lt;&gt;"Freezer",J300=""),"",SUMPRODUCT(($E$5:$E$304="Freezer")*($J$5:$J$304&lt;J300))+SUMPRODUCT(($E$5:$E$304="Freezer")*($J$5:$J$304=J300)*(ROW($J$5:$J$304)&lt;ROW()))+1)</f>
        <v>0</v>
      </c>
      <c r="S300" s="7"/>
      <c r="T300" s="27"/>
      <c r="U300" s="28"/>
      <c r="V300" s="27"/>
      <c r="W300" s="7"/>
      <c r="X300" s="26"/>
      <c r="Y300" s="8">
        <f>IF(A300="","",IF(K300="Expired","Bin it",IF(K300="Use soon","Cook it",IF(O300="Low","Running low","Keep"))))</f>
        <v>0</v>
      </c>
      <c r="Z300" s="25"/>
    </row>
    <row r="301" spans="1:26">
      <c r="A301" s="7"/>
      <c r="B301" s="8">
        <f>IF(A301="","",IFERROR(INDEX(Ingredients!$B$5:$B$304,MATCH(A301,Ingredients!$A$5:$A$304,0)),""))</f>
        <v>0</v>
      </c>
      <c r="C301" s="26"/>
      <c r="D301" s="27"/>
      <c r="E301" s="27"/>
      <c r="F301" s="30"/>
      <c r="G301" s="30"/>
      <c r="H301" s="8">
        <f>IF(A301="","",IFERROR(INDEX(Ingredients!$M$5:$M$304,MATCH(A301,Ingredients!$A$5:$A$304,0)),""))</f>
        <v>0</v>
      </c>
      <c r="I301" s="8">
        <f>IF(OR(A301="",H301=""),"",IF(G301&lt;&gt;"",G301+H301,IF(F301&lt;&gt;"",F301+H301,"")))</f>
        <v>0</v>
      </c>
      <c r="J301" s="8">
        <f>IF(OR(A301="",I301=""),"",I301-TODAY())</f>
        <v>0</v>
      </c>
      <c r="K301" s="8">
        <f>IF(A301="","",IF(J301="","No date",IF(J301&lt;0,"Expired",IF(J301&lt;=Expiry_Warning_Days,"Use soon","Fresh"))))</f>
        <v>0</v>
      </c>
      <c r="L301" s="8">
        <f>IF(A301="","",COUNTIFS('Recipe Ingredients'!$B$5:$B$1204,A301))</f>
        <v>0</v>
      </c>
      <c r="M301" s="8">
        <f>IF(A301="","",IFERROR(INDEX(Ingredients!$X$5:$X$304,MATCH(A301,Ingredients!$A$5:$A$304,0)),""))</f>
        <v>0</v>
      </c>
      <c r="N301" s="8">
        <f>IF(OR(A301="",M301=""),"",IF(M301&lt;1,MAX(0,1*IFERROR(IFERROR(INDEX(Ingredients!$U$5:$U$304,MATCH(A301,Ingredients!$A$5:$A$304,0)),""),0)-C301),0))</f>
        <v>0</v>
      </c>
      <c r="O301" s="8">
        <f>IF(A301="","",IF(M301="","",IF(M301&lt;1,"Low","OK")))</f>
        <v>0</v>
      </c>
      <c r="P301" s="8">
        <f>IF(OR(A301="",C301=""),"",IFERROR(C301*IFERROR(INDEX(Ingredients!$D$5:$D$304,MATCH(A301,Ingredients!$A$5:$A$304,0)),""),""))</f>
        <v>0</v>
      </c>
      <c r="Q301" s="8">
        <f>IF(OR(E301&lt;&gt;"Fridge",J301=""),"",SUMPRODUCT(($E$5:$E$304="Fridge")*($J$5:$J$304&lt;J301))+SUMPRODUCT(($E$5:$E$304="Fridge")*($J$5:$J$304=J301)*(ROW($J$5:$J$304)&lt;ROW()))+1)</f>
        <v>0</v>
      </c>
      <c r="R301" s="8">
        <f>IF(OR(E301&lt;&gt;"Freezer",J301=""),"",SUMPRODUCT(($E$5:$E$304="Freezer")*($J$5:$J$304&lt;J301))+SUMPRODUCT(($E$5:$E$304="Freezer")*($J$5:$J$304=J301)*(ROW($J$5:$J$304)&lt;ROW()))+1)</f>
        <v>0</v>
      </c>
      <c r="S301" s="7"/>
      <c r="T301" s="27"/>
      <c r="U301" s="28"/>
      <c r="V301" s="27"/>
      <c r="W301" s="7"/>
      <c r="X301" s="26"/>
      <c r="Y301" s="8">
        <f>IF(A301="","",IF(K301="Expired","Bin it",IF(K301="Use soon","Cook it",IF(O301="Low","Running low","Keep"))))</f>
        <v>0</v>
      </c>
      <c r="Z301" s="25"/>
    </row>
    <row r="302" spans="1:26">
      <c r="A302" s="7"/>
      <c r="B302" s="8">
        <f>IF(A302="","",IFERROR(INDEX(Ingredients!$B$5:$B$304,MATCH(A302,Ingredients!$A$5:$A$304,0)),""))</f>
        <v>0</v>
      </c>
      <c r="C302" s="26"/>
      <c r="D302" s="27"/>
      <c r="E302" s="27"/>
      <c r="F302" s="30"/>
      <c r="G302" s="30"/>
      <c r="H302" s="8">
        <f>IF(A302="","",IFERROR(INDEX(Ingredients!$M$5:$M$304,MATCH(A302,Ingredients!$A$5:$A$304,0)),""))</f>
        <v>0</v>
      </c>
      <c r="I302" s="8">
        <f>IF(OR(A302="",H302=""),"",IF(G302&lt;&gt;"",G302+H302,IF(F302&lt;&gt;"",F302+H302,"")))</f>
        <v>0</v>
      </c>
      <c r="J302" s="8">
        <f>IF(OR(A302="",I302=""),"",I302-TODAY())</f>
        <v>0</v>
      </c>
      <c r="K302" s="8">
        <f>IF(A302="","",IF(J302="","No date",IF(J302&lt;0,"Expired",IF(J302&lt;=Expiry_Warning_Days,"Use soon","Fresh"))))</f>
        <v>0</v>
      </c>
      <c r="L302" s="8">
        <f>IF(A302="","",COUNTIFS('Recipe Ingredients'!$B$5:$B$1204,A302))</f>
        <v>0</v>
      </c>
      <c r="M302" s="8">
        <f>IF(A302="","",IFERROR(INDEX(Ingredients!$X$5:$X$304,MATCH(A302,Ingredients!$A$5:$A$304,0)),""))</f>
        <v>0</v>
      </c>
      <c r="N302" s="8">
        <f>IF(OR(A302="",M302=""),"",IF(M302&lt;1,MAX(0,1*IFERROR(IFERROR(INDEX(Ingredients!$U$5:$U$304,MATCH(A302,Ingredients!$A$5:$A$304,0)),""),0)-C302),0))</f>
        <v>0</v>
      </c>
      <c r="O302" s="8">
        <f>IF(A302="","",IF(M302="","",IF(M302&lt;1,"Low","OK")))</f>
        <v>0</v>
      </c>
      <c r="P302" s="8">
        <f>IF(OR(A302="",C302=""),"",IFERROR(C302*IFERROR(INDEX(Ingredients!$D$5:$D$304,MATCH(A302,Ingredients!$A$5:$A$304,0)),""),""))</f>
        <v>0</v>
      </c>
      <c r="Q302" s="8">
        <f>IF(OR(E302&lt;&gt;"Fridge",J302=""),"",SUMPRODUCT(($E$5:$E$304="Fridge")*($J$5:$J$304&lt;J302))+SUMPRODUCT(($E$5:$E$304="Fridge")*($J$5:$J$304=J302)*(ROW($J$5:$J$304)&lt;ROW()))+1)</f>
        <v>0</v>
      </c>
      <c r="R302" s="8">
        <f>IF(OR(E302&lt;&gt;"Freezer",J302=""),"",SUMPRODUCT(($E$5:$E$304="Freezer")*($J$5:$J$304&lt;J302))+SUMPRODUCT(($E$5:$E$304="Freezer")*($J$5:$J$304=J302)*(ROW($J$5:$J$304)&lt;ROW()))+1)</f>
        <v>0</v>
      </c>
      <c r="S302" s="7"/>
      <c r="T302" s="27"/>
      <c r="U302" s="28"/>
      <c r="V302" s="27"/>
      <c r="W302" s="7"/>
      <c r="X302" s="26"/>
      <c r="Y302" s="8">
        <f>IF(A302="","",IF(K302="Expired","Bin it",IF(K302="Use soon","Cook it",IF(O302="Low","Running low","Keep"))))</f>
        <v>0</v>
      </c>
      <c r="Z302" s="25"/>
    </row>
    <row r="303" spans="1:26">
      <c r="A303" s="7"/>
      <c r="B303" s="8">
        <f>IF(A303="","",IFERROR(INDEX(Ingredients!$B$5:$B$304,MATCH(A303,Ingredients!$A$5:$A$304,0)),""))</f>
        <v>0</v>
      </c>
      <c r="C303" s="26"/>
      <c r="D303" s="27"/>
      <c r="E303" s="27"/>
      <c r="F303" s="30"/>
      <c r="G303" s="30"/>
      <c r="H303" s="8">
        <f>IF(A303="","",IFERROR(INDEX(Ingredients!$M$5:$M$304,MATCH(A303,Ingredients!$A$5:$A$304,0)),""))</f>
        <v>0</v>
      </c>
      <c r="I303" s="8">
        <f>IF(OR(A303="",H303=""),"",IF(G303&lt;&gt;"",G303+H303,IF(F303&lt;&gt;"",F303+H303,"")))</f>
        <v>0</v>
      </c>
      <c r="J303" s="8">
        <f>IF(OR(A303="",I303=""),"",I303-TODAY())</f>
        <v>0</v>
      </c>
      <c r="K303" s="8">
        <f>IF(A303="","",IF(J303="","No date",IF(J303&lt;0,"Expired",IF(J303&lt;=Expiry_Warning_Days,"Use soon","Fresh"))))</f>
        <v>0</v>
      </c>
      <c r="L303" s="8">
        <f>IF(A303="","",COUNTIFS('Recipe Ingredients'!$B$5:$B$1204,A303))</f>
        <v>0</v>
      </c>
      <c r="M303" s="8">
        <f>IF(A303="","",IFERROR(INDEX(Ingredients!$X$5:$X$304,MATCH(A303,Ingredients!$A$5:$A$304,0)),""))</f>
        <v>0</v>
      </c>
      <c r="N303" s="8">
        <f>IF(OR(A303="",M303=""),"",IF(M303&lt;1,MAX(0,1*IFERROR(IFERROR(INDEX(Ingredients!$U$5:$U$304,MATCH(A303,Ingredients!$A$5:$A$304,0)),""),0)-C303),0))</f>
        <v>0</v>
      </c>
      <c r="O303" s="8">
        <f>IF(A303="","",IF(M303="","",IF(M303&lt;1,"Low","OK")))</f>
        <v>0</v>
      </c>
      <c r="P303" s="8">
        <f>IF(OR(A303="",C303=""),"",IFERROR(C303*IFERROR(INDEX(Ingredients!$D$5:$D$304,MATCH(A303,Ingredients!$A$5:$A$304,0)),""),""))</f>
        <v>0</v>
      </c>
      <c r="Q303" s="8">
        <f>IF(OR(E303&lt;&gt;"Fridge",J303=""),"",SUMPRODUCT(($E$5:$E$304="Fridge")*($J$5:$J$304&lt;J303))+SUMPRODUCT(($E$5:$E$304="Fridge")*($J$5:$J$304=J303)*(ROW($J$5:$J$304)&lt;ROW()))+1)</f>
        <v>0</v>
      </c>
      <c r="R303" s="8">
        <f>IF(OR(E303&lt;&gt;"Freezer",J303=""),"",SUMPRODUCT(($E$5:$E$304="Freezer")*($J$5:$J$304&lt;J303))+SUMPRODUCT(($E$5:$E$304="Freezer")*($J$5:$J$304=J303)*(ROW($J$5:$J$304)&lt;ROW()))+1)</f>
        <v>0</v>
      </c>
      <c r="S303" s="7"/>
      <c r="T303" s="27"/>
      <c r="U303" s="28"/>
      <c r="V303" s="27"/>
      <c r="W303" s="7"/>
      <c r="X303" s="26"/>
      <c r="Y303" s="8">
        <f>IF(A303="","",IF(K303="Expired","Bin it",IF(K303="Use soon","Cook it",IF(O303="Low","Running low","Keep"))))</f>
        <v>0</v>
      </c>
      <c r="Z303" s="25"/>
    </row>
    <row r="304" spans="1:26">
      <c r="A304" s="7"/>
      <c r="B304" s="8">
        <f>IF(A304="","",IFERROR(INDEX(Ingredients!$B$5:$B$304,MATCH(A304,Ingredients!$A$5:$A$304,0)),""))</f>
        <v>0</v>
      </c>
      <c r="C304" s="26"/>
      <c r="D304" s="27"/>
      <c r="E304" s="27"/>
      <c r="F304" s="30"/>
      <c r="G304" s="30"/>
      <c r="H304" s="8">
        <f>IF(A304="","",IFERROR(INDEX(Ingredients!$M$5:$M$304,MATCH(A304,Ingredients!$A$5:$A$304,0)),""))</f>
        <v>0</v>
      </c>
      <c r="I304" s="8">
        <f>IF(OR(A304="",H304=""),"",IF(G304&lt;&gt;"",G304+H304,IF(F304&lt;&gt;"",F304+H304,"")))</f>
        <v>0</v>
      </c>
      <c r="J304" s="8">
        <f>IF(OR(A304="",I304=""),"",I304-TODAY())</f>
        <v>0</v>
      </c>
      <c r="K304" s="8">
        <f>IF(A304="","",IF(J304="","No date",IF(J304&lt;0,"Expired",IF(J304&lt;=Expiry_Warning_Days,"Use soon","Fresh"))))</f>
        <v>0</v>
      </c>
      <c r="L304" s="8">
        <f>IF(A304="","",COUNTIFS('Recipe Ingredients'!$B$5:$B$1204,A304))</f>
        <v>0</v>
      </c>
      <c r="M304" s="8">
        <f>IF(A304="","",IFERROR(INDEX(Ingredients!$X$5:$X$304,MATCH(A304,Ingredients!$A$5:$A$304,0)),""))</f>
        <v>0</v>
      </c>
      <c r="N304" s="8">
        <f>IF(OR(A304="",M304=""),"",IF(M304&lt;1,MAX(0,1*IFERROR(IFERROR(INDEX(Ingredients!$U$5:$U$304,MATCH(A304,Ingredients!$A$5:$A$304,0)),""),0)-C304),0))</f>
        <v>0</v>
      </c>
      <c r="O304" s="8">
        <f>IF(A304="","",IF(M304="","",IF(M304&lt;1,"Low","OK")))</f>
        <v>0</v>
      </c>
      <c r="P304" s="8">
        <f>IF(OR(A304="",C304=""),"",IFERROR(C304*IFERROR(INDEX(Ingredients!$D$5:$D$304,MATCH(A304,Ingredients!$A$5:$A$304,0)),""),""))</f>
        <v>0</v>
      </c>
      <c r="Q304" s="8">
        <f>IF(OR(E304&lt;&gt;"Fridge",J304=""),"",SUMPRODUCT(($E$5:$E$304="Fridge")*($J$5:$J$304&lt;J304))+SUMPRODUCT(($E$5:$E$304="Fridge")*($J$5:$J$304=J304)*(ROW($J$5:$J$304)&lt;ROW()))+1)</f>
        <v>0</v>
      </c>
      <c r="R304" s="8">
        <f>IF(OR(E304&lt;&gt;"Freezer",J304=""),"",SUMPRODUCT(($E$5:$E$304="Freezer")*($J$5:$J$304&lt;J304))+SUMPRODUCT(($E$5:$E$304="Freezer")*($J$5:$J$304=J304)*(ROW($J$5:$J$304)&lt;ROW()))+1)</f>
        <v>0</v>
      </c>
      <c r="S304" s="7"/>
      <c r="T304" s="27"/>
      <c r="U304" s="28"/>
      <c r="V304" s="27"/>
      <c r="W304" s="7"/>
      <c r="X304" s="26"/>
      <c r="Y304" s="8">
        <f>IF(A304="","",IF(K304="Expired","Bin it",IF(K304="Use soon","Cook it",IF(O304="Low","Running low","Keep"))))</f>
        <v>0</v>
      </c>
      <c r="Z304" s="25"/>
    </row>
  </sheetData>
  <sheetProtection password="EC7C" sheet="1" objects="1" scenarios="1" selectLockedCells="1" selectUnlockedCells="1"/>
  <autoFilter ref="A4:Z304"/>
  <conditionalFormatting sqref="A101:Z101">
    <cfRule type="expression" dxfId="0" priority="49">
      <formula>MOD(ROW(),2)=0</formula>
    </cfRule>
  </conditionalFormatting>
  <conditionalFormatting sqref="A103:Z103">
    <cfRule type="expression" dxfId="0" priority="50">
      <formula>MOD(ROW(),2)=0</formula>
    </cfRule>
  </conditionalFormatting>
  <conditionalFormatting sqref="A105:Z105">
    <cfRule type="expression" dxfId="0" priority="51">
      <formula>MOD(ROW(),2)=0</formula>
    </cfRule>
  </conditionalFormatting>
  <conditionalFormatting sqref="A107:Z107">
    <cfRule type="expression" dxfId="0" priority="52">
      <formula>MOD(ROW(),2)=0</formula>
    </cfRule>
  </conditionalFormatting>
  <conditionalFormatting sqref="A109:Z109">
    <cfRule type="expression" dxfId="0" priority="53">
      <formula>MOD(ROW(),2)=0</formula>
    </cfRule>
  </conditionalFormatting>
  <conditionalFormatting sqref="A111:Z111">
    <cfRule type="expression" dxfId="0" priority="54">
      <formula>MOD(ROW(),2)=0</formula>
    </cfRule>
  </conditionalFormatting>
  <conditionalFormatting sqref="A113:Z113">
    <cfRule type="expression" dxfId="0" priority="55">
      <formula>MOD(ROW(),2)=0</formula>
    </cfRule>
  </conditionalFormatting>
  <conditionalFormatting sqref="A115:Z115">
    <cfRule type="expression" dxfId="0" priority="56">
      <formula>MOD(ROW(),2)=0</formula>
    </cfRule>
  </conditionalFormatting>
  <conditionalFormatting sqref="A117:Z117">
    <cfRule type="expression" dxfId="0" priority="57">
      <formula>MOD(ROW(),2)=0</formula>
    </cfRule>
  </conditionalFormatting>
  <conditionalFormatting sqref="A119:Z119">
    <cfRule type="expression" dxfId="0" priority="58">
      <formula>MOD(ROW(),2)=0</formula>
    </cfRule>
  </conditionalFormatting>
  <conditionalFormatting sqref="A11:Z11">
    <cfRule type="expression" dxfId="0" priority="4">
      <formula>MOD(ROW(),2)=0</formula>
    </cfRule>
  </conditionalFormatting>
  <conditionalFormatting sqref="A121:Z121">
    <cfRule type="expression" dxfId="0" priority="59">
      <formula>MOD(ROW(),2)=0</formula>
    </cfRule>
  </conditionalFormatting>
  <conditionalFormatting sqref="A123:Z123">
    <cfRule type="expression" dxfId="0" priority="60">
      <formula>MOD(ROW(),2)=0</formula>
    </cfRule>
  </conditionalFormatting>
  <conditionalFormatting sqref="A125:Z125">
    <cfRule type="expression" dxfId="0" priority="61">
      <formula>MOD(ROW(),2)=0</formula>
    </cfRule>
  </conditionalFormatting>
  <conditionalFormatting sqref="A127:Z127">
    <cfRule type="expression" dxfId="0" priority="62">
      <formula>MOD(ROW(),2)=0</formula>
    </cfRule>
  </conditionalFormatting>
  <conditionalFormatting sqref="A129:Z129">
    <cfRule type="expression" dxfId="0" priority="63">
      <formula>MOD(ROW(),2)=0</formula>
    </cfRule>
  </conditionalFormatting>
  <conditionalFormatting sqref="A131:Z131">
    <cfRule type="expression" dxfId="0" priority="64">
      <formula>MOD(ROW(),2)=0</formula>
    </cfRule>
  </conditionalFormatting>
  <conditionalFormatting sqref="A133:Z133">
    <cfRule type="expression" dxfId="0" priority="65">
      <formula>MOD(ROW(),2)=0</formula>
    </cfRule>
  </conditionalFormatting>
  <conditionalFormatting sqref="A135:Z135">
    <cfRule type="expression" dxfId="0" priority="66">
      <formula>MOD(ROW(),2)=0</formula>
    </cfRule>
  </conditionalFormatting>
  <conditionalFormatting sqref="A137:Z137">
    <cfRule type="expression" dxfId="0" priority="67">
      <formula>MOD(ROW(),2)=0</formula>
    </cfRule>
  </conditionalFormatting>
  <conditionalFormatting sqref="A139:Z139">
    <cfRule type="expression" dxfId="0" priority="68">
      <formula>MOD(ROW(),2)=0</formula>
    </cfRule>
  </conditionalFormatting>
  <conditionalFormatting sqref="A13:Z13">
    <cfRule type="expression" dxfId="0" priority="5">
      <formula>MOD(ROW(),2)=0</formula>
    </cfRule>
  </conditionalFormatting>
  <conditionalFormatting sqref="A141:Z141">
    <cfRule type="expression" dxfId="0" priority="69">
      <formula>MOD(ROW(),2)=0</formula>
    </cfRule>
  </conditionalFormatting>
  <conditionalFormatting sqref="A143:Z143">
    <cfRule type="expression" dxfId="0" priority="70">
      <formula>MOD(ROW(),2)=0</formula>
    </cfRule>
  </conditionalFormatting>
  <conditionalFormatting sqref="A145:Z145">
    <cfRule type="expression" dxfId="0" priority="71">
      <formula>MOD(ROW(),2)=0</formula>
    </cfRule>
  </conditionalFormatting>
  <conditionalFormatting sqref="A147:Z147">
    <cfRule type="expression" dxfId="0" priority="72">
      <formula>MOD(ROW(),2)=0</formula>
    </cfRule>
  </conditionalFormatting>
  <conditionalFormatting sqref="A149:Z149">
    <cfRule type="expression" dxfId="0" priority="73">
      <formula>MOD(ROW(),2)=0</formula>
    </cfRule>
  </conditionalFormatting>
  <conditionalFormatting sqref="A151:Z151">
    <cfRule type="expression" dxfId="0" priority="74">
      <formula>MOD(ROW(),2)=0</formula>
    </cfRule>
  </conditionalFormatting>
  <conditionalFormatting sqref="A153:Z153">
    <cfRule type="expression" dxfId="0" priority="75">
      <formula>MOD(ROW(),2)=0</formula>
    </cfRule>
  </conditionalFormatting>
  <conditionalFormatting sqref="A155:Z155">
    <cfRule type="expression" dxfId="0" priority="76">
      <formula>MOD(ROW(),2)=0</formula>
    </cfRule>
  </conditionalFormatting>
  <conditionalFormatting sqref="A157:Z157">
    <cfRule type="expression" dxfId="0" priority="77">
      <formula>MOD(ROW(),2)=0</formula>
    </cfRule>
  </conditionalFormatting>
  <conditionalFormatting sqref="A159:Z159">
    <cfRule type="expression" dxfId="0" priority="78">
      <formula>MOD(ROW(),2)=0</formula>
    </cfRule>
  </conditionalFormatting>
  <conditionalFormatting sqref="A15:Z15">
    <cfRule type="expression" dxfId="0" priority="6">
      <formula>MOD(ROW(),2)=0</formula>
    </cfRule>
  </conditionalFormatting>
  <conditionalFormatting sqref="A161:Z161">
    <cfRule type="expression" dxfId="0" priority="79">
      <formula>MOD(ROW(),2)=0</formula>
    </cfRule>
  </conditionalFormatting>
  <conditionalFormatting sqref="A163:Z163">
    <cfRule type="expression" dxfId="0" priority="80">
      <formula>MOD(ROW(),2)=0</formula>
    </cfRule>
  </conditionalFormatting>
  <conditionalFormatting sqref="A165:Z165">
    <cfRule type="expression" dxfId="0" priority="81">
      <formula>MOD(ROW(),2)=0</formula>
    </cfRule>
  </conditionalFormatting>
  <conditionalFormatting sqref="A167:Z167">
    <cfRule type="expression" dxfId="0" priority="82">
      <formula>MOD(ROW(),2)=0</formula>
    </cfRule>
  </conditionalFormatting>
  <conditionalFormatting sqref="A169:Z169">
    <cfRule type="expression" dxfId="0" priority="83">
      <formula>MOD(ROW(),2)=0</formula>
    </cfRule>
  </conditionalFormatting>
  <conditionalFormatting sqref="A171:Z171">
    <cfRule type="expression" dxfId="0" priority="84">
      <formula>MOD(ROW(),2)=0</formula>
    </cfRule>
  </conditionalFormatting>
  <conditionalFormatting sqref="A173:Z173">
    <cfRule type="expression" dxfId="0" priority="85">
      <formula>MOD(ROW(),2)=0</formula>
    </cfRule>
  </conditionalFormatting>
  <conditionalFormatting sqref="A175:Z175">
    <cfRule type="expression" dxfId="0" priority="86">
      <formula>MOD(ROW(),2)=0</formula>
    </cfRule>
  </conditionalFormatting>
  <conditionalFormatting sqref="A177:Z177">
    <cfRule type="expression" dxfId="0" priority="87">
      <formula>MOD(ROW(),2)=0</formula>
    </cfRule>
  </conditionalFormatting>
  <conditionalFormatting sqref="A179:Z179">
    <cfRule type="expression" dxfId="0" priority="88">
      <formula>MOD(ROW(),2)=0</formula>
    </cfRule>
  </conditionalFormatting>
  <conditionalFormatting sqref="A17:Z17">
    <cfRule type="expression" dxfId="0" priority="7">
      <formula>MOD(ROW(),2)=0</formula>
    </cfRule>
  </conditionalFormatting>
  <conditionalFormatting sqref="A181:Z181">
    <cfRule type="expression" dxfId="0" priority="89">
      <formula>MOD(ROW(),2)=0</formula>
    </cfRule>
  </conditionalFormatting>
  <conditionalFormatting sqref="A183:Z183">
    <cfRule type="expression" dxfId="0" priority="90">
      <formula>MOD(ROW(),2)=0</formula>
    </cfRule>
  </conditionalFormatting>
  <conditionalFormatting sqref="A185:Z185">
    <cfRule type="expression" dxfId="0" priority="91">
      <formula>MOD(ROW(),2)=0</formula>
    </cfRule>
  </conditionalFormatting>
  <conditionalFormatting sqref="A187:Z187">
    <cfRule type="expression" dxfId="0" priority="92">
      <formula>MOD(ROW(),2)=0</formula>
    </cfRule>
  </conditionalFormatting>
  <conditionalFormatting sqref="A189:Z189">
    <cfRule type="expression" dxfId="0" priority="93">
      <formula>MOD(ROW(),2)=0</formula>
    </cfRule>
  </conditionalFormatting>
  <conditionalFormatting sqref="A191:Z191">
    <cfRule type="expression" dxfId="0" priority="94">
      <formula>MOD(ROW(),2)=0</formula>
    </cfRule>
  </conditionalFormatting>
  <conditionalFormatting sqref="A193:Z193">
    <cfRule type="expression" dxfId="0" priority="95">
      <formula>MOD(ROW(),2)=0</formula>
    </cfRule>
  </conditionalFormatting>
  <conditionalFormatting sqref="A195:Z195">
    <cfRule type="expression" dxfId="0" priority="96">
      <formula>MOD(ROW(),2)=0</formula>
    </cfRule>
  </conditionalFormatting>
  <conditionalFormatting sqref="A197:Z197">
    <cfRule type="expression" dxfId="0" priority="97">
      <formula>MOD(ROW(),2)=0</formula>
    </cfRule>
  </conditionalFormatting>
  <conditionalFormatting sqref="A199:Z199">
    <cfRule type="expression" dxfId="0" priority="98">
      <formula>MOD(ROW(),2)=0</formula>
    </cfRule>
  </conditionalFormatting>
  <conditionalFormatting sqref="A19:Z19">
    <cfRule type="expression" dxfId="0" priority="8">
      <formula>MOD(ROW(),2)=0</formula>
    </cfRule>
  </conditionalFormatting>
  <conditionalFormatting sqref="A201:Z201">
    <cfRule type="expression" dxfId="0" priority="99">
      <formula>MOD(ROW(),2)=0</formula>
    </cfRule>
  </conditionalFormatting>
  <conditionalFormatting sqref="A203:Z203">
    <cfRule type="expression" dxfId="0" priority="100">
      <formula>MOD(ROW(),2)=0</formula>
    </cfRule>
  </conditionalFormatting>
  <conditionalFormatting sqref="A205:Z205">
    <cfRule type="expression" dxfId="0" priority="101">
      <formula>MOD(ROW(),2)=0</formula>
    </cfRule>
  </conditionalFormatting>
  <conditionalFormatting sqref="A207:Z207">
    <cfRule type="expression" dxfId="0" priority="102">
      <formula>MOD(ROW(),2)=0</formula>
    </cfRule>
  </conditionalFormatting>
  <conditionalFormatting sqref="A209:Z209">
    <cfRule type="expression" dxfId="0" priority="103">
      <formula>MOD(ROW(),2)=0</formula>
    </cfRule>
  </conditionalFormatting>
  <conditionalFormatting sqref="A211:Z211">
    <cfRule type="expression" dxfId="0" priority="104">
      <formula>MOD(ROW(),2)=0</formula>
    </cfRule>
  </conditionalFormatting>
  <conditionalFormatting sqref="A213:Z213">
    <cfRule type="expression" dxfId="0" priority="105">
      <formula>MOD(ROW(),2)=0</formula>
    </cfRule>
  </conditionalFormatting>
  <conditionalFormatting sqref="A215:Z215">
    <cfRule type="expression" dxfId="0" priority="106">
      <formula>MOD(ROW(),2)=0</formula>
    </cfRule>
  </conditionalFormatting>
  <conditionalFormatting sqref="A217:Z217">
    <cfRule type="expression" dxfId="0" priority="107">
      <formula>MOD(ROW(),2)=0</formula>
    </cfRule>
  </conditionalFormatting>
  <conditionalFormatting sqref="A219:Z219">
    <cfRule type="expression" dxfId="0" priority="108">
      <formula>MOD(ROW(),2)=0</formula>
    </cfRule>
  </conditionalFormatting>
  <conditionalFormatting sqref="A21:Z21">
    <cfRule type="expression" dxfId="0" priority="9">
      <formula>MOD(ROW(),2)=0</formula>
    </cfRule>
  </conditionalFormatting>
  <conditionalFormatting sqref="A221:Z221">
    <cfRule type="expression" dxfId="0" priority="109">
      <formula>MOD(ROW(),2)=0</formula>
    </cfRule>
  </conditionalFormatting>
  <conditionalFormatting sqref="A223:Z223">
    <cfRule type="expression" dxfId="0" priority="110">
      <formula>MOD(ROW(),2)=0</formula>
    </cfRule>
  </conditionalFormatting>
  <conditionalFormatting sqref="A225:Z225">
    <cfRule type="expression" dxfId="0" priority="111">
      <formula>MOD(ROW(),2)=0</formula>
    </cfRule>
  </conditionalFormatting>
  <conditionalFormatting sqref="A227:Z227">
    <cfRule type="expression" dxfId="0" priority="112">
      <formula>MOD(ROW(),2)=0</formula>
    </cfRule>
  </conditionalFormatting>
  <conditionalFormatting sqref="A229:Z229">
    <cfRule type="expression" dxfId="0" priority="113">
      <formula>MOD(ROW(),2)=0</formula>
    </cfRule>
  </conditionalFormatting>
  <conditionalFormatting sqref="A231:Z231">
    <cfRule type="expression" dxfId="0" priority="114">
      <formula>MOD(ROW(),2)=0</formula>
    </cfRule>
  </conditionalFormatting>
  <conditionalFormatting sqref="A233:Z233">
    <cfRule type="expression" dxfId="0" priority="115">
      <formula>MOD(ROW(),2)=0</formula>
    </cfRule>
  </conditionalFormatting>
  <conditionalFormatting sqref="A235:Z235">
    <cfRule type="expression" dxfId="0" priority="116">
      <formula>MOD(ROW(),2)=0</formula>
    </cfRule>
  </conditionalFormatting>
  <conditionalFormatting sqref="A237:Z237">
    <cfRule type="expression" dxfId="0" priority="117">
      <formula>MOD(ROW(),2)=0</formula>
    </cfRule>
  </conditionalFormatting>
  <conditionalFormatting sqref="A239:Z239">
    <cfRule type="expression" dxfId="0" priority="118">
      <formula>MOD(ROW(),2)=0</formula>
    </cfRule>
  </conditionalFormatting>
  <conditionalFormatting sqref="A23:Z23">
    <cfRule type="expression" dxfId="0" priority="10">
      <formula>MOD(ROW(),2)=0</formula>
    </cfRule>
  </conditionalFormatting>
  <conditionalFormatting sqref="A241:Z241">
    <cfRule type="expression" dxfId="0" priority="119">
      <formula>MOD(ROW(),2)=0</formula>
    </cfRule>
  </conditionalFormatting>
  <conditionalFormatting sqref="A243:Z243">
    <cfRule type="expression" dxfId="0" priority="120">
      <formula>MOD(ROW(),2)=0</formula>
    </cfRule>
  </conditionalFormatting>
  <conditionalFormatting sqref="A245:Z245">
    <cfRule type="expression" dxfId="0" priority="121">
      <formula>MOD(ROW(),2)=0</formula>
    </cfRule>
  </conditionalFormatting>
  <conditionalFormatting sqref="A247:Z247">
    <cfRule type="expression" dxfId="0" priority="122">
      <formula>MOD(ROW(),2)=0</formula>
    </cfRule>
  </conditionalFormatting>
  <conditionalFormatting sqref="A249:Z249">
    <cfRule type="expression" dxfId="0" priority="123">
      <formula>MOD(ROW(),2)=0</formula>
    </cfRule>
  </conditionalFormatting>
  <conditionalFormatting sqref="A251:Z251">
    <cfRule type="expression" dxfId="0" priority="124">
      <formula>MOD(ROW(),2)=0</formula>
    </cfRule>
  </conditionalFormatting>
  <conditionalFormatting sqref="A253:Z253">
    <cfRule type="expression" dxfId="0" priority="125">
      <formula>MOD(ROW(),2)=0</formula>
    </cfRule>
  </conditionalFormatting>
  <conditionalFormatting sqref="A255:Z255">
    <cfRule type="expression" dxfId="0" priority="126">
      <formula>MOD(ROW(),2)=0</formula>
    </cfRule>
  </conditionalFormatting>
  <conditionalFormatting sqref="A257:Z257">
    <cfRule type="expression" dxfId="0" priority="127">
      <formula>MOD(ROW(),2)=0</formula>
    </cfRule>
  </conditionalFormatting>
  <conditionalFormatting sqref="A259:Z259">
    <cfRule type="expression" dxfId="0" priority="128">
      <formula>MOD(ROW(),2)=0</formula>
    </cfRule>
  </conditionalFormatting>
  <conditionalFormatting sqref="A25:Z25">
    <cfRule type="expression" dxfId="0" priority="11">
      <formula>MOD(ROW(),2)=0</formula>
    </cfRule>
  </conditionalFormatting>
  <conditionalFormatting sqref="A261:Z261">
    <cfRule type="expression" dxfId="0" priority="129">
      <formula>MOD(ROW(),2)=0</formula>
    </cfRule>
  </conditionalFormatting>
  <conditionalFormatting sqref="A263:Z263">
    <cfRule type="expression" dxfId="0" priority="130">
      <formula>MOD(ROW(),2)=0</formula>
    </cfRule>
  </conditionalFormatting>
  <conditionalFormatting sqref="A265:Z265">
    <cfRule type="expression" dxfId="0" priority="131">
      <formula>MOD(ROW(),2)=0</formula>
    </cfRule>
  </conditionalFormatting>
  <conditionalFormatting sqref="A267:Z267">
    <cfRule type="expression" dxfId="0" priority="132">
      <formula>MOD(ROW(),2)=0</formula>
    </cfRule>
  </conditionalFormatting>
  <conditionalFormatting sqref="A269:Z269">
    <cfRule type="expression" dxfId="0" priority="133">
      <formula>MOD(ROW(),2)=0</formula>
    </cfRule>
  </conditionalFormatting>
  <conditionalFormatting sqref="A271:Z271">
    <cfRule type="expression" dxfId="0" priority="134">
      <formula>MOD(ROW(),2)=0</formula>
    </cfRule>
  </conditionalFormatting>
  <conditionalFormatting sqref="A273:Z273">
    <cfRule type="expression" dxfId="0" priority="135">
      <formula>MOD(ROW(),2)=0</formula>
    </cfRule>
  </conditionalFormatting>
  <conditionalFormatting sqref="A275:Z275">
    <cfRule type="expression" dxfId="0" priority="136">
      <formula>MOD(ROW(),2)=0</formula>
    </cfRule>
  </conditionalFormatting>
  <conditionalFormatting sqref="A277:Z277">
    <cfRule type="expression" dxfId="0" priority="137">
      <formula>MOD(ROW(),2)=0</formula>
    </cfRule>
  </conditionalFormatting>
  <conditionalFormatting sqref="A279:Z279">
    <cfRule type="expression" dxfId="0" priority="138">
      <formula>MOD(ROW(),2)=0</formula>
    </cfRule>
  </conditionalFormatting>
  <conditionalFormatting sqref="A27:Z27">
    <cfRule type="expression" dxfId="0" priority="12">
      <formula>MOD(ROW(),2)=0</formula>
    </cfRule>
  </conditionalFormatting>
  <conditionalFormatting sqref="A281:Z281">
    <cfRule type="expression" dxfId="0" priority="139">
      <formula>MOD(ROW(),2)=0</formula>
    </cfRule>
  </conditionalFormatting>
  <conditionalFormatting sqref="A283:Z283">
    <cfRule type="expression" dxfId="0" priority="140">
      <formula>MOD(ROW(),2)=0</formula>
    </cfRule>
  </conditionalFormatting>
  <conditionalFormatting sqref="A285:Z285">
    <cfRule type="expression" dxfId="0" priority="141">
      <formula>MOD(ROW(),2)=0</formula>
    </cfRule>
  </conditionalFormatting>
  <conditionalFormatting sqref="A287:Z287">
    <cfRule type="expression" dxfId="0" priority="142">
      <formula>MOD(ROW(),2)=0</formula>
    </cfRule>
  </conditionalFormatting>
  <conditionalFormatting sqref="A289:Z289">
    <cfRule type="expression" dxfId="0" priority="143">
      <formula>MOD(ROW(),2)=0</formula>
    </cfRule>
  </conditionalFormatting>
  <conditionalFormatting sqref="A291:Z291">
    <cfRule type="expression" dxfId="0" priority="144">
      <formula>MOD(ROW(),2)=0</formula>
    </cfRule>
  </conditionalFormatting>
  <conditionalFormatting sqref="A293:Z293">
    <cfRule type="expression" dxfId="0" priority="145">
      <formula>MOD(ROW(),2)=0</formula>
    </cfRule>
  </conditionalFormatting>
  <conditionalFormatting sqref="A295:Z295">
    <cfRule type="expression" dxfId="0" priority="146">
      <formula>MOD(ROW(),2)=0</formula>
    </cfRule>
  </conditionalFormatting>
  <conditionalFormatting sqref="A297:Z297">
    <cfRule type="expression" dxfId="0" priority="147">
      <formula>MOD(ROW(),2)=0</formula>
    </cfRule>
  </conditionalFormatting>
  <conditionalFormatting sqref="A299:Z299">
    <cfRule type="expression" dxfId="0" priority="148">
      <formula>MOD(ROW(),2)=0</formula>
    </cfRule>
  </conditionalFormatting>
  <conditionalFormatting sqref="A29:Z29">
    <cfRule type="expression" dxfId="0" priority="13">
      <formula>MOD(ROW(),2)=0</formula>
    </cfRule>
  </conditionalFormatting>
  <conditionalFormatting sqref="A301:Z301">
    <cfRule type="expression" dxfId="0" priority="149">
      <formula>MOD(ROW(),2)=0</formula>
    </cfRule>
  </conditionalFormatting>
  <conditionalFormatting sqref="A303:Z303">
    <cfRule type="expression" dxfId="0" priority="150">
      <formula>MOD(ROW(),2)=0</formula>
    </cfRule>
  </conditionalFormatting>
  <conditionalFormatting sqref="A31:Z31">
    <cfRule type="expression" dxfId="0" priority="14">
      <formula>MOD(ROW(),2)=0</formula>
    </cfRule>
  </conditionalFormatting>
  <conditionalFormatting sqref="A33:Z33">
    <cfRule type="expression" dxfId="0" priority="15">
      <formula>MOD(ROW(),2)=0</formula>
    </cfRule>
  </conditionalFormatting>
  <conditionalFormatting sqref="A35:Z35">
    <cfRule type="expression" dxfId="0" priority="16">
      <formula>MOD(ROW(),2)=0</formula>
    </cfRule>
  </conditionalFormatting>
  <conditionalFormatting sqref="A37:Z37">
    <cfRule type="expression" dxfId="0" priority="17">
      <formula>MOD(ROW(),2)=0</formula>
    </cfRule>
  </conditionalFormatting>
  <conditionalFormatting sqref="A39:Z39">
    <cfRule type="expression" dxfId="0" priority="18">
      <formula>MOD(ROW(),2)=0</formula>
    </cfRule>
  </conditionalFormatting>
  <conditionalFormatting sqref="A41:Z41">
    <cfRule type="expression" dxfId="0" priority="19">
      <formula>MOD(ROW(),2)=0</formula>
    </cfRule>
  </conditionalFormatting>
  <conditionalFormatting sqref="A43:Z43">
    <cfRule type="expression" dxfId="0" priority="20">
      <formula>MOD(ROW(),2)=0</formula>
    </cfRule>
  </conditionalFormatting>
  <conditionalFormatting sqref="A45:Z45">
    <cfRule type="expression" dxfId="0" priority="21">
      <formula>MOD(ROW(),2)=0</formula>
    </cfRule>
  </conditionalFormatting>
  <conditionalFormatting sqref="A47:Z47">
    <cfRule type="expression" dxfId="0" priority="22">
      <formula>MOD(ROW(),2)=0</formula>
    </cfRule>
  </conditionalFormatting>
  <conditionalFormatting sqref="A49:Z49">
    <cfRule type="expression" dxfId="0" priority="23">
      <formula>MOD(ROW(),2)=0</formula>
    </cfRule>
  </conditionalFormatting>
  <conditionalFormatting sqref="A51:Z51">
    <cfRule type="expression" dxfId="0" priority="24">
      <formula>MOD(ROW(),2)=0</formula>
    </cfRule>
  </conditionalFormatting>
  <conditionalFormatting sqref="A53:Z53">
    <cfRule type="expression" dxfId="0" priority="25">
      <formula>MOD(ROW(),2)=0</formula>
    </cfRule>
  </conditionalFormatting>
  <conditionalFormatting sqref="A55:Z55">
    <cfRule type="expression" dxfId="0" priority="26">
      <formula>MOD(ROW(),2)=0</formula>
    </cfRule>
  </conditionalFormatting>
  <conditionalFormatting sqref="A57:Z57">
    <cfRule type="expression" dxfId="0" priority="27">
      <formula>MOD(ROW(),2)=0</formula>
    </cfRule>
  </conditionalFormatting>
  <conditionalFormatting sqref="A59:Z59">
    <cfRule type="expression" dxfId="0" priority="28">
      <formula>MOD(ROW(),2)=0</formula>
    </cfRule>
  </conditionalFormatting>
  <conditionalFormatting sqref="A5:Z5">
    <cfRule type="expression" dxfId="0" priority="1">
      <formula>MOD(ROW(),2)=0</formula>
    </cfRule>
  </conditionalFormatting>
  <conditionalFormatting sqref="A61:Z61">
    <cfRule type="expression" dxfId="0" priority="29">
      <formula>MOD(ROW(),2)=0</formula>
    </cfRule>
  </conditionalFormatting>
  <conditionalFormatting sqref="A63:Z63">
    <cfRule type="expression" dxfId="0" priority="30">
      <formula>MOD(ROW(),2)=0</formula>
    </cfRule>
  </conditionalFormatting>
  <conditionalFormatting sqref="A65:Z65">
    <cfRule type="expression" dxfId="0" priority="31">
      <formula>MOD(ROW(),2)=0</formula>
    </cfRule>
  </conditionalFormatting>
  <conditionalFormatting sqref="A67:Z67">
    <cfRule type="expression" dxfId="0" priority="32">
      <formula>MOD(ROW(),2)=0</formula>
    </cfRule>
  </conditionalFormatting>
  <conditionalFormatting sqref="A69:Z69">
    <cfRule type="expression" dxfId="0" priority="33">
      <formula>MOD(ROW(),2)=0</formula>
    </cfRule>
  </conditionalFormatting>
  <conditionalFormatting sqref="A71:Z71">
    <cfRule type="expression" dxfId="0" priority="34">
      <formula>MOD(ROW(),2)=0</formula>
    </cfRule>
  </conditionalFormatting>
  <conditionalFormatting sqref="A73:Z73">
    <cfRule type="expression" dxfId="0" priority="35">
      <formula>MOD(ROW(),2)=0</formula>
    </cfRule>
  </conditionalFormatting>
  <conditionalFormatting sqref="A75:Z75">
    <cfRule type="expression" dxfId="0" priority="36">
      <formula>MOD(ROW(),2)=0</formula>
    </cfRule>
  </conditionalFormatting>
  <conditionalFormatting sqref="A77:Z77">
    <cfRule type="expression" dxfId="0" priority="37">
      <formula>MOD(ROW(),2)=0</formula>
    </cfRule>
  </conditionalFormatting>
  <conditionalFormatting sqref="A79:Z79">
    <cfRule type="expression" dxfId="0" priority="38">
      <formula>MOD(ROW(),2)=0</formula>
    </cfRule>
  </conditionalFormatting>
  <conditionalFormatting sqref="A7:Z7">
    <cfRule type="expression" dxfId="0" priority="2">
      <formula>MOD(ROW(),2)=0</formula>
    </cfRule>
  </conditionalFormatting>
  <conditionalFormatting sqref="A81:Z81">
    <cfRule type="expression" dxfId="0" priority="39">
      <formula>MOD(ROW(),2)=0</formula>
    </cfRule>
  </conditionalFormatting>
  <conditionalFormatting sqref="A83:Z83">
    <cfRule type="expression" dxfId="0" priority="40">
      <formula>MOD(ROW(),2)=0</formula>
    </cfRule>
  </conditionalFormatting>
  <conditionalFormatting sqref="A85:Z85">
    <cfRule type="expression" dxfId="0" priority="41">
      <formula>MOD(ROW(),2)=0</formula>
    </cfRule>
  </conditionalFormatting>
  <conditionalFormatting sqref="A87:Z87">
    <cfRule type="expression" dxfId="0" priority="42">
      <formula>MOD(ROW(),2)=0</formula>
    </cfRule>
  </conditionalFormatting>
  <conditionalFormatting sqref="A89:Z89">
    <cfRule type="expression" dxfId="0" priority="43">
      <formula>MOD(ROW(),2)=0</formula>
    </cfRule>
  </conditionalFormatting>
  <conditionalFormatting sqref="A91:Z91">
    <cfRule type="expression" dxfId="0" priority="44">
      <formula>MOD(ROW(),2)=0</formula>
    </cfRule>
  </conditionalFormatting>
  <conditionalFormatting sqref="A93:Z93">
    <cfRule type="expression" dxfId="0" priority="45">
      <formula>MOD(ROW(),2)=0</formula>
    </cfRule>
  </conditionalFormatting>
  <conditionalFormatting sqref="A95:Z95">
    <cfRule type="expression" dxfId="0" priority="46">
      <formula>MOD(ROW(),2)=0</formula>
    </cfRule>
  </conditionalFormatting>
  <conditionalFormatting sqref="A97:Z97">
    <cfRule type="expression" dxfId="0" priority="47">
      <formula>MOD(ROW(),2)=0</formula>
    </cfRule>
  </conditionalFormatting>
  <conditionalFormatting sqref="A99:Z99">
    <cfRule type="expression" dxfId="0" priority="48">
      <formula>MOD(ROW(),2)=0</formula>
    </cfRule>
  </conditionalFormatting>
  <conditionalFormatting sqref="A9:Z9">
    <cfRule type="expression" dxfId="0" priority="3">
      <formula>MOD(ROW(),2)=0</formula>
    </cfRule>
  </conditionalFormatting>
  <dataValidations count="2100">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Spreadsheet&amp;R&amp;"Calibri,Italic"Pantry</oddHeader>
    <oddFooter>&amp;LPage &amp;P of &amp;N&amp;R&amp;D</oddFooter>
  </headerFooter>
  <legacyDrawing r:id="rId1"/>
</worksheet>
</file>

<file path=xl/worksheets/sheet14.xml><?xml version="1.0" encoding="utf-8"?>
<worksheet xmlns="http://schemas.openxmlformats.org/spreadsheetml/2006/main" xmlns:r="http://schemas.openxmlformats.org/officeDocument/2006/relationships">
  <sheetPr>
    <tabColor rgb="FF4E8A63"/>
    <pageSetUpPr fitToPage="1"/>
  </sheetPr>
  <dimension ref="A4:S10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4.7109375" customWidth="1"/>
    <col min="2" max="2" width="16.7109375" customWidth="1"/>
    <col min="3" max="3" width="10.7109375" customWidth="1"/>
    <col min="4" max="6" width="12.7109375" customWidth="1"/>
    <col min="7" max="7" width="11.7109375" customWidth="1"/>
    <col min="8" max="8" width="9.7109375" customWidth="1"/>
    <col min="9" max="9" width="10.7109375" customWidth="1"/>
    <col min="10" max="10" width="12.7109375" customWidth="1"/>
    <col min="11" max="11" width="18.7109375" customWidth="1"/>
    <col min="12" max="12" width="12.7109375" customWidth="1"/>
    <col min="13" max="14" width="11.7109375" customWidth="1"/>
    <col min="15" max="15" width="10.7109375" customWidth="1"/>
    <col min="16" max="16" width="9.7109375" customWidth="1"/>
    <col min="17" max="17" width="12.7109375" customWidth="1"/>
    <col min="18" max="18" width="14.7109375" customWidth="1"/>
    <col min="19" max="19" width="30.7109375" customWidth="1"/>
  </cols>
  <sheetData>
    <row r="4" spans="1:19" ht="32" customHeight="1">
      <c r="A4" s="9" t="s">
        <v>337</v>
      </c>
      <c r="B4" s="9" t="s">
        <v>282</v>
      </c>
      <c r="C4" s="9" t="s">
        <v>323</v>
      </c>
      <c r="D4" s="9" t="s">
        <v>410</v>
      </c>
      <c r="E4" s="9" t="s">
        <v>361</v>
      </c>
      <c r="F4" s="9" t="s">
        <v>411</v>
      </c>
      <c r="G4" s="9" t="s">
        <v>140</v>
      </c>
      <c r="H4" s="9" t="s">
        <v>412</v>
      </c>
      <c r="I4" s="9" t="s">
        <v>413</v>
      </c>
      <c r="J4" s="9" t="s">
        <v>414</v>
      </c>
      <c r="K4" s="9" t="s">
        <v>384</v>
      </c>
      <c r="L4" s="9" t="s">
        <v>363</v>
      </c>
      <c r="M4" s="9" t="s">
        <v>362</v>
      </c>
      <c r="N4" s="9" t="s">
        <v>415</v>
      </c>
      <c r="O4" s="9" t="s">
        <v>329</v>
      </c>
      <c r="P4" s="9" t="s">
        <v>349</v>
      </c>
      <c r="Q4" s="9" t="s">
        <v>416</v>
      </c>
      <c r="R4" s="9" t="s">
        <v>135</v>
      </c>
      <c r="S4" s="9" t="s">
        <v>173</v>
      </c>
    </row>
    <row r="5" spans="1:19">
      <c r="A5" s="7"/>
      <c r="B5" s="8">
        <f>IF(A5="","",IFERROR(INDEX(Ingredients!$B$5:$B$304,MATCH(A5,Ingredients!$A$5:$A$304,0)),""))</f>
        <v>0</v>
      </c>
      <c r="C5" s="27"/>
      <c r="D5" s="26"/>
      <c r="E5" s="30"/>
      <c r="F5" s="26"/>
      <c r="G5" s="8">
        <f>IF(OR(A5="",E5=""),"",TODAY()-E5)</f>
        <v>0</v>
      </c>
      <c r="H5" s="8">
        <f>IF(OR(A5="",G5="",F5=""),"",IF(G5&gt;=F5,"Yes","No"))</f>
        <v>0</v>
      </c>
      <c r="I5" s="27"/>
      <c r="J5" s="26"/>
      <c r="K5" s="27"/>
      <c r="L5" s="8">
        <f>IF(A5="","",IFERROR(AVERAGEIFS('Grocery Spending'!$I$5:$I$404,'Grocery Spending'!$E$5:$E$404,A5),""))</f>
        <v>0</v>
      </c>
      <c r="M5" s="8">
        <f>IF(A5="","",IFERROR(AVERAGEIFS('Grocery Spending'!$I$5:$I$404,'Grocery Spending'!$E$5:$E$404,A5,'Grocery Spending'!$A$5:$A$404,SUMPRODUCT(MAX(('Grocery Spending'!$E$5:$E$404=A5)*'Grocery Spending'!$A$5:$A$404))),""))</f>
        <v>0</v>
      </c>
      <c r="N5" s="8">
        <f>IF(OR(A5="",M5="",L5=""),"",M5-L5)</f>
        <v>0</v>
      </c>
      <c r="O5" s="8">
        <f>IF(A5="","",SUMIFS(Pantry!$C$5:$C$304,Pantry!$A$5:$A$304,A5))</f>
        <v>0</v>
      </c>
      <c r="P5" s="8">
        <f>IF(A5="","",COUNTIFS('Grocery List'!$A$5:$A$304,A5))</f>
        <v>0</v>
      </c>
      <c r="Q5" s="8">
        <f>IF(OR(A5="",G5=""),"",COUNTIFS($G$5:$G$104,"&gt;"&amp;G5)+1)</f>
        <v>0</v>
      </c>
      <c r="R5" s="8">
        <f>IF(A5="","",IF(H5="Yes","Buy this week",IF(O5&lt;=0,"Out of stock","In stock")))</f>
        <v>0</v>
      </c>
      <c r="S5" s="25"/>
    </row>
    <row r="6" spans="1:19">
      <c r="A6" s="7"/>
      <c r="B6" s="8">
        <f>IF(A6="","",IFERROR(INDEX(Ingredients!$B$5:$B$304,MATCH(A6,Ingredients!$A$5:$A$304,0)),""))</f>
        <v>0</v>
      </c>
      <c r="C6" s="27"/>
      <c r="D6" s="26"/>
      <c r="E6" s="30"/>
      <c r="F6" s="26"/>
      <c r="G6" s="8">
        <f>IF(OR(A6="",E6=""),"",TODAY()-E6)</f>
        <v>0</v>
      </c>
      <c r="H6" s="8">
        <f>IF(OR(A6="",G6="",F6=""),"",IF(G6&gt;=F6,"Yes","No"))</f>
        <v>0</v>
      </c>
      <c r="I6" s="27"/>
      <c r="J6" s="26"/>
      <c r="K6" s="27"/>
      <c r="L6" s="8">
        <f>IF(A6="","",IFERROR(AVERAGEIFS('Grocery Spending'!$I$5:$I$404,'Grocery Spending'!$E$5:$E$404,A6),""))</f>
        <v>0</v>
      </c>
      <c r="M6" s="8">
        <f>IF(A6="","",IFERROR(AVERAGEIFS('Grocery Spending'!$I$5:$I$404,'Grocery Spending'!$E$5:$E$404,A6,'Grocery Spending'!$A$5:$A$404,SUMPRODUCT(MAX(('Grocery Spending'!$E$5:$E$404=A6)*'Grocery Spending'!$A$5:$A$404))),""))</f>
        <v>0</v>
      </c>
      <c r="N6" s="8">
        <f>IF(OR(A6="",M6="",L6=""),"",M6-L6)</f>
        <v>0</v>
      </c>
      <c r="O6" s="8">
        <f>IF(A6="","",SUMIFS(Pantry!$C$5:$C$304,Pantry!$A$5:$A$304,A6))</f>
        <v>0</v>
      </c>
      <c r="P6" s="8">
        <f>IF(A6="","",COUNTIFS('Grocery List'!$A$5:$A$304,A6))</f>
        <v>0</v>
      </c>
      <c r="Q6" s="8">
        <f>IF(OR(A6="",G6=""),"",COUNTIFS($G$5:$G$104,"&gt;"&amp;G6)+1)</f>
        <v>0</v>
      </c>
      <c r="R6" s="8">
        <f>IF(A6="","",IF(H6="Yes","Buy this week",IF(O6&lt;=0,"Out of stock","In stock")))</f>
        <v>0</v>
      </c>
      <c r="S6" s="25"/>
    </row>
    <row r="7" spans="1:19">
      <c r="A7" s="7"/>
      <c r="B7" s="8">
        <f>IF(A7="","",IFERROR(INDEX(Ingredients!$B$5:$B$304,MATCH(A7,Ingredients!$A$5:$A$304,0)),""))</f>
        <v>0</v>
      </c>
      <c r="C7" s="27"/>
      <c r="D7" s="26"/>
      <c r="E7" s="30"/>
      <c r="F7" s="26"/>
      <c r="G7" s="8">
        <f>IF(OR(A7="",E7=""),"",TODAY()-E7)</f>
        <v>0</v>
      </c>
      <c r="H7" s="8">
        <f>IF(OR(A7="",G7="",F7=""),"",IF(G7&gt;=F7,"Yes","No"))</f>
        <v>0</v>
      </c>
      <c r="I7" s="27"/>
      <c r="J7" s="26"/>
      <c r="K7" s="27"/>
      <c r="L7" s="8">
        <f>IF(A7="","",IFERROR(AVERAGEIFS('Grocery Spending'!$I$5:$I$404,'Grocery Spending'!$E$5:$E$404,A7),""))</f>
        <v>0</v>
      </c>
      <c r="M7" s="8">
        <f>IF(A7="","",IFERROR(AVERAGEIFS('Grocery Spending'!$I$5:$I$404,'Grocery Spending'!$E$5:$E$404,A7,'Grocery Spending'!$A$5:$A$404,SUMPRODUCT(MAX(('Grocery Spending'!$E$5:$E$404=A7)*'Grocery Spending'!$A$5:$A$404))),""))</f>
        <v>0</v>
      </c>
      <c r="N7" s="8">
        <f>IF(OR(A7="",M7="",L7=""),"",M7-L7)</f>
        <v>0</v>
      </c>
      <c r="O7" s="8">
        <f>IF(A7="","",SUMIFS(Pantry!$C$5:$C$304,Pantry!$A$5:$A$304,A7))</f>
        <v>0</v>
      </c>
      <c r="P7" s="8">
        <f>IF(A7="","",COUNTIFS('Grocery List'!$A$5:$A$304,A7))</f>
        <v>0</v>
      </c>
      <c r="Q7" s="8">
        <f>IF(OR(A7="",G7=""),"",COUNTIFS($G$5:$G$104,"&gt;"&amp;G7)+1)</f>
        <v>0</v>
      </c>
      <c r="R7" s="8">
        <f>IF(A7="","",IF(H7="Yes","Buy this week",IF(O7&lt;=0,"Out of stock","In stock")))</f>
        <v>0</v>
      </c>
      <c r="S7" s="25"/>
    </row>
    <row r="8" spans="1:19">
      <c r="A8" s="7"/>
      <c r="B8" s="8">
        <f>IF(A8="","",IFERROR(INDEX(Ingredients!$B$5:$B$304,MATCH(A8,Ingredients!$A$5:$A$304,0)),""))</f>
        <v>0</v>
      </c>
      <c r="C8" s="27"/>
      <c r="D8" s="26"/>
      <c r="E8" s="30"/>
      <c r="F8" s="26"/>
      <c r="G8" s="8">
        <f>IF(OR(A8="",E8=""),"",TODAY()-E8)</f>
        <v>0</v>
      </c>
      <c r="H8" s="8">
        <f>IF(OR(A8="",G8="",F8=""),"",IF(G8&gt;=F8,"Yes","No"))</f>
        <v>0</v>
      </c>
      <c r="I8" s="27"/>
      <c r="J8" s="26"/>
      <c r="K8" s="27"/>
      <c r="L8" s="8">
        <f>IF(A8="","",IFERROR(AVERAGEIFS('Grocery Spending'!$I$5:$I$404,'Grocery Spending'!$E$5:$E$404,A8),""))</f>
        <v>0</v>
      </c>
      <c r="M8" s="8">
        <f>IF(A8="","",IFERROR(AVERAGEIFS('Grocery Spending'!$I$5:$I$404,'Grocery Spending'!$E$5:$E$404,A8,'Grocery Spending'!$A$5:$A$404,SUMPRODUCT(MAX(('Grocery Spending'!$E$5:$E$404=A8)*'Grocery Spending'!$A$5:$A$404))),""))</f>
        <v>0</v>
      </c>
      <c r="N8" s="8">
        <f>IF(OR(A8="",M8="",L8=""),"",M8-L8)</f>
        <v>0</v>
      </c>
      <c r="O8" s="8">
        <f>IF(A8="","",SUMIFS(Pantry!$C$5:$C$304,Pantry!$A$5:$A$304,A8))</f>
        <v>0</v>
      </c>
      <c r="P8" s="8">
        <f>IF(A8="","",COUNTIFS('Grocery List'!$A$5:$A$304,A8))</f>
        <v>0</v>
      </c>
      <c r="Q8" s="8">
        <f>IF(OR(A8="",G8=""),"",COUNTIFS($G$5:$G$104,"&gt;"&amp;G8)+1)</f>
        <v>0</v>
      </c>
      <c r="R8" s="8">
        <f>IF(A8="","",IF(H8="Yes","Buy this week",IF(O8&lt;=0,"Out of stock","In stock")))</f>
        <v>0</v>
      </c>
      <c r="S8" s="25"/>
    </row>
    <row r="9" spans="1:19">
      <c r="A9" s="7"/>
      <c r="B9" s="8">
        <f>IF(A9="","",IFERROR(INDEX(Ingredients!$B$5:$B$304,MATCH(A9,Ingredients!$A$5:$A$304,0)),""))</f>
        <v>0</v>
      </c>
      <c r="C9" s="27"/>
      <c r="D9" s="26"/>
      <c r="E9" s="30"/>
      <c r="F9" s="26"/>
      <c r="G9" s="8">
        <f>IF(OR(A9="",E9=""),"",TODAY()-E9)</f>
        <v>0</v>
      </c>
      <c r="H9" s="8">
        <f>IF(OR(A9="",G9="",F9=""),"",IF(G9&gt;=F9,"Yes","No"))</f>
        <v>0</v>
      </c>
      <c r="I9" s="27"/>
      <c r="J9" s="26"/>
      <c r="K9" s="27"/>
      <c r="L9" s="8">
        <f>IF(A9="","",IFERROR(AVERAGEIFS('Grocery Spending'!$I$5:$I$404,'Grocery Spending'!$E$5:$E$404,A9),""))</f>
        <v>0</v>
      </c>
      <c r="M9" s="8">
        <f>IF(A9="","",IFERROR(AVERAGEIFS('Grocery Spending'!$I$5:$I$404,'Grocery Spending'!$E$5:$E$404,A9,'Grocery Spending'!$A$5:$A$404,SUMPRODUCT(MAX(('Grocery Spending'!$E$5:$E$404=A9)*'Grocery Spending'!$A$5:$A$404))),""))</f>
        <v>0</v>
      </c>
      <c r="N9" s="8">
        <f>IF(OR(A9="",M9="",L9=""),"",M9-L9)</f>
        <v>0</v>
      </c>
      <c r="O9" s="8">
        <f>IF(A9="","",SUMIFS(Pantry!$C$5:$C$304,Pantry!$A$5:$A$304,A9))</f>
        <v>0</v>
      </c>
      <c r="P9" s="8">
        <f>IF(A9="","",COUNTIFS('Grocery List'!$A$5:$A$304,A9))</f>
        <v>0</v>
      </c>
      <c r="Q9" s="8">
        <f>IF(OR(A9="",G9=""),"",COUNTIFS($G$5:$G$104,"&gt;"&amp;G9)+1)</f>
        <v>0</v>
      </c>
      <c r="R9" s="8">
        <f>IF(A9="","",IF(H9="Yes","Buy this week",IF(O9&lt;=0,"Out of stock","In stock")))</f>
        <v>0</v>
      </c>
      <c r="S9" s="25"/>
    </row>
    <row r="10" spans="1:19">
      <c r="A10" s="7"/>
      <c r="B10" s="8">
        <f>IF(A10="","",IFERROR(INDEX(Ingredients!$B$5:$B$304,MATCH(A10,Ingredients!$A$5:$A$304,0)),""))</f>
        <v>0</v>
      </c>
      <c r="C10" s="27"/>
      <c r="D10" s="26"/>
      <c r="E10" s="30"/>
      <c r="F10" s="26"/>
      <c r="G10" s="8">
        <f>IF(OR(A10="",E10=""),"",TODAY()-E10)</f>
        <v>0</v>
      </c>
      <c r="H10" s="8">
        <f>IF(OR(A10="",G10="",F10=""),"",IF(G10&gt;=F10,"Yes","No"))</f>
        <v>0</v>
      </c>
      <c r="I10" s="27"/>
      <c r="J10" s="26"/>
      <c r="K10" s="27"/>
      <c r="L10" s="8">
        <f>IF(A10="","",IFERROR(AVERAGEIFS('Grocery Spending'!$I$5:$I$404,'Grocery Spending'!$E$5:$E$404,A10),""))</f>
        <v>0</v>
      </c>
      <c r="M10" s="8">
        <f>IF(A10="","",IFERROR(AVERAGEIFS('Grocery Spending'!$I$5:$I$404,'Grocery Spending'!$E$5:$E$404,A10,'Grocery Spending'!$A$5:$A$404,SUMPRODUCT(MAX(('Grocery Spending'!$E$5:$E$404=A10)*'Grocery Spending'!$A$5:$A$404))),""))</f>
        <v>0</v>
      </c>
      <c r="N10" s="8">
        <f>IF(OR(A10="",M10="",L10=""),"",M10-L10)</f>
        <v>0</v>
      </c>
      <c r="O10" s="8">
        <f>IF(A10="","",SUMIFS(Pantry!$C$5:$C$304,Pantry!$A$5:$A$304,A10))</f>
        <v>0</v>
      </c>
      <c r="P10" s="8">
        <f>IF(A10="","",COUNTIFS('Grocery List'!$A$5:$A$304,A10))</f>
        <v>0</v>
      </c>
      <c r="Q10" s="8">
        <f>IF(OR(A10="",G10=""),"",COUNTIFS($G$5:$G$104,"&gt;"&amp;G10)+1)</f>
        <v>0</v>
      </c>
      <c r="R10" s="8">
        <f>IF(A10="","",IF(H10="Yes","Buy this week",IF(O10&lt;=0,"Out of stock","In stock")))</f>
        <v>0</v>
      </c>
      <c r="S10" s="25"/>
    </row>
    <row r="11" spans="1:19">
      <c r="A11" s="7"/>
      <c r="B11" s="8">
        <f>IF(A11="","",IFERROR(INDEX(Ingredients!$B$5:$B$304,MATCH(A11,Ingredients!$A$5:$A$304,0)),""))</f>
        <v>0</v>
      </c>
      <c r="C11" s="27"/>
      <c r="D11" s="26"/>
      <c r="E11" s="30"/>
      <c r="F11" s="26"/>
      <c r="G11" s="8">
        <f>IF(OR(A11="",E11=""),"",TODAY()-E11)</f>
        <v>0</v>
      </c>
      <c r="H11" s="8">
        <f>IF(OR(A11="",G11="",F11=""),"",IF(G11&gt;=F11,"Yes","No"))</f>
        <v>0</v>
      </c>
      <c r="I11" s="27"/>
      <c r="J11" s="26"/>
      <c r="K11" s="27"/>
      <c r="L11" s="8">
        <f>IF(A11="","",IFERROR(AVERAGEIFS('Grocery Spending'!$I$5:$I$404,'Grocery Spending'!$E$5:$E$404,A11),""))</f>
        <v>0</v>
      </c>
      <c r="M11" s="8">
        <f>IF(A11="","",IFERROR(AVERAGEIFS('Grocery Spending'!$I$5:$I$404,'Grocery Spending'!$E$5:$E$404,A11,'Grocery Spending'!$A$5:$A$404,SUMPRODUCT(MAX(('Grocery Spending'!$E$5:$E$404=A11)*'Grocery Spending'!$A$5:$A$404))),""))</f>
        <v>0</v>
      </c>
      <c r="N11" s="8">
        <f>IF(OR(A11="",M11="",L11=""),"",M11-L11)</f>
        <v>0</v>
      </c>
      <c r="O11" s="8">
        <f>IF(A11="","",SUMIFS(Pantry!$C$5:$C$304,Pantry!$A$5:$A$304,A11))</f>
        <v>0</v>
      </c>
      <c r="P11" s="8">
        <f>IF(A11="","",COUNTIFS('Grocery List'!$A$5:$A$304,A11))</f>
        <v>0</v>
      </c>
      <c r="Q11" s="8">
        <f>IF(OR(A11="",G11=""),"",COUNTIFS($G$5:$G$104,"&gt;"&amp;G11)+1)</f>
        <v>0</v>
      </c>
      <c r="R11" s="8">
        <f>IF(A11="","",IF(H11="Yes","Buy this week",IF(O11&lt;=0,"Out of stock","In stock")))</f>
        <v>0</v>
      </c>
      <c r="S11" s="25"/>
    </row>
    <row r="12" spans="1:19">
      <c r="A12" s="7"/>
      <c r="B12" s="8">
        <f>IF(A12="","",IFERROR(INDEX(Ingredients!$B$5:$B$304,MATCH(A12,Ingredients!$A$5:$A$304,0)),""))</f>
        <v>0</v>
      </c>
      <c r="C12" s="27"/>
      <c r="D12" s="26"/>
      <c r="E12" s="30"/>
      <c r="F12" s="26"/>
      <c r="G12" s="8">
        <f>IF(OR(A12="",E12=""),"",TODAY()-E12)</f>
        <v>0</v>
      </c>
      <c r="H12" s="8">
        <f>IF(OR(A12="",G12="",F12=""),"",IF(G12&gt;=F12,"Yes","No"))</f>
        <v>0</v>
      </c>
      <c r="I12" s="27"/>
      <c r="J12" s="26"/>
      <c r="K12" s="27"/>
      <c r="L12" s="8">
        <f>IF(A12="","",IFERROR(AVERAGEIFS('Grocery Spending'!$I$5:$I$404,'Grocery Spending'!$E$5:$E$404,A12),""))</f>
        <v>0</v>
      </c>
      <c r="M12" s="8">
        <f>IF(A12="","",IFERROR(AVERAGEIFS('Grocery Spending'!$I$5:$I$404,'Grocery Spending'!$E$5:$E$404,A12,'Grocery Spending'!$A$5:$A$404,SUMPRODUCT(MAX(('Grocery Spending'!$E$5:$E$404=A12)*'Grocery Spending'!$A$5:$A$404))),""))</f>
        <v>0</v>
      </c>
      <c r="N12" s="8">
        <f>IF(OR(A12="",M12="",L12=""),"",M12-L12)</f>
        <v>0</v>
      </c>
      <c r="O12" s="8">
        <f>IF(A12="","",SUMIFS(Pantry!$C$5:$C$304,Pantry!$A$5:$A$304,A12))</f>
        <v>0</v>
      </c>
      <c r="P12" s="8">
        <f>IF(A12="","",COUNTIFS('Grocery List'!$A$5:$A$304,A12))</f>
        <v>0</v>
      </c>
      <c r="Q12" s="8">
        <f>IF(OR(A12="",G12=""),"",COUNTIFS($G$5:$G$104,"&gt;"&amp;G12)+1)</f>
        <v>0</v>
      </c>
      <c r="R12" s="8">
        <f>IF(A12="","",IF(H12="Yes","Buy this week",IF(O12&lt;=0,"Out of stock","In stock")))</f>
        <v>0</v>
      </c>
      <c r="S12" s="25"/>
    </row>
    <row r="13" spans="1:19">
      <c r="A13" s="7"/>
      <c r="B13" s="8">
        <f>IF(A13="","",IFERROR(INDEX(Ingredients!$B$5:$B$304,MATCH(A13,Ingredients!$A$5:$A$304,0)),""))</f>
        <v>0</v>
      </c>
      <c r="C13" s="27"/>
      <c r="D13" s="26"/>
      <c r="E13" s="30"/>
      <c r="F13" s="26"/>
      <c r="G13" s="8">
        <f>IF(OR(A13="",E13=""),"",TODAY()-E13)</f>
        <v>0</v>
      </c>
      <c r="H13" s="8">
        <f>IF(OR(A13="",G13="",F13=""),"",IF(G13&gt;=F13,"Yes","No"))</f>
        <v>0</v>
      </c>
      <c r="I13" s="27"/>
      <c r="J13" s="26"/>
      <c r="K13" s="27"/>
      <c r="L13" s="8">
        <f>IF(A13="","",IFERROR(AVERAGEIFS('Grocery Spending'!$I$5:$I$404,'Grocery Spending'!$E$5:$E$404,A13),""))</f>
        <v>0</v>
      </c>
      <c r="M13" s="8">
        <f>IF(A13="","",IFERROR(AVERAGEIFS('Grocery Spending'!$I$5:$I$404,'Grocery Spending'!$E$5:$E$404,A13,'Grocery Spending'!$A$5:$A$404,SUMPRODUCT(MAX(('Grocery Spending'!$E$5:$E$404=A13)*'Grocery Spending'!$A$5:$A$404))),""))</f>
        <v>0</v>
      </c>
      <c r="N13" s="8">
        <f>IF(OR(A13="",M13="",L13=""),"",M13-L13)</f>
        <v>0</v>
      </c>
      <c r="O13" s="8">
        <f>IF(A13="","",SUMIFS(Pantry!$C$5:$C$304,Pantry!$A$5:$A$304,A13))</f>
        <v>0</v>
      </c>
      <c r="P13" s="8">
        <f>IF(A13="","",COUNTIFS('Grocery List'!$A$5:$A$304,A13))</f>
        <v>0</v>
      </c>
      <c r="Q13" s="8">
        <f>IF(OR(A13="",G13=""),"",COUNTIFS($G$5:$G$104,"&gt;"&amp;G13)+1)</f>
        <v>0</v>
      </c>
      <c r="R13" s="8">
        <f>IF(A13="","",IF(H13="Yes","Buy this week",IF(O13&lt;=0,"Out of stock","In stock")))</f>
        <v>0</v>
      </c>
      <c r="S13" s="25"/>
    </row>
    <row r="14" spans="1:19">
      <c r="A14" s="7"/>
      <c r="B14" s="8">
        <f>IF(A14="","",IFERROR(INDEX(Ingredients!$B$5:$B$304,MATCH(A14,Ingredients!$A$5:$A$304,0)),""))</f>
        <v>0</v>
      </c>
      <c r="C14" s="27"/>
      <c r="D14" s="26"/>
      <c r="E14" s="30"/>
      <c r="F14" s="26"/>
      <c r="G14" s="8">
        <f>IF(OR(A14="",E14=""),"",TODAY()-E14)</f>
        <v>0</v>
      </c>
      <c r="H14" s="8">
        <f>IF(OR(A14="",G14="",F14=""),"",IF(G14&gt;=F14,"Yes","No"))</f>
        <v>0</v>
      </c>
      <c r="I14" s="27"/>
      <c r="J14" s="26"/>
      <c r="K14" s="27"/>
      <c r="L14" s="8">
        <f>IF(A14="","",IFERROR(AVERAGEIFS('Grocery Spending'!$I$5:$I$404,'Grocery Spending'!$E$5:$E$404,A14),""))</f>
        <v>0</v>
      </c>
      <c r="M14" s="8">
        <f>IF(A14="","",IFERROR(AVERAGEIFS('Grocery Spending'!$I$5:$I$404,'Grocery Spending'!$E$5:$E$404,A14,'Grocery Spending'!$A$5:$A$404,SUMPRODUCT(MAX(('Grocery Spending'!$E$5:$E$404=A14)*'Grocery Spending'!$A$5:$A$404))),""))</f>
        <v>0</v>
      </c>
      <c r="N14" s="8">
        <f>IF(OR(A14="",M14="",L14=""),"",M14-L14)</f>
        <v>0</v>
      </c>
      <c r="O14" s="8">
        <f>IF(A14="","",SUMIFS(Pantry!$C$5:$C$304,Pantry!$A$5:$A$304,A14))</f>
        <v>0</v>
      </c>
      <c r="P14" s="8">
        <f>IF(A14="","",COUNTIFS('Grocery List'!$A$5:$A$304,A14))</f>
        <v>0</v>
      </c>
      <c r="Q14" s="8">
        <f>IF(OR(A14="",G14=""),"",COUNTIFS($G$5:$G$104,"&gt;"&amp;G14)+1)</f>
        <v>0</v>
      </c>
      <c r="R14" s="8">
        <f>IF(A14="","",IF(H14="Yes","Buy this week",IF(O14&lt;=0,"Out of stock","In stock")))</f>
        <v>0</v>
      </c>
      <c r="S14" s="25"/>
    </row>
    <row r="15" spans="1:19">
      <c r="A15" s="7"/>
      <c r="B15" s="8">
        <f>IF(A15="","",IFERROR(INDEX(Ingredients!$B$5:$B$304,MATCH(A15,Ingredients!$A$5:$A$304,0)),""))</f>
        <v>0</v>
      </c>
      <c r="C15" s="27"/>
      <c r="D15" s="26"/>
      <c r="E15" s="30"/>
      <c r="F15" s="26"/>
      <c r="G15" s="8">
        <f>IF(OR(A15="",E15=""),"",TODAY()-E15)</f>
        <v>0</v>
      </c>
      <c r="H15" s="8">
        <f>IF(OR(A15="",G15="",F15=""),"",IF(G15&gt;=F15,"Yes","No"))</f>
        <v>0</v>
      </c>
      <c r="I15" s="27"/>
      <c r="J15" s="26"/>
      <c r="K15" s="27"/>
      <c r="L15" s="8">
        <f>IF(A15="","",IFERROR(AVERAGEIFS('Grocery Spending'!$I$5:$I$404,'Grocery Spending'!$E$5:$E$404,A15),""))</f>
        <v>0</v>
      </c>
      <c r="M15" s="8">
        <f>IF(A15="","",IFERROR(AVERAGEIFS('Grocery Spending'!$I$5:$I$404,'Grocery Spending'!$E$5:$E$404,A15,'Grocery Spending'!$A$5:$A$404,SUMPRODUCT(MAX(('Grocery Spending'!$E$5:$E$404=A15)*'Grocery Spending'!$A$5:$A$404))),""))</f>
        <v>0</v>
      </c>
      <c r="N15" s="8">
        <f>IF(OR(A15="",M15="",L15=""),"",M15-L15)</f>
        <v>0</v>
      </c>
      <c r="O15" s="8">
        <f>IF(A15="","",SUMIFS(Pantry!$C$5:$C$304,Pantry!$A$5:$A$304,A15))</f>
        <v>0</v>
      </c>
      <c r="P15" s="8">
        <f>IF(A15="","",COUNTIFS('Grocery List'!$A$5:$A$304,A15))</f>
        <v>0</v>
      </c>
      <c r="Q15" s="8">
        <f>IF(OR(A15="",G15=""),"",COUNTIFS($G$5:$G$104,"&gt;"&amp;G15)+1)</f>
        <v>0</v>
      </c>
      <c r="R15" s="8">
        <f>IF(A15="","",IF(H15="Yes","Buy this week",IF(O15&lt;=0,"Out of stock","In stock")))</f>
        <v>0</v>
      </c>
      <c r="S15" s="25"/>
    </row>
    <row r="16" spans="1:19">
      <c r="A16" s="7"/>
      <c r="B16" s="8">
        <f>IF(A16="","",IFERROR(INDEX(Ingredients!$B$5:$B$304,MATCH(A16,Ingredients!$A$5:$A$304,0)),""))</f>
        <v>0</v>
      </c>
      <c r="C16" s="27"/>
      <c r="D16" s="26"/>
      <c r="E16" s="30"/>
      <c r="F16" s="26"/>
      <c r="G16" s="8">
        <f>IF(OR(A16="",E16=""),"",TODAY()-E16)</f>
        <v>0</v>
      </c>
      <c r="H16" s="8">
        <f>IF(OR(A16="",G16="",F16=""),"",IF(G16&gt;=F16,"Yes","No"))</f>
        <v>0</v>
      </c>
      <c r="I16" s="27"/>
      <c r="J16" s="26"/>
      <c r="K16" s="27"/>
      <c r="L16" s="8">
        <f>IF(A16="","",IFERROR(AVERAGEIFS('Grocery Spending'!$I$5:$I$404,'Grocery Spending'!$E$5:$E$404,A16),""))</f>
        <v>0</v>
      </c>
      <c r="M16" s="8">
        <f>IF(A16="","",IFERROR(AVERAGEIFS('Grocery Spending'!$I$5:$I$404,'Grocery Spending'!$E$5:$E$404,A16,'Grocery Spending'!$A$5:$A$404,SUMPRODUCT(MAX(('Grocery Spending'!$E$5:$E$404=A16)*'Grocery Spending'!$A$5:$A$404))),""))</f>
        <v>0</v>
      </c>
      <c r="N16" s="8">
        <f>IF(OR(A16="",M16="",L16=""),"",M16-L16)</f>
        <v>0</v>
      </c>
      <c r="O16" s="8">
        <f>IF(A16="","",SUMIFS(Pantry!$C$5:$C$304,Pantry!$A$5:$A$304,A16))</f>
        <v>0</v>
      </c>
      <c r="P16" s="8">
        <f>IF(A16="","",COUNTIFS('Grocery List'!$A$5:$A$304,A16))</f>
        <v>0</v>
      </c>
      <c r="Q16" s="8">
        <f>IF(OR(A16="",G16=""),"",COUNTIFS($G$5:$G$104,"&gt;"&amp;G16)+1)</f>
        <v>0</v>
      </c>
      <c r="R16" s="8">
        <f>IF(A16="","",IF(H16="Yes","Buy this week",IF(O16&lt;=0,"Out of stock","In stock")))</f>
        <v>0</v>
      </c>
      <c r="S16" s="25"/>
    </row>
    <row r="17" spans="1:19">
      <c r="A17" s="7"/>
      <c r="B17" s="8">
        <f>IF(A17="","",IFERROR(INDEX(Ingredients!$B$5:$B$304,MATCH(A17,Ingredients!$A$5:$A$304,0)),""))</f>
        <v>0</v>
      </c>
      <c r="C17" s="27"/>
      <c r="D17" s="26"/>
      <c r="E17" s="30"/>
      <c r="F17" s="26"/>
      <c r="G17" s="8">
        <f>IF(OR(A17="",E17=""),"",TODAY()-E17)</f>
        <v>0</v>
      </c>
      <c r="H17" s="8">
        <f>IF(OR(A17="",G17="",F17=""),"",IF(G17&gt;=F17,"Yes","No"))</f>
        <v>0</v>
      </c>
      <c r="I17" s="27"/>
      <c r="J17" s="26"/>
      <c r="K17" s="27"/>
      <c r="L17" s="8">
        <f>IF(A17="","",IFERROR(AVERAGEIFS('Grocery Spending'!$I$5:$I$404,'Grocery Spending'!$E$5:$E$404,A17),""))</f>
        <v>0</v>
      </c>
      <c r="M17" s="8">
        <f>IF(A17="","",IFERROR(AVERAGEIFS('Grocery Spending'!$I$5:$I$404,'Grocery Spending'!$E$5:$E$404,A17,'Grocery Spending'!$A$5:$A$404,SUMPRODUCT(MAX(('Grocery Spending'!$E$5:$E$404=A17)*'Grocery Spending'!$A$5:$A$404))),""))</f>
        <v>0</v>
      </c>
      <c r="N17" s="8">
        <f>IF(OR(A17="",M17="",L17=""),"",M17-L17)</f>
        <v>0</v>
      </c>
      <c r="O17" s="8">
        <f>IF(A17="","",SUMIFS(Pantry!$C$5:$C$304,Pantry!$A$5:$A$304,A17))</f>
        <v>0</v>
      </c>
      <c r="P17" s="8">
        <f>IF(A17="","",COUNTIFS('Grocery List'!$A$5:$A$304,A17))</f>
        <v>0</v>
      </c>
      <c r="Q17" s="8">
        <f>IF(OR(A17="",G17=""),"",COUNTIFS($G$5:$G$104,"&gt;"&amp;G17)+1)</f>
        <v>0</v>
      </c>
      <c r="R17" s="8">
        <f>IF(A17="","",IF(H17="Yes","Buy this week",IF(O17&lt;=0,"Out of stock","In stock")))</f>
        <v>0</v>
      </c>
      <c r="S17" s="25"/>
    </row>
    <row r="18" spans="1:19">
      <c r="A18" s="7"/>
      <c r="B18" s="8">
        <f>IF(A18="","",IFERROR(INDEX(Ingredients!$B$5:$B$304,MATCH(A18,Ingredients!$A$5:$A$304,0)),""))</f>
        <v>0</v>
      </c>
      <c r="C18" s="27"/>
      <c r="D18" s="26"/>
      <c r="E18" s="30"/>
      <c r="F18" s="26"/>
      <c r="G18" s="8">
        <f>IF(OR(A18="",E18=""),"",TODAY()-E18)</f>
        <v>0</v>
      </c>
      <c r="H18" s="8">
        <f>IF(OR(A18="",G18="",F18=""),"",IF(G18&gt;=F18,"Yes","No"))</f>
        <v>0</v>
      </c>
      <c r="I18" s="27"/>
      <c r="J18" s="26"/>
      <c r="K18" s="27"/>
      <c r="L18" s="8">
        <f>IF(A18="","",IFERROR(AVERAGEIFS('Grocery Spending'!$I$5:$I$404,'Grocery Spending'!$E$5:$E$404,A18),""))</f>
        <v>0</v>
      </c>
      <c r="M18" s="8">
        <f>IF(A18="","",IFERROR(AVERAGEIFS('Grocery Spending'!$I$5:$I$404,'Grocery Spending'!$E$5:$E$404,A18,'Grocery Spending'!$A$5:$A$404,SUMPRODUCT(MAX(('Grocery Spending'!$E$5:$E$404=A18)*'Grocery Spending'!$A$5:$A$404))),""))</f>
        <v>0</v>
      </c>
      <c r="N18" s="8">
        <f>IF(OR(A18="",M18="",L18=""),"",M18-L18)</f>
        <v>0</v>
      </c>
      <c r="O18" s="8">
        <f>IF(A18="","",SUMIFS(Pantry!$C$5:$C$304,Pantry!$A$5:$A$304,A18))</f>
        <v>0</v>
      </c>
      <c r="P18" s="8">
        <f>IF(A18="","",COUNTIFS('Grocery List'!$A$5:$A$304,A18))</f>
        <v>0</v>
      </c>
      <c r="Q18" s="8">
        <f>IF(OR(A18="",G18=""),"",COUNTIFS($G$5:$G$104,"&gt;"&amp;G18)+1)</f>
        <v>0</v>
      </c>
      <c r="R18" s="8">
        <f>IF(A18="","",IF(H18="Yes","Buy this week",IF(O18&lt;=0,"Out of stock","In stock")))</f>
        <v>0</v>
      </c>
      <c r="S18" s="25"/>
    </row>
    <row r="19" spans="1:19">
      <c r="A19" s="7"/>
      <c r="B19" s="8">
        <f>IF(A19="","",IFERROR(INDEX(Ingredients!$B$5:$B$304,MATCH(A19,Ingredients!$A$5:$A$304,0)),""))</f>
        <v>0</v>
      </c>
      <c r="C19" s="27"/>
      <c r="D19" s="26"/>
      <c r="E19" s="30"/>
      <c r="F19" s="26"/>
      <c r="G19" s="8">
        <f>IF(OR(A19="",E19=""),"",TODAY()-E19)</f>
        <v>0</v>
      </c>
      <c r="H19" s="8">
        <f>IF(OR(A19="",G19="",F19=""),"",IF(G19&gt;=F19,"Yes","No"))</f>
        <v>0</v>
      </c>
      <c r="I19" s="27"/>
      <c r="J19" s="26"/>
      <c r="K19" s="27"/>
      <c r="L19" s="8">
        <f>IF(A19="","",IFERROR(AVERAGEIFS('Grocery Spending'!$I$5:$I$404,'Grocery Spending'!$E$5:$E$404,A19),""))</f>
        <v>0</v>
      </c>
      <c r="M19" s="8">
        <f>IF(A19="","",IFERROR(AVERAGEIFS('Grocery Spending'!$I$5:$I$404,'Grocery Spending'!$E$5:$E$404,A19,'Grocery Spending'!$A$5:$A$404,SUMPRODUCT(MAX(('Grocery Spending'!$E$5:$E$404=A19)*'Grocery Spending'!$A$5:$A$404))),""))</f>
        <v>0</v>
      </c>
      <c r="N19" s="8">
        <f>IF(OR(A19="",M19="",L19=""),"",M19-L19)</f>
        <v>0</v>
      </c>
      <c r="O19" s="8">
        <f>IF(A19="","",SUMIFS(Pantry!$C$5:$C$304,Pantry!$A$5:$A$304,A19))</f>
        <v>0</v>
      </c>
      <c r="P19" s="8">
        <f>IF(A19="","",COUNTIFS('Grocery List'!$A$5:$A$304,A19))</f>
        <v>0</v>
      </c>
      <c r="Q19" s="8">
        <f>IF(OR(A19="",G19=""),"",COUNTIFS($G$5:$G$104,"&gt;"&amp;G19)+1)</f>
        <v>0</v>
      </c>
      <c r="R19" s="8">
        <f>IF(A19="","",IF(H19="Yes","Buy this week",IF(O19&lt;=0,"Out of stock","In stock")))</f>
        <v>0</v>
      </c>
      <c r="S19" s="25"/>
    </row>
    <row r="20" spans="1:19">
      <c r="A20" s="7"/>
      <c r="B20" s="8">
        <f>IF(A20="","",IFERROR(INDEX(Ingredients!$B$5:$B$304,MATCH(A20,Ingredients!$A$5:$A$304,0)),""))</f>
        <v>0</v>
      </c>
      <c r="C20" s="27"/>
      <c r="D20" s="26"/>
      <c r="E20" s="30"/>
      <c r="F20" s="26"/>
      <c r="G20" s="8">
        <f>IF(OR(A20="",E20=""),"",TODAY()-E20)</f>
        <v>0</v>
      </c>
      <c r="H20" s="8">
        <f>IF(OR(A20="",G20="",F20=""),"",IF(G20&gt;=F20,"Yes","No"))</f>
        <v>0</v>
      </c>
      <c r="I20" s="27"/>
      <c r="J20" s="26"/>
      <c r="K20" s="27"/>
      <c r="L20" s="8">
        <f>IF(A20="","",IFERROR(AVERAGEIFS('Grocery Spending'!$I$5:$I$404,'Grocery Spending'!$E$5:$E$404,A20),""))</f>
        <v>0</v>
      </c>
      <c r="M20" s="8">
        <f>IF(A20="","",IFERROR(AVERAGEIFS('Grocery Spending'!$I$5:$I$404,'Grocery Spending'!$E$5:$E$404,A20,'Grocery Spending'!$A$5:$A$404,SUMPRODUCT(MAX(('Grocery Spending'!$E$5:$E$404=A20)*'Grocery Spending'!$A$5:$A$404))),""))</f>
        <v>0</v>
      </c>
      <c r="N20" s="8">
        <f>IF(OR(A20="",M20="",L20=""),"",M20-L20)</f>
        <v>0</v>
      </c>
      <c r="O20" s="8">
        <f>IF(A20="","",SUMIFS(Pantry!$C$5:$C$304,Pantry!$A$5:$A$304,A20))</f>
        <v>0</v>
      </c>
      <c r="P20" s="8">
        <f>IF(A20="","",COUNTIFS('Grocery List'!$A$5:$A$304,A20))</f>
        <v>0</v>
      </c>
      <c r="Q20" s="8">
        <f>IF(OR(A20="",G20=""),"",COUNTIFS($G$5:$G$104,"&gt;"&amp;G20)+1)</f>
        <v>0</v>
      </c>
      <c r="R20" s="8">
        <f>IF(A20="","",IF(H20="Yes","Buy this week",IF(O20&lt;=0,"Out of stock","In stock")))</f>
        <v>0</v>
      </c>
      <c r="S20" s="25"/>
    </row>
    <row r="21" spans="1:19">
      <c r="A21" s="7"/>
      <c r="B21" s="8">
        <f>IF(A21="","",IFERROR(INDEX(Ingredients!$B$5:$B$304,MATCH(A21,Ingredients!$A$5:$A$304,0)),""))</f>
        <v>0</v>
      </c>
      <c r="C21" s="27"/>
      <c r="D21" s="26"/>
      <c r="E21" s="30"/>
      <c r="F21" s="26"/>
      <c r="G21" s="8">
        <f>IF(OR(A21="",E21=""),"",TODAY()-E21)</f>
        <v>0</v>
      </c>
      <c r="H21" s="8">
        <f>IF(OR(A21="",G21="",F21=""),"",IF(G21&gt;=F21,"Yes","No"))</f>
        <v>0</v>
      </c>
      <c r="I21" s="27"/>
      <c r="J21" s="26"/>
      <c r="K21" s="27"/>
      <c r="L21" s="8">
        <f>IF(A21="","",IFERROR(AVERAGEIFS('Grocery Spending'!$I$5:$I$404,'Grocery Spending'!$E$5:$E$404,A21),""))</f>
        <v>0</v>
      </c>
      <c r="M21" s="8">
        <f>IF(A21="","",IFERROR(AVERAGEIFS('Grocery Spending'!$I$5:$I$404,'Grocery Spending'!$E$5:$E$404,A21,'Grocery Spending'!$A$5:$A$404,SUMPRODUCT(MAX(('Grocery Spending'!$E$5:$E$404=A21)*'Grocery Spending'!$A$5:$A$404))),""))</f>
        <v>0</v>
      </c>
      <c r="N21" s="8">
        <f>IF(OR(A21="",M21="",L21=""),"",M21-L21)</f>
        <v>0</v>
      </c>
      <c r="O21" s="8">
        <f>IF(A21="","",SUMIFS(Pantry!$C$5:$C$304,Pantry!$A$5:$A$304,A21))</f>
        <v>0</v>
      </c>
      <c r="P21" s="8">
        <f>IF(A21="","",COUNTIFS('Grocery List'!$A$5:$A$304,A21))</f>
        <v>0</v>
      </c>
      <c r="Q21" s="8">
        <f>IF(OR(A21="",G21=""),"",COUNTIFS($G$5:$G$104,"&gt;"&amp;G21)+1)</f>
        <v>0</v>
      </c>
      <c r="R21" s="8">
        <f>IF(A21="","",IF(H21="Yes","Buy this week",IF(O21&lt;=0,"Out of stock","In stock")))</f>
        <v>0</v>
      </c>
      <c r="S21" s="25"/>
    </row>
    <row r="22" spans="1:19">
      <c r="A22" s="7"/>
      <c r="B22" s="8">
        <f>IF(A22="","",IFERROR(INDEX(Ingredients!$B$5:$B$304,MATCH(A22,Ingredients!$A$5:$A$304,0)),""))</f>
        <v>0</v>
      </c>
      <c r="C22" s="27"/>
      <c r="D22" s="26"/>
      <c r="E22" s="30"/>
      <c r="F22" s="26"/>
      <c r="G22" s="8">
        <f>IF(OR(A22="",E22=""),"",TODAY()-E22)</f>
        <v>0</v>
      </c>
      <c r="H22" s="8">
        <f>IF(OR(A22="",G22="",F22=""),"",IF(G22&gt;=F22,"Yes","No"))</f>
        <v>0</v>
      </c>
      <c r="I22" s="27"/>
      <c r="J22" s="26"/>
      <c r="K22" s="27"/>
      <c r="L22" s="8">
        <f>IF(A22="","",IFERROR(AVERAGEIFS('Grocery Spending'!$I$5:$I$404,'Grocery Spending'!$E$5:$E$404,A22),""))</f>
        <v>0</v>
      </c>
      <c r="M22" s="8">
        <f>IF(A22="","",IFERROR(AVERAGEIFS('Grocery Spending'!$I$5:$I$404,'Grocery Spending'!$E$5:$E$404,A22,'Grocery Spending'!$A$5:$A$404,SUMPRODUCT(MAX(('Grocery Spending'!$E$5:$E$404=A22)*'Grocery Spending'!$A$5:$A$404))),""))</f>
        <v>0</v>
      </c>
      <c r="N22" s="8">
        <f>IF(OR(A22="",M22="",L22=""),"",M22-L22)</f>
        <v>0</v>
      </c>
      <c r="O22" s="8">
        <f>IF(A22="","",SUMIFS(Pantry!$C$5:$C$304,Pantry!$A$5:$A$304,A22))</f>
        <v>0</v>
      </c>
      <c r="P22" s="8">
        <f>IF(A22="","",COUNTIFS('Grocery List'!$A$5:$A$304,A22))</f>
        <v>0</v>
      </c>
      <c r="Q22" s="8">
        <f>IF(OR(A22="",G22=""),"",COUNTIFS($G$5:$G$104,"&gt;"&amp;G22)+1)</f>
        <v>0</v>
      </c>
      <c r="R22" s="8">
        <f>IF(A22="","",IF(H22="Yes","Buy this week",IF(O22&lt;=0,"Out of stock","In stock")))</f>
        <v>0</v>
      </c>
      <c r="S22" s="25"/>
    </row>
    <row r="23" spans="1:19">
      <c r="A23" s="7"/>
      <c r="B23" s="8">
        <f>IF(A23="","",IFERROR(INDEX(Ingredients!$B$5:$B$304,MATCH(A23,Ingredients!$A$5:$A$304,0)),""))</f>
        <v>0</v>
      </c>
      <c r="C23" s="27"/>
      <c r="D23" s="26"/>
      <c r="E23" s="30"/>
      <c r="F23" s="26"/>
      <c r="G23" s="8">
        <f>IF(OR(A23="",E23=""),"",TODAY()-E23)</f>
        <v>0</v>
      </c>
      <c r="H23" s="8">
        <f>IF(OR(A23="",G23="",F23=""),"",IF(G23&gt;=F23,"Yes","No"))</f>
        <v>0</v>
      </c>
      <c r="I23" s="27"/>
      <c r="J23" s="26"/>
      <c r="K23" s="27"/>
      <c r="L23" s="8">
        <f>IF(A23="","",IFERROR(AVERAGEIFS('Grocery Spending'!$I$5:$I$404,'Grocery Spending'!$E$5:$E$404,A23),""))</f>
        <v>0</v>
      </c>
      <c r="M23" s="8">
        <f>IF(A23="","",IFERROR(AVERAGEIFS('Grocery Spending'!$I$5:$I$404,'Grocery Spending'!$E$5:$E$404,A23,'Grocery Spending'!$A$5:$A$404,SUMPRODUCT(MAX(('Grocery Spending'!$E$5:$E$404=A23)*'Grocery Spending'!$A$5:$A$404))),""))</f>
        <v>0</v>
      </c>
      <c r="N23" s="8">
        <f>IF(OR(A23="",M23="",L23=""),"",M23-L23)</f>
        <v>0</v>
      </c>
      <c r="O23" s="8">
        <f>IF(A23="","",SUMIFS(Pantry!$C$5:$C$304,Pantry!$A$5:$A$304,A23))</f>
        <v>0</v>
      </c>
      <c r="P23" s="8">
        <f>IF(A23="","",COUNTIFS('Grocery List'!$A$5:$A$304,A23))</f>
        <v>0</v>
      </c>
      <c r="Q23" s="8">
        <f>IF(OR(A23="",G23=""),"",COUNTIFS($G$5:$G$104,"&gt;"&amp;G23)+1)</f>
        <v>0</v>
      </c>
      <c r="R23" s="8">
        <f>IF(A23="","",IF(H23="Yes","Buy this week",IF(O23&lt;=0,"Out of stock","In stock")))</f>
        <v>0</v>
      </c>
      <c r="S23" s="25"/>
    </row>
    <row r="24" spans="1:19">
      <c r="A24" s="7"/>
      <c r="B24" s="8">
        <f>IF(A24="","",IFERROR(INDEX(Ingredients!$B$5:$B$304,MATCH(A24,Ingredients!$A$5:$A$304,0)),""))</f>
        <v>0</v>
      </c>
      <c r="C24" s="27"/>
      <c r="D24" s="26"/>
      <c r="E24" s="30"/>
      <c r="F24" s="26"/>
      <c r="G24" s="8">
        <f>IF(OR(A24="",E24=""),"",TODAY()-E24)</f>
        <v>0</v>
      </c>
      <c r="H24" s="8">
        <f>IF(OR(A24="",G24="",F24=""),"",IF(G24&gt;=F24,"Yes","No"))</f>
        <v>0</v>
      </c>
      <c r="I24" s="27"/>
      <c r="J24" s="26"/>
      <c r="K24" s="27"/>
      <c r="L24" s="8">
        <f>IF(A24="","",IFERROR(AVERAGEIFS('Grocery Spending'!$I$5:$I$404,'Grocery Spending'!$E$5:$E$404,A24),""))</f>
        <v>0</v>
      </c>
      <c r="M24" s="8">
        <f>IF(A24="","",IFERROR(AVERAGEIFS('Grocery Spending'!$I$5:$I$404,'Grocery Spending'!$E$5:$E$404,A24,'Grocery Spending'!$A$5:$A$404,SUMPRODUCT(MAX(('Grocery Spending'!$E$5:$E$404=A24)*'Grocery Spending'!$A$5:$A$404))),""))</f>
        <v>0</v>
      </c>
      <c r="N24" s="8">
        <f>IF(OR(A24="",M24="",L24=""),"",M24-L24)</f>
        <v>0</v>
      </c>
      <c r="O24" s="8">
        <f>IF(A24="","",SUMIFS(Pantry!$C$5:$C$304,Pantry!$A$5:$A$304,A24))</f>
        <v>0</v>
      </c>
      <c r="P24" s="8">
        <f>IF(A24="","",COUNTIFS('Grocery List'!$A$5:$A$304,A24))</f>
        <v>0</v>
      </c>
      <c r="Q24" s="8">
        <f>IF(OR(A24="",G24=""),"",COUNTIFS($G$5:$G$104,"&gt;"&amp;G24)+1)</f>
        <v>0</v>
      </c>
      <c r="R24" s="8">
        <f>IF(A24="","",IF(H24="Yes","Buy this week",IF(O24&lt;=0,"Out of stock","In stock")))</f>
        <v>0</v>
      </c>
      <c r="S24" s="25"/>
    </row>
    <row r="25" spans="1:19">
      <c r="A25" s="7"/>
      <c r="B25" s="8">
        <f>IF(A25="","",IFERROR(INDEX(Ingredients!$B$5:$B$304,MATCH(A25,Ingredients!$A$5:$A$304,0)),""))</f>
        <v>0</v>
      </c>
      <c r="C25" s="27"/>
      <c r="D25" s="26"/>
      <c r="E25" s="30"/>
      <c r="F25" s="26"/>
      <c r="G25" s="8">
        <f>IF(OR(A25="",E25=""),"",TODAY()-E25)</f>
        <v>0</v>
      </c>
      <c r="H25" s="8">
        <f>IF(OR(A25="",G25="",F25=""),"",IF(G25&gt;=F25,"Yes","No"))</f>
        <v>0</v>
      </c>
      <c r="I25" s="27"/>
      <c r="J25" s="26"/>
      <c r="K25" s="27"/>
      <c r="L25" s="8">
        <f>IF(A25="","",IFERROR(AVERAGEIFS('Grocery Spending'!$I$5:$I$404,'Grocery Spending'!$E$5:$E$404,A25),""))</f>
        <v>0</v>
      </c>
      <c r="M25" s="8">
        <f>IF(A25="","",IFERROR(AVERAGEIFS('Grocery Spending'!$I$5:$I$404,'Grocery Spending'!$E$5:$E$404,A25,'Grocery Spending'!$A$5:$A$404,SUMPRODUCT(MAX(('Grocery Spending'!$E$5:$E$404=A25)*'Grocery Spending'!$A$5:$A$404))),""))</f>
        <v>0</v>
      </c>
      <c r="N25" s="8">
        <f>IF(OR(A25="",M25="",L25=""),"",M25-L25)</f>
        <v>0</v>
      </c>
      <c r="O25" s="8">
        <f>IF(A25="","",SUMIFS(Pantry!$C$5:$C$304,Pantry!$A$5:$A$304,A25))</f>
        <v>0</v>
      </c>
      <c r="P25" s="8">
        <f>IF(A25="","",COUNTIFS('Grocery List'!$A$5:$A$304,A25))</f>
        <v>0</v>
      </c>
      <c r="Q25" s="8">
        <f>IF(OR(A25="",G25=""),"",COUNTIFS($G$5:$G$104,"&gt;"&amp;G25)+1)</f>
        <v>0</v>
      </c>
      <c r="R25" s="8">
        <f>IF(A25="","",IF(H25="Yes","Buy this week",IF(O25&lt;=0,"Out of stock","In stock")))</f>
        <v>0</v>
      </c>
      <c r="S25" s="25"/>
    </row>
    <row r="26" spans="1:19">
      <c r="A26" s="7"/>
      <c r="B26" s="8">
        <f>IF(A26="","",IFERROR(INDEX(Ingredients!$B$5:$B$304,MATCH(A26,Ingredients!$A$5:$A$304,0)),""))</f>
        <v>0</v>
      </c>
      <c r="C26" s="27"/>
      <c r="D26" s="26"/>
      <c r="E26" s="30"/>
      <c r="F26" s="26"/>
      <c r="G26" s="8">
        <f>IF(OR(A26="",E26=""),"",TODAY()-E26)</f>
        <v>0</v>
      </c>
      <c r="H26" s="8">
        <f>IF(OR(A26="",G26="",F26=""),"",IF(G26&gt;=F26,"Yes","No"))</f>
        <v>0</v>
      </c>
      <c r="I26" s="27"/>
      <c r="J26" s="26"/>
      <c r="K26" s="27"/>
      <c r="L26" s="8">
        <f>IF(A26="","",IFERROR(AVERAGEIFS('Grocery Spending'!$I$5:$I$404,'Grocery Spending'!$E$5:$E$404,A26),""))</f>
        <v>0</v>
      </c>
      <c r="M26" s="8">
        <f>IF(A26="","",IFERROR(AVERAGEIFS('Grocery Spending'!$I$5:$I$404,'Grocery Spending'!$E$5:$E$404,A26,'Grocery Spending'!$A$5:$A$404,SUMPRODUCT(MAX(('Grocery Spending'!$E$5:$E$404=A26)*'Grocery Spending'!$A$5:$A$404))),""))</f>
        <v>0</v>
      </c>
      <c r="N26" s="8">
        <f>IF(OR(A26="",M26="",L26=""),"",M26-L26)</f>
        <v>0</v>
      </c>
      <c r="O26" s="8">
        <f>IF(A26="","",SUMIFS(Pantry!$C$5:$C$304,Pantry!$A$5:$A$304,A26))</f>
        <v>0</v>
      </c>
      <c r="P26" s="8">
        <f>IF(A26="","",COUNTIFS('Grocery List'!$A$5:$A$304,A26))</f>
        <v>0</v>
      </c>
      <c r="Q26" s="8">
        <f>IF(OR(A26="",G26=""),"",COUNTIFS($G$5:$G$104,"&gt;"&amp;G26)+1)</f>
        <v>0</v>
      </c>
      <c r="R26" s="8">
        <f>IF(A26="","",IF(H26="Yes","Buy this week",IF(O26&lt;=0,"Out of stock","In stock")))</f>
        <v>0</v>
      </c>
      <c r="S26" s="25"/>
    </row>
    <row r="27" spans="1:19">
      <c r="A27" s="7"/>
      <c r="B27" s="8">
        <f>IF(A27="","",IFERROR(INDEX(Ingredients!$B$5:$B$304,MATCH(A27,Ingredients!$A$5:$A$304,0)),""))</f>
        <v>0</v>
      </c>
      <c r="C27" s="27"/>
      <c r="D27" s="26"/>
      <c r="E27" s="30"/>
      <c r="F27" s="26"/>
      <c r="G27" s="8">
        <f>IF(OR(A27="",E27=""),"",TODAY()-E27)</f>
        <v>0</v>
      </c>
      <c r="H27" s="8">
        <f>IF(OR(A27="",G27="",F27=""),"",IF(G27&gt;=F27,"Yes","No"))</f>
        <v>0</v>
      </c>
      <c r="I27" s="27"/>
      <c r="J27" s="26"/>
      <c r="K27" s="27"/>
      <c r="L27" s="8">
        <f>IF(A27="","",IFERROR(AVERAGEIFS('Grocery Spending'!$I$5:$I$404,'Grocery Spending'!$E$5:$E$404,A27),""))</f>
        <v>0</v>
      </c>
      <c r="M27" s="8">
        <f>IF(A27="","",IFERROR(AVERAGEIFS('Grocery Spending'!$I$5:$I$404,'Grocery Spending'!$E$5:$E$404,A27,'Grocery Spending'!$A$5:$A$404,SUMPRODUCT(MAX(('Grocery Spending'!$E$5:$E$404=A27)*'Grocery Spending'!$A$5:$A$404))),""))</f>
        <v>0</v>
      </c>
      <c r="N27" s="8">
        <f>IF(OR(A27="",M27="",L27=""),"",M27-L27)</f>
        <v>0</v>
      </c>
      <c r="O27" s="8">
        <f>IF(A27="","",SUMIFS(Pantry!$C$5:$C$304,Pantry!$A$5:$A$304,A27))</f>
        <v>0</v>
      </c>
      <c r="P27" s="8">
        <f>IF(A27="","",COUNTIFS('Grocery List'!$A$5:$A$304,A27))</f>
        <v>0</v>
      </c>
      <c r="Q27" s="8">
        <f>IF(OR(A27="",G27=""),"",COUNTIFS($G$5:$G$104,"&gt;"&amp;G27)+1)</f>
        <v>0</v>
      </c>
      <c r="R27" s="8">
        <f>IF(A27="","",IF(H27="Yes","Buy this week",IF(O27&lt;=0,"Out of stock","In stock")))</f>
        <v>0</v>
      </c>
      <c r="S27" s="25"/>
    </row>
    <row r="28" spans="1:19">
      <c r="A28" s="7"/>
      <c r="B28" s="8">
        <f>IF(A28="","",IFERROR(INDEX(Ingredients!$B$5:$B$304,MATCH(A28,Ingredients!$A$5:$A$304,0)),""))</f>
        <v>0</v>
      </c>
      <c r="C28" s="27"/>
      <c r="D28" s="26"/>
      <c r="E28" s="30"/>
      <c r="F28" s="26"/>
      <c r="G28" s="8">
        <f>IF(OR(A28="",E28=""),"",TODAY()-E28)</f>
        <v>0</v>
      </c>
      <c r="H28" s="8">
        <f>IF(OR(A28="",G28="",F28=""),"",IF(G28&gt;=F28,"Yes","No"))</f>
        <v>0</v>
      </c>
      <c r="I28" s="27"/>
      <c r="J28" s="26"/>
      <c r="K28" s="27"/>
      <c r="L28" s="8">
        <f>IF(A28="","",IFERROR(AVERAGEIFS('Grocery Spending'!$I$5:$I$404,'Grocery Spending'!$E$5:$E$404,A28),""))</f>
        <v>0</v>
      </c>
      <c r="M28" s="8">
        <f>IF(A28="","",IFERROR(AVERAGEIFS('Grocery Spending'!$I$5:$I$404,'Grocery Spending'!$E$5:$E$404,A28,'Grocery Spending'!$A$5:$A$404,SUMPRODUCT(MAX(('Grocery Spending'!$E$5:$E$404=A28)*'Grocery Spending'!$A$5:$A$404))),""))</f>
        <v>0</v>
      </c>
      <c r="N28" s="8">
        <f>IF(OR(A28="",M28="",L28=""),"",M28-L28)</f>
        <v>0</v>
      </c>
      <c r="O28" s="8">
        <f>IF(A28="","",SUMIFS(Pantry!$C$5:$C$304,Pantry!$A$5:$A$304,A28))</f>
        <v>0</v>
      </c>
      <c r="P28" s="8">
        <f>IF(A28="","",COUNTIFS('Grocery List'!$A$5:$A$304,A28))</f>
        <v>0</v>
      </c>
      <c r="Q28" s="8">
        <f>IF(OR(A28="",G28=""),"",COUNTIFS($G$5:$G$104,"&gt;"&amp;G28)+1)</f>
        <v>0</v>
      </c>
      <c r="R28" s="8">
        <f>IF(A28="","",IF(H28="Yes","Buy this week",IF(O28&lt;=0,"Out of stock","In stock")))</f>
        <v>0</v>
      </c>
      <c r="S28" s="25"/>
    </row>
    <row r="29" spans="1:19">
      <c r="A29" s="7"/>
      <c r="B29" s="8">
        <f>IF(A29="","",IFERROR(INDEX(Ingredients!$B$5:$B$304,MATCH(A29,Ingredients!$A$5:$A$304,0)),""))</f>
        <v>0</v>
      </c>
      <c r="C29" s="27"/>
      <c r="D29" s="26"/>
      <c r="E29" s="30"/>
      <c r="F29" s="26"/>
      <c r="G29" s="8">
        <f>IF(OR(A29="",E29=""),"",TODAY()-E29)</f>
        <v>0</v>
      </c>
      <c r="H29" s="8">
        <f>IF(OR(A29="",G29="",F29=""),"",IF(G29&gt;=F29,"Yes","No"))</f>
        <v>0</v>
      </c>
      <c r="I29" s="27"/>
      <c r="J29" s="26"/>
      <c r="K29" s="27"/>
      <c r="L29" s="8">
        <f>IF(A29="","",IFERROR(AVERAGEIFS('Grocery Spending'!$I$5:$I$404,'Grocery Spending'!$E$5:$E$404,A29),""))</f>
        <v>0</v>
      </c>
      <c r="M29" s="8">
        <f>IF(A29="","",IFERROR(AVERAGEIFS('Grocery Spending'!$I$5:$I$404,'Grocery Spending'!$E$5:$E$404,A29,'Grocery Spending'!$A$5:$A$404,SUMPRODUCT(MAX(('Grocery Spending'!$E$5:$E$404=A29)*'Grocery Spending'!$A$5:$A$404))),""))</f>
        <v>0</v>
      </c>
      <c r="N29" s="8">
        <f>IF(OR(A29="",M29="",L29=""),"",M29-L29)</f>
        <v>0</v>
      </c>
      <c r="O29" s="8">
        <f>IF(A29="","",SUMIFS(Pantry!$C$5:$C$304,Pantry!$A$5:$A$304,A29))</f>
        <v>0</v>
      </c>
      <c r="P29" s="8">
        <f>IF(A29="","",COUNTIFS('Grocery List'!$A$5:$A$304,A29))</f>
        <v>0</v>
      </c>
      <c r="Q29" s="8">
        <f>IF(OR(A29="",G29=""),"",COUNTIFS($G$5:$G$104,"&gt;"&amp;G29)+1)</f>
        <v>0</v>
      </c>
      <c r="R29" s="8">
        <f>IF(A29="","",IF(H29="Yes","Buy this week",IF(O29&lt;=0,"Out of stock","In stock")))</f>
        <v>0</v>
      </c>
      <c r="S29" s="25"/>
    </row>
    <row r="30" spans="1:19">
      <c r="A30" s="7"/>
      <c r="B30" s="8">
        <f>IF(A30="","",IFERROR(INDEX(Ingredients!$B$5:$B$304,MATCH(A30,Ingredients!$A$5:$A$304,0)),""))</f>
        <v>0</v>
      </c>
      <c r="C30" s="27"/>
      <c r="D30" s="26"/>
      <c r="E30" s="30"/>
      <c r="F30" s="26"/>
      <c r="G30" s="8">
        <f>IF(OR(A30="",E30=""),"",TODAY()-E30)</f>
        <v>0</v>
      </c>
      <c r="H30" s="8">
        <f>IF(OR(A30="",G30="",F30=""),"",IF(G30&gt;=F30,"Yes","No"))</f>
        <v>0</v>
      </c>
      <c r="I30" s="27"/>
      <c r="J30" s="26"/>
      <c r="K30" s="27"/>
      <c r="L30" s="8">
        <f>IF(A30="","",IFERROR(AVERAGEIFS('Grocery Spending'!$I$5:$I$404,'Grocery Spending'!$E$5:$E$404,A30),""))</f>
        <v>0</v>
      </c>
      <c r="M30" s="8">
        <f>IF(A30="","",IFERROR(AVERAGEIFS('Grocery Spending'!$I$5:$I$404,'Grocery Spending'!$E$5:$E$404,A30,'Grocery Spending'!$A$5:$A$404,SUMPRODUCT(MAX(('Grocery Spending'!$E$5:$E$404=A30)*'Grocery Spending'!$A$5:$A$404))),""))</f>
        <v>0</v>
      </c>
      <c r="N30" s="8">
        <f>IF(OR(A30="",M30="",L30=""),"",M30-L30)</f>
        <v>0</v>
      </c>
      <c r="O30" s="8">
        <f>IF(A30="","",SUMIFS(Pantry!$C$5:$C$304,Pantry!$A$5:$A$304,A30))</f>
        <v>0</v>
      </c>
      <c r="P30" s="8">
        <f>IF(A30="","",COUNTIFS('Grocery List'!$A$5:$A$304,A30))</f>
        <v>0</v>
      </c>
      <c r="Q30" s="8">
        <f>IF(OR(A30="",G30=""),"",COUNTIFS($G$5:$G$104,"&gt;"&amp;G30)+1)</f>
        <v>0</v>
      </c>
      <c r="R30" s="8">
        <f>IF(A30="","",IF(H30="Yes","Buy this week",IF(O30&lt;=0,"Out of stock","In stock")))</f>
        <v>0</v>
      </c>
      <c r="S30" s="25"/>
    </row>
    <row r="31" spans="1:19">
      <c r="A31" s="7"/>
      <c r="B31" s="8">
        <f>IF(A31="","",IFERROR(INDEX(Ingredients!$B$5:$B$304,MATCH(A31,Ingredients!$A$5:$A$304,0)),""))</f>
        <v>0</v>
      </c>
      <c r="C31" s="27"/>
      <c r="D31" s="26"/>
      <c r="E31" s="30"/>
      <c r="F31" s="26"/>
      <c r="G31" s="8">
        <f>IF(OR(A31="",E31=""),"",TODAY()-E31)</f>
        <v>0</v>
      </c>
      <c r="H31" s="8">
        <f>IF(OR(A31="",G31="",F31=""),"",IF(G31&gt;=F31,"Yes","No"))</f>
        <v>0</v>
      </c>
      <c r="I31" s="27"/>
      <c r="J31" s="26"/>
      <c r="K31" s="27"/>
      <c r="L31" s="8">
        <f>IF(A31="","",IFERROR(AVERAGEIFS('Grocery Spending'!$I$5:$I$404,'Grocery Spending'!$E$5:$E$404,A31),""))</f>
        <v>0</v>
      </c>
      <c r="M31" s="8">
        <f>IF(A31="","",IFERROR(AVERAGEIFS('Grocery Spending'!$I$5:$I$404,'Grocery Spending'!$E$5:$E$404,A31,'Grocery Spending'!$A$5:$A$404,SUMPRODUCT(MAX(('Grocery Spending'!$E$5:$E$404=A31)*'Grocery Spending'!$A$5:$A$404))),""))</f>
        <v>0</v>
      </c>
      <c r="N31" s="8">
        <f>IF(OR(A31="",M31="",L31=""),"",M31-L31)</f>
        <v>0</v>
      </c>
      <c r="O31" s="8">
        <f>IF(A31="","",SUMIFS(Pantry!$C$5:$C$304,Pantry!$A$5:$A$304,A31))</f>
        <v>0</v>
      </c>
      <c r="P31" s="8">
        <f>IF(A31="","",COUNTIFS('Grocery List'!$A$5:$A$304,A31))</f>
        <v>0</v>
      </c>
      <c r="Q31" s="8">
        <f>IF(OR(A31="",G31=""),"",COUNTIFS($G$5:$G$104,"&gt;"&amp;G31)+1)</f>
        <v>0</v>
      </c>
      <c r="R31" s="8">
        <f>IF(A31="","",IF(H31="Yes","Buy this week",IF(O31&lt;=0,"Out of stock","In stock")))</f>
        <v>0</v>
      </c>
      <c r="S31" s="25"/>
    </row>
    <row r="32" spans="1:19">
      <c r="A32" s="7"/>
      <c r="B32" s="8">
        <f>IF(A32="","",IFERROR(INDEX(Ingredients!$B$5:$B$304,MATCH(A32,Ingredients!$A$5:$A$304,0)),""))</f>
        <v>0</v>
      </c>
      <c r="C32" s="27"/>
      <c r="D32" s="26"/>
      <c r="E32" s="30"/>
      <c r="F32" s="26"/>
      <c r="G32" s="8">
        <f>IF(OR(A32="",E32=""),"",TODAY()-E32)</f>
        <v>0</v>
      </c>
      <c r="H32" s="8">
        <f>IF(OR(A32="",G32="",F32=""),"",IF(G32&gt;=F32,"Yes","No"))</f>
        <v>0</v>
      </c>
      <c r="I32" s="27"/>
      <c r="J32" s="26"/>
      <c r="K32" s="27"/>
      <c r="L32" s="8">
        <f>IF(A32="","",IFERROR(AVERAGEIFS('Grocery Spending'!$I$5:$I$404,'Grocery Spending'!$E$5:$E$404,A32),""))</f>
        <v>0</v>
      </c>
      <c r="M32" s="8">
        <f>IF(A32="","",IFERROR(AVERAGEIFS('Grocery Spending'!$I$5:$I$404,'Grocery Spending'!$E$5:$E$404,A32,'Grocery Spending'!$A$5:$A$404,SUMPRODUCT(MAX(('Grocery Spending'!$E$5:$E$404=A32)*'Grocery Spending'!$A$5:$A$404))),""))</f>
        <v>0</v>
      </c>
      <c r="N32" s="8">
        <f>IF(OR(A32="",M32="",L32=""),"",M32-L32)</f>
        <v>0</v>
      </c>
      <c r="O32" s="8">
        <f>IF(A32="","",SUMIFS(Pantry!$C$5:$C$304,Pantry!$A$5:$A$304,A32))</f>
        <v>0</v>
      </c>
      <c r="P32" s="8">
        <f>IF(A32="","",COUNTIFS('Grocery List'!$A$5:$A$304,A32))</f>
        <v>0</v>
      </c>
      <c r="Q32" s="8">
        <f>IF(OR(A32="",G32=""),"",COUNTIFS($G$5:$G$104,"&gt;"&amp;G32)+1)</f>
        <v>0</v>
      </c>
      <c r="R32" s="8">
        <f>IF(A32="","",IF(H32="Yes","Buy this week",IF(O32&lt;=0,"Out of stock","In stock")))</f>
        <v>0</v>
      </c>
      <c r="S32" s="25"/>
    </row>
    <row r="33" spans="1:19">
      <c r="A33" s="7"/>
      <c r="B33" s="8">
        <f>IF(A33="","",IFERROR(INDEX(Ingredients!$B$5:$B$304,MATCH(A33,Ingredients!$A$5:$A$304,0)),""))</f>
        <v>0</v>
      </c>
      <c r="C33" s="27"/>
      <c r="D33" s="26"/>
      <c r="E33" s="30"/>
      <c r="F33" s="26"/>
      <c r="G33" s="8">
        <f>IF(OR(A33="",E33=""),"",TODAY()-E33)</f>
        <v>0</v>
      </c>
      <c r="H33" s="8">
        <f>IF(OR(A33="",G33="",F33=""),"",IF(G33&gt;=F33,"Yes","No"))</f>
        <v>0</v>
      </c>
      <c r="I33" s="27"/>
      <c r="J33" s="26"/>
      <c r="K33" s="27"/>
      <c r="L33" s="8">
        <f>IF(A33="","",IFERROR(AVERAGEIFS('Grocery Spending'!$I$5:$I$404,'Grocery Spending'!$E$5:$E$404,A33),""))</f>
        <v>0</v>
      </c>
      <c r="M33" s="8">
        <f>IF(A33="","",IFERROR(AVERAGEIFS('Grocery Spending'!$I$5:$I$404,'Grocery Spending'!$E$5:$E$404,A33,'Grocery Spending'!$A$5:$A$404,SUMPRODUCT(MAX(('Grocery Spending'!$E$5:$E$404=A33)*'Grocery Spending'!$A$5:$A$404))),""))</f>
        <v>0</v>
      </c>
      <c r="N33" s="8">
        <f>IF(OR(A33="",M33="",L33=""),"",M33-L33)</f>
        <v>0</v>
      </c>
      <c r="O33" s="8">
        <f>IF(A33="","",SUMIFS(Pantry!$C$5:$C$304,Pantry!$A$5:$A$304,A33))</f>
        <v>0</v>
      </c>
      <c r="P33" s="8">
        <f>IF(A33="","",COUNTIFS('Grocery List'!$A$5:$A$304,A33))</f>
        <v>0</v>
      </c>
      <c r="Q33" s="8">
        <f>IF(OR(A33="",G33=""),"",COUNTIFS($G$5:$G$104,"&gt;"&amp;G33)+1)</f>
        <v>0</v>
      </c>
      <c r="R33" s="8">
        <f>IF(A33="","",IF(H33="Yes","Buy this week",IF(O33&lt;=0,"Out of stock","In stock")))</f>
        <v>0</v>
      </c>
      <c r="S33" s="25"/>
    </row>
    <row r="34" spans="1:19">
      <c r="A34" s="7"/>
      <c r="B34" s="8">
        <f>IF(A34="","",IFERROR(INDEX(Ingredients!$B$5:$B$304,MATCH(A34,Ingredients!$A$5:$A$304,0)),""))</f>
        <v>0</v>
      </c>
      <c r="C34" s="27"/>
      <c r="D34" s="26"/>
      <c r="E34" s="30"/>
      <c r="F34" s="26"/>
      <c r="G34" s="8">
        <f>IF(OR(A34="",E34=""),"",TODAY()-E34)</f>
        <v>0</v>
      </c>
      <c r="H34" s="8">
        <f>IF(OR(A34="",G34="",F34=""),"",IF(G34&gt;=F34,"Yes","No"))</f>
        <v>0</v>
      </c>
      <c r="I34" s="27"/>
      <c r="J34" s="26"/>
      <c r="K34" s="27"/>
      <c r="L34" s="8">
        <f>IF(A34="","",IFERROR(AVERAGEIFS('Grocery Spending'!$I$5:$I$404,'Grocery Spending'!$E$5:$E$404,A34),""))</f>
        <v>0</v>
      </c>
      <c r="M34" s="8">
        <f>IF(A34="","",IFERROR(AVERAGEIFS('Grocery Spending'!$I$5:$I$404,'Grocery Spending'!$E$5:$E$404,A34,'Grocery Spending'!$A$5:$A$404,SUMPRODUCT(MAX(('Grocery Spending'!$E$5:$E$404=A34)*'Grocery Spending'!$A$5:$A$404))),""))</f>
        <v>0</v>
      </c>
      <c r="N34" s="8">
        <f>IF(OR(A34="",M34="",L34=""),"",M34-L34)</f>
        <v>0</v>
      </c>
      <c r="O34" s="8">
        <f>IF(A34="","",SUMIFS(Pantry!$C$5:$C$304,Pantry!$A$5:$A$304,A34))</f>
        <v>0</v>
      </c>
      <c r="P34" s="8">
        <f>IF(A34="","",COUNTIFS('Grocery List'!$A$5:$A$304,A34))</f>
        <v>0</v>
      </c>
      <c r="Q34" s="8">
        <f>IF(OR(A34="",G34=""),"",COUNTIFS($G$5:$G$104,"&gt;"&amp;G34)+1)</f>
        <v>0</v>
      </c>
      <c r="R34" s="8">
        <f>IF(A34="","",IF(H34="Yes","Buy this week",IF(O34&lt;=0,"Out of stock","In stock")))</f>
        <v>0</v>
      </c>
      <c r="S34" s="25"/>
    </row>
    <row r="35" spans="1:19">
      <c r="A35" s="7"/>
      <c r="B35" s="8">
        <f>IF(A35="","",IFERROR(INDEX(Ingredients!$B$5:$B$304,MATCH(A35,Ingredients!$A$5:$A$304,0)),""))</f>
        <v>0</v>
      </c>
      <c r="C35" s="27"/>
      <c r="D35" s="26"/>
      <c r="E35" s="30"/>
      <c r="F35" s="26"/>
      <c r="G35" s="8">
        <f>IF(OR(A35="",E35=""),"",TODAY()-E35)</f>
        <v>0</v>
      </c>
      <c r="H35" s="8">
        <f>IF(OR(A35="",G35="",F35=""),"",IF(G35&gt;=F35,"Yes","No"))</f>
        <v>0</v>
      </c>
      <c r="I35" s="27"/>
      <c r="J35" s="26"/>
      <c r="K35" s="27"/>
      <c r="L35" s="8">
        <f>IF(A35="","",IFERROR(AVERAGEIFS('Grocery Spending'!$I$5:$I$404,'Grocery Spending'!$E$5:$E$404,A35),""))</f>
        <v>0</v>
      </c>
      <c r="M35" s="8">
        <f>IF(A35="","",IFERROR(AVERAGEIFS('Grocery Spending'!$I$5:$I$404,'Grocery Spending'!$E$5:$E$404,A35,'Grocery Spending'!$A$5:$A$404,SUMPRODUCT(MAX(('Grocery Spending'!$E$5:$E$404=A35)*'Grocery Spending'!$A$5:$A$404))),""))</f>
        <v>0</v>
      </c>
      <c r="N35" s="8">
        <f>IF(OR(A35="",M35="",L35=""),"",M35-L35)</f>
        <v>0</v>
      </c>
      <c r="O35" s="8">
        <f>IF(A35="","",SUMIFS(Pantry!$C$5:$C$304,Pantry!$A$5:$A$304,A35))</f>
        <v>0</v>
      </c>
      <c r="P35" s="8">
        <f>IF(A35="","",COUNTIFS('Grocery List'!$A$5:$A$304,A35))</f>
        <v>0</v>
      </c>
      <c r="Q35" s="8">
        <f>IF(OR(A35="",G35=""),"",COUNTIFS($G$5:$G$104,"&gt;"&amp;G35)+1)</f>
        <v>0</v>
      </c>
      <c r="R35" s="8">
        <f>IF(A35="","",IF(H35="Yes","Buy this week",IF(O35&lt;=0,"Out of stock","In stock")))</f>
        <v>0</v>
      </c>
      <c r="S35" s="25"/>
    </row>
    <row r="36" spans="1:19">
      <c r="A36" s="7"/>
      <c r="B36" s="8">
        <f>IF(A36="","",IFERROR(INDEX(Ingredients!$B$5:$B$304,MATCH(A36,Ingredients!$A$5:$A$304,0)),""))</f>
        <v>0</v>
      </c>
      <c r="C36" s="27"/>
      <c r="D36" s="26"/>
      <c r="E36" s="30"/>
      <c r="F36" s="26"/>
      <c r="G36" s="8">
        <f>IF(OR(A36="",E36=""),"",TODAY()-E36)</f>
        <v>0</v>
      </c>
      <c r="H36" s="8">
        <f>IF(OR(A36="",G36="",F36=""),"",IF(G36&gt;=F36,"Yes","No"))</f>
        <v>0</v>
      </c>
      <c r="I36" s="27"/>
      <c r="J36" s="26"/>
      <c r="K36" s="27"/>
      <c r="L36" s="8">
        <f>IF(A36="","",IFERROR(AVERAGEIFS('Grocery Spending'!$I$5:$I$404,'Grocery Spending'!$E$5:$E$404,A36),""))</f>
        <v>0</v>
      </c>
      <c r="M36" s="8">
        <f>IF(A36="","",IFERROR(AVERAGEIFS('Grocery Spending'!$I$5:$I$404,'Grocery Spending'!$E$5:$E$404,A36,'Grocery Spending'!$A$5:$A$404,SUMPRODUCT(MAX(('Grocery Spending'!$E$5:$E$404=A36)*'Grocery Spending'!$A$5:$A$404))),""))</f>
        <v>0</v>
      </c>
      <c r="N36" s="8">
        <f>IF(OR(A36="",M36="",L36=""),"",M36-L36)</f>
        <v>0</v>
      </c>
      <c r="O36" s="8">
        <f>IF(A36="","",SUMIFS(Pantry!$C$5:$C$304,Pantry!$A$5:$A$304,A36))</f>
        <v>0</v>
      </c>
      <c r="P36" s="8">
        <f>IF(A36="","",COUNTIFS('Grocery List'!$A$5:$A$304,A36))</f>
        <v>0</v>
      </c>
      <c r="Q36" s="8">
        <f>IF(OR(A36="",G36=""),"",COUNTIFS($G$5:$G$104,"&gt;"&amp;G36)+1)</f>
        <v>0</v>
      </c>
      <c r="R36" s="8">
        <f>IF(A36="","",IF(H36="Yes","Buy this week",IF(O36&lt;=0,"Out of stock","In stock")))</f>
        <v>0</v>
      </c>
      <c r="S36" s="25"/>
    </row>
    <row r="37" spans="1:19">
      <c r="A37" s="7"/>
      <c r="B37" s="8">
        <f>IF(A37="","",IFERROR(INDEX(Ingredients!$B$5:$B$304,MATCH(A37,Ingredients!$A$5:$A$304,0)),""))</f>
        <v>0</v>
      </c>
      <c r="C37" s="27"/>
      <c r="D37" s="26"/>
      <c r="E37" s="30"/>
      <c r="F37" s="26"/>
      <c r="G37" s="8">
        <f>IF(OR(A37="",E37=""),"",TODAY()-E37)</f>
        <v>0</v>
      </c>
      <c r="H37" s="8">
        <f>IF(OR(A37="",G37="",F37=""),"",IF(G37&gt;=F37,"Yes","No"))</f>
        <v>0</v>
      </c>
      <c r="I37" s="27"/>
      <c r="J37" s="26"/>
      <c r="K37" s="27"/>
      <c r="L37" s="8">
        <f>IF(A37="","",IFERROR(AVERAGEIFS('Grocery Spending'!$I$5:$I$404,'Grocery Spending'!$E$5:$E$404,A37),""))</f>
        <v>0</v>
      </c>
      <c r="M37" s="8">
        <f>IF(A37="","",IFERROR(AVERAGEIFS('Grocery Spending'!$I$5:$I$404,'Grocery Spending'!$E$5:$E$404,A37,'Grocery Spending'!$A$5:$A$404,SUMPRODUCT(MAX(('Grocery Spending'!$E$5:$E$404=A37)*'Grocery Spending'!$A$5:$A$404))),""))</f>
        <v>0</v>
      </c>
      <c r="N37" s="8">
        <f>IF(OR(A37="",M37="",L37=""),"",M37-L37)</f>
        <v>0</v>
      </c>
      <c r="O37" s="8">
        <f>IF(A37="","",SUMIFS(Pantry!$C$5:$C$304,Pantry!$A$5:$A$304,A37))</f>
        <v>0</v>
      </c>
      <c r="P37" s="8">
        <f>IF(A37="","",COUNTIFS('Grocery List'!$A$5:$A$304,A37))</f>
        <v>0</v>
      </c>
      <c r="Q37" s="8">
        <f>IF(OR(A37="",G37=""),"",COUNTIFS($G$5:$G$104,"&gt;"&amp;G37)+1)</f>
        <v>0</v>
      </c>
      <c r="R37" s="8">
        <f>IF(A37="","",IF(H37="Yes","Buy this week",IF(O37&lt;=0,"Out of stock","In stock")))</f>
        <v>0</v>
      </c>
      <c r="S37" s="25"/>
    </row>
    <row r="38" spans="1:19">
      <c r="A38" s="7"/>
      <c r="B38" s="8">
        <f>IF(A38="","",IFERROR(INDEX(Ingredients!$B$5:$B$304,MATCH(A38,Ingredients!$A$5:$A$304,0)),""))</f>
        <v>0</v>
      </c>
      <c r="C38" s="27"/>
      <c r="D38" s="26"/>
      <c r="E38" s="30"/>
      <c r="F38" s="26"/>
      <c r="G38" s="8">
        <f>IF(OR(A38="",E38=""),"",TODAY()-E38)</f>
        <v>0</v>
      </c>
      <c r="H38" s="8">
        <f>IF(OR(A38="",G38="",F38=""),"",IF(G38&gt;=F38,"Yes","No"))</f>
        <v>0</v>
      </c>
      <c r="I38" s="27"/>
      <c r="J38" s="26"/>
      <c r="K38" s="27"/>
      <c r="L38" s="8">
        <f>IF(A38="","",IFERROR(AVERAGEIFS('Grocery Spending'!$I$5:$I$404,'Grocery Spending'!$E$5:$E$404,A38),""))</f>
        <v>0</v>
      </c>
      <c r="M38" s="8">
        <f>IF(A38="","",IFERROR(AVERAGEIFS('Grocery Spending'!$I$5:$I$404,'Grocery Spending'!$E$5:$E$404,A38,'Grocery Spending'!$A$5:$A$404,SUMPRODUCT(MAX(('Grocery Spending'!$E$5:$E$404=A38)*'Grocery Spending'!$A$5:$A$404))),""))</f>
        <v>0</v>
      </c>
      <c r="N38" s="8">
        <f>IF(OR(A38="",M38="",L38=""),"",M38-L38)</f>
        <v>0</v>
      </c>
      <c r="O38" s="8">
        <f>IF(A38="","",SUMIFS(Pantry!$C$5:$C$304,Pantry!$A$5:$A$304,A38))</f>
        <v>0</v>
      </c>
      <c r="P38" s="8">
        <f>IF(A38="","",COUNTIFS('Grocery List'!$A$5:$A$304,A38))</f>
        <v>0</v>
      </c>
      <c r="Q38" s="8">
        <f>IF(OR(A38="",G38=""),"",COUNTIFS($G$5:$G$104,"&gt;"&amp;G38)+1)</f>
        <v>0</v>
      </c>
      <c r="R38" s="8">
        <f>IF(A38="","",IF(H38="Yes","Buy this week",IF(O38&lt;=0,"Out of stock","In stock")))</f>
        <v>0</v>
      </c>
      <c r="S38" s="25"/>
    </row>
    <row r="39" spans="1:19">
      <c r="A39" s="7"/>
      <c r="B39" s="8">
        <f>IF(A39="","",IFERROR(INDEX(Ingredients!$B$5:$B$304,MATCH(A39,Ingredients!$A$5:$A$304,0)),""))</f>
        <v>0</v>
      </c>
      <c r="C39" s="27"/>
      <c r="D39" s="26"/>
      <c r="E39" s="30"/>
      <c r="F39" s="26"/>
      <c r="G39" s="8">
        <f>IF(OR(A39="",E39=""),"",TODAY()-E39)</f>
        <v>0</v>
      </c>
      <c r="H39" s="8">
        <f>IF(OR(A39="",G39="",F39=""),"",IF(G39&gt;=F39,"Yes","No"))</f>
        <v>0</v>
      </c>
      <c r="I39" s="27"/>
      <c r="J39" s="26"/>
      <c r="K39" s="27"/>
      <c r="L39" s="8">
        <f>IF(A39="","",IFERROR(AVERAGEIFS('Grocery Spending'!$I$5:$I$404,'Grocery Spending'!$E$5:$E$404,A39),""))</f>
        <v>0</v>
      </c>
      <c r="M39" s="8">
        <f>IF(A39="","",IFERROR(AVERAGEIFS('Grocery Spending'!$I$5:$I$404,'Grocery Spending'!$E$5:$E$404,A39,'Grocery Spending'!$A$5:$A$404,SUMPRODUCT(MAX(('Grocery Spending'!$E$5:$E$404=A39)*'Grocery Spending'!$A$5:$A$404))),""))</f>
        <v>0</v>
      </c>
      <c r="N39" s="8">
        <f>IF(OR(A39="",M39="",L39=""),"",M39-L39)</f>
        <v>0</v>
      </c>
      <c r="O39" s="8">
        <f>IF(A39="","",SUMIFS(Pantry!$C$5:$C$304,Pantry!$A$5:$A$304,A39))</f>
        <v>0</v>
      </c>
      <c r="P39" s="8">
        <f>IF(A39="","",COUNTIFS('Grocery List'!$A$5:$A$304,A39))</f>
        <v>0</v>
      </c>
      <c r="Q39" s="8">
        <f>IF(OR(A39="",G39=""),"",COUNTIFS($G$5:$G$104,"&gt;"&amp;G39)+1)</f>
        <v>0</v>
      </c>
      <c r="R39" s="8">
        <f>IF(A39="","",IF(H39="Yes","Buy this week",IF(O39&lt;=0,"Out of stock","In stock")))</f>
        <v>0</v>
      </c>
      <c r="S39" s="25"/>
    </row>
    <row r="40" spans="1:19">
      <c r="A40" s="7"/>
      <c r="B40" s="8">
        <f>IF(A40="","",IFERROR(INDEX(Ingredients!$B$5:$B$304,MATCH(A40,Ingredients!$A$5:$A$304,0)),""))</f>
        <v>0</v>
      </c>
      <c r="C40" s="27"/>
      <c r="D40" s="26"/>
      <c r="E40" s="30"/>
      <c r="F40" s="26"/>
      <c r="G40" s="8">
        <f>IF(OR(A40="",E40=""),"",TODAY()-E40)</f>
        <v>0</v>
      </c>
      <c r="H40" s="8">
        <f>IF(OR(A40="",G40="",F40=""),"",IF(G40&gt;=F40,"Yes","No"))</f>
        <v>0</v>
      </c>
      <c r="I40" s="27"/>
      <c r="J40" s="26"/>
      <c r="K40" s="27"/>
      <c r="L40" s="8">
        <f>IF(A40="","",IFERROR(AVERAGEIFS('Grocery Spending'!$I$5:$I$404,'Grocery Spending'!$E$5:$E$404,A40),""))</f>
        <v>0</v>
      </c>
      <c r="M40" s="8">
        <f>IF(A40="","",IFERROR(AVERAGEIFS('Grocery Spending'!$I$5:$I$404,'Grocery Spending'!$E$5:$E$404,A40,'Grocery Spending'!$A$5:$A$404,SUMPRODUCT(MAX(('Grocery Spending'!$E$5:$E$404=A40)*'Grocery Spending'!$A$5:$A$404))),""))</f>
        <v>0</v>
      </c>
      <c r="N40" s="8">
        <f>IF(OR(A40="",M40="",L40=""),"",M40-L40)</f>
        <v>0</v>
      </c>
      <c r="O40" s="8">
        <f>IF(A40="","",SUMIFS(Pantry!$C$5:$C$304,Pantry!$A$5:$A$304,A40))</f>
        <v>0</v>
      </c>
      <c r="P40" s="8">
        <f>IF(A40="","",COUNTIFS('Grocery List'!$A$5:$A$304,A40))</f>
        <v>0</v>
      </c>
      <c r="Q40" s="8">
        <f>IF(OR(A40="",G40=""),"",COUNTIFS($G$5:$G$104,"&gt;"&amp;G40)+1)</f>
        <v>0</v>
      </c>
      <c r="R40" s="8">
        <f>IF(A40="","",IF(H40="Yes","Buy this week",IF(O40&lt;=0,"Out of stock","In stock")))</f>
        <v>0</v>
      </c>
      <c r="S40" s="25"/>
    </row>
    <row r="41" spans="1:19">
      <c r="A41" s="7"/>
      <c r="B41" s="8">
        <f>IF(A41="","",IFERROR(INDEX(Ingredients!$B$5:$B$304,MATCH(A41,Ingredients!$A$5:$A$304,0)),""))</f>
        <v>0</v>
      </c>
      <c r="C41" s="27"/>
      <c r="D41" s="26"/>
      <c r="E41" s="30"/>
      <c r="F41" s="26"/>
      <c r="G41" s="8">
        <f>IF(OR(A41="",E41=""),"",TODAY()-E41)</f>
        <v>0</v>
      </c>
      <c r="H41" s="8">
        <f>IF(OR(A41="",G41="",F41=""),"",IF(G41&gt;=F41,"Yes","No"))</f>
        <v>0</v>
      </c>
      <c r="I41" s="27"/>
      <c r="J41" s="26"/>
      <c r="K41" s="27"/>
      <c r="L41" s="8">
        <f>IF(A41="","",IFERROR(AVERAGEIFS('Grocery Spending'!$I$5:$I$404,'Grocery Spending'!$E$5:$E$404,A41),""))</f>
        <v>0</v>
      </c>
      <c r="M41" s="8">
        <f>IF(A41="","",IFERROR(AVERAGEIFS('Grocery Spending'!$I$5:$I$404,'Grocery Spending'!$E$5:$E$404,A41,'Grocery Spending'!$A$5:$A$404,SUMPRODUCT(MAX(('Grocery Spending'!$E$5:$E$404=A41)*'Grocery Spending'!$A$5:$A$404))),""))</f>
        <v>0</v>
      </c>
      <c r="N41" s="8">
        <f>IF(OR(A41="",M41="",L41=""),"",M41-L41)</f>
        <v>0</v>
      </c>
      <c r="O41" s="8">
        <f>IF(A41="","",SUMIFS(Pantry!$C$5:$C$304,Pantry!$A$5:$A$304,A41))</f>
        <v>0</v>
      </c>
      <c r="P41" s="8">
        <f>IF(A41="","",COUNTIFS('Grocery List'!$A$5:$A$304,A41))</f>
        <v>0</v>
      </c>
      <c r="Q41" s="8">
        <f>IF(OR(A41="",G41=""),"",COUNTIFS($G$5:$G$104,"&gt;"&amp;G41)+1)</f>
        <v>0</v>
      </c>
      <c r="R41" s="8">
        <f>IF(A41="","",IF(H41="Yes","Buy this week",IF(O41&lt;=0,"Out of stock","In stock")))</f>
        <v>0</v>
      </c>
      <c r="S41" s="25"/>
    </row>
    <row r="42" spans="1:19">
      <c r="A42" s="7"/>
      <c r="B42" s="8">
        <f>IF(A42="","",IFERROR(INDEX(Ingredients!$B$5:$B$304,MATCH(A42,Ingredients!$A$5:$A$304,0)),""))</f>
        <v>0</v>
      </c>
      <c r="C42" s="27"/>
      <c r="D42" s="26"/>
      <c r="E42" s="30"/>
      <c r="F42" s="26"/>
      <c r="G42" s="8">
        <f>IF(OR(A42="",E42=""),"",TODAY()-E42)</f>
        <v>0</v>
      </c>
      <c r="H42" s="8">
        <f>IF(OR(A42="",G42="",F42=""),"",IF(G42&gt;=F42,"Yes","No"))</f>
        <v>0</v>
      </c>
      <c r="I42" s="27"/>
      <c r="J42" s="26"/>
      <c r="K42" s="27"/>
      <c r="L42" s="8">
        <f>IF(A42="","",IFERROR(AVERAGEIFS('Grocery Spending'!$I$5:$I$404,'Grocery Spending'!$E$5:$E$404,A42),""))</f>
        <v>0</v>
      </c>
      <c r="M42" s="8">
        <f>IF(A42="","",IFERROR(AVERAGEIFS('Grocery Spending'!$I$5:$I$404,'Grocery Spending'!$E$5:$E$404,A42,'Grocery Spending'!$A$5:$A$404,SUMPRODUCT(MAX(('Grocery Spending'!$E$5:$E$404=A42)*'Grocery Spending'!$A$5:$A$404))),""))</f>
        <v>0</v>
      </c>
      <c r="N42" s="8">
        <f>IF(OR(A42="",M42="",L42=""),"",M42-L42)</f>
        <v>0</v>
      </c>
      <c r="O42" s="8">
        <f>IF(A42="","",SUMIFS(Pantry!$C$5:$C$304,Pantry!$A$5:$A$304,A42))</f>
        <v>0</v>
      </c>
      <c r="P42" s="8">
        <f>IF(A42="","",COUNTIFS('Grocery List'!$A$5:$A$304,A42))</f>
        <v>0</v>
      </c>
      <c r="Q42" s="8">
        <f>IF(OR(A42="",G42=""),"",COUNTIFS($G$5:$G$104,"&gt;"&amp;G42)+1)</f>
        <v>0</v>
      </c>
      <c r="R42" s="8">
        <f>IF(A42="","",IF(H42="Yes","Buy this week",IF(O42&lt;=0,"Out of stock","In stock")))</f>
        <v>0</v>
      </c>
      <c r="S42" s="25"/>
    </row>
    <row r="43" spans="1:19">
      <c r="A43" s="7"/>
      <c r="B43" s="8">
        <f>IF(A43="","",IFERROR(INDEX(Ingredients!$B$5:$B$304,MATCH(A43,Ingredients!$A$5:$A$304,0)),""))</f>
        <v>0</v>
      </c>
      <c r="C43" s="27"/>
      <c r="D43" s="26"/>
      <c r="E43" s="30"/>
      <c r="F43" s="26"/>
      <c r="G43" s="8">
        <f>IF(OR(A43="",E43=""),"",TODAY()-E43)</f>
        <v>0</v>
      </c>
      <c r="H43" s="8">
        <f>IF(OR(A43="",G43="",F43=""),"",IF(G43&gt;=F43,"Yes","No"))</f>
        <v>0</v>
      </c>
      <c r="I43" s="27"/>
      <c r="J43" s="26"/>
      <c r="K43" s="27"/>
      <c r="L43" s="8">
        <f>IF(A43="","",IFERROR(AVERAGEIFS('Grocery Spending'!$I$5:$I$404,'Grocery Spending'!$E$5:$E$404,A43),""))</f>
        <v>0</v>
      </c>
      <c r="M43" s="8">
        <f>IF(A43="","",IFERROR(AVERAGEIFS('Grocery Spending'!$I$5:$I$404,'Grocery Spending'!$E$5:$E$404,A43,'Grocery Spending'!$A$5:$A$404,SUMPRODUCT(MAX(('Grocery Spending'!$E$5:$E$404=A43)*'Grocery Spending'!$A$5:$A$404))),""))</f>
        <v>0</v>
      </c>
      <c r="N43" s="8">
        <f>IF(OR(A43="",M43="",L43=""),"",M43-L43)</f>
        <v>0</v>
      </c>
      <c r="O43" s="8">
        <f>IF(A43="","",SUMIFS(Pantry!$C$5:$C$304,Pantry!$A$5:$A$304,A43))</f>
        <v>0</v>
      </c>
      <c r="P43" s="8">
        <f>IF(A43="","",COUNTIFS('Grocery List'!$A$5:$A$304,A43))</f>
        <v>0</v>
      </c>
      <c r="Q43" s="8">
        <f>IF(OR(A43="",G43=""),"",COUNTIFS($G$5:$G$104,"&gt;"&amp;G43)+1)</f>
        <v>0</v>
      </c>
      <c r="R43" s="8">
        <f>IF(A43="","",IF(H43="Yes","Buy this week",IF(O43&lt;=0,"Out of stock","In stock")))</f>
        <v>0</v>
      </c>
      <c r="S43" s="25"/>
    </row>
    <row r="44" spans="1:19">
      <c r="A44" s="7"/>
      <c r="B44" s="8">
        <f>IF(A44="","",IFERROR(INDEX(Ingredients!$B$5:$B$304,MATCH(A44,Ingredients!$A$5:$A$304,0)),""))</f>
        <v>0</v>
      </c>
      <c r="C44" s="27"/>
      <c r="D44" s="26"/>
      <c r="E44" s="30"/>
      <c r="F44" s="26"/>
      <c r="G44" s="8">
        <f>IF(OR(A44="",E44=""),"",TODAY()-E44)</f>
        <v>0</v>
      </c>
      <c r="H44" s="8">
        <f>IF(OR(A44="",G44="",F44=""),"",IF(G44&gt;=F44,"Yes","No"))</f>
        <v>0</v>
      </c>
      <c r="I44" s="27"/>
      <c r="J44" s="26"/>
      <c r="K44" s="27"/>
      <c r="L44" s="8">
        <f>IF(A44="","",IFERROR(AVERAGEIFS('Grocery Spending'!$I$5:$I$404,'Grocery Spending'!$E$5:$E$404,A44),""))</f>
        <v>0</v>
      </c>
      <c r="M44" s="8">
        <f>IF(A44="","",IFERROR(AVERAGEIFS('Grocery Spending'!$I$5:$I$404,'Grocery Spending'!$E$5:$E$404,A44,'Grocery Spending'!$A$5:$A$404,SUMPRODUCT(MAX(('Grocery Spending'!$E$5:$E$404=A44)*'Grocery Spending'!$A$5:$A$404))),""))</f>
        <v>0</v>
      </c>
      <c r="N44" s="8">
        <f>IF(OR(A44="",M44="",L44=""),"",M44-L44)</f>
        <v>0</v>
      </c>
      <c r="O44" s="8">
        <f>IF(A44="","",SUMIFS(Pantry!$C$5:$C$304,Pantry!$A$5:$A$304,A44))</f>
        <v>0</v>
      </c>
      <c r="P44" s="8">
        <f>IF(A44="","",COUNTIFS('Grocery List'!$A$5:$A$304,A44))</f>
        <v>0</v>
      </c>
      <c r="Q44" s="8">
        <f>IF(OR(A44="",G44=""),"",COUNTIFS($G$5:$G$104,"&gt;"&amp;G44)+1)</f>
        <v>0</v>
      </c>
      <c r="R44" s="8">
        <f>IF(A44="","",IF(H44="Yes","Buy this week",IF(O44&lt;=0,"Out of stock","In stock")))</f>
        <v>0</v>
      </c>
      <c r="S44" s="25"/>
    </row>
    <row r="45" spans="1:19">
      <c r="A45" s="7"/>
      <c r="B45" s="8">
        <f>IF(A45="","",IFERROR(INDEX(Ingredients!$B$5:$B$304,MATCH(A45,Ingredients!$A$5:$A$304,0)),""))</f>
        <v>0</v>
      </c>
      <c r="C45" s="27"/>
      <c r="D45" s="26"/>
      <c r="E45" s="30"/>
      <c r="F45" s="26"/>
      <c r="G45" s="8">
        <f>IF(OR(A45="",E45=""),"",TODAY()-E45)</f>
        <v>0</v>
      </c>
      <c r="H45" s="8">
        <f>IF(OR(A45="",G45="",F45=""),"",IF(G45&gt;=F45,"Yes","No"))</f>
        <v>0</v>
      </c>
      <c r="I45" s="27"/>
      <c r="J45" s="26"/>
      <c r="K45" s="27"/>
      <c r="L45" s="8">
        <f>IF(A45="","",IFERROR(AVERAGEIFS('Grocery Spending'!$I$5:$I$404,'Grocery Spending'!$E$5:$E$404,A45),""))</f>
        <v>0</v>
      </c>
      <c r="M45" s="8">
        <f>IF(A45="","",IFERROR(AVERAGEIFS('Grocery Spending'!$I$5:$I$404,'Grocery Spending'!$E$5:$E$404,A45,'Grocery Spending'!$A$5:$A$404,SUMPRODUCT(MAX(('Grocery Spending'!$E$5:$E$404=A45)*'Grocery Spending'!$A$5:$A$404))),""))</f>
        <v>0</v>
      </c>
      <c r="N45" s="8">
        <f>IF(OR(A45="",M45="",L45=""),"",M45-L45)</f>
        <v>0</v>
      </c>
      <c r="O45" s="8">
        <f>IF(A45="","",SUMIFS(Pantry!$C$5:$C$304,Pantry!$A$5:$A$304,A45))</f>
        <v>0</v>
      </c>
      <c r="P45" s="8">
        <f>IF(A45="","",COUNTIFS('Grocery List'!$A$5:$A$304,A45))</f>
        <v>0</v>
      </c>
      <c r="Q45" s="8">
        <f>IF(OR(A45="",G45=""),"",COUNTIFS($G$5:$G$104,"&gt;"&amp;G45)+1)</f>
        <v>0</v>
      </c>
      <c r="R45" s="8">
        <f>IF(A45="","",IF(H45="Yes","Buy this week",IF(O45&lt;=0,"Out of stock","In stock")))</f>
        <v>0</v>
      </c>
      <c r="S45" s="25"/>
    </row>
    <row r="46" spans="1:19">
      <c r="A46" s="7"/>
      <c r="B46" s="8">
        <f>IF(A46="","",IFERROR(INDEX(Ingredients!$B$5:$B$304,MATCH(A46,Ingredients!$A$5:$A$304,0)),""))</f>
        <v>0</v>
      </c>
      <c r="C46" s="27"/>
      <c r="D46" s="26"/>
      <c r="E46" s="30"/>
      <c r="F46" s="26"/>
      <c r="G46" s="8">
        <f>IF(OR(A46="",E46=""),"",TODAY()-E46)</f>
        <v>0</v>
      </c>
      <c r="H46" s="8">
        <f>IF(OR(A46="",G46="",F46=""),"",IF(G46&gt;=F46,"Yes","No"))</f>
        <v>0</v>
      </c>
      <c r="I46" s="27"/>
      <c r="J46" s="26"/>
      <c r="K46" s="27"/>
      <c r="L46" s="8">
        <f>IF(A46="","",IFERROR(AVERAGEIFS('Grocery Spending'!$I$5:$I$404,'Grocery Spending'!$E$5:$E$404,A46),""))</f>
        <v>0</v>
      </c>
      <c r="M46" s="8">
        <f>IF(A46="","",IFERROR(AVERAGEIFS('Grocery Spending'!$I$5:$I$404,'Grocery Spending'!$E$5:$E$404,A46,'Grocery Spending'!$A$5:$A$404,SUMPRODUCT(MAX(('Grocery Spending'!$E$5:$E$404=A46)*'Grocery Spending'!$A$5:$A$404))),""))</f>
        <v>0</v>
      </c>
      <c r="N46" s="8">
        <f>IF(OR(A46="",M46="",L46=""),"",M46-L46)</f>
        <v>0</v>
      </c>
      <c r="O46" s="8">
        <f>IF(A46="","",SUMIFS(Pantry!$C$5:$C$304,Pantry!$A$5:$A$304,A46))</f>
        <v>0</v>
      </c>
      <c r="P46" s="8">
        <f>IF(A46="","",COUNTIFS('Grocery List'!$A$5:$A$304,A46))</f>
        <v>0</v>
      </c>
      <c r="Q46" s="8">
        <f>IF(OR(A46="",G46=""),"",COUNTIFS($G$5:$G$104,"&gt;"&amp;G46)+1)</f>
        <v>0</v>
      </c>
      <c r="R46" s="8">
        <f>IF(A46="","",IF(H46="Yes","Buy this week",IF(O46&lt;=0,"Out of stock","In stock")))</f>
        <v>0</v>
      </c>
      <c r="S46" s="25"/>
    </row>
    <row r="47" spans="1:19">
      <c r="A47" s="7"/>
      <c r="B47" s="8">
        <f>IF(A47="","",IFERROR(INDEX(Ingredients!$B$5:$B$304,MATCH(A47,Ingredients!$A$5:$A$304,0)),""))</f>
        <v>0</v>
      </c>
      <c r="C47" s="27"/>
      <c r="D47" s="26"/>
      <c r="E47" s="30"/>
      <c r="F47" s="26"/>
      <c r="G47" s="8">
        <f>IF(OR(A47="",E47=""),"",TODAY()-E47)</f>
        <v>0</v>
      </c>
      <c r="H47" s="8">
        <f>IF(OR(A47="",G47="",F47=""),"",IF(G47&gt;=F47,"Yes","No"))</f>
        <v>0</v>
      </c>
      <c r="I47" s="27"/>
      <c r="J47" s="26"/>
      <c r="K47" s="27"/>
      <c r="L47" s="8">
        <f>IF(A47="","",IFERROR(AVERAGEIFS('Grocery Spending'!$I$5:$I$404,'Grocery Spending'!$E$5:$E$404,A47),""))</f>
        <v>0</v>
      </c>
      <c r="M47" s="8">
        <f>IF(A47="","",IFERROR(AVERAGEIFS('Grocery Spending'!$I$5:$I$404,'Grocery Spending'!$E$5:$E$404,A47,'Grocery Spending'!$A$5:$A$404,SUMPRODUCT(MAX(('Grocery Spending'!$E$5:$E$404=A47)*'Grocery Spending'!$A$5:$A$404))),""))</f>
        <v>0</v>
      </c>
      <c r="N47" s="8">
        <f>IF(OR(A47="",M47="",L47=""),"",M47-L47)</f>
        <v>0</v>
      </c>
      <c r="O47" s="8">
        <f>IF(A47="","",SUMIFS(Pantry!$C$5:$C$304,Pantry!$A$5:$A$304,A47))</f>
        <v>0</v>
      </c>
      <c r="P47" s="8">
        <f>IF(A47="","",COUNTIFS('Grocery List'!$A$5:$A$304,A47))</f>
        <v>0</v>
      </c>
      <c r="Q47" s="8">
        <f>IF(OR(A47="",G47=""),"",COUNTIFS($G$5:$G$104,"&gt;"&amp;G47)+1)</f>
        <v>0</v>
      </c>
      <c r="R47" s="8">
        <f>IF(A47="","",IF(H47="Yes","Buy this week",IF(O47&lt;=0,"Out of stock","In stock")))</f>
        <v>0</v>
      </c>
      <c r="S47" s="25"/>
    </row>
    <row r="48" spans="1:19">
      <c r="A48" s="7"/>
      <c r="B48" s="8">
        <f>IF(A48="","",IFERROR(INDEX(Ingredients!$B$5:$B$304,MATCH(A48,Ingredients!$A$5:$A$304,0)),""))</f>
        <v>0</v>
      </c>
      <c r="C48" s="27"/>
      <c r="D48" s="26"/>
      <c r="E48" s="30"/>
      <c r="F48" s="26"/>
      <c r="G48" s="8">
        <f>IF(OR(A48="",E48=""),"",TODAY()-E48)</f>
        <v>0</v>
      </c>
      <c r="H48" s="8">
        <f>IF(OR(A48="",G48="",F48=""),"",IF(G48&gt;=F48,"Yes","No"))</f>
        <v>0</v>
      </c>
      <c r="I48" s="27"/>
      <c r="J48" s="26"/>
      <c r="K48" s="27"/>
      <c r="L48" s="8">
        <f>IF(A48="","",IFERROR(AVERAGEIFS('Grocery Spending'!$I$5:$I$404,'Grocery Spending'!$E$5:$E$404,A48),""))</f>
        <v>0</v>
      </c>
      <c r="M48" s="8">
        <f>IF(A48="","",IFERROR(AVERAGEIFS('Grocery Spending'!$I$5:$I$404,'Grocery Spending'!$E$5:$E$404,A48,'Grocery Spending'!$A$5:$A$404,SUMPRODUCT(MAX(('Grocery Spending'!$E$5:$E$404=A48)*'Grocery Spending'!$A$5:$A$404))),""))</f>
        <v>0</v>
      </c>
      <c r="N48" s="8">
        <f>IF(OR(A48="",M48="",L48=""),"",M48-L48)</f>
        <v>0</v>
      </c>
      <c r="O48" s="8">
        <f>IF(A48="","",SUMIFS(Pantry!$C$5:$C$304,Pantry!$A$5:$A$304,A48))</f>
        <v>0</v>
      </c>
      <c r="P48" s="8">
        <f>IF(A48="","",COUNTIFS('Grocery List'!$A$5:$A$304,A48))</f>
        <v>0</v>
      </c>
      <c r="Q48" s="8">
        <f>IF(OR(A48="",G48=""),"",COUNTIFS($G$5:$G$104,"&gt;"&amp;G48)+1)</f>
        <v>0</v>
      </c>
      <c r="R48" s="8">
        <f>IF(A48="","",IF(H48="Yes","Buy this week",IF(O48&lt;=0,"Out of stock","In stock")))</f>
        <v>0</v>
      </c>
      <c r="S48" s="25"/>
    </row>
    <row r="49" spans="1:19">
      <c r="A49" s="7"/>
      <c r="B49" s="8">
        <f>IF(A49="","",IFERROR(INDEX(Ingredients!$B$5:$B$304,MATCH(A49,Ingredients!$A$5:$A$304,0)),""))</f>
        <v>0</v>
      </c>
      <c r="C49" s="27"/>
      <c r="D49" s="26"/>
      <c r="E49" s="30"/>
      <c r="F49" s="26"/>
      <c r="G49" s="8">
        <f>IF(OR(A49="",E49=""),"",TODAY()-E49)</f>
        <v>0</v>
      </c>
      <c r="H49" s="8">
        <f>IF(OR(A49="",G49="",F49=""),"",IF(G49&gt;=F49,"Yes","No"))</f>
        <v>0</v>
      </c>
      <c r="I49" s="27"/>
      <c r="J49" s="26"/>
      <c r="K49" s="27"/>
      <c r="L49" s="8">
        <f>IF(A49="","",IFERROR(AVERAGEIFS('Grocery Spending'!$I$5:$I$404,'Grocery Spending'!$E$5:$E$404,A49),""))</f>
        <v>0</v>
      </c>
      <c r="M49" s="8">
        <f>IF(A49="","",IFERROR(AVERAGEIFS('Grocery Spending'!$I$5:$I$404,'Grocery Spending'!$E$5:$E$404,A49,'Grocery Spending'!$A$5:$A$404,SUMPRODUCT(MAX(('Grocery Spending'!$E$5:$E$404=A49)*'Grocery Spending'!$A$5:$A$404))),""))</f>
        <v>0</v>
      </c>
      <c r="N49" s="8">
        <f>IF(OR(A49="",M49="",L49=""),"",M49-L49)</f>
        <v>0</v>
      </c>
      <c r="O49" s="8">
        <f>IF(A49="","",SUMIFS(Pantry!$C$5:$C$304,Pantry!$A$5:$A$304,A49))</f>
        <v>0</v>
      </c>
      <c r="P49" s="8">
        <f>IF(A49="","",COUNTIFS('Grocery List'!$A$5:$A$304,A49))</f>
        <v>0</v>
      </c>
      <c r="Q49" s="8">
        <f>IF(OR(A49="",G49=""),"",COUNTIFS($G$5:$G$104,"&gt;"&amp;G49)+1)</f>
        <v>0</v>
      </c>
      <c r="R49" s="8">
        <f>IF(A49="","",IF(H49="Yes","Buy this week",IF(O49&lt;=0,"Out of stock","In stock")))</f>
        <v>0</v>
      </c>
      <c r="S49" s="25"/>
    </row>
    <row r="50" spans="1:19">
      <c r="A50" s="7"/>
      <c r="B50" s="8">
        <f>IF(A50="","",IFERROR(INDEX(Ingredients!$B$5:$B$304,MATCH(A50,Ingredients!$A$5:$A$304,0)),""))</f>
        <v>0</v>
      </c>
      <c r="C50" s="27"/>
      <c r="D50" s="26"/>
      <c r="E50" s="30"/>
      <c r="F50" s="26"/>
      <c r="G50" s="8">
        <f>IF(OR(A50="",E50=""),"",TODAY()-E50)</f>
        <v>0</v>
      </c>
      <c r="H50" s="8">
        <f>IF(OR(A50="",G50="",F50=""),"",IF(G50&gt;=F50,"Yes","No"))</f>
        <v>0</v>
      </c>
      <c r="I50" s="27"/>
      <c r="J50" s="26"/>
      <c r="K50" s="27"/>
      <c r="L50" s="8">
        <f>IF(A50="","",IFERROR(AVERAGEIFS('Grocery Spending'!$I$5:$I$404,'Grocery Spending'!$E$5:$E$404,A50),""))</f>
        <v>0</v>
      </c>
      <c r="M50" s="8">
        <f>IF(A50="","",IFERROR(AVERAGEIFS('Grocery Spending'!$I$5:$I$404,'Grocery Spending'!$E$5:$E$404,A50,'Grocery Spending'!$A$5:$A$404,SUMPRODUCT(MAX(('Grocery Spending'!$E$5:$E$404=A50)*'Grocery Spending'!$A$5:$A$404))),""))</f>
        <v>0</v>
      </c>
      <c r="N50" s="8">
        <f>IF(OR(A50="",M50="",L50=""),"",M50-L50)</f>
        <v>0</v>
      </c>
      <c r="O50" s="8">
        <f>IF(A50="","",SUMIFS(Pantry!$C$5:$C$304,Pantry!$A$5:$A$304,A50))</f>
        <v>0</v>
      </c>
      <c r="P50" s="8">
        <f>IF(A50="","",COUNTIFS('Grocery List'!$A$5:$A$304,A50))</f>
        <v>0</v>
      </c>
      <c r="Q50" s="8">
        <f>IF(OR(A50="",G50=""),"",COUNTIFS($G$5:$G$104,"&gt;"&amp;G50)+1)</f>
        <v>0</v>
      </c>
      <c r="R50" s="8">
        <f>IF(A50="","",IF(H50="Yes","Buy this week",IF(O50&lt;=0,"Out of stock","In stock")))</f>
        <v>0</v>
      </c>
      <c r="S50" s="25"/>
    </row>
    <row r="51" spans="1:19">
      <c r="A51" s="7"/>
      <c r="B51" s="8">
        <f>IF(A51="","",IFERROR(INDEX(Ingredients!$B$5:$B$304,MATCH(A51,Ingredients!$A$5:$A$304,0)),""))</f>
        <v>0</v>
      </c>
      <c r="C51" s="27"/>
      <c r="D51" s="26"/>
      <c r="E51" s="30"/>
      <c r="F51" s="26"/>
      <c r="G51" s="8">
        <f>IF(OR(A51="",E51=""),"",TODAY()-E51)</f>
        <v>0</v>
      </c>
      <c r="H51" s="8">
        <f>IF(OR(A51="",G51="",F51=""),"",IF(G51&gt;=F51,"Yes","No"))</f>
        <v>0</v>
      </c>
      <c r="I51" s="27"/>
      <c r="J51" s="26"/>
      <c r="K51" s="27"/>
      <c r="L51" s="8">
        <f>IF(A51="","",IFERROR(AVERAGEIFS('Grocery Spending'!$I$5:$I$404,'Grocery Spending'!$E$5:$E$404,A51),""))</f>
        <v>0</v>
      </c>
      <c r="M51" s="8">
        <f>IF(A51="","",IFERROR(AVERAGEIFS('Grocery Spending'!$I$5:$I$404,'Grocery Spending'!$E$5:$E$404,A51,'Grocery Spending'!$A$5:$A$404,SUMPRODUCT(MAX(('Grocery Spending'!$E$5:$E$404=A51)*'Grocery Spending'!$A$5:$A$404))),""))</f>
        <v>0</v>
      </c>
      <c r="N51" s="8">
        <f>IF(OR(A51="",M51="",L51=""),"",M51-L51)</f>
        <v>0</v>
      </c>
      <c r="O51" s="8">
        <f>IF(A51="","",SUMIFS(Pantry!$C$5:$C$304,Pantry!$A$5:$A$304,A51))</f>
        <v>0</v>
      </c>
      <c r="P51" s="8">
        <f>IF(A51="","",COUNTIFS('Grocery List'!$A$5:$A$304,A51))</f>
        <v>0</v>
      </c>
      <c r="Q51" s="8">
        <f>IF(OR(A51="",G51=""),"",COUNTIFS($G$5:$G$104,"&gt;"&amp;G51)+1)</f>
        <v>0</v>
      </c>
      <c r="R51" s="8">
        <f>IF(A51="","",IF(H51="Yes","Buy this week",IF(O51&lt;=0,"Out of stock","In stock")))</f>
        <v>0</v>
      </c>
      <c r="S51" s="25"/>
    </row>
    <row r="52" spans="1:19">
      <c r="A52" s="7"/>
      <c r="B52" s="8">
        <f>IF(A52="","",IFERROR(INDEX(Ingredients!$B$5:$B$304,MATCH(A52,Ingredients!$A$5:$A$304,0)),""))</f>
        <v>0</v>
      </c>
      <c r="C52" s="27"/>
      <c r="D52" s="26"/>
      <c r="E52" s="30"/>
      <c r="F52" s="26"/>
      <c r="G52" s="8">
        <f>IF(OR(A52="",E52=""),"",TODAY()-E52)</f>
        <v>0</v>
      </c>
      <c r="H52" s="8">
        <f>IF(OR(A52="",G52="",F52=""),"",IF(G52&gt;=F52,"Yes","No"))</f>
        <v>0</v>
      </c>
      <c r="I52" s="27"/>
      <c r="J52" s="26"/>
      <c r="K52" s="27"/>
      <c r="L52" s="8">
        <f>IF(A52="","",IFERROR(AVERAGEIFS('Grocery Spending'!$I$5:$I$404,'Grocery Spending'!$E$5:$E$404,A52),""))</f>
        <v>0</v>
      </c>
      <c r="M52" s="8">
        <f>IF(A52="","",IFERROR(AVERAGEIFS('Grocery Spending'!$I$5:$I$404,'Grocery Spending'!$E$5:$E$404,A52,'Grocery Spending'!$A$5:$A$404,SUMPRODUCT(MAX(('Grocery Spending'!$E$5:$E$404=A52)*'Grocery Spending'!$A$5:$A$404))),""))</f>
        <v>0</v>
      </c>
      <c r="N52" s="8">
        <f>IF(OR(A52="",M52="",L52=""),"",M52-L52)</f>
        <v>0</v>
      </c>
      <c r="O52" s="8">
        <f>IF(A52="","",SUMIFS(Pantry!$C$5:$C$304,Pantry!$A$5:$A$304,A52))</f>
        <v>0</v>
      </c>
      <c r="P52" s="8">
        <f>IF(A52="","",COUNTIFS('Grocery List'!$A$5:$A$304,A52))</f>
        <v>0</v>
      </c>
      <c r="Q52" s="8">
        <f>IF(OR(A52="",G52=""),"",COUNTIFS($G$5:$G$104,"&gt;"&amp;G52)+1)</f>
        <v>0</v>
      </c>
      <c r="R52" s="8">
        <f>IF(A52="","",IF(H52="Yes","Buy this week",IF(O52&lt;=0,"Out of stock","In stock")))</f>
        <v>0</v>
      </c>
      <c r="S52" s="25"/>
    </row>
    <row r="53" spans="1:19">
      <c r="A53" s="7"/>
      <c r="B53" s="8">
        <f>IF(A53="","",IFERROR(INDEX(Ingredients!$B$5:$B$304,MATCH(A53,Ingredients!$A$5:$A$304,0)),""))</f>
        <v>0</v>
      </c>
      <c r="C53" s="27"/>
      <c r="D53" s="26"/>
      <c r="E53" s="30"/>
      <c r="F53" s="26"/>
      <c r="G53" s="8">
        <f>IF(OR(A53="",E53=""),"",TODAY()-E53)</f>
        <v>0</v>
      </c>
      <c r="H53" s="8">
        <f>IF(OR(A53="",G53="",F53=""),"",IF(G53&gt;=F53,"Yes","No"))</f>
        <v>0</v>
      </c>
      <c r="I53" s="27"/>
      <c r="J53" s="26"/>
      <c r="K53" s="27"/>
      <c r="L53" s="8">
        <f>IF(A53="","",IFERROR(AVERAGEIFS('Grocery Spending'!$I$5:$I$404,'Grocery Spending'!$E$5:$E$404,A53),""))</f>
        <v>0</v>
      </c>
      <c r="M53" s="8">
        <f>IF(A53="","",IFERROR(AVERAGEIFS('Grocery Spending'!$I$5:$I$404,'Grocery Spending'!$E$5:$E$404,A53,'Grocery Spending'!$A$5:$A$404,SUMPRODUCT(MAX(('Grocery Spending'!$E$5:$E$404=A53)*'Grocery Spending'!$A$5:$A$404))),""))</f>
        <v>0</v>
      </c>
      <c r="N53" s="8">
        <f>IF(OR(A53="",M53="",L53=""),"",M53-L53)</f>
        <v>0</v>
      </c>
      <c r="O53" s="8">
        <f>IF(A53="","",SUMIFS(Pantry!$C$5:$C$304,Pantry!$A$5:$A$304,A53))</f>
        <v>0</v>
      </c>
      <c r="P53" s="8">
        <f>IF(A53="","",COUNTIFS('Grocery List'!$A$5:$A$304,A53))</f>
        <v>0</v>
      </c>
      <c r="Q53" s="8">
        <f>IF(OR(A53="",G53=""),"",COUNTIFS($G$5:$G$104,"&gt;"&amp;G53)+1)</f>
        <v>0</v>
      </c>
      <c r="R53" s="8">
        <f>IF(A53="","",IF(H53="Yes","Buy this week",IF(O53&lt;=0,"Out of stock","In stock")))</f>
        <v>0</v>
      </c>
      <c r="S53" s="25"/>
    </row>
    <row r="54" spans="1:19">
      <c r="A54" s="7"/>
      <c r="B54" s="8">
        <f>IF(A54="","",IFERROR(INDEX(Ingredients!$B$5:$B$304,MATCH(A54,Ingredients!$A$5:$A$304,0)),""))</f>
        <v>0</v>
      </c>
      <c r="C54" s="27"/>
      <c r="D54" s="26"/>
      <c r="E54" s="30"/>
      <c r="F54" s="26"/>
      <c r="G54" s="8">
        <f>IF(OR(A54="",E54=""),"",TODAY()-E54)</f>
        <v>0</v>
      </c>
      <c r="H54" s="8">
        <f>IF(OR(A54="",G54="",F54=""),"",IF(G54&gt;=F54,"Yes","No"))</f>
        <v>0</v>
      </c>
      <c r="I54" s="27"/>
      <c r="J54" s="26"/>
      <c r="K54" s="27"/>
      <c r="L54" s="8">
        <f>IF(A54="","",IFERROR(AVERAGEIFS('Grocery Spending'!$I$5:$I$404,'Grocery Spending'!$E$5:$E$404,A54),""))</f>
        <v>0</v>
      </c>
      <c r="M54" s="8">
        <f>IF(A54="","",IFERROR(AVERAGEIFS('Grocery Spending'!$I$5:$I$404,'Grocery Spending'!$E$5:$E$404,A54,'Grocery Spending'!$A$5:$A$404,SUMPRODUCT(MAX(('Grocery Spending'!$E$5:$E$404=A54)*'Grocery Spending'!$A$5:$A$404))),""))</f>
        <v>0</v>
      </c>
      <c r="N54" s="8">
        <f>IF(OR(A54="",M54="",L54=""),"",M54-L54)</f>
        <v>0</v>
      </c>
      <c r="O54" s="8">
        <f>IF(A54="","",SUMIFS(Pantry!$C$5:$C$304,Pantry!$A$5:$A$304,A54))</f>
        <v>0</v>
      </c>
      <c r="P54" s="8">
        <f>IF(A54="","",COUNTIFS('Grocery List'!$A$5:$A$304,A54))</f>
        <v>0</v>
      </c>
      <c r="Q54" s="8">
        <f>IF(OR(A54="",G54=""),"",COUNTIFS($G$5:$G$104,"&gt;"&amp;G54)+1)</f>
        <v>0</v>
      </c>
      <c r="R54" s="8">
        <f>IF(A54="","",IF(H54="Yes","Buy this week",IF(O54&lt;=0,"Out of stock","In stock")))</f>
        <v>0</v>
      </c>
      <c r="S54" s="25"/>
    </row>
    <row r="55" spans="1:19">
      <c r="A55" s="7"/>
      <c r="B55" s="8">
        <f>IF(A55="","",IFERROR(INDEX(Ingredients!$B$5:$B$304,MATCH(A55,Ingredients!$A$5:$A$304,0)),""))</f>
        <v>0</v>
      </c>
      <c r="C55" s="27"/>
      <c r="D55" s="26"/>
      <c r="E55" s="30"/>
      <c r="F55" s="26"/>
      <c r="G55" s="8">
        <f>IF(OR(A55="",E55=""),"",TODAY()-E55)</f>
        <v>0</v>
      </c>
      <c r="H55" s="8">
        <f>IF(OR(A55="",G55="",F55=""),"",IF(G55&gt;=F55,"Yes","No"))</f>
        <v>0</v>
      </c>
      <c r="I55" s="27"/>
      <c r="J55" s="26"/>
      <c r="K55" s="27"/>
      <c r="L55" s="8">
        <f>IF(A55="","",IFERROR(AVERAGEIFS('Grocery Spending'!$I$5:$I$404,'Grocery Spending'!$E$5:$E$404,A55),""))</f>
        <v>0</v>
      </c>
      <c r="M55" s="8">
        <f>IF(A55="","",IFERROR(AVERAGEIFS('Grocery Spending'!$I$5:$I$404,'Grocery Spending'!$E$5:$E$404,A55,'Grocery Spending'!$A$5:$A$404,SUMPRODUCT(MAX(('Grocery Spending'!$E$5:$E$404=A55)*'Grocery Spending'!$A$5:$A$404))),""))</f>
        <v>0</v>
      </c>
      <c r="N55" s="8">
        <f>IF(OR(A55="",M55="",L55=""),"",M55-L55)</f>
        <v>0</v>
      </c>
      <c r="O55" s="8">
        <f>IF(A55="","",SUMIFS(Pantry!$C$5:$C$304,Pantry!$A$5:$A$304,A55))</f>
        <v>0</v>
      </c>
      <c r="P55" s="8">
        <f>IF(A55="","",COUNTIFS('Grocery List'!$A$5:$A$304,A55))</f>
        <v>0</v>
      </c>
      <c r="Q55" s="8">
        <f>IF(OR(A55="",G55=""),"",COUNTIFS($G$5:$G$104,"&gt;"&amp;G55)+1)</f>
        <v>0</v>
      </c>
      <c r="R55" s="8">
        <f>IF(A55="","",IF(H55="Yes","Buy this week",IF(O55&lt;=0,"Out of stock","In stock")))</f>
        <v>0</v>
      </c>
      <c r="S55" s="25"/>
    </row>
    <row r="56" spans="1:19">
      <c r="A56" s="7"/>
      <c r="B56" s="8">
        <f>IF(A56="","",IFERROR(INDEX(Ingredients!$B$5:$B$304,MATCH(A56,Ingredients!$A$5:$A$304,0)),""))</f>
        <v>0</v>
      </c>
      <c r="C56" s="27"/>
      <c r="D56" s="26"/>
      <c r="E56" s="30"/>
      <c r="F56" s="26"/>
      <c r="G56" s="8">
        <f>IF(OR(A56="",E56=""),"",TODAY()-E56)</f>
        <v>0</v>
      </c>
      <c r="H56" s="8">
        <f>IF(OR(A56="",G56="",F56=""),"",IF(G56&gt;=F56,"Yes","No"))</f>
        <v>0</v>
      </c>
      <c r="I56" s="27"/>
      <c r="J56" s="26"/>
      <c r="K56" s="27"/>
      <c r="L56" s="8">
        <f>IF(A56="","",IFERROR(AVERAGEIFS('Grocery Spending'!$I$5:$I$404,'Grocery Spending'!$E$5:$E$404,A56),""))</f>
        <v>0</v>
      </c>
      <c r="M56" s="8">
        <f>IF(A56="","",IFERROR(AVERAGEIFS('Grocery Spending'!$I$5:$I$404,'Grocery Spending'!$E$5:$E$404,A56,'Grocery Spending'!$A$5:$A$404,SUMPRODUCT(MAX(('Grocery Spending'!$E$5:$E$404=A56)*'Grocery Spending'!$A$5:$A$404))),""))</f>
        <v>0</v>
      </c>
      <c r="N56" s="8">
        <f>IF(OR(A56="",M56="",L56=""),"",M56-L56)</f>
        <v>0</v>
      </c>
      <c r="O56" s="8">
        <f>IF(A56="","",SUMIFS(Pantry!$C$5:$C$304,Pantry!$A$5:$A$304,A56))</f>
        <v>0</v>
      </c>
      <c r="P56" s="8">
        <f>IF(A56="","",COUNTIFS('Grocery List'!$A$5:$A$304,A56))</f>
        <v>0</v>
      </c>
      <c r="Q56" s="8">
        <f>IF(OR(A56="",G56=""),"",COUNTIFS($G$5:$G$104,"&gt;"&amp;G56)+1)</f>
        <v>0</v>
      </c>
      <c r="R56" s="8">
        <f>IF(A56="","",IF(H56="Yes","Buy this week",IF(O56&lt;=0,"Out of stock","In stock")))</f>
        <v>0</v>
      </c>
      <c r="S56" s="25"/>
    </row>
    <row r="57" spans="1:19">
      <c r="A57" s="7"/>
      <c r="B57" s="8">
        <f>IF(A57="","",IFERROR(INDEX(Ingredients!$B$5:$B$304,MATCH(A57,Ingredients!$A$5:$A$304,0)),""))</f>
        <v>0</v>
      </c>
      <c r="C57" s="27"/>
      <c r="D57" s="26"/>
      <c r="E57" s="30"/>
      <c r="F57" s="26"/>
      <c r="G57" s="8">
        <f>IF(OR(A57="",E57=""),"",TODAY()-E57)</f>
        <v>0</v>
      </c>
      <c r="H57" s="8">
        <f>IF(OR(A57="",G57="",F57=""),"",IF(G57&gt;=F57,"Yes","No"))</f>
        <v>0</v>
      </c>
      <c r="I57" s="27"/>
      <c r="J57" s="26"/>
      <c r="K57" s="27"/>
      <c r="L57" s="8">
        <f>IF(A57="","",IFERROR(AVERAGEIFS('Grocery Spending'!$I$5:$I$404,'Grocery Spending'!$E$5:$E$404,A57),""))</f>
        <v>0</v>
      </c>
      <c r="M57" s="8">
        <f>IF(A57="","",IFERROR(AVERAGEIFS('Grocery Spending'!$I$5:$I$404,'Grocery Spending'!$E$5:$E$404,A57,'Grocery Spending'!$A$5:$A$404,SUMPRODUCT(MAX(('Grocery Spending'!$E$5:$E$404=A57)*'Grocery Spending'!$A$5:$A$404))),""))</f>
        <v>0</v>
      </c>
      <c r="N57" s="8">
        <f>IF(OR(A57="",M57="",L57=""),"",M57-L57)</f>
        <v>0</v>
      </c>
      <c r="O57" s="8">
        <f>IF(A57="","",SUMIFS(Pantry!$C$5:$C$304,Pantry!$A$5:$A$304,A57))</f>
        <v>0</v>
      </c>
      <c r="P57" s="8">
        <f>IF(A57="","",COUNTIFS('Grocery List'!$A$5:$A$304,A57))</f>
        <v>0</v>
      </c>
      <c r="Q57" s="8">
        <f>IF(OR(A57="",G57=""),"",COUNTIFS($G$5:$G$104,"&gt;"&amp;G57)+1)</f>
        <v>0</v>
      </c>
      <c r="R57" s="8">
        <f>IF(A57="","",IF(H57="Yes","Buy this week",IF(O57&lt;=0,"Out of stock","In stock")))</f>
        <v>0</v>
      </c>
      <c r="S57" s="25"/>
    </row>
    <row r="58" spans="1:19">
      <c r="A58" s="7"/>
      <c r="B58" s="8">
        <f>IF(A58="","",IFERROR(INDEX(Ingredients!$B$5:$B$304,MATCH(A58,Ingredients!$A$5:$A$304,0)),""))</f>
        <v>0</v>
      </c>
      <c r="C58" s="27"/>
      <c r="D58" s="26"/>
      <c r="E58" s="30"/>
      <c r="F58" s="26"/>
      <c r="G58" s="8">
        <f>IF(OR(A58="",E58=""),"",TODAY()-E58)</f>
        <v>0</v>
      </c>
      <c r="H58" s="8">
        <f>IF(OR(A58="",G58="",F58=""),"",IF(G58&gt;=F58,"Yes","No"))</f>
        <v>0</v>
      </c>
      <c r="I58" s="27"/>
      <c r="J58" s="26"/>
      <c r="K58" s="27"/>
      <c r="L58" s="8">
        <f>IF(A58="","",IFERROR(AVERAGEIFS('Grocery Spending'!$I$5:$I$404,'Grocery Spending'!$E$5:$E$404,A58),""))</f>
        <v>0</v>
      </c>
      <c r="M58" s="8">
        <f>IF(A58="","",IFERROR(AVERAGEIFS('Grocery Spending'!$I$5:$I$404,'Grocery Spending'!$E$5:$E$404,A58,'Grocery Spending'!$A$5:$A$404,SUMPRODUCT(MAX(('Grocery Spending'!$E$5:$E$404=A58)*'Grocery Spending'!$A$5:$A$404))),""))</f>
        <v>0</v>
      </c>
      <c r="N58" s="8">
        <f>IF(OR(A58="",M58="",L58=""),"",M58-L58)</f>
        <v>0</v>
      </c>
      <c r="O58" s="8">
        <f>IF(A58="","",SUMIFS(Pantry!$C$5:$C$304,Pantry!$A$5:$A$304,A58))</f>
        <v>0</v>
      </c>
      <c r="P58" s="8">
        <f>IF(A58="","",COUNTIFS('Grocery List'!$A$5:$A$304,A58))</f>
        <v>0</v>
      </c>
      <c r="Q58" s="8">
        <f>IF(OR(A58="",G58=""),"",COUNTIFS($G$5:$G$104,"&gt;"&amp;G58)+1)</f>
        <v>0</v>
      </c>
      <c r="R58" s="8">
        <f>IF(A58="","",IF(H58="Yes","Buy this week",IF(O58&lt;=0,"Out of stock","In stock")))</f>
        <v>0</v>
      </c>
      <c r="S58" s="25"/>
    </row>
    <row r="59" spans="1:19">
      <c r="A59" s="7"/>
      <c r="B59" s="8">
        <f>IF(A59="","",IFERROR(INDEX(Ingredients!$B$5:$B$304,MATCH(A59,Ingredients!$A$5:$A$304,0)),""))</f>
        <v>0</v>
      </c>
      <c r="C59" s="27"/>
      <c r="D59" s="26"/>
      <c r="E59" s="30"/>
      <c r="F59" s="26"/>
      <c r="G59" s="8">
        <f>IF(OR(A59="",E59=""),"",TODAY()-E59)</f>
        <v>0</v>
      </c>
      <c r="H59" s="8">
        <f>IF(OR(A59="",G59="",F59=""),"",IF(G59&gt;=F59,"Yes","No"))</f>
        <v>0</v>
      </c>
      <c r="I59" s="27"/>
      <c r="J59" s="26"/>
      <c r="K59" s="27"/>
      <c r="L59" s="8">
        <f>IF(A59="","",IFERROR(AVERAGEIFS('Grocery Spending'!$I$5:$I$404,'Grocery Spending'!$E$5:$E$404,A59),""))</f>
        <v>0</v>
      </c>
      <c r="M59" s="8">
        <f>IF(A59="","",IFERROR(AVERAGEIFS('Grocery Spending'!$I$5:$I$404,'Grocery Spending'!$E$5:$E$404,A59,'Grocery Spending'!$A$5:$A$404,SUMPRODUCT(MAX(('Grocery Spending'!$E$5:$E$404=A59)*'Grocery Spending'!$A$5:$A$404))),""))</f>
        <v>0</v>
      </c>
      <c r="N59" s="8">
        <f>IF(OR(A59="",M59="",L59=""),"",M59-L59)</f>
        <v>0</v>
      </c>
      <c r="O59" s="8">
        <f>IF(A59="","",SUMIFS(Pantry!$C$5:$C$304,Pantry!$A$5:$A$304,A59))</f>
        <v>0</v>
      </c>
      <c r="P59" s="8">
        <f>IF(A59="","",COUNTIFS('Grocery List'!$A$5:$A$304,A59))</f>
        <v>0</v>
      </c>
      <c r="Q59" s="8">
        <f>IF(OR(A59="",G59=""),"",COUNTIFS($G$5:$G$104,"&gt;"&amp;G59)+1)</f>
        <v>0</v>
      </c>
      <c r="R59" s="8">
        <f>IF(A59="","",IF(H59="Yes","Buy this week",IF(O59&lt;=0,"Out of stock","In stock")))</f>
        <v>0</v>
      </c>
      <c r="S59" s="25"/>
    </row>
    <row r="60" spans="1:19">
      <c r="A60" s="7"/>
      <c r="B60" s="8">
        <f>IF(A60="","",IFERROR(INDEX(Ingredients!$B$5:$B$304,MATCH(A60,Ingredients!$A$5:$A$304,0)),""))</f>
        <v>0</v>
      </c>
      <c r="C60" s="27"/>
      <c r="D60" s="26"/>
      <c r="E60" s="30"/>
      <c r="F60" s="26"/>
      <c r="G60" s="8">
        <f>IF(OR(A60="",E60=""),"",TODAY()-E60)</f>
        <v>0</v>
      </c>
      <c r="H60" s="8">
        <f>IF(OR(A60="",G60="",F60=""),"",IF(G60&gt;=F60,"Yes","No"))</f>
        <v>0</v>
      </c>
      <c r="I60" s="27"/>
      <c r="J60" s="26"/>
      <c r="K60" s="27"/>
      <c r="L60" s="8">
        <f>IF(A60="","",IFERROR(AVERAGEIFS('Grocery Spending'!$I$5:$I$404,'Grocery Spending'!$E$5:$E$404,A60),""))</f>
        <v>0</v>
      </c>
      <c r="M60" s="8">
        <f>IF(A60="","",IFERROR(AVERAGEIFS('Grocery Spending'!$I$5:$I$404,'Grocery Spending'!$E$5:$E$404,A60,'Grocery Spending'!$A$5:$A$404,SUMPRODUCT(MAX(('Grocery Spending'!$E$5:$E$404=A60)*'Grocery Spending'!$A$5:$A$404))),""))</f>
        <v>0</v>
      </c>
      <c r="N60" s="8">
        <f>IF(OR(A60="",M60="",L60=""),"",M60-L60)</f>
        <v>0</v>
      </c>
      <c r="O60" s="8">
        <f>IF(A60="","",SUMIFS(Pantry!$C$5:$C$304,Pantry!$A$5:$A$304,A60))</f>
        <v>0</v>
      </c>
      <c r="P60" s="8">
        <f>IF(A60="","",COUNTIFS('Grocery List'!$A$5:$A$304,A60))</f>
        <v>0</v>
      </c>
      <c r="Q60" s="8">
        <f>IF(OR(A60="",G60=""),"",COUNTIFS($G$5:$G$104,"&gt;"&amp;G60)+1)</f>
        <v>0</v>
      </c>
      <c r="R60" s="8">
        <f>IF(A60="","",IF(H60="Yes","Buy this week",IF(O60&lt;=0,"Out of stock","In stock")))</f>
        <v>0</v>
      </c>
      <c r="S60" s="25"/>
    </row>
    <row r="61" spans="1:19">
      <c r="A61" s="7"/>
      <c r="B61" s="8">
        <f>IF(A61="","",IFERROR(INDEX(Ingredients!$B$5:$B$304,MATCH(A61,Ingredients!$A$5:$A$304,0)),""))</f>
        <v>0</v>
      </c>
      <c r="C61" s="27"/>
      <c r="D61" s="26"/>
      <c r="E61" s="30"/>
      <c r="F61" s="26"/>
      <c r="G61" s="8">
        <f>IF(OR(A61="",E61=""),"",TODAY()-E61)</f>
        <v>0</v>
      </c>
      <c r="H61" s="8">
        <f>IF(OR(A61="",G61="",F61=""),"",IF(G61&gt;=F61,"Yes","No"))</f>
        <v>0</v>
      </c>
      <c r="I61" s="27"/>
      <c r="J61" s="26"/>
      <c r="K61" s="27"/>
      <c r="L61" s="8">
        <f>IF(A61="","",IFERROR(AVERAGEIFS('Grocery Spending'!$I$5:$I$404,'Grocery Spending'!$E$5:$E$404,A61),""))</f>
        <v>0</v>
      </c>
      <c r="M61" s="8">
        <f>IF(A61="","",IFERROR(AVERAGEIFS('Grocery Spending'!$I$5:$I$404,'Grocery Spending'!$E$5:$E$404,A61,'Grocery Spending'!$A$5:$A$404,SUMPRODUCT(MAX(('Grocery Spending'!$E$5:$E$404=A61)*'Grocery Spending'!$A$5:$A$404))),""))</f>
        <v>0</v>
      </c>
      <c r="N61" s="8">
        <f>IF(OR(A61="",M61="",L61=""),"",M61-L61)</f>
        <v>0</v>
      </c>
      <c r="O61" s="8">
        <f>IF(A61="","",SUMIFS(Pantry!$C$5:$C$304,Pantry!$A$5:$A$304,A61))</f>
        <v>0</v>
      </c>
      <c r="P61" s="8">
        <f>IF(A61="","",COUNTIFS('Grocery List'!$A$5:$A$304,A61))</f>
        <v>0</v>
      </c>
      <c r="Q61" s="8">
        <f>IF(OR(A61="",G61=""),"",COUNTIFS($G$5:$G$104,"&gt;"&amp;G61)+1)</f>
        <v>0</v>
      </c>
      <c r="R61" s="8">
        <f>IF(A61="","",IF(H61="Yes","Buy this week",IF(O61&lt;=0,"Out of stock","In stock")))</f>
        <v>0</v>
      </c>
      <c r="S61" s="25"/>
    </row>
    <row r="62" spans="1:19">
      <c r="A62" s="7"/>
      <c r="B62" s="8">
        <f>IF(A62="","",IFERROR(INDEX(Ingredients!$B$5:$B$304,MATCH(A62,Ingredients!$A$5:$A$304,0)),""))</f>
        <v>0</v>
      </c>
      <c r="C62" s="27"/>
      <c r="D62" s="26"/>
      <c r="E62" s="30"/>
      <c r="F62" s="26"/>
      <c r="G62" s="8">
        <f>IF(OR(A62="",E62=""),"",TODAY()-E62)</f>
        <v>0</v>
      </c>
      <c r="H62" s="8">
        <f>IF(OR(A62="",G62="",F62=""),"",IF(G62&gt;=F62,"Yes","No"))</f>
        <v>0</v>
      </c>
      <c r="I62" s="27"/>
      <c r="J62" s="26"/>
      <c r="K62" s="27"/>
      <c r="L62" s="8">
        <f>IF(A62="","",IFERROR(AVERAGEIFS('Grocery Spending'!$I$5:$I$404,'Grocery Spending'!$E$5:$E$404,A62),""))</f>
        <v>0</v>
      </c>
      <c r="M62" s="8">
        <f>IF(A62="","",IFERROR(AVERAGEIFS('Grocery Spending'!$I$5:$I$404,'Grocery Spending'!$E$5:$E$404,A62,'Grocery Spending'!$A$5:$A$404,SUMPRODUCT(MAX(('Grocery Spending'!$E$5:$E$404=A62)*'Grocery Spending'!$A$5:$A$404))),""))</f>
        <v>0</v>
      </c>
      <c r="N62" s="8">
        <f>IF(OR(A62="",M62="",L62=""),"",M62-L62)</f>
        <v>0</v>
      </c>
      <c r="O62" s="8">
        <f>IF(A62="","",SUMIFS(Pantry!$C$5:$C$304,Pantry!$A$5:$A$304,A62))</f>
        <v>0</v>
      </c>
      <c r="P62" s="8">
        <f>IF(A62="","",COUNTIFS('Grocery List'!$A$5:$A$304,A62))</f>
        <v>0</v>
      </c>
      <c r="Q62" s="8">
        <f>IF(OR(A62="",G62=""),"",COUNTIFS($G$5:$G$104,"&gt;"&amp;G62)+1)</f>
        <v>0</v>
      </c>
      <c r="R62" s="8">
        <f>IF(A62="","",IF(H62="Yes","Buy this week",IF(O62&lt;=0,"Out of stock","In stock")))</f>
        <v>0</v>
      </c>
      <c r="S62" s="25"/>
    </row>
    <row r="63" spans="1:19">
      <c r="A63" s="7"/>
      <c r="B63" s="8">
        <f>IF(A63="","",IFERROR(INDEX(Ingredients!$B$5:$B$304,MATCH(A63,Ingredients!$A$5:$A$304,0)),""))</f>
        <v>0</v>
      </c>
      <c r="C63" s="27"/>
      <c r="D63" s="26"/>
      <c r="E63" s="30"/>
      <c r="F63" s="26"/>
      <c r="G63" s="8">
        <f>IF(OR(A63="",E63=""),"",TODAY()-E63)</f>
        <v>0</v>
      </c>
      <c r="H63" s="8">
        <f>IF(OR(A63="",G63="",F63=""),"",IF(G63&gt;=F63,"Yes","No"))</f>
        <v>0</v>
      </c>
      <c r="I63" s="27"/>
      <c r="J63" s="26"/>
      <c r="K63" s="27"/>
      <c r="L63" s="8">
        <f>IF(A63="","",IFERROR(AVERAGEIFS('Grocery Spending'!$I$5:$I$404,'Grocery Spending'!$E$5:$E$404,A63),""))</f>
        <v>0</v>
      </c>
      <c r="M63" s="8">
        <f>IF(A63="","",IFERROR(AVERAGEIFS('Grocery Spending'!$I$5:$I$404,'Grocery Spending'!$E$5:$E$404,A63,'Grocery Spending'!$A$5:$A$404,SUMPRODUCT(MAX(('Grocery Spending'!$E$5:$E$404=A63)*'Grocery Spending'!$A$5:$A$404))),""))</f>
        <v>0</v>
      </c>
      <c r="N63" s="8">
        <f>IF(OR(A63="",M63="",L63=""),"",M63-L63)</f>
        <v>0</v>
      </c>
      <c r="O63" s="8">
        <f>IF(A63="","",SUMIFS(Pantry!$C$5:$C$304,Pantry!$A$5:$A$304,A63))</f>
        <v>0</v>
      </c>
      <c r="P63" s="8">
        <f>IF(A63="","",COUNTIFS('Grocery List'!$A$5:$A$304,A63))</f>
        <v>0</v>
      </c>
      <c r="Q63" s="8">
        <f>IF(OR(A63="",G63=""),"",COUNTIFS($G$5:$G$104,"&gt;"&amp;G63)+1)</f>
        <v>0</v>
      </c>
      <c r="R63" s="8">
        <f>IF(A63="","",IF(H63="Yes","Buy this week",IF(O63&lt;=0,"Out of stock","In stock")))</f>
        <v>0</v>
      </c>
      <c r="S63" s="25"/>
    </row>
    <row r="64" spans="1:19">
      <c r="A64" s="7"/>
      <c r="B64" s="8">
        <f>IF(A64="","",IFERROR(INDEX(Ingredients!$B$5:$B$304,MATCH(A64,Ingredients!$A$5:$A$304,0)),""))</f>
        <v>0</v>
      </c>
      <c r="C64" s="27"/>
      <c r="D64" s="26"/>
      <c r="E64" s="30"/>
      <c r="F64" s="26"/>
      <c r="G64" s="8">
        <f>IF(OR(A64="",E64=""),"",TODAY()-E64)</f>
        <v>0</v>
      </c>
      <c r="H64" s="8">
        <f>IF(OR(A64="",G64="",F64=""),"",IF(G64&gt;=F64,"Yes","No"))</f>
        <v>0</v>
      </c>
      <c r="I64" s="27"/>
      <c r="J64" s="26"/>
      <c r="K64" s="27"/>
      <c r="L64" s="8">
        <f>IF(A64="","",IFERROR(AVERAGEIFS('Grocery Spending'!$I$5:$I$404,'Grocery Spending'!$E$5:$E$404,A64),""))</f>
        <v>0</v>
      </c>
      <c r="M64" s="8">
        <f>IF(A64="","",IFERROR(AVERAGEIFS('Grocery Spending'!$I$5:$I$404,'Grocery Spending'!$E$5:$E$404,A64,'Grocery Spending'!$A$5:$A$404,SUMPRODUCT(MAX(('Grocery Spending'!$E$5:$E$404=A64)*'Grocery Spending'!$A$5:$A$404))),""))</f>
        <v>0</v>
      </c>
      <c r="N64" s="8">
        <f>IF(OR(A64="",M64="",L64=""),"",M64-L64)</f>
        <v>0</v>
      </c>
      <c r="O64" s="8">
        <f>IF(A64="","",SUMIFS(Pantry!$C$5:$C$304,Pantry!$A$5:$A$304,A64))</f>
        <v>0</v>
      </c>
      <c r="P64" s="8">
        <f>IF(A64="","",COUNTIFS('Grocery List'!$A$5:$A$304,A64))</f>
        <v>0</v>
      </c>
      <c r="Q64" s="8">
        <f>IF(OR(A64="",G64=""),"",COUNTIFS($G$5:$G$104,"&gt;"&amp;G64)+1)</f>
        <v>0</v>
      </c>
      <c r="R64" s="8">
        <f>IF(A64="","",IF(H64="Yes","Buy this week",IF(O64&lt;=0,"Out of stock","In stock")))</f>
        <v>0</v>
      </c>
      <c r="S64" s="25"/>
    </row>
    <row r="65" spans="1:19">
      <c r="A65" s="7"/>
      <c r="B65" s="8">
        <f>IF(A65="","",IFERROR(INDEX(Ingredients!$B$5:$B$304,MATCH(A65,Ingredients!$A$5:$A$304,0)),""))</f>
        <v>0</v>
      </c>
      <c r="C65" s="27"/>
      <c r="D65" s="26"/>
      <c r="E65" s="30"/>
      <c r="F65" s="26"/>
      <c r="G65" s="8">
        <f>IF(OR(A65="",E65=""),"",TODAY()-E65)</f>
        <v>0</v>
      </c>
      <c r="H65" s="8">
        <f>IF(OR(A65="",G65="",F65=""),"",IF(G65&gt;=F65,"Yes","No"))</f>
        <v>0</v>
      </c>
      <c r="I65" s="27"/>
      <c r="J65" s="26"/>
      <c r="K65" s="27"/>
      <c r="L65" s="8">
        <f>IF(A65="","",IFERROR(AVERAGEIFS('Grocery Spending'!$I$5:$I$404,'Grocery Spending'!$E$5:$E$404,A65),""))</f>
        <v>0</v>
      </c>
      <c r="M65" s="8">
        <f>IF(A65="","",IFERROR(AVERAGEIFS('Grocery Spending'!$I$5:$I$404,'Grocery Spending'!$E$5:$E$404,A65,'Grocery Spending'!$A$5:$A$404,SUMPRODUCT(MAX(('Grocery Spending'!$E$5:$E$404=A65)*'Grocery Spending'!$A$5:$A$404))),""))</f>
        <v>0</v>
      </c>
      <c r="N65" s="8">
        <f>IF(OR(A65="",M65="",L65=""),"",M65-L65)</f>
        <v>0</v>
      </c>
      <c r="O65" s="8">
        <f>IF(A65="","",SUMIFS(Pantry!$C$5:$C$304,Pantry!$A$5:$A$304,A65))</f>
        <v>0</v>
      </c>
      <c r="P65" s="8">
        <f>IF(A65="","",COUNTIFS('Grocery List'!$A$5:$A$304,A65))</f>
        <v>0</v>
      </c>
      <c r="Q65" s="8">
        <f>IF(OR(A65="",G65=""),"",COUNTIFS($G$5:$G$104,"&gt;"&amp;G65)+1)</f>
        <v>0</v>
      </c>
      <c r="R65" s="8">
        <f>IF(A65="","",IF(H65="Yes","Buy this week",IF(O65&lt;=0,"Out of stock","In stock")))</f>
        <v>0</v>
      </c>
      <c r="S65" s="25"/>
    </row>
    <row r="66" spans="1:19">
      <c r="A66" s="7"/>
      <c r="B66" s="8">
        <f>IF(A66="","",IFERROR(INDEX(Ingredients!$B$5:$B$304,MATCH(A66,Ingredients!$A$5:$A$304,0)),""))</f>
        <v>0</v>
      </c>
      <c r="C66" s="27"/>
      <c r="D66" s="26"/>
      <c r="E66" s="30"/>
      <c r="F66" s="26"/>
      <c r="G66" s="8">
        <f>IF(OR(A66="",E66=""),"",TODAY()-E66)</f>
        <v>0</v>
      </c>
      <c r="H66" s="8">
        <f>IF(OR(A66="",G66="",F66=""),"",IF(G66&gt;=F66,"Yes","No"))</f>
        <v>0</v>
      </c>
      <c r="I66" s="27"/>
      <c r="J66" s="26"/>
      <c r="K66" s="27"/>
      <c r="L66" s="8">
        <f>IF(A66="","",IFERROR(AVERAGEIFS('Grocery Spending'!$I$5:$I$404,'Grocery Spending'!$E$5:$E$404,A66),""))</f>
        <v>0</v>
      </c>
      <c r="M66" s="8">
        <f>IF(A66="","",IFERROR(AVERAGEIFS('Grocery Spending'!$I$5:$I$404,'Grocery Spending'!$E$5:$E$404,A66,'Grocery Spending'!$A$5:$A$404,SUMPRODUCT(MAX(('Grocery Spending'!$E$5:$E$404=A66)*'Grocery Spending'!$A$5:$A$404))),""))</f>
        <v>0</v>
      </c>
      <c r="N66" s="8">
        <f>IF(OR(A66="",M66="",L66=""),"",M66-L66)</f>
        <v>0</v>
      </c>
      <c r="O66" s="8">
        <f>IF(A66="","",SUMIFS(Pantry!$C$5:$C$304,Pantry!$A$5:$A$304,A66))</f>
        <v>0</v>
      </c>
      <c r="P66" s="8">
        <f>IF(A66="","",COUNTIFS('Grocery List'!$A$5:$A$304,A66))</f>
        <v>0</v>
      </c>
      <c r="Q66" s="8">
        <f>IF(OR(A66="",G66=""),"",COUNTIFS($G$5:$G$104,"&gt;"&amp;G66)+1)</f>
        <v>0</v>
      </c>
      <c r="R66" s="8">
        <f>IF(A66="","",IF(H66="Yes","Buy this week",IF(O66&lt;=0,"Out of stock","In stock")))</f>
        <v>0</v>
      </c>
      <c r="S66" s="25"/>
    </row>
    <row r="67" spans="1:19">
      <c r="A67" s="7"/>
      <c r="B67" s="8">
        <f>IF(A67="","",IFERROR(INDEX(Ingredients!$B$5:$B$304,MATCH(A67,Ingredients!$A$5:$A$304,0)),""))</f>
        <v>0</v>
      </c>
      <c r="C67" s="27"/>
      <c r="D67" s="26"/>
      <c r="E67" s="30"/>
      <c r="F67" s="26"/>
      <c r="G67" s="8">
        <f>IF(OR(A67="",E67=""),"",TODAY()-E67)</f>
        <v>0</v>
      </c>
      <c r="H67" s="8">
        <f>IF(OR(A67="",G67="",F67=""),"",IF(G67&gt;=F67,"Yes","No"))</f>
        <v>0</v>
      </c>
      <c r="I67" s="27"/>
      <c r="J67" s="26"/>
      <c r="K67" s="27"/>
      <c r="L67" s="8">
        <f>IF(A67="","",IFERROR(AVERAGEIFS('Grocery Spending'!$I$5:$I$404,'Grocery Spending'!$E$5:$E$404,A67),""))</f>
        <v>0</v>
      </c>
      <c r="M67" s="8">
        <f>IF(A67="","",IFERROR(AVERAGEIFS('Grocery Spending'!$I$5:$I$404,'Grocery Spending'!$E$5:$E$404,A67,'Grocery Spending'!$A$5:$A$404,SUMPRODUCT(MAX(('Grocery Spending'!$E$5:$E$404=A67)*'Grocery Spending'!$A$5:$A$404))),""))</f>
        <v>0</v>
      </c>
      <c r="N67" s="8">
        <f>IF(OR(A67="",M67="",L67=""),"",M67-L67)</f>
        <v>0</v>
      </c>
      <c r="O67" s="8">
        <f>IF(A67="","",SUMIFS(Pantry!$C$5:$C$304,Pantry!$A$5:$A$304,A67))</f>
        <v>0</v>
      </c>
      <c r="P67" s="8">
        <f>IF(A67="","",COUNTIFS('Grocery List'!$A$5:$A$304,A67))</f>
        <v>0</v>
      </c>
      <c r="Q67" s="8">
        <f>IF(OR(A67="",G67=""),"",COUNTIFS($G$5:$G$104,"&gt;"&amp;G67)+1)</f>
        <v>0</v>
      </c>
      <c r="R67" s="8">
        <f>IF(A67="","",IF(H67="Yes","Buy this week",IF(O67&lt;=0,"Out of stock","In stock")))</f>
        <v>0</v>
      </c>
      <c r="S67" s="25"/>
    </row>
    <row r="68" spans="1:19">
      <c r="A68" s="7"/>
      <c r="B68" s="8">
        <f>IF(A68="","",IFERROR(INDEX(Ingredients!$B$5:$B$304,MATCH(A68,Ingredients!$A$5:$A$304,0)),""))</f>
        <v>0</v>
      </c>
      <c r="C68" s="27"/>
      <c r="D68" s="26"/>
      <c r="E68" s="30"/>
      <c r="F68" s="26"/>
      <c r="G68" s="8">
        <f>IF(OR(A68="",E68=""),"",TODAY()-E68)</f>
        <v>0</v>
      </c>
      <c r="H68" s="8">
        <f>IF(OR(A68="",G68="",F68=""),"",IF(G68&gt;=F68,"Yes","No"))</f>
        <v>0</v>
      </c>
      <c r="I68" s="27"/>
      <c r="J68" s="26"/>
      <c r="K68" s="27"/>
      <c r="L68" s="8">
        <f>IF(A68="","",IFERROR(AVERAGEIFS('Grocery Spending'!$I$5:$I$404,'Grocery Spending'!$E$5:$E$404,A68),""))</f>
        <v>0</v>
      </c>
      <c r="M68" s="8">
        <f>IF(A68="","",IFERROR(AVERAGEIFS('Grocery Spending'!$I$5:$I$404,'Grocery Spending'!$E$5:$E$404,A68,'Grocery Spending'!$A$5:$A$404,SUMPRODUCT(MAX(('Grocery Spending'!$E$5:$E$404=A68)*'Grocery Spending'!$A$5:$A$404))),""))</f>
        <v>0</v>
      </c>
      <c r="N68" s="8">
        <f>IF(OR(A68="",M68="",L68=""),"",M68-L68)</f>
        <v>0</v>
      </c>
      <c r="O68" s="8">
        <f>IF(A68="","",SUMIFS(Pantry!$C$5:$C$304,Pantry!$A$5:$A$304,A68))</f>
        <v>0</v>
      </c>
      <c r="P68" s="8">
        <f>IF(A68="","",COUNTIFS('Grocery List'!$A$5:$A$304,A68))</f>
        <v>0</v>
      </c>
      <c r="Q68" s="8">
        <f>IF(OR(A68="",G68=""),"",COUNTIFS($G$5:$G$104,"&gt;"&amp;G68)+1)</f>
        <v>0</v>
      </c>
      <c r="R68" s="8">
        <f>IF(A68="","",IF(H68="Yes","Buy this week",IF(O68&lt;=0,"Out of stock","In stock")))</f>
        <v>0</v>
      </c>
      <c r="S68" s="25"/>
    </row>
    <row r="69" spans="1:19">
      <c r="A69" s="7"/>
      <c r="B69" s="8">
        <f>IF(A69="","",IFERROR(INDEX(Ingredients!$B$5:$B$304,MATCH(A69,Ingredients!$A$5:$A$304,0)),""))</f>
        <v>0</v>
      </c>
      <c r="C69" s="27"/>
      <c r="D69" s="26"/>
      <c r="E69" s="30"/>
      <c r="F69" s="26"/>
      <c r="G69" s="8">
        <f>IF(OR(A69="",E69=""),"",TODAY()-E69)</f>
        <v>0</v>
      </c>
      <c r="H69" s="8">
        <f>IF(OR(A69="",G69="",F69=""),"",IF(G69&gt;=F69,"Yes","No"))</f>
        <v>0</v>
      </c>
      <c r="I69" s="27"/>
      <c r="J69" s="26"/>
      <c r="K69" s="27"/>
      <c r="L69" s="8">
        <f>IF(A69="","",IFERROR(AVERAGEIFS('Grocery Spending'!$I$5:$I$404,'Grocery Spending'!$E$5:$E$404,A69),""))</f>
        <v>0</v>
      </c>
      <c r="M69" s="8">
        <f>IF(A69="","",IFERROR(AVERAGEIFS('Grocery Spending'!$I$5:$I$404,'Grocery Spending'!$E$5:$E$404,A69,'Grocery Spending'!$A$5:$A$404,SUMPRODUCT(MAX(('Grocery Spending'!$E$5:$E$404=A69)*'Grocery Spending'!$A$5:$A$404))),""))</f>
        <v>0</v>
      </c>
      <c r="N69" s="8">
        <f>IF(OR(A69="",M69="",L69=""),"",M69-L69)</f>
        <v>0</v>
      </c>
      <c r="O69" s="8">
        <f>IF(A69="","",SUMIFS(Pantry!$C$5:$C$304,Pantry!$A$5:$A$304,A69))</f>
        <v>0</v>
      </c>
      <c r="P69" s="8">
        <f>IF(A69="","",COUNTIFS('Grocery List'!$A$5:$A$304,A69))</f>
        <v>0</v>
      </c>
      <c r="Q69" s="8">
        <f>IF(OR(A69="",G69=""),"",COUNTIFS($G$5:$G$104,"&gt;"&amp;G69)+1)</f>
        <v>0</v>
      </c>
      <c r="R69" s="8">
        <f>IF(A69="","",IF(H69="Yes","Buy this week",IF(O69&lt;=0,"Out of stock","In stock")))</f>
        <v>0</v>
      </c>
      <c r="S69" s="25"/>
    </row>
    <row r="70" spans="1:19">
      <c r="A70" s="7"/>
      <c r="B70" s="8">
        <f>IF(A70="","",IFERROR(INDEX(Ingredients!$B$5:$B$304,MATCH(A70,Ingredients!$A$5:$A$304,0)),""))</f>
        <v>0</v>
      </c>
      <c r="C70" s="27"/>
      <c r="D70" s="26"/>
      <c r="E70" s="30"/>
      <c r="F70" s="26"/>
      <c r="G70" s="8">
        <f>IF(OR(A70="",E70=""),"",TODAY()-E70)</f>
        <v>0</v>
      </c>
      <c r="H70" s="8">
        <f>IF(OR(A70="",G70="",F70=""),"",IF(G70&gt;=F70,"Yes","No"))</f>
        <v>0</v>
      </c>
      <c r="I70" s="27"/>
      <c r="J70" s="26"/>
      <c r="K70" s="27"/>
      <c r="L70" s="8">
        <f>IF(A70="","",IFERROR(AVERAGEIFS('Grocery Spending'!$I$5:$I$404,'Grocery Spending'!$E$5:$E$404,A70),""))</f>
        <v>0</v>
      </c>
      <c r="M70" s="8">
        <f>IF(A70="","",IFERROR(AVERAGEIFS('Grocery Spending'!$I$5:$I$404,'Grocery Spending'!$E$5:$E$404,A70,'Grocery Spending'!$A$5:$A$404,SUMPRODUCT(MAX(('Grocery Spending'!$E$5:$E$404=A70)*'Grocery Spending'!$A$5:$A$404))),""))</f>
        <v>0</v>
      </c>
      <c r="N70" s="8">
        <f>IF(OR(A70="",M70="",L70=""),"",M70-L70)</f>
        <v>0</v>
      </c>
      <c r="O70" s="8">
        <f>IF(A70="","",SUMIFS(Pantry!$C$5:$C$304,Pantry!$A$5:$A$304,A70))</f>
        <v>0</v>
      </c>
      <c r="P70" s="8">
        <f>IF(A70="","",COUNTIFS('Grocery List'!$A$5:$A$304,A70))</f>
        <v>0</v>
      </c>
      <c r="Q70" s="8">
        <f>IF(OR(A70="",G70=""),"",COUNTIFS($G$5:$G$104,"&gt;"&amp;G70)+1)</f>
        <v>0</v>
      </c>
      <c r="R70" s="8">
        <f>IF(A70="","",IF(H70="Yes","Buy this week",IF(O70&lt;=0,"Out of stock","In stock")))</f>
        <v>0</v>
      </c>
      <c r="S70" s="25"/>
    </row>
    <row r="71" spans="1:19">
      <c r="A71" s="7"/>
      <c r="B71" s="8">
        <f>IF(A71="","",IFERROR(INDEX(Ingredients!$B$5:$B$304,MATCH(A71,Ingredients!$A$5:$A$304,0)),""))</f>
        <v>0</v>
      </c>
      <c r="C71" s="27"/>
      <c r="D71" s="26"/>
      <c r="E71" s="30"/>
      <c r="F71" s="26"/>
      <c r="G71" s="8">
        <f>IF(OR(A71="",E71=""),"",TODAY()-E71)</f>
        <v>0</v>
      </c>
      <c r="H71" s="8">
        <f>IF(OR(A71="",G71="",F71=""),"",IF(G71&gt;=F71,"Yes","No"))</f>
        <v>0</v>
      </c>
      <c r="I71" s="27"/>
      <c r="J71" s="26"/>
      <c r="K71" s="27"/>
      <c r="L71" s="8">
        <f>IF(A71="","",IFERROR(AVERAGEIFS('Grocery Spending'!$I$5:$I$404,'Grocery Spending'!$E$5:$E$404,A71),""))</f>
        <v>0</v>
      </c>
      <c r="M71" s="8">
        <f>IF(A71="","",IFERROR(AVERAGEIFS('Grocery Spending'!$I$5:$I$404,'Grocery Spending'!$E$5:$E$404,A71,'Grocery Spending'!$A$5:$A$404,SUMPRODUCT(MAX(('Grocery Spending'!$E$5:$E$404=A71)*'Grocery Spending'!$A$5:$A$404))),""))</f>
        <v>0</v>
      </c>
      <c r="N71" s="8">
        <f>IF(OR(A71="",M71="",L71=""),"",M71-L71)</f>
        <v>0</v>
      </c>
      <c r="O71" s="8">
        <f>IF(A71="","",SUMIFS(Pantry!$C$5:$C$304,Pantry!$A$5:$A$304,A71))</f>
        <v>0</v>
      </c>
      <c r="P71" s="8">
        <f>IF(A71="","",COUNTIFS('Grocery List'!$A$5:$A$304,A71))</f>
        <v>0</v>
      </c>
      <c r="Q71" s="8">
        <f>IF(OR(A71="",G71=""),"",COUNTIFS($G$5:$G$104,"&gt;"&amp;G71)+1)</f>
        <v>0</v>
      </c>
      <c r="R71" s="8">
        <f>IF(A71="","",IF(H71="Yes","Buy this week",IF(O71&lt;=0,"Out of stock","In stock")))</f>
        <v>0</v>
      </c>
      <c r="S71" s="25"/>
    </row>
    <row r="72" spans="1:19">
      <c r="A72" s="7"/>
      <c r="B72" s="8">
        <f>IF(A72="","",IFERROR(INDEX(Ingredients!$B$5:$B$304,MATCH(A72,Ingredients!$A$5:$A$304,0)),""))</f>
        <v>0</v>
      </c>
      <c r="C72" s="27"/>
      <c r="D72" s="26"/>
      <c r="E72" s="30"/>
      <c r="F72" s="26"/>
      <c r="G72" s="8">
        <f>IF(OR(A72="",E72=""),"",TODAY()-E72)</f>
        <v>0</v>
      </c>
      <c r="H72" s="8">
        <f>IF(OR(A72="",G72="",F72=""),"",IF(G72&gt;=F72,"Yes","No"))</f>
        <v>0</v>
      </c>
      <c r="I72" s="27"/>
      <c r="J72" s="26"/>
      <c r="K72" s="27"/>
      <c r="L72" s="8">
        <f>IF(A72="","",IFERROR(AVERAGEIFS('Grocery Spending'!$I$5:$I$404,'Grocery Spending'!$E$5:$E$404,A72),""))</f>
        <v>0</v>
      </c>
      <c r="M72" s="8">
        <f>IF(A72="","",IFERROR(AVERAGEIFS('Grocery Spending'!$I$5:$I$404,'Grocery Spending'!$E$5:$E$404,A72,'Grocery Spending'!$A$5:$A$404,SUMPRODUCT(MAX(('Grocery Spending'!$E$5:$E$404=A72)*'Grocery Spending'!$A$5:$A$404))),""))</f>
        <v>0</v>
      </c>
      <c r="N72" s="8">
        <f>IF(OR(A72="",M72="",L72=""),"",M72-L72)</f>
        <v>0</v>
      </c>
      <c r="O72" s="8">
        <f>IF(A72="","",SUMIFS(Pantry!$C$5:$C$304,Pantry!$A$5:$A$304,A72))</f>
        <v>0</v>
      </c>
      <c r="P72" s="8">
        <f>IF(A72="","",COUNTIFS('Grocery List'!$A$5:$A$304,A72))</f>
        <v>0</v>
      </c>
      <c r="Q72" s="8">
        <f>IF(OR(A72="",G72=""),"",COUNTIFS($G$5:$G$104,"&gt;"&amp;G72)+1)</f>
        <v>0</v>
      </c>
      <c r="R72" s="8">
        <f>IF(A72="","",IF(H72="Yes","Buy this week",IF(O72&lt;=0,"Out of stock","In stock")))</f>
        <v>0</v>
      </c>
      <c r="S72" s="25"/>
    </row>
    <row r="73" spans="1:19">
      <c r="A73" s="7"/>
      <c r="B73" s="8">
        <f>IF(A73="","",IFERROR(INDEX(Ingredients!$B$5:$B$304,MATCH(A73,Ingredients!$A$5:$A$304,0)),""))</f>
        <v>0</v>
      </c>
      <c r="C73" s="27"/>
      <c r="D73" s="26"/>
      <c r="E73" s="30"/>
      <c r="F73" s="26"/>
      <c r="G73" s="8">
        <f>IF(OR(A73="",E73=""),"",TODAY()-E73)</f>
        <v>0</v>
      </c>
      <c r="H73" s="8">
        <f>IF(OR(A73="",G73="",F73=""),"",IF(G73&gt;=F73,"Yes","No"))</f>
        <v>0</v>
      </c>
      <c r="I73" s="27"/>
      <c r="J73" s="26"/>
      <c r="K73" s="27"/>
      <c r="L73" s="8">
        <f>IF(A73="","",IFERROR(AVERAGEIFS('Grocery Spending'!$I$5:$I$404,'Grocery Spending'!$E$5:$E$404,A73),""))</f>
        <v>0</v>
      </c>
      <c r="M73" s="8">
        <f>IF(A73="","",IFERROR(AVERAGEIFS('Grocery Spending'!$I$5:$I$404,'Grocery Spending'!$E$5:$E$404,A73,'Grocery Spending'!$A$5:$A$404,SUMPRODUCT(MAX(('Grocery Spending'!$E$5:$E$404=A73)*'Grocery Spending'!$A$5:$A$404))),""))</f>
        <v>0</v>
      </c>
      <c r="N73" s="8">
        <f>IF(OR(A73="",M73="",L73=""),"",M73-L73)</f>
        <v>0</v>
      </c>
      <c r="O73" s="8">
        <f>IF(A73="","",SUMIFS(Pantry!$C$5:$C$304,Pantry!$A$5:$A$304,A73))</f>
        <v>0</v>
      </c>
      <c r="P73" s="8">
        <f>IF(A73="","",COUNTIFS('Grocery List'!$A$5:$A$304,A73))</f>
        <v>0</v>
      </c>
      <c r="Q73" s="8">
        <f>IF(OR(A73="",G73=""),"",COUNTIFS($G$5:$G$104,"&gt;"&amp;G73)+1)</f>
        <v>0</v>
      </c>
      <c r="R73" s="8">
        <f>IF(A73="","",IF(H73="Yes","Buy this week",IF(O73&lt;=0,"Out of stock","In stock")))</f>
        <v>0</v>
      </c>
      <c r="S73" s="25"/>
    </row>
    <row r="74" spans="1:19">
      <c r="A74" s="7"/>
      <c r="B74" s="8">
        <f>IF(A74="","",IFERROR(INDEX(Ingredients!$B$5:$B$304,MATCH(A74,Ingredients!$A$5:$A$304,0)),""))</f>
        <v>0</v>
      </c>
      <c r="C74" s="27"/>
      <c r="D74" s="26"/>
      <c r="E74" s="30"/>
      <c r="F74" s="26"/>
      <c r="G74" s="8">
        <f>IF(OR(A74="",E74=""),"",TODAY()-E74)</f>
        <v>0</v>
      </c>
      <c r="H74" s="8">
        <f>IF(OR(A74="",G74="",F74=""),"",IF(G74&gt;=F74,"Yes","No"))</f>
        <v>0</v>
      </c>
      <c r="I74" s="27"/>
      <c r="J74" s="26"/>
      <c r="K74" s="27"/>
      <c r="L74" s="8">
        <f>IF(A74="","",IFERROR(AVERAGEIFS('Grocery Spending'!$I$5:$I$404,'Grocery Spending'!$E$5:$E$404,A74),""))</f>
        <v>0</v>
      </c>
      <c r="M74" s="8">
        <f>IF(A74="","",IFERROR(AVERAGEIFS('Grocery Spending'!$I$5:$I$404,'Grocery Spending'!$E$5:$E$404,A74,'Grocery Spending'!$A$5:$A$404,SUMPRODUCT(MAX(('Grocery Spending'!$E$5:$E$404=A74)*'Grocery Spending'!$A$5:$A$404))),""))</f>
        <v>0</v>
      </c>
      <c r="N74" s="8">
        <f>IF(OR(A74="",M74="",L74=""),"",M74-L74)</f>
        <v>0</v>
      </c>
      <c r="O74" s="8">
        <f>IF(A74="","",SUMIFS(Pantry!$C$5:$C$304,Pantry!$A$5:$A$304,A74))</f>
        <v>0</v>
      </c>
      <c r="P74" s="8">
        <f>IF(A74="","",COUNTIFS('Grocery List'!$A$5:$A$304,A74))</f>
        <v>0</v>
      </c>
      <c r="Q74" s="8">
        <f>IF(OR(A74="",G74=""),"",COUNTIFS($G$5:$G$104,"&gt;"&amp;G74)+1)</f>
        <v>0</v>
      </c>
      <c r="R74" s="8">
        <f>IF(A74="","",IF(H74="Yes","Buy this week",IF(O74&lt;=0,"Out of stock","In stock")))</f>
        <v>0</v>
      </c>
      <c r="S74" s="25"/>
    </row>
    <row r="75" spans="1:19">
      <c r="A75" s="7"/>
      <c r="B75" s="8">
        <f>IF(A75="","",IFERROR(INDEX(Ingredients!$B$5:$B$304,MATCH(A75,Ingredients!$A$5:$A$304,0)),""))</f>
        <v>0</v>
      </c>
      <c r="C75" s="27"/>
      <c r="D75" s="26"/>
      <c r="E75" s="30"/>
      <c r="F75" s="26"/>
      <c r="G75" s="8">
        <f>IF(OR(A75="",E75=""),"",TODAY()-E75)</f>
        <v>0</v>
      </c>
      <c r="H75" s="8">
        <f>IF(OR(A75="",G75="",F75=""),"",IF(G75&gt;=F75,"Yes","No"))</f>
        <v>0</v>
      </c>
      <c r="I75" s="27"/>
      <c r="J75" s="26"/>
      <c r="K75" s="27"/>
      <c r="L75" s="8">
        <f>IF(A75="","",IFERROR(AVERAGEIFS('Grocery Spending'!$I$5:$I$404,'Grocery Spending'!$E$5:$E$404,A75),""))</f>
        <v>0</v>
      </c>
      <c r="M75" s="8">
        <f>IF(A75="","",IFERROR(AVERAGEIFS('Grocery Spending'!$I$5:$I$404,'Grocery Spending'!$E$5:$E$404,A75,'Grocery Spending'!$A$5:$A$404,SUMPRODUCT(MAX(('Grocery Spending'!$E$5:$E$404=A75)*'Grocery Spending'!$A$5:$A$404))),""))</f>
        <v>0</v>
      </c>
      <c r="N75" s="8">
        <f>IF(OR(A75="",M75="",L75=""),"",M75-L75)</f>
        <v>0</v>
      </c>
      <c r="O75" s="8">
        <f>IF(A75="","",SUMIFS(Pantry!$C$5:$C$304,Pantry!$A$5:$A$304,A75))</f>
        <v>0</v>
      </c>
      <c r="P75" s="8">
        <f>IF(A75="","",COUNTIFS('Grocery List'!$A$5:$A$304,A75))</f>
        <v>0</v>
      </c>
      <c r="Q75" s="8">
        <f>IF(OR(A75="",G75=""),"",COUNTIFS($G$5:$G$104,"&gt;"&amp;G75)+1)</f>
        <v>0</v>
      </c>
      <c r="R75" s="8">
        <f>IF(A75="","",IF(H75="Yes","Buy this week",IF(O75&lt;=0,"Out of stock","In stock")))</f>
        <v>0</v>
      </c>
      <c r="S75" s="25"/>
    </row>
    <row r="76" spans="1:19">
      <c r="A76" s="7"/>
      <c r="B76" s="8">
        <f>IF(A76="","",IFERROR(INDEX(Ingredients!$B$5:$B$304,MATCH(A76,Ingredients!$A$5:$A$304,0)),""))</f>
        <v>0</v>
      </c>
      <c r="C76" s="27"/>
      <c r="D76" s="26"/>
      <c r="E76" s="30"/>
      <c r="F76" s="26"/>
      <c r="G76" s="8">
        <f>IF(OR(A76="",E76=""),"",TODAY()-E76)</f>
        <v>0</v>
      </c>
      <c r="H76" s="8">
        <f>IF(OR(A76="",G76="",F76=""),"",IF(G76&gt;=F76,"Yes","No"))</f>
        <v>0</v>
      </c>
      <c r="I76" s="27"/>
      <c r="J76" s="26"/>
      <c r="K76" s="27"/>
      <c r="L76" s="8">
        <f>IF(A76="","",IFERROR(AVERAGEIFS('Grocery Spending'!$I$5:$I$404,'Grocery Spending'!$E$5:$E$404,A76),""))</f>
        <v>0</v>
      </c>
      <c r="M76" s="8">
        <f>IF(A76="","",IFERROR(AVERAGEIFS('Grocery Spending'!$I$5:$I$404,'Grocery Spending'!$E$5:$E$404,A76,'Grocery Spending'!$A$5:$A$404,SUMPRODUCT(MAX(('Grocery Spending'!$E$5:$E$404=A76)*'Grocery Spending'!$A$5:$A$404))),""))</f>
        <v>0</v>
      </c>
      <c r="N76" s="8">
        <f>IF(OR(A76="",M76="",L76=""),"",M76-L76)</f>
        <v>0</v>
      </c>
      <c r="O76" s="8">
        <f>IF(A76="","",SUMIFS(Pantry!$C$5:$C$304,Pantry!$A$5:$A$304,A76))</f>
        <v>0</v>
      </c>
      <c r="P76" s="8">
        <f>IF(A76="","",COUNTIFS('Grocery List'!$A$5:$A$304,A76))</f>
        <v>0</v>
      </c>
      <c r="Q76" s="8">
        <f>IF(OR(A76="",G76=""),"",COUNTIFS($G$5:$G$104,"&gt;"&amp;G76)+1)</f>
        <v>0</v>
      </c>
      <c r="R76" s="8">
        <f>IF(A76="","",IF(H76="Yes","Buy this week",IF(O76&lt;=0,"Out of stock","In stock")))</f>
        <v>0</v>
      </c>
      <c r="S76" s="25"/>
    </row>
    <row r="77" spans="1:19">
      <c r="A77" s="7"/>
      <c r="B77" s="8">
        <f>IF(A77="","",IFERROR(INDEX(Ingredients!$B$5:$B$304,MATCH(A77,Ingredients!$A$5:$A$304,0)),""))</f>
        <v>0</v>
      </c>
      <c r="C77" s="27"/>
      <c r="D77" s="26"/>
      <c r="E77" s="30"/>
      <c r="F77" s="26"/>
      <c r="G77" s="8">
        <f>IF(OR(A77="",E77=""),"",TODAY()-E77)</f>
        <v>0</v>
      </c>
      <c r="H77" s="8">
        <f>IF(OR(A77="",G77="",F77=""),"",IF(G77&gt;=F77,"Yes","No"))</f>
        <v>0</v>
      </c>
      <c r="I77" s="27"/>
      <c r="J77" s="26"/>
      <c r="K77" s="27"/>
      <c r="L77" s="8">
        <f>IF(A77="","",IFERROR(AVERAGEIFS('Grocery Spending'!$I$5:$I$404,'Grocery Spending'!$E$5:$E$404,A77),""))</f>
        <v>0</v>
      </c>
      <c r="M77" s="8">
        <f>IF(A77="","",IFERROR(AVERAGEIFS('Grocery Spending'!$I$5:$I$404,'Grocery Spending'!$E$5:$E$404,A77,'Grocery Spending'!$A$5:$A$404,SUMPRODUCT(MAX(('Grocery Spending'!$E$5:$E$404=A77)*'Grocery Spending'!$A$5:$A$404))),""))</f>
        <v>0</v>
      </c>
      <c r="N77" s="8">
        <f>IF(OR(A77="",M77="",L77=""),"",M77-L77)</f>
        <v>0</v>
      </c>
      <c r="O77" s="8">
        <f>IF(A77="","",SUMIFS(Pantry!$C$5:$C$304,Pantry!$A$5:$A$304,A77))</f>
        <v>0</v>
      </c>
      <c r="P77" s="8">
        <f>IF(A77="","",COUNTIFS('Grocery List'!$A$5:$A$304,A77))</f>
        <v>0</v>
      </c>
      <c r="Q77" s="8">
        <f>IF(OR(A77="",G77=""),"",COUNTIFS($G$5:$G$104,"&gt;"&amp;G77)+1)</f>
        <v>0</v>
      </c>
      <c r="R77" s="8">
        <f>IF(A77="","",IF(H77="Yes","Buy this week",IF(O77&lt;=0,"Out of stock","In stock")))</f>
        <v>0</v>
      </c>
      <c r="S77" s="25"/>
    </row>
    <row r="78" spans="1:19">
      <c r="A78" s="7"/>
      <c r="B78" s="8">
        <f>IF(A78="","",IFERROR(INDEX(Ingredients!$B$5:$B$304,MATCH(A78,Ingredients!$A$5:$A$304,0)),""))</f>
        <v>0</v>
      </c>
      <c r="C78" s="27"/>
      <c r="D78" s="26"/>
      <c r="E78" s="30"/>
      <c r="F78" s="26"/>
      <c r="G78" s="8">
        <f>IF(OR(A78="",E78=""),"",TODAY()-E78)</f>
        <v>0</v>
      </c>
      <c r="H78" s="8">
        <f>IF(OR(A78="",G78="",F78=""),"",IF(G78&gt;=F78,"Yes","No"))</f>
        <v>0</v>
      </c>
      <c r="I78" s="27"/>
      <c r="J78" s="26"/>
      <c r="K78" s="27"/>
      <c r="L78" s="8">
        <f>IF(A78="","",IFERROR(AVERAGEIFS('Grocery Spending'!$I$5:$I$404,'Grocery Spending'!$E$5:$E$404,A78),""))</f>
        <v>0</v>
      </c>
      <c r="M78" s="8">
        <f>IF(A78="","",IFERROR(AVERAGEIFS('Grocery Spending'!$I$5:$I$404,'Grocery Spending'!$E$5:$E$404,A78,'Grocery Spending'!$A$5:$A$404,SUMPRODUCT(MAX(('Grocery Spending'!$E$5:$E$404=A78)*'Grocery Spending'!$A$5:$A$404))),""))</f>
        <v>0</v>
      </c>
      <c r="N78" s="8">
        <f>IF(OR(A78="",M78="",L78=""),"",M78-L78)</f>
        <v>0</v>
      </c>
      <c r="O78" s="8">
        <f>IF(A78="","",SUMIFS(Pantry!$C$5:$C$304,Pantry!$A$5:$A$304,A78))</f>
        <v>0</v>
      </c>
      <c r="P78" s="8">
        <f>IF(A78="","",COUNTIFS('Grocery List'!$A$5:$A$304,A78))</f>
        <v>0</v>
      </c>
      <c r="Q78" s="8">
        <f>IF(OR(A78="",G78=""),"",COUNTIFS($G$5:$G$104,"&gt;"&amp;G78)+1)</f>
        <v>0</v>
      </c>
      <c r="R78" s="8">
        <f>IF(A78="","",IF(H78="Yes","Buy this week",IF(O78&lt;=0,"Out of stock","In stock")))</f>
        <v>0</v>
      </c>
      <c r="S78" s="25"/>
    </row>
    <row r="79" spans="1:19">
      <c r="A79" s="7"/>
      <c r="B79" s="8">
        <f>IF(A79="","",IFERROR(INDEX(Ingredients!$B$5:$B$304,MATCH(A79,Ingredients!$A$5:$A$304,0)),""))</f>
        <v>0</v>
      </c>
      <c r="C79" s="27"/>
      <c r="D79" s="26"/>
      <c r="E79" s="30"/>
      <c r="F79" s="26"/>
      <c r="G79" s="8">
        <f>IF(OR(A79="",E79=""),"",TODAY()-E79)</f>
        <v>0</v>
      </c>
      <c r="H79" s="8">
        <f>IF(OR(A79="",G79="",F79=""),"",IF(G79&gt;=F79,"Yes","No"))</f>
        <v>0</v>
      </c>
      <c r="I79" s="27"/>
      <c r="J79" s="26"/>
      <c r="K79" s="27"/>
      <c r="L79" s="8">
        <f>IF(A79="","",IFERROR(AVERAGEIFS('Grocery Spending'!$I$5:$I$404,'Grocery Spending'!$E$5:$E$404,A79),""))</f>
        <v>0</v>
      </c>
      <c r="M79" s="8">
        <f>IF(A79="","",IFERROR(AVERAGEIFS('Grocery Spending'!$I$5:$I$404,'Grocery Spending'!$E$5:$E$404,A79,'Grocery Spending'!$A$5:$A$404,SUMPRODUCT(MAX(('Grocery Spending'!$E$5:$E$404=A79)*'Grocery Spending'!$A$5:$A$404))),""))</f>
        <v>0</v>
      </c>
      <c r="N79" s="8">
        <f>IF(OR(A79="",M79="",L79=""),"",M79-L79)</f>
        <v>0</v>
      </c>
      <c r="O79" s="8">
        <f>IF(A79="","",SUMIFS(Pantry!$C$5:$C$304,Pantry!$A$5:$A$304,A79))</f>
        <v>0</v>
      </c>
      <c r="P79" s="8">
        <f>IF(A79="","",COUNTIFS('Grocery List'!$A$5:$A$304,A79))</f>
        <v>0</v>
      </c>
      <c r="Q79" s="8">
        <f>IF(OR(A79="",G79=""),"",COUNTIFS($G$5:$G$104,"&gt;"&amp;G79)+1)</f>
        <v>0</v>
      </c>
      <c r="R79" s="8">
        <f>IF(A79="","",IF(H79="Yes","Buy this week",IF(O79&lt;=0,"Out of stock","In stock")))</f>
        <v>0</v>
      </c>
      <c r="S79" s="25"/>
    </row>
    <row r="80" spans="1:19">
      <c r="A80" s="7"/>
      <c r="B80" s="8">
        <f>IF(A80="","",IFERROR(INDEX(Ingredients!$B$5:$B$304,MATCH(A80,Ingredients!$A$5:$A$304,0)),""))</f>
        <v>0</v>
      </c>
      <c r="C80" s="27"/>
      <c r="D80" s="26"/>
      <c r="E80" s="30"/>
      <c r="F80" s="26"/>
      <c r="G80" s="8">
        <f>IF(OR(A80="",E80=""),"",TODAY()-E80)</f>
        <v>0</v>
      </c>
      <c r="H80" s="8">
        <f>IF(OR(A80="",G80="",F80=""),"",IF(G80&gt;=F80,"Yes","No"))</f>
        <v>0</v>
      </c>
      <c r="I80" s="27"/>
      <c r="J80" s="26"/>
      <c r="K80" s="27"/>
      <c r="L80" s="8">
        <f>IF(A80="","",IFERROR(AVERAGEIFS('Grocery Spending'!$I$5:$I$404,'Grocery Spending'!$E$5:$E$404,A80),""))</f>
        <v>0</v>
      </c>
      <c r="M80" s="8">
        <f>IF(A80="","",IFERROR(AVERAGEIFS('Grocery Spending'!$I$5:$I$404,'Grocery Spending'!$E$5:$E$404,A80,'Grocery Spending'!$A$5:$A$404,SUMPRODUCT(MAX(('Grocery Spending'!$E$5:$E$404=A80)*'Grocery Spending'!$A$5:$A$404))),""))</f>
        <v>0</v>
      </c>
      <c r="N80" s="8">
        <f>IF(OR(A80="",M80="",L80=""),"",M80-L80)</f>
        <v>0</v>
      </c>
      <c r="O80" s="8">
        <f>IF(A80="","",SUMIFS(Pantry!$C$5:$C$304,Pantry!$A$5:$A$304,A80))</f>
        <v>0</v>
      </c>
      <c r="P80" s="8">
        <f>IF(A80="","",COUNTIFS('Grocery List'!$A$5:$A$304,A80))</f>
        <v>0</v>
      </c>
      <c r="Q80" s="8">
        <f>IF(OR(A80="",G80=""),"",COUNTIFS($G$5:$G$104,"&gt;"&amp;G80)+1)</f>
        <v>0</v>
      </c>
      <c r="R80" s="8">
        <f>IF(A80="","",IF(H80="Yes","Buy this week",IF(O80&lt;=0,"Out of stock","In stock")))</f>
        <v>0</v>
      </c>
      <c r="S80" s="25"/>
    </row>
    <row r="81" spans="1:19">
      <c r="A81" s="7"/>
      <c r="B81" s="8">
        <f>IF(A81="","",IFERROR(INDEX(Ingredients!$B$5:$B$304,MATCH(A81,Ingredients!$A$5:$A$304,0)),""))</f>
        <v>0</v>
      </c>
      <c r="C81" s="27"/>
      <c r="D81" s="26"/>
      <c r="E81" s="30"/>
      <c r="F81" s="26"/>
      <c r="G81" s="8">
        <f>IF(OR(A81="",E81=""),"",TODAY()-E81)</f>
        <v>0</v>
      </c>
      <c r="H81" s="8">
        <f>IF(OR(A81="",G81="",F81=""),"",IF(G81&gt;=F81,"Yes","No"))</f>
        <v>0</v>
      </c>
      <c r="I81" s="27"/>
      <c r="J81" s="26"/>
      <c r="K81" s="27"/>
      <c r="L81" s="8">
        <f>IF(A81="","",IFERROR(AVERAGEIFS('Grocery Spending'!$I$5:$I$404,'Grocery Spending'!$E$5:$E$404,A81),""))</f>
        <v>0</v>
      </c>
      <c r="M81" s="8">
        <f>IF(A81="","",IFERROR(AVERAGEIFS('Grocery Spending'!$I$5:$I$404,'Grocery Spending'!$E$5:$E$404,A81,'Grocery Spending'!$A$5:$A$404,SUMPRODUCT(MAX(('Grocery Spending'!$E$5:$E$404=A81)*'Grocery Spending'!$A$5:$A$404))),""))</f>
        <v>0</v>
      </c>
      <c r="N81" s="8">
        <f>IF(OR(A81="",M81="",L81=""),"",M81-L81)</f>
        <v>0</v>
      </c>
      <c r="O81" s="8">
        <f>IF(A81="","",SUMIFS(Pantry!$C$5:$C$304,Pantry!$A$5:$A$304,A81))</f>
        <v>0</v>
      </c>
      <c r="P81" s="8">
        <f>IF(A81="","",COUNTIFS('Grocery List'!$A$5:$A$304,A81))</f>
        <v>0</v>
      </c>
      <c r="Q81" s="8">
        <f>IF(OR(A81="",G81=""),"",COUNTIFS($G$5:$G$104,"&gt;"&amp;G81)+1)</f>
        <v>0</v>
      </c>
      <c r="R81" s="8">
        <f>IF(A81="","",IF(H81="Yes","Buy this week",IF(O81&lt;=0,"Out of stock","In stock")))</f>
        <v>0</v>
      </c>
      <c r="S81" s="25"/>
    </row>
    <row r="82" spans="1:19">
      <c r="A82" s="7"/>
      <c r="B82" s="8">
        <f>IF(A82="","",IFERROR(INDEX(Ingredients!$B$5:$B$304,MATCH(A82,Ingredients!$A$5:$A$304,0)),""))</f>
        <v>0</v>
      </c>
      <c r="C82" s="27"/>
      <c r="D82" s="26"/>
      <c r="E82" s="30"/>
      <c r="F82" s="26"/>
      <c r="G82" s="8">
        <f>IF(OR(A82="",E82=""),"",TODAY()-E82)</f>
        <v>0</v>
      </c>
      <c r="H82" s="8">
        <f>IF(OR(A82="",G82="",F82=""),"",IF(G82&gt;=F82,"Yes","No"))</f>
        <v>0</v>
      </c>
      <c r="I82" s="27"/>
      <c r="J82" s="26"/>
      <c r="K82" s="27"/>
      <c r="L82" s="8">
        <f>IF(A82="","",IFERROR(AVERAGEIFS('Grocery Spending'!$I$5:$I$404,'Grocery Spending'!$E$5:$E$404,A82),""))</f>
        <v>0</v>
      </c>
      <c r="M82" s="8">
        <f>IF(A82="","",IFERROR(AVERAGEIFS('Grocery Spending'!$I$5:$I$404,'Grocery Spending'!$E$5:$E$404,A82,'Grocery Spending'!$A$5:$A$404,SUMPRODUCT(MAX(('Grocery Spending'!$E$5:$E$404=A82)*'Grocery Spending'!$A$5:$A$404))),""))</f>
        <v>0</v>
      </c>
      <c r="N82" s="8">
        <f>IF(OR(A82="",M82="",L82=""),"",M82-L82)</f>
        <v>0</v>
      </c>
      <c r="O82" s="8">
        <f>IF(A82="","",SUMIFS(Pantry!$C$5:$C$304,Pantry!$A$5:$A$304,A82))</f>
        <v>0</v>
      </c>
      <c r="P82" s="8">
        <f>IF(A82="","",COUNTIFS('Grocery List'!$A$5:$A$304,A82))</f>
        <v>0</v>
      </c>
      <c r="Q82" s="8">
        <f>IF(OR(A82="",G82=""),"",COUNTIFS($G$5:$G$104,"&gt;"&amp;G82)+1)</f>
        <v>0</v>
      </c>
      <c r="R82" s="8">
        <f>IF(A82="","",IF(H82="Yes","Buy this week",IF(O82&lt;=0,"Out of stock","In stock")))</f>
        <v>0</v>
      </c>
      <c r="S82" s="25"/>
    </row>
    <row r="83" spans="1:19">
      <c r="A83" s="7"/>
      <c r="B83" s="8">
        <f>IF(A83="","",IFERROR(INDEX(Ingredients!$B$5:$B$304,MATCH(A83,Ingredients!$A$5:$A$304,0)),""))</f>
        <v>0</v>
      </c>
      <c r="C83" s="27"/>
      <c r="D83" s="26"/>
      <c r="E83" s="30"/>
      <c r="F83" s="26"/>
      <c r="G83" s="8">
        <f>IF(OR(A83="",E83=""),"",TODAY()-E83)</f>
        <v>0</v>
      </c>
      <c r="H83" s="8">
        <f>IF(OR(A83="",G83="",F83=""),"",IF(G83&gt;=F83,"Yes","No"))</f>
        <v>0</v>
      </c>
      <c r="I83" s="27"/>
      <c r="J83" s="26"/>
      <c r="K83" s="27"/>
      <c r="L83" s="8">
        <f>IF(A83="","",IFERROR(AVERAGEIFS('Grocery Spending'!$I$5:$I$404,'Grocery Spending'!$E$5:$E$404,A83),""))</f>
        <v>0</v>
      </c>
      <c r="M83" s="8">
        <f>IF(A83="","",IFERROR(AVERAGEIFS('Grocery Spending'!$I$5:$I$404,'Grocery Spending'!$E$5:$E$404,A83,'Grocery Spending'!$A$5:$A$404,SUMPRODUCT(MAX(('Grocery Spending'!$E$5:$E$404=A83)*'Grocery Spending'!$A$5:$A$404))),""))</f>
        <v>0</v>
      </c>
      <c r="N83" s="8">
        <f>IF(OR(A83="",M83="",L83=""),"",M83-L83)</f>
        <v>0</v>
      </c>
      <c r="O83" s="8">
        <f>IF(A83="","",SUMIFS(Pantry!$C$5:$C$304,Pantry!$A$5:$A$304,A83))</f>
        <v>0</v>
      </c>
      <c r="P83" s="8">
        <f>IF(A83="","",COUNTIFS('Grocery List'!$A$5:$A$304,A83))</f>
        <v>0</v>
      </c>
      <c r="Q83" s="8">
        <f>IF(OR(A83="",G83=""),"",COUNTIFS($G$5:$G$104,"&gt;"&amp;G83)+1)</f>
        <v>0</v>
      </c>
      <c r="R83" s="8">
        <f>IF(A83="","",IF(H83="Yes","Buy this week",IF(O83&lt;=0,"Out of stock","In stock")))</f>
        <v>0</v>
      </c>
      <c r="S83" s="25"/>
    </row>
    <row r="84" spans="1:19">
      <c r="A84" s="7"/>
      <c r="B84" s="8">
        <f>IF(A84="","",IFERROR(INDEX(Ingredients!$B$5:$B$304,MATCH(A84,Ingredients!$A$5:$A$304,0)),""))</f>
        <v>0</v>
      </c>
      <c r="C84" s="27"/>
      <c r="D84" s="26"/>
      <c r="E84" s="30"/>
      <c r="F84" s="26"/>
      <c r="G84" s="8">
        <f>IF(OR(A84="",E84=""),"",TODAY()-E84)</f>
        <v>0</v>
      </c>
      <c r="H84" s="8">
        <f>IF(OR(A84="",G84="",F84=""),"",IF(G84&gt;=F84,"Yes","No"))</f>
        <v>0</v>
      </c>
      <c r="I84" s="27"/>
      <c r="J84" s="26"/>
      <c r="K84" s="27"/>
      <c r="L84" s="8">
        <f>IF(A84="","",IFERROR(AVERAGEIFS('Grocery Spending'!$I$5:$I$404,'Grocery Spending'!$E$5:$E$404,A84),""))</f>
        <v>0</v>
      </c>
      <c r="M84" s="8">
        <f>IF(A84="","",IFERROR(AVERAGEIFS('Grocery Spending'!$I$5:$I$404,'Grocery Spending'!$E$5:$E$404,A84,'Grocery Spending'!$A$5:$A$404,SUMPRODUCT(MAX(('Grocery Spending'!$E$5:$E$404=A84)*'Grocery Spending'!$A$5:$A$404))),""))</f>
        <v>0</v>
      </c>
      <c r="N84" s="8">
        <f>IF(OR(A84="",M84="",L84=""),"",M84-L84)</f>
        <v>0</v>
      </c>
      <c r="O84" s="8">
        <f>IF(A84="","",SUMIFS(Pantry!$C$5:$C$304,Pantry!$A$5:$A$304,A84))</f>
        <v>0</v>
      </c>
      <c r="P84" s="8">
        <f>IF(A84="","",COUNTIFS('Grocery List'!$A$5:$A$304,A84))</f>
        <v>0</v>
      </c>
      <c r="Q84" s="8">
        <f>IF(OR(A84="",G84=""),"",COUNTIFS($G$5:$G$104,"&gt;"&amp;G84)+1)</f>
        <v>0</v>
      </c>
      <c r="R84" s="8">
        <f>IF(A84="","",IF(H84="Yes","Buy this week",IF(O84&lt;=0,"Out of stock","In stock")))</f>
        <v>0</v>
      </c>
      <c r="S84" s="25"/>
    </row>
    <row r="85" spans="1:19">
      <c r="A85" s="7"/>
      <c r="B85" s="8">
        <f>IF(A85="","",IFERROR(INDEX(Ingredients!$B$5:$B$304,MATCH(A85,Ingredients!$A$5:$A$304,0)),""))</f>
        <v>0</v>
      </c>
      <c r="C85" s="27"/>
      <c r="D85" s="26"/>
      <c r="E85" s="30"/>
      <c r="F85" s="26"/>
      <c r="G85" s="8">
        <f>IF(OR(A85="",E85=""),"",TODAY()-E85)</f>
        <v>0</v>
      </c>
      <c r="H85" s="8">
        <f>IF(OR(A85="",G85="",F85=""),"",IF(G85&gt;=F85,"Yes","No"))</f>
        <v>0</v>
      </c>
      <c r="I85" s="27"/>
      <c r="J85" s="26"/>
      <c r="K85" s="27"/>
      <c r="L85" s="8">
        <f>IF(A85="","",IFERROR(AVERAGEIFS('Grocery Spending'!$I$5:$I$404,'Grocery Spending'!$E$5:$E$404,A85),""))</f>
        <v>0</v>
      </c>
      <c r="M85" s="8">
        <f>IF(A85="","",IFERROR(AVERAGEIFS('Grocery Spending'!$I$5:$I$404,'Grocery Spending'!$E$5:$E$404,A85,'Grocery Spending'!$A$5:$A$404,SUMPRODUCT(MAX(('Grocery Spending'!$E$5:$E$404=A85)*'Grocery Spending'!$A$5:$A$404))),""))</f>
        <v>0</v>
      </c>
      <c r="N85" s="8">
        <f>IF(OR(A85="",M85="",L85=""),"",M85-L85)</f>
        <v>0</v>
      </c>
      <c r="O85" s="8">
        <f>IF(A85="","",SUMIFS(Pantry!$C$5:$C$304,Pantry!$A$5:$A$304,A85))</f>
        <v>0</v>
      </c>
      <c r="P85" s="8">
        <f>IF(A85="","",COUNTIFS('Grocery List'!$A$5:$A$304,A85))</f>
        <v>0</v>
      </c>
      <c r="Q85" s="8">
        <f>IF(OR(A85="",G85=""),"",COUNTIFS($G$5:$G$104,"&gt;"&amp;G85)+1)</f>
        <v>0</v>
      </c>
      <c r="R85" s="8">
        <f>IF(A85="","",IF(H85="Yes","Buy this week",IF(O85&lt;=0,"Out of stock","In stock")))</f>
        <v>0</v>
      </c>
      <c r="S85" s="25"/>
    </row>
    <row r="86" spans="1:19">
      <c r="A86" s="7"/>
      <c r="B86" s="8">
        <f>IF(A86="","",IFERROR(INDEX(Ingredients!$B$5:$B$304,MATCH(A86,Ingredients!$A$5:$A$304,0)),""))</f>
        <v>0</v>
      </c>
      <c r="C86" s="27"/>
      <c r="D86" s="26"/>
      <c r="E86" s="30"/>
      <c r="F86" s="26"/>
      <c r="G86" s="8">
        <f>IF(OR(A86="",E86=""),"",TODAY()-E86)</f>
        <v>0</v>
      </c>
      <c r="H86" s="8">
        <f>IF(OR(A86="",G86="",F86=""),"",IF(G86&gt;=F86,"Yes","No"))</f>
        <v>0</v>
      </c>
      <c r="I86" s="27"/>
      <c r="J86" s="26"/>
      <c r="K86" s="27"/>
      <c r="L86" s="8">
        <f>IF(A86="","",IFERROR(AVERAGEIFS('Grocery Spending'!$I$5:$I$404,'Grocery Spending'!$E$5:$E$404,A86),""))</f>
        <v>0</v>
      </c>
      <c r="M86" s="8">
        <f>IF(A86="","",IFERROR(AVERAGEIFS('Grocery Spending'!$I$5:$I$404,'Grocery Spending'!$E$5:$E$404,A86,'Grocery Spending'!$A$5:$A$404,SUMPRODUCT(MAX(('Grocery Spending'!$E$5:$E$404=A86)*'Grocery Spending'!$A$5:$A$404))),""))</f>
        <v>0</v>
      </c>
      <c r="N86" s="8">
        <f>IF(OR(A86="",M86="",L86=""),"",M86-L86)</f>
        <v>0</v>
      </c>
      <c r="O86" s="8">
        <f>IF(A86="","",SUMIFS(Pantry!$C$5:$C$304,Pantry!$A$5:$A$304,A86))</f>
        <v>0</v>
      </c>
      <c r="P86" s="8">
        <f>IF(A86="","",COUNTIFS('Grocery List'!$A$5:$A$304,A86))</f>
        <v>0</v>
      </c>
      <c r="Q86" s="8">
        <f>IF(OR(A86="",G86=""),"",COUNTIFS($G$5:$G$104,"&gt;"&amp;G86)+1)</f>
        <v>0</v>
      </c>
      <c r="R86" s="8">
        <f>IF(A86="","",IF(H86="Yes","Buy this week",IF(O86&lt;=0,"Out of stock","In stock")))</f>
        <v>0</v>
      </c>
      <c r="S86" s="25"/>
    </row>
    <row r="87" spans="1:19">
      <c r="A87" s="7"/>
      <c r="B87" s="8">
        <f>IF(A87="","",IFERROR(INDEX(Ingredients!$B$5:$B$304,MATCH(A87,Ingredients!$A$5:$A$304,0)),""))</f>
        <v>0</v>
      </c>
      <c r="C87" s="27"/>
      <c r="D87" s="26"/>
      <c r="E87" s="30"/>
      <c r="F87" s="26"/>
      <c r="G87" s="8">
        <f>IF(OR(A87="",E87=""),"",TODAY()-E87)</f>
        <v>0</v>
      </c>
      <c r="H87" s="8">
        <f>IF(OR(A87="",G87="",F87=""),"",IF(G87&gt;=F87,"Yes","No"))</f>
        <v>0</v>
      </c>
      <c r="I87" s="27"/>
      <c r="J87" s="26"/>
      <c r="K87" s="27"/>
      <c r="L87" s="8">
        <f>IF(A87="","",IFERROR(AVERAGEIFS('Grocery Spending'!$I$5:$I$404,'Grocery Spending'!$E$5:$E$404,A87),""))</f>
        <v>0</v>
      </c>
      <c r="M87" s="8">
        <f>IF(A87="","",IFERROR(AVERAGEIFS('Grocery Spending'!$I$5:$I$404,'Grocery Spending'!$E$5:$E$404,A87,'Grocery Spending'!$A$5:$A$404,SUMPRODUCT(MAX(('Grocery Spending'!$E$5:$E$404=A87)*'Grocery Spending'!$A$5:$A$404))),""))</f>
        <v>0</v>
      </c>
      <c r="N87" s="8">
        <f>IF(OR(A87="",M87="",L87=""),"",M87-L87)</f>
        <v>0</v>
      </c>
      <c r="O87" s="8">
        <f>IF(A87="","",SUMIFS(Pantry!$C$5:$C$304,Pantry!$A$5:$A$304,A87))</f>
        <v>0</v>
      </c>
      <c r="P87" s="8">
        <f>IF(A87="","",COUNTIFS('Grocery List'!$A$5:$A$304,A87))</f>
        <v>0</v>
      </c>
      <c r="Q87" s="8">
        <f>IF(OR(A87="",G87=""),"",COUNTIFS($G$5:$G$104,"&gt;"&amp;G87)+1)</f>
        <v>0</v>
      </c>
      <c r="R87" s="8">
        <f>IF(A87="","",IF(H87="Yes","Buy this week",IF(O87&lt;=0,"Out of stock","In stock")))</f>
        <v>0</v>
      </c>
      <c r="S87" s="25"/>
    </row>
    <row r="88" spans="1:19">
      <c r="A88" s="7"/>
      <c r="B88" s="8">
        <f>IF(A88="","",IFERROR(INDEX(Ingredients!$B$5:$B$304,MATCH(A88,Ingredients!$A$5:$A$304,0)),""))</f>
        <v>0</v>
      </c>
      <c r="C88" s="27"/>
      <c r="D88" s="26"/>
      <c r="E88" s="30"/>
      <c r="F88" s="26"/>
      <c r="G88" s="8">
        <f>IF(OR(A88="",E88=""),"",TODAY()-E88)</f>
        <v>0</v>
      </c>
      <c r="H88" s="8">
        <f>IF(OR(A88="",G88="",F88=""),"",IF(G88&gt;=F88,"Yes","No"))</f>
        <v>0</v>
      </c>
      <c r="I88" s="27"/>
      <c r="J88" s="26"/>
      <c r="K88" s="27"/>
      <c r="L88" s="8">
        <f>IF(A88="","",IFERROR(AVERAGEIFS('Grocery Spending'!$I$5:$I$404,'Grocery Spending'!$E$5:$E$404,A88),""))</f>
        <v>0</v>
      </c>
      <c r="M88" s="8">
        <f>IF(A88="","",IFERROR(AVERAGEIFS('Grocery Spending'!$I$5:$I$404,'Grocery Spending'!$E$5:$E$404,A88,'Grocery Spending'!$A$5:$A$404,SUMPRODUCT(MAX(('Grocery Spending'!$E$5:$E$404=A88)*'Grocery Spending'!$A$5:$A$404))),""))</f>
        <v>0</v>
      </c>
      <c r="N88" s="8">
        <f>IF(OR(A88="",M88="",L88=""),"",M88-L88)</f>
        <v>0</v>
      </c>
      <c r="O88" s="8">
        <f>IF(A88="","",SUMIFS(Pantry!$C$5:$C$304,Pantry!$A$5:$A$304,A88))</f>
        <v>0</v>
      </c>
      <c r="P88" s="8">
        <f>IF(A88="","",COUNTIFS('Grocery List'!$A$5:$A$304,A88))</f>
        <v>0</v>
      </c>
      <c r="Q88" s="8">
        <f>IF(OR(A88="",G88=""),"",COUNTIFS($G$5:$G$104,"&gt;"&amp;G88)+1)</f>
        <v>0</v>
      </c>
      <c r="R88" s="8">
        <f>IF(A88="","",IF(H88="Yes","Buy this week",IF(O88&lt;=0,"Out of stock","In stock")))</f>
        <v>0</v>
      </c>
      <c r="S88" s="25"/>
    </row>
    <row r="89" spans="1:19">
      <c r="A89" s="7"/>
      <c r="B89" s="8">
        <f>IF(A89="","",IFERROR(INDEX(Ingredients!$B$5:$B$304,MATCH(A89,Ingredients!$A$5:$A$304,0)),""))</f>
        <v>0</v>
      </c>
      <c r="C89" s="27"/>
      <c r="D89" s="26"/>
      <c r="E89" s="30"/>
      <c r="F89" s="26"/>
      <c r="G89" s="8">
        <f>IF(OR(A89="",E89=""),"",TODAY()-E89)</f>
        <v>0</v>
      </c>
      <c r="H89" s="8">
        <f>IF(OR(A89="",G89="",F89=""),"",IF(G89&gt;=F89,"Yes","No"))</f>
        <v>0</v>
      </c>
      <c r="I89" s="27"/>
      <c r="J89" s="26"/>
      <c r="K89" s="27"/>
      <c r="L89" s="8">
        <f>IF(A89="","",IFERROR(AVERAGEIFS('Grocery Spending'!$I$5:$I$404,'Grocery Spending'!$E$5:$E$404,A89),""))</f>
        <v>0</v>
      </c>
      <c r="M89" s="8">
        <f>IF(A89="","",IFERROR(AVERAGEIFS('Grocery Spending'!$I$5:$I$404,'Grocery Spending'!$E$5:$E$404,A89,'Grocery Spending'!$A$5:$A$404,SUMPRODUCT(MAX(('Grocery Spending'!$E$5:$E$404=A89)*'Grocery Spending'!$A$5:$A$404))),""))</f>
        <v>0</v>
      </c>
      <c r="N89" s="8">
        <f>IF(OR(A89="",M89="",L89=""),"",M89-L89)</f>
        <v>0</v>
      </c>
      <c r="O89" s="8">
        <f>IF(A89="","",SUMIFS(Pantry!$C$5:$C$304,Pantry!$A$5:$A$304,A89))</f>
        <v>0</v>
      </c>
      <c r="P89" s="8">
        <f>IF(A89="","",COUNTIFS('Grocery List'!$A$5:$A$304,A89))</f>
        <v>0</v>
      </c>
      <c r="Q89" s="8">
        <f>IF(OR(A89="",G89=""),"",COUNTIFS($G$5:$G$104,"&gt;"&amp;G89)+1)</f>
        <v>0</v>
      </c>
      <c r="R89" s="8">
        <f>IF(A89="","",IF(H89="Yes","Buy this week",IF(O89&lt;=0,"Out of stock","In stock")))</f>
        <v>0</v>
      </c>
      <c r="S89" s="25"/>
    </row>
    <row r="90" spans="1:19">
      <c r="A90" s="7"/>
      <c r="B90" s="8">
        <f>IF(A90="","",IFERROR(INDEX(Ingredients!$B$5:$B$304,MATCH(A90,Ingredients!$A$5:$A$304,0)),""))</f>
        <v>0</v>
      </c>
      <c r="C90" s="27"/>
      <c r="D90" s="26"/>
      <c r="E90" s="30"/>
      <c r="F90" s="26"/>
      <c r="G90" s="8">
        <f>IF(OR(A90="",E90=""),"",TODAY()-E90)</f>
        <v>0</v>
      </c>
      <c r="H90" s="8">
        <f>IF(OR(A90="",G90="",F90=""),"",IF(G90&gt;=F90,"Yes","No"))</f>
        <v>0</v>
      </c>
      <c r="I90" s="27"/>
      <c r="J90" s="26"/>
      <c r="K90" s="27"/>
      <c r="L90" s="8">
        <f>IF(A90="","",IFERROR(AVERAGEIFS('Grocery Spending'!$I$5:$I$404,'Grocery Spending'!$E$5:$E$404,A90),""))</f>
        <v>0</v>
      </c>
      <c r="M90" s="8">
        <f>IF(A90="","",IFERROR(AVERAGEIFS('Grocery Spending'!$I$5:$I$404,'Grocery Spending'!$E$5:$E$404,A90,'Grocery Spending'!$A$5:$A$404,SUMPRODUCT(MAX(('Grocery Spending'!$E$5:$E$404=A90)*'Grocery Spending'!$A$5:$A$404))),""))</f>
        <v>0</v>
      </c>
      <c r="N90" s="8">
        <f>IF(OR(A90="",M90="",L90=""),"",M90-L90)</f>
        <v>0</v>
      </c>
      <c r="O90" s="8">
        <f>IF(A90="","",SUMIFS(Pantry!$C$5:$C$304,Pantry!$A$5:$A$304,A90))</f>
        <v>0</v>
      </c>
      <c r="P90" s="8">
        <f>IF(A90="","",COUNTIFS('Grocery List'!$A$5:$A$304,A90))</f>
        <v>0</v>
      </c>
      <c r="Q90" s="8">
        <f>IF(OR(A90="",G90=""),"",COUNTIFS($G$5:$G$104,"&gt;"&amp;G90)+1)</f>
        <v>0</v>
      </c>
      <c r="R90" s="8">
        <f>IF(A90="","",IF(H90="Yes","Buy this week",IF(O90&lt;=0,"Out of stock","In stock")))</f>
        <v>0</v>
      </c>
      <c r="S90" s="25"/>
    </row>
    <row r="91" spans="1:19">
      <c r="A91" s="7"/>
      <c r="B91" s="8">
        <f>IF(A91="","",IFERROR(INDEX(Ingredients!$B$5:$B$304,MATCH(A91,Ingredients!$A$5:$A$304,0)),""))</f>
        <v>0</v>
      </c>
      <c r="C91" s="27"/>
      <c r="D91" s="26"/>
      <c r="E91" s="30"/>
      <c r="F91" s="26"/>
      <c r="G91" s="8">
        <f>IF(OR(A91="",E91=""),"",TODAY()-E91)</f>
        <v>0</v>
      </c>
      <c r="H91" s="8">
        <f>IF(OR(A91="",G91="",F91=""),"",IF(G91&gt;=F91,"Yes","No"))</f>
        <v>0</v>
      </c>
      <c r="I91" s="27"/>
      <c r="J91" s="26"/>
      <c r="K91" s="27"/>
      <c r="L91" s="8">
        <f>IF(A91="","",IFERROR(AVERAGEIFS('Grocery Spending'!$I$5:$I$404,'Grocery Spending'!$E$5:$E$404,A91),""))</f>
        <v>0</v>
      </c>
      <c r="M91" s="8">
        <f>IF(A91="","",IFERROR(AVERAGEIFS('Grocery Spending'!$I$5:$I$404,'Grocery Spending'!$E$5:$E$404,A91,'Grocery Spending'!$A$5:$A$404,SUMPRODUCT(MAX(('Grocery Spending'!$E$5:$E$404=A91)*'Grocery Spending'!$A$5:$A$404))),""))</f>
        <v>0</v>
      </c>
      <c r="N91" s="8">
        <f>IF(OR(A91="",M91="",L91=""),"",M91-L91)</f>
        <v>0</v>
      </c>
      <c r="O91" s="8">
        <f>IF(A91="","",SUMIFS(Pantry!$C$5:$C$304,Pantry!$A$5:$A$304,A91))</f>
        <v>0</v>
      </c>
      <c r="P91" s="8">
        <f>IF(A91="","",COUNTIFS('Grocery List'!$A$5:$A$304,A91))</f>
        <v>0</v>
      </c>
      <c r="Q91" s="8">
        <f>IF(OR(A91="",G91=""),"",COUNTIFS($G$5:$G$104,"&gt;"&amp;G91)+1)</f>
        <v>0</v>
      </c>
      <c r="R91" s="8">
        <f>IF(A91="","",IF(H91="Yes","Buy this week",IF(O91&lt;=0,"Out of stock","In stock")))</f>
        <v>0</v>
      </c>
      <c r="S91" s="25"/>
    </row>
    <row r="92" spans="1:19">
      <c r="A92" s="7"/>
      <c r="B92" s="8">
        <f>IF(A92="","",IFERROR(INDEX(Ingredients!$B$5:$B$304,MATCH(A92,Ingredients!$A$5:$A$304,0)),""))</f>
        <v>0</v>
      </c>
      <c r="C92" s="27"/>
      <c r="D92" s="26"/>
      <c r="E92" s="30"/>
      <c r="F92" s="26"/>
      <c r="G92" s="8">
        <f>IF(OR(A92="",E92=""),"",TODAY()-E92)</f>
        <v>0</v>
      </c>
      <c r="H92" s="8">
        <f>IF(OR(A92="",G92="",F92=""),"",IF(G92&gt;=F92,"Yes","No"))</f>
        <v>0</v>
      </c>
      <c r="I92" s="27"/>
      <c r="J92" s="26"/>
      <c r="K92" s="27"/>
      <c r="L92" s="8">
        <f>IF(A92="","",IFERROR(AVERAGEIFS('Grocery Spending'!$I$5:$I$404,'Grocery Spending'!$E$5:$E$404,A92),""))</f>
        <v>0</v>
      </c>
      <c r="M92" s="8">
        <f>IF(A92="","",IFERROR(AVERAGEIFS('Grocery Spending'!$I$5:$I$404,'Grocery Spending'!$E$5:$E$404,A92,'Grocery Spending'!$A$5:$A$404,SUMPRODUCT(MAX(('Grocery Spending'!$E$5:$E$404=A92)*'Grocery Spending'!$A$5:$A$404))),""))</f>
        <v>0</v>
      </c>
      <c r="N92" s="8">
        <f>IF(OR(A92="",M92="",L92=""),"",M92-L92)</f>
        <v>0</v>
      </c>
      <c r="O92" s="8">
        <f>IF(A92="","",SUMIFS(Pantry!$C$5:$C$304,Pantry!$A$5:$A$304,A92))</f>
        <v>0</v>
      </c>
      <c r="P92" s="8">
        <f>IF(A92="","",COUNTIFS('Grocery List'!$A$5:$A$304,A92))</f>
        <v>0</v>
      </c>
      <c r="Q92" s="8">
        <f>IF(OR(A92="",G92=""),"",COUNTIFS($G$5:$G$104,"&gt;"&amp;G92)+1)</f>
        <v>0</v>
      </c>
      <c r="R92" s="8">
        <f>IF(A92="","",IF(H92="Yes","Buy this week",IF(O92&lt;=0,"Out of stock","In stock")))</f>
        <v>0</v>
      </c>
      <c r="S92" s="25"/>
    </row>
    <row r="93" spans="1:19">
      <c r="A93" s="7"/>
      <c r="B93" s="8">
        <f>IF(A93="","",IFERROR(INDEX(Ingredients!$B$5:$B$304,MATCH(A93,Ingredients!$A$5:$A$304,0)),""))</f>
        <v>0</v>
      </c>
      <c r="C93" s="27"/>
      <c r="D93" s="26"/>
      <c r="E93" s="30"/>
      <c r="F93" s="26"/>
      <c r="G93" s="8">
        <f>IF(OR(A93="",E93=""),"",TODAY()-E93)</f>
        <v>0</v>
      </c>
      <c r="H93" s="8">
        <f>IF(OR(A93="",G93="",F93=""),"",IF(G93&gt;=F93,"Yes","No"))</f>
        <v>0</v>
      </c>
      <c r="I93" s="27"/>
      <c r="J93" s="26"/>
      <c r="K93" s="27"/>
      <c r="L93" s="8">
        <f>IF(A93="","",IFERROR(AVERAGEIFS('Grocery Spending'!$I$5:$I$404,'Grocery Spending'!$E$5:$E$404,A93),""))</f>
        <v>0</v>
      </c>
      <c r="M93" s="8">
        <f>IF(A93="","",IFERROR(AVERAGEIFS('Grocery Spending'!$I$5:$I$404,'Grocery Spending'!$E$5:$E$404,A93,'Grocery Spending'!$A$5:$A$404,SUMPRODUCT(MAX(('Grocery Spending'!$E$5:$E$404=A93)*'Grocery Spending'!$A$5:$A$404))),""))</f>
        <v>0</v>
      </c>
      <c r="N93" s="8">
        <f>IF(OR(A93="",M93="",L93=""),"",M93-L93)</f>
        <v>0</v>
      </c>
      <c r="O93" s="8">
        <f>IF(A93="","",SUMIFS(Pantry!$C$5:$C$304,Pantry!$A$5:$A$304,A93))</f>
        <v>0</v>
      </c>
      <c r="P93" s="8">
        <f>IF(A93="","",COUNTIFS('Grocery List'!$A$5:$A$304,A93))</f>
        <v>0</v>
      </c>
      <c r="Q93" s="8">
        <f>IF(OR(A93="",G93=""),"",COUNTIFS($G$5:$G$104,"&gt;"&amp;G93)+1)</f>
        <v>0</v>
      </c>
      <c r="R93" s="8">
        <f>IF(A93="","",IF(H93="Yes","Buy this week",IF(O93&lt;=0,"Out of stock","In stock")))</f>
        <v>0</v>
      </c>
      <c r="S93" s="25"/>
    </row>
    <row r="94" spans="1:19">
      <c r="A94" s="7"/>
      <c r="B94" s="8">
        <f>IF(A94="","",IFERROR(INDEX(Ingredients!$B$5:$B$304,MATCH(A94,Ingredients!$A$5:$A$304,0)),""))</f>
        <v>0</v>
      </c>
      <c r="C94" s="27"/>
      <c r="D94" s="26"/>
      <c r="E94" s="30"/>
      <c r="F94" s="26"/>
      <c r="G94" s="8">
        <f>IF(OR(A94="",E94=""),"",TODAY()-E94)</f>
        <v>0</v>
      </c>
      <c r="H94" s="8">
        <f>IF(OR(A94="",G94="",F94=""),"",IF(G94&gt;=F94,"Yes","No"))</f>
        <v>0</v>
      </c>
      <c r="I94" s="27"/>
      <c r="J94" s="26"/>
      <c r="K94" s="27"/>
      <c r="L94" s="8">
        <f>IF(A94="","",IFERROR(AVERAGEIFS('Grocery Spending'!$I$5:$I$404,'Grocery Spending'!$E$5:$E$404,A94),""))</f>
        <v>0</v>
      </c>
      <c r="M94" s="8">
        <f>IF(A94="","",IFERROR(AVERAGEIFS('Grocery Spending'!$I$5:$I$404,'Grocery Spending'!$E$5:$E$404,A94,'Grocery Spending'!$A$5:$A$404,SUMPRODUCT(MAX(('Grocery Spending'!$E$5:$E$404=A94)*'Grocery Spending'!$A$5:$A$404))),""))</f>
        <v>0</v>
      </c>
      <c r="N94" s="8">
        <f>IF(OR(A94="",M94="",L94=""),"",M94-L94)</f>
        <v>0</v>
      </c>
      <c r="O94" s="8">
        <f>IF(A94="","",SUMIFS(Pantry!$C$5:$C$304,Pantry!$A$5:$A$304,A94))</f>
        <v>0</v>
      </c>
      <c r="P94" s="8">
        <f>IF(A94="","",COUNTIFS('Grocery List'!$A$5:$A$304,A94))</f>
        <v>0</v>
      </c>
      <c r="Q94" s="8">
        <f>IF(OR(A94="",G94=""),"",COUNTIFS($G$5:$G$104,"&gt;"&amp;G94)+1)</f>
        <v>0</v>
      </c>
      <c r="R94" s="8">
        <f>IF(A94="","",IF(H94="Yes","Buy this week",IF(O94&lt;=0,"Out of stock","In stock")))</f>
        <v>0</v>
      </c>
      <c r="S94" s="25"/>
    </row>
    <row r="95" spans="1:19">
      <c r="A95" s="7"/>
      <c r="B95" s="8">
        <f>IF(A95="","",IFERROR(INDEX(Ingredients!$B$5:$B$304,MATCH(A95,Ingredients!$A$5:$A$304,0)),""))</f>
        <v>0</v>
      </c>
      <c r="C95" s="27"/>
      <c r="D95" s="26"/>
      <c r="E95" s="30"/>
      <c r="F95" s="26"/>
      <c r="G95" s="8">
        <f>IF(OR(A95="",E95=""),"",TODAY()-E95)</f>
        <v>0</v>
      </c>
      <c r="H95" s="8">
        <f>IF(OR(A95="",G95="",F95=""),"",IF(G95&gt;=F95,"Yes","No"))</f>
        <v>0</v>
      </c>
      <c r="I95" s="27"/>
      <c r="J95" s="26"/>
      <c r="K95" s="27"/>
      <c r="L95" s="8">
        <f>IF(A95="","",IFERROR(AVERAGEIFS('Grocery Spending'!$I$5:$I$404,'Grocery Spending'!$E$5:$E$404,A95),""))</f>
        <v>0</v>
      </c>
      <c r="M95" s="8">
        <f>IF(A95="","",IFERROR(AVERAGEIFS('Grocery Spending'!$I$5:$I$404,'Grocery Spending'!$E$5:$E$404,A95,'Grocery Spending'!$A$5:$A$404,SUMPRODUCT(MAX(('Grocery Spending'!$E$5:$E$404=A95)*'Grocery Spending'!$A$5:$A$404))),""))</f>
        <v>0</v>
      </c>
      <c r="N95" s="8">
        <f>IF(OR(A95="",M95="",L95=""),"",M95-L95)</f>
        <v>0</v>
      </c>
      <c r="O95" s="8">
        <f>IF(A95="","",SUMIFS(Pantry!$C$5:$C$304,Pantry!$A$5:$A$304,A95))</f>
        <v>0</v>
      </c>
      <c r="P95" s="8">
        <f>IF(A95="","",COUNTIFS('Grocery List'!$A$5:$A$304,A95))</f>
        <v>0</v>
      </c>
      <c r="Q95" s="8">
        <f>IF(OR(A95="",G95=""),"",COUNTIFS($G$5:$G$104,"&gt;"&amp;G95)+1)</f>
        <v>0</v>
      </c>
      <c r="R95" s="8">
        <f>IF(A95="","",IF(H95="Yes","Buy this week",IF(O95&lt;=0,"Out of stock","In stock")))</f>
        <v>0</v>
      </c>
      <c r="S95" s="25"/>
    </row>
    <row r="96" spans="1:19">
      <c r="A96" s="7"/>
      <c r="B96" s="8">
        <f>IF(A96="","",IFERROR(INDEX(Ingredients!$B$5:$B$304,MATCH(A96,Ingredients!$A$5:$A$304,0)),""))</f>
        <v>0</v>
      </c>
      <c r="C96" s="27"/>
      <c r="D96" s="26"/>
      <c r="E96" s="30"/>
      <c r="F96" s="26"/>
      <c r="G96" s="8">
        <f>IF(OR(A96="",E96=""),"",TODAY()-E96)</f>
        <v>0</v>
      </c>
      <c r="H96" s="8">
        <f>IF(OR(A96="",G96="",F96=""),"",IF(G96&gt;=F96,"Yes","No"))</f>
        <v>0</v>
      </c>
      <c r="I96" s="27"/>
      <c r="J96" s="26"/>
      <c r="K96" s="27"/>
      <c r="L96" s="8">
        <f>IF(A96="","",IFERROR(AVERAGEIFS('Grocery Spending'!$I$5:$I$404,'Grocery Spending'!$E$5:$E$404,A96),""))</f>
        <v>0</v>
      </c>
      <c r="M96" s="8">
        <f>IF(A96="","",IFERROR(AVERAGEIFS('Grocery Spending'!$I$5:$I$404,'Grocery Spending'!$E$5:$E$404,A96,'Grocery Spending'!$A$5:$A$404,SUMPRODUCT(MAX(('Grocery Spending'!$E$5:$E$404=A96)*'Grocery Spending'!$A$5:$A$404))),""))</f>
        <v>0</v>
      </c>
      <c r="N96" s="8">
        <f>IF(OR(A96="",M96="",L96=""),"",M96-L96)</f>
        <v>0</v>
      </c>
      <c r="O96" s="8">
        <f>IF(A96="","",SUMIFS(Pantry!$C$5:$C$304,Pantry!$A$5:$A$304,A96))</f>
        <v>0</v>
      </c>
      <c r="P96" s="8">
        <f>IF(A96="","",COUNTIFS('Grocery List'!$A$5:$A$304,A96))</f>
        <v>0</v>
      </c>
      <c r="Q96" s="8">
        <f>IF(OR(A96="",G96=""),"",COUNTIFS($G$5:$G$104,"&gt;"&amp;G96)+1)</f>
        <v>0</v>
      </c>
      <c r="R96" s="8">
        <f>IF(A96="","",IF(H96="Yes","Buy this week",IF(O96&lt;=0,"Out of stock","In stock")))</f>
        <v>0</v>
      </c>
      <c r="S96" s="25"/>
    </row>
    <row r="97" spans="1:19">
      <c r="A97" s="7"/>
      <c r="B97" s="8">
        <f>IF(A97="","",IFERROR(INDEX(Ingredients!$B$5:$B$304,MATCH(A97,Ingredients!$A$5:$A$304,0)),""))</f>
        <v>0</v>
      </c>
      <c r="C97" s="27"/>
      <c r="D97" s="26"/>
      <c r="E97" s="30"/>
      <c r="F97" s="26"/>
      <c r="G97" s="8">
        <f>IF(OR(A97="",E97=""),"",TODAY()-E97)</f>
        <v>0</v>
      </c>
      <c r="H97" s="8">
        <f>IF(OR(A97="",G97="",F97=""),"",IF(G97&gt;=F97,"Yes","No"))</f>
        <v>0</v>
      </c>
      <c r="I97" s="27"/>
      <c r="J97" s="26"/>
      <c r="K97" s="27"/>
      <c r="L97" s="8">
        <f>IF(A97="","",IFERROR(AVERAGEIFS('Grocery Spending'!$I$5:$I$404,'Grocery Spending'!$E$5:$E$404,A97),""))</f>
        <v>0</v>
      </c>
      <c r="M97" s="8">
        <f>IF(A97="","",IFERROR(AVERAGEIFS('Grocery Spending'!$I$5:$I$404,'Grocery Spending'!$E$5:$E$404,A97,'Grocery Spending'!$A$5:$A$404,SUMPRODUCT(MAX(('Grocery Spending'!$E$5:$E$404=A97)*'Grocery Spending'!$A$5:$A$404))),""))</f>
        <v>0</v>
      </c>
      <c r="N97" s="8">
        <f>IF(OR(A97="",M97="",L97=""),"",M97-L97)</f>
        <v>0</v>
      </c>
      <c r="O97" s="8">
        <f>IF(A97="","",SUMIFS(Pantry!$C$5:$C$304,Pantry!$A$5:$A$304,A97))</f>
        <v>0</v>
      </c>
      <c r="P97" s="8">
        <f>IF(A97="","",COUNTIFS('Grocery List'!$A$5:$A$304,A97))</f>
        <v>0</v>
      </c>
      <c r="Q97" s="8">
        <f>IF(OR(A97="",G97=""),"",COUNTIFS($G$5:$G$104,"&gt;"&amp;G97)+1)</f>
        <v>0</v>
      </c>
      <c r="R97" s="8">
        <f>IF(A97="","",IF(H97="Yes","Buy this week",IF(O97&lt;=0,"Out of stock","In stock")))</f>
        <v>0</v>
      </c>
      <c r="S97" s="25"/>
    </row>
    <row r="98" spans="1:19">
      <c r="A98" s="7"/>
      <c r="B98" s="8">
        <f>IF(A98="","",IFERROR(INDEX(Ingredients!$B$5:$B$304,MATCH(A98,Ingredients!$A$5:$A$304,0)),""))</f>
        <v>0</v>
      </c>
      <c r="C98" s="27"/>
      <c r="D98" s="26"/>
      <c r="E98" s="30"/>
      <c r="F98" s="26"/>
      <c r="G98" s="8">
        <f>IF(OR(A98="",E98=""),"",TODAY()-E98)</f>
        <v>0</v>
      </c>
      <c r="H98" s="8">
        <f>IF(OR(A98="",G98="",F98=""),"",IF(G98&gt;=F98,"Yes","No"))</f>
        <v>0</v>
      </c>
      <c r="I98" s="27"/>
      <c r="J98" s="26"/>
      <c r="K98" s="27"/>
      <c r="L98" s="8">
        <f>IF(A98="","",IFERROR(AVERAGEIFS('Grocery Spending'!$I$5:$I$404,'Grocery Spending'!$E$5:$E$404,A98),""))</f>
        <v>0</v>
      </c>
      <c r="M98" s="8">
        <f>IF(A98="","",IFERROR(AVERAGEIFS('Grocery Spending'!$I$5:$I$404,'Grocery Spending'!$E$5:$E$404,A98,'Grocery Spending'!$A$5:$A$404,SUMPRODUCT(MAX(('Grocery Spending'!$E$5:$E$404=A98)*'Grocery Spending'!$A$5:$A$404))),""))</f>
        <v>0</v>
      </c>
      <c r="N98" s="8">
        <f>IF(OR(A98="",M98="",L98=""),"",M98-L98)</f>
        <v>0</v>
      </c>
      <c r="O98" s="8">
        <f>IF(A98="","",SUMIFS(Pantry!$C$5:$C$304,Pantry!$A$5:$A$304,A98))</f>
        <v>0</v>
      </c>
      <c r="P98" s="8">
        <f>IF(A98="","",COUNTIFS('Grocery List'!$A$5:$A$304,A98))</f>
        <v>0</v>
      </c>
      <c r="Q98" s="8">
        <f>IF(OR(A98="",G98=""),"",COUNTIFS($G$5:$G$104,"&gt;"&amp;G98)+1)</f>
        <v>0</v>
      </c>
      <c r="R98" s="8">
        <f>IF(A98="","",IF(H98="Yes","Buy this week",IF(O98&lt;=0,"Out of stock","In stock")))</f>
        <v>0</v>
      </c>
      <c r="S98" s="25"/>
    </row>
    <row r="99" spans="1:19">
      <c r="A99" s="7"/>
      <c r="B99" s="8">
        <f>IF(A99="","",IFERROR(INDEX(Ingredients!$B$5:$B$304,MATCH(A99,Ingredients!$A$5:$A$304,0)),""))</f>
        <v>0</v>
      </c>
      <c r="C99" s="27"/>
      <c r="D99" s="26"/>
      <c r="E99" s="30"/>
      <c r="F99" s="26"/>
      <c r="G99" s="8">
        <f>IF(OR(A99="",E99=""),"",TODAY()-E99)</f>
        <v>0</v>
      </c>
      <c r="H99" s="8">
        <f>IF(OR(A99="",G99="",F99=""),"",IF(G99&gt;=F99,"Yes","No"))</f>
        <v>0</v>
      </c>
      <c r="I99" s="27"/>
      <c r="J99" s="26"/>
      <c r="K99" s="27"/>
      <c r="L99" s="8">
        <f>IF(A99="","",IFERROR(AVERAGEIFS('Grocery Spending'!$I$5:$I$404,'Grocery Spending'!$E$5:$E$404,A99),""))</f>
        <v>0</v>
      </c>
      <c r="M99" s="8">
        <f>IF(A99="","",IFERROR(AVERAGEIFS('Grocery Spending'!$I$5:$I$404,'Grocery Spending'!$E$5:$E$404,A99,'Grocery Spending'!$A$5:$A$404,SUMPRODUCT(MAX(('Grocery Spending'!$E$5:$E$404=A99)*'Grocery Spending'!$A$5:$A$404))),""))</f>
        <v>0</v>
      </c>
      <c r="N99" s="8">
        <f>IF(OR(A99="",M99="",L99=""),"",M99-L99)</f>
        <v>0</v>
      </c>
      <c r="O99" s="8">
        <f>IF(A99="","",SUMIFS(Pantry!$C$5:$C$304,Pantry!$A$5:$A$304,A99))</f>
        <v>0</v>
      </c>
      <c r="P99" s="8">
        <f>IF(A99="","",COUNTIFS('Grocery List'!$A$5:$A$304,A99))</f>
        <v>0</v>
      </c>
      <c r="Q99" s="8">
        <f>IF(OR(A99="",G99=""),"",COUNTIFS($G$5:$G$104,"&gt;"&amp;G99)+1)</f>
        <v>0</v>
      </c>
      <c r="R99" s="8">
        <f>IF(A99="","",IF(H99="Yes","Buy this week",IF(O99&lt;=0,"Out of stock","In stock")))</f>
        <v>0</v>
      </c>
      <c r="S99" s="25"/>
    </row>
    <row r="100" spans="1:19">
      <c r="A100" s="7"/>
      <c r="B100" s="8">
        <f>IF(A100="","",IFERROR(INDEX(Ingredients!$B$5:$B$304,MATCH(A100,Ingredients!$A$5:$A$304,0)),""))</f>
        <v>0</v>
      </c>
      <c r="C100" s="27"/>
      <c r="D100" s="26"/>
      <c r="E100" s="30"/>
      <c r="F100" s="26"/>
      <c r="G100" s="8">
        <f>IF(OR(A100="",E100=""),"",TODAY()-E100)</f>
        <v>0</v>
      </c>
      <c r="H100" s="8">
        <f>IF(OR(A100="",G100="",F100=""),"",IF(G100&gt;=F100,"Yes","No"))</f>
        <v>0</v>
      </c>
      <c r="I100" s="27"/>
      <c r="J100" s="26"/>
      <c r="K100" s="27"/>
      <c r="L100" s="8">
        <f>IF(A100="","",IFERROR(AVERAGEIFS('Grocery Spending'!$I$5:$I$404,'Grocery Spending'!$E$5:$E$404,A100),""))</f>
        <v>0</v>
      </c>
      <c r="M100" s="8">
        <f>IF(A100="","",IFERROR(AVERAGEIFS('Grocery Spending'!$I$5:$I$404,'Grocery Spending'!$E$5:$E$404,A100,'Grocery Spending'!$A$5:$A$404,SUMPRODUCT(MAX(('Grocery Spending'!$E$5:$E$404=A100)*'Grocery Spending'!$A$5:$A$404))),""))</f>
        <v>0</v>
      </c>
      <c r="N100" s="8">
        <f>IF(OR(A100="",M100="",L100=""),"",M100-L100)</f>
        <v>0</v>
      </c>
      <c r="O100" s="8">
        <f>IF(A100="","",SUMIFS(Pantry!$C$5:$C$304,Pantry!$A$5:$A$304,A100))</f>
        <v>0</v>
      </c>
      <c r="P100" s="8">
        <f>IF(A100="","",COUNTIFS('Grocery List'!$A$5:$A$304,A100))</f>
        <v>0</v>
      </c>
      <c r="Q100" s="8">
        <f>IF(OR(A100="",G100=""),"",COUNTIFS($G$5:$G$104,"&gt;"&amp;G100)+1)</f>
        <v>0</v>
      </c>
      <c r="R100" s="8">
        <f>IF(A100="","",IF(H100="Yes","Buy this week",IF(O100&lt;=0,"Out of stock","In stock")))</f>
        <v>0</v>
      </c>
      <c r="S100" s="25"/>
    </row>
    <row r="101" spans="1:19">
      <c r="A101" s="7"/>
      <c r="B101" s="8">
        <f>IF(A101="","",IFERROR(INDEX(Ingredients!$B$5:$B$304,MATCH(A101,Ingredients!$A$5:$A$304,0)),""))</f>
        <v>0</v>
      </c>
      <c r="C101" s="27"/>
      <c r="D101" s="26"/>
      <c r="E101" s="30"/>
      <c r="F101" s="26"/>
      <c r="G101" s="8">
        <f>IF(OR(A101="",E101=""),"",TODAY()-E101)</f>
        <v>0</v>
      </c>
      <c r="H101" s="8">
        <f>IF(OR(A101="",G101="",F101=""),"",IF(G101&gt;=F101,"Yes","No"))</f>
        <v>0</v>
      </c>
      <c r="I101" s="27"/>
      <c r="J101" s="26"/>
      <c r="K101" s="27"/>
      <c r="L101" s="8">
        <f>IF(A101="","",IFERROR(AVERAGEIFS('Grocery Spending'!$I$5:$I$404,'Grocery Spending'!$E$5:$E$404,A101),""))</f>
        <v>0</v>
      </c>
      <c r="M101" s="8">
        <f>IF(A101="","",IFERROR(AVERAGEIFS('Grocery Spending'!$I$5:$I$404,'Grocery Spending'!$E$5:$E$404,A101,'Grocery Spending'!$A$5:$A$404,SUMPRODUCT(MAX(('Grocery Spending'!$E$5:$E$404=A101)*'Grocery Spending'!$A$5:$A$404))),""))</f>
        <v>0</v>
      </c>
      <c r="N101" s="8">
        <f>IF(OR(A101="",M101="",L101=""),"",M101-L101)</f>
        <v>0</v>
      </c>
      <c r="O101" s="8">
        <f>IF(A101="","",SUMIFS(Pantry!$C$5:$C$304,Pantry!$A$5:$A$304,A101))</f>
        <v>0</v>
      </c>
      <c r="P101" s="8">
        <f>IF(A101="","",COUNTIFS('Grocery List'!$A$5:$A$304,A101))</f>
        <v>0</v>
      </c>
      <c r="Q101" s="8">
        <f>IF(OR(A101="",G101=""),"",COUNTIFS($G$5:$G$104,"&gt;"&amp;G101)+1)</f>
        <v>0</v>
      </c>
      <c r="R101" s="8">
        <f>IF(A101="","",IF(H101="Yes","Buy this week",IF(O101&lt;=0,"Out of stock","In stock")))</f>
        <v>0</v>
      </c>
      <c r="S101" s="25"/>
    </row>
    <row r="102" spans="1:19">
      <c r="A102" s="7"/>
      <c r="B102" s="8">
        <f>IF(A102="","",IFERROR(INDEX(Ingredients!$B$5:$B$304,MATCH(A102,Ingredients!$A$5:$A$304,0)),""))</f>
        <v>0</v>
      </c>
      <c r="C102" s="27"/>
      <c r="D102" s="26"/>
      <c r="E102" s="30"/>
      <c r="F102" s="26"/>
      <c r="G102" s="8">
        <f>IF(OR(A102="",E102=""),"",TODAY()-E102)</f>
        <v>0</v>
      </c>
      <c r="H102" s="8">
        <f>IF(OR(A102="",G102="",F102=""),"",IF(G102&gt;=F102,"Yes","No"))</f>
        <v>0</v>
      </c>
      <c r="I102" s="27"/>
      <c r="J102" s="26"/>
      <c r="K102" s="27"/>
      <c r="L102" s="8">
        <f>IF(A102="","",IFERROR(AVERAGEIFS('Grocery Spending'!$I$5:$I$404,'Grocery Spending'!$E$5:$E$404,A102),""))</f>
        <v>0</v>
      </c>
      <c r="M102" s="8">
        <f>IF(A102="","",IFERROR(AVERAGEIFS('Grocery Spending'!$I$5:$I$404,'Grocery Spending'!$E$5:$E$404,A102,'Grocery Spending'!$A$5:$A$404,SUMPRODUCT(MAX(('Grocery Spending'!$E$5:$E$404=A102)*'Grocery Spending'!$A$5:$A$404))),""))</f>
        <v>0</v>
      </c>
      <c r="N102" s="8">
        <f>IF(OR(A102="",M102="",L102=""),"",M102-L102)</f>
        <v>0</v>
      </c>
      <c r="O102" s="8">
        <f>IF(A102="","",SUMIFS(Pantry!$C$5:$C$304,Pantry!$A$5:$A$304,A102))</f>
        <v>0</v>
      </c>
      <c r="P102" s="8">
        <f>IF(A102="","",COUNTIFS('Grocery List'!$A$5:$A$304,A102))</f>
        <v>0</v>
      </c>
      <c r="Q102" s="8">
        <f>IF(OR(A102="",G102=""),"",COUNTIFS($G$5:$G$104,"&gt;"&amp;G102)+1)</f>
        <v>0</v>
      </c>
      <c r="R102" s="8">
        <f>IF(A102="","",IF(H102="Yes","Buy this week",IF(O102&lt;=0,"Out of stock","In stock")))</f>
        <v>0</v>
      </c>
      <c r="S102" s="25"/>
    </row>
    <row r="103" spans="1:19">
      <c r="A103" s="7"/>
      <c r="B103" s="8">
        <f>IF(A103="","",IFERROR(INDEX(Ingredients!$B$5:$B$304,MATCH(A103,Ingredients!$A$5:$A$304,0)),""))</f>
        <v>0</v>
      </c>
      <c r="C103" s="27"/>
      <c r="D103" s="26"/>
      <c r="E103" s="30"/>
      <c r="F103" s="26"/>
      <c r="G103" s="8">
        <f>IF(OR(A103="",E103=""),"",TODAY()-E103)</f>
        <v>0</v>
      </c>
      <c r="H103" s="8">
        <f>IF(OR(A103="",G103="",F103=""),"",IF(G103&gt;=F103,"Yes","No"))</f>
        <v>0</v>
      </c>
      <c r="I103" s="27"/>
      <c r="J103" s="26"/>
      <c r="K103" s="27"/>
      <c r="L103" s="8">
        <f>IF(A103="","",IFERROR(AVERAGEIFS('Grocery Spending'!$I$5:$I$404,'Grocery Spending'!$E$5:$E$404,A103),""))</f>
        <v>0</v>
      </c>
      <c r="M103" s="8">
        <f>IF(A103="","",IFERROR(AVERAGEIFS('Grocery Spending'!$I$5:$I$404,'Grocery Spending'!$E$5:$E$404,A103,'Grocery Spending'!$A$5:$A$404,SUMPRODUCT(MAX(('Grocery Spending'!$E$5:$E$404=A103)*'Grocery Spending'!$A$5:$A$404))),""))</f>
        <v>0</v>
      </c>
      <c r="N103" s="8">
        <f>IF(OR(A103="",M103="",L103=""),"",M103-L103)</f>
        <v>0</v>
      </c>
      <c r="O103" s="8">
        <f>IF(A103="","",SUMIFS(Pantry!$C$5:$C$304,Pantry!$A$5:$A$304,A103))</f>
        <v>0</v>
      </c>
      <c r="P103" s="8">
        <f>IF(A103="","",COUNTIFS('Grocery List'!$A$5:$A$304,A103))</f>
        <v>0</v>
      </c>
      <c r="Q103" s="8">
        <f>IF(OR(A103="",G103=""),"",COUNTIFS($G$5:$G$104,"&gt;"&amp;G103)+1)</f>
        <v>0</v>
      </c>
      <c r="R103" s="8">
        <f>IF(A103="","",IF(H103="Yes","Buy this week",IF(O103&lt;=0,"Out of stock","In stock")))</f>
        <v>0</v>
      </c>
      <c r="S103" s="25"/>
    </row>
    <row r="104" spans="1:19">
      <c r="A104" s="7"/>
      <c r="B104" s="8">
        <f>IF(A104="","",IFERROR(INDEX(Ingredients!$B$5:$B$304,MATCH(A104,Ingredients!$A$5:$A$304,0)),""))</f>
        <v>0</v>
      </c>
      <c r="C104" s="27"/>
      <c r="D104" s="26"/>
      <c r="E104" s="30"/>
      <c r="F104" s="26"/>
      <c r="G104" s="8">
        <f>IF(OR(A104="",E104=""),"",TODAY()-E104)</f>
        <v>0</v>
      </c>
      <c r="H104" s="8">
        <f>IF(OR(A104="",G104="",F104=""),"",IF(G104&gt;=F104,"Yes","No"))</f>
        <v>0</v>
      </c>
      <c r="I104" s="27"/>
      <c r="J104" s="26"/>
      <c r="K104" s="27"/>
      <c r="L104" s="8">
        <f>IF(A104="","",IFERROR(AVERAGEIFS('Grocery Spending'!$I$5:$I$404,'Grocery Spending'!$E$5:$E$404,A104),""))</f>
        <v>0</v>
      </c>
      <c r="M104" s="8">
        <f>IF(A104="","",IFERROR(AVERAGEIFS('Grocery Spending'!$I$5:$I$404,'Grocery Spending'!$E$5:$E$404,A104,'Grocery Spending'!$A$5:$A$404,SUMPRODUCT(MAX(('Grocery Spending'!$E$5:$E$404=A104)*'Grocery Spending'!$A$5:$A$404))),""))</f>
        <v>0</v>
      </c>
      <c r="N104" s="8">
        <f>IF(OR(A104="",M104="",L104=""),"",M104-L104)</f>
        <v>0</v>
      </c>
      <c r="O104" s="8">
        <f>IF(A104="","",SUMIFS(Pantry!$C$5:$C$304,Pantry!$A$5:$A$304,A104))</f>
        <v>0</v>
      </c>
      <c r="P104" s="8">
        <f>IF(A104="","",COUNTIFS('Grocery List'!$A$5:$A$304,A104))</f>
        <v>0</v>
      </c>
      <c r="Q104" s="8">
        <f>IF(OR(A104="",G104=""),"",COUNTIFS($G$5:$G$104,"&gt;"&amp;G104)+1)</f>
        <v>0</v>
      </c>
      <c r="R104" s="8">
        <f>IF(A104="","",IF(H104="Yes","Buy this week",IF(O104&lt;=0,"Out of stock","In stock")))</f>
        <v>0</v>
      </c>
      <c r="S104" s="25"/>
    </row>
  </sheetData>
  <sheetProtection password="EC7C" sheet="1" objects="1" scenarios="1" selectLockedCells="1" selectUnlockedCells="1"/>
  <autoFilter ref="A4:S104"/>
  <conditionalFormatting sqref="A101:S101">
    <cfRule type="expression" dxfId="0" priority="49">
      <formula>MOD(ROW(),2)=0</formula>
    </cfRule>
  </conditionalFormatting>
  <conditionalFormatting sqref="A103:S103">
    <cfRule type="expression" dxfId="0" priority="50">
      <formula>MOD(ROW(),2)=0</formula>
    </cfRule>
  </conditionalFormatting>
  <conditionalFormatting sqref="A11:S11">
    <cfRule type="expression" dxfId="0" priority="4">
      <formula>MOD(ROW(),2)=0</formula>
    </cfRule>
  </conditionalFormatting>
  <conditionalFormatting sqref="A13:S13">
    <cfRule type="expression" dxfId="0" priority="5">
      <formula>MOD(ROW(),2)=0</formula>
    </cfRule>
  </conditionalFormatting>
  <conditionalFormatting sqref="A15:S15">
    <cfRule type="expression" dxfId="0" priority="6">
      <formula>MOD(ROW(),2)=0</formula>
    </cfRule>
  </conditionalFormatting>
  <conditionalFormatting sqref="A17:S17">
    <cfRule type="expression" dxfId="0" priority="7">
      <formula>MOD(ROW(),2)=0</formula>
    </cfRule>
  </conditionalFormatting>
  <conditionalFormatting sqref="A19:S19">
    <cfRule type="expression" dxfId="0" priority="8">
      <formula>MOD(ROW(),2)=0</formula>
    </cfRule>
  </conditionalFormatting>
  <conditionalFormatting sqref="A21:S21">
    <cfRule type="expression" dxfId="0" priority="9">
      <formula>MOD(ROW(),2)=0</formula>
    </cfRule>
  </conditionalFormatting>
  <conditionalFormatting sqref="A23:S23">
    <cfRule type="expression" dxfId="0" priority="10">
      <formula>MOD(ROW(),2)=0</formula>
    </cfRule>
  </conditionalFormatting>
  <conditionalFormatting sqref="A25:S25">
    <cfRule type="expression" dxfId="0" priority="11">
      <formula>MOD(ROW(),2)=0</formula>
    </cfRule>
  </conditionalFormatting>
  <conditionalFormatting sqref="A27:S27">
    <cfRule type="expression" dxfId="0" priority="12">
      <formula>MOD(ROW(),2)=0</formula>
    </cfRule>
  </conditionalFormatting>
  <conditionalFormatting sqref="A29:S29">
    <cfRule type="expression" dxfId="0" priority="13">
      <formula>MOD(ROW(),2)=0</formula>
    </cfRule>
  </conditionalFormatting>
  <conditionalFormatting sqref="A31:S31">
    <cfRule type="expression" dxfId="0" priority="14">
      <formula>MOD(ROW(),2)=0</formula>
    </cfRule>
  </conditionalFormatting>
  <conditionalFormatting sqref="A33:S33">
    <cfRule type="expression" dxfId="0" priority="15">
      <formula>MOD(ROW(),2)=0</formula>
    </cfRule>
  </conditionalFormatting>
  <conditionalFormatting sqref="A35:S35">
    <cfRule type="expression" dxfId="0" priority="16">
      <formula>MOD(ROW(),2)=0</formula>
    </cfRule>
  </conditionalFormatting>
  <conditionalFormatting sqref="A37:S37">
    <cfRule type="expression" dxfId="0" priority="17">
      <formula>MOD(ROW(),2)=0</formula>
    </cfRule>
  </conditionalFormatting>
  <conditionalFormatting sqref="A39:S39">
    <cfRule type="expression" dxfId="0" priority="18">
      <formula>MOD(ROW(),2)=0</formula>
    </cfRule>
  </conditionalFormatting>
  <conditionalFormatting sqref="A41:S41">
    <cfRule type="expression" dxfId="0" priority="19">
      <formula>MOD(ROW(),2)=0</formula>
    </cfRule>
  </conditionalFormatting>
  <conditionalFormatting sqref="A43:S43">
    <cfRule type="expression" dxfId="0" priority="20">
      <formula>MOD(ROW(),2)=0</formula>
    </cfRule>
  </conditionalFormatting>
  <conditionalFormatting sqref="A45:S45">
    <cfRule type="expression" dxfId="0" priority="21">
      <formula>MOD(ROW(),2)=0</formula>
    </cfRule>
  </conditionalFormatting>
  <conditionalFormatting sqref="A47:S47">
    <cfRule type="expression" dxfId="0" priority="22">
      <formula>MOD(ROW(),2)=0</formula>
    </cfRule>
  </conditionalFormatting>
  <conditionalFormatting sqref="A49:S49">
    <cfRule type="expression" dxfId="0" priority="23">
      <formula>MOD(ROW(),2)=0</formula>
    </cfRule>
  </conditionalFormatting>
  <conditionalFormatting sqref="A51:S51">
    <cfRule type="expression" dxfId="0" priority="24">
      <formula>MOD(ROW(),2)=0</formula>
    </cfRule>
  </conditionalFormatting>
  <conditionalFormatting sqref="A53:S53">
    <cfRule type="expression" dxfId="0" priority="25">
      <formula>MOD(ROW(),2)=0</formula>
    </cfRule>
  </conditionalFormatting>
  <conditionalFormatting sqref="A55:S55">
    <cfRule type="expression" dxfId="0" priority="26">
      <formula>MOD(ROW(),2)=0</formula>
    </cfRule>
  </conditionalFormatting>
  <conditionalFormatting sqref="A57:S57">
    <cfRule type="expression" dxfId="0" priority="27">
      <formula>MOD(ROW(),2)=0</formula>
    </cfRule>
  </conditionalFormatting>
  <conditionalFormatting sqref="A59:S59">
    <cfRule type="expression" dxfId="0" priority="28">
      <formula>MOD(ROW(),2)=0</formula>
    </cfRule>
  </conditionalFormatting>
  <conditionalFormatting sqref="A5:S5">
    <cfRule type="expression" dxfId="0" priority="1">
      <formula>MOD(ROW(),2)=0</formula>
    </cfRule>
  </conditionalFormatting>
  <conditionalFormatting sqref="A61:S61">
    <cfRule type="expression" dxfId="0" priority="29">
      <formula>MOD(ROW(),2)=0</formula>
    </cfRule>
  </conditionalFormatting>
  <conditionalFormatting sqref="A63:S63">
    <cfRule type="expression" dxfId="0" priority="30">
      <formula>MOD(ROW(),2)=0</formula>
    </cfRule>
  </conditionalFormatting>
  <conditionalFormatting sqref="A65:S65">
    <cfRule type="expression" dxfId="0" priority="31">
      <formula>MOD(ROW(),2)=0</formula>
    </cfRule>
  </conditionalFormatting>
  <conditionalFormatting sqref="A67:S67">
    <cfRule type="expression" dxfId="0" priority="32">
      <formula>MOD(ROW(),2)=0</formula>
    </cfRule>
  </conditionalFormatting>
  <conditionalFormatting sqref="A69:S69">
    <cfRule type="expression" dxfId="0" priority="33">
      <formula>MOD(ROW(),2)=0</formula>
    </cfRule>
  </conditionalFormatting>
  <conditionalFormatting sqref="A71:S71">
    <cfRule type="expression" dxfId="0" priority="34">
      <formula>MOD(ROW(),2)=0</formula>
    </cfRule>
  </conditionalFormatting>
  <conditionalFormatting sqref="A73:S73">
    <cfRule type="expression" dxfId="0" priority="35">
      <formula>MOD(ROW(),2)=0</formula>
    </cfRule>
  </conditionalFormatting>
  <conditionalFormatting sqref="A75:S75">
    <cfRule type="expression" dxfId="0" priority="36">
      <formula>MOD(ROW(),2)=0</formula>
    </cfRule>
  </conditionalFormatting>
  <conditionalFormatting sqref="A77:S77">
    <cfRule type="expression" dxfId="0" priority="37">
      <formula>MOD(ROW(),2)=0</formula>
    </cfRule>
  </conditionalFormatting>
  <conditionalFormatting sqref="A79:S79">
    <cfRule type="expression" dxfId="0" priority="38">
      <formula>MOD(ROW(),2)=0</formula>
    </cfRule>
  </conditionalFormatting>
  <conditionalFormatting sqref="A7:S7">
    <cfRule type="expression" dxfId="0" priority="2">
      <formula>MOD(ROW(),2)=0</formula>
    </cfRule>
  </conditionalFormatting>
  <conditionalFormatting sqref="A81:S81">
    <cfRule type="expression" dxfId="0" priority="39">
      <formula>MOD(ROW(),2)=0</formula>
    </cfRule>
  </conditionalFormatting>
  <conditionalFormatting sqref="A83:S83">
    <cfRule type="expression" dxfId="0" priority="40">
      <formula>MOD(ROW(),2)=0</formula>
    </cfRule>
  </conditionalFormatting>
  <conditionalFormatting sqref="A85:S85">
    <cfRule type="expression" dxfId="0" priority="41">
      <formula>MOD(ROW(),2)=0</formula>
    </cfRule>
  </conditionalFormatting>
  <conditionalFormatting sqref="A87:S87">
    <cfRule type="expression" dxfId="0" priority="42">
      <formula>MOD(ROW(),2)=0</formula>
    </cfRule>
  </conditionalFormatting>
  <conditionalFormatting sqref="A89:S89">
    <cfRule type="expression" dxfId="0" priority="43">
      <formula>MOD(ROW(),2)=0</formula>
    </cfRule>
  </conditionalFormatting>
  <conditionalFormatting sqref="A91:S91">
    <cfRule type="expression" dxfId="0" priority="44">
      <formula>MOD(ROW(),2)=0</formula>
    </cfRule>
  </conditionalFormatting>
  <conditionalFormatting sqref="A93:S93">
    <cfRule type="expression" dxfId="0" priority="45">
      <formula>MOD(ROW(),2)=0</formula>
    </cfRule>
  </conditionalFormatting>
  <conditionalFormatting sqref="A95:S95">
    <cfRule type="expression" dxfId="0" priority="46">
      <formula>MOD(ROW(),2)=0</formula>
    </cfRule>
  </conditionalFormatting>
  <conditionalFormatting sqref="A97:S97">
    <cfRule type="expression" dxfId="0" priority="47">
      <formula>MOD(ROW(),2)=0</formula>
    </cfRule>
  </conditionalFormatting>
  <conditionalFormatting sqref="A99:S99">
    <cfRule type="expression" dxfId="0" priority="48">
      <formula>MOD(ROW(),2)=0</formula>
    </cfRule>
  </conditionalFormatting>
  <conditionalFormatting sqref="A9:S9">
    <cfRule type="expression" dxfId="0" priority="3">
      <formula>MOD(ROW(),2)=0</formula>
    </cfRule>
  </conditionalFormatting>
  <dataValidations count="600">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Spreadsheet&amp;R&amp;"Calibri,Italic"Staples</oddHeader>
    <oddFooter>&amp;LPage &amp;P of &amp;N&amp;R&amp;D</oddFooter>
  </headerFooter>
  <legacyDrawing r:id="rId1"/>
</worksheet>
</file>

<file path=xl/worksheets/sheet15.xml><?xml version="1.0" encoding="utf-8"?>
<worksheet xmlns="http://schemas.openxmlformats.org/spreadsheetml/2006/main" xmlns:r="http://schemas.openxmlformats.org/officeDocument/2006/relationships">
  <sheetPr>
    <tabColor rgb="FF4E8A63"/>
    <pageSetUpPr fitToPage="1"/>
  </sheetPr>
  <dimension ref="A4:S12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customWidth="1"/>
    <col min="2" max="3" width="26.7109375" customWidth="1"/>
    <col min="4" max="4" width="12.7109375" customWidth="1"/>
    <col min="5" max="5" width="9.7109375" customWidth="1"/>
    <col min="6" max="6" width="10.7109375" customWidth="1"/>
    <col min="7" max="8" width="12.7109375" customWidth="1"/>
    <col min="9" max="9" width="10.7109375" customWidth="1"/>
    <col min="10" max="10" width="14.7109375" customWidth="1"/>
    <col min="11" max="11" width="11.7109375" customWidth="1"/>
    <col min="12" max="12" width="10.7109375" customWidth="1"/>
    <col min="13" max="14" width="12.7109375" customWidth="1"/>
    <col min="15" max="15" width="10.7109375" customWidth="1"/>
    <col min="16" max="16" width="9.7109375" customWidth="1"/>
    <col min="17" max="17" width="14.7109375" customWidth="1"/>
    <col min="18" max="18" width="11.7109375" customWidth="1"/>
    <col min="19" max="19" width="30.7109375" customWidth="1"/>
  </cols>
  <sheetData>
    <row r="4" spans="1:19" ht="32" customHeight="1">
      <c r="A4" s="9" t="s">
        <v>417</v>
      </c>
      <c r="B4" s="9" t="s">
        <v>418</v>
      </c>
      <c r="C4" s="9" t="s">
        <v>398</v>
      </c>
      <c r="D4" s="9" t="s">
        <v>374</v>
      </c>
      <c r="E4" s="9" t="s">
        <v>419</v>
      </c>
      <c r="F4" s="9" t="s">
        <v>150</v>
      </c>
      <c r="G4" s="9" t="s">
        <v>420</v>
      </c>
      <c r="H4" s="9" t="s">
        <v>421</v>
      </c>
      <c r="I4" s="9" t="s">
        <v>148</v>
      </c>
      <c r="J4" s="9" t="s">
        <v>135</v>
      </c>
      <c r="K4" s="9" t="s">
        <v>195</v>
      </c>
      <c r="L4" s="9" t="s">
        <v>422</v>
      </c>
      <c r="M4" s="9" t="s">
        <v>423</v>
      </c>
      <c r="N4" s="9" t="s">
        <v>424</v>
      </c>
      <c r="O4" s="9" t="s">
        <v>425</v>
      </c>
      <c r="P4" s="9" t="s">
        <v>426</v>
      </c>
      <c r="Q4" s="9" t="s">
        <v>427</v>
      </c>
      <c r="R4" s="9" t="s">
        <v>428</v>
      </c>
      <c r="S4" s="9" t="s">
        <v>173</v>
      </c>
    </row>
    <row r="5" spans="1:19">
      <c r="A5" s="7"/>
      <c r="B5" s="7"/>
      <c r="C5" s="27"/>
      <c r="D5" s="30"/>
      <c r="E5" s="26"/>
      <c r="F5" s="27"/>
      <c r="G5" s="8">
        <f>IF(OR(A5="",D5=""),"",D5+Leftover_Safe_Days)</f>
        <v>0</v>
      </c>
      <c r="H5" s="8">
        <f>IF(OR(A5="",D5=""),"",D5+Freezer_Review_Days)</f>
        <v>0</v>
      </c>
      <c r="I5" s="8">
        <f>IF(OR(A5="",D5=""),"",IF(F5="Freezer",H5-TODAY(),G5-TODAY()))</f>
        <v>0</v>
      </c>
      <c r="J5" s="8">
        <f>IF(A5="","",IF(P5="Yes","Binned",IF(O5="Yes","Eaten",IF(I5="","",IF(I5&lt;0,"Past its best",IF(I5&lt;=1,"Eat today",IF(I5&lt;=3,"Eat this week","Keep")))))))</f>
        <v>0</v>
      </c>
      <c r="K5" s="8">
        <f>IF(OR(A5="",E5=""),"",IFERROR(E5*IFERROR(INDEX(Recipes!$Q$5:$Q$204,MATCH(C5,Recipes!$A$5:$A$204,0)),""),""))</f>
        <v>0</v>
      </c>
      <c r="L5" s="8">
        <f>IF(OR(A5="",I5=""),"",COUNTIFS($I$5:$I$124,"&lt;"&amp;I5)+1)</f>
        <v>0</v>
      </c>
      <c r="M5" s="8">
        <f>IF(A5="","",IF(I5="","",IF(I5&lt;0,"Bin it",IF(I5&lt;=Expiry_Warning_Days,"Use it or lose it",""))))</f>
        <v>0</v>
      </c>
      <c r="N5" s="26"/>
      <c r="O5" s="27"/>
      <c r="P5" s="27"/>
      <c r="Q5" s="7"/>
      <c r="R5" s="26"/>
      <c r="S5" s="25"/>
    </row>
    <row r="6" spans="1:19">
      <c r="A6" s="7"/>
      <c r="B6" s="7"/>
      <c r="C6" s="27"/>
      <c r="D6" s="30"/>
      <c r="E6" s="26"/>
      <c r="F6" s="27"/>
      <c r="G6" s="8">
        <f>IF(OR(A6="",D6=""),"",D6+Leftover_Safe_Days)</f>
        <v>0</v>
      </c>
      <c r="H6" s="8">
        <f>IF(OR(A6="",D6=""),"",D6+Freezer_Review_Days)</f>
        <v>0</v>
      </c>
      <c r="I6" s="8">
        <f>IF(OR(A6="",D6=""),"",IF(F6="Freezer",H6-TODAY(),G6-TODAY()))</f>
        <v>0</v>
      </c>
      <c r="J6" s="8">
        <f>IF(A6="","",IF(P6="Yes","Binned",IF(O6="Yes","Eaten",IF(I6="","",IF(I6&lt;0,"Past its best",IF(I6&lt;=1,"Eat today",IF(I6&lt;=3,"Eat this week","Keep")))))))</f>
        <v>0</v>
      </c>
      <c r="K6" s="8">
        <f>IF(OR(A6="",E6=""),"",IFERROR(E6*IFERROR(INDEX(Recipes!$Q$5:$Q$204,MATCH(C6,Recipes!$A$5:$A$204,0)),""),""))</f>
        <v>0</v>
      </c>
      <c r="L6" s="8">
        <f>IF(OR(A6="",I6=""),"",COUNTIFS($I$5:$I$124,"&lt;"&amp;I6)+1)</f>
        <v>0</v>
      </c>
      <c r="M6" s="8">
        <f>IF(A6="","",IF(I6="","",IF(I6&lt;0,"Bin it",IF(I6&lt;=Expiry_Warning_Days,"Use it or lose it",""))))</f>
        <v>0</v>
      </c>
      <c r="N6" s="26"/>
      <c r="O6" s="27"/>
      <c r="P6" s="27"/>
      <c r="Q6" s="7"/>
      <c r="R6" s="26"/>
      <c r="S6" s="25"/>
    </row>
    <row r="7" spans="1:19">
      <c r="A7" s="7"/>
      <c r="B7" s="7"/>
      <c r="C7" s="27"/>
      <c r="D7" s="30"/>
      <c r="E7" s="26"/>
      <c r="F7" s="27"/>
      <c r="G7" s="8">
        <f>IF(OR(A7="",D7=""),"",D7+Leftover_Safe_Days)</f>
        <v>0</v>
      </c>
      <c r="H7" s="8">
        <f>IF(OR(A7="",D7=""),"",D7+Freezer_Review_Days)</f>
        <v>0</v>
      </c>
      <c r="I7" s="8">
        <f>IF(OR(A7="",D7=""),"",IF(F7="Freezer",H7-TODAY(),G7-TODAY()))</f>
        <v>0</v>
      </c>
      <c r="J7" s="8">
        <f>IF(A7="","",IF(P7="Yes","Binned",IF(O7="Yes","Eaten",IF(I7="","",IF(I7&lt;0,"Past its best",IF(I7&lt;=1,"Eat today",IF(I7&lt;=3,"Eat this week","Keep")))))))</f>
        <v>0</v>
      </c>
      <c r="K7" s="8">
        <f>IF(OR(A7="",E7=""),"",IFERROR(E7*IFERROR(INDEX(Recipes!$Q$5:$Q$204,MATCH(C7,Recipes!$A$5:$A$204,0)),""),""))</f>
        <v>0</v>
      </c>
      <c r="L7" s="8">
        <f>IF(OR(A7="",I7=""),"",COUNTIFS($I$5:$I$124,"&lt;"&amp;I7)+1)</f>
        <v>0</v>
      </c>
      <c r="M7" s="8">
        <f>IF(A7="","",IF(I7="","",IF(I7&lt;0,"Bin it",IF(I7&lt;=Expiry_Warning_Days,"Use it or lose it",""))))</f>
        <v>0</v>
      </c>
      <c r="N7" s="26"/>
      <c r="O7" s="27"/>
      <c r="P7" s="27"/>
      <c r="Q7" s="7"/>
      <c r="R7" s="26"/>
      <c r="S7" s="25"/>
    </row>
    <row r="8" spans="1:19">
      <c r="A8" s="7"/>
      <c r="B8" s="7"/>
      <c r="C8" s="27"/>
      <c r="D8" s="30"/>
      <c r="E8" s="26"/>
      <c r="F8" s="27"/>
      <c r="G8" s="8">
        <f>IF(OR(A8="",D8=""),"",D8+Leftover_Safe_Days)</f>
        <v>0</v>
      </c>
      <c r="H8" s="8">
        <f>IF(OR(A8="",D8=""),"",D8+Freezer_Review_Days)</f>
        <v>0</v>
      </c>
      <c r="I8" s="8">
        <f>IF(OR(A8="",D8=""),"",IF(F8="Freezer",H8-TODAY(),G8-TODAY()))</f>
        <v>0</v>
      </c>
      <c r="J8" s="8">
        <f>IF(A8="","",IF(P8="Yes","Binned",IF(O8="Yes","Eaten",IF(I8="","",IF(I8&lt;0,"Past its best",IF(I8&lt;=1,"Eat today",IF(I8&lt;=3,"Eat this week","Keep")))))))</f>
        <v>0</v>
      </c>
      <c r="K8" s="8">
        <f>IF(OR(A8="",E8=""),"",IFERROR(E8*IFERROR(INDEX(Recipes!$Q$5:$Q$204,MATCH(C8,Recipes!$A$5:$A$204,0)),""),""))</f>
        <v>0</v>
      </c>
      <c r="L8" s="8">
        <f>IF(OR(A8="",I8=""),"",COUNTIFS($I$5:$I$124,"&lt;"&amp;I8)+1)</f>
        <v>0</v>
      </c>
      <c r="M8" s="8">
        <f>IF(A8="","",IF(I8="","",IF(I8&lt;0,"Bin it",IF(I8&lt;=Expiry_Warning_Days,"Use it or lose it",""))))</f>
        <v>0</v>
      </c>
      <c r="N8" s="26"/>
      <c r="O8" s="27"/>
      <c r="P8" s="27"/>
      <c r="Q8" s="7"/>
      <c r="R8" s="26"/>
      <c r="S8" s="25"/>
    </row>
    <row r="9" spans="1:19">
      <c r="A9" s="7"/>
      <c r="B9" s="7"/>
      <c r="C9" s="27"/>
      <c r="D9" s="30"/>
      <c r="E9" s="26"/>
      <c r="F9" s="27"/>
      <c r="G9" s="8">
        <f>IF(OR(A9="",D9=""),"",D9+Leftover_Safe_Days)</f>
        <v>0</v>
      </c>
      <c r="H9" s="8">
        <f>IF(OR(A9="",D9=""),"",D9+Freezer_Review_Days)</f>
        <v>0</v>
      </c>
      <c r="I9" s="8">
        <f>IF(OR(A9="",D9=""),"",IF(F9="Freezer",H9-TODAY(),G9-TODAY()))</f>
        <v>0</v>
      </c>
      <c r="J9" s="8">
        <f>IF(A9="","",IF(P9="Yes","Binned",IF(O9="Yes","Eaten",IF(I9="","",IF(I9&lt;0,"Past its best",IF(I9&lt;=1,"Eat today",IF(I9&lt;=3,"Eat this week","Keep")))))))</f>
        <v>0</v>
      </c>
      <c r="K9" s="8">
        <f>IF(OR(A9="",E9=""),"",IFERROR(E9*IFERROR(INDEX(Recipes!$Q$5:$Q$204,MATCH(C9,Recipes!$A$5:$A$204,0)),""),""))</f>
        <v>0</v>
      </c>
      <c r="L9" s="8">
        <f>IF(OR(A9="",I9=""),"",COUNTIFS($I$5:$I$124,"&lt;"&amp;I9)+1)</f>
        <v>0</v>
      </c>
      <c r="M9" s="8">
        <f>IF(A9="","",IF(I9="","",IF(I9&lt;0,"Bin it",IF(I9&lt;=Expiry_Warning_Days,"Use it or lose it",""))))</f>
        <v>0</v>
      </c>
      <c r="N9" s="26"/>
      <c r="O9" s="27"/>
      <c r="P9" s="27"/>
      <c r="Q9" s="7"/>
      <c r="R9" s="26"/>
      <c r="S9" s="25"/>
    </row>
    <row r="10" spans="1:19">
      <c r="A10" s="7"/>
      <c r="B10" s="7"/>
      <c r="C10" s="27"/>
      <c r="D10" s="30"/>
      <c r="E10" s="26"/>
      <c r="F10" s="27"/>
      <c r="G10" s="8">
        <f>IF(OR(A10="",D10=""),"",D10+Leftover_Safe_Days)</f>
        <v>0</v>
      </c>
      <c r="H10" s="8">
        <f>IF(OR(A10="",D10=""),"",D10+Freezer_Review_Days)</f>
        <v>0</v>
      </c>
      <c r="I10" s="8">
        <f>IF(OR(A10="",D10=""),"",IF(F10="Freezer",H10-TODAY(),G10-TODAY()))</f>
        <v>0</v>
      </c>
      <c r="J10" s="8">
        <f>IF(A10="","",IF(P10="Yes","Binned",IF(O10="Yes","Eaten",IF(I10="","",IF(I10&lt;0,"Past its best",IF(I10&lt;=1,"Eat today",IF(I10&lt;=3,"Eat this week","Keep")))))))</f>
        <v>0</v>
      </c>
      <c r="K10" s="8">
        <f>IF(OR(A10="",E10=""),"",IFERROR(E10*IFERROR(INDEX(Recipes!$Q$5:$Q$204,MATCH(C10,Recipes!$A$5:$A$204,0)),""),""))</f>
        <v>0</v>
      </c>
      <c r="L10" s="8">
        <f>IF(OR(A10="",I10=""),"",COUNTIFS($I$5:$I$124,"&lt;"&amp;I10)+1)</f>
        <v>0</v>
      </c>
      <c r="M10" s="8">
        <f>IF(A10="","",IF(I10="","",IF(I10&lt;0,"Bin it",IF(I10&lt;=Expiry_Warning_Days,"Use it or lose it",""))))</f>
        <v>0</v>
      </c>
      <c r="N10" s="26"/>
      <c r="O10" s="27"/>
      <c r="P10" s="27"/>
      <c r="Q10" s="7"/>
      <c r="R10" s="26"/>
      <c r="S10" s="25"/>
    </row>
    <row r="11" spans="1:19">
      <c r="A11" s="7"/>
      <c r="B11" s="7"/>
      <c r="C11" s="27"/>
      <c r="D11" s="30"/>
      <c r="E11" s="26"/>
      <c r="F11" s="27"/>
      <c r="G11" s="8">
        <f>IF(OR(A11="",D11=""),"",D11+Leftover_Safe_Days)</f>
        <v>0</v>
      </c>
      <c r="H11" s="8">
        <f>IF(OR(A11="",D11=""),"",D11+Freezer_Review_Days)</f>
        <v>0</v>
      </c>
      <c r="I11" s="8">
        <f>IF(OR(A11="",D11=""),"",IF(F11="Freezer",H11-TODAY(),G11-TODAY()))</f>
        <v>0</v>
      </c>
      <c r="J11" s="8">
        <f>IF(A11="","",IF(P11="Yes","Binned",IF(O11="Yes","Eaten",IF(I11="","",IF(I11&lt;0,"Past its best",IF(I11&lt;=1,"Eat today",IF(I11&lt;=3,"Eat this week","Keep")))))))</f>
        <v>0</v>
      </c>
      <c r="K11" s="8">
        <f>IF(OR(A11="",E11=""),"",IFERROR(E11*IFERROR(INDEX(Recipes!$Q$5:$Q$204,MATCH(C11,Recipes!$A$5:$A$204,0)),""),""))</f>
        <v>0</v>
      </c>
      <c r="L11" s="8">
        <f>IF(OR(A11="",I11=""),"",COUNTIFS($I$5:$I$124,"&lt;"&amp;I11)+1)</f>
        <v>0</v>
      </c>
      <c r="M11" s="8">
        <f>IF(A11="","",IF(I11="","",IF(I11&lt;0,"Bin it",IF(I11&lt;=Expiry_Warning_Days,"Use it or lose it",""))))</f>
        <v>0</v>
      </c>
      <c r="N11" s="26"/>
      <c r="O11" s="27"/>
      <c r="P11" s="27"/>
      <c r="Q11" s="7"/>
      <c r="R11" s="26"/>
      <c r="S11" s="25"/>
    </row>
    <row r="12" spans="1:19">
      <c r="A12" s="7"/>
      <c r="B12" s="7"/>
      <c r="C12" s="27"/>
      <c r="D12" s="30"/>
      <c r="E12" s="26"/>
      <c r="F12" s="27"/>
      <c r="G12" s="8">
        <f>IF(OR(A12="",D12=""),"",D12+Leftover_Safe_Days)</f>
        <v>0</v>
      </c>
      <c r="H12" s="8">
        <f>IF(OR(A12="",D12=""),"",D12+Freezer_Review_Days)</f>
        <v>0</v>
      </c>
      <c r="I12" s="8">
        <f>IF(OR(A12="",D12=""),"",IF(F12="Freezer",H12-TODAY(),G12-TODAY()))</f>
        <v>0</v>
      </c>
      <c r="J12" s="8">
        <f>IF(A12="","",IF(P12="Yes","Binned",IF(O12="Yes","Eaten",IF(I12="","",IF(I12&lt;0,"Past its best",IF(I12&lt;=1,"Eat today",IF(I12&lt;=3,"Eat this week","Keep")))))))</f>
        <v>0</v>
      </c>
      <c r="K12" s="8">
        <f>IF(OR(A12="",E12=""),"",IFERROR(E12*IFERROR(INDEX(Recipes!$Q$5:$Q$204,MATCH(C12,Recipes!$A$5:$A$204,0)),""),""))</f>
        <v>0</v>
      </c>
      <c r="L12" s="8">
        <f>IF(OR(A12="",I12=""),"",COUNTIFS($I$5:$I$124,"&lt;"&amp;I12)+1)</f>
        <v>0</v>
      </c>
      <c r="M12" s="8">
        <f>IF(A12="","",IF(I12="","",IF(I12&lt;0,"Bin it",IF(I12&lt;=Expiry_Warning_Days,"Use it or lose it",""))))</f>
        <v>0</v>
      </c>
      <c r="N12" s="26"/>
      <c r="O12" s="27"/>
      <c r="P12" s="27"/>
      <c r="Q12" s="7"/>
      <c r="R12" s="26"/>
      <c r="S12" s="25"/>
    </row>
    <row r="13" spans="1:19">
      <c r="A13" s="7"/>
      <c r="B13" s="7"/>
      <c r="C13" s="27"/>
      <c r="D13" s="30"/>
      <c r="E13" s="26"/>
      <c r="F13" s="27"/>
      <c r="G13" s="8">
        <f>IF(OR(A13="",D13=""),"",D13+Leftover_Safe_Days)</f>
        <v>0</v>
      </c>
      <c r="H13" s="8">
        <f>IF(OR(A13="",D13=""),"",D13+Freezer_Review_Days)</f>
        <v>0</v>
      </c>
      <c r="I13" s="8">
        <f>IF(OR(A13="",D13=""),"",IF(F13="Freezer",H13-TODAY(),G13-TODAY()))</f>
        <v>0</v>
      </c>
      <c r="J13" s="8">
        <f>IF(A13="","",IF(P13="Yes","Binned",IF(O13="Yes","Eaten",IF(I13="","",IF(I13&lt;0,"Past its best",IF(I13&lt;=1,"Eat today",IF(I13&lt;=3,"Eat this week","Keep")))))))</f>
        <v>0</v>
      </c>
      <c r="K13" s="8">
        <f>IF(OR(A13="",E13=""),"",IFERROR(E13*IFERROR(INDEX(Recipes!$Q$5:$Q$204,MATCH(C13,Recipes!$A$5:$A$204,0)),""),""))</f>
        <v>0</v>
      </c>
      <c r="L13" s="8">
        <f>IF(OR(A13="",I13=""),"",COUNTIFS($I$5:$I$124,"&lt;"&amp;I13)+1)</f>
        <v>0</v>
      </c>
      <c r="M13" s="8">
        <f>IF(A13="","",IF(I13="","",IF(I13&lt;0,"Bin it",IF(I13&lt;=Expiry_Warning_Days,"Use it or lose it",""))))</f>
        <v>0</v>
      </c>
      <c r="N13" s="26"/>
      <c r="O13" s="27"/>
      <c r="P13" s="27"/>
      <c r="Q13" s="7"/>
      <c r="R13" s="26"/>
      <c r="S13" s="25"/>
    </row>
    <row r="14" spans="1:19">
      <c r="A14" s="7"/>
      <c r="B14" s="7"/>
      <c r="C14" s="27"/>
      <c r="D14" s="30"/>
      <c r="E14" s="26"/>
      <c r="F14" s="27"/>
      <c r="G14" s="8">
        <f>IF(OR(A14="",D14=""),"",D14+Leftover_Safe_Days)</f>
        <v>0</v>
      </c>
      <c r="H14" s="8">
        <f>IF(OR(A14="",D14=""),"",D14+Freezer_Review_Days)</f>
        <v>0</v>
      </c>
      <c r="I14" s="8">
        <f>IF(OR(A14="",D14=""),"",IF(F14="Freezer",H14-TODAY(),G14-TODAY()))</f>
        <v>0</v>
      </c>
      <c r="J14" s="8">
        <f>IF(A14="","",IF(P14="Yes","Binned",IF(O14="Yes","Eaten",IF(I14="","",IF(I14&lt;0,"Past its best",IF(I14&lt;=1,"Eat today",IF(I14&lt;=3,"Eat this week","Keep")))))))</f>
        <v>0</v>
      </c>
      <c r="K14" s="8">
        <f>IF(OR(A14="",E14=""),"",IFERROR(E14*IFERROR(INDEX(Recipes!$Q$5:$Q$204,MATCH(C14,Recipes!$A$5:$A$204,0)),""),""))</f>
        <v>0</v>
      </c>
      <c r="L14" s="8">
        <f>IF(OR(A14="",I14=""),"",COUNTIFS($I$5:$I$124,"&lt;"&amp;I14)+1)</f>
        <v>0</v>
      </c>
      <c r="M14" s="8">
        <f>IF(A14="","",IF(I14="","",IF(I14&lt;0,"Bin it",IF(I14&lt;=Expiry_Warning_Days,"Use it or lose it",""))))</f>
        <v>0</v>
      </c>
      <c r="N14" s="26"/>
      <c r="O14" s="27"/>
      <c r="P14" s="27"/>
      <c r="Q14" s="7"/>
      <c r="R14" s="26"/>
      <c r="S14" s="25"/>
    </row>
    <row r="15" spans="1:19">
      <c r="A15" s="7"/>
      <c r="B15" s="7"/>
      <c r="C15" s="27"/>
      <c r="D15" s="30"/>
      <c r="E15" s="26"/>
      <c r="F15" s="27"/>
      <c r="G15" s="8">
        <f>IF(OR(A15="",D15=""),"",D15+Leftover_Safe_Days)</f>
        <v>0</v>
      </c>
      <c r="H15" s="8">
        <f>IF(OR(A15="",D15=""),"",D15+Freezer_Review_Days)</f>
        <v>0</v>
      </c>
      <c r="I15" s="8">
        <f>IF(OR(A15="",D15=""),"",IF(F15="Freezer",H15-TODAY(),G15-TODAY()))</f>
        <v>0</v>
      </c>
      <c r="J15" s="8">
        <f>IF(A15="","",IF(P15="Yes","Binned",IF(O15="Yes","Eaten",IF(I15="","",IF(I15&lt;0,"Past its best",IF(I15&lt;=1,"Eat today",IF(I15&lt;=3,"Eat this week","Keep")))))))</f>
        <v>0</v>
      </c>
      <c r="K15" s="8">
        <f>IF(OR(A15="",E15=""),"",IFERROR(E15*IFERROR(INDEX(Recipes!$Q$5:$Q$204,MATCH(C15,Recipes!$A$5:$A$204,0)),""),""))</f>
        <v>0</v>
      </c>
      <c r="L15" s="8">
        <f>IF(OR(A15="",I15=""),"",COUNTIFS($I$5:$I$124,"&lt;"&amp;I15)+1)</f>
        <v>0</v>
      </c>
      <c r="M15" s="8">
        <f>IF(A15="","",IF(I15="","",IF(I15&lt;0,"Bin it",IF(I15&lt;=Expiry_Warning_Days,"Use it or lose it",""))))</f>
        <v>0</v>
      </c>
      <c r="N15" s="26"/>
      <c r="O15" s="27"/>
      <c r="P15" s="27"/>
      <c r="Q15" s="7"/>
      <c r="R15" s="26"/>
      <c r="S15" s="25"/>
    </row>
    <row r="16" spans="1:19">
      <c r="A16" s="7"/>
      <c r="B16" s="7"/>
      <c r="C16" s="27"/>
      <c r="D16" s="30"/>
      <c r="E16" s="26"/>
      <c r="F16" s="27"/>
      <c r="G16" s="8">
        <f>IF(OR(A16="",D16=""),"",D16+Leftover_Safe_Days)</f>
        <v>0</v>
      </c>
      <c r="H16" s="8">
        <f>IF(OR(A16="",D16=""),"",D16+Freezer_Review_Days)</f>
        <v>0</v>
      </c>
      <c r="I16" s="8">
        <f>IF(OR(A16="",D16=""),"",IF(F16="Freezer",H16-TODAY(),G16-TODAY()))</f>
        <v>0</v>
      </c>
      <c r="J16" s="8">
        <f>IF(A16="","",IF(P16="Yes","Binned",IF(O16="Yes","Eaten",IF(I16="","",IF(I16&lt;0,"Past its best",IF(I16&lt;=1,"Eat today",IF(I16&lt;=3,"Eat this week","Keep")))))))</f>
        <v>0</v>
      </c>
      <c r="K16" s="8">
        <f>IF(OR(A16="",E16=""),"",IFERROR(E16*IFERROR(INDEX(Recipes!$Q$5:$Q$204,MATCH(C16,Recipes!$A$5:$A$204,0)),""),""))</f>
        <v>0</v>
      </c>
      <c r="L16" s="8">
        <f>IF(OR(A16="",I16=""),"",COUNTIFS($I$5:$I$124,"&lt;"&amp;I16)+1)</f>
        <v>0</v>
      </c>
      <c r="M16" s="8">
        <f>IF(A16="","",IF(I16="","",IF(I16&lt;0,"Bin it",IF(I16&lt;=Expiry_Warning_Days,"Use it or lose it",""))))</f>
        <v>0</v>
      </c>
      <c r="N16" s="26"/>
      <c r="O16" s="27"/>
      <c r="P16" s="27"/>
      <c r="Q16" s="7"/>
      <c r="R16" s="26"/>
      <c r="S16" s="25"/>
    </row>
    <row r="17" spans="1:19">
      <c r="A17" s="7"/>
      <c r="B17" s="7"/>
      <c r="C17" s="27"/>
      <c r="D17" s="30"/>
      <c r="E17" s="26"/>
      <c r="F17" s="27"/>
      <c r="G17" s="8">
        <f>IF(OR(A17="",D17=""),"",D17+Leftover_Safe_Days)</f>
        <v>0</v>
      </c>
      <c r="H17" s="8">
        <f>IF(OR(A17="",D17=""),"",D17+Freezer_Review_Days)</f>
        <v>0</v>
      </c>
      <c r="I17" s="8">
        <f>IF(OR(A17="",D17=""),"",IF(F17="Freezer",H17-TODAY(),G17-TODAY()))</f>
        <v>0</v>
      </c>
      <c r="J17" s="8">
        <f>IF(A17="","",IF(P17="Yes","Binned",IF(O17="Yes","Eaten",IF(I17="","",IF(I17&lt;0,"Past its best",IF(I17&lt;=1,"Eat today",IF(I17&lt;=3,"Eat this week","Keep")))))))</f>
        <v>0</v>
      </c>
      <c r="K17" s="8">
        <f>IF(OR(A17="",E17=""),"",IFERROR(E17*IFERROR(INDEX(Recipes!$Q$5:$Q$204,MATCH(C17,Recipes!$A$5:$A$204,0)),""),""))</f>
        <v>0</v>
      </c>
      <c r="L17" s="8">
        <f>IF(OR(A17="",I17=""),"",COUNTIFS($I$5:$I$124,"&lt;"&amp;I17)+1)</f>
        <v>0</v>
      </c>
      <c r="M17" s="8">
        <f>IF(A17="","",IF(I17="","",IF(I17&lt;0,"Bin it",IF(I17&lt;=Expiry_Warning_Days,"Use it or lose it",""))))</f>
        <v>0</v>
      </c>
      <c r="N17" s="26"/>
      <c r="O17" s="27"/>
      <c r="P17" s="27"/>
      <c r="Q17" s="7"/>
      <c r="R17" s="26"/>
      <c r="S17" s="25"/>
    </row>
    <row r="18" spans="1:19">
      <c r="A18" s="7"/>
      <c r="B18" s="7"/>
      <c r="C18" s="27"/>
      <c r="D18" s="30"/>
      <c r="E18" s="26"/>
      <c r="F18" s="27"/>
      <c r="G18" s="8">
        <f>IF(OR(A18="",D18=""),"",D18+Leftover_Safe_Days)</f>
        <v>0</v>
      </c>
      <c r="H18" s="8">
        <f>IF(OR(A18="",D18=""),"",D18+Freezer_Review_Days)</f>
        <v>0</v>
      </c>
      <c r="I18" s="8">
        <f>IF(OR(A18="",D18=""),"",IF(F18="Freezer",H18-TODAY(),G18-TODAY()))</f>
        <v>0</v>
      </c>
      <c r="J18" s="8">
        <f>IF(A18="","",IF(P18="Yes","Binned",IF(O18="Yes","Eaten",IF(I18="","",IF(I18&lt;0,"Past its best",IF(I18&lt;=1,"Eat today",IF(I18&lt;=3,"Eat this week","Keep")))))))</f>
        <v>0</v>
      </c>
      <c r="K18" s="8">
        <f>IF(OR(A18="",E18=""),"",IFERROR(E18*IFERROR(INDEX(Recipes!$Q$5:$Q$204,MATCH(C18,Recipes!$A$5:$A$204,0)),""),""))</f>
        <v>0</v>
      </c>
      <c r="L18" s="8">
        <f>IF(OR(A18="",I18=""),"",COUNTIFS($I$5:$I$124,"&lt;"&amp;I18)+1)</f>
        <v>0</v>
      </c>
      <c r="M18" s="8">
        <f>IF(A18="","",IF(I18="","",IF(I18&lt;0,"Bin it",IF(I18&lt;=Expiry_Warning_Days,"Use it or lose it",""))))</f>
        <v>0</v>
      </c>
      <c r="N18" s="26"/>
      <c r="O18" s="27"/>
      <c r="P18" s="27"/>
      <c r="Q18" s="7"/>
      <c r="R18" s="26"/>
      <c r="S18" s="25"/>
    </row>
    <row r="19" spans="1:19">
      <c r="A19" s="7"/>
      <c r="B19" s="7"/>
      <c r="C19" s="27"/>
      <c r="D19" s="30"/>
      <c r="E19" s="26"/>
      <c r="F19" s="27"/>
      <c r="G19" s="8">
        <f>IF(OR(A19="",D19=""),"",D19+Leftover_Safe_Days)</f>
        <v>0</v>
      </c>
      <c r="H19" s="8">
        <f>IF(OR(A19="",D19=""),"",D19+Freezer_Review_Days)</f>
        <v>0</v>
      </c>
      <c r="I19" s="8">
        <f>IF(OR(A19="",D19=""),"",IF(F19="Freezer",H19-TODAY(),G19-TODAY()))</f>
        <v>0</v>
      </c>
      <c r="J19" s="8">
        <f>IF(A19="","",IF(P19="Yes","Binned",IF(O19="Yes","Eaten",IF(I19="","",IF(I19&lt;0,"Past its best",IF(I19&lt;=1,"Eat today",IF(I19&lt;=3,"Eat this week","Keep")))))))</f>
        <v>0</v>
      </c>
      <c r="K19" s="8">
        <f>IF(OR(A19="",E19=""),"",IFERROR(E19*IFERROR(INDEX(Recipes!$Q$5:$Q$204,MATCH(C19,Recipes!$A$5:$A$204,0)),""),""))</f>
        <v>0</v>
      </c>
      <c r="L19" s="8">
        <f>IF(OR(A19="",I19=""),"",COUNTIFS($I$5:$I$124,"&lt;"&amp;I19)+1)</f>
        <v>0</v>
      </c>
      <c r="M19" s="8">
        <f>IF(A19="","",IF(I19="","",IF(I19&lt;0,"Bin it",IF(I19&lt;=Expiry_Warning_Days,"Use it or lose it",""))))</f>
        <v>0</v>
      </c>
      <c r="N19" s="26"/>
      <c r="O19" s="27"/>
      <c r="P19" s="27"/>
      <c r="Q19" s="7"/>
      <c r="R19" s="26"/>
      <c r="S19" s="25"/>
    </row>
    <row r="20" spans="1:19">
      <c r="A20" s="7"/>
      <c r="B20" s="7"/>
      <c r="C20" s="27"/>
      <c r="D20" s="30"/>
      <c r="E20" s="26"/>
      <c r="F20" s="27"/>
      <c r="G20" s="8">
        <f>IF(OR(A20="",D20=""),"",D20+Leftover_Safe_Days)</f>
        <v>0</v>
      </c>
      <c r="H20" s="8">
        <f>IF(OR(A20="",D20=""),"",D20+Freezer_Review_Days)</f>
        <v>0</v>
      </c>
      <c r="I20" s="8">
        <f>IF(OR(A20="",D20=""),"",IF(F20="Freezer",H20-TODAY(),G20-TODAY()))</f>
        <v>0</v>
      </c>
      <c r="J20" s="8">
        <f>IF(A20="","",IF(P20="Yes","Binned",IF(O20="Yes","Eaten",IF(I20="","",IF(I20&lt;0,"Past its best",IF(I20&lt;=1,"Eat today",IF(I20&lt;=3,"Eat this week","Keep")))))))</f>
        <v>0</v>
      </c>
      <c r="K20" s="8">
        <f>IF(OR(A20="",E20=""),"",IFERROR(E20*IFERROR(INDEX(Recipes!$Q$5:$Q$204,MATCH(C20,Recipes!$A$5:$A$204,0)),""),""))</f>
        <v>0</v>
      </c>
      <c r="L20" s="8">
        <f>IF(OR(A20="",I20=""),"",COUNTIFS($I$5:$I$124,"&lt;"&amp;I20)+1)</f>
        <v>0</v>
      </c>
      <c r="M20" s="8">
        <f>IF(A20="","",IF(I20="","",IF(I20&lt;0,"Bin it",IF(I20&lt;=Expiry_Warning_Days,"Use it or lose it",""))))</f>
        <v>0</v>
      </c>
      <c r="N20" s="26"/>
      <c r="O20" s="27"/>
      <c r="P20" s="27"/>
      <c r="Q20" s="7"/>
      <c r="R20" s="26"/>
      <c r="S20" s="25"/>
    </row>
    <row r="21" spans="1:19">
      <c r="A21" s="7"/>
      <c r="B21" s="7"/>
      <c r="C21" s="27"/>
      <c r="D21" s="30"/>
      <c r="E21" s="26"/>
      <c r="F21" s="27"/>
      <c r="G21" s="8">
        <f>IF(OR(A21="",D21=""),"",D21+Leftover_Safe_Days)</f>
        <v>0</v>
      </c>
      <c r="H21" s="8">
        <f>IF(OR(A21="",D21=""),"",D21+Freezer_Review_Days)</f>
        <v>0</v>
      </c>
      <c r="I21" s="8">
        <f>IF(OR(A21="",D21=""),"",IF(F21="Freezer",H21-TODAY(),G21-TODAY()))</f>
        <v>0</v>
      </c>
      <c r="J21" s="8">
        <f>IF(A21="","",IF(P21="Yes","Binned",IF(O21="Yes","Eaten",IF(I21="","",IF(I21&lt;0,"Past its best",IF(I21&lt;=1,"Eat today",IF(I21&lt;=3,"Eat this week","Keep")))))))</f>
        <v>0</v>
      </c>
      <c r="K21" s="8">
        <f>IF(OR(A21="",E21=""),"",IFERROR(E21*IFERROR(INDEX(Recipes!$Q$5:$Q$204,MATCH(C21,Recipes!$A$5:$A$204,0)),""),""))</f>
        <v>0</v>
      </c>
      <c r="L21" s="8">
        <f>IF(OR(A21="",I21=""),"",COUNTIFS($I$5:$I$124,"&lt;"&amp;I21)+1)</f>
        <v>0</v>
      </c>
      <c r="M21" s="8">
        <f>IF(A21="","",IF(I21="","",IF(I21&lt;0,"Bin it",IF(I21&lt;=Expiry_Warning_Days,"Use it or lose it",""))))</f>
        <v>0</v>
      </c>
      <c r="N21" s="26"/>
      <c r="O21" s="27"/>
      <c r="P21" s="27"/>
      <c r="Q21" s="7"/>
      <c r="R21" s="26"/>
      <c r="S21" s="25"/>
    </row>
    <row r="22" spans="1:19">
      <c r="A22" s="7"/>
      <c r="B22" s="7"/>
      <c r="C22" s="27"/>
      <c r="D22" s="30"/>
      <c r="E22" s="26"/>
      <c r="F22" s="27"/>
      <c r="G22" s="8">
        <f>IF(OR(A22="",D22=""),"",D22+Leftover_Safe_Days)</f>
        <v>0</v>
      </c>
      <c r="H22" s="8">
        <f>IF(OR(A22="",D22=""),"",D22+Freezer_Review_Days)</f>
        <v>0</v>
      </c>
      <c r="I22" s="8">
        <f>IF(OR(A22="",D22=""),"",IF(F22="Freezer",H22-TODAY(),G22-TODAY()))</f>
        <v>0</v>
      </c>
      <c r="J22" s="8">
        <f>IF(A22="","",IF(P22="Yes","Binned",IF(O22="Yes","Eaten",IF(I22="","",IF(I22&lt;0,"Past its best",IF(I22&lt;=1,"Eat today",IF(I22&lt;=3,"Eat this week","Keep")))))))</f>
        <v>0</v>
      </c>
      <c r="K22" s="8">
        <f>IF(OR(A22="",E22=""),"",IFERROR(E22*IFERROR(INDEX(Recipes!$Q$5:$Q$204,MATCH(C22,Recipes!$A$5:$A$204,0)),""),""))</f>
        <v>0</v>
      </c>
      <c r="L22" s="8">
        <f>IF(OR(A22="",I22=""),"",COUNTIFS($I$5:$I$124,"&lt;"&amp;I22)+1)</f>
        <v>0</v>
      </c>
      <c r="M22" s="8">
        <f>IF(A22="","",IF(I22="","",IF(I22&lt;0,"Bin it",IF(I22&lt;=Expiry_Warning_Days,"Use it or lose it",""))))</f>
        <v>0</v>
      </c>
      <c r="N22" s="26"/>
      <c r="O22" s="27"/>
      <c r="P22" s="27"/>
      <c r="Q22" s="7"/>
      <c r="R22" s="26"/>
      <c r="S22" s="25"/>
    </row>
    <row r="23" spans="1:19">
      <c r="A23" s="7"/>
      <c r="B23" s="7"/>
      <c r="C23" s="27"/>
      <c r="D23" s="30"/>
      <c r="E23" s="26"/>
      <c r="F23" s="27"/>
      <c r="G23" s="8">
        <f>IF(OR(A23="",D23=""),"",D23+Leftover_Safe_Days)</f>
        <v>0</v>
      </c>
      <c r="H23" s="8">
        <f>IF(OR(A23="",D23=""),"",D23+Freezer_Review_Days)</f>
        <v>0</v>
      </c>
      <c r="I23" s="8">
        <f>IF(OR(A23="",D23=""),"",IF(F23="Freezer",H23-TODAY(),G23-TODAY()))</f>
        <v>0</v>
      </c>
      <c r="J23" s="8">
        <f>IF(A23="","",IF(P23="Yes","Binned",IF(O23="Yes","Eaten",IF(I23="","",IF(I23&lt;0,"Past its best",IF(I23&lt;=1,"Eat today",IF(I23&lt;=3,"Eat this week","Keep")))))))</f>
        <v>0</v>
      </c>
      <c r="K23" s="8">
        <f>IF(OR(A23="",E23=""),"",IFERROR(E23*IFERROR(INDEX(Recipes!$Q$5:$Q$204,MATCH(C23,Recipes!$A$5:$A$204,0)),""),""))</f>
        <v>0</v>
      </c>
      <c r="L23" s="8">
        <f>IF(OR(A23="",I23=""),"",COUNTIFS($I$5:$I$124,"&lt;"&amp;I23)+1)</f>
        <v>0</v>
      </c>
      <c r="M23" s="8">
        <f>IF(A23="","",IF(I23="","",IF(I23&lt;0,"Bin it",IF(I23&lt;=Expiry_Warning_Days,"Use it or lose it",""))))</f>
        <v>0</v>
      </c>
      <c r="N23" s="26"/>
      <c r="O23" s="27"/>
      <c r="P23" s="27"/>
      <c r="Q23" s="7"/>
      <c r="R23" s="26"/>
      <c r="S23" s="25"/>
    </row>
    <row r="24" spans="1:19">
      <c r="A24" s="7"/>
      <c r="B24" s="7"/>
      <c r="C24" s="27"/>
      <c r="D24" s="30"/>
      <c r="E24" s="26"/>
      <c r="F24" s="27"/>
      <c r="G24" s="8">
        <f>IF(OR(A24="",D24=""),"",D24+Leftover_Safe_Days)</f>
        <v>0</v>
      </c>
      <c r="H24" s="8">
        <f>IF(OR(A24="",D24=""),"",D24+Freezer_Review_Days)</f>
        <v>0</v>
      </c>
      <c r="I24" s="8">
        <f>IF(OR(A24="",D24=""),"",IF(F24="Freezer",H24-TODAY(),G24-TODAY()))</f>
        <v>0</v>
      </c>
      <c r="J24" s="8">
        <f>IF(A24="","",IF(P24="Yes","Binned",IF(O24="Yes","Eaten",IF(I24="","",IF(I24&lt;0,"Past its best",IF(I24&lt;=1,"Eat today",IF(I24&lt;=3,"Eat this week","Keep")))))))</f>
        <v>0</v>
      </c>
      <c r="K24" s="8">
        <f>IF(OR(A24="",E24=""),"",IFERROR(E24*IFERROR(INDEX(Recipes!$Q$5:$Q$204,MATCH(C24,Recipes!$A$5:$A$204,0)),""),""))</f>
        <v>0</v>
      </c>
      <c r="L24" s="8">
        <f>IF(OR(A24="",I24=""),"",COUNTIFS($I$5:$I$124,"&lt;"&amp;I24)+1)</f>
        <v>0</v>
      </c>
      <c r="M24" s="8">
        <f>IF(A24="","",IF(I24="","",IF(I24&lt;0,"Bin it",IF(I24&lt;=Expiry_Warning_Days,"Use it or lose it",""))))</f>
        <v>0</v>
      </c>
      <c r="N24" s="26"/>
      <c r="O24" s="27"/>
      <c r="P24" s="27"/>
      <c r="Q24" s="7"/>
      <c r="R24" s="26"/>
      <c r="S24" s="25"/>
    </row>
    <row r="25" spans="1:19">
      <c r="A25" s="7"/>
      <c r="B25" s="7"/>
      <c r="C25" s="27"/>
      <c r="D25" s="30"/>
      <c r="E25" s="26"/>
      <c r="F25" s="27"/>
      <c r="G25" s="8">
        <f>IF(OR(A25="",D25=""),"",D25+Leftover_Safe_Days)</f>
        <v>0</v>
      </c>
      <c r="H25" s="8">
        <f>IF(OR(A25="",D25=""),"",D25+Freezer_Review_Days)</f>
        <v>0</v>
      </c>
      <c r="I25" s="8">
        <f>IF(OR(A25="",D25=""),"",IF(F25="Freezer",H25-TODAY(),G25-TODAY()))</f>
        <v>0</v>
      </c>
      <c r="J25" s="8">
        <f>IF(A25="","",IF(P25="Yes","Binned",IF(O25="Yes","Eaten",IF(I25="","",IF(I25&lt;0,"Past its best",IF(I25&lt;=1,"Eat today",IF(I25&lt;=3,"Eat this week","Keep")))))))</f>
        <v>0</v>
      </c>
      <c r="K25" s="8">
        <f>IF(OR(A25="",E25=""),"",IFERROR(E25*IFERROR(INDEX(Recipes!$Q$5:$Q$204,MATCH(C25,Recipes!$A$5:$A$204,0)),""),""))</f>
        <v>0</v>
      </c>
      <c r="L25" s="8">
        <f>IF(OR(A25="",I25=""),"",COUNTIFS($I$5:$I$124,"&lt;"&amp;I25)+1)</f>
        <v>0</v>
      </c>
      <c r="M25" s="8">
        <f>IF(A25="","",IF(I25="","",IF(I25&lt;0,"Bin it",IF(I25&lt;=Expiry_Warning_Days,"Use it or lose it",""))))</f>
        <v>0</v>
      </c>
      <c r="N25" s="26"/>
      <c r="O25" s="27"/>
      <c r="P25" s="27"/>
      <c r="Q25" s="7"/>
      <c r="R25" s="26"/>
      <c r="S25" s="25"/>
    </row>
    <row r="26" spans="1:19">
      <c r="A26" s="7"/>
      <c r="B26" s="7"/>
      <c r="C26" s="27"/>
      <c r="D26" s="30"/>
      <c r="E26" s="26"/>
      <c r="F26" s="27"/>
      <c r="G26" s="8">
        <f>IF(OR(A26="",D26=""),"",D26+Leftover_Safe_Days)</f>
        <v>0</v>
      </c>
      <c r="H26" s="8">
        <f>IF(OR(A26="",D26=""),"",D26+Freezer_Review_Days)</f>
        <v>0</v>
      </c>
      <c r="I26" s="8">
        <f>IF(OR(A26="",D26=""),"",IF(F26="Freezer",H26-TODAY(),G26-TODAY()))</f>
        <v>0</v>
      </c>
      <c r="J26" s="8">
        <f>IF(A26="","",IF(P26="Yes","Binned",IF(O26="Yes","Eaten",IF(I26="","",IF(I26&lt;0,"Past its best",IF(I26&lt;=1,"Eat today",IF(I26&lt;=3,"Eat this week","Keep")))))))</f>
        <v>0</v>
      </c>
      <c r="K26" s="8">
        <f>IF(OR(A26="",E26=""),"",IFERROR(E26*IFERROR(INDEX(Recipes!$Q$5:$Q$204,MATCH(C26,Recipes!$A$5:$A$204,0)),""),""))</f>
        <v>0</v>
      </c>
      <c r="L26" s="8">
        <f>IF(OR(A26="",I26=""),"",COUNTIFS($I$5:$I$124,"&lt;"&amp;I26)+1)</f>
        <v>0</v>
      </c>
      <c r="M26" s="8">
        <f>IF(A26="","",IF(I26="","",IF(I26&lt;0,"Bin it",IF(I26&lt;=Expiry_Warning_Days,"Use it or lose it",""))))</f>
        <v>0</v>
      </c>
      <c r="N26" s="26"/>
      <c r="O26" s="27"/>
      <c r="P26" s="27"/>
      <c r="Q26" s="7"/>
      <c r="R26" s="26"/>
      <c r="S26" s="25"/>
    </row>
    <row r="27" spans="1:19">
      <c r="A27" s="7"/>
      <c r="B27" s="7"/>
      <c r="C27" s="27"/>
      <c r="D27" s="30"/>
      <c r="E27" s="26"/>
      <c r="F27" s="27"/>
      <c r="G27" s="8">
        <f>IF(OR(A27="",D27=""),"",D27+Leftover_Safe_Days)</f>
        <v>0</v>
      </c>
      <c r="H27" s="8">
        <f>IF(OR(A27="",D27=""),"",D27+Freezer_Review_Days)</f>
        <v>0</v>
      </c>
      <c r="I27" s="8">
        <f>IF(OR(A27="",D27=""),"",IF(F27="Freezer",H27-TODAY(),G27-TODAY()))</f>
        <v>0</v>
      </c>
      <c r="J27" s="8">
        <f>IF(A27="","",IF(P27="Yes","Binned",IF(O27="Yes","Eaten",IF(I27="","",IF(I27&lt;0,"Past its best",IF(I27&lt;=1,"Eat today",IF(I27&lt;=3,"Eat this week","Keep")))))))</f>
        <v>0</v>
      </c>
      <c r="K27" s="8">
        <f>IF(OR(A27="",E27=""),"",IFERROR(E27*IFERROR(INDEX(Recipes!$Q$5:$Q$204,MATCH(C27,Recipes!$A$5:$A$204,0)),""),""))</f>
        <v>0</v>
      </c>
      <c r="L27" s="8">
        <f>IF(OR(A27="",I27=""),"",COUNTIFS($I$5:$I$124,"&lt;"&amp;I27)+1)</f>
        <v>0</v>
      </c>
      <c r="M27" s="8">
        <f>IF(A27="","",IF(I27="","",IF(I27&lt;0,"Bin it",IF(I27&lt;=Expiry_Warning_Days,"Use it or lose it",""))))</f>
        <v>0</v>
      </c>
      <c r="N27" s="26"/>
      <c r="O27" s="27"/>
      <c r="P27" s="27"/>
      <c r="Q27" s="7"/>
      <c r="R27" s="26"/>
      <c r="S27" s="25"/>
    </row>
    <row r="28" spans="1:19">
      <c r="A28" s="7"/>
      <c r="B28" s="7"/>
      <c r="C28" s="27"/>
      <c r="D28" s="30"/>
      <c r="E28" s="26"/>
      <c r="F28" s="27"/>
      <c r="G28" s="8">
        <f>IF(OR(A28="",D28=""),"",D28+Leftover_Safe_Days)</f>
        <v>0</v>
      </c>
      <c r="H28" s="8">
        <f>IF(OR(A28="",D28=""),"",D28+Freezer_Review_Days)</f>
        <v>0</v>
      </c>
      <c r="I28" s="8">
        <f>IF(OR(A28="",D28=""),"",IF(F28="Freezer",H28-TODAY(),G28-TODAY()))</f>
        <v>0</v>
      </c>
      <c r="J28" s="8">
        <f>IF(A28="","",IF(P28="Yes","Binned",IF(O28="Yes","Eaten",IF(I28="","",IF(I28&lt;0,"Past its best",IF(I28&lt;=1,"Eat today",IF(I28&lt;=3,"Eat this week","Keep")))))))</f>
        <v>0</v>
      </c>
      <c r="K28" s="8">
        <f>IF(OR(A28="",E28=""),"",IFERROR(E28*IFERROR(INDEX(Recipes!$Q$5:$Q$204,MATCH(C28,Recipes!$A$5:$A$204,0)),""),""))</f>
        <v>0</v>
      </c>
      <c r="L28" s="8">
        <f>IF(OR(A28="",I28=""),"",COUNTIFS($I$5:$I$124,"&lt;"&amp;I28)+1)</f>
        <v>0</v>
      </c>
      <c r="M28" s="8">
        <f>IF(A28="","",IF(I28="","",IF(I28&lt;0,"Bin it",IF(I28&lt;=Expiry_Warning_Days,"Use it or lose it",""))))</f>
        <v>0</v>
      </c>
      <c r="N28" s="26"/>
      <c r="O28" s="27"/>
      <c r="P28" s="27"/>
      <c r="Q28" s="7"/>
      <c r="R28" s="26"/>
      <c r="S28" s="25"/>
    </row>
    <row r="29" spans="1:19">
      <c r="A29" s="7"/>
      <c r="B29" s="7"/>
      <c r="C29" s="27"/>
      <c r="D29" s="30"/>
      <c r="E29" s="26"/>
      <c r="F29" s="27"/>
      <c r="G29" s="8">
        <f>IF(OR(A29="",D29=""),"",D29+Leftover_Safe_Days)</f>
        <v>0</v>
      </c>
      <c r="H29" s="8">
        <f>IF(OR(A29="",D29=""),"",D29+Freezer_Review_Days)</f>
        <v>0</v>
      </c>
      <c r="I29" s="8">
        <f>IF(OR(A29="",D29=""),"",IF(F29="Freezer",H29-TODAY(),G29-TODAY()))</f>
        <v>0</v>
      </c>
      <c r="J29" s="8">
        <f>IF(A29="","",IF(P29="Yes","Binned",IF(O29="Yes","Eaten",IF(I29="","",IF(I29&lt;0,"Past its best",IF(I29&lt;=1,"Eat today",IF(I29&lt;=3,"Eat this week","Keep")))))))</f>
        <v>0</v>
      </c>
      <c r="K29" s="8">
        <f>IF(OR(A29="",E29=""),"",IFERROR(E29*IFERROR(INDEX(Recipes!$Q$5:$Q$204,MATCH(C29,Recipes!$A$5:$A$204,0)),""),""))</f>
        <v>0</v>
      </c>
      <c r="L29" s="8">
        <f>IF(OR(A29="",I29=""),"",COUNTIFS($I$5:$I$124,"&lt;"&amp;I29)+1)</f>
        <v>0</v>
      </c>
      <c r="M29" s="8">
        <f>IF(A29="","",IF(I29="","",IF(I29&lt;0,"Bin it",IF(I29&lt;=Expiry_Warning_Days,"Use it or lose it",""))))</f>
        <v>0</v>
      </c>
      <c r="N29" s="26"/>
      <c r="O29" s="27"/>
      <c r="P29" s="27"/>
      <c r="Q29" s="7"/>
      <c r="R29" s="26"/>
      <c r="S29" s="25"/>
    </row>
    <row r="30" spans="1:19">
      <c r="A30" s="7"/>
      <c r="B30" s="7"/>
      <c r="C30" s="27"/>
      <c r="D30" s="30"/>
      <c r="E30" s="26"/>
      <c r="F30" s="27"/>
      <c r="G30" s="8">
        <f>IF(OR(A30="",D30=""),"",D30+Leftover_Safe_Days)</f>
        <v>0</v>
      </c>
      <c r="H30" s="8">
        <f>IF(OR(A30="",D30=""),"",D30+Freezer_Review_Days)</f>
        <v>0</v>
      </c>
      <c r="I30" s="8">
        <f>IF(OR(A30="",D30=""),"",IF(F30="Freezer",H30-TODAY(),G30-TODAY()))</f>
        <v>0</v>
      </c>
      <c r="J30" s="8">
        <f>IF(A30="","",IF(P30="Yes","Binned",IF(O30="Yes","Eaten",IF(I30="","",IF(I30&lt;0,"Past its best",IF(I30&lt;=1,"Eat today",IF(I30&lt;=3,"Eat this week","Keep")))))))</f>
        <v>0</v>
      </c>
      <c r="K30" s="8">
        <f>IF(OR(A30="",E30=""),"",IFERROR(E30*IFERROR(INDEX(Recipes!$Q$5:$Q$204,MATCH(C30,Recipes!$A$5:$A$204,0)),""),""))</f>
        <v>0</v>
      </c>
      <c r="L30" s="8">
        <f>IF(OR(A30="",I30=""),"",COUNTIFS($I$5:$I$124,"&lt;"&amp;I30)+1)</f>
        <v>0</v>
      </c>
      <c r="M30" s="8">
        <f>IF(A30="","",IF(I30="","",IF(I30&lt;0,"Bin it",IF(I30&lt;=Expiry_Warning_Days,"Use it or lose it",""))))</f>
        <v>0</v>
      </c>
      <c r="N30" s="26"/>
      <c r="O30" s="27"/>
      <c r="P30" s="27"/>
      <c r="Q30" s="7"/>
      <c r="R30" s="26"/>
      <c r="S30" s="25"/>
    </row>
    <row r="31" spans="1:19">
      <c r="A31" s="7"/>
      <c r="B31" s="7"/>
      <c r="C31" s="27"/>
      <c r="D31" s="30"/>
      <c r="E31" s="26"/>
      <c r="F31" s="27"/>
      <c r="G31" s="8">
        <f>IF(OR(A31="",D31=""),"",D31+Leftover_Safe_Days)</f>
        <v>0</v>
      </c>
      <c r="H31" s="8">
        <f>IF(OR(A31="",D31=""),"",D31+Freezer_Review_Days)</f>
        <v>0</v>
      </c>
      <c r="I31" s="8">
        <f>IF(OR(A31="",D31=""),"",IF(F31="Freezer",H31-TODAY(),G31-TODAY()))</f>
        <v>0</v>
      </c>
      <c r="J31" s="8">
        <f>IF(A31="","",IF(P31="Yes","Binned",IF(O31="Yes","Eaten",IF(I31="","",IF(I31&lt;0,"Past its best",IF(I31&lt;=1,"Eat today",IF(I31&lt;=3,"Eat this week","Keep")))))))</f>
        <v>0</v>
      </c>
      <c r="K31" s="8">
        <f>IF(OR(A31="",E31=""),"",IFERROR(E31*IFERROR(INDEX(Recipes!$Q$5:$Q$204,MATCH(C31,Recipes!$A$5:$A$204,0)),""),""))</f>
        <v>0</v>
      </c>
      <c r="L31" s="8">
        <f>IF(OR(A31="",I31=""),"",COUNTIFS($I$5:$I$124,"&lt;"&amp;I31)+1)</f>
        <v>0</v>
      </c>
      <c r="M31" s="8">
        <f>IF(A31="","",IF(I31="","",IF(I31&lt;0,"Bin it",IF(I31&lt;=Expiry_Warning_Days,"Use it or lose it",""))))</f>
        <v>0</v>
      </c>
      <c r="N31" s="26"/>
      <c r="O31" s="27"/>
      <c r="P31" s="27"/>
      <c r="Q31" s="7"/>
      <c r="R31" s="26"/>
      <c r="S31" s="25"/>
    </row>
    <row r="32" spans="1:19">
      <c r="A32" s="7"/>
      <c r="B32" s="7"/>
      <c r="C32" s="27"/>
      <c r="D32" s="30"/>
      <c r="E32" s="26"/>
      <c r="F32" s="27"/>
      <c r="G32" s="8">
        <f>IF(OR(A32="",D32=""),"",D32+Leftover_Safe_Days)</f>
        <v>0</v>
      </c>
      <c r="H32" s="8">
        <f>IF(OR(A32="",D32=""),"",D32+Freezer_Review_Days)</f>
        <v>0</v>
      </c>
      <c r="I32" s="8">
        <f>IF(OR(A32="",D32=""),"",IF(F32="Freezer",H32-TODAY(),G32-TODAY()))</f>
        <v>0</v>
      </c>
      <c r="J32" s="8">
        <f>IF(A32="","",IF(P32="Yes","Binned",IF(O32="Yes","Eaten",IF(I32="","",IF(I32&lt;0,"Past its best",IF(I32&lt;=1,"Eat today",IF(I32&lt;=3,"Eat this week","Keep")))))))</f>
        <v>0</v>
      </c>
      <c r="K32" s="8">
        <f>IF(OR(A32="",E32=""),"",IFERROR(E32*IFERROR(INDEX(Recipes!$Q$5:$Q$204,MATCH(C32,Recipes!$A$5:$A$204,0)),""),""))</f>
        <v>0</v>
      </c>
      <c r="L32" s="8">
        <f>IF(OR(A32="",I32=""),"",COUNTIFS($I$5:$I$124,"&lt;"&amp;I32)+1)</f>
        <v>0</v>
      </c>
      <c r="M32" s="8">
        <f>IF(A32="","",IF(I32="","",IF(I32&lt;0,"Bin it",IF(I32&lt;=Expiry_Warning_Days,"Use it or lose it",""))))</f>
        <v>0</v>
      </c>
      <c r="N32" s="26"/>
      <c r="O32" s="27"/>
      <c r="P32" s="27"/>
      <c r="Q32" s="7"/>
      <c r="R32" s="26"/>
      <c r="S32" s="25"/>
    </row>
    <row r="33" spans="1:19">
      <c r="A33" s="7"/>
      <c r="B33" s="7"/>
      <c r="C33" s="27"/>
      <c r="D33" s="30"/>
      <c r="E33" s="26"/>
      <c r="F33" s="27"/>
      <c r="G33" s="8">
        <f>IF(OR(A33="",D33=""),"",D33+Leftover_Safe_Days)</f>
        <v>0</v>
      </c>
      <c r="H33" s="8">
        <f>IF(OR(A33="",D33=""),"",D33+Freezer_Review_Days)</f>
        <v>0</v>
      </c>
      <c r="I33" s="8">
        <f>IF(OR(A33="",D33=""),"",IF(F33="Freezer",H33-TODAY(),G33-TODAY()))</f>
        <v>0</v>
      </c>
      <c r="J33" s="8">
        <f>IF(A33="","",IF(P33="Yes","Binned",IF(O33="Yes","Eaten",IF(I33="","",IF(I33&lt;0,"Past its best",IF(I33&lt;=1,"Eat today",IF(I33&lt;=3,"Eat this week","Keep")))))))</f>
        <v>0</v>
      </c>
      <c r="K33" s="8">
        <f>IF(OR(A33="",E33=""),"",IFERROR(E33*IFERROR(INDEX(Recipes!$Q$5:$Q$204,MATCH(C33,Recipes!$A$5:$A$204,0)),""),""))</f>
        <v>0</v>
      </c>
      <c r="L33" s="8">
        <f>IF(OR(A33="",I33=""),"",COUNTIFS($I$5:$I$124,"&lt;"&amp;I33)+1)</f>
        <v>0</v>
      </c>
      <c r="M33" s="8">
        <f>IF(A33="","",IF(I33="","",IF(I33&lt;0,"Bin it",IF(I33&lt;=Expiry_Warning_Days,"Use it or lose it",""))))</f>
        <v>0</v>
      </c>
      <c r="N33" s="26"/>
      <c r="O33" s="27"/>
      <c r="P33" s="27"/>
      <c r="Q33" s="7"/>
      <c r="R33" s="26"/>
      <c r="S33" s="25"/>
    </row>
    <row r="34" spans="1:19">
      <c r="A34" s="7"/>
      <c r="B34" s="7"/>
      <c r="C34" s="27"/>
      <c r="D34" s="30"/>
      <c r="E34" s="26"/>
      <c r="F34" s="27"/>
      <c r="G34" s="8">
        <f>IF(OR(A34="",D34=""),"",D34+Leftover_Safe_Days)</f>
        <v>0</v>
      </c>
      <c r="H34" s="8">
        <f>IF(OR(A34="",D34=""),"",D34+Freezer_Review_Days)</f>
        <v>0</v>
      </c>
      <c r="I34" s="8">
        <f>IF(OR(A34="",D34=""),"",IF(F34="Freezer",H34-TODAY(),G34-TODAY()))</f>
        <v>0</v>
      </c>
      <c r="J34" s="8">
        <f>IF(A34="","",IF(P34="Yes","Binned",IF(O34="Yes","Eaten",IF(I34="","",IF(I34&lt;0,"Past its best",IF(I34&lt;=1,"Eat today",IF(I34&lt;=3,"Eat this week","Keep")))))))</f>
        <v>0</v>
      </c>
      <c r="K34" s="8">
        <f>IF(OR(A34="",E34=""),"",IFERROR(E34*IFERROR(INDEX(Recipes!$Q$5:$Q$204,MATCH(C34,Recipes!$A$5:$A$204,0)),""),""))</f>
        <v>0</v>
      </c>
      <c r="L34" s="8">
        <f>IF(OR(A34="",I34=""),"",COUNTIFS($I$5:$I$124,"&lt;"&amp;I34)+1)</f>
        <v>0</v>
      </c>
      <c r="M34" s="8">
        <f>IF(A34="","",IF(I34="","",IF(I34&lt;0,"Bin it",IF(I34&lt;=Expiry_Warning_Days,"Use it or lose it",""))))</f>
        <v>0</v>
      </c>
      <c r="N34" s="26"/>
      <c r="O34" s="27"/>
      <c r="P34" s="27"/>
      <c r="Q34" s="7"/>
      <c r="R34" s="26"/>
      <c r="S34" s="25"/>
    </row>
    <row r="35" spans="1:19">
      <c r="A35" s="7"/>
      <c r="B35" s="7"/>
      <c r="C35" s="27"/>
      <c r="D35" s="30"/>
      <c r="E35" s="26"/>
      <c r="F35" s="27"/>
      <c r="G35" s="8">
        <f>IF(OR(A35="",D35=""),"",D35+Leftover_Safe_Days)</f>
        <v>0</v>
      </c>
      <c r="H35" s="8">
        <f>IF(OR(A35="",D35=""),"",D35+Freezer_Review_Days)</f>
        <v>0</v>
      </c>
      <c r="I35" s="8">
        <f>IF(OR(A35="",D35=""),"",IF(F35="Freezer",H35-TODAY(),G35-TODAY()))</f>
        <v>0</v>
      </c>
      <c r="J35" s="8">
        <f>IF(A35="","",IF(P35="Yes","Binned",IF(O35="Yes","Eaten",IF(I35="","",IF(I35&lt;0,"Past its best",IF(I35&lt;=1,"Eat today",IF(I35&lt;=3,"Eat this week","Keep")))))))</f>
        <v>0</v>
      </c>
      <c r="K35" s="8">
        <f>IF(OR(A35="",E35=""),"",IFERROR(E35*IFERROR(INDEX(Recipes!$Q$5:$Q$204,MATCH(C35,Recipes!$A$5:$A$204,0)),""),""))</f>
        <v>0</v>
      </c>
      <c r="L35" s="8">
        <f>IF(OR(A35="",I35=""),"",COUNTIFS($I$5:$I$124,"&lt;"&amp;I35)+1)</f>
        <v>0</v>
      </c>
      <c r="M35" s="8">
        <f>IF(A35="","",IF(I35="","",IF(I35&lt;0,"Bin it",IF(I35&lt;=Expiry_Warning_Days,"Use it or lose it",""))))</f>
        <v>0</v>
      </c>
      <c r="N35" s="26"/>
      <c r="O35" s="27"/>
      <c r="P35" s="27"/>
      <c r="Q35" s="7"/>
      <c r="R35" s="26"/>
      <c r="S35" s="25"/>
    </row>
    <row r="36" spans="1:19">
      <c r="A36" s="7"/>
      <c r="B36" s="7"/>
      <c r="C36" s="27"/>
      <c r="D36" s="30"/>
      <c r="E36" s="26"/>
      <c r="F36" s="27"/>
      <c r="G36" s="8">
        <f>IF(OR(A36="",D36=""),"",D36+Leftover_Safe_Days)</f>
        <v>0</v>
      </c>
      <c r="H36" s="8">
        <f>IF(OR(A36="",D36=""),"",D36+Freezer_Review_Days)</f>
        <v>0</v>
      </c>
      <c r="I36" s="8">
        <f>IF(OR(A36="",D36=""),"",IF(F36="Freezer",H36-TODAY(),G36-TODAY()))</f>
        <v>0</v>
      </c>
      <c r="J36" s="8">
        <f>IF(A36="","",IF(P36="Yes","Binned",IF(O36="Yes","Eaten",IF(I36="","",IF(I36&lt;0,"Past its best",IF(I36&lt;=1,"Eat today",IF(I36&lt;=3,"Eat this week","Keep")))))))</f>
        <v>0</v>
      </c>
      <c r="K36" s="8">
        <f>IF(OR(A36="",E36=""),"",IFERROR(E36*IFERROR(INDEX(Recipes!$Q$5:$Q$204,MATCH(C36,Recipes!$A$5:$A$204,0)),""),""))</f>
        <v>0</v>
      </c>
      <c r="L36" s="8">
        <f>IF(OR(A36="",I36=""),"",COUNTIFS($I$5:$I$124,"&lt;"&amp;I36)+1)</f>
        <v>0</v>
      </c>
      <c r="M36" s="8">
        <f>IF(A36="","",IF(I36="","",IF(I36&lt;0,"Bin it",IF(I36&lt;=Expiry_Warning_Days,"Use it or lose it",""))))</f>
        <v>0</v>
      </c>
      <c r="N36" s="26"/>
      <c r="O36" s="27"/>
      <c r="P36" s="27"/>
      <c r="Q36" s="7"/>
      <c r="R36" s="26"/>
      <c r="S36" s="25"/>
    </row>
    <row r="37" spans="1:19">
      <c r="A37" s="7"/>
      <c r="B37" s="7"/>
      <c r="C37" s="27"/>
      <c r="D37" s="30"/>
      <c r="E37" s="26"/>
      <c r="F37" s="27"/>
      <c r="G37" s="8">
        <f>IF(OR(A37="",D37=""),"",D37+Leftover_Safe_Days)</f>
        <v>0</v>
      </c>
      <c r="H37" s="8">
        <f>IF(OR(A37="",D37=""),"",D37+Freezer_Review_Days)</f>
        <v>0</v>
      </c>
      <c r="I37" s="8">
        <f>IF(OR(A37="",D37=""),"",IF(F37="Freezer",H37-TODAY(),G37-TODAY()))</f>
        <v>0</v>
      </c>
      <c r="J37" s="8">
        <f>IF(A37="","",IF(P37="Yes","Binned",IF(O37="Yes","Eaten",IF(I37="","",IF(I37&lt;0,"Past its best",IF(I37&lt;=1,"Eat today",IF(I37&lt;=3,"Eat this week","Keep")))))))</f>
        <v>0</v>
      </c>
      <c r="K37" s="8">
        <f>IF(OR(A37="",E37=""),"",IFERROR(E37*IFERROR(INDEX(Recipes!$Q$5:$Q$204,MATCH(C37,Recipes!$A$5:$A$204,0)),""),""))</f>
        <v>0</v>
      </c>
      <c r="L37" s="8">
        <f>IF(OR(A37="",I37=""),"",COUNTIFS($I$5:$I$124,"&lt;"&amp;I37)+1)</f>
        <v>0</v>
      </c>
      <c r="M37" s="8">
        <f>IF(A37="","",IF(I37="","",IF(I37&lt;0,"Bin it",IF(I37&lt;=Expiry_Warning_Days,"Use it or lose it",""))))</f>
        <v>0</v>
      </c>
      <c r="N37" s="26"/>
      <c r="O37" s="27"/>
      <c r="P37" s="27"/>
      <c r="Q37" s="7"/>
      <c r="R37" s="26"/>
      <c r="S37" s="25"/>
    </row>
    <row r="38" spans="1:19">
      <c r="A38" s="7"/>
      <c r="B38" s="7"/>
      <c r="C38" s="27"/>
      <c r="D38" s="30"/>
      <c r="E38" s="26"/>
      <c r="F38" s="27"/>
      <c r="G38" s="8">
        <f>IF(OR(A38="",D38=""),"",D38+Leftover_Safe_Days)</f>
        <v>0</v>
      </c>
      <c r="H38" s="8">
        <f>IF(OR(A38="",D38=""),"",D38+Freezer_Review_Days)</f>
        <v>0</v>
      </c>
      <c r="I38" s="8">
        <f>IF(OR(A38="",D38=""),"",IF(F38="Freezer",H38-TODAY(),G38-TODAY()))</f>
        <v>0</v>
      </c>
      <c r="J38" s="8">
        <f>IF(A38="","",IF(P38="Yes","Binned",IF(O38="Yes","Eaten",IF(I38="","",IF(I38&lt;0,"Past its best",IF(I38&lt;=1,"Eat today",IF(I38&lt;=3,"Eat this week","Keep")))))))</f>
        <v>0</v>
      </c>
      <c r="K38" s="8">
        <f>IF(OR(A38="",E38=""),"",IFERROR(E38*IFERROR(INDEX(Recipes!$Q$5:$Q$204,MATCH(C38,Recipes!$A$5:$A$204,0)),""),""))</f>
        <v>0</v>
      </c>
      <c r="L38" s="8">
        <f>IF(OR(A38="",I38=""),"",COUNTIFS($I$5:$I$124,"&lt;"&amp;I38)+1)</f>
        <v>0</v>
      </c>
      <c r="M38" s="8">
        <f>IF(A38="","",IF(I38="","",IF(I38&lt;0,"Bin it",IF(I38&lt;=Expiry_Warning_Days,"Use it or lose it",""))))</f>
        <v>0</v>
      </c>
      <c r="N38" s="26"/>
      <c r="O38" s="27"/>
      <c r="P38" s="27"/>
      <c r="Q38" s="7"/>
      <c r="R38" s="26"/>
      <c r="S38" s="25"/>
    </row>
    <row r="39" spans="1:19">
      <c r="A39" s="7"/>
      <c r="B39" s="7"/>
      <c r="C39" s="27"/>
      <c r="D39" s="30"/>
      <c r="E39" s="26"/>
      <c r="F39" s="27"/>
      <c r="G39" s="8">
        <f>IF(OR(A39="",D39=""),"",D39+Leftover_Safe_Days)</f>
        <v>0</v>
      </c>
      <c r="H39" s="8">
        <f>IF(OR(A39="",D39=""),"",D39+Freezer_Review_Days)</f>
        <v>0</v>
      </c>
      <c r="I39" s="8">
        <f>IF(OR(A39="",D39=""),"",IF(F39="Freezer",H39-TODAY(),G39-TODAY()))</f>
        <v>0</v>
      </c>
      <c r="J39" s="8">
        <f>IF(A39="","",IF(P39="Yes","Binned",IF(O39="Yes","Eaten",IF(I39="","",IF(I39&lt;0,"Past its best",IF(I39&lt;=1,"Eat today",IF(I39&lt;=3,"Eat this week","Keep")))))))</f>
        <v>0</v>
      </c>
      <c r="K39" s="8">
        <f>IF(OR(A39="",E39=""),"",IFERROR(E39*IFERROR(INDEX(Recipes!$Q$5:$Q$204,MATCH(C39,Recipes!$A$5:$A$204,0)),""),""))</f>
        <v>0</v>
      </c>
      <c r="L39" s="8">
        <f>IF(OR(A39="",I39=""),"",COUNTIFS($I$5:$I$124,"&lt;"&amp;I39)+1)</f>
        <v>0</v>
      </c>
      <c r="M39" s="8">
        <f>IF(A39="","",IF(I39="","",IF(I39&lt;0,"Bin it",IF(I39&lt;=Expiry_Warning_Days,"Use it or lose it",""))))</f>
        <v>0</v>
      </c>
      <c r="N39" s="26"/>
      <c r="O39" s="27"/>
      <c r="P39" s="27"/>
      <c r="Q39" s="7"/>
      <c r="R39" s="26"/>
      <c r="S39" s="25"/>
    </row>
    <row r="40" spans="1:19">
      <c r="A40" s="7"/>
      <c r="B40" s="7"/>
      <c r="C40" s="27"/>
      <c r="D40" s="30"/>
      <c r="E40" s="26"/>
      <c r="F40" s="27"/>
      <c r="G40" s="8">
        <f>IF(OR(A40="",D40=""),"",D40+Leftover_Safe_Days)</f>
        <v>0</v>
      </c>
      <c r="H40" s="8">
        <f>IF(OR(A40="",D40=""),"",D40+Freezer_Review_Days)</f>
        <v>0</v>
      </c>
      <c r="I40" s="8">
        <f>IF(OR(A40="",D40=""),"",IF(F40="Freezer",H40-TODAY(),G40-TODAY()))</f>
        <v>0</v>
      </c>
      <c r="J40" s="8">
        <f>IF(A40="","",IF(P40="Yes","Binned",IF(O40="Yes","Eaten",IF(I40="","",IF(I40&lt;0,"Past its best",IF(I40&lt;=1,"Eat today",IF(I40&lt;=3,"Eat this week","Keep")))))))</f>
        <v>0</v>
      </c>
      <c r="K40" s="8">
        <f>IF(OR(A40="",E40=""),"",IFERROR(E40*IFERROR(INDEX(Recipes!$Q$5:$Q$204,MATCH(C40,Recipes!$A$5:$A$204,0)),""),""))</f>
        <v>0</v>
      </c>
      <c r="L40" s="8">
        <f>IF(OR(A40="",I40=""),"",COUNTIFS($I$5:$I$124,"&lt;"&amp;I40)+1)</f>
        <v>0</v>
      </c>
      <c r="M40" s="8">
        <f>IF(A40="","",IF(I40="","",IF(I40&lt;0,"Bin it",IF(I40&lt;=Expiry_Warning_Days,"Use it or lose it",""))))</f>
        <v>0</v>
      </c>
      <c r="N40" s="26"/>
      <c r="O40" s="27"/>
      <c r="P40" s="27"/>
      <c r="Q40" s="7"/>
      <c r="R40" s="26"/>
      <c r="S40" s="25"/>
    </row>
    <row r="41" spans="1:19">
      <c r="A41" s="7"/>
      <c r="B41" s="7"/>
      <c r="C41" s="27"/>
      <c r="D41" s="30"/>
      <c r="E41" s="26"/>
      <c r="F41" s="27"/>
      <c r="G41" s="8">
        <f>IF(OR(A41="",D41=""),"",D41+Leftover_Safe_Days)</f>
        <v>0</v>
      </c>
      <c r="H41" s="8">
        <f>IF(OR(A41="",D41=""),"",D41+Freezer_Review_Days)</f>
        <v>0</v>
      </c>
      <c r="I41" s="8">
        <f>IF(OR(A41="",D41=""),"",IF(F41="Freezer",H41-TODAY(),G41-TODAY()))</f>
        <v>0</v>
      </c>
      <c r="J41" s="8">
        <f>IF(A41="","",IF(P41="Yes","Binned",IF(O41="Yes","Eaten",IF(I41="","",IF(I41&lt;0,"Past its best",IF(I41&lt;=1,"Eat today",IF(I41&lt;=3,"Eat this week","Keep")))))))</f>
        <v>0</v>
      </c>
      <c r="K41" s="8">
        <f>IF(OR(A41="",E41=""),"",IFERROR(E41*IFERROR(INDEX(Recipes!$Q$5:$Q$204,MATCH(C41,Recipes!$A$5:$A$204,0)),""),""))</f>
        <v>0</v>
      </c>
      <c r="L41" s="8">
        <f>IF(OR(A41="",I41=""),"",COUNTIFS($I$5:$I$124,"&lt;"&amp;I41)+1)</f>
        <v>0</v>
      </c>
      <c r="M41" s="8">
        <f>IF(A41="","",IF(I41="","",IF(I41&lt;0,"Bin it",IF(I41&lt;=Expiry_Warning_Days,"Use it or lose it",""))))</f>
        <v>0</v>
      </c>
      <c r="N41" s="26"/>
      <c r="O41" s="27"/>
      <c r="P41" s="27"/>
      <c r="Q41" s="7"/>
      <c r="R41" s="26"/>
      <c r="S41" s="25"/>
    </row>
    <row r="42" spans="1:19">
      <c r="A42" s="7"/>
      <c r="B42" s="7"/>
      <c r="C42" s="27"/>
      <c r="D42" s="30"/>
      <c r="E42" s="26"/>
      <c r="F42" s="27"/>
      <c r="G42" s="8">
        <f>IF(OR(A42="",D42=""),"",D42+Leftover_Safe_Days)</f>
        <v>0</v>
      </c>
      <c r="H42" s="8">
        <f>IF(OR(A42="",D42=""),"",D42+Freezer_Review_Days)</f>
        <v>0</v>
      </c>
      <c r="I42" s="8">
        <f>IF(OR(A42="",D42=""),"",IF(F42="Freezer",H42-TODAY(),G42-TODAY()))</f>
        <v>0</v>
      </c>
      <c r="J42" s="8">
        <f>IF(A42="","",IF(P42="Yes","Binned",IF(O42="Yes","Eaten",IF(I42="","",IF(I42&lt;0,"Past its best",IF(I42&lt;=1,"Eat today",IF(I42&lt;=3,"Eat this week","Keep")))))))</f>
        <v>0</v>
      </c>
      <c r="K42" s="8">
        <f>IF(OR(A42="",E42=""),"",IFERROR(E42*IFERROR(INDEX(Recipes!$Q$5:$Q$204,MATCH(C42,Recipes!$A$5:$A$204,0)),""),""))</f>
        <v>0</v>
      </c>
      <c r="L42" s="8">
        <f>IF(OR(A42="",I42=""),"",COUNTIFS($I$5:$I$124,"&lt;"&amp;I42)+1)</f>
        <v>0</v>
      </c>
      <c r="M42" s="8">
        <f>IF(A42="","",IF(I42="","",IF(I42&lt;0,"Bin it",IF(I42&lt;=Expiry_Warning_Days,"Use it or lose it",""))))</f>
        <v>0</v>
      </c>
      <c r="N42" s="26"/>
      <c r="O42" s="27"/>
      <c r="P42" s="27"/>
      <c r="Q42" s="7"/>
      <c r="R42" s="26"/>
      <c r="S42" s="25"/>
    </row>
    <row r="43" spans="1:19">
      <c r="A43" s="7"/>
      <c r="B43" s="7"/>
      <c r="C43" s="27"/>
      <c r="D43" s="30"/>
      <c r="E43" s="26"/>
      <c r="F43" s="27"/>
      <c r="G43" s="8">
        <f>IF(OR(A43="",D43=""),"",D43+Leftover_Safe_Days)</f>
        <v>0</v>
      </c>
      <c r="H43" s="8">
        <f>IF(OR(A43="",D43=""),"",D43+Freezer_Review_Days)</f>
        <v>0</v>
      </c>
      <c r="I43" s="8">
        <f>IF(OR(A43="",D43=""),"",IF(F43="Freezer",H43-TODAY(),G43-TODAY()))</f>
        <v>0</v>
      </c>
      <c r="J43" s="8">
        <f>IF(A43="","",IF(P43="Yes","Binned",IF(O43="Yes","Eaten",IF(I43="","",IF(I43&lt;0,"Past its best",IF(I43&lt;=1,"Eat today",IF(I43&lt;=3,"Eat this week","Keep")))))))</f>
        <v>0</v>
      </c>
      <c r="K43" s="8">
        <f>IF(OR(A43="",E43=""),"",IFERROR(E43*IFERROR(INDEX(Recipes!$Q$5:$Q$204,MATCH(C43,Recipes!$A$5:$A$204,0)),""),""))</f>
        <v>0</v>
      </c>
      <c r="L43" s="8">
        <f>IF(OR(A43="",I43=""),"",COUNTIFS($I$5:$I$124,"&lt;"&amp;I43)+1)</f>
        <v>0</v>
      </c>
      <c r="M43" s="8">
        <f>IF(A43="","",IF(I43="","",IF(I43&lt;0,"Bin it",IF(I43&lt;=Expiry_Warning_Days,"Use it or lose it",""))))</f>
        <v>0</v>
      </c>
      <c r="N43" s="26"/>
      <c r="O43" s="27"/>
      <c r="P43" s="27"/>
      <c r="Q43" s="7"/>
      <c r="R43" s="26"/>
      <c r="S43" s="25"/>
    </row>
    <row r="44" spans="1:19">
      <c r="A44" s="7"/>
      <c r="B44" s="7"/>
      <c r="C44" s="27"/>
      <c r="D44" s="30"/>
      <c r="E44" s="26"/>
      <c r="F44" s="27"/>
      <c r="G44" s="8">
        <f>IF(OR(A44="",D44=""),"",D44+Leftover_Safe_Days)</f>
        <v>0</v>
      </c>
      <c r="H44" s="8">
        <f>IF(OR(A44="",D44=""),"",D44+Freezer_Review_Days)</f>
        <v>0</v>
      </c>
      <c r="I44" s="8">
        <f>IF(OR(A44="",D44=""),"",IF(F44="Freezer",H44-TODAY(),G44-TODAY()))</f>
        <v>0</v>
      </c>
      <c r="J44" s="8">
        <f>IF(A44="","",IF(P44="Yes","Binned",IF(O44="Yes","Eaten",IF(I44="","",IF(I44&lt;0,"Past its best",IF(I44&lt;=1,"Eat today",IF(I44&lt;=3,"Eat this week","Keep")))))))</f>
        <v>0</v>
      </c>
      <c r="K44" s="8">
        <f>IF(OR(A44="",E44=""),"",IFERROR(E44*IFERROR(INDEX(Recipes!$Q$5:$Q$204,MATCH(C44,Recipes!$A$5:$A$204,0)),""),""))</f>
        <v>0</v>
      </c>
      <c r="L44" s="8">
        <f>IF(OR(A44="",I44=""),"",COUNTIFS($I$5:$I$124,"&lt;"&amp;I44)+1)</f>
        <v>0</v>
      </c>
      <c r="M44" s="8">
        <f>IF(A44="","",IF(I44="","",IF(I44&lt;0,"Bin it",IF(I44&lt;=Expiry_Warning_Days,"Use it or lose it",""))))</f>
        <v>0</v>
      </c>
      <c r="N44" s="26"/>
      <c r="O44" s="27"/>
      <c r="P44" s="27"/>
      <c r="Q44" s="7"/>
      <c r="R44" s="26"/>
      <c r="S44" s="25"/>
    </row>
    <row r="45" spans="1:19">
      <c r="A45" s="7"/>
      <c r="B45" s="7"/>
      <c r="C45" s="27"/>
      <c r="D45" s="30"/>
      <c r="E45" s="26"/>
      <c r="F45" s="27"/>
      <c r="G45" s="8">
        <f>IF(OR(A45="",D45=""),"",D45+Leftover_Safe_Days)</f>
        <v>0</v>
      </c>
      <c r="H45" s="8">
        <f>IF(OR(A45="",D45=""),"",D45+Freezer_Review_Days)</f>
        <v>0</v>
      </c>
      <c r="I45" s="8">
        <f>IF(OR(A45="",D45=""),"",IF(F45="Freezer",H45-TODAY(),G45-TODAY()))</f>
        <v>0</v>
      </c>
      <c r="J45" s="8">
        <f>IF(A45="","",IF(P45="Yes","Binned",IF(O45="Yes","Eaten",IF(I45="","",IF(I45&lt;0,"Past its best",IF(I45&lt;=1,"Eat today",IF(I45&lt;=3,"Eat this week","Keep")))))))</f>
        <v>0</v>
      </c>
      <c r="K45" s="8">
        <f>IF(OR(A45="",E45=""),"",IFERROR(E45*IFERROR(INDEX(Recipes!$Q$5:$Q$204,MATCH(C45,Recipes!$A$5:$A$204,0)),""),""))</f>
        <v>0</v>
      </c>
      <c r="L45" s="8">
        <f>IF(OR(A45="",I45=""),"",COUNTIFS($I$5:$I$124,"&lt;"&amp;I45)+1)</f>
        <v>0</v>
      </c>
      <c r="M45" s="8">
        <f>IF(A45="","",IF(I45="","",IF(I45&lt;0,"Bin it",IF(I45&lt;=Expiry_Warning_Days,"Use it or lose it",""))))</f>
        <v>0</v>
      </c>
      <c r="N45" s="26"/>
      <c r="O45" s="27"/>
      <c r="P45" s="27"/>
      <c r="Q45" s="7"/>
      <c r="R45" s="26"/>
      <c r="S45" s="25"/>
    </row>
    <row r="46" spans="1:19">
      <c r="A46" s="7"/>
      <c r="B46" s="7"/>
      <c r="C46" s="27"/>
      <c r="D46" s="30"/>
      <c r="E46" s="26"/>
      <c r="F46" s="27"/>
      <c r="G46" s="8">
        <f>IF(OR(A46="",D46=""),"",D46+Leftover_Safe_Days)</f>
        <v>0</v>
      </c>
      <c r="H46" s="8">
        <f>IF(OR(A46="",D46=""),"",D46+Freezer_Review_Days)</f>
        <v>0</v>
      </c>
      <c r="I46" s="8">
        <f>IF(OR(A46="",D46=""),"",IF(F46="Freezer",H46-TODAY(),G46-TODAY()))</f>
        <v>0</v>
      </c>
      <c r="J46" s="8">
        <f>IF(A46="","",IF(P46="Yes","Binned",IF(O46="Yes","Eaten",IF(I46="","",IF(I46&lt;0,"Past its best",IF(I46&lt;=1,"Eat today",IF(I46&lt;=3,"Eat this week","Keep")))))))</f>
        <v>0</v>
      </c>
      <c r="K46" s="8">
        <f>IF(OR(A46="",E46=""),"",IFERROR(E46*IFERROR(INDEX(Recipes!$Q$5:$Q$204,MATCH(C46,Recipes!$A$5:$A$204,0)),""),""))</f>
        <v>0</v>
      </c>
      <c r="L46" s="8">
        <f>IF(OR(A46="",I46=""),"",COUNTIFS($I$5:$I$124,"&lt;"&amp;I46)+1)</f>
        <v>0</v>
      </c>
      <c r="M46" s="8">
        <f>IF(A46="","",IF(I46="","",IF(I46&lt;0,"Bin it",IF(I46&lt;=Expiry_Warning_Days,"Use it or lose it",""))))</f>
        <v>0</v>
      </c>
      <c r="N46" s="26"/>
      <c r="O46" s="27"/>
      <c r="P46" s="27"/>
      <c r="Q46" s="7"/>
      <c r="R46" s="26"/>
      <c r="S46" s="25"/>
    </row>
    <row r="47" spans="1:19">
      <c r="A47" s="7"/>
      <c r="B47" s="7"/>
      <c r="C47" s="27"/>
      <c r="D47" s="30"/>
      <c r="E47" s="26"/>
      <c r="F47" s="27"/>
      <c r="G47" s="8">
        <f>IF(OR(A47="",D47=""),"",D47+Leftover_Safe_Days)</f>
        <v>0</v>
      </c>
      <c r="H47" s="8">
        <f>IF(OR(A47="",D47=""),"",D47+Freezer_Review_Days)</f>
        <v>0</v>
      </c>
      <c r="I47" s="8">
        <f>IF(OR(A47="",D47=""),"",IF(F47="Freezer",H47-TODAY(),G47-TODAY()))</f>
        <v>0</v>
      </c>
      <c r="J47" s="8">
        <f>IF(A47="","",IF(P47="Yes","Binned",IF(O47="Yes","Eaten",IF(I47="","",IF(I47&lt;0,"Past its best",IF(I47&lt;=1,"Eat today",IF(I47&lt;=3,"Eat this week","Keep")))))))</f>
        <v>0</v>
      </c>
      <c r="K47" s="8">
        <f>IF(OR(A47="",E47=""),"",IFERROR(E47*IFERROR(INDEX(Recipes!$Q$5:$Q$204,MATCH(C47,Recipes!$A$5:$A$204,0)),""),""))</f>
        <v>0</v>
      </c>
      <c r="L47" s="8">
        <f>IF(OR(A47="",I47=""),"",COUNTIFS($I$5:$I$124,"&lt;"&amp;I47)+1)</f>
        <v>0</v>
      </c>
      <c r="M47" s="8">
        <f>IF(A47="","",IF(I47="","",IF(I47&lt;0,"Bin it",IF(I47&lt;=Expiry_Warning_Days,"Use it or lose it",""))))</f>
        <v>0</v>
      </c>
      <c r="N47" s="26"/>
      <c r="O47" s="27"/>
      <c r="P47" s="27"/>
      <c r="Q47" s="7"/>
      <c r="R47" s="26"/>
      <c r="S47" s="25"/>
    </row>
    <row r="48" spans="1:19">
      <c r="A48" s="7"/>
      <c r="B48" s="7"/>
      <c r="C48" s="27"/>
      <c r="D48" s="30"/>
      <c r="E48" s="26"/>
      <c r="F48" s="27"/>
      <c r="G48" s="8">
        <f>IF(OR(A48="",D48=""),"",D48+Leftover_Safe_Days)</f>
        <v>0</v>
      </c>
      <c r="H48" s="8">
        <f>IF(OR(A48="",D48=""),"",D48+Freezer_Review_Days)</f>
        <v>0</v>
      </c>
      <c r="I48" s="8">
        <f>IF(OR(A48="",D48=""),"",IF(F48="Freezer",H48-TODAY(),G48-TODAY()))</f>
        <v>0</v>
      </c>
      <c r="J48" s="8">
        <f>IF(A48="","",IF(P48="Yes","Binned",IF(O48="Yes","Eaten",IF(I48="","",IF(I48&lt;0,"Past its best",IF(I48&lt;=1,"Eat today",IF(I48&lt;=3,"Eat this week","Keep")))))))</f>
        <v>0</v>
      </c>
      <c r="K48" s="8">
        <f>IF(OR(A48="",E48=""),"",IFERROR(E48*IFERROR(INDEX(Recipes!$Q$5:$Q$204,MATCH(C48,Recipes!$A$5:$A$204,0)),""),""))</f>
        <v>0</v>
      </c>
      <c r="L48" s="8">
        <f>IF(OR(A48="",I48=""),"",COUNTIFS($I$5:$I$124,"&lt;"&amp;I48)+1)</f>
        <v>0</v>
      </c>
      <c r="M48" s="8">
        <f>IF(A48="","",IF(I48="","",IF(I48&lt;0,"Bin it",IF(I48&lt;=Expiry_Warning_Days,"Use it or lose it",""))))</f>
        <v>0</v>
      </c>
      <c r="N48" s="26"/>
      <c r="O48" s="27"/>
      <c r="P48" s="27"/>
      <c r="Q48" s="7"/>
      <c r="R48" s="26"/>
      <c r="S48" s="25"/>
    </row>
    <row r="49" spans="1:19">
      <c r="A49" s="7"/>
      <c r="B49" s="7"/>
      <c r="C49" s="27"/>
      <c r="D49" s="30"/>
      <c r="E49" s="26"/>
      <c r="F49" s="27"/>
      <c r="G49" s="8">
        <f>IF(OR(A49="",D49=""),"",D49+Leftover_Safe_Days)</f>
        <v>0</v>
      </c>
      <c r="H49" s="8">
        <f>IF(OR(A49="",D49=""),"",D49+Freezer_Review_Days)</f>
        <v>0</v>
      </c>
      <c r="I49" s="8">
        <f>IF(OR(A49="",D49=""),"",IF(F49="Freezer",H49-TODAY(),G49-TODAY()))</f>
        <v>0</v>
      </c>
      <c r="J49" s="8">
        <f>IF(A49="","",IF(P49="Yes","Binned",IF(O49="Yes","Eaten",IF(I49="","",IF(I49&lt;0,"Past its best",IF(I49&lt;=1,"Eat today",IF(I49&lt;=3,"Eat this week","Keep")))))))</f>
        <v>0</v>
      </c>
      <c r="K49" s="8">
        <f>IF(OR(A49="",E49=""),"",IFERROR(E49*IFERROR(INDEX(Recipes!$Q$5:$Q$204,MATCH(C49,Recipes!$A$5:$A$204,0)),""),""))</f>
        <v>0</v>
      </c>
      <c r="L49" s="8">
        <f>IF(OR(A49="",I49=""),"",COUNTIFS($I$5:$I$124,"&lt;"&amp;I49)+1)</f>
        <v>0</v>
      </c>
      <c r="M49" s="8">
        <f>IF(A49="","",IF(I49="","",IF(I49&lt;0,"Bin it",IF(I49&lt;=Expiry_Warning_Days,"Use it or lose it",""))))</f>
        <v>0</v>
      </c>
      <c r="N49" s="26"/>
      <c r="O49" s="27"/>
      <c r="P49" s="27"/>
      <c r="Q49" s="7"/>
      <c r="R49" s="26"/>
      <c r="S49" s="25"/>
    </row>
    <row r="50" spans="1:19">
      <c r="A50" s="7"/>
      <c r="B50" s="7"/>
      <c r="C50" s="27"/>
      <c r="D50" s="30"/>
      <c r="E50" s="26"/>
      <c r="F50" s="27"/>
      <c r="G50" s="8">
        <f>IF(OR(A50="",D50=""),"",D50+Leftover_Safe_Days)</f>
        <v>0</v>
      </c>
      <c r="H50" s="8">
        <f>IF(OR(A50="",D50=""),"",D50+Freezer_Review_Days)</f>
        <v>0</v>
      </c>
      <c r="I50" s="8">
        <f>IF(OR(A50="",D50=""),"",IF(F50="Freezer",H50-TODAY(),G50-TODAY()))</f>
        <v>0</v>
      </c>
      <c r="J50" s="8">
        <f>IF(A50="","",IF(P50="Yes","Binned",IF(O50="Yes","Eaten",IF(I50="","",IF(I50&lt;0,"Past its best",IF(I50&lt;=1,"Eat today",IF(I50&lt;=3,"Eat this week","Keep")))))))</f>
        <v>0</v>
      </c>
      <c r="K50" s="8">
        <f>IF(OR(A50="",E50=""),"",IFERROR(E50*IFERROR(INDEX(Recipes!$Q$5:$Q$204,MATCH(C50,Recipes!$A$5:$A$204,0)),""),""))</f>
        <v>0</v>
      </c>
      <c r="L50" s="8">
        <f>IF(OR(A50="",I50=""),"",COUNTIFS($I$5:$I$124,"&lt;"&amp;I50)+1)</f>
        <v>0</v>
      </c>
      <c r="M50" s="8">
        <f>IF(A50="","",IF(I50="","",IF(I50&lt;0,"Bin it",IF(I50&lt;=Expiry_Warning_Days,"Use it or lose it",""))))</f>
        <v>0</v>
      </c>
      <c r="N50" s="26"/>
      <c r="O50" s="27"/>
      <c r="P50" s="27"/>
      <c r="Q50" s="7"/>
      <c r="R50" s="26"/>
      <c r="S50" s="25"/>
    </row>
    <row r="51" spans="1:19">
      <c r="A51" s="7"/>
      <c r="B51" s="7"/>
      <c r="C51" s="27"/>
      <c r="D51" s="30"/>
      <c r="E51" s="26"/>
      <c r="F51" s="27"/>
      <c r="G51" s="8">
        <f>IF(OR(A51="",D51=""),"",D51+Leftover_Safe_Days)</f>
        <v>0</v>
      </c>
      <c r="H51" s="8">
        <f>IF(OR(A51="",D51=""),"",D51+Freezer_Review_Days)</f>
        <v>0</v>
      </c>
      <c r="I51" s="8">
        <f>IF(OR(A51="",D51=""),"",IF(F51="Freezer",H51-TODAY(),G51-TODAY()))</f>
        <v>0</v>
      </c>
      <c r="J51" s="8">
        <f>IF(A51="","",IF(P51="Yes","Binned",IF(O51="Yes","Eaten",IF(I51="","",IF(I51&lt;0,"Past its best",IF(I51&lt;=1,"Eat today",IF(I51&lt;=3,"Eat this week","Keep")))))))</f>
        <v>0</v>
      </c>
      <c r="K51" s="8">
        <f>IF(OR(A51="",E51=""),"",IFERROR(E51*IFERROR(INDEX(Recipes!$Q$5:$Q$204,MATCH(C51,Recipes!$A$5:$A$204,0)),""),""))</f>
        <v>0</v>
      </c>
      <c r="L51" s="8">
        <f>IF(OR(A51="",I51=""),"",COUNTIFS($I$5:$I$124,"&lt;"&amp;I51)+1)</f>
        <v>0</v>
      </c>
      <c r="M51" s="8">
        <f>IF(A51="","",IF(I51="","",IF(I51&lt;0,"Bin it",IF(I51&lt;=Expiry_Warning_Days,"Use it or lose it",""))))</f>
        <v>0</v>
      </c>
      <c r="N51" s="26"/>
      <c r="O51" s="27"/>
      <c r="P51" s="27"/>
      <c r="Q51" s="7"/>
      <c r="R51" s="26"/>
      <c r="S51" s="25"/>
    </row>
    <row r="52" spans="1:19">
      <c r="A52" s="7"/>
      <c r="B52" s="7"/>
      <c r="C52" s="27"/>
      <c r="D52" s="30"/>
      <c r="E52" s="26"/>
      <c r="F52" s="27"/>
      <c r="G52" s="8">
        <f>IF(OR(A52="",D52=""),"",D52+Leftover_Safe_Days)</f>
        <v>0</v>
      </c>
      <c r="H52" s="8">
        <f>IF(OR(A52="",D52=""),"",D52+Freezer_Review_Days)</f>
        <v>0</v>
      </c>
      <c r="I52" s="8">
        <f>IF(OR(A52="",D52=""),"",IF(F52="Freezer",H52-TODAY(),G52-TODAY()))</f>
        <v>0</v>
      </c>
      <c r="J52" s="8">
        <f>IF(A52="","",IF(P52="Yes","Binned",IF(O52="Yes","Eaten",IF(I52="","",IF(I52&lt;0,"Past its best",IF(I52&lt;=1,"Eat today",IF(I52&lt;=3,"Eat this week","Keep")))))))</f>
        <v>0</v>
      </c>
      <c r="K52" s="8">
        <f>IF(OR(A52="",E52=""),"",IFERROR(E52*IFERROR(INDEX(Recipes!$Q$5:$Q$204,MATCH(C52,Recipes!$A$5:$A$204,0)),""),""))</f>
        <v>0</v>
      </c>
      <c r="L52" s="8">
        <f>IF(OR(A52="",I52=""),"",COUNTIFS($I$5:$I$124,"&lt;"&amp;I52)+1)</f>
        <v>0</v>
      </c>
      <c r="M52" s="8">
        <f>IF(A52="","",IF(I52="","",IF(I52&lt;0,"Bin it",IF(I52&lt;=Expiry_Warning_Days,"Use it or lose it",""))))</f>
        <v>0</v>
      </c>
      <c r="N52" s="26"/>
      <c r="O52" s="27"/>
      <c r="P52" s="27"/>
      <c r="Q52" s="7"/>
      <c r="R52" s="26"/>
      <c r="S52" s="25"/>
    </row>
    <row r="53" spans="1:19">
      <c r="A53" s="7"/>
      <c r="B53" s="7"/>
      <c r="C53" s="27"/>
      <c r="D53" s="30"/>
      <c r="E53" s="26"/>
      <c r="F53" s="27"/>
      <c r="G53" s="8">
        <f>IF(OR(A53="",D53=""),"",D53+Leftover_Safe_Days)</f>
        <v>0</v>
      </c>
      <c r="H53" s="8">
        <f>IF(OR(A53="",D53=""),"",D53+Freezer_Review_Days)</f>
        <v>0</v>
      </c>
      <c r="I53" s="8">
        <f>IF(OR(A53="",D53=""),"",IF(F53="Freezer",H53-TODAY(),G53-TODAY()))</f>
        <v>0</v>
      </c>
      <c r="J53" s="8">
        <f>IF(A53="","",IF(P53="Yes","Binned",IF(O53="Yes","Eaten",IF(I53="","",IF(I53&lt;0,"Past its best",IF(I53&lt;=1,"Eat today",IF(I53&lt;=3,"Eat this week","Keep")))))))</f>
        <v>0</v>
      </c>
      <c r="K53" s="8">
        <f>IF(OR(A53="",E53=""),"",IFERROR(E53*IFERROR(INDEX(Recipes!$Q$5:$Q$204,MATCH(C53,Recipes!$A$5:$A$204,0)),""),""))</f>
        <v>0</v>
      </c>
      <c r="L53" s="8">
        <f>IF(OR(A53="",I53=""),"",COUNTIFS($I$5:$I$124,"&lt;"&amp;I53)+1)</f>
        <v>0</v>
      </c>
      <c r="M53" s="8">
        <f>IF(A53="","",IF(I53="","",IF(I53&lt;0,"Bin it",IF(I53&lt;=Expiry_Warning_Days,"Use it or lose it",""))))</f>
        <v>0</v>
      </c>
      <c r="N53" s="26"/>
      <c r="O53" s="27"/>
      <c r="P53" s="27"/>
      <c r="Q53" s="7"/>
      <c r="R53" s="26"/>
      <c r="S53" s="25"/>
    </row>
    <row r="54" spans="1:19">
      <c r="A54" s="7"/>
      <c r="B54" s="7"/>
      <c r="C54" s="27"/>
      <c r="D54" s="30"/>
      <c r="E54" s="26"/>
      <c r="F54" s="27"/>
      <c r="G54" s="8">
        <f>IF(OR(A54="",D54=""),"",D54+Leftover_Safe_Days)</f>
        <v>0</v>
      </c>
      <c r="H54" s="8">
        <f>IF(OR(A54="",D54=""),"",D54+Freezer_Review_Days)</f>
        <v>0</v>
      </c>
      <c r="I54" s="8">
        <f>IF(OR(A54="",D54=""),"",IF(F54="Freezer",H54-TODAY(),G54-TODAY()))</f>
        <v>0</v>
      </c>
      <c r="J54" s="8">
        <f>IF(A54="","",IF(P54="Yes","Binned",IF(O54="Yes","Eaten",IF(I54="","",IF(I54&lt;0,"Past its best",IF(I54&lt;=1,"Eat today",IF(I54&lt;=3,"Eat this week","Keep")))))))</f>
        <v>0</v>
      </c>
      <c r="K54" s="8">
        <f>IF(OR(A54="",E54=""),"",IFERROR(E54*IFERROR(INDEX(Recipes!$Q$5:$Q$204,MATCH(C54,Recipes!$A$5:$A$204,0)),""),""))</f>
        <v>0</v>
      </c>
      <c r="L54" s="8">
        <f>IF(OR(A54="",I54=""),"",COUNTIFS($I$5:$I$124,"&lt;"&amp;I54)+1)</f>
        <v>0</v>
      </c>
      <c r="M54" s="8">
        <f>IF(A54="","",IF(I54="","",IF(I54&lt;0,"Bin it",IF(I54&lt;=Expiry_Warning_Days,"Use it or lose it",""))))</f>
        <v>0</v>
      </c>
      <c r="N54" s="26"/>
      <c r="O54" s="27"/>
      <c r="P54" s="27"/>
      <c r="Q54" s="7"/>
      <c r="R54" s="26"/>
      <c r="S54" s="25"/>
    </row>
    <row r="55" spans="1:19">
      <c r="A55" s="7"/>
      <c r="B55" s="7"/>
      <c r="C55" s="27"/>
      <c r="D55" s="30"/>
      <c r="E55" s="26"/>
      <c r="F55" s="27"/>
      <c r="G55" s="8">
        <f>IF(OR(A55="",D55=""),"",D55+Leftover_Safe_Days)</f>
        <v>0</v>
      </c>
      <c r="H55" s="8">
        <f>IF(OR(A55="",D55=""),"",D55+Freezer_Review_Days)</f>
        <v>0</v>
      </c>
      <c r="I55" s="8">
        <f>IF(OR(A55="",D55=""),"",IF(F55="Freezer",H55-TODAY(),G55-TODAY()))</f>
        <v>0</v>
      </c>
      <c r="J55" s="8">
        <f>IF(A55="","",IF(P55="Yes","Binned",IF(O55="Yes","Eaten",IF(I55="","",IF(I55&lt;0,"Past its best",IF(I55&lt;=1,"Eat today",IF(I55&lt;=3,"Eat this week","Keep")))))))</f>
        <v>0</v>
      </c>
      <c r="K55" s="8">
        <f>IF(OR(A55="",E55=""),"",IFERROR(E55*IFERROR(INDEX(Recipes!$Q$5:$Q$204,MATCH(C55,Recipes!$A$5:$A$204,0)),""),""))</f>
        <v>0</v>
      </c>
      <c r="L55" s="8">
        <f>IF(OR(A55="",I55=""),"",COUNTIFS($I$5:$I$124,"&lt;"&amp;I55)+1)</f>
        <v>0</v>
      </c>
      <c r="M55" s="8">
        <f>IF(A55="","",IF(I55="","",IF(I55&lt;0,"Bin it",IF(I55&lt;=Expiry_Warning_Days,"Use it or lose it",""))))</f>
        <v>0</v>
      </c>
      <c r="N55" s="26"/>
      <c r="O55" s="27"/>
      <c r="P55" s="27"/>
      <c r="Q55" s="7"/>
      <c r="R55" s="26"/>
      <c r="S55" s="25"/>
    </row>
    <row r="56" spans="1:19">
      <c r="A56" s="7"/>
      <c r="B56" s="7"/>
      <c r="C56" s="27"/>
      <c r="D56" s="30"/>
      <c r="E56" s="26"/>
      <c r="F56" s="27"/>
      <c r="G56" s="8">
        <f>IF(OR(A56="",D56=""),"",D56+Leftover_Safe_Days)</f>
        <v>0</v>
      </c>
      <c r="H56" s="8">
        <f>IF(OR(A56="",D56=""),"",D56+Freezer_Review_Days)</f>
        <v>0</v>
      </c>
      <c r="I56" s="8">
        <f>IF(OR(A56="",D56=""),"",IF(F56="Freezer",H56-TODAY(),G56-TODAY()))</f>
        <v>0</v>
      </c>
      <c r="J56" s="8">
        <f>IF(A56="","",IF(P56="Yes","Binned",IF(O56="Yes","Eaten",IF(I56="","",IF(I56&lt;0,"Past its best",IF(I56&lt;=1,"Eat today",IF(I56&lt;=3,"Eat this week","Keep")))))))</f>
        <v>0</v>
      </c>
      <c r="K56" s="8">
        <f>IF(OR(A56="",E56=""),"",IFERROR(E56*IFERROR(INDEX(Recipes!$Q$5:$Q$204,MATCH(C56,Recipes!$A$5:$A$204,0)),""),""))</f>
        <v>0</v>
      </c>
      <c r="L56" s="8">
        <f>IF(OR(A56="",I56=""),"",COUNTIFS($I$5:$I$124,"&lt;"&amp;I56)+1)</f>
        <v>0</v>
      </c>
      <c r="M56" s="8">
        <f>IF(A56="","",IF(I56="","",IF(I56&lt;0,"Bin it",IF(I56&lt;=Expiry_Warning_Days,"Use it or lose it",""))))</f>
        <v>0</v>
      </c>
      <c r="N56" s="26"/>
      <c r="O56" s="27"/>
      <c r="P56" s="27"/>
      <c r="Q56" s="7"/>
      <c r="R56" s="26"/>
      <c r="S56" s="25"/>
    </row>
    <row r="57" spans="1:19">
      <c r="A57" s="7"/>
      <c r="B57" s="7"/>
      <c r="C57" s="27"/>
      <c r="D57" s="30"/>
      <c r="E57" s="26"/>
      <c r="F57" s="27"/>
      <c r="G57" s="8">
        <f>IF(OR(A57="",D57=""),"",D57+Leftover_Safe_Days)</f>
        <v>0</v>
      </c>
      <c r="H57" s="8">
        <f>IF(OR(A57="",D57=""),"",D57+Freezer_Review_Days)</f>
        <v>0</v>
      </c>
      <c r="I57" s="8">
        <f>IF(OR(A57="",D57=""),"",IF(F57="Freezer",H57-TODAY(),G57-TODAY()))</f>
        <v>0</v>
      </c>
      <c r="J57" s="8">
        <f>IF(A57="","",IF(P57="Yes","Binned",IF(O57="Yes","Eaten",IF(I57="","",IF(I57&lt;0,"Past its best",IF(I57&lt;=1,"Eat today",IF(I57&lt;=3,"Eat this week","Keep")))))))</f>
        <v>0</v>
      </c>
      <c r="K57" s="8">
        <f>IF(OR(A57="",E57=""),"",IFERROR(E57*IFERROR(INDEX(Recipes!$Q$5:$Q$204,MATCH(C57,Recipes!$A$5:$A$204,0)),""),""))</f>
        <v>0</v>
      </c>
      <c r="L57" s="8">
        <f>IF(OR(A57="",I57=""),"",COUNTIFS($I$5:$I$124,"&lt;"&amp;I57)+1)</f>
        <v>0</v>
      </c>
      <c r="M57" s="8">
        <f>IF(A57="","",IF(I57="","",IF(I57&lt;0,"Bin it",IF(I57&lt;=Expiry_Warning_Days,"Use it or lose it",""))))</f>
        <v>0</v>
      </c>
      <c r="N57" s="26"/>
      <c r="O57" s="27"/>
      <c r="P57" s="27"/>
      <c r="Q57" s="7"/>
      <c r="R57" s="26"/>
      <c r="S57" s="25"/>
    </row>
    <row r="58" spans="1:19">
      <c r="A58" s="7"/>
      <c r="B58" s="7"/>
      <c r="C58" s="27"/>
      <c r="D58" s="30"/>
      <c r="E58" s="26"/>
      <c r="F58" s="27"/>
      <c r="G58" s="8">
        <f>IF(OR(A58="",D58=""),"",D58+Leftover_Safe_Days)</f>
        <v>0</v>
      </c>
      <c r="H58" s="8">
        <f>IF(OR(A58="",D58=""),"",D58+Freezer_Review_Days)</f>
        <v>0</v>
      </c>
      <c r="I58" s="8">
        <f>IF(OR(A58="",D58=""),"",IF(F58="Freezer",H58-TODAY(),G58-TODAY()))</f>
        <v>0</v>
      </c>
      <c r="J58" s="8">
        <f>IF(A58="","",IF(P58="Yes","Binned",IF(O58="Yes","Eaten",IF(I58="","",IF(I58&lt;0,"Past its best",IF(I58&lt;=1,"Eat today",IF(I58&lt;=3,"Eat this week","Keep")))))))</f>
        <v>0</v>
      </c>
      <c r="K58" s="8">
        <f>IF(OR(A58="",E58=""),"",IFERROR(E58*IFERROR(INDEX(Recipes!$Q$5:$Q$204,MATCH(C58,Recipes!$A$5:$A$204,0)),""),""))</f>
        <v>0</v>
      </c>
      <c r="L58" s="8">
        <f>IF(OR(A58="",I58=""),"",COUNTIFS($I$5:$I$124,"&lt;"&amp;I58)+1)</f>
        <v>0</v>
      </c>
      <c r="M58" s="8">
        <f>IF(A58="","",IF(I58="","",IF(I58&lt;0,"Bin it",IF(I58&lt;=Expiry_Warning_Days,"Use it or lose it",""))))</f>
        <v>0</v>
      </c>
      <c r="N58" s="26"/>
      <c r="O58" s="27"/>
      <c r="P58" s="27"/>
      <c r="Q58" s="7"/>
      <c r="R58" s="26"/>
      <c r="S58" s="25"/>
    </row>
    <row r="59" spans="1:19">
      <c r="A59" s="7"/>
      <c r="B59" s="7"/>
      <c r="C59" s="27"/>
      <c r="D59" s="30"/>
      <c r="E59" s="26"/>
      <c r="F59" s="27"/>
      <c r="G59" s="8">
        <f>IF(OR(A59="",D59=""),"",D59+Leftover_Safe_Days)</f>
        <v>0</v>
      </c>
      <c r="H59" s="8">
        <f>IF(OR(A59="",D59=""),"",D59+Freezer_Review_Days)</f>
        <v>0</v>
      </c>
      <c r="I59" s="8">
        <f>IF(OR(A59="",D59=""),"",IF(F59="Freezer",H59-TODAY(),G59-TODAY()))</f>
        <v>0</v>
      </c>
      <c r="J59" s="8">
        <f>IF(A59="","",IF(P59="Yes","Binned",IF(O59="Yes","Eaten",IF(I59="","",IF(I59&lt;0,"Past its best",IF(I59&lt;=1,"Eat today",IF(I59&lt;=3,"Eat this week","Keep")))))))</f>
        <v>0</v>
      </c>
      <c r="K59" s="8">
        <f>IF(OR(A59="",E59=""),"",IFERROR(E59*IFERROR(INDEX(Recipes!$Q$5:$Q$204,MATCH(C59,Recipes!$A$5:$A$204,0)),""),""))</f>
        <v>0</v>
      </c>
      <c r="L59" s="8">
        <f>IF(OR(A59="",I59=""),"",COUNTIFS($I$5:$I$124,"&lt;"&amp;I59)+1)</f>
        <v>0</v>
      </c>
      <c r="M59" s="8">
        <f>IF(A59="","",IF(I59="","",IF(I59&lt;0,"Bin it",IF(I59&lt;=Expiry_Warning_Days,"Use it or lose it",""))))</f>
        <v>0</v>
      </c>
      <c r="N59" s="26"/>
      <c r="O59" s="27"/>
      <c r="P59" s="27"/>
      <c r="Q59" s="7"/>
      <c r="R59" s="26"/>
      <c r="S59" s="25"/>
    </row>
    <row r="60" spans="1:19">
      <c r="A60" s="7"/>
      <c r="B60" s="7"/>
      <c r="C60" s="27"/>
      <c r="D60" s="30"/>
      <c r="E60" s="26"/>
      <c r="F60" s="27"/>
      <c r="G60" s="8">
        <f>IF(OR(A60="",D60=""),"",D60+Leftover_Safe_Days)</f>
        <v>0</v>
      </c>
      <c r="H60" s="8">
        <f>IF(OR(A60="",D60=""),"",D60+Freezer_Review_Days)</f>
        <v>0</v>
      </c>
      <c r="I60" s="8">
        <f>IF(OR(A60="",D60=""),"",IF(F60="Freezer",H60-TODAY(),G60-TODAY()))</f>
        <v>0</v>
      </c>
      <c r="J60" s="8">
        <f>IF(A60="","",IF(P60="Yes","Binned",IF(O60="Yes","Eaten",IF(I60="","",IF(I60&lt;0,"Past its best",IF(I60&lt;=1,"Eat today",IF(I60&lt;=3,"Eat this week","Keep")))))))</f>
        <v>0</v>
      </c>
      <c r="K60" s="8">
        <f>IF(OR(A60="",E60=""),"",IFERROR(E60*IFERROR(INDEX(Recipes!$Q$5:$Q$204,MATCH(C60,Recipes!$A$5:$A$204,0)),""),""))</f>
        <v>0</v>
      </c>
      <c r="L60" s="8">
        <f>IF(OR(A60="",I60=""),"",COUNTIFS($I$5:$I$124,"&lt;"&amp;I60)+1)</f>
        <v>0</v>
      </c>
      <c r="M60" s="8">
        <f>IF(A60="","",IF(I60="","",IF(I60&lt;0,"Bin it",IF(I60&lt;=Expiry_Warning_Days,"Use it or lose it",""))))</f>
        <v>0</v>
      </c>
      <c r="N60" s="26"/>
      <c r="O60" s="27"/>
      <c r="P60" s="27"/>
      <c r="Q60" s="7"/>
      <c r="R60" s="26"/>
      <c r="S60" s="25"/>
    </row>
    <row r="61" spans="1:19">
      <c r="A61" s="7"/>
      <c r="B61" s="7"/>
      <c r="C61" s="27"/>
      <c r="D61" s="30"/>
      <c r="E61" s="26"/>
      <c r="F61" s="27"/>
      <c r="G61" s="8">
        <f>IF(OR(A61="",D61=""),"",D61+Leftover_Safe_Days)</f>
        <v>0</v>
      </c>
      <c r="H61" s="8">
        <f>IF(OR(A61="",D61=""),"",D61+Freezer_Review_Days)</f>
        <v>0</v>
      </c>
      <c r="I61" s="8">
        <f>IF(OR(A61="",D61=""),"",IF(F61="Freezer",H61-TODAY(),G61-TODAY()))</f>
        <v>0</v>
      </c>
      <c r="J61" s="8">
        <f>IF(A61="","",IF(P61="Yes","Binned",IF(O61="Yes","Eaten",IF(I61="","",IF(I61&lt;0,"Past its best",IF(I61&lt;=1,"Eat today",IF(I61&lt;=3,"Eat this week","Keep")))))))</f>
        <v>0</v>
      </c>
      <c r="K61" s="8">
        <f>IF(OR(A61="",E61=""),"",IFERROR(E61*IFERROR(INDEX(Recipes!$Q$5:$Q$204,MATCH(C61,Recipes!$A$5:$A$204,0)),""),""))</f>
        <v>0</v>
      </c>
      <c r="L61" s="8">
        <f>IF(OR(A61="",I61=""),"",COUNTIFS($I$5:$I$124,"&lt;"&amp;I61)+1)</f>
        <v>0</v>
      </c>
      <c r="M61" s="8">
        <f>IF(A61="","",IF(I61="","",IF(I61&lt;0,"Bin it",IF(I61&lt;=Expiry_Warning_Days,"Use it or lose it",""))))</f>
        <v>0</v>
      </c>
      <c r="N61" s="26"/>
      <c r="O61" s="27"/>
      <c r="P61" s="27"/>
      <c r="Q61" s="7"/>
      <c r="R61" s="26"/>
      <c r="S61" s="25"/>
    </row>
    <row r="62" spans="1:19">
      <c r="A62" s="7"/>
      <c r="B62" s="7"/>
      <c r="C62" s="27"/>
      <c r="D62" s="30"/>
      <c r="E62" s="26"/>
      <c r="F62" s="27"/>
      <c r="G62" s="8">
        <f>IF(OR(A62="",D62=""),"",D62+Leftover_Safe_Days)</f>
        <v>0</v>
      </c>
      <c r="H62" s="8">
        <f>IF(OR(A62="",D62=""),"",D62+Freezer_Review_Days)</f>
        <v>0</v>
      </c>
      <c r="I62" s="8">
        <f>IF(OR(A62="",D62=""),"",IF(F62="Freezer",H62-TODAY(),G62-TODAY()))</f>
        <v>0</v>
      </c>
      <c r="J62" s="8">
        <f>IF(A62="","",IF(P62="Yes","Binned",IF(O62="Yes","Eaten",IF(I62="","",IF(I62&lt;0,"Past its best",IF(I62&lt;=1,"Eat today",IF(I62&lt;=3,"Eat this week","Keep")))))))</f>
        <v>0</v>
      </c>
      <c r="K62" s="8">
        <f>IF(OR(A62="",E62=""),"",IFERROR(E62*IFERROR(INDEX(Recipes!$Q$5:$Q$204,MATCH(C62,Recipes!$A$5:$A$204,0)),""),""))</f>
        <v>0</v>
      </c>
      <c r="L62" s="8">
        <f>IF(OR(A62="",I62=""),"",COUNTIFS($I$5:$I$124,"&lt;"&amp;I62)+1)</f>
        <v>0</v>
      </c>
      <c r="M62" s="8">
        <f>IF(A62="","",IF(I62="","",IF(I62&lt;0,"Bin it",IF(I62&lt;=Expiry_Warning_Days,"Use it or lose it",""))))</f>
        <v>0</v>
      </c>
      <c r="N62" s="26"/>
      <c r="O62" s="27"/>
      <c r="P62" s="27"/>
      <c r="Q62" s="7"/>
      <c r="R62" s="26"/>
      <c r="S62" s="25"/>
    </row>
    <row r="63" spans="1:19">
      <c r="A63" s="7"/>
      <c r="B63" s="7"/>
      <c r="C63" s="27"/>
      <c r="D63" s="30"/>
      <c r="E63" s="26"/>
      <c r="F63" s="27"/>
      <c r="G63" s="8">
        <f>IF(OR(A63="",D63=""),"",D63+Leftover_Safe_Days)</f>
        <v>0</v>
      </c>
      <c r="H63" s="8">
        <f>IF(OR(A63="",D63=""),"",D63+Freezer_Review_Days)</f>
        <v>0</v>
      </c>
      <c r="I63" s="8">
        <f>IF(OR(A63="",D63=""),"",IF(F63="Freezer",H63-TODAY(),G63-TODAY()))</f>
        <v>0</v>
      </c>
      <c r="J63" s="8">
        <f>IF(A63="","",IF(P63="Yes","Binned",IF(O63="Yes","Eaten",IF(I63="","",IF(I63&lt;0,"Past its best",IF(I63&lt;=1,"Eat today",IF(I63&lt;=3,"Eat this week","Keep")))))))</f>
        <v>0</v>
      </c>
      <c r="K63" s="8">
        <f>IF(OR(A63="",E63=""),"",IFERROR(E63*IFERROR(INDEX(Recipes!$Q$5:$Q$204,MATCH(C63,Recipes!$A$5:$A$204,0)),""),""))</f>
        <v>0</v>
      </c>
      <c r="L63" s="8">
        <f>IF(OR(A63="",I63=""),"",COUNTIFS($I$5:$I$124,"&lt;"&amp;I63)+1)</f>
        <v>0</v>
      </c>
      <c r="M63" s="8">
        <f>IF(A63="","",IF(I63="","",IF(I63&lt;0,"Bin it",IF(I63&lt;=Expiry_Warning_Days,"Use it or lose it",""))))</f>
        <v>0</v>
      </c>
      <c r="N63" s="26"/>
      <c r="O63" s="27"/>
      <c r="P63" s="27"/>
      <c r="Q63" s="7"/>
      <c r="R63" s="26"/>
      <c r="S63" s="25"/>
    </row>
    <row r="64" spans="1:19">
      <c r="A64" s="7"/>
      <c r="B64" s="7"/>
      <c r="C64" s="27"/>
      <c r="D64" s="30"/>
      <c r="E64" s="26"/>
      <c r="F64" s="27"/>
      <c r="G64" s="8">
        <f>IF(OR(A64="",D64=""),"",D64+Leftover_Safe_Days)</f>
        <v>0</v>
      </c>
      <c r="H64" s="8">
        <f>IF(OR(A64="",D64=""),"",D64+Freezer_Review_Days)</f>
        <v>0</v>
      </c>
      <c r="I64" s="8">
        <f>IF(OR(A64="",D64=""),"",IF(F64="Freezer",H64-TODAY(),G64-TODAY()))</f>
        <v>0</v>
      </c>
      <c r="J64" s="8">
        <f>IF(A64="","",IF(P64="Yes","Binned",IF(O64="Yes","Eaten",IF(I64="","",IF(I64&lt;0,"Past its best",IF(I64&lt;=1,"Eat today",IF(I64&lt;=3,"Eat this week","Keep")))))))</f>
        <v>0</v>
      </c>
      <c r="K64" s="8">
        <f>IF(OR(A64="",E64=""),"",IFERROR(E64*IFERROR(INDEX(Recipes!$Q$5:$Q$204,MATCH(C64,Recipes!$A$5:$A$204,0)),""),""))</f>
        <v>0</v>
      </c>
      <c r="L64" s="8">
        <f>IF(OR(A64="",I64=""),"",COUNTIFS($I$5:$I$124,"&lt;"&amp;I64)+1)</f>
        <v>0</v>
      </c>
      <c r="M64" s="8">
        <f>IF(A64="","",IF(I64="","",IF(I64&lt;0,"Bin it",IF(I64&lt;=Expiry_Warning_Days,"Use it or lose it",""))))</f>
        <v>0</v>
      </c>
      <c r="N64" s="26"/>
      <c r="O64" s="27"/>
      <c r="P64" s="27"/>
      <c r="Q64" s="7"/>
      <c r="R64" s="26"/>
      <c r="S64" s="25"/>
    </row>
    <row r="65" spans="1:19">
      <c r="A65" s="7"/>
      <c r="B65" s="7"/>
      <c r="C65" s="27"/>
      <c r="D65" s="30"/>
      <c r="E65" s="26"/>
      <c r="F65" s="27"/>
      <c r="G65" s="8">
        <f>IF(OR(A65="",D65=""),"",D65+Leftover_Safe_Days)</f>
        <v>0</v>
      </c>
      <c r="H65" s="8">
        <f>IF(OR(A65="",D65=""),"",D65+Freezer_Review_Days)</f>
        <v>0</v>
      </c>
      <c r="I65" s="8">
        <f>IF(OR(A65="",D65=""),"",IF(F65="Freezer",H65-TODAY(),G65-TODAY()))</f>
        <v>0</v>
      </c>
      <c r="J65" s="8">
        <f>IF(A65="","",IF(P65="Yes","Binned",IF(O65="Yes","Eaten",IF(I65="","",IF(I65&lt;0,"Past its best",IF(I65&lt;=1,"Eat today",IF(I65&lt;=3,"Eat this week","Keep")))))))</f>
        <v>0</v>
      </c>
      <c r="K65" s="8">
        <f>IF(OR(A65="",E65=""),"",IFERROR(E65*IFERROR(INDEX(Recipes!$Q$5:$Q$204,MATCH(C65,Recipes!$A$5:$A$204,0)),""),""))</f>
        <v>0</v>
      </c>
      <c r="L65" s="8">
        <f>IF(OR(A65="",I65=""),"",COUNTIFS($I$5:$I$124,"&lt;"&amp;I65)+1)</f>
        <v>0</v>
      </c>
      <c r="M65" s="8">
        <f>IF(A65="","",IF(I65="","",IF(I65&lt;0,"Bin it",IF(I65&lt;=Expiry_Warning_Days,"Use it or lose it",""))))</f>
        <v>0</v>
      </c>
      <c r="N65" s="26"/>
      <c r="O65" s="27"/>
      <c r="P65" s="27"/>
      <c r="Q65" s="7"/>
      <c r="R65" s="26"/>
      <c r="S65" s="25"/>
    </row>
    <row r="66" spans="1:19">
      <c r="A66" s="7"/>
      <c r="B66" s="7"/>
      <c r="C66" s="27"/>
      <c r="D66" s="30"/>
      <c r="E66" s="26"/>
      <c r="F66" s="27"/>
      <c r="G66" s="8">
        <f>IF(OR(A66="",D66=""),"",D66+Leftover_Safe_Days)</f>
        <v>0</v>
      </c>
      <c r="H66" s="8">
        <f>IF(OR(A66="",D66=""),"",D66+Freezer_Review_Days)</f>
        <v>0</v>
      </c>
      <c r="I66" s="8">
        <f>IF(OR(A66="",D66=""),"",IF(F66="Freezer",H66-TODAY(),G66-TODAY()))</f>
        <v>0</v>
      </c>
      <c r="J66" s="8">
        <f>IF(A66="","",IF(P66="Yes","Binned",IF(O66="Yes","Eaten",IF(I66="","",IF(I66&lt;0,"Past its best",IF(I66&lt;=1,"Eat today",IF(I66&lt;=3,"Eat this week","Keep")))))))</f>
        <v>0</v>
      </c>
      <c r="K66" s="8">
        <f>IF(OR(A66="",E66=""),"",IFERROR(E66*IFERROR(INDEX(Recipes!$Q$5:$Q$204,MATCH(C66,Recipes!$A$5:$A$204,0)),""),""))</f>
        <v>0</v>
      </c>
      <c r="L66" s="8">
        <f>IF(OR(A66="",I66=""),"",COUNTIFS($I$5:$I$124,"&lt;"&amp;I66)+1)</f>
        <v>0</v>
      </c>
      <c r="M66" s="8">
        <f>IF(A66="","",IF(I66="","",IF(I66&lt;0,"Bin it",IF(I66&lt;=Expiry_Warning_Days,"Use it or lose it",""))))</f>
        <v>0</v>
      </c>
      <c r="N66" s="26"/>
      <c r="O66" s="27"/>
      <c r="P66" s="27"/>
      <c r="Q66" s="7"/>
      <c r="R66" s="26"/>
      <c r="S66" s="25"/>
    </row>
    <row r="67" spans="1:19">
      <c r="A67" s="7"/>
      <c r="B67" s="7"/>
      <c r="C67" s="27"/>
      <c r="D67" s="30"/>
      <c r="E67" s="26"/>
      <c r="F67" s="27"/>
      <c r="G67" s="8">
        <f>IF(OR(A67="",D67=""),"",D67+Leftover_Safe_Days)</f>
        <v>0</v>
      </c>
      <c r="H67" s="8">
        <f>IF(OR(A67="",D67=""),"",D67+Freezer_Review_Days)</f>
        <v>0</v>
      </c>
      <c r="I67" s="8">
        <f>IF(OR(A67="",D67=""),"",IF(F67="Freezer",H67-TODAY(),G67-TODAY()))</f>
        <v>0</v>
      </c>
      <c r="J67" s="8">
        <f>IF(A67="","",IF(P67="Yes","Binned",IF(O67="Yes","Eaten",IF(I67="","",IF(I67&lt;0,"Past its best",IF(I67&lt;=1,"Eat today",IF(I67&lt;=3,"Eat this week","Keep")))))))</f>
        <v>0</v>
      </c>
      <c r="K67" s="8">
        <f>IF(OR(A67="",E67=""),"",IFERROR(E67*IFERROR(INDEX(Recipes!$Q$5:$Q$204,MATCH(C67,Recipes!$A$5:$A$204,0)),""),""))</f>
        <v>0</v>
      </c>
      <c r="L67" s="8">
        <f>IF(OR(A67="",I67=""),"",COUNTIFS($I$5:$I$124,"&lt;"&amp;I67)+1)</f>
        <v>0</v>
      </c>
      <c r="M67" s="8">
        <f>IF(A67="","",IF(I67="","",IF(I67&lt;0,"Bin it",IF(I67&lt;=Expiry_Warning_Days,"Use it or lose it",""))))</f>
        <v>0</v>
      </c>
      <c r="N67" s="26"/>
      <c r="O67" s="27"/>
      <c r="P67" s="27"/>
      <c r="Q67" s="7"/>
      <c r="R67" s="26"/>
      <c r="S67" s="25"/>
    </row>
    <row r="68" spans="1:19">
      <c r="A68" s="7"/>
      <c r="B68" s="7"/>
      <c r="C68" s="27"/>
      <c r="D68" s="30"/>
      <c r="E68" s="26"/>
      <c r="F68" s="27"/>
      <c r="G68" s="8">
        <f>IF(OR(A68="",D68=""),"",D68+Leftover_Safe_Days)</f>
        <v>0</v>
      </c>
      <c r="H68" s="8">
        <f>IF(OR(A68="",D68=""),"",D68+Freezer_Review_Days)</f>
        <v>0</v>
      </c>
      <c r="I68" s="8">
        <f>IF(OR(A68="",D68=""),"",IF(F68="Freezer",H68-TODAY(),G68-TODAY()))</f>
        <v>0</v>
      </c>
      <c r="J68" s="8">
        <f>IF(A68="","",IF(P68="Yes","Binned",IF(O68="Yes","Eaten",IF(I68="","",IF(I68&lt;0,"Past its best",IF(I68&lt;=1,"Eat today",IF(I68&lt;=3,"Eat this week","Keep")))))))</f>
        <v>0</v>
      </c>
      <c r="K68" s="8">
        <f>IF(OR(A68="",E68=""),"",IFERROR(E68*IFERROR(INDEX(Recipes!$Q$5:$Q$204,MATCH(C68,Recipes!$A$5:$A$204,0)),""),""))</f>
        <v>0</v>
      </c>
      <c r="L68" s="8">
        <f>IF(OR(A68="",I68=""),"",COUNTIFS($I$5:$I$124,"&lt;"&amp;I68)+1)</f>
        <v>0</v>
      </c>
      <c r="M68" s="8">
        <f>IF(A68="","",IF(I68="","",IF(I68&lt;0,"Bin it",IF(I68&lt;=Expiry_Warning_Days,"Use it or lose it",""))))</f>
        <v>0</v>
      </c>
      <c r="N68" s="26"/>
      <c r="O68" s="27"/>
      <c r="P68" s="27"/>
      <c r="Q68" s="7"/>
      <c r="R68" s="26"/>
      <c r="S68" s="25"/>
    </row>
    <row r="69" spans="1:19">
      <c r="A69" s="7"/>
      <c r="B69" s="7"/>
      <c r="C69" s="27"/>
      <c r="D69" s="30"/>
      <c r="E69" s="26"/>
      <c r="F69" s="27"/>
      <c r="G69" s="8">
        <f>IF(OR(A69="",D69=""),"",D69+Leftover_Safe_Days)</f>
        <v>0</v>
      </c>
      <c r="H69" s="8">
        <f>IF(OR(A69="",D69=""),"",D69+Freezer_Review_Days)</f>
        <v>0</v>
      </c>
      <c r="I69" s="8">
        <f>IF(OR(A69="",D69=""),"",IF(F69="Freezer",H69-TODAY(),G69-TODAY()))</f>
        <v>0</v>
      </c>
      <c r="J69" s="8">
        <f>IF(A69="","",IF(P69="Yes","Binned",IF(O69="Yes","Eaten",IF(I69="","",IF(I69&lt;0,"Past its best",IF(I69&lt;=1,"Eat today",IF(I69&lt;=3,"Eat this week","Keep")))))))</f>
        <v>0</v>
      </c>
      <c r="K69" s="8">
        <f>IF(OR(A69="",E69=""),"",IFERROR(E69*IFERROR(INDEX(Recipes!$Q$5:$Q$204,MATCH(C69,Recipes!$A$5:$A$204,0)),""),""))</f>
        <v>0</v>
      </c>
      <c r="L69" s="8">
        <f>IF(OR(A69="",I69=""),"",COUNTIFS($I$5:$I$124,"&lt;"&amp;I69)+1)</f>
        <v>0</v>
      </c>
      <c r="M69" s="8">
        <f>IF(A69="","",IF(I69="","",IF(I69&lt;0,"Bin it",IF(I69&lt;=Expiry_Warning_Days,"Use it or lose it",""))))</f>
        <v>0</v>
      </c>
      <c r="N69" s="26"/>
      <c r="O69" s="27"/>
      <c r="P69" s="27"/>
      <c r="Q69" s="7"/>
      <c r="R69" s="26"/>
      <c r="S69" s="25"/>
    </row>
    <row r="70" spans="1:19">
      <c r="A70" s="7"/>
      <c r="B70" s="7"/>
      <c r="C70" s="27"/>
      <c r="D70" s="30"/>
      <c r="E70" s="26"/>
      <c r="F70" s="27"/>
      <c r="G70" s="8">
        <f>IF(OR(A70="",D70=""),"",D70+Leftover_Safe_Days)</f>
        <v>0</v>
      </c>
      <c r="H70" s="8">
        <f>IF(OR(A70="",D70=""),"",D70+Freezer_Review_Days)</f>
        <v>0</v>
      </c>
      <c r="I70" s="8">
        <f>IF(OR(A70="",D70=""),"",IF(F70="Freezer",H70-TODAY(),G70-TODAY()))</f>
        <v>0</v>
      </c>
      <c r="J70" s="8">
        <f>IF(A70="","",IF(P70="Yes","Binned",IF(O70="Yes","Eaten",IF(I70="","",IF(I70&lt;0,"Past its best",IF(I70&lt;=1,"Eat today",IF(I70&lt;=3,"Eat this week","Keep")))))))</f>
        <v>0</v>
      </c>
      <c r="K70" s="8">
        <f>IF(OR(A70="",E70=""),"",IFERROR(E70*IFERROR(INDEX(Recipes!$Q$5:$Q$204,MATCH(C70,Recipes!$A$5:$A$204,0)),""),""))</f>
        <v>0</v>
      </c>
      <c r="L70" s="8">
        <f>IF(OR(A70="",I70=""),"",COUNTIFS($I$5:$I$124,"&lt;"&amp;I70)+1)</f>
        <v>0</v>
      </c>
      <c r="M70" s="8">
        <f>IF(A70="","",IF(I70="","",IF(I70&lt;0,"Bin it",IF(I70&lt;=Expiry_Warning_Days,"Use it or lose it",""))))</f>
        <v>0</v>
      </c>
      <c r="N70" s="26"/>
      <c r="O70" s="27"/>
      <c r="P70" s="27"/>
      <c r="Q70" s="7"/>
      <c r="R70" s="26"/>
      <c r="S70" s="25"/>
    </row>
    <row r="71" spans="1:19">
      <c r="A71" s="7"/>
      <c r="B71" s="7"/>
      <c r="C71" s="27"/>
      <c r="D71" s="30"/>
      <c r="E71" s="26"/>
      <c r="F71" s="27"/>
      <c r="G71" s="8">
        <f>IF(OR(A71="",D71=""),"",D71+Leftover_Safe_Days)</f>
        <v>0</v>
      </c>
      <c r="H71" s="8">
        <f>IF(OR(A71="",D71=""),"",D71+Freezer_Review_Days)</f>
        <v>0</v>
      </c>
      <c r="I71" s="8">
        <f>IF(OR(A71="",D71=""),"",IF(F71="Freezer",H71-TODAY(),G71-TODAY()))</f>
        <v>0</v>
      </c>
      <c r="J71" s="8">
        <f>IF(A71="","",IF(P71="Yes","Binned",IF(O71="Yes","Eaten",IF(I71="","",IF(I71&lt;0,"Past its best",IF(I71&lt;=1,"Eat today",IF(I71&lt;=3,"Eat this week","Keep")))))))</f>
        <v>0</v>
      </c>
      <c r="K71" s="8">
        <f>IF(OR(A71="",E71=""),"",IFERROR(E71*IFERROR(INDEX(Recipes!$Q$5:$Q$204,MATCH(C71,Recipes!$A$5:$A$204,0)),""),""))</f>
        <v>0</v>
      </c>
      <c r="L71" s="8">
        <f>IF(OR(A71="",I71=""),"",COUNTIFS($I$5:$I$124,"&lt;"&amp;I71)+1)</f>
        <v>0</v>
      </c>
      <c r="M71" s="8">
        <f>IF(A71="","",IF(I71="","",IF(I71&lt;0,"Bin it",IF(I71&lt;=Expiry_Warning_Days,"Use it or lose it",""))))</f>
        <v>0</v>
      </c>
      <c r="N71" s="26"/>
      <c r="O71" s="27"/>
      <c r="P71" s="27"/>
      <c r="Q71" s="7"/>
      <c r="R71" s="26"/>
      <c r="S71" s="25"/>
    </row>
    <row r="72" spans="1:19">
      <c r="A72" s="7"/>
      <c r="B72" s="7"/>
      <c r="C72" s="27"/>
      <c r="D72" s="30"/>
      <c r="E72" s="26"/>
      <c r="F72" s="27"/>
      <c r="G72" s="8">
        <f>IF(OR(A72="",D72=""),"",D72+Leftover_Safe_Days)</f>
        <v>0</v>
      </c>
      <c r="H72" s="8">
        <f>IF(OR(A72="",D72=""),"",D72+Freezer_Review_Days)</f>
        <v>0</v>
      </c>
      <c r="I72" s="8">
        <f>IF(OR(A72="",D72=""),"",IF(F72="Freezer",H72-TODAY(),G72-TODAY()))</f>
        <v>0</v>
      </c>
      <c r="J72" s="8">
        <f>IF(A72="","",IF(P72="Yes","Binned",IF(O72="Yes","Eaten",IF(I72="","",IF(I72&lt;0,"Past its best",IF(I72&lt;=1,"Eat today",IF(I72&lt;=3,"Eat this week","Keep")))))))</f>
        <v>0</v>
      </c>
      <c r="K72" s="8">
        <f>IF(OR(A72="",E72=""),"",IFERROR(E72*IFERROR(INDEX(Recipes!$Q$5:$Q$204,MATCH(C72,Recipes!$A$5:$A$204,0)),""),""))</f>
        <v>0</v>
      </c>
      <c r="L72" s="8">
        <f>IF(OR(A72="",I72=""),"",COUNTIFS($I$5:$I$124,"&lt;"&amp;I72)+1)</f>
        <v>0</v>
      </c>
      <c r="M72" s="8">
        <f>IF(A72="","",IF(I72="","",IF(I72&lt;0,"Bin it",IF(I72&lt;=Expiry_Warning_Days,"Use it or lose it",""))))</f>
        <v>0</v>
      </c>
      <c r="N72" s="26"/>
      <c r="O72" s="27"/>
      <c r="P72" s="27"/>
      <c r="Q72" s="7"/>
      <c r="R72" s="26"/>
      <c r="S72" s="25"/>
    </row>
    <row r="73" spans="1:19">
      <c r="A73" s="7"/>
      <c r="B73" s="7"/>
      <c r="C73" s="27"/>
      <c r="D73" s="30"/>
      <c r="E73" s="26"/>
      <c r="F73" s="27"/>
      <c r="G73" s="8">
        <f>IF(OR(A73="",D73=""),"",D73+Leftover_Safe_Days)</f>
        <v>0</v>
      </c>
      <c r="H73" s="8">
        <f>IF(OR(A73="",D73=""),"",D73+Freezer_Review_Days)</f>
        <v>0</v>
      </c>
      <c r="I73" s="8">
        <f>IF(OR(A73="",D73=""),"",IF(F73="Freezer",H73-TODAY(),G73-TODAY()))</f>
        <v>0</v>
      </c>
      <c r="J73" s="8">
        <f>IF(A73="","",IF(P73="Yes","Binned",IF(O73="Yes","Eaten",IF(I73="","",IF(I73&lt;0,"Past its best",IF(I73&lt;=1,"Eat today",IF(I73&lt;=3,"Eat this week","Keep")))))))</f>
        <v>0</v>
      </c>
      <c r="K73" s="8">
        <f>IF(OR(A73="",E73=""),"",IFERROR(E73*IFERROR(INDEX(Recipes!$Q$5:$Q$204,MATCH(C73,Recipes!$A$5:$A$204,0)),""),""))</f>
        <v>0</v>
      </c>
      <c r="L73" s="8">
        <f>IF(OR(A73="",I73=""),"",COUNTIFS($I$5:$I$124,"&lt;"&amp;I73)+1)</f>
        <v>0</v>
      </c>
      <c r="M73" s="8">
        <f>IF(A73="","",IF(I73="","",IF(I73&lt;0,"Bin it",IF(I73&lt;=Expiry_Warning_Days,"Use it or lose it",""))))</f>
        <v>0</v>
      </c>
      <c r="N73" s="26"/>
      <c r="O73" s="27"/>
      <c r="P73" s="27"/>
      <c r="Q73" s="7"/>
      <c r="R73" s="26"/>
      <c r="S73" s="25"/>
    </row>
    <row r="74" spans="1:19">
      <c r="A74" s="7"/>
      <c r="B74" s="7"/>
      <c r="C74" s="27"/>
      <c r="D74" s="30"/>
      <c r="E74" s="26"/>
      <c r="F74" s="27"/>
      <c r="G74" s="8">
        <f>IF(OR(A74="",D74=""),"",D74+Leftover_Safe_Days)</f>
        <v>0</v>
      </c>
      <c r="H74" s="8">
        <f>IF(OR(A74="",D74=""),"",D74+Freezer_Review_Days)</f>
        <v>0</v>
      </c>
      <c r="I74" s="8">
        <f>IF(OR(A74="",D74=""),"",IF(F74="Freezer",H74-TODAY(),G74-TODAY()))</f>
        <v>0</v>
      </c>
      <c r="J74" s="8">
        <f>IF(A74="","",IF(P74="Yes","Binned",IF(O74="Yes","Eaten",IF(I74="","",IF(I74&lt;0,"Past its best",IF(I74&lt;=1,"Eat today",IF(I74&lt;=3,"Eat this week","Keep")))))))</f>
        <v>0</v>
      </c>
      <c r="K74" s="8">
        <f>IF(OR(A74="",E74=""),"",IFERROR(E74*IFERROR(INDEX(Recipes!$Q$5:$Q$204,MATCH(C74,Recipes!$A$5:$A$204,0)),""),""))</f>
        <v>0</v>
      </c>
      <c r="L74" s="8">
        <f>IF(OR(A74="",I74=""),"",COUNTIFS($I$5:$I$124,"&lt;"&amp;I74)+1)</f>
        <v>0</v>
      </c>
      <c r="M74" s="8">
        <f>IF(A74="","",IF(I74="","",IF(I74&lt;0,"Bin it",IF(I74&lt;=Expiry_Warning_Days,"Use it or lose it",""))))</f>
        <v>0</v>
      </c>
      <c r="N74" s="26"/>
      <c r="O74" s="27"/>
      <c r="P74" s="27"/>
      <c r="Q74" s="7"/>
      <c r="R74" s="26"/>
      <c r="S74" s="25"/>
    </row>
    <row r="75" spans="1:19">
      <c r="A75" s="7"/>
      <c r="B75" s="7"/>
      <c r="C75" s="27"/>
      <c r="D75" s="30"/>
      <c r="E75" s="26"/>
      <c r="F75" s="27"/>
      <c r="G75" s="8">
        <f>IF(OR(A75="",D75=""),"",D75+Leftover_Safe_Days)</f>
        <v>0</v>
      </c>
      <c r="H75" s="8">
        <f>IF(OR(A75="",D75=""),"",D75+Freezer_Review_Days)</f>
        <v>0</v>
      </c>
      <c r="I75" s="8">
        <f>IF(OR(A75="",D75=""),"",IF(F75="Freezer",H75-TODAY(),G75-TODAY()))</f>
        <v>0</v>
      </c>
      <c r="J75" s="8">
        <f>IF(A75="","",IF(P75="Yes","Binned",IF(O75="Yes","Eaten",IF(I75="","",IF(I75&lt;0,"Past its best",IF(I75&lt;=1,"Eat today",IF(I75&lt;=3,"Eat this week","Keep")))))))</f>
        <v>0</v>
      </c>
      <c r="K75" s="8">
        <f>IF(OR(A75="",E75=""),"",IFERROR(E75*IFERROR(INDEX(Recipes!$Q$5:$Q$204,MATCH(C75,Recipes!$A$5:$A$204,0)),""),""))</f>
        <v>0</v>
      </c>
      <c r="L75" s="8">
        <f>IF(OR(A75="",I75=""),"",COUNTIFS($I$5:$I$124,"&lt;"&amp;I75)+1)</f>
        <v>0</v>
      </c>
      <c r="M75" s="8">
        <f>IF(A75="","",IF(I75="","",IF(I75&lt;0,"Bin it",IF(I75&lt;=Expiry_Warning_Days,"Use it or lose it",""))))</f>
        <v>0</v>
      </c>
      <c r="N75" s="26"/>
      <c r="O75" s="27"/>
      <c r="P75" s="27"/>
      <c r="Q75" s="7"/>
      <c r="R75" s="26"/>
      <c r="S75" s="25"/>
    </row>
    <row r="76" spans="1:19">
      <c r="A76" s="7"/>
      <c r="B76" s="7"/>
      <c r="C76" s="27"/>
      <c r="D76" s="30"/>
      <c r="E76" s="26"/>
      <c r="F76" s="27"/>
      <c r="G76" s="8">
        <f>IF(OR(A76="",D76=""),"",D76+Leftover_Safe_Days)</f>
        <v>0</v>
      </c>
      <c r="H76" s="8">
        <f>IF(OR(A76="",D76=""),"",D76+Freezer_Review_Days)</f>
        <v>0</v>
      </c>
      <c r="I76" s="8">
        <f>IF(OR(A76="",D76=""),"",IF(F76="Freezer",H76-TODAY(),G76-TODAY()))</f>
        <v>0</v>
      </c>
      <c r="J76" s="8">
        <f>IF(A76="","",IF(P76="Yes","Binned",IF(O76="Yes","Eaten",IF(I76="","",IF(I76&lt;0,"Past its best",IF(I76&lt;=1,"Eat today",IF(I76&lt;=3,"Eat this week","Keep")))))))</f>
        <v>0</v>
      </c>
      <c r="K76" s="8">
        <f>IF(OR(A76="",E76=""),"",IFERROR(E76*IFERROR(INDEX(Recipes!$Q$5:$Q$204,MATCH(C76,Recipes!$A$5:$A$204,0)),""),""))</f>
        <v>0</v>
      </c>
      <c r="L76" s="8">
        <f>IF(OR(A76="",I76=""),"",COUNTIFS($I$5:$I$124,"&lt;"&amp;I76)+1)</f>
        <v>0</v>
      </c>
      <c r="M76" s="8">
        <f>IF(A76="","",IF(I76="","",IF(I76&lt;0,"Bin it",IF(I76&lt;=Expiry_Warning_Days,"Use it or lose it",""))))</f>
        <v>0</v>
      </c>
      <c r="N76" s="26"/>
      <c r="O76" s="27"/>
      <c r="P76" s="27"/>
      <c r="Q76" s="7"/>
      <c r="R76" s="26"/>
      <c r="S76" s="25"/>
    </row>
    <row r="77" spans="1:19">
      <c r="A77" s="7"/>
      <c r="B77" s="7"/>
      <c r="C77" s="27"/>
      <c r="D77" s="30"/>
      <c r="E77" s="26"/>
      <c r="F77" s="27"/>
      <c r="G77" s="8">
        <f>IF(OR(A77="",D77=""),"",D77+Leftover_Safe_Days)</f>
        <v>0</v>
      </c>
      <c r="H77" s="8">
        <f>IF(OR(A77="",D77=""),"",D77+Freezer_Review_Days)</f>
        <v>0</v>
      </c>
      <c r="I77" s="8">
        <f>IF(OR(A77="",D77=""),"",IF(F77="Freezer",H77-TODAY(),G77-TODAY()))</f>
        <v>0</v>
      </c>
      <c r="J77" s="8">
        <f>IF(A77="","",IF(P77="Yes","Binned",IF(O77="Yes","Eaten",IF(I77="","",IF(I77&lt;0,"Past its best",IF(I77&lt;=1,"Eat today",IF(I77&lt;=3,"Eat this week","Keep")))))))</f>
        <v>0</v>
      </c>
      <c r="K77" s="8">
        <f>IF(OR(A77="",E77=""),"",IFERROR(E77*IFERROR(INDEX(Recipes!$Q$5:$Q$204,MATCH(C77,Recipes!$A$5:$A$204,0)),""),""))</f>
        <v>0</v>
      </c>
      <c r="L77" s="8">
        <f>IF(OR(A77="",I77=""),"",COUNTIFS($I$5:$I$124,"&lt;"&amp;I77)+1)</f>
        <v>0</v>
      </c>
      <c r="M77" s="8">
        <f>IF(A77="","",IF(I77="","",IF(I77&lt;0,"Bin it",IF(I77&lt;=Expiry_Warning_Days,"Use it or lose it",""))))</f>
        <v>0</v>
      </c>
      <c r="N77" s="26"/>
      <c r="O77" s="27"/>
      <c r="P77" s="27"/>
      <c r="Q77" s="7"/>
      <c r="R77" s="26"/>
      <c r="S77" s="25"/>
    </row>
    <row r="78" spans="1:19">
      <c r="A78" s="7"/>
      <c r="B78" s="7"/>
      <c r="C78" s="27"/>
      <c r="D78" s="30"/>
      <c r="E78" s="26"/>
      <c r="F78" s="27"/>
      <c r="G78" s="8">
        <f>IF(OR(A78="",D78=""),"",D78+Leftover_Safe_Days)</f>
        <v>0</v>
      </c>
      <c r="H78" s="8">
        <f>IF(OR(A78="",D78=""),"",D78+Freezer_Review_Days)</f>
        <v>0</v>
      </c>
      <c r="I78" s="8">
        <f>IF(OR(A78="",D78=""),"",IF(F78="Freezer",H78-TODAY(),G78-TODAY()))</f>
        <v>0</v>
      </c>
      <c r="J78" s="8">
        <f>IF(A78="","",IF(P78="Yes","Binned",IF(O78="Yes","Eaten",IF(I78="","",IF(I78&lt;0,"Past its best",IF(I78&lt;=1,"Eat today",IF(I78&lt;=3,"Eat this week","Keep")))))))</f>
        <v>0</v>
      </c>
      <c r="K78" s="8">
        <f>IF(OR(A78="",E78=""),"",IFERROR(E78*IFERROR(INDEX(Recipes!$Q$5:$Q$204,MATCH(C78,Recipes!$A$5:$A$204,0)),""),""))</f>
        <v>0</v>
      </c>
      <c r="L78" s="8">
        <f>IF(OR(A78="",I78=""),"",COUNTIFS($I$5:$I$124,"&lt;"&amp;I78)+1)</f>
        <v>0</v>
      </c>
      <c r="M78" s="8">
        <f>IF(A78="","",IF(I78="","",IF(I78&lt;0,"Bin it",IF(I78&lt;=Expiry_Warning_Days,"Use it or lose it",""))))</f>
        <v>0</v>
      </c>
      <c r="N78" s="26"/>
      <c r="O78" s="27"/>
      <c r="P78" s="27"/>
      <c r="Q78" s="7"/>
      <c r="R78" s="26"/>
      <c r="S78" s="25"/>
    </row>
    <row r="79" spans="1:19">
      <c r="A79" s="7"/>
      <c r="B79" s="7"/>
      <c r="C79" s="27"/>
      <c r="D79" s="30"/>
      <c r="E79" s="26"/>
      <c r="F79" s="27"/>
      <c r="G79" s="8">
        <f>IF(OR(A79="",D79=""),"",D79+Leftover_Safe_Days)</f>
        <v>0</v>
      </c>
      <c r="H79" s="8">
        <f>IF(OR(A79="",D79=""),"",D79+Freezer_Review_Days)</f>
        <v>0</v>
      </c>
      <c r="I79" s="8">
        <f>IF(OR(A79="",D79=""),"",IF(F79="Freezer",H79-TODAY(),G79-TODAY()))</f>
        <v>0</v>
      </c>
      <c r="J79" s="8">
        <f>IF(A79="","",IF(P79="Yes","Binned",IF(O79="Yes","Eaten",IF(I79="","",IF(I79&lt;0,"Past its best",IF(I79&lt;=1,"Eat today",IF(I79&lt;=3,"Eat this week","Keep")))))))</f>
        <v>0</v>
      </c>
      <c r="K79" s="8">
        <f>IF(OR(A79="",E79=""),"",IFERROR(E79*IFERROR(INDEX(Recipes!$Q$5:$Q$204,MATCH(C79,Recipes!$A$5:$A$204,0)),""),""))</f>
        <v>0</v>
      </c>
      <c r="L79" s="8">
        <f>IF(OR(A79="",I79=""),"",COUNTIFS($I$5:$I$124,"&lt;"&amp;I79)+1)</f>
        <v>0</v>
      </c>
      <c r="M79" s="8">
        <f>IF(A79="","",IF(I79="","",IF(I79&lt;0,"Bin it",IF(I79&lt;=Expiry_Warning_Days,"Use it or lose it",""))))</f>
        <v>0</v>
      </c>
      <c r="N79" s="26"/>
      <c r="O79" s="27"/>
      <c r="P79" s="27"/>
      <c r="Q79" s="7"/>
      <c r="R79" s="26"/>
      <c r="S79" s="25"/>
    </row>
    <row r="80" spans="1:19">
      <c r="A80" s="7"/>
      <c r="B80" s="7"/>
      <c r="C80" s="27"/>
      <c r="D80" s="30"/>
      <c r="E80" s="26"/>
      <c r="F80" s="27"/>
      <c r="G80" s="8">
        <f>IF(OR(A80="",D80=""),"",D80+Leftover_Safe_Days)</f>
        <v>0</v>
      </c>
      <c r="H80" s="8">
        <f>IF(OR(A80="",D80=""),"",D80+Freezer_Review_Days)</f>
        <v>0</v>
      </c>
      <c r="I80" s="8">
        <f>IF(OR(A80="",D80=""),"",IF(F80="Freezer",H80-TODAY(),G80-TODAY()))</f>
        <v>0</v>
      </c>
      <c r="J80" s="8">
        <f>IF(A80="","",IF(P80="Yes","Binned",IF(O80="Yes","Eaten",IF(I80="","",IF(I80&lt;0,"Past its best",IF(I80&lt;=1,"Eat today",IF(I80&lt;=3,"Eat this week","Keep")))))))</f>
        <v>0</v>
      </c>
      <c r="K80" s="8">
        <f>IF(OR(A80="",E80=""),"",IFERROR(E80*IFERROR(INDEX(Recipes!$Q$5:$Q$204,MATCH(C80,Recipes!$A$5:$A$204,0)),""),""))</f>
        <v>0</v>
      </c>
      <c r="L80" s="8">
        <f>IF(OR(A80="",I80=""),"",COUNTIFS($I$5:$I$124,"&lt;"&amp;I80)+1)</f>
        <v>0</v>
      </c>
      <c r="M80" s="8">
        <f>IF(A80="","",IF(I80="","",IF(I80&lt;0,"Bin it",IF(I80&lt;=Expiry_Warning_Days,"Use it or lose it",""))))</f>
        <v>0</v>
      </c>
      <c r="N80" s="26"/>
      <c r="O80" s="27"/>
      <c r="P80" s="27"/>
      <c r="Q80" s="7"/>
      <c r="R80" s="26"/>
      <c r="S80" s="25"/>
    </row>
    <row r="81" spans="1:19">
      <c r="A81" s="7"/>
      <c r="B81" s="7"/>
      <c r="C81" s="27"/>
      <c r="D81" s="30"/>
      <c r="E81" s="26"/>
      <c r="F81" s="27"/>
      <c r="G81" s="8">
        <f>IF(OR(A81="",D81=""),"",D81+Leftover_Safe_Days)</f>
        <v>0</v>
      </c>
      <c r="H81" s="8">
        <f>IF(OR(A81="",D81=""),"",D81+Freezer_Review_Days)</f>
        <v>0</v>
      </c>
      <c r="I81" s="8">
        <f>IF(OR(A81="",D81=""),"",IF(F81="Freezer",H81-TODAY(),G81-TODAY()))</f>
        <v>0</v>
      </c>
      <c r="J81" s="8">
        <f>IF(A81="","",IF(P81="Yes","Binned",IF(O81="Yes","Eaten",IF(I81="","",IF(I81&lt;0,"Past its best",IF(I81&lt;=1,"Eat today",IF(I81&lt;=3,"Eat this week","Keep")))))))</f>
        <v>0</v>
      </c>
      <c r="K81" s="8">
        <f>IF(OR(A81="",E81=""),"",IFERROR(E81*IFERROR(INDEX(Recipes!$Q$5:$Q$204,MATCH(C81,Recipes!$A$5:$A$204,0)),""),""))</f>
        <v>0</v>
      </c>
      <c r="L81" s="8">
        <f>IF(OR(A81="",I81=""),"",COUNTIFS($I$5:$I$124,"&lt;"&amp;I81)+1)</f>
        <v>0</v>
      </c>
      <c r="M81" s="8">
        <f>IF(A81="","",IF(I81="","",IF(I81&lt;0,"Bin it",IF(I81&lt;=Expiry_Warning_Days,"Use it or lose it",""))))</f>
        <v>0</v>
      </c>
      <c r="N81" s="26"/>
      <c r="O81" s="27"/>
      <c r="P81" s="27"/>
      <c r="Q81" s="7"/>
      <c r="R81" s="26"/>
      <c r="S81" s="25"/>
    </row>
    <row r="82" spans="1:19">
      <c r="A82" s="7"/>
      <c r="B82" s="7"/>
      <c r="C82" s="27"/>
      <c r="D82" s="30"/>
      <c r="E82" s="26"/>
      <c r="F82" s="27"/>
      <c r="G82" s="8">
        <f>IF(OR(A82="",D82=""),"",D82+Leftover_Safe_Days)</f>
        <v>0</v>
      </c>
      <c r="H82" s="8">
        <f>IF(OR(A82="",D82=""),"",D82+Freezer_Review_Days)</f>
        <v>0</v>
      </c>
      <c r="I82" s="8">
        <f>IF(OR(A82="",D82=""),"",IF(F82="Freezer",H82-TODAY(),G82-TODAY()))</f>
        <v>0</v>
      </c>
      <c r="J82" s="8">
        <f>IF(A82="","",IF(P82="Yes","Binned",IF(O82="Yes","Eaten",IF(I82="","",IF(I82&lt;0,"Past its best",IF(I82&lt;=1,"Eat today",IF(I82&lt;=3,"Eat this week","Keep")))))))</f>
        <v>0</v>
      </c>
      <c r="K82" s="8">
        <f>IF(OR(A82="",E82=""),"",IFERROR(E82*IFERROR(INDEX(Recipes!$Q$5:$Q$204,MATCH(C82,Recipes!$A$5:$A$204,0)),""),""))</f>
        <v>0</v>
      </c>
      <c r="L82" s="8">
        <f>IF(OR(A82="",I82=""),"",COUNTIFS($I$5:$I$124,"&lt;"&amp;I82)+1)</f>
        <v>0</v>
      </c>
      <c r="M82" s="8">
        <f>IF(A82="","",IF(I82="","",IF(I82&lt;0,"Bin it",IF(I82&lt;=Expiry_Warning_Days,"Use it or lose it",""))))</f>
        <v>0</v>
      </c>
      <c r="N82" s="26"/>
      <c r="O82" s="27"/>
      <c r="P82" s="27"/>
      <c r="Q82" s="7"/>
      <c r="R82" s="26"/>
      <c r="S82" s="25"/>
    </row>
    <row r="83" spans="1:19">
      <c r="A83" s="7"/>
      <c r="B83" s="7"/>
      <c r="C83" s="27"/>
      <c r="D83" s="30"/>
      <c r="E83" s="26"/>
      <c r="F83" s="27"/>
      <c r="G83" s="8">
        <f>IF(OR(A83="",D83=""),"",D83+Leftover_Safe_Days)</f>
        <v>0</v>
      </c>
      <c r="H83" s="8">
        <f>IF(OR(A83="",D83=""),"",D83+Freezer_Review_Days)</f>
        <v>0</v>
      </c>
      <c r="I83" s="8">
        <f>IF(OR(A83="",D83=""),"",IF(F83="Freezer",H83-TODAY(),G83-TODAY()))</f>
        <v>0</v>
      </c>
      <c r="J83" s="8">
        <f>IF(A83="","",IF(P83="Yes","Binned",IF(O83="Yes","Eaten",IF(I83="","",IF(I83&lt;0,"Past its best",IF(I83&lt;=1,"Eat today",IF(I83&lt;=3,"Eat this week","Keep")))))))</f>
        <v>0</v>
      </c>
      <c r="K83" s="8">
        <f>IF(OR(A83="",E83=""),"",IFERROR(E83*IFERROR(INDEX(Recipes!$Q$5:$Q$204,MATCH(C83,Recipes!$A$5:$A$204,0)),""),""))</f>
        <v>0</v>
      </c>
      <c r="L83" s="8">
        <f>IF(OR(A83="",I83=""),"",COUNTIFS($I$5:$I$124,"&lt;"&amp;I83)+1)</f>
        <v>0</v>
      </c>
      <c r="M83" s="8">
        <f>IF(A83="","",IF(I83="","",IF(I83&lt;0,"Bin it",IF(I83&lt;=Expiry_Warning_Days,"Use it or lose it",""))))</f>
        <v>0</v>
      </c>
      <c r="N83" s="26"/>
      <c r="O83" s="27"/>
      <c r="P83" s="27"/>
      <c r="Q83" s="7"/>
      <c r="R83" s="26"/>
      <c r="S83" s="25"/>
    </row>
    <row r="84" spans="1:19">
      <c r="A84" s="7"/>
      <c r="B84" s="7"/>
      <c r="C84" s="27"/>
      <c r="D84" s="30"/>
      <c r="E84" s="26"/>
      <c r="F84" s="27"/>
      <c r="G84" s="8">
        <f>IF(OR(A84="",D84=""),"",D84+Leftover_Safe_Days)</f>
        <v>0</v>
      </c>
      <c r="H84" s="8">
        <f>IF(OR(A84="",D84=""),"",D84+Freezer_Review_Days)</f>
        <v>0</v>
      </c>
      <c r="I84" s="8">
        <f>IF(OR(A84="",D84=""),"",IF(F84="Freezer",H84-TODAY(),G84-TODAY()))</f>
        <v>0</v>
      </c>
      <c r="J84" s="8">
        <f>IF(A84="","",IF(P84="Yes","Binned",IF(O84="Yes","Eaten",IF(I84="","",IF(I84&lt;0,"Past its best",IF(I84&lt;=1,"Eat today",IF(I84&lt;=3,"Eat this week","Keep")))))))</f>
        <v>0</v>
      </c>
      <c r="K84" s="8">
        <f>IF(OR(A84="",E84=""),"",IFERROR(E84*IFERROR(INDEX(Recipes!$Q$5:$Q$204,MATCH(C84,Recipes!$A$5:$A$204,0)),""),""))</f>
        <v>0</v>
      </c>
      <c r="L84" s="8">
        <f>IF(OR(A84="",I84=""),"",COUNTIFS($I$5:$I$124,"&lt;"&amp;I84)+1)</f>
        <v>0</v>
      </c>
      <c r="M84" s="8">
        <f>IF(A84="","",IF(I84="","",IF(I84&lt;0,"Bin it",IF(I84&lt;=Expiry_Warning_Days,"Use it or lose it",""))))</f>
        <v>0</v>
      </c>
      <c r="N84" s="26"/>
      <c r="O84" s="27"/>
      <c r="P84" s="27"/>
      <c r="Q84" s="7"/>
      <c r="R84" s="26"/>
      <c r="S84" s="25"/>
    </row>
    <row r="85" spans="1:19">
      <c r="A85" s="7"/>
      <c r="B85" s="7"/>
      <c r="C85" s="27"/>
      <c r="D85" s="30"/>
      <c r="E85" s="26"/>
      <c r="F85" s="27"/>
      <c r="G85" s="8">
        <f>IF(OR(A85="",D85=""),"",D85+Leftover_Safe_Days)</f>
        <v>0</v>
      </c>
      <c r="H85" s="8">
        <f>IF(OR(A85="",D85=""),"",D85+Freezer_Review_Days)</f>
        <v>0</v>
      </c>
      <c r="I85" s="8">
        <f>IF(OR(A85="",D85=""),"",IF(F85="Freezer",H85-TODAY(),G85-TODAY()))</f>
        <v>0</v>
      </c>
      <c r="J85" s="8">
        <f>IF(A85="","",IF(P85="Yes","Binned",IF(O85="Yes","Eaten",IF(I85="","",IF(I85&lt;0,"Past its best",IF(I85&lt;=1,"Eat today",IF(I85&lt;=3,"Eat this week","Keep")))))))</f>
        <v>0</v>
      </c>
      <c r="K85" s="8">
        <f>IF(OR(A85="",E85=""),"",IFERROR(E85*IFERROR(INDEX(Recipes!$Q$5:$Q$204,MATCH(C85,Recipes!$A$5:$A$204,0)),""),""))</f>
        <v>0</v>
      </c>
      <c r="L85" s="8">
        <f>IF(OR(A85="",I85=""),"",COUNTIFS($I$5:$I$124,"&lt;"&amp;I85)+1)</f>
        <v>0</v>
      </c>
      <c r="M85" s="8">
        <f>IF(A85="","",IF(I85="","",IF(I85&lt;0,"Bin it",IF(I85&lt;=Expiry_Warning_Days,"Use it or lose it",""))))</f>
        <v>0</v>
      </c>
      <c r="N85" s="26"/>
      <c r="O85" s="27"/>
      <c r="P85" s="27"/>
      <c r="Q85" s="7"/>
      <c r="R85" s="26"/>
      <c r="S85" s="25"/>
    </row>
    <row r="86" spans="1:19">
      <c r="A86" s="7"/>
      <c r="B86" s="7"/>
      <c r="C86" s="27"/>
      <c r="D86" s="30"/>
      <c r="E86" s="26"/>
      <c r="F86" s="27"/>
      <c r="G86" s="8">
        <f>IF(OR(A86="",D86=""),"",D86+Leftover_Safe_Days)</f>
        <v>0</v>
      </c>
      <c r="H86" s="8">
        <f>IF(OR(A86="",D86=""),"",D86+Freezer_Review_Days)</f>
        <v>0</v>
      </c>
      <c r="I86" s="8">
        <f>IF(OR(A86="",D86=""),"",IF(F86="Freezer",H86-TODAY(),G86-TODAY()))</f>
        <v>0</v>
      </c>
      <c r="J86" s="8">
        <f>IF(A86="","",IF(P86="Yes","Binned",IF(O86="Yes","Eaten",IF(I86="","",IF(I86&lt;0,"Past its best",IF(I86&lt;=1,"Eat today",IF(I86&lt;=3,"Eat this week","Keep")))))))</f>
        <v>0</v>
      </c>
      <c r="K86" s="8">
        <f>IF(OR(A86="",E86=""),"",IFERROR(E86*IFERROR(INDEX(Recipes!$Q$5:$Q$204,MATCH(C86,Recipes!$A$5:$A$204,0)),""),""))</f>
        <v>0</v>
      </c>
      <c r="L86" s="8">
        <f>IF(OR(A86="",I86=""),"",COUNTIFS($I$5:$I$124,"&lt;"&amp;I86)+1)</f>
        <v>0</v>
      </c>
      <c r="M86" s="8">
        <f>IF(A86="","",IF(I86="","",IF(I86&lt;0,"Bin it",IF(I86&lt;=Expiry_Warning_Days,"Use it or lose it",""))))</f>
        <v>0</v>
      </c>
      <c r="N86" s="26"/>
      <c r="O86" s="27"/>
      <c r="P86" s="27"/>
      <c r="Q86" s="7"/>
      <c r="R86" s="26"/>
      <c r="S86" s="25"/>
    </row>
    <row r="87" spans="1:19">
      <c r="A87" s="7"/>
      <c r="B87" s="7"/>
      <c r="C87" s="27"/>
      <c r="D87" s="30"/>
      <c r="E87" s="26"/>
      <c r="F87" s="27"/>
      <c r="G87" s="8">
        <f>IF(OR(A87="",D87=""),"",D87+Leftover_Safe_Days)</f>
        <v>0</v>
      </c>
      <c r="H87" s="8">
        <f>IF(OR(A87="",D87=""),"",D87+Freezer_Review_Days)</f>
        <v>0</v>
      </c>
      <c r="I87" s="8">
        <f>IF(OR(A87="",D87=""),"",IF(F87="Freezer",H87-TODAY(),G87-TODAY()))</f>
        <v>0</v>
      </c>
      <c r="J87" s="8">
        <f>IF(A87="","",IF(P87="Yes","Binned",IF(O87="Yes","Eaten",IF(I87="","",IF(I87&lt;0,"Past its best",IF(I87&lt;=1,"Eat today",IF(I87&lt;=3,"Eat this week","Keep")))))))</f>
        <v>0</v>
      </c>
      <c r="K87" s="8">
        <f>IF(OR(A87="",E87=""),"",IFERROR(E87*IFERROR(INDEX(Recipes!$Q$5:$Q$204,MATCH(C87,Recipes!$A$5:$A$204,0)),""),""))</f>
        <v>0</v>
      </c>
      <c r="L87" s="8">
        <f>IF(OR(A87="",I87=""),"",COUNTIFS($I$5:$I$124,"&lt;"&amp;I87)+1)</f>
        <v>0</v>
      </c>
      <c r="M87" s="8">
        <f>IF(A87="","",IF(I87="","",IF(I87&lt;0,"Bin it",IF(I87&lt;=Expiry_Warning_Days,"Use it or lose it",""))))</f>
        <v>0</v>
      </c>
      <c r="N87" s="26"/>
      <c r="O87" s="27"/>
      <c r="P87" s="27"/>
      <c r="Q87" s="7"/>
      <c r="R87" s="26"/>
      <c r="S87" s="25"/>
    </row>
    <row r="88" spans="1:19">
      <c r="A88" s="7"/>
      <c r="B88" s="7"/>
      <c r="C88" s="27"/>
      <c r="D88" s="30"/>
      <c r="E88" s="26"/>
      <c r="F88" s="27"/>
      <c r="G88" s="8">
        <f>IF(OR(A88="",D88=""),"",D88+Leftover_Safe_Days)</f>
        <v>0</v>
      </c>
      <c r="H88" s="8">
        <f>IF(OR(A88="",D88=""),"",D88+Freezer_Review_Days)</f>
        <v>0</v>
      </c>
      <c r="I88" s="8">
        <f>IF(OR(A88="",D88=""),"",IF(F88="Freezer",H88-TODAY(),G88-TODAY()))</f>
        <v>0</v>
      </c>
      <c r="J88" s="8">
        <f>IF(A88="","",IF(P88="Yes","Binned",IF(O88="Yes","Eaten",IF(I88="","",IF(I88&lt;0,"Past its best",IF(I88&lt;=1,"Eat today",IF(I88&lt;=3,"Eat this week","Keep")))))))</f>
        <v>0</v>
      </c>
      <c r="K88" s="8">
        <f>IF(OR(A88="",E88=""),"",IFERROR(E88*IFERROR(INDEX(Recipes!$Q$5:$Q$204,MATCH(C88,Recipes!$A$5:$A$204,0)),""),""))</f>
        <v>0</v>
      </c>
      <c r="L88" s="8">
        <f>IF(OR(A88="",I88=""),"",COUNTIFS($I$5:$I$124,"&lt;"&amp;I88)+1)</f>
        <v>0</v>
      </c>
      <c r="M88" s="8">
        <f>IF(A88="","",IF(I88="","",IF(I88&lt;0,"Bin it",IF(I88&lt;=Expiry_Warning_Days,"Use it or lose it",""))))</f>
        <v>0</v>
      </c>
      <c r="N88" s="26"/>
      <c r="O88" s="27"/>
      <c r="P88" s="27"/>
      <c r="Q88" s="7"/>
      <c r="R88" s="26"/>
      <c r="S88" s="25"/>
    </row>
    <row r="89" spans="1:19">
      <c r="A89" s="7"/>
      <c r="B89" s="7"/>
      <c r="C89" s="27"/>
      <c r="D89" s="30"/>
      <c r="E89" s="26"/>
      <c r="F89" s="27"/>
      <c r="G89" s="8">
        <f>IF(OR(A89="",D89=""),"",D89+Leftover_Safe_Days)</f>
        <v>0</v>
      </c>
      <c r="H89" s="8">
        <f>IF(OR(A89="",D89=""),"",D89+Freezer_Review_Days)</f>
        <v>0</v>
      </c>
      <c r="I89" s="8">
        <f>IF(OR(A89="",D89=""),"",IF(F89="Freezer",H89-TODAY(),G89-TODAY()))</f>
        <v>0</v>
      </c>
      <c r="J89" s="8">
        <f>IF(A89="","",IF(P89="Yes","Binned",IF(O89="Yes","Eaten",IF(I89="","",IF(I89&lt;0,"Past its best",IF(I89&lt;=1,"Eat today",IF(I89&lt;=3,"Eat this week","Keep")))))))</f>
        <v>0</v>
      </c>
      <c r="K89" s="8">
        <f>IF(OR(A89="",E89=""),"",IFERROR(E89*IFERROR(INDEX(Recipes!$Q$5:$Q$204,MATCH(C89,Recipes!$A$5:$A$204,0)),""),""))</f>
        <v>0</v>
      </c>
      <c r="L89" s="8">
        <f>IF(OR(A89="",I89=""),"",COUNTIFS($I$5:$I$124,"&lt;"&amp;I89)+1)</f>
        <v>0</v>
      </c>
      <c r="M89" s="8">
        <f>IF(A89="","",IF(I89="","",IF(I89&lt;0,"Bin it",IF(I89&lt;=Expiry_Warning_Days,"Use it or lose it",""))))</f>
        <v>0</v>
      </c>
      <c r="N89" s="26"/>
      <c r="O89" s="27"/>
      <c r="P89" s="27"/>
      <c r="Q89" s="7"/>
      <c r="R89" s="26"/>
      <c r="S89" s="25"/>
    </row>
    <row r="90" spans="1:19">
      <c r="A90" s="7"/>
      <c r="B90" s="7"/>
      <c r="C90" s="27"/>
      <c r="D90" s="30"/>
      <c r="E90" s="26"/>
      <c r="F90" s="27"/>
      <c r="G90" s="8">
        <f>IF(OR(A90="",D90=""),"",D90+Leftover_Safe_Days)</f>
        <v>0</v>
      </c>
      <c r="H90" s="8">
        <f>IF(OR(A90="",D90=""),"",D90+Freezer_Review_Days)</f>
        <v>0</v>
      </c>
      <c r="I90" s="8">
        <f>IF(OR(A90="",D90=""),"",IF(F90="Freezer",H90-TODAY(),G90-TODAY()))</f>
        <v>0</v>
      </c>
      <c r="J90" s="8">
        <f>IF(A90="","",IF(P90="Yes","Binned",IF(O90="Yes","Eaten",IF(I90="","",IF(I90&lt;0,"Past its best",IF(I90&lt;=1,"Eat today",IF(I90&lt;=3,"Eat this week","Keep")))))))</f>
        <v>0</v>
      </c>
      <c r="K90" s="8">
        <f>IF(OR(A90="",E90=""),"",IFERROR(E90*IFERROR(INDEX(Recipes!$Q$5:$Q$204,MATCH(C90,Recipes!$A$5:$A$204,0)),""),""))</f>
        <v>0</v>
      </c>
      <c r="L90" s="8">
        <f>IF(OR(A90="",I90=""),"",COUNTIFS($I$5:$I$124,"&lt;"&amp;I90)+1)</f>
        <v>0</v>
      </c>
      <c r="M90" s="8">
        <f>IF(A90="","",IF(I90="","",IF(I90&lt;0,"Bin it",IF(I90&lt;=Expiry_Warning_Days,"Use it or lose it",""))))</f>
        <v>0</v>
      </c>
      <c r="N90" s="26"/>
      <c r="O90" s="27"/>
      <c r="P90" s="27"/>
      <c r="Q90" s="7"/>
      <c r="R90" s="26"/>
      <c r="S90" s="25"/>
    </row>
    <row r="91" spans="1:19">
      <c r="A91" s="7"/>
      <c r="B91" s="7"/>
      <c r="C91" s="27"/>
      <c r="D91" s="30"/>
      <c r="E91" s="26"/>
      <c r="F91" s="27"/>
      <c r="G91" s="8">
        <f>IF(OR(A91="",D91=""),"",D91+Leftover_Safe_Days)</f>
        <v>0</v>
      </c>
      <c r="H91" s="8">
        <f>IF(OR(A91="",D91=""),"",D91+Freezer_Review_Days)</f>
        <v>0</v>
      </c>
      <c r="I91" s="8">
        <f>IF(OR(A91="",D91=""),"",IF(F91="Freezer",H91-TODAY(),G91-TODAY()))</f>
        <v>0</v>
      </c>
      <c r="J91" s="8">
        <f>IF(A91="","",IF(P91="Yes","Binned",IF(O91="Yes","Eaten",IF(I91="","",IF(I91&lt;0,"Past its best",IF(I91&lt;=1,"Eat today",IF(I91&lt;=3,"Eat this week","Keep")))))))</f>
        <v>0</v>
      </c>
      <c r="K91" s="8">
        <f>IF(OR(A91="",E91=""),"",IFERROR(E91*IFERROR(INDEX(Recipes!$Q$5:$Q$204,MATCH(C91,Recipes!$A$5:$A$204,0)),""),""))</f>
        <v>0</v>
      </c>
      <c r="L91" s="8">
        <f>IF(OR(A91="",I91=""),"",COUNTIFS($I$5:$I$124,"&lt;"&amp;I91)+1)</f>
        <v>0</v>
      </c>
      <c r="M91" s="8">
        <f>IF(A91="","",IF(I91="","",IF(I91&lt;0,"Bin it",IF(I91&lt;=Expiry_Warning_Days,"Use it or lose it",""))))</f>
        <v>0</v>
      </c>
      <c r="N91" s="26"/>
      <c r="O91" s="27"/>
      <c r="P91" s="27"/>
      <c r="Q91" s="7"/>
      <c r="R91" s="26"/>
      <c r="S91" s="25"/>
    </row>
    <row r="92" spans="1:19">
      <c r="A92" s="7"/>
      <c r="B92" s="7"/>
      <c r="C92" s="27"/>
      <c r="D92" s="30"/>
      <c r="E92" s="26"/>
      <c r="F92" s="27"/>
      <c r="G92" s="8">
        <f>IF(OR(A92="",D92=""),"",D92+Leftover_Safe_Days)</f>
        <v>0</v>
      </c>
      <c r="H92" s="8">
        <f>IF(OR(A92="",D92=""),"",D92+Freezer_Review_Days)</f>
        <v>0</v>
      </c>
      <c r="I92" s="8">
        <f>IF(OR(A92="",D92=""),"",IF(F92="Freezer",H92-TODAY(),G92-TODAY()))</f>
        <v>0</v>
      </c>
      <c r="J92" s="8">
        <f>IF(A92="","",IF(P92="Yes","Binned",IF(O92="Yes","Eaten",IF(I92="","",IF(I92&lt;0,"Past its best",IF(I92&lt;=1,"Eat today",IF(I92&lt;=3,"Eat this week","Keep")))))))</f>
        <v>0</v>
      </c>
      <c r="K92" s="8">
        <f>IF(OR(A92="",E92=""),"",IFERROR(E92*IFERROR(INDEX(Recipes!$Q$5:$Q$204,MATCH(C92,Recipes!$A$5:$A$204,0)),""),""))</f>
        <v>0</v>
      </c>
      <c r="L92" s="8">
        <f>IF(OR(A92="",I92=""),"",COUNTIFS($I$5:$I$124,"&lt;"&amp;I92)+1)</f>
        <v>0</v>
      </c>
      <c r="M92" s="8">
        <f>IF(A92="","",IF(I92="","",IF(I92&lt;0,"Bin it",IF(I92&lt;=Expiry_Warning_Days,"Use it or lose it",""))))</f>
        <v>0</v>
      </c>
      <c r="N92" s="26"/>
      <c r="O92" s="27"/>
      <c r="P92" s="27"/>
      <c r="Q92" s="7"/>
      <c r="R92" s="26"/>
      <c r="S92" s="25"/>
    </row>
    <row r="93" spans="1:19">
      <c r="A93" s="7"/>
      <c r="B93" s="7"/>
      <c r="C93" s="27"/>
      <c r="D93" s="30"/>
      <c r="E93" s="26"/>
      <c r="F93" s="27"/>
      <c r="G93" s="8">
        <f>IF(OR(A93="",D93=""),"",D93+Leftover_Safe_Days)</f>
        <v>0</v>
      </c>
      <c r="H93" s="8">
        <f>IF(OR(A93="",D93=""),"",D93+Freezer_Review_Days)</f>
        <v>0</v>
      </c>
      <c r="I93" s="8">
        <f>IF(OR(A93="",D93=""),"",IF(F93="Freezer",H93-TODAY(),G93-TODAY()))</f>
        <v>0</v>
      </c>
      <c r="J93" s="8">
        <f>IF(A93="","",IF(P93="Yes","Binned",IF(O93="Yes","Eaten",IF(I93="","",IF(I93&lt;0,"Past its best",IF(I93&lt;=1,"Eat today",IF(I93&lt;=3,"Eat this week","Keep")))))))</f>
        <v>0</v>
      </c>
      <c r="K93" s="8">
        <f>IF(OR(A93="",E93=""),"",IFERROR(E93*IFERROR(INDEX(Recipes!$Q$5:$Q$204,MATCH(C93,Recipes!$A$5:$A$204,0)),""),""))</f>
        <v>0</v>
      </c>
      <c r="L93" s="8">
        <f>IF(OR(A93="",I93=""),"",COUNTIFS($I$5:$I$124,"&lt;"&amp;I93)+1)</f>
        <v>0</v>
      </c>
      <c r="M93" s="8">
        <f>IF(A93="","",IF(I93="","",IF(I93&lt;0,"Bin it",IF(I93&lt;=Expiry_Warning_Days,"Use it or lose it",""))))</f>
        <v>0</v>
      </c>
      <c r="N93" s="26"/>
      <c r="O93" s="27"/>
      <c r="P93" s="27"/>
      <c r="Q93" s="7"/>
      <c r="R93" s="26"/>
      <c r="S93" s="25"/>
    </row>
    <row r="94" spans="1:19">
      <c r="A94" s="7"/>
      <c r="B94" s="7"/>
      <c r="C94" s="27"/>
      <c r="D94" s="30"/>
      <c r="E94" s="26"/>
      <c r="F94" s="27"/>
      <c r="G94" s="8">
        <f>IF(OR(A94="",D94=""),"",D94+Leftover_Safe_Days)</f>
        <v>0</v>
      </c>
      <c r="H94" s="8">
        <f>IF(OR(A94="",D94=""),"",D94+Freezer_Review_Days)</f>
        <v>0</v>
      </c>
      <c r="I94" s="8">
        <f>IF(OR(A94="",D94=""),"",IF(F94="Freezer",H94-TODAY(),G94-TODAY()))</f>
        <v>0</v>
      </c>
      <c r="J94" s="8">
        <f>IF(A94="","",IF(P94="Yes","Binned",IF(O94="Yes","Eaten",IF(I94="","",IF(I94&lt;0,"Past its best",IF(I94&lt;=1,"Eat today",IF(I94&lt;=3,"Eat this week","Keep")))))))</f>
        <v>0</v>
      </c>
      <c r="K94" s="8">
        <f>IF(OR(A94="",E94=""),"",IFERROR(E94*IFERROR(INDEX(Recipes!$Q$5:$Q$204,MATCH(C94,Recipes!$A$5:$A$204,0)),""),""))</f>
        <v>0</v>
      </c>
      <c r="L94" s="8">
        <f>IF(OR(A94="",I94=""),"",COUNTIFS($I$5:$I$124,"&lt;"&amp;I94)+1)</f>
        <v>0</v>
      </c>
      <c r="M94" s="8">
        <f>IF(A94="","",IF(I94="","",IF(I94&lt;0,"Bin it",IF(I94&lt;=Expiry_Warning_Days,"Use it or lose it",""))))</f>
        <v>0</v>
      </c>
      <c r="N94" s="26"/>
      <c r="O94" s="27"/>
      <c r="P94" s="27"/>
      <c r="Q94" s="7"/>
      <c r="R94" s="26"/>
      <c r="S94" s="25"/>
    </row>
    <row r="95" spans="1:19">
      <c r="A95" s="7"/>
      <c r="B95" s="7"/>
      <c r="C95" s="27"/>
      <c r="D95" s="30"/>
      <c r="E95" s="26"/>
      <c r="F95" s="27"/>
      <c r="G95" s="8">
        <f>IF(OR(A95="",D95=""),"",D95+Leftover_Safe_Days)</f>
        <v>0</v>
      </c>
      <c r="H95" s="8">
        <f>IF(OR(A95="",D95=""),"",D95+Freezer_Review_Days)</f>
        <v>0</v>
      </c>
      <c r="I95" s="8">
        <f>IF(OR(A95="",D95=""),"",IF(F95="Freezer",H95-TODAY(),G95-TODAY()))</f>
        <v>0</v>
      </c>
      <c r="J95" s="8">
        <f>IF(A95="","",IF(P95="Yes","Binned",IF(O95="Yes","Eaten",IF(I95="","",IF(I95&lt;0,"Past its best",IF(I95&lt;=1,"Eat today",IF(I95&lt;=3,"Eat this week","Keep")))))))</f>
        <v>0</v>
      </c>
      <c r="K95" s="8">
        <f>IF(OR(A95="",E95=""),"",IFERROR(E95*IFERROR(INDEX(Recipes!$Q$5:$Q$204,MATCH(C95,Recipes!$A$5:$A$204,0)),""),""))</f>
        <v>0</v>
      </c>
      <c r="L95" s="8">
        <f>IF(OR(A95="",I95=""),"",COUNTIFS($I$5:$I$124,"&lt;"&amp;I95)+1)</f>
        <v>0</v>
      </c>
      <c r="M95" s="8">
        <f>IF(A95="","",IF(I95="","",IF(I95&lt;0,"Bin it",IF(I95&lt;=Expiry_Warning_Days,"Use it or lose it",""))))</f>
        <v>0</v>
      </c>
      <c r="N95" s="26"/>
      <c r="O95" s="27"/>
      <c r="P95" s="27"/>
      <c r="Q95" s="7"/>
      <c r="R95" s="26"/>
      <c r="S95" s="25"/>
    </row>
    <row r="96" spans="1:19">
      <c r="A96" s="7"/>
      <c r="B96" s="7"/>
      <c r="C96" s="27"/>
      <c r="D96" s="30"/>
      <c r="E96" s="26"/>
      <c r="F96" s="27"/>
      <c r="G96" s="8">
        <f>IF(OR(A96="",D96=""),"",D96+Leftover_Safe_Days)</f>
        <v>0</v>
      </c>
      <c r="H96" s="8">
        <f>IF(OR(A96="",D96=""),"",D96+Freezer_Review_Days)</f>
        <v>0</v>
      </c>
      <c r="I96" s="8">
        <f>IF(OR(A96="",D96=""),"",IF(F96="Freezer",H96-TODAY(),G96-TODAY()))</f>
        <v>0</v>
      </c>
      <c r="J96" s="8">
        <f>IF(A96="","",IF(P96="Yes","Binned",IF(O96="Yes","Eaten",IF(I96="","",IF(I96&lt;0,"Past its best",IF(I96&lt;=1,"Eat today",IF(I96&lt;=3,"Eat this week","Keep")))))))</f>
        <v>0</v>
      </c>
      <c r="K96" s="8">
        <f>IF(OR(A96="",E96=""),"",IFERROR(E96*IFERROR(INDEX(Recipes!$Q$5:$Q$204,MATCH(C96,Recipes!$A$5:$A$204,0)),""),""))</f>
        <v>0</v>
      </c>
      <c r="L96" s="8">
        <f>IF(OR(A96="",I96=""),"",COUNTIFS($I$5:$I$124,"&lt;"&amp;I96)+1)</f>
        <v>0</v>
      </c>
      <c r="M96" s="8">
        <f>IF(A96="","",IF(I96="","",IF(I96&lt;0,"Bin it",IF(I96&lt;=Expiry_Warning_Days,"Use it or lose it",""))))</f>
        <v>0</v>
      </c>
      <c r="N96" s="26"/>
      <c r="O96" s="27"/>
      <c r="P96" s="27"/>
      <c r="Q96" s="7"/>
      <c r="R96" s="26"/>
      <c r="S96" s="25"/>
    </row>
    <row r="97" spans="1:19">
      <c r="A97" s="7"/>
      <c r="B97" s="7"/>
      <c r="C97" s="27"/>
      <c r="D97" s="30"/>
      <c r="E97" s="26"/>
      <c r="F97" s="27"/>
      <c r="G97" s="8">
        <f>IF(OR(A97="",D97=""),"",D97+Leftover_Safe_Days)</f>
        <v>0</v>
      </c>
      <c r="H97" s="8">
        <f>IF(OR(A97="",D97=""),"",D97+Freezer_Review_Days)</f>
        <v>0</v>
      </c>
      <c r="I97" s="8">
        <f>IF(OR(A97="",D97=""),"",IF(F97="Freezer",H97-TODAY(),G97-TODAY()))</f>
        <v>0</v>
      </c>
      <c r="J97" s="8">
        <f>IF(A97="","",IF(P97="Yes","Binned",IF(O97="Yes","Eaten",IF(I97="","",IF(I97&lt;0,"Past its best",IF(I97&lt;=1,"Eat today",IF(I97&lt;=3,"Eat this week","Keep")))))))</f>
        <v>0</v>
      </c>
      <c r="K97" s="8">
        <f>IF(OR(A97="",E97=""),"",IFERROR(E97*IFERROR(INDEX(Recipes!$Q$5:$Q$204,MATCH(C97,Recipes!$A$5:$A$204,0)),""),""))</f>
        <v>0</v>
      </c>
      <c r="L97" s="8">
        <f>IF(OR(A97="",I97=""),"",COUNTIFS($I$5:$I$124,"&lt;"&amp;I97)+1)</f>
        <v>0</v>
      </c>
      <c r="M97" s="8">
        <f>IF(A97="","",IF(I97="","",IF(I97&lt;0,"Bin it",IF(I97&lt;=Expiry_Warning_Days,"Use it or lose it",""))))</f>
        <v>0</v>
      </c>
      <c r="N97" s="26"/>
      <c r="O97" s="27"/>
      <c r="P97" s="27"/>
      <c r="Q97" s="7"/>
      <c r="R97" s="26"/>
      <c r="S97" s="25"/>
    </row>
    <row r="98" spans="1:19">
      <c r="A98" s="7"/>
      <c r="B98" s="7"/>
      <c r="C98" s="27"/>
      <c r="D98" s="30"/>
      <c r="E98" s="26"/>
      <c r="F98" s="27"/>
      <c r="G98" s="8">
        <f>IF(OR(A98="",D98=""),"",D98+Leftover_Safe_Days)</f>
        <v>0</v>
      </c>
      <c r="H98" s="8">
        <f>IF(OR(A98="",D98=""),"",D98+Freezer_Review_Days)</f>
        <v>0</v>
      </c>
      <c r="I98" s="8">
        <f>IF(OR(A98="",D98=""),"",IF(F98="Freezer",H98-TODAY(),G98-TODAY()))</f>
        <v>0</v>
      </c>
      <c r="J98" s="8">
        <f>IF(A98="","",IF(P98="Yes","Binned",IF(O98="Yes","Eaten",IF(I98="","",IF(I98&lt;0,"Past its best",IF(I98&lt;=1,"Eat today",IF(I98&lt;=3,"Eat this week","Keep")))))))</f>
        <v>0</v>
      </c>
      <c r="K98" s="8">
        <f>IF(OR(A98="",E98=""),"",IFERROR(E98*IFERROR(INDEX(Recipes!$Q$5:$Q$204,MATCH(C98,Recipes!$A$5:$A$204,0)),""),""))</f>
        <v>0</v>
      </c>
      <c r="L98" s="8">
        <f>IF(OR(A98="",I98=""),"",COUNTIFS($I$5:$I$124,"&lt;"&amp;I98)+1)</f>
        <v>0</v>
      </c>
      <c r="M98" s="8">
        <f>IF(A98="","",IF(I98="","",IF(I98&lt;0,"Bin it",IF(I98&lt;=Expiry_Warning_Days,"Use it or lose it",""))))</f>
        <v>0</v>
      </c>
      <c r="N98" s="26"/>
      <c r="O98" s="27"/>
      <c r="P98" s="27"/>
      <c r="Q98" s="7"/>
      <c r="R98" s="26"/>
      <c r="S98" s="25"/>
    </row>
    <row r="99" spans="1:19">
      <c r="A99" s="7"/>
      <c r="B99" s="7"/>
      <c r="C99" s="27"/>
      <c r="D99" s="30"/>
      <c r="E99" s="26"/>
      <c r="F99" s="27"/>
      <c r="G99" s="8">
        <f>IF(OR(A99="",D99=""),"",D99+Leftover_Safe_Days)</f>
        <v>0</v>
      </c>
      <c r="H99" s="8">
        <f>IF(OR(A99="",D99=""),"",D99+Freezer_Review_Days)</f>
        <v>0</v>
      </c>
      <c r="I99" s="8">
        <f>IF(OR(A99="",D99=""),"",IF(F99="Freezer",H99-TODAY(),G99-TODAY()))</f>
        <v>0</v>
      </c>
      <c r="J99" s="8">
        <f>IF(A99="","",IF(P99="Yes","Binned",IF(O99="Yes","Eaten",IF(I99="","",IF(I99&lt;0,"Past its best",IF(I99&lt;=1,"Eat today",IF(I99&lt;=3,"Eat this week","Keep")))))))</f>
        <v>0</v>
      </c>
      <c r="K99" s="8">
        <f>IF(OR(A99="",E99=""),"",IFERROR(E99*IFERROR(INDEX(Recipes!$Q$5:$Q$204,MATCH(C99,Recipes!$A$5:$A$204,0)),""),""))</f>
        <v>0</v>
      </c>
      <c r="L99" s="8">
        <f>IF(OR(A99="",I99=""),"",COUNTIFS($I$5:$I$124,"&lt;"&amp;I99)+1)</f>
        <v>0</v>
      </c>
      <c r="M99" s="8">
        <f>IF(A99="","",IF(I99="","",IF(I99&lt;0,"Bin it",IF(I99&lt;=Expiry_Warning_Days,"Use it or lose it",""))))</f>
        <v>0</v>
      </c>
      <c r="N99" s="26"/>
      <c r="O99" s="27"/>
      <c r="P99" s="27"/>
      <c r="Q99" s="7"/>
      <c r="R99" s="26"/>
      <c r="S99" s="25"/>
    </row>
    <row r="100" spans="1:19">
      <c r="A100" s="7"/>
      <c r="B100" s="7"/>
      <c r="C100" s="27"/>
      <c r="D100" s="30"/>
      <c r="E100" s="26"/>
      <c r="F100" s="27"/>
      <c r="G100" s="8">
        <f>IF(OR(A100="",D100=""),"",D100+Leftover_Safe_Days)</f>
        <v>0</v>
      </c>
      <c r="H100" s="8">
        <f>IF(OR(A100="",D100=""),"",D100+Freezer_Review_Days)</f>
        <v>0</v>
      </c>
      <c r="I100" s="8">
        <f>IF(OR(A100="",D100=""),"",IF(F100="Freezer",H100-TODAY(),G100-TODAY()))</f>
        <v>0</v>
      </c>
      <c r="J100" s="8">
        <f>IF(A100="","",IF(P100="Yes","Binned",IF(O100="Yes","Eaten",IF(I100="","",IF(I100&lt;0,"Past its best",IF(I100&lt;=1,"Eat today",IF(I100&lt;=3,"Eat this week","Keep")))))))</f>
        <v>0</v>
      </c>
      <c r="K100" s="8">
        <f>IF(OR(A100="",E100=""),"",IFERROR(E100*IFERROR(INDEX(Recipes!$Q$5:$Q$204,MATCH(C100,Recipes!$A$5:$A$204,0)),""),""))</f>
        <v>0</v>
      </c>
      <c r="L100" s="8">
        <f>IF(OR(A100="",I100=""),"",COUNTIFS($I$5:$I$124,"&lt;"&amp;I100)+1)</f>
        <v>0</v>
      </c>
      <c r="M100" s="8">
        <f>IF(A100="","",IF(I100="","",IF(I100&lt;0,"Bin it",IF(I100&lt;=Expiry_Warning_Days,"Use it or lose it",""))))</f>
        <v>0</v>
      </c>
      <c r="N100" s="26"/>
      <c r="O100" s="27"/>
      <c r="P100" s="27"/>
      <c r="Q100" s="7"/>
      <c r="R100" s="26"/>
      <c r="S100" s="25"/>
    </row>
    <row r="101" spans="1:19">
      <c r="A101" s="7"/>
      <c r="B101" s="7"/>
      <c r="C101" s="27"/>
      <c r="D101" s="30"/>
      <c r="E101" s="26"/>
      <c r="F101" s="27"/>
      <c r="G101" s="8">
        <f>IF(OR(A101="",D101=""),"",D101+Leftover_Safe_Days)</f>
        <v>0</v>
      </c>
      <c r="H101" s="8">
        <f>IF(OR(A101="",D101=""),"",D101+Freezer_Review_Days)</f>
        <v>0</v>
      </c>
      <c r="I101" s="8">
        <f>IF(OR(A101="",D101=""),"",IF(F101="Freezer",H101-TODAY(),G101-TODAY()))</f>
        <v>0</v>
      </c>
      <c r="J101" s="8">
        <f>IF(A101="","",IF(P101="Yes","Binned",IF(O101="Yes","Eaten",IF(I101="","",IF(I101&lt;0,"Past its best",IF(I101&lt;=1,"Eat today",IF(I101&lt;=3,"Eat this week","Keep")))))))</f>
        <v>0</v>
      </c>
      <c r="K101" s="8">
        <f>IF(OR(A101="",E101=""),"",IFERROR(E101*IFERROR(INDEX(Recipes!$Q$5:$Q$204,MATCH(C101,Recipes!$A$5:$A$204,0)),""),""))</f>
        <v>0</v>
      </c>
      <c r="L101" s="8">
        <f>IF(OR(A101="",I101=""),"",COUNTIFS($I$5:$I$124,"&lt;"&amp;I101)+1)</f>
        <v>0</v>
      </c>
      <c r="M101" s="8">
        <f>IF(A101="","",IF(I101="","",IF(I101&lt;0,"Bin it",IF(I101&lt;=Expiry_Warning_Days,"Use it or lose it",""))))</f>
        <v>0</v>
      </c>
      <c r="N101" s="26"/>
      <c r="O101" s="27"/>
      <c r="P101" s="27"/>
      <c r="Q101" s="7"/>
      <c r="R101" s="26"/>
      <c r="S101" s="25"/>
    </row>
    <row r="102" spans="1:19">
      <c r="A102" s="7"/>
      <c r="B102" s="7"/>
      <c r="C102" s="27"/>
      <c r="D102" s="30"/>
      <c r="E102" s="26"/>
      <c r="F102" s="27"/>
      <c r="G102" s="8">
        <f>IF(OR(A102="",D102=""),"",D102+Leftover_Safe_Days)</f>
        <v>0</v>
      </c>
      <c r="H102" s="8">
        <f>IF(OR(A102="",D102=""),"",D102+Freezer_Review_Days)</f>
        <v>0</v>
      </c>
      <c r="I102" s="8">
        <f>IF(OR(A102="",D102=""),"",IF(F102="Freezer",H102-TODAY(),G102-TODAY()))</f>
        <v>0</v>
      </c>
      <c r="J102" s="8">
        <f>IF(A102="","",IF(P102="Yes","Binned",IF(O102="Yes","Eaten",IF(I102="","",IF(I102&lt;0,"Past its best",IF(I102&lt;=1,"Eat today",IF(I102&lt;=3,"Eat this week","Keep")))))))</f>
        <v>0</v>
      </c>
      <c r="K102" s="8">
        <f>IF(OR(A102="",E102=""),"",IFERROR(E102*IFERROR(INDEX(Recipes!$Q$5:$Q$204,MATCH(C102,Recipes!$A$5:$A$204,0)),""),""))</f>
        <v>0</v>
      </c>
      <c r="L102" s="8">
        <f>IF(OR(A102="",I102=""),"",COUNTIFS($I$5:$I$124,"&lt;"&amp;I102)+1)</f>
        <v>0</v>
      </c>
      <c r="M102" s="8">
        <f>IF(A102="","",IF(I102="","",IF(I102&lt;0,"Bin it",IF(I102&lt;=Expiry_Warning_Days,"Use it or lose it",""))))</f>
        <v>0</v>
      </c>
      <c r="N102" s="26"/>
      <c r="O102" s="27"/>
      <c r="P102" s="27"/>
      <c r="Q102" s="7"/>
      <c r="R102" s="26"/>
      <c r="S102" s="25"/>
    </row>
    <row r="103" spans="1:19">
      <c r="A103" s="7"/>
      <c r="B103" s="7"/>
      <c r="C103" s="27"/>
      <c r="D103" s="30"/>
      <c r="E103" s="26"/>
      <c r="F103" s="27"/>
      <c r="G103" s="8">
        <f>IF(OR(A103="",D103=""),"",D103+Leftover_Safe_Days)</f>
        <v>0</v>
      </c>
      <c r="H103" s="8">
        <f>IF(OR(A103="",D103=""),"",D103+Freezer_Review_Days)</f>
        <v>0</v>
      </c>
      <c r="I103" s="8">
        <f>IF(OR(A103="",D103=""),"",IF(F103="Freezer",H103-TODAY(),G103-TODAY()))</f>
        <v>0</v>
      </c>
      <c r="J103" s="8">
        <f>IF(A103="","",IF(P103="Yes","Binned",IF(O103="Yes","Eaten",IF(I103="","",IF(I103&lt;0,"Past its best",IF(I103&lt;=1,"Eat today",IF(I103&lt;=3,"Eat this week","Keep")))))))</f>
        <v>0</v>
      </c>
      <c r="K103" s="8">
        <f>IF(OR(A103="",E103=""),"",IFERROR(E103*IFERROR(INDEX(Recipes!$Q$5:$Q$204,MATCH(C103,Recipes!$A$5:$A$204,0)),""),""))</f>
        <v>0</v>
      </c>
      <c r="L103" s="8">
        <f>IF(OR(A103="",I103=""),"",COUNTIFS($I$5:$I$124,"&lt;"&amp;I103)+1)</f>
        <v>0</v>
      </c>
      <c r="M103" s="8">
        <f>IF(A103="","",IF(I103="","",IF(I103&lt;0,"Bin it",IF(I103&lt;=Expiry_Warning_Days,"Use it or lose it",""))))</f>
        <v>0</v>
      </c>
      <c r="N103" s="26"/>
      <c r="O103" s="27"/>
      <c r="P103" s="27"/>
      <c r="Q103" s="7"/>
      <c r="R103" s="26"/>
      <c r="S103" s="25"/>
    </row>
    <row r="104" spans="1:19">
      <c r="A104" s="7"/>
      <c r="B104" s="7"/>
      <c r="C104" s="27"/>
      <c r="D104" s="30"/>
      <c r="E104" s="26"/>
      <c r="F104" s="27"/>
      <c r="G104" s="8">
        <f>IF(OR(A104="",D104=""),"",D104+Leftover_Safe_Days)</f>
        <v>0</v>
      </c>
      <c r="H104" s="8">
        <f>IF(OR(A104="",D104=""),"",D104+Freezer_Review_Days)</f>
        <v>0</v>
      </c>
      <c r="I104" s="8">
        <f>IF(OR(A104="",D104=""),"",IF(F104="Freezer",H104-TODAY(),G104-TODAY()))</f>
        <v>0</v>
      </c>
      <c r="J104" s="8">
        <f>IF(A104="","",IF(P104="Yes","Binned",IF(O104="Yes","Eaten",IF(I104="","",IF(I104&lt;0,"Past its best",IF(I104&lt;=1,"Eat today",IF(I104&lt;=3,"Eat this week","Keep")))))))</f>
        <v>0</v>
      </c>
      <c r="K104" s="8">
        <f>IF(OR(A104="",E104=""),"",IFERROR(E104*IFERROR(INDEX(Recipes!$Q$5:$Q$204,MATCH(C104,Recipes!$A$5:$A$204,0)),""),""))</f>
        <v>0</v>
      </c>
      <c r="L104" s="8">
        <f>IF(OR(A104="",I104=""),"",COUNTIFS($I$5:$I$124,"&lt;"&amp;I104)+1)</f>
        <v>0</v>
      </c>
      <c r="M104" s="8">
        <f>IF(A104="","",IF(I104="","",IF(I104&lt;0,"Bin it",IF(I104&lt;=Expiry_Warning_Days,"Use it or lose it",""))))</f>
        <v>0</v>
      </c>
      <c r="N104" s="26"/>
      <c r="O104" s="27"/>
      <c r="P104" s="27"/>
      <c r="Q104" s="7"/>
      <c r="R104" s="26"/>
      <c r="S104" s="25"/>
    </row>
    <row r="105" spans="1:19">
      <c r="A105" s="7"/>
      <c r="B105" s="7"/>
      <c r="C105" s="27"/>
      <c r="D105" s="30"/>
      <c r="E105" s="26"/>
      <c r="F105" s="27"/>
      <c r="G105" s="8">
        <f>IF(OR(A105="",D105=""),"",D105+Leftover_Safe_Days)</f>
        <v>0</v>
      </c>
      <c r="H105" s="8">
        <f>IF(OR(A105="",D105=""),"",D105+Freezer_Review_Days)</f>
        <v>0</v>
      </c>
      <c r="I105" s="8">
        <f>IF(OR(A105="",D105=""),"",IF(F105="Freezer",H105-TODAY(),G105-TODAY()))</f>
        <v>0</v>
      </c>
      <c r="J105" s="8">
        <f>IF(A105="","",IF(P105="Yes","Binned",IF(O105="Yes","Eaten",IF(I105="","",IF(I105&lt;0,"Past its best",IF(I105&lt;=1,"Eat today",IF(I105&lt;=3,"Eat this week","Keep")))))))</f>
        <v>0</v>
      </c>
      <c r="K105" s="8">
        <f>IF(OR(A105="",E105=""),"",IFERROR(E105*IFERROR(INDEX(Recipes!$Q$5:$Q$204,MATCH(C105,Recipes!$A$5:$A$204,0)),""),""))</f>
        <v>0</v>
      </c>
      <c r="L105" s="8">
        <f>IF(OR(A105="",I105=""),"",COUNTIFS($I$5:$I$124,"&lt;"&amp;I105)+1)</f>
        <v>0</v>
      </c>
      <c r="M105" s="8">
        <f>IF(A105="","",IF(I105="","",IF(I105&lt;0,"Bin it",IF(I105&lt;=Expiry_Warning_Days,"Use it or lose it",""))))</f>
        <v>0</v>
      </c>
      <c r="N105" s="26"/>
      <c r="O105" s="27"/>
      <c r="P105" s="27"/>
      <c r="Q105" s="7"/>
      <c r="R105" s="26"/>
      <c r="S105" s="25"/>
    </row>
    <row r="106" spans="1:19">
      <c r="A106" s="7"/>
      <c r="B106" s="7"/>
      <c r="C106" s="27"/>
      <c r="D106" s="30"/>
      <c r="E106" s="26"/>
      <c r="F106" s="27"/>
      <c r="G106" s="8">
        <f>IF(OR(A106="",D106=""),"",D106+Leftover_Safe_Days)</f>
        <v>0</v>
      </c>
      <c r="H106" s="8">
        <f>IF(OR(A106="",D106=""),"",D106+Freezer_Review_Days)</f>
        <v>0</v>
      </c>
      <c r="I106" s="8">
        <f>IF(OR(A106="",D106=""),"",IF(F106="Freezer",H106-TODAY(),G106-TODAY()))</f>
        <v>0</v>
      </c>
      <c r="J106" s="8">
        <f>IF(A106="","",IF(P106="Yes","Binned",IF(O106="Yes","Eaten",IF(I106="","",IF(I106&lt;0,"Past its best",IF(I106&lt;=1,"Eat today",IF(I106&lt;=3,"Eat this week","Keep")))))))</f>
        <v>0</v>
      </c>
      <c r="K106" s="8">
        <f>IF(OR(A106="",E106=""),"",IFERROR(E106*IFERROR(INDEX(Recipes!$Q$5:$Q$204,MATCH(C106,Recipes!$A$5:$A$204,0)),""),""))</f>
        <v>0</v>
      </c>
      <c r="L106" s="8">
        <f>IF(OR(A106="",I106=""),"",COUNTIFS($I$5:$I$124,"&lt;"&amp;I106)+1)</f>
        <v>0</v>
      </c>
      <c r="M106" s="8">
        <f>IF(A106="","",IF(I106="","",IF(I106&lt;0,"Bin it",IF(I106&lt;=Expiry_Warning_Days,"Use it or lose it",""))))</f>
        <v>0</v>
      </c>
      <c r="N106" s="26"/>
      <c r="O106" s="27"/>
      <c r="P106" s="27"/>
      <c r="Q106" s="7"/>
      <c r="R106" s="26"/>
      <c r="S106" s="25"/>
    </row>
    <row r="107" spans="1:19">
      <c r="A107" s="7"/>
      <c r="B107" s="7"/>
      <c r="C107" s="27"/>
      <c r="D107" s="30"/>
      <c r="E107" s="26"/>
      <c r="F107" s="27"/>
      <c r="G107" s="8">
        <f>IF(OR(A107="",D107=""),"",D107+Leftover_Safe_Days)</f>
        <v>0</v>
      </c>
      <c r="H107" s="8">
        <f>IF(OR(A107="",D107=""),"",D107+Freezer_Review_Days)</f>
        <v>0</v>
      </c>
      <c r="I107" s="8">
        <f>IF(OR(A107="",D107=""),"",IF(F107="Freezer",H107-TODAY(),G107-TODAY()))</f>
        <v>0</v>
      </c>
      <c r="J107" s="8">
        <f>IF(A107="","",IF(P107="Yes","Binned",IF(O107="Yes","Eaten",IF(I107="","",IF(I107&lt;0,"Past its best",IF(I107&lt;=1,"Eat today",IF(I107&lt;=3,"Eat this week","Keep")))))))</f>
        <v>0</v>
      </c>
      <c r="K107" s="8">
        <f>IF(OR(A107="",E107=""),"",IFERROR(E107*IFERROR(INDEX(Recipes!$Q$5:$Q$204,MATCH(C107,Recipes!$A$5:$A$204,0)),""),""))</f>
        <v>0</v>
      </c>
      <c r="L107" s="8">
        <f>IF(OR(A107="",I107=""),"",COUNTIFS($I$5:$I$124,"&lt;"&amp;I107)+1)</f>
        <v>0</v>
      </c>
      <c r="M107" s="8">
        <f>IF(A107="","",IF(I107="","",IF(I107&lt;0,"Bin it",IF(I107&lt;=Expiry_Warning_Days,"Use it or lose it",""))))</f>
        <v>0</v>
      </c>
      <c r="N107" s="26"/>
      <c r="O107" s="27"/>
      <c r="P107" s="27"/>
      <c r="Q107" s="7"/>
      <c r="R107" s="26"/>
      <c r="S107" s="25"/>
    </row>
    <row r="108" spans="1:19">
      <c r="A108" s="7"/>
      <c r="B108" s="7"/>
      <c r="C108" s="27"/>
      <c r="D108" s="30"/>
      <c r="E108" s="26"/>
      <c r="F108" s="27"/>
      <c r="G108" s="8">
        <f>IF(OR(A108="",D108=""),"",D108+Leftover_Safe_Days)</f>
        <v>0</v>
      </c>
      <c r="H108" s="8">
        <f>IF(OR(A108="",D108=""),"",D108+Freezer_Review_Days)</f>
        <v>0</v>
      </c>
      <c r="I108" s="8">
        <f>IF(OR(A108="",D108=""),"",IF(F108="Freezer",H108-TODAY(),G108-TODAY()))</f>
        <v>0</v>
      </c>
      <c r="J108" s="8">
        <f>IF(A108="","",IF(P108="Yes","Binned",IF(O108="Yes","Eaten",IF(I108="","",IF(I108&lt;0,"Past its best",IF(I108&lt;=1,"Eat today",IF(I108&lt;=3,"Eat this week","Keep")))))))</f>
        <v>0</v>
      </c>
      <c r="K108" s="8">
        <f>IF(OR(A108="",E108=""),"",IFERROR(E108*IFERROR(INDEX(Recipes!$Q$5:$Q$204,MATCH(C108,Recipes!$A$5:$A$204,0)),""),""))</f>
        <v>0</v>
      </c>
      <c r="L108" s="8">
        <f>IF(OR(A108="",I108=""),"",COUNTIFS($I$5:$I$124,"&lt;"&amp;I108)+1)</f>
        <v>0</v>
      </c>
      <c r="M108" s="8">
        <f>IF(A108="","",IF(I108="","",IF(I108&lt;0,"Bin it",IF(I108&lt;=Expiry_Warning_Days,"Use it or lose it",""))))</f>
        <v>0</v>
      </c>
      <c r="N108" s="26"/>
      <c r="O108" s="27"/>
      <c r="P108" s="27"/>
      <c r="Q108" s="7"/>
      <c r="R108" s="26"/>
      <c r="S108" s="25"/>
    </row>
    <row r="109" spans="1:19">
      <c r="A109" s="7"/>
      <c r="B109" s="7"/>
      <c r="C109" s="27"/>
      <c r="D109" s="30"/>
      <c r="E109" s="26"/>
      <c r="F109" s="27"/>
      <c r="G109" s="8">
        <f>IF(OR(A109="",D109=""),"",D109+Leftover_Safe_Days)</f>
        <v>0</v>
      </c>
      <c r="H109" s="8">
        <f>IF(OR(A109="",D109=""),"",D109+Freezer_Review_Days)</f>
        <v>0</v>
      </c>
      <c r="I109" s="8">
        <f>IF(OR(A109="",D109=""),"",IF(F109="Freezer",H109-TODAY(),G109-TODAY()))</f>
        <v>0</v>
      </c>
      <c r="J109" s="8">
        <f>IF(A109="","",IF(P109="Yes","Binned",IF(O109="Yes","Eaten",IF(I109="","",IF(I109&lt;0,"Past its best",IF(I109&lt;=1,"Eat today",IF(I109&lt;=3,"Eat this week","Keep")))))))</f>
        <v>0</v>
      </c>
      <c r="K109" s="8">
        <f>IF(OR(A109="",E109=""),"",IFERROR(E109*IFERROR(INDEX(Recipes!$Q$5:$Q$204,MATCH(C109,Recipes!$A$5:$A$204,0)),""),""))</f>
        <v>0</v>
      </c>
      <c r="L109" s="8">
        <f>IF(OR(A109="",I109=""),"",COUNTIFS($I$5:$I$124,"&lt;"&amp;I109)+1)</f>
        <v>0</v>
      </c>
      <c r="M109" s="8">
        <f>IF(A109="","",IF(I109="","",IF(I109&lt;0,"Bin it",IF(I109&lt;=Expiry_Warning_Days,"Use it or lose it",""))))</f>
        <v>0</v>
      </c>
      <c r="N109" s="26"/>
      <c r="O109" s="27"/>
      <c r="P109" s="27"/>
      <c r="Q109" s="7"/>
      <c r="R109" s="26"/>
      <c r="S109" s="25"/>
    </row>
    <row r="110" spans="1:19">
      <c r="A110" s="7"/>
      <c r="B110" s="7"/>
      <c r="C110" s="27"/>
      <c r="D110" s="30"/>
      <c r="E110" s="26"/>
      <c r="F110" s="27"/>
      <c r="G110" s="8">
        <f>IF(OR(A110="",D110=""),"",D110+Leftover_Safe_Days)</f>
        <v>0</v>
      </c>
      <c r="H110" s="8">
        <f>IF(OR(A110="",D110=""),"",D110+Freezer_Review_Days)</f>
        <v>0</v>
      </c>
      <c r="I110" s="8">
        <f>IF(OR(A110="",D110=""),"",IF(F110="Freezer",H110-TODAY(),G110-TODAY()))</f>
        <v>0</v>
      </c>
      <c r="J110" s="8">
        <f>IF(A110="","",IF(P110="Yes","Binned",IF(O110="Yes","Eaten",IF(I110="","",IF(I110&lt;0,"Past its best",IF(I110&lt;=1,"Eat today",IF(I110&lt;=3,"Eat this week","Keep")))))))</f>
        <v>0</v>
      </c>
      <c r="K110" s="8">
        <f>IF(OR(A110="",E110=""),"",IFERROR(E110*IFERROR(INDEX(Recipes!$Q$5:$Q$204,MATCH(C110,Recipes!$A$5:$A$204,0)),""),""))</f>
        <v>0</v>
      </c>
      <c r="L110" s="8">
        <f>IF(OR(A110="",I110=""),"",COUNTIFS($I$5:$I$124,"&lt;"&amp;I110)+1)</f>
        <v>0</v>
      </c>
      <c r="M110" s="8">
        <f>IF(A110="","",IF(I110="","",IF(I110&lt;0,"Bin it",IF(I110&lt;=Expiry_Warning_Days,"Use it or lose it",""))))</f>
        <v>0</v>
      </c>
      <c r="N110" s="26"/>
      <c r="O110" s="27"/>
      <c r="P110" s="27"/>
      <c r="Q110" s="7"/>
      <c r="R110" s="26"/>
      <c r="S110" s="25"/>
    </row>
    <row r="111" spans="1:19">
      <c r="A111" s="7"/>
      <c r="B111" s="7"/>
      <c r="C111" s="27"/>
      <c r="D111" s="30"/>
      <c r="E111" s="26"/>
      <c r="F111" s="27"/>
      <c r="G111" s="8">
        <f>IF(OR(A111="",D111=""),"",D111+Leftover_Safe_Days)</f>
        <v>0</v>
      </c>
      <c r="H111" s="8">
        <f>IF(OR(A111="",D111=""),"",D111+Freezer_Review_Days)</f>
        <v>0</v>
      </c>
      <c r="I111" s="8">
        <f>IF(OR(A111="",D111=""),"",IF(F111="Freezer",H111-TODAY(),G111-TODAY()))</f>
        <v>0</v>
      </c>
      <c r="J111" s="8">
        <f>IF(A111="","",IF(P111="Yes","Binned",IF(O111="Yes","Eaten",IF(I111="","",IF(I111&lt;0,"Past its best",IF(I111&lt;=1,"Eat today",IF(I111&lt;=3,"Eat this week","Keep")))))))</f>
        <v>0</v>
      </c>
      <c r="K111" s="8">
        <f>IF(OR(A111="",E111=""),"",IFERROR(E111*IFERROR(INDEX(Recipes!$Q$5:$Q$204,MATCH(C111,Recipes!$A$5:$A$204,0)),""),""))</f>
        <v>0</v>
      </c>
      <c r="L111" s="8">
        <f>IF(OR(A111="",I111=""),"",COUNTIFS($I$5:$I$124,"&lt;"&amp;I111)+1)</f>
        <v>0</v>
      </c>
      <c r="M111" s="8">
        <f>IF(A111="","",IF(I111="","",IF(I111&lt;0,"Bin it",IF(I111&lt;=Expiry_Warning_Days,"Use it or lose it",""))))</f>
        <v>0</v>
      </c>
      <c r="N111" s="26"/>
      <c r="O111" s="27"/>
      <c r="P111" s="27"/>
      <c r="Q111" s="7"/>
      <c r="R111" s="26"/>
      <c r="S111" s="25"/>
    </row>
    <row r="112" spans="1:19">
      <c r="A112" s="7"/>
      <c r="B112" s="7"/>
      <c r="C112" s="27"/>
      <c r="D112" s="30"/>
      <c r="E112" s="26"/>
      <c r="F112" s="27"/>
      <c r="G112" s="8">
        <f>IF(OR(A112="",D112=""),"",D112+Leftover_Safe_Days)</f>
        <v>0</v>
      </c>
      <c r="H112" s="8">
        <f>IF(OR(A112="",D112=""),"",D112+Freezer_Review_Days)</f>
        <v>0</v>
      </c>
      <c r="I112" s="8">
        <f>IF(OR(A112="",D112=""),"",IF(F112="Freezer",H112-TODAY(),G112-TODAY()))</f>
        <v>0</v>
      </c>
      <c r="J112" s="8">
        <f>IF(A112="","",IF(P112="Yes","Binned",IF(O112="Yes","Eaten",IF(I112="","",IF(I112&lt;0,"Past its best",IF(I112&lt;=1,"Eat today",IF(I112&lt;=3,"Eat this week","Keep")))))))</f>
        <v>0</v>
      </c>
      <c r="K112" s="8">
        <f>IF(OR(A112="",E112=""),"",IFERROR(E112*IFERROR(INDEX(Recipes!$Q$5:$Q$204,MATCH(C112,Recipes!$A$5:$A$204,0)),""),""))</f>
        <v>0</v>
      </c>
      <c r="L112" s="8">
        <f>IF(OR(A112="",I112=""),"",COUNTIFS($I$5:$I$124,"&lt;"&amp;I112)+1)</f>
        <v>0</v>
      </c>
      <c r="M112" s="8">
        <f>IF(A112="","",IF(I112="","",IF(I112&lt;0,"Bin it",IF(I112&lt;=Expiry_Warning_Days,"Use it or lose it",""))))</f>
        <v>0</v>
      </c>
      <c r="N112" s="26"/>
      <c r="O112" s="27"/>
      <c r="P112" s="27"/>
      <c r="Q112" s="7"/>
      <c r="R112" s="26"/>
      <c r="S112" s="25"/>
    </row>
    <row r="113" spans="1:19">
      <c r="A113" s="7"/>
      <c r="B113" s="7"/>
      <c r="C113" s="27"/>
      <c r="D113" s="30"/>
      <c r="E113" s="26"/>
      <c r="F113" s="27"/>
      <c r="G113" s="8">
        <f>IF(OR(A113="",D113=""),"",D113+Leftover_Safe_Days)</f>
        <v>0</v>
      </c>
      <c r="H113" s="8">
        <f>IF(OR(A113="",D113=""),"",D113+Freezer_Review_Days)</f>
        <v>0</v>
      </c>
      <c r="I113" s="8">
        <f>IF(OR(A113="",D113=""),"",IF(F113="Freezer",H113-TODAY(),G113-TODAY()))</f>
        <v>0</v>
      </c>
      <c r="J113" s="8">
        <f>IF(A113="","",IF(P113="Yes","Binned",IF(O113="Yes","Eaten",IF(I113="","",IF(I113&lt;0,"Past its best",IF(I113&lt;=1,"Eat today",IF(I113&lt;=3,"Eat this week","Keep")))))))</f>
        <v>0</v>
      </c>
      <c r="K113" s="8">
        <f>IF(OR(A113="",E113=""),"",IFERROR(E113*IFERROR(INDEX(Recipes!$Q$5:$Q$204,MATCH(C113,Recipes!$A$5:$A$204,0)),""),""))</f>
        <v>0</v>
      </c>
      <c r="L113" s="8">
        <f>IF(OR(A113="",I113=""),"",COUNTIFS($I$5:$I$124,"&lt;"&amp;I113)+1)</f>
        <v>0</v>
      </c>
      <c r="M113" s="8">
        <f>IF(A113="","",IF(I113="","",IF(I113&lt;0,"Bin it",IF(I113&lt;=Expiry_Warning_Days,"Use it or lose it",""))))</f>
        <v>0</v>
      </c>
      <c r="N113" s="26"/>
      <c r="O113" s="27"/>
      <c r="P113" s="27"/>
      <c r="Q113" s="7"/>
      <c r="R113" s="26"/>
      <c r="S113" s="25"/>
    </row>
    <row r="114" spans="1:19">
      <c r="A114" s="7"/>
      <c r="B114" s="7"/>
      <c r="C114" s="27"/>
      <c r="D114" s="30"/>
      <c r="E114" s="26"/>
      <c r="F114" s="27"/>
      <c r="G114" s="8">
        <f>IF(OR(A114="",D114=""),"",D114+Leftover_Safe_Days)</f>
        <v>0</v>
      </c>
      <c r="H114" s="8">
        <f>IF(OR(A114="",D114=""),"",D114+Freezer_Review_Days)</f>
        <v>0</v>
      </c>
      <c r="I114" s="8">
        <f>IF(OR(A114="",D114=""),"",IF(F114="Freezer",H114-TODAY(),G114-TODAY()))</f>
        <v>0</v>
      </c>
      <c r="J114" s="8">
        <f>IF(A114="","",IF(P114="Yes","Binned",IF(O114="Yes","Eaten",IF(I114="","",IF(I114&lt;0,"Past its best",IF(I114&lt;=1,"Eat today",IF(I114&lt;=3,"Eat this week","Keep")))))))</f>
        <v>0</v>
      </c>
      <c r="K114" s="8">
        <f>IF(OR(A114="",E114=""),"",IFERROR(E114*IFERROR(INDEX(Recipes!$Q$5:$Q$204,MATCH(C114,Recipes!$A$5:$A$204,0)),""),""))</f>
        <v>0</v>
      </c>
      <c r="L114" s="8">
        <f>IF(OR(A114="",I114=""),"",COUNTIFS($I$5:$I$124,"&lt;"&amp;I114)+1)</f>
        <v>0</v>
      </c>
      <c r="M114" s="8">
        <f>IF(A114="","",IF(I114="","",IF(I114&lt;0,"Bin it",IF(I114&lt;=Expiry_Warning_Days,"Use it or lose it",""))))</f>
        <v>0</v>
      </c>
      <c r="N114" s="26"/>
      <c r="O114" s="27"/>
      <c r="P114" s="27"/>
      <c r="Q114" s="7"/>
      <c r="R114" s="26"/>
      <c r="S114" s="25"/>
    </row>
    <row r="115" spans="1:19">
      <c r="A115" s="7"/>
      <c r="B115" s="7"/>
      <c r="C115" s="27"/>
      <c r="D115" s="30"/>
      <c r="E115" s="26"/>
      <c r="F115" s="27"/>
      <c r="G115" s="8">
        <f>IF(OR(A115="",D115=""),"",D115+Leftover_Safe_Days)</f>
        <v>0</v>
      </c>
      <c r="H115" s="8">
        <f>IF(OR(A115="",D115=""),"",D115+Freezer_Review_Days)</f>
        <v>0</v>
      </c>
      <c r="I115" s="8">
        <f>IF(OR(A115="",D115=""),"",IF(F115="Freezer",H115-TODAY(),G115-TODAY()))</f>
        <v>0</v>
      </c>
      <c r="J115" s="8">
        <f>IF(A115="","",IF(P115="Yes","Binned",IF(O115="Yes","Eaten",IF(I115="","",IF(I115&lt;0,"Past its best",IF(I115&lt;=1,"Eat today",IF(I115&lt;=3,"Eat this week","Keep")))))))</f>
        <v>0</v>
      </c>
      <c r="K115" s="8">
        <f>IF(OR(A115="",E115=""),"",IFERROR(E115*IFERROR(INDEX(Recipes!$Q$5:$Q$204,MATCH(C115,Recipes!$A$5:$A$204,0)),""),""))</f>
        <v>0</v>
      </c>
      <c r="L115" s="8">
        <f>IF(OR(A115="",I115=""),"",COUNTIFS($I$5:$I$124,"&lt;"&amp;I115)+1)</f>
        <v>0</v>
      </c>
      <c r="M115" s="8">
        <f>IF(A115="","",IF(I115="","",IF(I115&lt;0,"Bin it",IF(I115&lt;=Expiry_Warning_Days,"Use it or lose it",""))))</f>
        <v>0</v>
      </c>
      <c r="N115" s="26"/>
      <c r="O115" s="27"/>
      <c r="P115" s="27"/>
      <c r="Q115" s="7"/>
      <c r="R115" s="26"/>
      <c r="S115" s="25"/>
    </row>
    <row r="116" spans="1:19">
      <c r="A116" s="7"/>
      <c r="B116" s="7"/>
      <c r="C116" s="27"/>
      <c r="D116" s="30"/>
      <c r="E116" s="26"/>
      <c r="F116" s="27"/>
      <c r="G116" s="8">
        <f>IF(OR(A116="",D116=""),"",D116+Leftover_Safe_Days)</f>
        <v>0</v>
      </c>
      <c r="H116" s="8">
        <f>IF(OR(A116="",D116=""),"",D116+Freezer_Review_Days)</f>
        <v>0</v>
      </c>
      <c r="I116" s="8">
        <f>IF(OR(A116="",D116=""),"",IF(F116="Freezer",H116-TODAY(),G116-TODAY()))</f>
        <v>0</v>
      </c>
      <c r="J116" s="8">
        <f>IF(A116="","",IF(P116="Yes","Binned",IF(O116="Yes","Eaten",IF(I116="","",IF(I116&lt;0,"Past its best",IF(I116&lt;=1,"Eat today",IF(I116&lt;=3,"Eat this week","Keep")))))))</f>
        <v>0</v>
      </c>
      <c r="K116" s="8">
        <f>IF(OR(A116="",E116=""),"",IFERROR(E116*IFERROR(INDEX(Recipes!$Q$5:$Q$204,MATCH(C116,Recipes!$A$5:$A$204,0)),""),""))</f>
        <v>0</v>
      </c>
      <c r="L116" s="8">
        <f>IF(OR(A116="",I116=""),"",COUNTIFS($I$5:$I$124,"&lt;"&amp;I116)+1)</f>
        <v>0</v>
      </c>
      <c r="M116" s="8">
        <f>IF(A116="","",IF(I116="","",IF(I116&lt;0,"Bin it",IF(I116&lt;=Expiry_Warning_Days,"Use it or lose it",""))))</f>
        <v>0</v>
      </c>
      <c r="N116" s="26"/>
      <c r="O116" s="27"/>
      <c r="P116" s="27"/>
      <c r="Q116" s="7"/>
      <c r="R116" s="26"/>
      <c r="S116" s="25"/>
    </row>
    <row r="117" spans="1:19">
      <c r="A117" s="7"/>
      <c r="B117" s="7"/>
      <c r="C117" s="27"/>
      <c r="D117" s="30"/>
      <c r="E117" s="26"/>
      <c r="F117" s="27"/>
      <c r="G117" s="8">
        <f>IF(OR(A117="",D117=""),"",D117+Leftover_Safe_Days)</f>
        <v>0</v>
      </c>
      <c r="H117" s="8">
        <f>IF(OR(A117="",D117=""),"",D117+Freezer_Review_Days)</f>
        <v>0</v>
      </c>
      <c r="I117" s="8">
        <f>IF(OR(A117="",D117=""),"",IF(F117="Freezer",H117-TODAY(),G117-TODAY()))</f>
        <v>0</v>
      </c>
      <c r="J117" s="8">
        <f>IF(A117="","",IF(P117="Yes","Binned",IF(O117="Yes","Eaten",IF(I117="","",IF(I117&lt;0,"Past its best",IF(I117&lt;=1,"Eat today",IF(I117&lt;=3,"Eat this week","Keep")))))))</f>
        <v>0</v>
      </c>
      <c r="K117" s="8">
        <f>IF(OR(A117="",E117=""),"",IFERROR(E117*IFERROR(INDEX(Recipes!$Q$5:$Q$204,MATCH(C117,Recipes!$A$5:$A$204,0)),""),""))</f>
        <v>0</v>
      </c>
      <c r="L117" s="8">
        <f>IF(OR(A117="",I117=""),"",COUNTIFS($I$5:$I$124,"&lt;"&amp;I117)+1)</f>
        <v>0</v>
      </c>
      <c r="M117" s="8">
        <f>IF(A117="","",IF(I117="","",IF(I117&lt;0,"Bin it",IF(I117&lt;=Expiry_Warning_Days,"Use it or lose it",""))))</f>
        <v>0</v>
      </c>
      <c r="N117" s="26"/>
      <c r="O117" s="27"/>
      <c r="P117" s="27"/>
      <c r="Q117" s="7"/>
      <c r="R117" s="26"/>
      <c r="S117" s="25"/>
    </row>
    <row r="118" spans="1:19">
      <c r="A118" s="7"/>
      <c r="B118" s="7"/>
      <c r="C118" s="27"/>
      <c r="D118" s="30"/>
      <c r="E118" s="26"/>
      <c r="F118" s="27"/>
      <c r="G118" s="8">
        <f>IF(OR(A118="",D118=""),"",D118+Leftover_Safe_Days)</f>
        <v>0</v>
      </c>
      <c r="H118" s="8">
        <f>IF(OR(A118="",D118=""),"",D118+Freezer_Review_Days)</f>
        <v>0</v>
      </c>
      <c r="I118" s="8">
        <f>IF(OR(A118="",D118=""),"",IF(F118="Freezer",H118-TODAY(),G118-TODAY()))</f>
        <v>0</v>
      </c>
      <c r="J118" s="8">
        <f>IF(A118="","",IF(P118="Yes","Binned",IF(O118="Yes","Eaten",IF(I118="","",IF(I118&lt;0,"Past its best",IF(I118&lt;=1,"Eat today",IF(I118&lt;=3,"Eat this week","Keep")))))))</f>
        <v>0</v>
      </c>
      <c r="K118" s="8">
        <f>IF(OR(A118="",E118=""),"",IFERROR(E118*IFERROR(INDEX(Recipes!$Q$5:$Q$204,MATCH(C118,Recipes!$A$5:$A$204,0)),""),""))</f>
        <v>0</v>
      </c>
      <c r="L118" s="8">
        <f>IF(OR(A118="",I118=""),"",COUNTIFS($I$5:$I$124,"&lt;"&amp;I118)+1)</f>
        <v>0</v>
      </c>
      <c r="M118" s="8">
        <f>IF(A118="","",IF(I118="","",IF(I118&lt;0,"Bin it",IF(I118&lt;=Expiry_Warning_Days,"Use it or lose it",""))))</f>
        <v>0</v>
      </c>
      <c r="N118" s="26"/>
      <c r="O118" s="27"/>
      <c r="P118" s="27"/>
      <c r="Q118" s="7"/>
      <c r="R118" s="26"/>
      <c r="S118" s="25"/>
    </row>
    <row r="119" spans="1:19">
      <c r="A119" s="7"/>
      <c r="B119" s="7"/>
      <c r="C119" s="27"/>
      <c r="D119" s="30"/>
      <c r="E119" s="26"/>
      <c r="F119" s="27"/>
      <c r="G119" s="8">
        <f>IF(OR(A119="",D119=""),"",D119+Leftover_Safe_Days)</f>
        <v>0</v>
      </c>
      <c r="H119" s="8">
        <f>IF(OR(A119="",D119=""),"",D119+Freezer_Review_Days)</f>
        <v>0</v>
      </c>
      <c r="I119" s="8">
        <f>IF(OR(A119="",D119=""),"",IF(F119="Freezer",H119-TODAY(),G119-TODAY()))</f>
        <v>0</v>
      </c>
      <c r="J119" s="8">
        <f>IF(A119="","",IF(P119="Yes","Binned",IF(O119="Yes","Eaten",IF(I119="","",IF(I119&lt;0,"Past its best",IF(I119&lt;=1,"Eat today",IF(I119&lt;=3,"Eat this week","Keep")))))))</f>
        <v>0</v>
      </c>
      <c r="K119" s="8">
        <f>IF(OR(A119="",E119=""),"",IFERROR(E119*IFERROR(INDEX(Recipes!$Q$5:$Q$204,MATCH(C119,Recipes!$A$5:$A$204,0)),""),""))</f>
        <v>0</v>
      </c>
      <c r="L119" s="8">
        <f>IF(OR(A119="",I119=""),"",COUNTIFS($I$5:$I$124,"&lt;"&amp;I119)+1)</f>
        <v>0</v>
      </c>
      <c r="M119" s="8">
        <f>IF(A119="","",IF(I119="","",IF(I119&lt;0,"Bin it",IF(I119&lt;=Expiry_Warning_Days,"Use it or lose it",""))))</f>
        <v>0</v>
      </c>
      <c r="N119" s="26"/>
      <c r="O119" s="27"/>
      <c r="P119" s="27"/>
      <c r="Q119" s="7"/>
      <c r="R119" s="26"/>
      <c r="S119" s="25"/>
    </row>
    <row r="120" spans="1:19">
      <c r="A120" s="7"/>
      <c r="B120" s="7"/>
      <c r="C120" s="27"/>
      <c r="D120" s="30"/>
      <c r="E120" s="26"/>
      <c r="F120" s="27"/>
      <c r="G120" s="8">
        <f>IF(OR(A120="",D120=""),"",D120+Leftover_Safe_Days)</f>
        <v>0</v>
      </c>
      <c r="H120" s="8">
        <f>IF(OR(A120="",D120=""),"",D120+Freezer_Review_Days)</f>
        <v>0</v>
      </c>
      <c r="I120" s="8">
        <f>IF(OR(A120="",D120=""),"",IF(F120="Freezer",H120-TODAY(),G120-TODAY()))</f>
        <v>0</v>
      </c>
      <c r="J120" s="8">
        <f>IF(A120="","",IF(P120="Yes","Binned",IF(O120="Yes","Eaten",IF(I120="","",IF(I120&lt;0,"Past its best",IF(I120&lt;=1,"Eat today",IF(I120&lt;=3,"Eat this week","Keep")))))))</f>
        <v>0</v>
      </c>
      <c r="K120" s="8">
        <f>IF(OR(A120="",E120=""),"",IFERROR(E120*IFERROR(INDEX(Recipes!$Q$5:$Q$204,MATCH(C120,Recipes!$A$5:$A$204,0)),""),""))</f>
        <v>0</v>
      </c>
      <c r="L120" s="8">
        <f>IF(OR(A120="",I120=""),"",COUNTIFS($I$5:$I$124,"&lt;"&amp;I120)+1)</f>
        <v>0</v>
      </c>
      <c r="M120" s="8">
        <f>IF(A120="","",IF(I120="","",IF(I120&lt;0,"Bin it",IF(I120&lt;=Expiry_Warning_Days,"Use it or lose it",""))))</f>
        <v>0</v>
      </c>
      <c r="N120" s="26"/>
      <c r="O120" s="27"/>
      <c r="P120" s="27"/>
      <c r="Q120" s="7"/>
      <c r="R120" s="26"/>
      <c r="S120" s="25"/>
    </row>
    <row r="121" spans="1:19">
      <c r="A121" s="7"/>
      <c r="B121" s="7"/>
      <c r="C121" s="27"/>
      <c r="D121" s="30"/>
      <c r="E121" s="26"/>
      <c r="F121" s="27"/>
      <c r="G121" s="8">
        <f>IF(OR(A121="",D121=""),"",D121+Leftover_Safe_Days)</f>
        <v>0</v>
      </c>
      <c r="H121" s="8">
        <f>IF(OR(A121="",D121=""),"",D121+Freezer_Review_Days)</f>
        <v>0</v>
      </c>
      <c r="I121" s="8">
        <f>IF(OR(A121="",D121=""),"",IF(F121="Freezer",H121-TODAY(),G121-TODAY()))</f>
        <v>0</v>
      </c>
      <c r="J121" s="8">
        <f>IF(A121="","",IF(P121="Yes","Binned",IF(O121="Yes","Eaten",IF(I121="","",IF(I121&lt;0,"Past its best",IF(I121&lt;=1,"Eat today",IF(I121&lt;=3,"Eat this week","Keep")))))))</f>
        <v>0</v>
      </c>
      <c r="K121" s="8">
        <f>IF(OR(A121="",E121=""),"",IFERROR(E121*IFERROR(INDEX(Recipes!$Q$5:$Q$204,MATCH(C121,Recipes!$A$5:$A$204,0)),""),""))</f>
        <v>0</v>
      </c>
      <c r="L121" s="8">
        <f>IF(OR(A121="",I121=""),"",COUNTIFS($I$5:$I$124,"&lt;"&amp;I121)+1)</f>
        <v>0</v>
      </c>
      <c r="M121" s="8">
        <f>IF(A121="","",IF(I121="","",IF(I121&lt;0,"Bin it",IF(I121&lt;=Expiry_Warning_Days,"Use it or lose it",""))))</f>
        <v>0</v>
      </c>
      <c r="N121" s="26"/>
      <c r="O121" s="27"/>
      <c r="P121" s="27"/>
      <c r="Q121" s="7"/>
      <c r="R121" s="26"/>
      <c r="S121" s="25"/>
    </row>
    <row r="122" spans="1:19">
      <c r="A122" s="7"/>
      <c r="B122" s="7"/>
      <c r="C122" s="27"/>
      <c r="D122" s="30"/>
      <c r="E122" s="26"/>
      <c r="F122" s="27"/>
      <c r="G122" s="8">
        <f>IF(OR(A122="",D122=""),"",D122+Leftover_Safe_Days)</f>
        <v>0</v>
      </c>
      <c r="H122" s="8">
        <f>IF(OR(A122="",D122=""),"",D122+Freezer_Review_Days)</f>
        <v>0</v>
      </c>
      <c r="I122" s="8">
        <f>IF(OR(A122="",D122=""),"",IF(F122="Freezer",H122-TODAY(),G122-TODAY()))</f>
        <v>0</v>
      </c>
      <c r="J122" s="8">
        <f>IF(A122="","",IF(P122="Yes","Binned",IF(O122="Yes","Eaten",IF(I122="","",IF(I122&lt;0,"Past its best",IF(I122&lt;=1,"Eat today",IF(I122&lt;=3,"Eat this week","Keep")))))))</f>
        <v>0</v>
      </c>
      <c r="K122" s="8">
        <f>IF(OR(A122="",E122=""),"",IFERROR(E122*IFERROR(INDEX(Recipes!$Q$5:$Q$204,MATCH(C122,Recipes!$A$5:$A$204,0)),""),""))</f>
        <v>0</v>
      </c>
      <c r="L122" s="8">
        <f>IF(OR(A122="",I122=""),"",COUNTIFS($I$5:$I$124,"&lt;"&amp;I122)+1)</f>
        <v>0</v>
      </c>
      <c r="M122" s="8">
        <f>IF(A122="","",IF(I122="","",IF(I122&lt;0,"Bin it",IF(I122&lt;=Expiry_Warning_Days,"Use it or lose it",""))))</f>
        <v>0</v>
      </c>
      <c r="N122" s="26"/>
      <c r="O122" s="27"/>
      <c r="P122" s="27"/>
      <c r="Q122" s="7"/>
      <c r="R122" s="26"/>
      <c r="S122" s="25"/>
    </row>
    <row r="123" spans="1:19">
      <c r="A123" s="7"/>
      <c r="B123" s="7"/>
      <c r="C123" s="27"/>
      <c r="D123" s="30"/>
      <c r="E123" s="26"/>
      <c r="F123" s="27"/>
      <c r="G123" s="8">
        <f>IF(OR(A123="",D123=""),"",D123+Leftover_Safe_Days)</f>
        <v>0</v>
      </c>
      <c r="H123" s="8">
        <f>IF(OR(A123="",D123=""),"",D123+Freezer_Review_Days)</f>
        <v>0</v>
      </c>
      <c r="I123" s="8">
        <f>IF(OR(A123="",D123=""),"",IF(F123="Freezer",H123-TODAY(),G123-TODAY()))</f>
        <v>0</v>
      </c>
      <c r="J123" s="8">
        <f>IF(A123="","",IF(P123="Yes","Binned",IF(O123="Yes","Eaten",IF(I123="","",IF(I123&lt;0,"Past its best",IF(I123&lt;=1,"Eat today",IF(I123&lt;=3,"Eat this week","Keep")))))))</f>
        <v>0</v>
      </c>
      <c r="K123" s="8">
        <f>IF(OR(A123="",E123=""),"",IFERROR(E123*IFERROR(INDEX(Recipes!$Q$5:$Q$204,MATCH(C123,Recipes!$A$5:$A$204,0)),""),""))</f>
        <v>0</v>
      </c>
      <c r="L123" s="8">
        <f>IF(OR(A123="",I123=""),"",COUNTIFS($I$5:$I$124,"&lt;"&amp;I123)+1)</f>
        <v>0</v>
      </c>
      <c r="M123" s="8">
        <f>IF(A123="","",IF(I123="","",IF(I123&lt;0,"Bin it",IF(I123&lt;=Expiry_Warning_Days,"Use it or lose it",""))))</f>
        <v>0</v>
      </c>
      <c r="N123" s="26"/>
      <c r="O123" s="27"/>
      <c r="P123" s="27"/>
      <c r="Q123" s="7"/>
      <c r="R123" s="26"/>
      <c r="S123" s="25"/>
    </row>
    <row r="124" spans="1:19">
      <c r="A124" s="7"/>
      <c r="B124" s="7"/>
      <c r="C124" s="27"/>
      <c r="D124" s="30"/>
      <c r="E124" s="26"/>
      <c r="F124" s="27"/>
      <c r="G124" s="8">
        <f>IF(OR(A124="",D124=""),"",D124+Leftover_Safe_Days)</f>
        <v>0</v>
      </c>
      <c r="H124" s="8">
        <f>IF(OR(A124="",D124=""),"",D124+Freezer_Review_Days)</f>
        <v>0</v>
      </c>
      <c r="I124" s="8">
        <f>IF(OR(A124="",D124=""),"",IF(F124="Freezer",H124-TODAY(),G124-TODAY()))</f>
        <v>0</v>
      </c>
      <c r="J124" s="8">
        <f>IF(A124="","",IF(P124="Yes","Binned",IF(O124="Yes","Eaten",IF(I124="","",IF(I124&lt;0,"Past its best",IF(I124&lt;=1,"Eat today",IF(I124&lt;=3,"Eat this week","Keep")))))))</f>
        <v>0</v>
      </c>
      <c r="K124" s="8">
        <f>IF(OR(A124="",E124=""),"",IFERROR(E124*IFERROR(INDEX(Recipes!$Q$5:$Q$204,MATCH(C124,Recipes!$A$5:$A$204,0)),""),""))</f>
        <v>0</v>
      </c>
      <c r="L124" s="8">
        <f>IF(OR(A124="",I124=""),"",COUNTIFS($I$5:$I$124,"&lt;"&amp;I124)+1)</f>
        <v>0</v>
      </c>
      <c r="M124" s="8">
        <f>IF(A124="","",IF(I124="","",IF(I124&lt;0,"Bin it",IF(I124&lt;=Expiry_Warning_Days,"Use it or lose it",""))))</f>
        <v>0</v>
      </c>
      <c r="N124" s="26"/>
      <c r="O124" s="27"/>
      <c r="P124" s="27"/>
      <c r="Q124" s="7"/>
      <c r="R124" s="26"/>
      <c r="S124" s="25"/>
    </row>
  </sheetData>
  <sheetProtection password="EC7C" sheet="1" objects="1" scenarios="1" selectLockedCells="1" selectUnlockedCells="1"/>
  <autoFilter ref="A4:S124"/>
  <conditionalFormatting sqref="A101:S101">
    <cfRule type="expression" dxfId="0" priority="49">
      <formula>MOD(ROW(),2)=0</formula>
    </cfRule>
  </conditionalFormatting>
  <conditionalFormatting sqref="A103:S103">
    <cfRule type="expression" dxfId="0" priority="50">
      <formula>MOD(ROW(),2)=0</formula>
    </cfRule>
  </conditionalFormatting>
  <conditionalFormatting sqref="A105:S105">
    <cfRule type="expression" dxfId="0" priority="51">
      <formula>MOD(ROW(),2)=0</formula>
    </cfRule>
  </conditionalFormatting>
  <conditionalFormatting sqref="A107:S107">
    <cfRule type="expression" dxfId="0" priority="52">
      <formula>MOD(ROW(),2)=0</formula>
    </cfRule>
  </conditionalFormatting>
  <conditionalFormatting sqref="A109:S109">
    <cfRule type="expression" dxfId="0" priority="53">
      <formula>MOD(ROW(),2)=0</formula>
    </cfRule>
  </conditionalFormatting>
  <conditionalFormatting sqref="A111:S111">
    <cfRule type="expression" dxfId="0" priority="54">
      <formula>MOD(ROW(),2)=0</formula>
    </cfRule>
  </conditionalFormatting>
  <conditionalFormatting sqref="A113:S113">
    <cfRule type="expression" dxfId="0" priority="55">
      <formula>MOD(ROW(),2)=0</formula>
    </cfRule>
  </conditionalFormatting>
  <conditionalFormatting sqref="A115:S115">
    <cfRule type="expression" dxfId="0" priority="56">
      <formula>MOD(ROW(),2)=0</formula>
    </cfRule>
  </conditionalFormatting>
  <conditionalFormatting sqref="A117:S117">
    <cfRule type="expression" dxfId="0" priority="57">
      <formula>MOD(ROW(),2)=0</formula>
    </cfRule>
  </conditionalFormatting>
  <conditionalFormatting sqref="A119:S119">
    <cfRule type="expression" dxfId="0" priority="58">
      <formula>MOD(ROW(),2)=0</formula>
    </cfRule>
  </conditionalFormatting>
  <conditionalFormatting sqref="A11:S11">
    <cfRule type="expression" dxfId="0" priority="4">
      <formula>MOD(ROW(),2)=0</formula>
    </cfRule>
  </conditionalFormatting>
  <conditionalFormatting sqref="A121:S121">
    <cfRule type="expression" dxfId="0" priority="59">
      <formula>MOD(ROW(),2)=0</formula>
    </cfRule>
  </conditionalFormatting>
  <conditionalFormatting sqref="A123:S123">
    <cfRule type="expression" dxfId="0" priority="60">
      <formula>MOD(ROW(),2)=0</formula>
    </cfRule>
  </conditionalFormatting>
  <conditionalFormatting sqref="A13:S13">
    <cfRule type="expression" dxfId="0" priority="5">
      <formula>MOD(ROW(),2)=0</formula>
    </cfRule>
  </conditionalFormatting>
  <conditionalFormatting sqref="A15:S15">
    <cfRule type="expression" dxfId="0" priority="6">
      <formula>MOD(ROW(),2)=0</formula>
    </cfRule>
  </conditionalFormatting>
  <conditionalFormatting sqref="A17:S17">
    <cfRule type="expression" dxfId="0" priority="7">
      <formula>MOD(ROW(),2)=0</formula>
    </cfRule>
  </conditionalFormatting>
  <conditionalFormatting sqref="A19:S19">
    <cfRule type="expression" dxfId="0" priority="8">
      <formula>MOD(ROW(),2)=0</formula>
    </cfRule>
  </conditionalFormatting>
  <conditionalFormatting sqref="A21:S21">
    <cfRule type="expression" dxfId="0" priority="9">
      <formula>MOD(ROW(),2)=0</formula>
    </cfRule>
  </conditionalFormatting>
  <conditionalFormatting sqref="A23:S23">
    <cfRule type="expression" dxfId="0" priority="10">
      <formula>MOD(ROW(),2)=0</formula>
    </cfRule>
  </conditionalFormatting>
  <conditionalFormatting sqref="A25:S25">
    <cfRule type="expression" dxfId="0" priority="11">
      <formula>MOD(ROW(),2)=0</formula>
    </cfRule>
  </conditionalFormatting>
  <conditionalFormatting sqref="A27:S27">
    <cfRule type="expression" dxfId="0" priority="12">
      <formula>MOD(ROW(),2)=0</formula>
    </cfRule>
  </conditionalFormatting>
  <conditionalFormatting sqref="A29:S29">
    <cfRule type="expression" dxfId="0" priority="13">
      <formula>MOD(ROW(),2)=0</formula>
    </cfRule>
  </conditionalFormatting>
  <conditionalFormatting sqref="A31:S31">
    <cfRule type="expression" dxfId="0" priority="14">
      <formula>MOD(ROW(),2)=0</formula>
    </cfRule>
  </conditionalFormatting>
  <conditionalFormatting sqref="A33:S33">
    <cfRule type="expression" dxfId="0" priority="15">
      <formula>MOD(ROW(),2)=0</formula>
    </cfRule>
  </conditionalFormatting>
  <conditionalFormatting sqref="A35:S35">
    <cfRule type="expression" dxfId="0" priority="16">
      <formula>MOD(ROW(),2)=0</formula>
    </cfRule>
  </conditionalFormatting>
  <conditionalFormatting sqref="A37:S37">
    <cfRule type="expression" dxfId="0" priority="17">
      <formula>MOD(ROW(),2)=0</formula>
    </cfRule>
  </conditionalFormatting>
  <conditionalFormatting sqref="A39:S39">
    <cfRule type="expression" dxfId="0" priority="18">
      <formula>MOD(ROW(),2)=0</formula>
    </cfRule>
  </conditionalFormatting>
  <conditionalFormatting sqref="A41:S41">
    <cfRule type="expression" dxfId="0" priority="19">
      <formula>MOD(ROW(),2)=0</formula>
    </cfRule>
  </conditionalFormatting>
  <conditionalFormatting sqref="A43:S43">
    <cfRule type="expression" dxfId="0" priority="20">
      <formula>MOD(ROW(),2)=0</formula>
    </cfRule>
  </conditionalFormatting>
  <conditionalFormatting sqref="A45:S45">
    <cfRule type="expression" dxfId="0" priority="21">
      <formula>MOD(ROW(),2)=0</formula>
    </cfRule>
  </conditionalFormatting>
  <conditionalFormatting sqref="A47:S47">
    <cfRule type="expression" dxfId="0" priority="22">
      <formula>MOD(ROW(),2)=0</formula>
    </cfRule>
  </conditionalFormatting>
  <conditionalFormatting sqref="A49:S49">
    <cfRule type="expression" dxfId="0" priority="23">
      <formula>MOD(ROW(),2)=0</formula>
    </cfRule>
  </conditionalFormatting>
  <conditionalFormatting sqref="A51:S51">
    <cfRule type="expression" dxfId="0" priority="24">
      <formula>MOD(ROW(),2)=0</formula>
    </cfRule>
  </conditionalFormatting>
  <conditionalFormatting sqref="A53:S53">
    <cfRule type="expression" dxfId="0" priority="25">
      <formula>MOD(ROW(),2)=0</formula>
    </cfRule>
  </conditionalFormatting>
  <conditionalFormatting sqref="A55:S55">
    <cfRule type="expression" dxfId="0" priority="26">
      <formula>MOD(ROW(),2)=0</formula>
    </cfRule>
  </conditionalFormatting>
  <conditionalFormatting sqref="A57:S57">
    <cfRule type="expression" dxfId="0" priority="27">
      <formula>MOD(ROW(),2)=0</formula>
    </cfRule>
  </conditionalFormatting>
  <conditionalFormatting sqref="A59:S59">
    <cfRule type="expression" dxfId="0" priority="28">
      <formula>MOD(ROW(),2)=0</formula>
    </cfRule>
  </conditionalFormatting>
  <conditionalFormatting sqref="A5:S5">
    <cfRule type="expression" dxfId="0" priority="1">
      <formula>MOD(ROW(),2)=0</formula>
    </cfRule>
  </conditionalFormatting>
  <conditionalFormatting sqref="A61:S61">
    <cfRule type="expression" dxfId="0" priority="29">
      <formula>MOD(ROW(),2)=0</formula>
    </cfRule>
  </conditionalFormatting>
  <conditionalFormatting sqref="A63:S63">
    <cfRule type="expression" dxfId="0" priority="30">
      <formula>MOD(ROW(),2)=0</formula>
    </cfRule>
  </conditionalFormatting>
  <conditionalFormatting sqref="A65:S65">
    <cfRule type="expression" dxfId="0" priority="31">
      <formula>MOD(ROW(),2)=0</formula>
    </cfRule>
  </conditionalFormatting>
  <conditionalFormatting sqref="A67:S67">
    <cfRule type="expression" dxfId="0" priority="32">
      <formula>MOD(ROW(),2)=0</formula>
    </cfRule>
  </conditionalFormatting>
  <conditionalFormatting sqref="A69:S69">
    <cfRule type="expression" dxfId="0" priority="33">
      <formula>MOD(ROW(),2)=0</formula>
    </cfRule>
  </conditionalFormatting>
  <conditionalFormatting sqref="A71:S71">
    <cfRule type="expression" dxfId="0" priority="34">
      <formula>MOD(ROW(),2)=0</formula>
    </cfRule>
  </conditionalFormatting>
  <conditionalFormatting sqref="A73:S73">
    <cfRule type="expression" dxfId="0" priority="35">
      <formula>MOD(ROW(),2)=0</formula>
    </cfRule>
  </conditionalFormatting>
  <conditionalFormatting sqref="A75:S75">
    <cfRule type="expression" dxfId="0" priority="36">
      <formula>MOD(ROW(),2)=0</formula>
    </cfRule>
  </conditionalFormatting>
  <conditionalFormatting sqref="A77:S77">
    <cfRule type="expression" dxfId="0" priority="37">
      <formula>MOD(ROW(),2)=0</formula>
    </cfRule>
  </conditionalFormatting>
  <conditionalFormatting sqref="A79:S79">
    <cfRule type="expression" dxfId="0" priority="38">
      <formula>MOD(ROW(),2)=0</formula>
    </cfRule>
  </conditionalFormatting>
  <conditionalFormatting sqref="A7:S7">
    <cfRule type="expression" dxfId="0" priority="2">
      <formula>MOD(ROW(),2)=0</formula>
    </cfRule>
  </conditionalFormatting>
  <conditionalFormatting sqref="A81:S81">
    <cfRule type="expression" dxfId="0" priority="39">
      <formula>MOD(ROW(),2)=0</formula>
    </cfRule>
  </conditionalFormatting>
  <conditionalFormatting sqref="A83:S83">
    <cfRule type="expression" dxfId="0" priority="40">
      <formula>MOD(ROW(),2)=0</formula>
    </cfRule>
  </conditionalFormatting>
  <conditionalFormatting sqref="A85:S85">
    <cfRule type="expression" dxfId="0" priority="41">
      <formula>MOD(ROW(),2)=0</formula>
    </cfRule>
  </conditionalFormatting>
  <conditionalFormatting sqref="A87:S87">
    <cfRule type="expression" dxfId="0" priority="42">
      <formula>MOD(ROW(),2)=0</formula>
    </cfRule>
  </conditionalFormatting>
  <conditionalFormatting sqref="A89:S89">
    <cfRule type="expression" dxfId="0" priority="43">
      <formula>MOD(ROW(),2)=0</formula>
    </cfRule>
  </conditionalFormatting>
  <conditionalFormatting sqref="A91:S91">
    <cfRule type="expression" dxfId="0" priority="44">
      <formula>MOD(ROW(),2)=0</formula>
    </cfRule>
  </conditionalFormatting>
  <conditionalFormatting sqref="A93:S93">
    <cfRule type="expression" dxfId="0" priority="45">
      <formula>MOD(ROW(),2)=0</formula>
    </cfRule>
  </conditionalFormatting>
  <conditionalFormatting sqref="A95:S95">
    <cfRule type="expression" dxfId="0" priority="46">
      <formula>MOD(ROW(),2)=0</formula>
    </cfRule>
  </conditionalFormatting>
  <conditionalFormatting sqref="A97:S97">
    <cfRule type="expression" dxfId="0" priority="47">
      <formula>MOD(ROW(),2)=0</formula>
    </cfRule>
  </conditionalFormatting>
  <conditionalFormatting sqref="A99:S99">
    <cfRule type="expression" dxfId="0" priority="48">
      <formula>MOD(ROW(),2)=0</formula>
    </cfRule>
  </conditionalFormatting>
  <conditionalFormatting sqref="A9:S9">
    <cfRule type="expression" dxfId="0" priority="3">
      <formula>MOD(ROW(),2)=0</formula>
    </cfRule>
  </conditionalFormatting>
  <dataValidations count="840">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Spreadsheet&amp;R&amp;"Calibri,Italic"Leftovers</oddHeader>
    <oddFooter>&amp;LPage &amp;P of &amp;N&amp;R&amp;D</oddFooter>
  </headerFooter>
  <legacyDrawing r:id="rId1"/>
</worksheet>
</file>

<file path=xl/worksheets/sheet16.xml><?xml version="1.0" encoding="utf-8"?>
<worksheet xmlns="http://schemas.openxmlformats.org/spreadsheetml/2006/main" xmlns:r="http://schemas.openxmlformats.org/officeDocument/2006/relationships">
  <sheetPr>
    <tabColor rgb="FFD9703C"/>
    <pageSetUpPr fitToPage="1"/>
  </sheetPr>
  <dimension ref="A4:T15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customWidth="1"/>
    <col min="2" max="2" width="12.7109375" customWidth="1"/>
    <col min="3" max="3" width="24.7109375" customWidth="1"/>
    <col min="4" max="4" width="16.7109375" customWidth="1"/>
    <col min="5" max="6" width="10.7109375" customWidth="1"/>
    <col min="7" max="8" width="11.7109375" customWidth="1"/>
    <col min="9" max="9" width="20.7109375" customWidth="1"/>
    <col min="10" max="10" width="22.7109375" customWidth="1"/>
    <col min="11" max="11" width="12.7109375" customWidth="1"/>
    <col min="12" max="12" width="10.7109375" customWidth="1"/>
    <col min="13" max="13" width="14.7109375" customWidth="1"/>
    <col min="14" max="14" width="18.7109375" customWidth="1"/>
    <col min="15" max="15" width="11.7109375" customWidth="1"/>
    <col min="16" max="17" width="12.7109375" customWidth="1"/>
    <col min="18" max="18" width="10.7109375" customWidth="1"/>
    <col min="19" max="19" width="13.7109375" customWidth="1"/>
    <col min="20" max="20" width="30.7109375" customWidth="1"/>
  </cols>
  <sheetData>
    <row r="4" spans="1:20" ht="32" customHeight="1">
      <c r="A4" s="9" t="s">
        <v>429</v>
      </c>
      <c r="B4" s="9" t="s">
        <v>128</v>
      </c>
      <c r="C4" s="9" t="s">
        <v>147</v>
      </c>
      <c r="D4" s="9" t="s">
        <v>282</v>
      </c>
      <c r="E4" s="9" t="s">
        <v>149</v>
      </c>
      <c r="F4" s="9" t="s">
        <v>323</v>
      </c>
      <c r="G4" s="9" t="s">
        <v>325</v>
      </c>
      <c r="H4" s="9" t="s">
        <v>430</v>
      </c>
      <c r="I4" s="9" t="s">
        <v>431</v>
      </c>
      <c r="J4" s="9" t="s">
        <v>398</v>
      </c>
      <c r="K4" s="9" t="s">
        <v>432</v>
      </c>
      <c r="L4" s="9" t="s">
        <v>433</v>
      </c>
      <c r="M4" s="9" t="s">
        <v>408</v>
      </c>
      <c r="N4" s="9" t="s">
        <v>434</v>
      </c>
      <c r="O4" s="9" t="s">
        <v>109</v>
      </c>
      <c r="P4" s="9" t="s">
        <v>435</v>
      </c>
      <c r="Q4" s="9" t="s">
        <v>436</v>
      </c>
      <c r="R4" s="9" t="s">
        <v>360</v>
      </c>
      <c r="S4" s="9" t="s">
        <v>135</v>
      </c>
      <c r="T4" s="9" t="s">
        <v>173</v>
      </c>
    </row>
    <row r="5" spans="1:20">
      <c r="A5" s="7"/>
      <c r="B5" s="30"/>
      <c r="C5" s="7"/>
      <c r="D5" s="8">
        <f>IF(C5="","",IFERROR(INDEX(Ingredients!$B$5:$B$304,MATCH(C5,Ingredients!$A$5:$A$304,0)),""))</f>
        <v>0</v>
      </c>
      <c r="E5" s="26"/>
      <c r="F5" s="27"/>
      <c r="G5" s="8">
        <f>IF(C5="","",IFERROR(INDEX(Ingredients!$D$5:$D$304,MATCH(C5,Ingredients!$A$5:$A$304,0)),""))</f>
        <v>0</v>
      </c>
      <c r="H5" s="8">
        <f>IF(OR(C5="",E5="",G5=""),"",E5*G5)</f>
        <v>0</v>
      </c>
      <c r="I5" s="27"/>
      <c r="J5" s="27"/>
      <c r="K5" s="27"/>
      <c r="L5" s="27"/>
      <c r="M5" s="7"/>
      <c r="N5" s="27"/>
      <c r="O5" s="8">
        <f>IF(B5="","",TEXT(B5,"mmm yyyy"))</f>
        <v>0</v>
      </c>
      <c r="P5" s="8">
        <f>IF(OR(B5="",H5=""),"",SUMIFS($H$5:$H$154,$O$5:$O$154,O5))</f>
        <v>0</v>
      </c>
      <c r="Q5" s="8">
        <f>IF(OR(H5="",P5="",P5=0),"",H5/P5)</f>
        <v>0</v>
      </c>
      <c r="R5" s="8">
        <f>IF(OR(C5="",E5=""),"",COUNTIFS($E$5:$E$154,"&gt;"&amp;E5)+1)</f>
        <v>0</v>
      </c>
      <c r="S5" s="8">
        <f>IF(C5="","",IF(L5="No","Unavoidable","Avoidable"))</f>
        <v>0</v>
      </c>
      <c r="T5" s="25"/>
    </row>
    <row r="6" spans="1:20">
      <c r="A6" s="7"/>
      <c r="B6" s="30"/>
      <c r="C6" s="7"/>
      <c r="D6" s="8">
        <f>IF(C6="","",IFERROR(INDEX(Ingredients!$B$5:$B$304,MATCH(C6,Ingredients!$A$5:$A$304,0)),""))</f>
        <v>0</v>
      </c>
      <c r="E6" s="26"/>
      <c r="F6" s="27"/>
      <c r="G6" s="8">
        <f>IF(C6="","",IFERROR(INDEX(Ingredients!$D$5:$D$304,MATCH(C6,Ingredients!$A$5:$A$304,0)),""))</f>
        <v>0</v>
      </c>
      <c r="H6" s="8">
        <f>IF(OR(C6="",E6="",G6=""),"",E6*G6)</f>
        <v>0</v>
      </c>
      <c r="I6" s="27"/>
      <c r="J6" s="27"/>
      <c r="K6" s="27"/>
      <c r="L6" s="27"/>
      <c r="M6" s="7"/>
      <c r="N6" s="27"/>
      <c r="O6" s="8">
        <f>IF(B6="","",TEXT(B6,"mmm yyyy"))</f>
        <v>0</v>
      </c>
      <c r="P6" s="8">
        <f>IF(OR(B6="",H6=""),"",SUMIFS($H$5:$H$154,$O$5:$O$154,O6))</f>
        <v>0</v>
      </c>
      <c r="Q6" s="8">
        <f>IF(OR(H6="",P6="",P6=0),"",H6/P6)</f>
        <v>0</v>
      </c>
      <c r="R6" s="8">
        <f>IF(OR(C6="",E6=""),"",COUNTIFS($E$5:$E$154,"&gt;"&amp;E6)+1)</f>
        <v>0</v>
      </c>
      <c r="S6" s="8">
        <f>IF(C6="","",IF(L6="No","Unavoidable","Avoidable"))</f>
        <v>0</v>
      </c>
      <c r="T6" s="25"/>
    </row>
    <row r="7" spans="1:20">
      <c r="A7" s="7"/>
      <c r="B7" s="30"/>
      <c r="C7" s="7"/>
      <c r="D7" s="8">
        <f>IF(C7="","",IFERROR(INDEX(Ingredients!$B$5:$B$304,MATCH(C7,Ingredients!$A$5:$A$304,0)),""))</f>
        <v>0</v>
      </c>
      <c r="E7" s="26"/>
      <c r="F7" s="27"/>
      <c r="G7" s="8">
        <f>IF(C7="","",IFERROR(INDEX(Ingredients!$D$5:$D$304,MATCH(C7,Ingredients!$A$5:$A$304,0)),""))</f>
        <v>0</v>
      </c>
      <c r="H7" s="8">
        <f>IF(OR(C7="",E7="",G7=""),"",E7*G7)</f>
        <v>0</v>
      </c>
      <c r="I7" s="27"/>
      <c r="J7" s="27"/>
      <c r="K7" s="27"/>
      <c r="L7" s="27"/>
      <c r="M7" s="7"/>
      <c r="N7" s="27"/>
      <c r="O7" s="8">
        <f>IF(B7="","",TEXT(B7,"mmm yyyy"))</f>
        <v>0</v>
      </c>
      <c r="P7" s="8">
        <f>IF(OR(B7="",H7=""),"",SUMIFS($H$5:$H$154,$O$5:$O$154,O7))</f>
        <v>0</v>
      </c>
      <c r="Q7" s="8">
        <f>IF(OR(H7="",P7="",P7=0),"",H7/P7)</f>
        <v>0</v>
      </c>
      <c r="R7" s="8">
        <f>IF(OR(C7="",E7=""),"",COUNTIFS($E$5:$E$154,"&gt;"&amp;E7)+1)</f>
        <v>0</v>
      </c>
      <c r="S7" s="8">
        <f>IF(C7="","",IF(L7="No","Unavoidable","Avoidable"))</f>
        <v>0</v>
      </c>
      <c r="T7" s="25"/>
    </row>
    <row r="8" spans="1:20">
      <c r="A8" s="7"/>
      <c r="B8" s="30"/>
      <c r="C8" s="7"/>
      <c r="D8" s="8">
        <f>IF(C8="","",IFERROR(INDEX(Ingredients!$B$5:$B$304,MATCH(C8,Ingredients!$A$5:$A$304,0)),""))</f>
        <v>0</v>
      </c>
      <c r="E8" s="26"/>
      <c r="F8" s="27"/>
      <c r="G8" s="8">
        <f>IF(C8="","",IFERROR(INDEX(Ingredients!$D$5:$D$304,MATCH(C8,Ingredients!$A$5:$A$304,0)),""))</f>
        <v>0</v>
      </c>
      <c r="H8" s="8">
        <f>IF(OR(C8="",E8="",G8=""),"",E8*G8)</f>
        <v>0</v>
      </c>
      <c r="I8" s="27"/>
      <c r="J8" s="27"/>
      <c r="K8" s="27"/>
      <c r="L8" s="27"/>
      <c r="M8" s="7"/>
      <c r="N8" s="27"/>
      <c r="O8" s="8">
        <f>IF(B8="","",TEXT(B8,"mmm yyyy"))</f>
        <v>0</v>
      </c>
      <c r="P8" s="8">
        <f>IF(OR(B8="",H8=""),"",SUMIFS($H$5:$H$154,$O$5:$O$154,O8))</f>
        <v>0</v>
      </c>
      <c r="Q8" s="8">
        <f>IF(OR(H8="",P8="",P8=0),"",H8/P8)</f>
        <v>0</v>
      </c>
      <c r="R8" s="8">
        <f>IF(OR(C8="",E8=""),"",COUNTIFS($E$5:$E$154,"&gt;"&amp;E8)+1)</f>
        <v>0</v>
      </c>
      <c r="S8" s="8">
        <f>IF(C8="","",IF(L8="No","Unavoidable","Avoidable"))</f>
        <v>0</v>
      </c>
      <c r="T8" s="25"/>
    </row>
    <row r="9" spans="1:20">
      <c r="A9" s="7"/>
      <c r="B9" s="30"/>
      <c r="C9" s="7"/>
      <c r="D9" s="8">
        <f>IF(C9="","",IFERROR(INDEX(Ingredients!$B$5:$B$304,MATCH(C9,Ingredients!$A$5:$A$304,0)),""))</f>
        <v>0</v>
      </c>
      <c r="E9" s="26"/>
      <c r="F9" s="27"/>
      <c r="G9" s="8">
        <f>IF(C9="","",IFERROR(INDEX(Ingredients!$D$5:$D$304,MATCH(C9,Ingredients!$A$5:$A$304,0)),""))</f>
        <v>0</v>
      </c>
      <c r="H9" s="8">
        <f>IF(OR(C9="",E9="",G9=""),"",E9*G9)</f>
        <v>0</v>
      </c>
      <c r="I9" s="27"/>
      <c r="J9" s="27"/>
      <c r="K9" s="27"/>
      <c r="L9" s="27"/>
      <c r="M9" s="7"/>
      <c r="N9" s="27"/>
      <c r="O9" s="8">
        <f>IF(B9="","",TEXT(B9,"mmm yyyy"))</f>
        <v>0</v>
      </c>
      <c r="P9" s="8">
        <f>IF(OR(B9="",H9=""),"",SUMIFS($H$5:$H$154,$O$5:$O$154,O9))</f>
        <v>0</v>
      </c>
      <c r="Q9" s="8">
        <f>IF(OR(H9="",P9="",P9=0),"",H9/P9)</f>
        <v>0</v>
      </c>
      <c r="R9" s="8">
        <f>IF(OR(C9="",E9=""),"",COUNTIFS($E$5:$E$154,"&gt;"&amp;E9)+1)</f>
        <v>0</v>
      </c>
      <c r="S9" s="8">
        <f>IF(C9="","",IF(L9="No","Unavoidable","Avoidable"))</f>
        <v>0</v>
      </c>
      <c r="T9" s="25"/>
    </row>
    <row r="10" spans="1:20">
      <c r="A10" s="7"/>
      <c r="B10" s="30"/>
      <c r="C10" s="7"/>
      <c r="D10" s="8">
        <f>IF(C10="","",IFERROR(INDEX(Ingredients!$B$5:$B$304,MATCH(C10,Ingredients!$A$5:$A$304,0)),""))</f>
        <v>0</v>
      </c>
      <c r="E10" s="26"/>
      <c r="F10" s="27"/>
      <c r="G10" s="8">
        <f>IF(C10="","",IFERROR(INDEX(Ingredients!$D$5:$D$304,MATCH(C10,Ingredients!$A$5:$A$304,0)),""))</f>
        <v>0</v>
      </c>
      <c r="H10" s="8">
        <f>IF(OR(C10="",E10="",G10=""),"",E10*G10)</f>
        <v>0</v>
      </c>
      <c r="I10" s="27"/>
      <c r="J10" s="27"/>
      <c r="K10" s="27"/>
      <c r="L10" s="27"/>
      <c r="M10" s="7"/>
      <c r="N10" s="27"/>
      <c r="O10" s="8">
        <f>IF(B10="","",TEXT(B10,"mmm yyyy"))</f>
        <v>0</v>
      </c>
      <c r="P10" s="8">
        <f>IF(OR(B10="",H10=""),"",SUMIFS($H$5:$H$154,$O$5:$O$154,O10))</f>
        <v>0</v>
      </c>
      <c r="Q10" s="8">
        <f>IF(OR(H10="",P10="",P10=0),"",H10/P10)</f>
        <v>0</v>
      </c>
      <c r="R10" s="8">
        <f>IF(OR(C10="",E10=""),"",COUNTIFS($E$5:$E$154,"&gt;"&amp;E10)+1)</f>
        <v>0</v>
      </c>
      <c r="S10" s="8">
        <f>IF(C10="","",IF(L10="No","Unavoidable","Avoidable"))</f>
        <v>0</v>
      </c>
      <c r="T10" s="25"/>
    </row>
    <row r="11" spans="1:20">
      <c r="A11" s="7"/>
      <c r="B11" s="30"/>
      <c r="C11" s="7"/>
      <c r="D11" s="8">
        <f>IF(C11="","",IFERROR(INDEX(Ingredients!$B$5:$B$304,MATCH(C11,Ingredients!$A$5:$A$304,0)),""))</f>
        <v>0</v>
      </c>
      <c r="E11" s="26"/>
      <c r="F11" s="27"/>
      <c r="G11" s="8">
        <f>IF(C11="","",IFERROR(INDEX(Ingredients!$D$5:$D$304,MATCH(C11,Ingredients!$A$5:$A$304,0)),""))</f>
        <v>0</v>
      </c>
      <c r="H11" s="8">
        <f>IF(OR(C11="",E11="",G11=""),"",E11*G11)</f>
        <v>0</v>
      </c>
      <c r="I11" s="27"/>
      <c r="J11" s="27"/>
      <c r="K11" s="27"/>
      <c r="L11" s="27"/>
      <c r="M11" s="7"/>
      <c r="N11" s="27"/>
      <c r="O11" s="8">
        <f>IF(B11="","",TEXT(B11,"mmm yyyy"))</f>
        <v>0</v>
      </c>
      <c r="P11" s="8">
        <f>IF(OR(B11="",H11=""),"",SUMIFS($H$5:$H$154,$O$5:$O$154,O11))</f>
        <v>0</v>
      </c>
      <c r="Q11" s="8">
        <f>IF(OR(H11="",P11="",P11=0),"",H11/P11)</f>
        <v>0</v>
      </c>
      <c r="R11" s="8">
        <f>IF(OR(C11="",E11=""),"",COUNTIFS($E$5:$E$154,"&gt;"&amp;E11)+1)</f>
        <v>0</v>
      </c>
      <c r="S11" s="8">
        <f>IF(C11="","",IF(L11="No","Unavoidable","Avoidable"))</f>
        <v>0</v>
      </c>
      <c r="T11" s="25"/>
    </row>
    <row r="12" spans="1:20">
      <c r="A12" s="7"/>
      <c r="B12" s="30"/>
      <c r="C12" s="7"/>
      <c r="D12" s="8">
        <f>IF(C12="","",IFERROR(INDEX(Ingredients!$B$5:$B$304,MATCH(C12,Ingredients!$A$5:$A$304,0)),""))</f>
        <v>0</v>
      </c>
      <c r="E12" s="26"/>
      <c r="F12" s="27"/>
      <c r="G12" s="8">
        <f>IF(C12="","",IFERROR(INDEX(Ingredients!$D$5:$D$304,MATCH(C12,Ingredients!$A$5:$A$304,0)),""))</f>
        <v>0</v>
      </c>
      <c r="H12" s="8">
        <f>IF(OR(C12="",E12="",G12=""),"",E12*G12)</f>
        <v>0</v>
      </c>
      <c r="I12" s="27"/>
      <c r="J12" s="27"/>
      <c r="K12" s="27"/>
      <c r="L12" s="27"/>
      <c r="M12" s="7"/>
      <c r="N12" s="27"/>
      <c r="O12" s="8">
        <f>IF(B12="","",TEXT(B12,"mmm yyyy"))</f>
        <v>0</v>
      </c>
      <c r="P12" s="8">
        <f>IF(OR(B12="",H12=""),"",SUMIFS($H$5:$H$154,$O$5:$O$154,O12))</f>
        <v>0</v>
      </c>
      <c r="Q12" s="8">
        <f>IF(OR(H12="",P12="",P12=0),"",H12/P12)</f>
        <v>0</v>
      </c>
      <c r="R12" s="8">
        <f>IF(OR(C12="",E12=""),"",COUNTIFS($E$5:$E$154,"&gt;"&amp;E12)+1)</f>
        <v>0</v>
      </c>
      <c r="S12" s="8">
        <f>IF(C12="","",IF(L12="No","Unavoidable","Avoidable"))</f>
        <v>0</v>
      </c>
      <c r="T12" s="25"/>
    </row>
    <row r="13" spans="1:20">
      <c r="A13" s="7"/>
      <c r="B13" s="30"/>
      <c r="C13" s="7"/>
      <c r="D13" s="8">
        <f>IF(C13="","",IFERROR(INDEX(Ingredients!$B$5:$B$304,MATCH(C13,Ingredients!$A$5:$A$304,0)),""))</f>
        <v>0</v>
      </c>
      <c r="E13" s="26"/>
      <c r="F13" s="27"/>
      <c r="G13" s="8">
        <f>IF(C13="","",IFERROR(INDEX(Ingredients!$D$5:$D$304,MATCH(C13,Ingredients!$A$5:$A$304,0)),""))</f>
        <v>0</v>
      </c>
      <c r="H13" s="8">
        <f>IF(OR(C13="",E13="",G13=""),"",E13*G13)</f>
        <v>0</v>
      </c>
      <c r="I13" s="27"/>
      <c r="J13" s="27"/>
      <c r="K13" s="27"/>
      <c r="L13" s="27"/>
      <c r="M13" s="7"/>
      <c r="N13" s="27"/>
      <c r="O13" s="8">
        <f>IF(B13="","",TEXT(B13,"mmm yyyy"))</f>
        <v>0</v>
      </c>
      <c r="P13" s="8">
        <f>IF(OR(B13="",H13=""),"",SUMIFS($H$5:$H$154,$O$5:$O$154,O13))</f>
        <v>0</v>
      </c>
      <c r="Q13" s="8">
        <f>IF(OR(H13="",P13="",P13=0),"",H13/P13)</f>
        <v>0</v>
      </c>
      <c r="R13" s="8">
        <f>IF(OR(C13="",E13=""),"",COUNTIFS($E$5:$E$154,"&gt;"&amp;E13)+1)</f>
        <v>0</v>
      </c>
      <c r="S13" s="8">
        <f>IF(C13="","",IF(L13="No","Unavoidable","Avoidable"))</f>
        <v>0</v>
      </c>
      <c r="T13" s="25"/>
    </row>
    <row r="14" spans="1:20">
      <c r="A14" s="7"/>
      <c r="B14" s="30"/>
      <c r="C14" s="7"/>
      <c r="D14" s="8">
        <f>IF(C14="","",IFERROR(INDEX(Ingredients!$B$5:$B$304,MATCH(C14,Ingredients!$A$5:$A$304,0)),""))</f>
        <v>0</v>
      </c>
      <c r="E14" s="26"/>
      <c r="F14" s="27"/>
      <c r="G14" s="8">
        <f>IF(C14="","",IFERROR(INDEX(Ingredients!$D$5:$D$304,MATCH(C14,Ingredients!$A$5:$A$304,0)),""))</f>
        <v>0</v>
      </c>
      <c r="H14" s="8">
        <f>IF(OR(C14="",E14="",G14=""),"",E14*G14)</f>
        <v>0</v>
      </c>
      <c r="I14" s="27"/>
      <c r="J14" s="27"/>
      <c r="K14" s="27"/>
      <c r="L14" s="27"/>
      <c r="M14" s="7"/>
      <c r="N14" s="27"/>
      <c r="O14" s="8">
        <f>IF(B14="","",TEXT(B14,"mmm yyyy"))</f>
        <v>0</v>
      </c>
      <c r="P14" s="8">
        <f>IF(OR(B14="",H14=""),"",SUMIFS($H$5:$H$154,$O$5:$O$154,O14))</f>
        <v>0</v>
      </c>
      <c r="Q14" s="8">
        <f>IF(OR(H14="",P14="",P14=0),"",H14/P14)</f>
        <v>0</v>
      </c>
      <c r="R14" s="8">
        <f>IF(OR(C14="",E14=""),"",COUNTIFS($E$5:$E$154,"&gt;"&amp;E14)+1)</f>
        <v>0</v>
      </c>
      <c r="S14" s="8">
        <f>IF(C14="","",IF(L14="No","Unavoidable","Avoidable"))</f>
        <v>0</v>
      </c>
      <c r="T14" s="25"/>
    </row>
    <row r="15" spans="1:20">
      <c r="A15" s="7"/>
      <c r="B15" s="30"/>
      <c r="C15" s="7"/>
      <c r="D15" s="8">
        <f>IF(C15="","",IFERROR(INDEX(Ingredients!$B$5:$B$304,MATCH(C15,Ingredients!$A$5:$A$304,0)),""))</f>
        <v>0</v>
      </c>
      <c r="E15" s="26"/>
      <c r="F15" s="27"/>
      <c r="G15" s="8">
        <f>IF(C15="","",IFERROR(INDEX(Ingredients!$D$5:$D$304,MATCH(C15,Ingredients!$A$5:$A$304,0)),""))</f>
        <v>0</v>
      </c>
      <c r="H15" s="8">
        <f>IF(OR(C15="",E15="",G15=""),"",E15*G15)</f>
        <v>0</v>
      </c>
      <c r="I15" s="27"/>
      <c r="J15" s="27"/>
      <c r="K15" s="27"/>
      <c r="L15" s="27"/>
      <c r="M15" s="7"/>
      <c r="N15" s="27"/>
      <c r="O15" s="8">
        <f>IF(B15="","",TEXT(B15,"mmm yyyy"))</f>
        <v>0</v>
      </c>
      <c r="P15" s="8">
        <f>IF(OR(B15="",H15=""),"",SUMIFS($H$5:$H$154,$O$5:$O$154,O15))</f>
        <v>0</v>
      </c>
      <c r="Q15" s="8">
        <f>IF(OR(H15="",P15="",P15=0),"",H15/P15)</f>
        <v>0</v>
      </c>
      <c r="R15" s="8">
        <f>IF(OR(C15="",E15=""),"",COUNTIFS($E$5:$E$154,"&gt;"&amp;E15)+1)</f>
        <v>0</v>
      </c>
      <c r="S15" s="8">
        <f>IF(C15="","",IF(L15="No","Unavoidable","Avoidable"))</f>
        <v>0</v>
      </c>
      <c r="T15" s="25"/>
    </row>
    <row r="16" spans="1:20">
      <c r="A16" s="7"/>
      <c r="B16" s="30"/>
      <c r="C16" s="7"/>
      <c r="D16" s="8">
        <f>IF(C16="","",IFERROR(INDEX(Ingredients!$B$5:$B$304,MATCH(C16,Ingredients!$A$5:$A$304,0)),""))</f>
        <v>0</v>
      </c>
      <c r="E16" s="26"/>
      <c r="F16" s="27"/>
      <c r="G16" s="8">
        <f>IF(C16="","",IFERROR(INDEX(Ingredients!$D$5:$D$304,MATCH(C16,Ingredients!$A$5:$A$304,0)),""))</f>
        <v>0</v>
      </c>
      <c r="H16" s="8">
        <f>IF(OR(C16="",E16="",G16=""),"",E16*G16)</f>
        <v>0</v>
      </c>
      <c r="I16" s="27"/>
      <c r="J16" s="27"/>
      <c r="K16" s="27"/>
      <c r="L16" s="27"/>
      <c r="M16" s="7"/>
      <c r="N16" s="27"/>
      <c r="O16" s="8">
        <f>IF(B16="","",TEXT(B16,"mmm yyyy"))</f>
        <v>0</v>
      </c>
      <c r="P16" s="8">
        <f>IF(OR(B16="",H16=""),"",SUMIFS($H$5:$H$154,$O$5:$O$154,O16))</f>
        <v>0</v>
      </c>
      <c r="Q16" s="8">
        <f>IF(OR(H16="",P16="",P16=0),"",H16/P16)</f>
        <v>0</v>
      </c>
      <c r="R16" s="8">
        <f>IF(OR(C16="",E16=""),"",COUNTIFS($E$5:$E$154,"&gt;"&amp;E16)+1)</f>
        <v>0</v>
      </c>
      <c r="S16" s="8">
        <f>IF(C16="","",IF(L16="No","Unavoidable","Avoidable"))</f>
        <v>0</v>
      </c>
      <c r="T16" s="25"/>
    </row>
    <row r="17" spans="1:20">
      <c r="A17" s="7"/>
      <c r="B17" s="30"/>
      <c r="C17" s="7"/>
      <c r="D17" s="8">
        <f>IF(C17="","",IFERROR(INDEX(Ingredients!$B$5:$B$304,MATCH(C17,Ingredients!$A$5:$A$304,0)),""))</f>
        <v>0</v>
      </c>
      <c r="E17" s="26"/>
      <c r="F17" s="27"/>
      <c r="G17" s="8">
        <f>IF(C17="","",IFERROR(INDEX(Ingredients!$D$5:$D$304,MATCH(C17,Ingredients!$A$5:$A$304,0)),""))</f>
        <v>0</v>
      </c>
      <c r="H17" s="8">
        <f>IF(OR(C17="",E17="",G17=""),"",E17*G17)</f>
        <v>0</v>
      </c>
      <c r="I17" s="27"/>
      <c r="J17" s="27"/>
      <c r="K17" s="27"/>
      <c r="L17" s="27"/>
      <c r="M17" s="7"/>
      <c r="N17" s="27"/>
      <c r="O17" s="8">
        <f>IF(B17="","",TEXT(B17,"mmm yyyy"))</f>
        <v>0</v>
      </c>
      <c r="P17" s="8">
        <f>IF(OR(B17="",H17=""),"",SUMIFS($H$5:$H$154,$O$5:$O$154,O17))</f>
        <v>0</v>
      </c>
      <c r="Q17" s="8">
        <f>IF(OR(H17="",P17="",P17=0),"",H17/P17)</f>
        <v>0</v>
      </c>
      <c r="R17" s="8">
        <f>IF(OR(C17="",E17=""),"",COUNTIFS($E$5:$E$154,"&gt;"&amp;E17)+1)</f>
        <v>0</v>
      </c>
      <c r="S17" s="8">
        <f>IF(C17="","",IF(L17="No","Unavoidable","Avoidable"))</f>
        <v>0</v>
      </c>
      <c r="T17" s="25"/>
    </row>
    <row r="18" spans="1:20">
      <c r="A18" s="7"/>
      <c r="B18" s="30"/>
      <c r="C18" s="7"/>
      <c r="D18" s="8">
        <f>IF(C18="","",IFERROR(INDEX(Ingredients!$B$5:$B$304,MATCH(C18,Ingredients!$A$5:$A$304,0)),""))</f>
        <v>0</v>
      </c>
      <c r="E18" s="26"/>
      <c r="F18" s="27"/>
      <c r="G18" s="8">
        <f>IF(C18="","",IFERROR(INDEX(Ingredients!$D$5:$D$304,MATCH(C18,Ingredients!$A$5:$A$304,0)),""))</f>
        <v>0</v>
      </c>
      <c r="H18" s="8">
        <f>IF(OR(C18="",E18="",G18=""),"",E18*G18)</f>
        <v>0</v>
      </c>
      <c r="I18" s="27"/>
      <c r="J18" s="27"/>
      <c r="K18" s="27"/>
      <c r="L18" s="27"/>
      <c r="M18" s="7"/>
      <c r="N18" s="27"/>
      <c r="O18" s="8">
        <f>IF(B18="","",TEXT(B18,"mmm yyyy"))</f>
        <v>0</v>
      </c>
      <c r="P18" s="8">
        <f>IF(OR(B18="",H18=""),"",SUMIFS($H$5:$H$154,$O$5:$O$154,O18))</f>
        <v>0</v>
      </c>
      <c r="Q18" s="8">
        <f>IF(OR(H18="",P18="",P18=0),"",H18/P18)</f>
        <v>0</v>
      </c>
      <c r="R18" s="8">
        <f>IF(OR(C18="",E18=""),"",COUNTIFS($E$5:$E$154,"&gt;"&amp;E18)+1)</f>
        <v>0</v>
      </c>
      <c r="S18" s="8">
        <f>IF(C18="","",IF(L18="No","Unavoidable","Avoidable"))</f>
        <v>0</v>
      </c>
      <c r="T18" s="25"/>
    </row>
    <row r="19" spans="1:20">
      <c r="A19" s="7"/>
      <c r="B19" s="30"/>
      <c r="C19" s="7"/>
      <c r="D19" s="8">
        <f>IF(C19="","",IFERROR(INDEX(Ingredients!$B$5:$B$304,MATCH(C19,Ingredients!$A$5:$A$304,0)),""))</f>
        <v>0</v>
      </c>
      <c r="E19" s="26"/>
      <c r="F19" s="27"/>
      <c r="G19" s="8">
        <f>IF(C19="","",IFERROR(INDEX(Ingredients!$D$5:$D$304,MATCH(C19,Ingredients!$A$5:$A$304,0)),""))</f>
        <v>0</v>
      </c>
      <c r="H19" s="8">
        <f>IF(OR(C19="",E19="",G19=""),"",E19*G19)</f>
        <v>0</v>
      </c>
      <c r="I19" s="27"/>
      <c r="J19" s="27"/>
      <c r="K19" s="27"/>
      <c r="L19" s="27"/>
      <c r="M19" s="7"/>
      <c r="N19" s="27"/>
      <c r="O19" s="8">
        <f>IF(B19="","",TEXT(B19,"mmm yyyy"))</f>
        <v>0</v>
      </c>
      <c r="P19" s="8">
        <f>IF(OR(B19="",H19=""),"",SUMIFS($H$5:$H$154,$O$5:$O$154,O19))</f>
        <v>0</v>
      </c>
      <c r="Q19" s="8">
        <f>IF(OR(H19="",P19="",P19=0),"",H19/P19)</f>
        <v>0</v>
      </c>
      <c r="R19" s="8">
        <f>IF(OR(C19="",E19=""),"",COUNTIFS($E$5:$E$154,"&gt;"&amp;E19)+1)</f>
        <v>0</v>
      </c>
      <c r="S19" s="8">
        <f>IF(C19="","",IF(L19="No","Unavoidable","Avoidable"))</f>
        <v>0</v>
      </c>
      <c r="T19" s="25"/>
    </row>
    <row r="20" spans="1:20">
      <c r="A20" s="7"/>
      <c r="B20" s="30"/>
      <c r="C20" s="7"/>
      <c r="D20" s="8">
        <f>IF(C20="","",IFERROR(INDEX(Ingredients!$B$5:$B$304,MATCH(C20,Ingredients!$A$5:$A$304,0)),""))</f>
        <v>0</v>
      </c>
      <c r="E20" s="26"/>
      <c r="F20" s="27"/>
      <c r="G20" s="8">
        <f>IF(C20="","",IFERROR(INDEX(Ingredients!$D$5:$D$304,MATCH(C20,Ingredients!$A$5:$A$304,0)),""))</f>
        <v>0</v>
      </c>
      <c r="H20" s="8">
        <f>IF(OR(C20="",E20="",G20=""),"",E20*G20)</f>
        <v>0</v>
      </c>
      <c r="I20" s="27"/>
      <c r="J20" s="27"/>
      <c r="K20" s="27"/>
      <c r="L20" s="27"/>
      <c r="M20" s="7"/>
      <c r="N20" s="27"/>
      <c r="O20" s="8">
        <f>IF(B20="","",TEXT(B20,"mmm yyyy"))</f>
        <v>0</v>
      </c>
      <c r="P20" s="8">
        <f>IF(OR(B20="",H20=""),"",SUMIFS($H$5:$H$154,$O$5:$O$154,O20))</f>
        <v>0</v>
      </c>
      <c r="Q20" s="8">
        <f>IF(OR(H20="",P20="",P20=0),"",H20/P20)</f>
        <v>0</v>
      </c>
      <c r="R20" s="8">
        <f>IF(OR(C20="",E20=""),"",COUNTIFS($E$5:$E$154,"&gt;"&amp;E20)+1)</f>
        <v>0</v>
      </c>
      <c r="S20" s="8">
        <f>IF(C20="","",IF(L20="No","Unavoidable","Avoidable"))</f>
        <v>0</v>
      </c>
      <c r="T20" s="25"/>
    </row>
    <row r="21" spans="1:20">
      <c r="A21" s="7"/>
      <c r="B21" s="30"/>
      <c r="C21" s="7"/>
      <c r="D21" s="8">
        <f>IF(C21="","",IFERROR(INDEX(Ingredients!$B$5:$B$304,MATCH(C21,Ingredients!$A$5:$A$304,0)),""))</f>
        <v>0</v>
      </c>
      <c r="E21" s="26"/>
      <c r="F21" s="27"/>
      <c r="G21" s="8">
        <f>IF(C21="","",IFERROR(INDEX(Ingredients!$D$5:$D$304,MATCH(C21,Ingredients!$A$5:$A$304,0)),""))</f>
        <v>0</v>
      </c>
      <c r="H21" s="8">
        <f>IF(OR(C21="",E21="",G21=""),"",E21*G21)</f>
        <v>0</v>
      </c>
      <c r="I21" s="27"/>
      <c r="J21" s="27"/>
      <c r="K21" s="27"/>
      <c r="L21" s="27"/>
      <c r="M21" s="7"/>
      <c r="N21" s="27"/>
      <c r="O21" s="8">
        <f>IF(B21="","",TEXT(B21,"mmm yyyy"))</f>
        <v>0</v>
      </c>
      <c r="P21" s="8">
        <f>IF(OR(B21="",H21=""),"",SUMIFS($H$5:$H$154,$O$5:$O$154,O21))</f>
        <v>0</v>
      </c>
      <c r="Q21" s="8">
        <f>IF(OR(H21="",P21="",P21=0),"",H21/P21)</f>
        <v>0</v>
      </c>
      <c r="R21" s="8">
        <f>IF(OR(C21="",E21=""),"",COUNTIFS($E$5:$E$154,"&gt;"&amp;E21)+1)</f>
        <v>0</v>
      </c>
      <c r="S21" s="8">
        <f>IF(C21="","",IF(L21="No","Unavoidable","Avoidable"))</f>
        <v>0</v>
      </c>
      <c r="T21" s="25"/>
    </row>
    <row r="22" spans="1:20">
      <c r="A22" s="7"/>
      <c r="B22" s="30"/>
      <c r="C22" s="7"/>
      <c r="D22" s="8">
        <f>IF(C22="","",IFERROR(INDEX(Ingredients!$B$5:$B$304,MATCH(C22,Ingredients!$A$5:$A$304,0)),""))</f>
        <v>0</v>
      </c>
      <c r="E22" s="26"/>
      <c r="F22" s="27"/>
      <c r="G22" s="8">
        <f>IF(C22="","",IFERROR(INDEX(Ingredients!$D$5:$D$304,MATCH(C22,Ingredients!$A$5:$A$304,0)),""))</f>
        <v>0</v>
      </c>
      <c r="H22" s="8">
        <f>IF(OR(C22="",E22="",G22=""),"",E22*G22)</f>
        <v>0</v>
      </c>
      <c r="I22" s="27"/>
      <c r="J22" s="27"/>
      <c r="K22" s="27"/>
      <c r="L22" s="27"/>
      <c r="M22" s="7"/>
      <c r="N22" s="27"/>
      <c r="O22" s="8">
        <f>IF(B22="","",TEXT(B22,"mmm yyyy"))</f>
        <v>0</v>
      </c>
      <c r="P22" s="8">
        <f>IF(OR(B22="",H22=""),"",SUMIFS($H$5:$H$154,$O$5:$O$154,O22))</f>
        <v>0</v>
      </c>
      <c r="Q22" s="8">
        <f>IF(OR(H22="",P22="",P22=0),"",H22/P22)</f>
        <v>0</v>
      </c>
      <c r="R22" s="8">
        <f>IF(OR(C22="",E22=""),"",COUNTIFS($E$5:$E$154,"&gt;"&amp;E22)+1)</f>
        <v>0</v>
      </c>
      <c r="S22" s="8">
        <f>IF(C22="","",IF(L22="No","Unavoidable","Avoidable"))</f>
        <v>0</v>
      </c>
      <c r="T22" s="25"/>
    </row>
    <row r="23" spans="1:20">
      <c r="A23" s="7"/>
      <c r="B23" s="30"/>
      <c r="C23" s="7"/>
      <c r="D23" s="8">
        <f>IF(C23="","",IFERROR(INDEX(Ingredients!$B$5:$B$304,MATCH(C23,Ingredients!$A$5:$A$304,0)),""))</f>
        <v>0</v>
      </c>
      <c r="E23" s="26"/>
      <c r="F23" s="27"/>
      <c r="G23" s="8">
        <f>IF(C23="","",IFERROR(INDEX(Ingredients!$D$5:$D$304,MATCH(C23,Ingredients!$A$5:$A$304,0)),""))</f>
        <v>0</v>
      </c>
      <c r="H23" s="8">
        <f>IF(OR(C23="",E23="",G23=""),"",E23*G23)</f>
        <v>0</v>
      </c>
      <c r="I23" s="27"/>
      <c r="J23" s="27"/>
      <c r="K23" s="27"/>
      <c r="L23" s="27"/>
      <c r="M23" s="7"/>
      <c r="N23" s="27"/>
      <c r="O23" s="8">
        <f>IF(B23="","",TEXT(B23,"mmm yyyy"))</f>
        <v>0</v>
      </c>
      <c r="P23" s="8">
        <f>IF(OR(B23="",H23=""),"",SUMIFS($H$5:$H$154,$O$5:$O$154,O23))</f>
        <v>0</v>
      </c>
      <c r="Q23" s="8">
        <f>IF(OR(H23="",P23="",P23=0),"",H23/P23)</f>
        <v>0</v>
      </c>
      <c r="R23" s="8">
        <f>IF(OR(C23="",E23=""),"",COUNTIFS($E$5:$E$154,"&gt;"&amp;E23)+1)</f>
        <v>0</v>
      </c>
      <c r="S23" s="8">
        <f>IF(C23="","",IF(L23="No","Unavoidable","Avoidable"))</f>
        <v>0</v>
      </c>
      <c r="T23" s="25"/>
    </row>
    <row r="24" spans="1:20">
      <c r="A24" s="7"/>
      <c r="B24" s="30"/>
      <c r="C24" s="7"/>
      <c r="D24" s="8">
        <f>IF(C24="","",IFERROR(INDEX(Ingredients!$B$5:$B$304,MATCH(C24,Ingredients!$A$5:$A$304,0)),""))</f>
        <v>0</v>
      </c>
      <c r="E24" s="26"/>
      <c r="F24" s="27"/>
      <c r="G24" s="8">
        <f>IF(C24="","",IFERROR(INDEX(Ingredients!$D$5:$D$304,MATCH(C24,Ingredients!$A$5:$A$304,0)),""))</f>
        <v>0</v>
      </c>
      <c r="H24" s="8">
        <f>IF(OR(C24="",E24="",G24=""),"",E24*G24)</f>
        <v>0</v>
      </c>
      <c r="I24" s="27"/>
      <c r="J24" s="27"/>
      <c r="K24" s="27"/>
      <c r="L24" s="27"/>
      <c r="M24" s="7"/>
      <c r="N24" s="27"/>
      <c r="O24" s="8">
        <f>IF(B24="","",TEXT(B24,"mmm yyyy"))</f>
        <v>0</v>
      </c>
      <c r="P24" s="8">
        <f>IF(OR(B24="",H24=""),"",SUMIFS($H$5:$H$154,$O$5:$O$154,O24))</f>
        <v>0</v>
      </c>
      <c r="Q24" s="8">
        <f>IF(OR(H24="",P24="",P24=0),"",H24/P24)</f>
        <v>0</v>
      </c>
      <c r="R24" s="8">
        <f>IF(OR(C24="",E24=""),"",COUNTIFS($E$5:$E$154,"&gt;"&amp;E24)+1)</f>
        <v>0</v>
      </c>
      <c r="S24" s="8">
        <f>IF(C24="","",IF(L24="No","Unavoidable","Avoidable"))</f>
        <v>0</v>
      </c>
      <c r="T24" s="25"/>
    </row>
    <row r="25" spans="1:20">
      <c r="A25" s="7"/>
      <c r="B25" s="30"/>
      <c r="C25" s="7"/>
      <c r="D25" s="8">
        <f>IF(C25="","",IFERROR(INDEX(Ingredients!$B$5:$B$304,MATCH(C25,Ingredients!$A$5:$A$304,0)),""))</f>
        <v>0</v>
      </c>
      <c r="E25" s="26"/>
      <c r="F25" s="27"/>
      <c r="G25" s="8">
        <f>IF(C25="","",IFERROR(INDEX(Ingredients!$D$5:$D$304,MATCH(C25,Ingredients!$A$5:$A$304,0)),""))</f>
        <v>0</v>
      </c>
      <c r="H25" s="8">
        <f>IF(OR(C25="",E25="",G25=""),"",E25*G25)</f>
        <v>0</v>
      </c>
      <c r="I25" s="27"/>
      <c r="J25" s="27"/>
      <c r="K25" s="27"/>
      <c r="L25" s="27"/>
      <c r="M25" s="7"/>
      <c r="N25" s="27"/>
      <c r="O25" s="8">
        <f>IF(B25="","",TEXT(B25,"mmm yyyy"))</f>
        <v>0</v>
      </c>
      <c r="P25" s="8">
        <f>IF(OR(B25="",H25=""),"",SUMIFS($H$5:$H$154,$O$5:$O$154,O25))</f>
        <v>0</v>
      </c>
      <c r="Q25" s="8">
        <f>IF(OR(H25="",P25="",P25=0),"",H25/P25)</f>
        <v>0</v>
      </c>
      <c r="R25" s="8">
        <f>IF(OR(C25="",E25=""),"",COUNTIFS($E$5:$E$154,"&gt;"&amp;E25)+1)</f>
        <v>0</v>
      </c>
      <c r="S25" s="8">
        <f>IF(C25="","",IF(L25="No","Unavoidable","Avoidable"))</f>
        <v>0</v>
      </c>
      <c r="T25" s="25"/>
    </row>
    <row r="26" spans="1:20">
      <c r="A26" s="7"/>
      <c r="B26" s="30"/>
      <c r="C26" s="7"/>
      <c r="D26" s="8">
        <f>IF(C26="","",IFERROR(INDEX(Ingredients!$B$5:$B$304,MATCH(C26,Ingredients!$A$5:$A$304,0)),""))</f>
        <v>0</v>
      </c>
      <c r="E26" s="26"/>
      <c r="F26" s="27"/>
      <c r="G26" s="8">
        <f>IF(C26="","",IFERROR(INDEX(Ingredients!$D$5:$D$304,MATCH(C26,Ingredients!$A$5:$A$304,0)),""))</f>
        <v>0</v>
      </c>
      <c r="H26" s="8">
        <f>IF(OR(C26="",E26="",G26=""),"",E26*G26)</f>
        <v>0</v>
      </c>
      <c r="I26" s="27"/>
      <c r="J26" s="27"/>
      <c r="K26" s="27"/>
      <c r="L26" s="27"/>
      <c r="M26" s="7"/>
      <c r="N26" s="27"/>
      <c r="O26" s="8">
        <f>IF(B26="","",TEXT(B26,"mmm yyyy"))</f>
        <v>0</v>
      </c>
      <c r="P26" s="8">
        <f>IF(OR(B26="",H26=""),"",SUMIFS($H$5:$H$154,$O$5:$O$154,O26))</f>
        <v>0</v>
      </c>
      <c r="Q26" s="8">
        <f>IF(OR(H26="",P26="",P26=0),"",H26/P26)</f>
        <v>0</v>
      </c>
      <c r="R26" s="8">
        <f>IF(OR(C26="",E26=""),"",COUNTIFS($E$5:$E$154,"&gt;"&amp;E26)+1)</f>
        <v>0</v>
      </c>
      <c r="S26" s="8">
        <f>IF(C26="","",IF(L26="No","Unavoidable","Avoidable"))</f>
        <v>0</v>
      </c>
      <c r="T26" s="25"/>
    </row>
    <row r="27" spans="1:20">
      <c r="A27" s="7"/>
      <c r="B27" s="30"/>
      <c r="C27" s="7"/>
      <c r="D27" s="8">
        <f>IF(C27="","",IFERROR(INDEX(Ingredients!$B$5:$B$304,MATCH(C27,Ingredients!$A$5:$A$304,0)),""))</f>
        <v>0</v>
      </c>
      <c r="E27" s="26"/>
      <c r="F27" s="27"/>
      <c r="G27" s="8">
        <f>IF(C27="","",IFERROR(INDEX(Ingredients!$D$5:$D$304,MATCH(C27,Ingredients!$A$5:$A$304,0)),""))</f>
        <v>0</v>
      </c>
      <c r="H27" s="8">
        <f>IF(OR(C27="",E27="",G27=""),"",E27*G27)</f>
        <v>0</v>
      </c>
      <c r="I27" s="27"/>
      <c r="J27" s="27"/>
      <c r="K27" s="27"/>
      <c r="L27" s="27"/>
      <c r="M27" s="7"/>
      <c r="N27" s="27"/>
      <c r="O27" s="8">
        <f>IF(B27="","",TEXT(B27,"mmm yyyy"))</f>
        <v>0</v>
      </c>
      <c r="P27" s="8">
        <f>IF(OR(B27="",H27=""),"",SUMIFS($H$5:$H$154,$O$5:$O$154,O27))</f>
        <v>0</v>
      </c>
      <c r="Q27" s="8">
        <f>IF(OR(H27="",P27="",P27=0),"",H27/P27)</f>
        <v>0</v>
      </c>
      <c r="R27" s="8">
        <f>IF(OR(C27="",E27=""),"",COUNTIFS($E$5:$E$154,"&gt;"&amp;E27)+1)</f>
        <v>0</v>
      </c>
      <c r="S27" s="8">
        <f>IF(C27="","",IF(L27="No","Unavoidable","Avoidable"))</f>
        <v>0</v>
      </c>
      <c r="T27" s="25"/>
    </row>
    <row r="28" spans="1:20">
      <c r="A28" s="7"/>
      <c r="B28" s="30"/>
      <c r="C28" s="7"/>
      <c r="D28" s="8">
        <f>IF(C28="","",IFERROR(INDEX(Ingredients!$B$5:$B$304,MATCH(C28,Ingredients!$A$5:$A$304,0)),""))</f>
        <v>0</v>
      </c>
      <c r="E28" s="26"/>
      <c r="F28" s="27"/>
      <c r="G28" s="8">
        <f>IF(C28="","",IFERROR(INDEX(Ingredients!$D$5:$D$304,MATCH(C28,Ingredients!$A$5:$A$304,0)),""))</f>
        <v>0</v>
      </c>
      <c r="H28" s="8">
        <f>IF(OR(C28="",E28="",G28=""),"",E28*G28)</f>
        <v>0</v>
      </c>
      <c r="I28" s="27"/>
      <c r="J28" s="27"/>
      <c r="K28" s="27"/>
      <c r="L28" s="27"/>
      <c r="M28" s="7"/>
      <c r="N28" s="27"/>
      <c r="O28" s="8">
        <f>IF(B28="","",TEXT(B28,"mmm yyyy"))</f>
        <v>0</v>
      </c>
      <c r="P28" s="8">
        <f>IF(OR(B28="",H28=""),"",SUMIFS($H$5:$H$154,$O$5:$O$154,O28))</f>
        <v>0</v>
      </c>
      <c r="Q28" s="8">
        <f>IF(OR(H28="",P28="",P28=0),"",H28/P28)</f>
        <v>0</v>
      </c>
      <c r="R28" s="8">
        <f>IF(OR(C28="",E28=""),"",COUNTIFS($E$5:$E$154,"&gt;"&amp;E28)+1)</f>
        <v>0</v>
      </c>
      <c r="S28" s="8">
        <f>IF(C28="","",IF(L28="No","Unavoidable","Avoidable"))</f>
        <v>0</v>
      </c>
      <c r="T28" s="25"/>
    </row>
    <row r="29" spans="1:20">
      <c r="A29" s="7"/>
      <c r="B29" s="30"/>
      <c r="C29" s="7"/>
      <c r="D29" s="8">
        <f>IF(C29="","",IFERROR(INDEX(Ingredients!$B$5:$B$304,MATCH(C29,Ingredients!$A$5:$A$304,0)),""))</f>
        <v>0</v>
      </c>
      <c r="E29" s="26"/>
      <c r="F29" s="27"/>
      <c r="G29" s="8">
        <f>IF(C29="","",IFERROR(INDEX(Ingredients!$D$5:$D$304,MATCH(C29,Ingredients!$A$5:$A$304,0)),""))</f>
        <v>0</v>
      </c>
      <c r="H29" s="8">
        <f>IF(OR(C29="",E29="",G29=""),"",E29*G29)</f>
        <v>0</v>
      </c>
      <c r="I29" s="27"/>
      <c r="J29" s="27"/>
      <c r="K29" s="27"/>
      <c r="L29" s="27"/>
      <c r="M29" s="7"/>
      <c r="N29" s="27"/>
      <c r="O29" s="8">
        <f>IF(B29="","",TEXT(B29,"mmm yyyy"))</f>
        <v>0</v>
      </c>
      <c r="P29" s="8">
        <f>IF(OR(B29="",H29=""),"",SUMIFS($H$5:$H$154,$O$5:$O$154,O29))</f>
        <v>0</v>
      </c>
      <c r="Q29" s="8">
        <f>IF(OR(H29="",P29="",P29=0),"",H29/P29)</f>
        <v>0</v>
      </c>
      <c r="R29" s="8">
        <f>IF(OR(C29="",E29=""),"",COUNTIFS($E$5:$E$154,"&gt;"&amp;E29)+1)</f>
        <v>0</v>
      </c>
      <c r="S29" s="8">
        <f>IF(C29="","",IF(L29="No","Unavoidable","Avoidable"))</f>
        <v>0</v>
      </c>
      <c r="T29" s="25"/>
    </row>
    <row r="30" spans="1:20">
      <c r="A30" s="7"/>
      <c r="B30" s="30"/>
      <c r="C30" s="7"/>
      <c r="D30" s="8">
        <f>IF(C30="","",IFERROR(INDEX(Ingredients!$B$5:$B$304,MATCH(C30,Ingredients!$A$5:$A$304,0)),""))</f>
        <v>0</v>
      </c>
      <c r="E30" s="26"/>
      <c r="F30" s="27"/>
      <c r="G30" s="8">
        <f>IF(C30="","",IFERROR(INDEX(Ingredients!$D$5:$D$304,MATCH(C30,Ingredients!$A$5:$A$304,0)),""))</f>
        <v>0</v>
      </c>
      <c r="H30" s="8">
        <f>IF(OR(C30="",E30="",G30=""),"",E30*G30)</f>
        <v>0</v>
      </c>
      <c r="I30" s="27"/>
      <c r="J30" s="27"/>
      <c r="K30" s="27"/>
      <c r="L30" s="27"/>
      <c r="M30" s="7"/>
      <c r="N30" s="27"/>
      <c r="O30" s="8">
        <f>IF(B30="","",TEXT(B30,"mmm yyyy"))</f>
        <v>0</v>
      </c>
      <c r="P30" s="8">
        <f>IF(OR(B30="",H30=""),"",SUMIFS($H$5:$H$154,$O$5:$O$154,O30))</f>
        <v>0</v>
      </c>
      <c r="Q30" s="8">
        <f>IF(OR(H30="",P30="",P30=0),"",H30/P30)</f>
        <v>0</v>
      </c>
      <c r="R30" s="8">
        <f>IF(OR(C30="",E30=""),"",COUNTIFS($E$5:$E$154,"&gt;"&amp;E30)+1)</f>
        <v>0</v>
      </c>
      <c r="S30" s="8">
        <f>IF(C30="","",IF(L30="No","Unavoidable","Avoidable"))</f>
        <v>0</v>
      </c>
      <c r="T30" s="25"/>
    </row>
    <row r="31" spans="1:20">
      <c r="A31" s="7"/>
      <c r="B31" s="30"/>
      <c r="C31" s="7"/>
      <c r="D31" s="8">
        <f>IF(C31="","",IFERROR(INDEX(Ingredients!$B$5:$B$304,MATCH(C31,Ingredients!$A$5:$A$304,0)),""))</f>
        <v>0</v>
      </c>
      <c r="E31" s="26"/>
      <c r="F31" s="27"/>
      <c r="G31" s="8">
        <f>IF(C31="","",IFERROR(INDEX(Ingredients!$D$5:$D$304,MATCH(C31,Ingredients!$A$5:$A$304,0)),""))</f>
        <v>0</v>
      </c>
      <c r="H31" s="8">
        <f>IF(OR(C31="",E31="",G31=""),"",E31*G31)</f>
        <v>0</v>
      </c>
      <c r="I31" s="27"/>
      <c r="J31" s="27"/>
      <c r="K31" s="27"/>
      <c r="L31" s="27"/>
      <c r="M31" s="7"/>
      <c r="N31" s="27"/>
      <c r="O31" s="8">
        <f>IF(B31="","",TEXT(B31,"mmm yyyy"))</f>
        <v>0</v>
      </c>
      <c r="P31" s="8">
        <f>IF(OR(B31="",H31=""),"",SUMIFS($H$5:$H$154,$O$5:$O$154,O31))</f>
        <v>0</v>
      </c>
      <c r="Q31" s="8">
        <f>IF(OR(H31="",P31="",P31=0),"",H31/P31)</f>
        <v>0</v>
      </c>
      <c r="R31" s="8">
        <f>IF(OR(C31="",E31=""),"",COUNTIFS($E$5:$E$154,"&gt;"&amp;E31)+1)</f>
        <v>0</v>
      </c>
      <c r="S31" s="8">
        <f>IF(C31="","",IF(L31="No","Unavoidable","Avoidable"))</f>
        <v>0</v>
      </c>
      <c r="T31" s="25"/>
    </row>
    <row r="32" spans="1:20">
      <c r="A32" s="7"/>
      <c r="B32" s="30"/>
      <c r="C32" s="7"/>
      <c r="D32" s="8">
        <f>IF(C32="","",IFERROR(INDEX(Ingredients!$B$5:$B$304,MATCH(C32,Ingredients!$A$5:$A$304,0)),""))</f>
        <v>0</v>
      </c>
      <c r="E32" s="26"/>
      <c r="F32" s="27"/>
      <c r="G32" s="8">
        <f>IF(C32="","",IFERROR(INDEX(Ingredients!$D$5:$D$304,MATCH(C32,Ingredients!$A$5:$A$304,0)),""))</f>
        <v>0</v>
      </c>
      <c r="H32" s="8">
        <f>IF(OR(C32="",E32="",G32=""),"",E32*G32)</f>
        <v>0</v>
      </c>
      <c r="I32" s="27"/>
      <c r="J32" s="27"/>
      <c r="K32" s="27"/>
      <c r="L32" s="27"/>
      <c r="M32" s="7"/>
      <c r="N32" s="27"/>
      <c r="O32" s="8">
        <f>IF(B32="","",TEXT(B32,"mmm yyyy"))</f>
        <v>0</v>
      </c>
      <c r="P32" s="8">
        <f>IF(OR(B32="",H32=""),"",SUMIFS($H$5:$H$154,$O$5:$O$154,O32))</f>
        <v>0</v>
      </c>
      <c r="Q32" s="8">
        <f>IF(OR(H32="",P32="",P32=0),"",H32/P32)</f>
        <v>0</v>
      </c>
      <c r="R32" s="8">
        <f>IF(OR(C32="",E32=""),"",COUNTIFS($E$5:$E$154,"&gt;"&amp;E32)+1)</f>
        <v>0</v>
      </c>
      <c r="S32" s="8">
        <f>IF(C32="","",IF(L32="No","Unavoidable","Avoidable"))</f>
        <v>0</v>
      </c>
      <c r="T32" s="25"/>
    </row>
    <row r="33" spans="1:20">
      <c r="A33" s="7"/>
      <c r="B33" s="30"/>
      <c r="C33" s="7"/>
      <c r="D33" s="8">
        <f>IF(C33="","",IFERROR(INDEX(Ingredients!$B$5:$B$304,MATCH(C33,Ingredients!$A$5:$A$304,0)),""))</f>
        <v>0</v>
      </c>
      <c r="E33" s="26"/>
      <c r="F33" s="27"/>
      <c r="G33" s="8">
        <f>IF(C33="","",IFERROR(INDEX(Ingredients!$D$5:$D$304,MATCH(C33,Ingredients!$A$5:$A$304,0)),""))</f>
        <v>0</v>
      </c>
      <c r="H33" s="8">
        <f>IF(OR(C33="",E33="",G33=""),"",E33*G33)</f>
        <v>0</v>
      </c>
      <c r="I33" s="27"/>
      <c r="J33" s="27"/>
      <c r="K33" s="27"/>
      <c r="L33" s="27"/>
      <c r="M33" s="7"/>
      <c r="N33" s="27"/>
      <c r="O33" s="8">
        <f>IF(B33="","",TEXT(B33,"mmm yyyy"))</f>
        <v>0</v>
      </c>
      <c r="P33" s="8">
        <f>IF(OR(B33="",H33=""),"",SUMIFS($H$5:$H$154,$O$5:$O$154,O33))</f>
        <v>0</v>
      </c>
      <c r="Q33" s="8">
        <f>IF(OR(H33="",P33="",P33=0),"",H33/P33)</f>
        <v>0</v>
      </c>
      <c r="R33" s="8">
        <f>IF(OR(C33="",E33=""),"",COUNTIFS($E$5:$E$154,"&gt;"&amp;E33)+1)</f>
        <v>0</v>
      </c>
      <c r="S33" s="8">
        <f>IF(C33="","",IF(L33="No","Unavoidable","Avoidable"))</f>
        <v>0</v>
      </c>
      <c r="T33" s="25"/>
    </row>
    <row r="34" spans="1:20">
      <c r="A34" s="7"/>
      <c r="B34" s="30"/>
      <c r="C34" s="7"/>
      <c r="D34" s="8">
        <f>IF(C34="","",IFERROR(INDEX(Ingredients!$B$5:$B$304,MATCH(C34,Ingredients!$A$5:$A$304,0)),""))</f>
        <v>0</v>
      </c>
      <c r="E34" s="26"/>
      <c r="F34" s="27"/>
      <c r="G34" s="8">
        <f>IF(C34="","",IFERROR(INDEX(Ingredients!$D$5:$D$304,MATCH(C34,Ingredients!$A$5:$A$304,0)),""))</f>
        <v>0</v>
      </c>
      <c r="H34" s="8">
        <f>IF(OR(C34="",E34="",G34=""),"",E34*G34)</f>
        <v>0</v>
      </c>
      <c r="I34" s="27"/>
      <c r="J34" s="27"/>
      <c r="K34" s="27"/>
      <c r="L34" s="27"/>
      <c r="M34" s="7"/>
      <c r="N34" s="27"/>
      <c r="O34" s="8">
        <f>IF(B34="","",TEXT(B34,"mmm yyyy"))</f>
        <v>0</v>
      </c>
      <c r="P34" s="8">
        <f>IF(OR(B34="",H34=""),"",SUMIFS($H$5:$H$154,$O$5:$O$154,O34))</f>
        <v>0</v>
      </c>
      <c r="Q34" s="8">
        <f>IF(OR(H34="",P34="",P34=0),"",H34/P34)</f>
        <v>0</v>
      </c>
      <c r="R34" s="8">
        <f>IF(OR(C34="",E34=""),"",COUNTIFS($E$5:$E$154,"&gt;"&amp;E34)+1)</f>
        <v>0</v>
      </c>
      <c r="S34" s="8">
        <f>IF(C34="","",IF(L34="No","Unavoidable","Avoidable"))</f>
        <v>0</v>
      </c>
      <c r="T34" s="25"/>
    </row>
    <row r="35" spans="1:20">
      <c r="A35" s="7"/>
      <c r="B35" s="30"/>
      <c r="C35" s="7"/>
      <c r="D35" s="8">
        <f>IF(C35="","",IFERROR(INDEX(Ingredients!$B$5:$B$304,MATCH(C35,Ingredients!$A$5:$A$304,0)),""))</f>
        <v>0</v>
      </c>
      <c r="E35" s="26"/>
      <c r="F35" s="27"/>
      <c r="G35" s="8">
        <f>IF(C35="","",IFERROR(INDEX(Ingredients!$D$5:$D$304,MATCH(C35,Ingredients!$A$5:$A$304,0)),""))</f>
        <v>0</v>
      </c>
      <c r="H35" s="8">
        <f>IF(OR(C35="",E35="",G35=""),"",E35*G35)</f>
        <v>0</v>
      </c>
      <c r="I35" s="27"/>
      <c r="J35" s="27"/>
      <c r="K35" s="27"/>
      <c r="L35" s="27"/>
      <c r="M35" s="7"/>
      <c r="N35" s="27"/>
      <c r="O35" s="8">
        <f>IF(B35="","",TEXT(B35,"mmm yyyy"))</f>
        <v>0</v>
      </c>
      <c r="P35" s="8">
        <f>IF(OR(B35="",H35=""),"",SUMIFS($H$5:$H$154,$O$5:$O$154,O35))</f>
        <v>0</v>
      </c>
      <c r="Q35" s="8">
        <f>IF(OR(H35="",P35="",P35=0),"",H35/P35)</f>
        <v>0</v>
      </c>
      <c r="R35" s="8">
        <f>IF(OR(C35="",E35=""),"",COUNTIFS($E$5:$E$154,"&gt;"&amp;E35)+1)</f>
        <v>0</v>
      </c>
      <c r="S35" s="8">
        <f>IF(C35="","",IF(L35="No","Unavoidable","Avoidable"))</f>
        <v>0</v>
      </c>
      <c r="T35" s="25"/>
    </row>
    <row r="36" spans="1:20">
      <c r="A36" s="7"/>
      <c r="B36" s="30"/>
      <c r="C36" s="7"/>
      <c r="D36" s="8">
        <f>IF(C36="","",IFERROR(INDEX(Ingredients!$B$5:$B$304,MATCH(C36,Ingredients!$A$5:$A$304,0)),""))</f>
        <v>0</v>
      </c>
      <c r="E36" s="26"/>
      <c r="F36" s="27"/>
      <c r="G36" s="8">
        <f>IF(C36="","",IFERROR(INDEX(Ingredients!$D$5:$D$304,MATCH(C36,Ingredients!$A$5:$A$304,0)),""))</f>
        <v>0</v>
      </c>
      <c r="H36" s="8">
        <f>IF(OR(C36="",E36="",G36=""),"",E36*G36)</f>
        <v>0</v>
      </c>
      <c r="I36" s="27"/>
      <c r="J36" s="27"/>
      <c r="K36" s="27"/>
      <c r="L36" s="27"/>
      <c r="M36" s="7"/>
      <c r="N36" s="27"/>
      <c r="O36" s="8">
        <f>IF(B36="","",TEXT(B36,"mmm yyyy"))</f>
        <v>0</v>
      </c>
      <c r="P36" s="8">
        <f>IF(OR(B36="",H36=""),"",SUMIFS($H$5:$H$154,$O$5:$O$154,O36))</f>
        <v>0</v>
      </c>
      <c r="Q36" s="8">
        <f>IF(OR(H36="",P36="",P36=0),"",H36/P36)</f>
        <v>0</v>
      </c>
      <c r="R36" s="8">
        <f>IF(OR(C36="",E36=""),"",COUNTIFS($E$5:$E$154,"&gt;"&amp;E36)+1)</f>
        <v>0</v>
      </c>
      <c r="S36" s="8">
        <f>IF(C36="","",IF(L36="No","Unavoidable","Avoidable"))</f>
        <v>0</v>
      </c>
      <c r="T36" s="25"/>
    </row>
    <row r="37" spans="1:20">
      <c r="A37" s="7"/>
      <c r="B37" s="30"/>
      <c r="C37" s="7"/>
      <c r="D37" s="8">
        <f>IF(C37="","",IFERROR(INDEX(Ingredients!$B$5:$B$304,MATCH(C37,Ingredients!$A$5:$A$304,0)),""))</f>
        <v>0</v>
      </c>
      <c r="E37" s="26"/>
      <c r="F37" s="27"/>
      <c r="G37" s="8">
        <f>IF(C37="","",IFERROR(INDEX(Ingredients!$D$5:$D$304,MATCH(C37,Ingredients!$A$5:$A$304,0)),""))</f>
        <v>0</v>
      </c>
      <c r="H37" s="8">
        <f>IF(OR(C37="",E37="",G37=""),"",E37*G37)</f>
        <v>0</v>
      </c>
      <c r="I37" s="27"/>
      <c r="J37" s="27"/>
      <c r="K37" s="27"/>
      <c r="L37" s="27"/>
      <c r="M37" s="7"/>
      <c r="N37" s="27"/>
      <c r="O37" s="8">
        <f>IF(B37="","",TEXT(B37,"mmm yyyy"))</f>
        <v>0</v>
      </c>
      <c r="P37" s="8">
        <f>IF(OR(B37="",H37=""),"",SUMIFS($H$5:$H$154,$O$5:$O$154,O37))</f>
        <v>0</v>
      </c>
      <c r="Q37" s="8">
        <f>IF(OR(H37="",P37="",P37=0),"",H37/P37)</f>
        <v>0</v>
      </c>
      <c r="R37" s="8">
        <f>IF(OR(C37="",E37=""),"",COUNTIFS($E$5:$E$154,"&gt;"&amp;E37)+1)</f>
        <v>0</v>
      </c>
      <c r="S37" s="8">
        <f>IF(C37="","",IF(L37="No","Unavoidable","Avoidable"))</f>
        <v>0</v>
      </c>
      <c r="T37" s="25"/>
    </row>
    <row r="38" spans="1:20">
      <c r="A38" s="7"/>
      <c r="B38" s="30"/>
      <c r="C38" s="7"/>
      <c r="D38" s="8">
        <f>IF(C38="","",IFERROR(INDEX(Ingredients!$B$5:$B$304,MATCH(C38,Ingredients!$A$5:$A$304,0)),""))</f>
        <v>0</v>
      </c>
      <c r="E38" s="26"/>
      <c r="F38" s="27"/>
      <c r="G38" s="8">
        <f>IF(C38="","",IFERROR(INDEX(Ingredients!$D$5:$D$304,MATCH(C38,Ingredients!$A$5:$A$304,0)),""))</f>
        <v>0</v>
      </c>
      <c r="H38" s="8">
        <f>IF(OR(C38="",E38="",G38=""),"",E38*G38)</f>
        <v>0</v>
      </c>
      <c r="I38" s="27"/>
      <c r="J38" s="27"/>
      <c r="K38" s="27"/>
      <c r="L38" s="27"/>
      <c r="M38" s="7"/>
      <c r="N38" s="27"/>
      <c r="O38" s="8">
        <f>IF(B38="","",TEXT(B38,"mmm yyyy"))</f>
        <v>0</v>
      </c>
      <c r="P38" s="8">
        <f>IF(OR(B38="",H38=""),"",SUMIFS($H$5:$H$154,$O$5:$O$154,O38))</f>
        <v>0</v>
      </c>
      <c r="Q38" s="8">
        <f>IF(OR(H38="",P38="",P38=0),"",H38/P38)</f>
        <v>0</v>
      </c>
      <c r="R38" s="8">
        <f>IF(OR(C38="",E38=""),"",COUNTIFS($E$5:$E$154,"&gt;"&amp;E38)+1)</f>
        <v>0</v>
      </c>
      <c r="S38" s="8">
        <f>IF(C38="","",IF(L38="No","Unavoidable","Avoidable"))</f>
        <v>0</v>
      </c>
      <c r="T38" s="25"/>
    </row>
    <row r="39" spans="1:20">
      <c r="A39" s="7"/>
      <c r="B39" s="30"/>
      <c r="C39" s="7"/>
      <c r="D39" s="8">
        <f>IF(C39="","",IFERROR(INDEX(Ingredients!$B$5:$B$304,MATCH(C39,Ingredients!$A$5:$A$304,0)),""))</f>
        <v>0</v>
      </c>
      <c r="E39" s="26"/>
      <c r="F39" s="27"/>
      <c r="G39" s="8">
        <f>IF(C39="","",IFERROR(INDEX(Ingredients!$D$5:$D$304,MATCH(C39,Ingredients!$A$5:$A$304,0)),""))</f>
        <v>0</v>
      </c>
      <c r="H39" s="8">
        <f>IF(OR(C39="",E39="",G39=""),"",E39*G39)</f>
        <v>0</v>
      </c>
      <c r="I39" s="27"/>
      <c r="J39" s="27"/>
      <c r="K39" s="27"/>
      <c r="L39" s="27"/>
      <c r="M39" s="7"/>
      <c r="N39" s="27"/>
      <c r="O39" s="8">
        <f>IF(B39="","",TEXT(B39,"mmm yyyy"))</f>
        <v>0</v>
      </c>
      <c r="P39" s="8">
        <f>IF(OR(B39="",H39=""),"",SUMIFS($H$5:$H$154,$O$5:$O$154,O39))</f>
        <v>0</v>
      </c>
      <c r="Q39" s="8">
        <f>IF(OR(H39="",P39="",P39=0),"",H39/P39)</f>
        <v>0</v>
      </c>
      <c r="R39" s="8">
        <f>IF(OR(C39="",E39=""),"",COUNTIFS($E$5:$E$154,"&gt;"&amp;E39)+1)</f>
        <v>0</v>
      </c>
      <c r="S39" s="8">
        <f>IF(C39="","",IF(L39="No","Unavoidable","Avoidable"))</f>
        <v>0</v>
      </c>
      <c r="T39" s="25"/>
    </row>
    <row r="40" spans="1:20">
      <c r="A40" s="7"/>
      <c r="B40" s="30"/>
      <c r="C40" s="7"/>
      <c r="D40" s="8">
        <f>IF(C40="","",IFERROR(INDEX(Ingredients!$B$5:$B$304,MATCH(C40,Ingredients!$A$5:$A$304,0)),""))</f>
        <v>0</v>
      </c>
      <c r="E40" s="26"/>
      <c r="F40" s="27"/>
      <c r="G40" s="8">
        <f>IF(C40="","",IFERROR(INDEX(Ingredients!$D$5:$D$304,MATCH(C40,Ingredients!$A$5:$A$304,0)),""))</f>
        <v>0</v>
      </c>
      <c r="H40" s="8">
        <f>IF(OR(C40="",E40="",G40=""),"",E40*G40)</f>
        <v>0</v>
      </c>
      <c r="I40" s="27"/>
      <c r="J40" s="27"/>
      <c r="K40" s="27"/>
      <c r="L40" s="27"/>
      <c r="M40" s="7"/>
      <c r="N40" s="27"/>
      <c r="O40" s="8">
        <f>IF(B40="","",TEXT(B40,"mmm yyyy"))</f>
        <v>0</v>
      </c>
      <c r="P40" s="8">
        <f>IF(OR(B40="",H40=""),"",SUMIFS($H$5:$H$154,$O$5:$O$154,O40))</f>
        <v>0</v>
      </c>
      <c r="Q40" s="8">
        <f>IF(OR(H40="",P40="",P40=0),"",H40/P40)</f>
        <v>0</v>
      </c>
      <c r="R40" s="8">
        <f>IF(OR(C40="",E40=""),"",COUNTIFS($E$5:$E$154,"&gt;"&amp;E40)+1)</f>
        <v>0</v>
      </c>
      <c r="S40" s="8">
        <f>IF(C40="","",IF(L40="No","Unavoidable","Avoidable"))</f>
        <v>0</v>
      </c>
      <c r="T40" s="25"/>
    </row>
    <row r="41" spans="1:20">
      <c r="A41" s="7"/>
      <c r="B41" s="30"/>
      <c r="C41" s="7"/>
      <c r="D41" s="8">
        <f>IF(C41="","",IFERROR(INDEX(Ingredients!$B$5:$B$304,MATCH(C41,Ingredients!$A$5:$A$304,0)),""))</f>
        <v>0</v>
      </c>
      <c r="E41" s="26"/>
      <c r="F41" s="27"/>
      <c r="G41" s="8">
        <f>IF(C41="","",IFERROR(INDEX(Ingredients!$D$5:$D$304,MATCH(C41,Ingredients!$A$5:$A$304,0)),""))</f>
        <v>0</v>
      </c>
      <c r="H41" s="8">
        <f>IF(OR(C41="",E41="",G41=""),"",E41*G41)</f>
        <v>0</v>
      </c>
      <c r="I41" s="27"/>
      <c r="J41" s="27"/>
      <c r="K41" s="27"/>
      <c r="L41" s="27"/>
      <c r="M41" s="7"/>
      <c r="N41" s="27"/>
      <c r="O41" s="8">
        <f>IF(B41="","",TEXT(B41,"mmm yyyy"))</f>
        <v>0</v>
      </c>
      <c r="P41" s="8">
        <f>IF(OR(B41="",H41=""),"",SUMIFS($H$5:$H$154,$O$5:$O$154,O41))</f>
        <v>0</v>
      </c>
      <c r="Q41" s="8">
        <f>IF(OR(H41="",P41="",P41=0),"",H41/P41)</f>
        <v>0</v>
      </c>
      <c r="R41" s="8">
        <f>IF(OR(C41="",E41=""),"",COUNTIFS($E$5:$E$154,"&gt;"&amp;E41)+1)</f>
        <v>0</v>
      </c>
      <c r="S41" s="8">
        <f>IF(C41="","",IF(L41="No","Unavoidable","Avoidable"))</f>
        <v>0</v>
      </c>
      <c r="T41" s="25"/>
    </row>
    <row r="42" spans="1:20">
      <c r="A42" s="7"/>
      <c r="B42" s="30"/>
      <c r="C42" s="7"/>
      <c r="D42" s="8">
        <f>IF(C42="","",IFERROR(INDEX(Ingredients!$B$5:$B$304,MATCH(C42,Ingredients!$A$5:$A$304,0)),""))</f>
        <v>0</v>
      </c>
      <c r="E42" s="26"/>
      <c r="F42" s="27"/>
      <c r="G42" s="8">
        <f>IF(C42="","",IFERROR(INDEX(Ingredients!$D$5:$D$304,MATCH(C42,Ingredients!$A$5:$A$304,0)),""))</f>
        <v>0</v>
      </c>
      <c r="H42" s="8">
        <f>IF(OR(C42="",E42="",G42=""),"",E42*G42)</f>
        <v>0</v>
      </c>
      <c r="I42" s="27"/>
      <c r="J42" s="27"/>
      <c r="K42" s="27"/>
      <c r="L42" s="27"/>
      <c r="M42" s="7"/>
      <c r="N42" s="27"/>
      <c r="O42" s="8">
        <f>IF(B42="","",TEXT(B42,"mmm yyyy"))</f>
        <v>0</v>
      </c>
      <c r="P42" s="8">
        <f>IF(OR(B42="",H42=""),"",SUMIFS($H$5:$H$154,$O$5:$O$154,O42))</f>
        <v>0</v>
      </c>
      <c r="Q42" s="8">
        <f>IF(OR(H42="",P42="",P42=0),"",H42/P42)</f>
        <v>0</v>
      </c>
      <c r="R42" s="8">
        <f>IF(OR(C42="",E42=""),"",COUNTIFS($E$5:$E$154,"&gt;"&amp;E42)+1)</f>
        <v>0</v>
      </c>
      <c r="S42" s="8">
        <f>IF(C42="","",IF(L42="No","Unavoidable","Avoidable"))</f>
        <v>0</v>
      </c>
      <c r="T42" s="25"/>
    </row>
    <row r="43" spans="1:20">
      <c r="A43" s="7"/>
      <c r="B43" s="30"/>
      <c r="C43" s="7"/>
      <c r="D43" s="8">
        <f>IF(C43="","",IFERROR(INDEX(Ingredients!$B$5:$B$304,MATCH(C43,Ingredients!$A$5:$A$304,0)),""))</f>
        <v>0</v>
      </c>
      <c r="E43" s="26"/>
      <c r="F43" s="27"/>
      <c r="G43" s="8">
        <f>IF(C43="","",IFERROR(INDEX(Ingredients!$D$5:$D$304,MATCH(C43,Ingredients!$A$5:$A$304,0)),""))</f>
        <v>0</v>
      </c>
      <c r="H43" s="8">
        <f>IF(OR(C43="",E43="",G43=""),"",E43*G43)</f>
        <v>0</v>
      </c>
      <c r="I43" s="27"/>
      <c r="J43" s="27"/>
      <c r="K43" s="27"/>
      <c r="L43" s="27"/>
      <c r="M43" s="7"/>
      <c r="N43" s="27"/>
      <c r="O43" s="8">
        <f>IF(B43="","",TEXT(B43,"mmm yyyy"))</f>
        <v>0</v>
      </c>
      <c r="P43" s="8">
        <f>IF(OR(B43="",H43=""),"",SUMIFS($H$5:$H$154,$O$5:$O$154,O43))</f>
        <v>0</v>
      </c>
      <c r="Q43" s="8">
        <f>IF(OR(H43="",P43="",P43=0),"",H43/P43)</f>
        <v>0</v>
      </c>
      <c r="R43" s="8">
        <f>IF(OR(C43="",E43=""),"",COUNTIFS($E$5:$E$154,"&gt;"&amp;E43)+1)</f>
        <v>0</v>
      </c>
      <c r="S43" s="8">
        <f>IF(C43="","",IF(L43="No","Unavoidable","Avoidable"))</f>
        <v>0</v>
      </c>
      <c r="T43" s="25"/>
    </row>
    <row r="44" spans="1:20">
      <c r="A44" s="7"/>
      <c r="B44" s="30"/>
      <c r="C44" s="7"/>
      <c r="D44" s="8">
        <f>IF(C44="","",IFERROR(INDEX(Ingredients!$B$5:$B$304,MATCH(C44,Ingredients!$A$5:$A$304,0)),""))</f>
        <v>0</v>
      </c>
      <c r="E44" s="26"/>
      <c r="F44" s="27"/>
      <c r="G44" s="8">
        <f>IF(C44="","",IFERROR(INDEX(Ingredients!$D$5:$D$304,MATCH(C44,Ingredients!$A$5:$A$304,0)),""))</f>
        <v>0</v>
      </c>
      <c r="H44" s="8">
        <f>IF(OR(C44="",E44="",G44=""),"",E44*G44)</f>
        <v>0</v>
      </c>
      <c r="I44" s="27"/>
      <c r="J44" s="27"/>
      <c r="K44" s="27"/>
      <c r="L44" s="27"/>
      <c r="M44" s="7"/>
      <c r="N44" s="27"/>
      <c r="O44" s="8">
        <f>IF(B44="","",TEXT(B44,"mmm yyyy"))</f>
        <v>0</v>
      </c>
      <c r="P44" s="8">
        <f>IF(OR(B44="",H44=""),"",SUMIFS($H$5:$H$154,$O$5:$O$154,O44))</f>
        <v>0</v>
      </c>
      <c r="Q44" s="8">
        <f>IF(OR(H44="",P44="",P44=0),"",H44/P44)</f>
        <v>0</v>
      </c>
      <c r="R44" s="8">
        <f>IF(OR(C44="",E44=""),"",COUNTIFS($E$5:$E$154,"&gt;"&amp;E44)+1)</f>
        <v>0</v>
      </c>
      <c r="S44" s="8">
        <f>IF(C44="","",IF(L44="No","Unavoidable","Avoidable"))</f>
        <v>0</v>
      </c>
      <c r="T44" s="25"/>
    </row>
    <row r="45" spans="1:20">
      <c r="A45" s="7"/>
      <c r="B45" s="30"/>
      <c r="C45" s="7"/>
      <c r="D45" s="8">
        <f>IF(C45="","",IFERROR(INDEX(Ingredients!$B$5:$B$304,MATCH(C45,Ingredients!$A$5:$A$304,0)),""))</f>
        <v>0</v>
      </c>
      <c r="E45" s="26"/>
      <c r="F45" s="27"/>
      <c r="G45" s="8">
        <f>IF(C45="","",IFERROR(INDEX(Ingredients!$D$5:$D$304,MATCH(C45,Ingredients!$A$5:$A$304,0)),""))</f>
        <v>0</v>
      </c>
      <c r="H45" s="8">
        <f>IF(OR(C45="",E45="",G45=""),"",E45*G45)</f>
        <v>0</v>
      </c>
      <c r="I45" s="27"/>
      <c r="J45" s="27"/>
      <c r="K45" s="27"/>
      <c r="L45" s="27"/>
      <c r="M45" s="7"/>
      <c r="N45" s="27"/>
      <c r="O45" s="8">
        <f>IF(B45="","",TEXT(B45,"mmm yyyy"))</f>
        <v>0</v>
      </c>
      <c r="P45" s="8">
        <f>IF(OR(B45="",H45=""),"",SUMIFS($H$5:$H$154,$O$5:$O$154,O45))</f>
        <v>0</v>
      </c>
      <c r="Q45" s="8">
        <f>IF(OR(H45="",P45="",P45=0),"",H45/P45)</f>
        <v>0</v>
      </c>
      <c r="R45" s="8">
        <f>IF(OR(C45="",E45=""),"",COUNTIFS($E$5:$E$154,"&gt;"&amp;E45)+1)</f>
        <v>0</v>
      </c>
      <c r="S45" s="8">
        <f>IF(C45="","",IF(L45="No","Unavoidable","Avoidable"))</f>
        <v>0</v>
      </c>
      <c r="T45" s="25"/>
    </row>
    <row r="46" spans="1:20">
      <c r="A46" s="7"/>
      <c r="B46" s="30"/>
      <c r="C46" s="7"/>
      <c r="D46" s="8">
        <f>IF(C46="","",IFERROR(INDEX(Ingredients!$B$5:$B$304,MATCH(C46,Ingredients!$A$5:$A$304,0)),""))</f>
        <v>0</v>
      </c>
      <c r="E46" s="26"/>
      <c r="F46" s="27"/>
      <c r="G46" s="8">
        <f>IF(C46="","",IFERROR(INDEX(Ingredients!$D$5:$D$304,MATCH(C46,Ingredients!$A$5:$A$304,0)),""))</f>
        <v>0</v>
      </c>
      <c r="H46" s="8">
        <f>IF(OR(C46="",E46="",G46=""),"",E46*G46)</f>
        <v>0</v>
      </c>
      <c r="I46" s="27"/>
      <c r="J46" s="27"/>
      <c r="K46" s="27"/>
      <c r="L46" s="27"/>
      <c r="M46" s="7"/>
      <c r="N46" s="27"/>
      <c r="O46" s="8">
        <f>IF(B46="","",TEXT(B46,"mmm yyyy"))</f>
        <v>0</v>
      </c>
      <c r="P46" s="8">
        <f>IF(OR(B46="",H46=""),"",SUMIFS($H$5:$H$154,$O$5:$O$154,O46))</f>
        <v>0</v>
      </c>
      <c r="Q46" s="8">
        <f>IF(OR(H46="",P46="",P46=0),"",H46/P46)</f>
        <v>0</v>
      </c>
      <c r="R46" s="8">
        <f>IF(OR(C46="",E46=""),"",COUNTIFS($E$5:$E$154,"&gt;"&amp;E46)+1)</f>
        <v>0</v>
      </c>
      <c r="S46" s="8">
        <f>IF(C46="","",IF(L46="No","Unavoidable","Avoidable"))</f>
        <v>0</v>
      </c>
      <c r="T46" s="25"/>
    </row>
    <row r="47" spans="1:20">
      <c r="A47" s="7"/>
      <c r="B47" s="30"/>
      <c r="C47" s="7"/>
      <c r="D47" s="8">
        <f>IF(C47="","",IFERROR(INDEX(Ingredients!$B$5:$B$304,MATCH(C47,Ingredients!$A$5:$A$304,0)),""))</f>
        <v>0</v>
      </c>
      <c r="E47" s="26"/>
      <c r="F47" s="27"/>
      <c r="G47" s="8">
        <f>IF(C47="","",IFERROR(INDEX(Ingredients!$D$5:$D$304,MATCH(C47,Ingredients!$A$5:$A$304,0)),""))</f>
        <v>0</v>
      </c>
      <c r="H47" s="8">
        <f>IF(OR(C47="",E47="",G47=""),"",E47*G47)</f>
        <v>0</v>
      </c>
      <c r="I47" s="27"/>
      <c r="J47" s="27"/>
      <c r="K47" s="27"/>
      <c r="L47" s="27"/>
      <c r="M47" s="7"/>
      <c r="N47" s="27"/>
      <c r="O47" s="8">
        <f>IF(B47="","",TEXT(B47,"mmm yyyy"))</f>
        <v>0</v>
      </c>
      <c r="P47" s="8">
        <f>IF(OR(B47="",H47=""),"",SUMIFS($H$5:$H$154,$O$5:$O$154,O47))</f>
        <v>0</v>
      </c>
      <c r="Q47" s="8">
        <f>IF(OR(H47="",P47="",P47=0),"",H47/P47)</f>
        <v>0</v>
      </c>
      <c r="R47" s="8">
        <f>IF(OR(C47="",E47=""),"",COUNTIFS($E$5:$E$154,"&gt;"&amp;E47)+1)</f>
        <v>0</v>
      </c>
      <c r="S47" s="8">
        <f>IF(C47="","",IF(L47="No","Unavoidable","Avoidable"))</f>
        <v>0</v>
      </c>
      <c r="T47" s="25"/>
    </row>
    <row r="48" spans="1:20">
      <c r="A48" s="7"/>
      <c r="B48" s="30"/>
      <c r="C48" s="7"/>
      <c r="D48" s="8">
        <f>IF(C48="","",IFERROR(INDEX(Ingredients!$B$5:$B$304,MATCH(C48,Ingredients!$A$5:$A$304,0)),""))</f>
        <v>0</v>
      </c>
      <c r="E48" s="26"/>
      <c r="F48" s="27"/>
      <c r="G48" s="8">
        <f>IF(C48="","",IFERROR(INDEX(Ingredients!$D$5:$D$304,MATCH(C48,Ingredients!$A$5:$A$304,0)),""))</f>
        <v>0</v>
      </c>
      <c r="H48" s="8">
        <f>IF(OR(C48="",E48="",G48=""),"",E48*G48)</f>
        <v>0</v>
      </c>
      <c r="I48" s="27"/>
      <c r="J48" s="27"/>
      <c r="K48" s="27"/>
      <c r="L48" s="27"/>
      <c r="M48" s="7"/>
      <c r="N48" s="27"/>
      <c r="O48" s="8">
        <f>IF(B48="","",TEXT(B48,"mmm yyyy"))</f>
        <v>0</v>
      </c>
      <c r="P48" s="8">
        <f>IF(OR(B48="",H48=""),"",SUMIFS($H$5:$H$154,$O$5:$O$154,O48))</f>
        <v>0</v>
      </c>
      <c r="Q48" s="8">
        <f>IF(OR(H48="",P48="",P48=0),"",H48/P48)</f>
        <v>0</v>
      </c>
      <c r="R48" s="8">
        <f>IF(OR(C48="",E48=""),"",COUNTIFS($E$5:$E$154,"&gt;"&amp;E48)+1)</f>
        <v>0</v>
      </c>
      <c r="S48" s="8">
        <f>IF(C48="","",IF(L48="No","Unavoidable","Avoidable"))</f>
        <v>0</v>
      </c>
      <c r="T48" s="25"/>
    </row>
    <row r="49" spans="1:20">
      <c r="A49" s="7"/>
      <c r="B49" s="30"/>
      <c r="C49" s="7"/>
      <c r="D49" s="8">
        <f>IF(C49="","",IFERROR(INDEX(Ingredients!$B$5:$B$304,MATCH(C49,Ingredients!$A$5:$A$304,0)),""))</f>
        <v>0</v>
      </c>
      <c r="E49" s="26"/>
      <c r="F49" s="27"/>
      <c r="G49" s="8">
        <f>IF(C49="","",IFERROR(INDEX(Ingredients!$D$5:$D$304,MATCH(C49,Ingredients!$A$5:$A$304,0)),""))</f>
        <v>0</v>
      </c>
      <c r="H49" s="8">
        <f>IF(OR(C49="",E49="",G49=""),"",E49*G49)</f>
        <v>0</v>
      </c>
      <c r="I49" s="27"/>
      <c r="J49" s="27"/>
      <c r="K49" s="27"/>
      <c r="L49" s="27"/>
      <c r="M49" s="7"/>
      <c r="N49" s="27"/>
      <c r="O49" s="8">
        <f>IF(B49="","",TEXT(B49,"mmm yyyy"))</f>
        <v>0</v>
      </c>
      <c r="P49" s="8">
        <f>IF(OR(B49="",H49=""),"",SUMIFS($H$5:$H$154,$O$5:$O$154,O49))</f>
        <v>0</v>
      </c>
      <c r="Q49" s="8">
        <f>IF(OR(H49="",P49="",P49=0),"",H49/P49)</f>
        <v>0</v>
      </c>
      <c r="R49" s="8">
        <f>IF(OR(C49="",E49=""),"",COUNTIFS($E$5:$E$154,"&gt;"&amp;E49)+1)</f>
        <v>0</v>
      </c>
      <c r="S49" s="8">
        <f>IF(C49="","",IF(L49="No","Unavoidable","Avoidable"))</f>
        <v>0</v>
      </c>
      <c r="T49" s="25"/>
    </row>
    <row r="50" spans="1:20">
      <c r="A50" s="7"/>
      <c r="B50" s="30"/>
      <c r="C50" s="7"/>
      <c r="D50" s="8">
        <f>IF(C50="","",IFERROR(INDEX(Ingredients!$B$5:$B$304,MATCH(C50,Ingredients!$A$5:$A$304,0)),""))</f>
        <v>0</v>
      </c>
      <c r="E50" s="26"/>
      <c r="F50" s="27"/>
      <c r="G50" s="8">
        <f>IF(C50="","",IFERROR(INDEX(Ingredients!$D$5:$D$304,MATCH(C50,Ingredients!$A$5:$A$304,0)),""))</f>
        <v>0</v>
      </c>
      <c r="H50" s="8">
        <f>IF(OR(C50="",E50="",G50=""),"",E50*G50)</f>
        <v>0</v>
      </c>
      <c r="I50" s="27"/>
      <c r="J50" s="27"/>
      <c r="K50" s="27"/>
      <c r="L50" s="27"/>
      <c r="M50" s="7"/>
      <c r="N50" s="27"/>
      <c r="O50" s="8">
        <f>IF(B50="","",TEXT(B50,"mmm yyyy"))</f>
        <v>0</v>
      </c>
      <c r="P50" s="8">
        <f>IF(OR(B50="",H50=""),"",SUMIFS($H$5:$H$154,$O$5:$O$154,O50))</f>
        <v>0</v>
      </c>
      <c r="Q50" s="8">
        <f>IF(OR(H50="",P50="",P50=0),"",H50/P50)</f>
        <v>0</v>
      </c>
      <c r="R50" s="8">
        <f>IF(OR(C50="",E50=""),"",COUNTIFS($E$5:$E$154,"&gt;"&amp;E50)+1)</f>
        <v>0</v>
      </c>
      <c r="S50" s="8">
        <f>IF(C50="","",IF(L50="No","Unavoidable","Avoidable"))</f>
        <v>0</v>
      </c>
      <c r="T50" s="25"/>
    </row>
    <row r="51" spans="1:20">
      <c r="A51" s="7"/>
      <c r="B51" s="30"/>
      <c r="C51" s="7"/>
      <c r="D51" s="8">
        <f>IF(C51="","",IFERROR(INDEX(Ingredients!$B$5:$B$304,MATCH(C51,Ingredients!$A$5:$A$304,0)),""))</f>
        <v>0</v>
      </c>
      <c r="E51" s="26"/>
      <c r="F51" s="27"/>
      <c r="G51" s="8">
        <f>IF(C51="","",IFERROR(INDEX(Ingredients!$D$5:$D$304,MATCH(C51,Ingredients!$A$5:$A$304,0)),""))</f>
        <v>0</v>
      </c>
      <c r="H51" s="8">
        <f>IF(OR(C51="",E51="",G51=""),"",E51*G51)</f>
        <v>0</v>
      </c>
      <c r="I51" s="27"/>
      <c r="J51" s="27"/>
      <c r="K51" s="27"/>
      <c r="L51" s="27"/>
      <c r="M51" s="7"/>
      <c r="N51" s="27"/>
      <c r="O51" s="8">
        <f>IF(B51="","",TEXT(B51,"mmm yyyy"))</f>
        <v>0</v>
      </c>
      <c r="P51" s="8">
        <f>IF(OR(B51="",H51=""),"",SUMIFS($H$5:$H$154,$O$5:$O$154,O51))</f>
        <v>0</v>
      </c>
      <c r="Q51" s="8">
        <f>IF(OR(H51="",P51="",P51=0),"",H51/P51)</f>
        <v>0</v>
      </c>
      <c r="R51" s="8">
        <f>IF(OR(C51="",E51=""),"",COUNTIFS($E$5:$E$154,"&gt;"&amp;E51)+1)</f>
        <v>0</v>
      </c>
      <c r="S51" s="8">
        <f>IF(C51="","",IF(L51="No","Unavoidable","Avoidable"))</f>
        <v>0</v>
      </c>
      <c r="T51" s="25"/>
    </row>
    <row r="52" spans="1:20">
      <c r="A52" s="7"/>
      <c r="B52" s="30"/>
      <c r="C52" s="7"/>
      <c r="D52" s="8">
        <f>IF(C52="","",IFERROR(INDEX(Ingredients!$B$5:$B$304,MATCH(C52,Ingredients!$A$5:$A$304,0)),""))</f>
        <v>0</v>
      </c>
      <c r="E52" s="26"/>
      <c r="F52" s="27"/>
      <c r="G52" s="8">
        <f>IF(C52="","",IFERROR(INDEX(Ingredients!$D$5:$D$304,MATCH(C52,Ingredients!$A$5:$A$304,0)),""))</f>
        <v>0</v>
      </c>
      <c r="H52" s="8">
        <f>IF(OR(C52="",E52="",G52=""),"",E52*G52)</f>
        <v>0</v>
      </c>
      <c r="I52" s="27"/>
      <c r="J52" s="27"/>
      <c r="K52" s="27"/>
      <c r="L52" s="27"/>
      <c r="M52" s="7"/>
      <c r="N52" s="27"/>
      <c r="O52" s="8">
        <f>IF(B52="","",TEXT(B52,"mmm yyyy"))</f>
        <v>0</v>
      </c>
      <c r="P52" s="8">
        <f>IF(OR(B52="",H52=""),"",SUMIFS($H$5:$H$154,$O$5:$O$154,O52))</f>
        <v>0</v>
      </c>
      <c r="Q52" s="8">
        <f>IF(OR(H52="",P52="",P52=0),"",H52/P52)</f>
        <v>0</v>
      </c>
      <c r="R52" s="8">
        <f>IF(OR(C52="",E52=""),"",COUNTIFS($E$5:$E$154,"&gt;"&amp;E52)+1)</f>
        <v>0</v>
      </c>
      <c r="S52" s="8">
        <f>IF(C52="","",IF(L52="No","Unavoidable","Avoidable"))</f>
        <v>0</v>
      </c>
      <c r="T52" s="25"/>
    </row>
    <row r="53" spans="1:20">
      <c r="A53" s="7"/>
      <c r="B53" s="30"/>
      <c r="C53" s="7"/>
      <c r="D53" s="8">
        <f>IF(C53="","",IFERROR(INDEX(Ingredients!$B$5:$B$304,MATCH(C53,Ingredients!$A$5:$A$304,0)),""))</f>
        <v>0</v>
      </c>
      <c r="E53" s="26"/>
      <c r="F53" s="27"/>
      <c r="G53" s="8">
        <f>IF(C53="","",IFERROR(INDEX(Ingredients!$D$5:$D$304,MATCH(C53,Ingredients!$A$5:$A$304,0)),""))</f>
        <v>0</v>
      </c>
      <c r="H53" s="8">
        <f>IF(OR(C53="",E53="",G53=""),"",E53*G53)</f>
        <v>0</v>
      </c>
      <c r="I53" s="27"/>
      <c r="J53" s="27"/>
      <c r="K53" s="27"/>
      <c r="L53" s="27"/>
      <c r="M53" s="7"/>
      <c r="N53" s="27"/>
      <c r="O53" s="8">
        <f>IF(B53="","",TEXT(B53,"mmm yyyy"))</f>
        <v>0</v>
      </c>
      <c r="P53" s="8">
        <f>IF(OR(B53="",H53=""),"",SUMIFS($H$5:$H$154,$O$5:$O$154,O53))</f>
        <v>0</v>
      </c>
      <c r="Q53" s="8">
        <f>IF(OR(H53="",P53="",P53=0),"",H53/P53)</f>
        <v>0</v>
      </c>
      <c r="R53" s="8">
        <f>IF(OR(C53="",E53=""),"",COUNTIFS($E$5:$E$154,"&gt;"&amp;E53)+1)</f>
        <v>0</v>
      </c>
      <c r="S53" s="8">
        <f>IF(C53="","",IF(L53="No","Unavoidable","Avoidable"))</f>
        <v>0</v>
      </c>
      <c r="T53" s="25"/>
    </row>
    <row r="54" spans="1:20">
      <c r="A54" s="7"/>
      <c r="B54" s="30"/>
      <c r="C54" s="7"/>
      <c r="D54" s="8">
        <f>IF(C54="","",IFERROR(INDEX(Ingredients!$B$5:$B$304,MATCH(C54,Ingredients!$A$5:$A$304,0)),""))</f>
        <v>0</v>
      </c>
      <c r="E54" s="26"/>
      <c r="F54" s="27"/>
      <c r="G54" s="8">
        <f>IF(C54="","",IFERROR(INDEX(Ingredients!$D$5:$D$304,MATCH(C54,Ingredients!$A$5:$A$304,0)),""))</f>
        <v>0</v>
      </c>
      <c r="H54" s="8">
        <f>IF(OR(C54="",E54="",G54=""),"",E54*G54)</f>
        <v>0</v>
      </c>
      <c r="I54" s="27"/>
      <c r="J54" s="27"/>
      <c r="K54" s="27"/>
      <c r="L54" s="27"/>
      <c r="M54" s="7"/>
      <c r="N54" s="27"/>
      <c r="O54" s="8">
        <f>IF(B54="","",TEXT(B54,"mmm yyyy"))</f>
        <v>0</v>
      </c>
      <c r="P54" s="8">
        <f>IF(OR(B54="",H54=""),"",SUMIFS($H$5:$H$154,$O$5:$O$154,O54))</f>
        <v>0</v>
      </c>
      <c r="Q54" s="8">
        <f>IF(OR(H54="",P54="",P54=0),"",H54/P54)</f>
        <v>0</v>
      </c>
      <c r="R54" s="8">
        <f>IF(OR(C54="",E54=""),"",COUNTIFS($E$5:$E$154,"&gt;"&amp;E54)+1)</f>
        <v>0</v>
      </c>
      <c r="S54" s="8">
        <f>IF(C54="","",IF(L54="No","Unavoidable","Avoidable"))</f>
        <v>0</v>
      </c>
      <c r="T54" s="25"/>
    </row>
    <row r="55" spans="1:20">
      <c r="A55" s="7"/>
      <c r="B55" s="30"/>
      <c r="C55" s="7"/>
      <c r="D55" s="8">
        <f>IF(C55="","",IFERROR(INDEX(Ingredients!$B$5:$B$304,MATCH(C55,Ingredients!$A$5:$A$304,0)),""))</f>
        <v>0</v>
      </c>
      <c r="E55" s="26"/>
      <c r="F55" s="27"/>
      <c r="G55" s="8">
        <f>IF(C55="","",IFERROR(INDEX(Ingredients!$D$5:$D$304,MATCH(C55,Ingredients!$A$5:$A$304,0)),""))</f>
        <v>0</v>
      </c>
      <c r="H55" s="8">
        <f>IF(OR(C55="",E55="",G55=""),"",E55*G55)</f>
        <v>0</v>
      </c>
      <c r="I55" s="27"/>
      <c r="J55" s="27"/>
      <c r="K55" s="27"/>
      <c r="L55" s="27"/>
      <c r="M55" s="7"/>
      <c r="N55" s="27"/>
      <c r="O55" s="8">
        <f>IF(B55="","",TEXT(B55,"mmm yyyy"))</f>
        <v>0</v>
      </c>
      <c r="P55" s="8">
        <f>IF(OR(B55="",H55=""),"",SUMIFS($H$5:$H$154,$O$5:$O$154,O55))</f>
        <v>0</v>
      </c>
      <c r="Q55" s="8">
        <f>IF(OR(H55="",P55="",P55=0),"",H55/P55)</f>
        <v>0</v>
      </c>
      <c r="R55" s="8">
        <f>IF(OR(C55="",E55=""),"",COUNTIFS($E$5:$E$154,"&gt;"&amp;E55)+1)</f>
        <v>0</v>
      </c>
      <c r="S55" s="8">
        <f>IF(C55="","",IF(L55="No","Unavoidable","Avoidable"))</f>
        <v>0</v>
      </c>
      <c r="T55" s="25"/>
    </row>
    <row r="56" spans="1:20">
      <c r="A56" s="7"/>
      <c r="B56" s="30"/>
      <c r="C56" s="7"/>
      <c r="D56" s="8">
        <f>IF(C56="","",IFERROR(INDEX(Ingredients!$B$5:$B$304,MATCH(C56,Ingredients!$A$5:$A$304,0)),""))</f>
        <v>0</v>
      </c>
      <c r="E56" s="26"/>
      <c r="F56" s="27"/>
      <c r="G56" s="8">
        <f>IF(C56="","",IFERROR(INDEX(Ingredients!$D$5:$D$304,MATCH(C56,Ingredients!$A$5:$A$304,0)),""))</f>
        <v>0</v>
      </c>
      <c r="H56" s="8">
        <f>IF(OR(C56="",E56="",G56=""),"",E56*G56)</f>
        <v>0</v>
      </c>
      <c r="I56" s="27"/>
      <c r="J56" s="27"/>
      <c r="K56" s="27"/>
      <c r="L56" s="27"/>
      <c r="M56" s="7"/>
      <c r="N56" s="27"/>
      <c r="O56" s="8">
        <f>IF(B56="","",TEXT(B56,"mmm yyyy"))</f>
        <v>0</v>
      </c>
      <c r="P56" s="8">
        <f>IF(OR(B56="",H56=""),"",SUMIFS($H$5:$H$154,$O$5:$O$154,O56))</f>
        <v>0</v>
      </c>
      <c r="Q56" s="8">
        <f>IF(OR(H56="",P56="",P56=0),"",H56/P56)</f>
        <v>0</v>
      </c>
      <c r="R56" s="8">
        <f>IF(OR(C56="",E56=""),"",COUNTIFS($E$5:$E$154,"&gt;"&amp;E56)+1)</f>
        <v>0</v>
      </c>
      <c r="S56" s="8">
        <f>IF(C56="","",IF(L56="No","Unavoidable","Avoidable"))</f>
        <v>0</v>
      </c>
      <c r="T56" s="25"/>
    </row>
    <row r="57" spans="1:20">
      <c r="A57" s="7"/>
      <c r="B57" s="30"/>
      <c r="C57" s="7"/>
      <c r="D57" s="8">
        <f>IF(C57="","",IFERROR(INDEX(Ingredients!$B$5:$B$304,MATCH(C57,Ingredients!$A$5:$A$304,0)),""))</f>
        <v>0</v>
      </c>
      <c r="E57" s="26"/>
      <c r="F57" s="27"/>
      <c r="G57" s="8">
        <f>IF(C57="","",IFERROR(INDEX(Ingredients!$D$5:$D$304,MATCH(C57,Ingredients!$A$5:$A$304,0)),""))</f>
        <v>0</v>
      </c>
      <c r="H57" s="8">
        <f>IF(OR(C57="",E57="",G57=""),"",E57*G57)</f>
        <v>0</v>
      </c>
      <c r="I57" s="27"/>
      <c r="J57" s="27"/>
      <c r="K57" s="27"/>
      <c r="L57" s="27"/>
      <c r="M57" s="7"/>
      <c r="N57" s="27"/>
      <c r="O57" s="8">
        <f>IF(B57="","",TEXT(B57,"mmm yyyy"))</f>
        <v>0</v>
      </c>
      <c r="P57" s="8">
        <f>IF(OR(B57="",H57=""),"",SUMIFS($H$5:$H$154,$O$5:$O$154,O57))</f>
        <v>0</v>
      </c>
      <c r="Q57" s="8">
        <f>IF(OR(H57="",P57="",P57=0),"",H57/P57)</f>
        <v>0</v>
      </c>
      <c r="R57" s="8">
        <f>IF(OR(C57="",E57=""),"",COUNTIFS($E$5:$E$154,"&gt;"&amp;E57)+1)</f>
        <v>0</v>
      </c>
      <c r="S57" s="8">
        <f>IF(C57="","",IF(L57="No","Unavoidable","Avoidable"))</f>
        <v>0</v>
      </c>
      <c r="T57" s="25"/>
    </row>
    <row r="58" spans="1:20">
      <c r="A58" s="7"/>
      <c r="B58" s="30"/>
      <c r="C58" s="7"/>
      <c r="D58" s="8">
        <f>IF(C58="","",IFERROR(INDEX(Ingredients!$B$5:$B$304,MATCH(C58,Ingredients!$A$5:$A$304,0)),""))</f>
        <v>0</v>
      </c>
      <c r="E58" s="26"/>
      <c r="F58" s="27"/>
      <c r="G58" s="8">
        <f>IF(C58="","",IFERROR(INDEX(Ingredients!$D$5:$D$304,MATCH(C58,Ingredients!$A$5:$A$304,0)),""))</f>
        <v>0</v>
      </c>
      <c r="H58" s="8">
        <f>IF(OR(C58="",E58="",G58=""),"",E58*G58)</f>
        <v>0</v>
      </c>
      <c r="I58" s="27"/>
      <c r="J58" s="27"/>
      <c r="K58" s="27"/>
      <c r="L58" s="27"/>
      <c r="M58" s="7"/>
      <c r="N58" s="27"/>
      <c r="O58" s="8">
        <f>IF(B58="","",TEXT(B58,"mmm yyyy"))</f>
        <v>0</v>
      </c>
      <c r="P58" s="8">
        <f>IF(OR(B58="",H58=""),"",SUMIFS($H$5:$H$154,$O$5:$O$154,O58))</f>
        <v>0</v>
      </c>
      <c r="Q58" s="8">
        <f>IF(OR(H58="",P58="",P58=0),"",H58/P58)</f>
        <v>0</v>
      </c>
      <c r="R58" s="8">
        <f>IF(OR(C58="",E58=""),"",COUNTIFS($E$5:$E$154,"&gt;"&amp;E58)+1)</f>
        <v>0</v>
      </c>
      <c r="S58" s="8">
        <f>IF(C58="","",IF(L58="No","Unavoidable","Avoidable"))</f>
        <v>0</v>
      </c>
      <c r="T58" s="25"/>
    </row>
    <row r="59" spans="1:20">
      <c r="A59" s="7"/>
      <c r="B59" s="30"/>
      <c r="C59" s="7"/>
      <c r="D59" s="8">
        <f>IF(C59="","",IFERROR(INDEX(Ingredients!$B$5:$B$304,MATCH(C59,Ingredients!$A$5:$A$304,0)),""))</f>
        <v>0</v>
      </c>
      <c r="E59" s="26"/>
      <c r="F59" s="27"/>
      <c r="G59" s="8">
        <f>IF(C59="","",IFERROR(INDEX(Ingredients!$D$5:$D$304,MATCH(C59,Ingredients!$A$5:$A$304,0)),""))</f>
        <v>0</v>
      </c>
      <c r="H59" s="8">
        <f>IF(OR(C59="",E59="",G59=""),"",E59*G59)</f>
        <v>0</v>
      </c>
      <c r="I59" s="27"/>
      <c r="J59" s="27"/>
      <c r="K59" s="27"/>
      <c r="L59" s="27"/>
      <c r="M59" s="7"/>
      <c r="N59" s="27"/>
      <c r="O59" s="8">
        <f>IF(B59="","",TEXT(B59,"mmm yyyy"))</f>
        <v>0</v>
      </c>
      <c r="P59" s="8">
        <f>IF(OR(B59="",H59=""),"",SUMIFS($H$5:$H$154,$O$5:$O$154,O59))</f>
        <v>0</v>
      </c>
      <c r="Q59" s="8">
        <f>IF(OR(H59="",P59="",P59=0),"",H59/P59)</f>
        <v>0</v>
      </c>
      <c r="R59" s="8">
        <f>IF(OR(C59="",E59=""),"",COUNTIFS($E$5:$E$154,"&gt;"&amp;E59)+1)</f>
        <v>0</v>
      </c>
      <c r="S59" s="8">
        <f>IF(C59="","",IF(L59="No","Unavoidable","Avoidable"))</f>
        <v>0</v>
      </c>
      <c r="T59" s="25"/>
    </row>
    <row r="60" spans="1:20">
      <c r="A60" s="7"/>
      <c r="B60" s="30"/>
      <c r="C60" s="7"/>
      <c r="D60" s="8">
        <f>IF(C60="","",IFERROR(INDEX(Ingredients!$B$5:$B$304,MATCH(C60,Ingredients!$A$5:$A$304,0)),""))</f>
        <v>0</v>
      </c>
      <c r="E60" s="26"/>
      <c r="F60" s="27"/>
      <c r="G60" s="8">
        <f>IF(C60="","",IFERROR(INDEX(Ingredients!$D$5:$D$304,MATCH(C60,Ingredients!$A$5:$A$304,0)),""))</f>
        <v>0</v>
      </c>
      <c r="H60" s="8">
        <f>IF(OR(C60="",E60="",G60=""),"",E60*G60)</f>
        <v>0</v>
      </c>
      <c r="I60" s="27"/>
      <c r="J60" s="27"/>
      <c r="K60" s="27"/>
      <c r="L60" s="27"/>
      <c r="M60" s="7"/>
      <c r="N60" s="27"/>
      <c r="O60" s="8">
        <f>IF(B60="","",TEXT(B60,"mmm yyyy"))</f>
        <v>0</v>
      </c>
      <c r="P60" s="8">
        <f>IF(OR(B60="",H60=""),"",SUMIFS($H$5:$H$154,$O$5:$O$154,O60))</f>
        <v>0</v>
      </c>
      <c r="Q60" s="8">
        <f>IF(OR(H60="",P60="",P60=0),"",H60/P60)</f>
        <v>0</v>
      </c>
      <c r="R60" s="8">
        <f>IF(OR(C60="",E60=""),"",COUNTIFS($E$5:$E$154,"&gt;"&amp;E60)+1)</f>
        <v>0</v>
      </c>
      <c r="S60" s="8">
        <f>IF(C60="","",IF(L60="No","Unavoidable","Avoidable"))</f>
        <v>0</v>
      </c>
      <c r="T60" s="25"/>
    </row>
    <row r="61" spans="1:20">
      <c r="A61" s="7"/>
      <c r="B61" s="30"/>
      <c r="C61" s="7"/>
      <c r="D61" s="8">
        <f>IF(C61="","",IFERROR(INDEX(Ingredients!$B$5:$B$304,MATCH(C61,Ingredients!$A$5:$A$304,0)),""))</f>
        <v>0</v>
      </c>
      <c r="E61" s="26"/>
      <c r="F61" s="27"/>
      <c r="G61" s="8">
        <f>IF(C61="","",IFERROR(INDEX(Ingredients!$D$5:$D$304,MATCH(C61,Ingredients!$A$5:$A$304,0)),""))</f>
        <v>0</v>
      </c>
      <c r="H61" s="8">
        <f>IF(OR(C61="",E61="",G61=""),"",E61*G61)</f>
        <v>0</v>
      </c>
      <c r="I61" s="27"/>
      <c r="J61" s="27"/>
      <c r="K61" s="27"/>
      <c r="L61" s="27"/>
      <c r="M61" s="7"/>
      <c r="N61" s="27"/>
      <c r="O61" s="8">
        <f>IF(B61="","",TEXT(B61,"mmm yyyy"))</f>
        <v>0</v>
      </c>
      <c r="P61" s="8">
        <f>IF(OR(B61="",H61=""),"",SUMIFS($H$5:$H$154,$O$5:$O$154,O61))</f>
        <v>0</v>
      </c>
      <c r="Q61" s="8">
        <f>IF(OR(H61="",P61="",P61=0),"",H61/P61)</f>
        <v>0</v>
      </c>
      <c r="R61" s="8">
        <f>IF(OR(C61="",E61=""),"",COUNTIFS($E$5:$E$154,"&gt;"&amp;E61)+1)</f>
        <v>0</v>
      </c>
      <c r="S61" s="8">
        <f>IF(C61="","",IF(L61="No","Unavoidable","Avoidable"))</f>
        <v>0</v>
      </c>
      <c r="T61" s="25"/>
    </row>
    <row r="62" spans="1:20">
      <c r="A62" s="7"/>
      <c r="B62" s="30"/>
      <c r="C62" s="7"/>
      <c r="D62" s="8">
        <f>IF(C62="","",IFERROR(INDEX(Ingredients!$B$5:$B$304,MATCH(C62,Ingredients!$A$5:$A$304,0)),""))</f>
        <v>0</v>
      </c>
      <c r="E62" s="26"/>
      <c r="F62" s="27"/>
      <c r="G62" s="8">
        <f>IF(C62="","",IFERROR(INDEX(Ingredients!$D$5:$D$304,MATCH(C62,Ingredients!$A$5:$A$304,0)),""))</f>
        <v>0</v>
      </c>
      <c r="H62" s="8">
        <f>IF(OR(C62="",E62="",G62=""),"",E62*G62)</f>
        <v>0</v>
      </c>
      <c r="I62" s="27"/>
      <c r="J62" s="27"/>
      <c r="K62" s="27"/>
      <c r="L62" s="27"/>
      <c r="M62" s="7"/>
      <c r="N62" s="27"/>
      <c r="O62" s="8">
        <f>IF(B62="","",TEXT(B62,"mmm yyyy"))</f>
        <v>0</v>
      </c>
      <c r="P62" s="8">
        <f>IF(OR(B62="",H62=""),"",SUMIFS($H$5:$H$154,$O$5:$O$154,O62))</f>
        <v>0</v>
      </c>
      <c r="Q62" s="8">
        <f>IF(OR(H62="",P62="",P62=0),"",H62/P62)</f>
        <v>0</v>
      </c>
      <c r="R62" s="8">
        <f>IF(OR(C62="",E62=""),"",COUNTIFS($E$5:$E$154,"&gt;"&amp;E62)+1)</f>
        <v>0</v>
      </c>
      <c r="S62" s="8">
        <f>IF(C62="","",IF(L62="No","Unavoidable","Avoidable"))</f>
        <v>0</v>
      </c>
      <c r="T62" s="25"/>
    </row>
    <row r="63" spans="1:20">
      <c r="A63" s="7"/>
      <c r="B63" s="30"/>
      <c r="C63" s="7"/>
      <c r="D63" s="8">
        <f>IF(C63="","",IFERROR(INDEX(Ingredients!$B$5:$B$304,MATCH(C63,Ingredients!$A$5:$A$304,0)),""))</f>
        <v>0</v>
      </c>
      <c r="E63" s="26"/>
      <c r="F63" s="27"/>
      <c r="G63" s="8">
        <f>IF(C63="","",IFERROR(INDEX(Ingredients!$D$5:$D$304,MATCH(C63,Ingredients!$A$5:$A$304,0)),""))</f>
        <v>0</v>
      </c>
      <c r="H63" s="8">
        <f>IF(OR(C63="",E63="",G63=""),"",E63*G63)</f>
        <v>0</v>
      </c>
      <c r="I63" s="27"/>
      <c r="J63" s="27"/>
      <c r="K63" s="27"/>
      <c r="L63" s="27"/>
      <c r="M63" s="7"/>
      <c r="N63" s="27"/>
      <c r="O63" s="8">
        <f>IF(B63="","",TEXT(B63,"mmm yyyy"))</f>
        <v>0</v>
      </c>
      <c r="P63" s="8">
        <f>IF(OR(B63="",H63=""),"",SUMIFS($H$5:$H$154,$O$5:$O$154,O63))</f>
        <v>0</v>
      </c>
      <c r="Q63" s="8">
        <f>IF(OR(H63="",P63="",P63=0),"",H63/P63)</f>
        <v>0</v>
      </c>
      <c r="R63" s="8">
        <f>IF(OR(C63="",E63=""),"",COUNTIFS($E$5:$E$154,"&gt;"&amp;E63)+1)</f>
        <v>0</v>
      </c>
      <c r="S63" s="8">
        <f>IF(C63="","",IF(L63="No","Unavoidable","Avoidable"))</f>
        <v>0</v>
      </c>
      <c r="T63" s="25"/>
    </row>
    <row r="64" spans="1:20">
      <c r="A64" s="7"/>
      <c r="B64" s="30"/>
      <c r="C64" s="7"/>
      <c r="D64" s="8">
        <f>IF(C64="","",IFERROR(INDEX(Ingredients!$B$5:$B$304,MATCH(C64,Ingredients!$A$5:$A$304,0)),""))</f>
        <v>0</v>
      </c>
      <c r="E64" s="26"/>
      <c r="F64" s="27"/>
      <c r="G64" s="8">
        <f>IF(C64="","",IFERROR(INDEX(Ingredients!$D$5:$D$304,MATCH(C64,Ingredients!$A$5:$A$304,0)),""))</f>
        <v>0</v>
      </c>
      <c r="H64" s="8">
        <f>IF(OR(C64="",E64="",G64=""),"",E64*G64)</f>
        <v>0</v>
      </c>
      <c r="I64" s="27"/>
      <c r="J64" s="27"/>
      <c r="K64" s="27"/>
      <c r="L64" s="27"/>
      <c r="M64" s="7"/>
      <c r="N64" s="27"/>
      <c r="O64" s="8">
        <f>IF(B64="","",TEXT(B64,"mmm yyyy"))</f>
        <v>0</v>
      </c>
      <c r="P64" s="8">
        <f>IF(OR(B64="",H64=""),"",SUMIFS($H$5:$H$154,$O$5:$O$154,O64))</f>
        <v>0</v>
      </c>
      <c r="Q64" s="8">
        <f>IF(OR(H64="",P64="",P64=0),"",H64/P64)</f>
        <v>0</v>
      </c>
      <c r="R64" s="8">
        <f>IF(OR(C64="",E64=""),"",COUNTIFS($E$5:$E$154,"&gt;"&amp;E64)+1)</f>
        <v>0</v>
      </c>
      <c r="S64" s="8">
        <f>IF(C64="","",IF(L64="No","Unavoidable","Avoidable"))</f>
        <v>0</v>
      </c>
      <c r="T64" s="25"/>
    </row>
    <row r="65" spans="1:20">
      <c r="A65" s="7"/>
      <c r="B65" s="30"/>
      <c r="C65" s="7"/>
      <c r="D65" s="8">
        <f>IF(C65="","",IFERROR(INDEX(Ingredients!$B$5:$B$304,MATCH(C65,Ingredients!$A$5:$A$304,0)),""))</f>
        <v>0</v>
      </c>
      <c r="E65" s="26"/>
      <c r="F65" s="27"/>
      <c r="G65" s="8">
        <f>IF(C65="","",IFERROR(INDEX(Ingredients!$D$5:$D$304,MATCH(C65,Ingredients!$A$5:$A$304,0)),""))</f>
        <v>0</v>
      </c>
      <c r="H65" s="8">
        <f>IF(OR(C65="",E65="",G65=""),"",E65*G65)</f>
        <v>0</v>
      </c>
      <c r="I65" s="27"/>
      <c r="J65" s="27"/>
      <c r="K65" s="27"/>
      <c r="L65" s="27"/>
      <c r="M65" s="7"/>
      <c r="N65" s="27"/>
      <c r="O65" s="8">
        <f>IF(B65="","",TEXT(B65,"mmm yyyy"))</f>
        <v>0</v>
      </c>
      <c r="P65" s="8">
        <f>IF(OR(B65="",H65=""),"",SUMIFS($H$5:$H$154,$O$5:$O$154,O65))</f>
        <v>0</v>
      </c>
      <c r="Q65" s="8">
        <f>IF(OR(H65="",P65="",P65=0),"",H65/P65)</f>
        <v>0</v>
      </c>
      <c r="R65" s="8">
        <f>IF(OR(C65="",E65=""),"",COUNTIFS($E$5:$E$154,"&gt;"&amp;E65)+1)</f>
        <v>0</v>
      </c>
      <c r="S65" s="8">
        <f>IF(C65="","",IF(L65="No","Unavoidable","Avoidable"))</f>
        <v>0</v>
      </c>
      <c r="T65" s="25"/>
    </row>
    <row r="66" spans="1:20">
      <c r="A66" s="7"/>
      <c r="B66" s="30"/>
      <c r="C66" s="7"/>
      <c r="D66" s="8">
        <f>IF(C66="","",IFERROR(INDEX(Ingredients!$B$5:$B$304,MATCH(C66,Ingredients!$A$5:$A$304,0)),""))</f>
        <v>0</v>
      </c>
      <c r="E66" s="26"/>
      <c r="F66" s="27"/>
      <c r="G66" s="8">
        <f>IF(C66="","",IFERROR(INDEX(Ingredients!$D$5:$D$304,MATCH(C66,Ingredients!$A$5:$A$304,0)),""))</f>
        <v>0</v>
      </c>
      <c r="H66" s="8">
        <f>IF(OR(C66="",E66="",G66=""),"",E66*G66)</f>
        <v>0</v>
      </c>
      <c r="I66" s="27"/>
      <c r="J66" s="27"/>
      <c r="K66" s="27"/>
      <c r="L66" s="27"/>
      <c r="M66" s="7"/>
      <c r="N66" s="27"/>
      <c r="O66" s="8">
        <f>IF(B66="","",TEXT(B66,"mmm yyyy"))</f>
        <v>0</v>
      </c>
      <c r="P66" s="8">
        <f>IF(OR(B66="",H66=""),"",SUMIFS($H$5:$H$154,$O$5:$O$154,O66))</f>
        <v>0</v>
      </c>
      <c r="Q66" s="8">
        <f>IF(OR(H66="",P66="",P66=0),"",H66/P66)</f>
        <v>0</v>
      </c>
      <c r="R66" s="8">
        <f>IF(OR(C66="",E66=""),"",COUNTIFS($E$5:$E$154,"&gt;"&amp;E66)+1)</f>
        <v>0</v>
      </c>
      <c r="S66" s="8">
        <f>IF(C66="","",IF(L66="No","Unavoidable","Avoidable"))</f>
        <v>0</v>
      </c>
      <c r="T66" s="25"/>
    </row>
    <row r="67" spans="1:20">
      <c r="A67" s="7"/>
      <c r="B67" s="30"/>
      <c r="C67" s="7"/>
      <c r="D67" s="8">
        <f>IF(C67="","",IFERROR(INDEX(Ingredients!$B$5:$B$304,MATCH(C67,Ingredients!$A$5:$A$304,0)),""))</f>
        <v>0</v>
      </c>
      <c r="E67" s="26"/>
      <c r="F67" s="27"/>
      <c r="G67" s="8">
        <f>IF(C67="","",IFERROR(INDEX(Ingredients!$D$5:$D$304,MATCH(C67,Ingredients!$A$5:$A$304,0)),""))</f>
        <v>0</v>
      </c>
      <c r="H67" s="8">
        <f>IF(OR(C67="",E67="",G67=""),"",E67*G67)</f>
        <v>0</v>
      </c>
      <c r="I67" s="27"/>
      <c r="J67" s="27"/>
      <c r="K67" s="27"/>
      <c r="L67" s="27"/>
      <c r="M67" s="7"/>
      <c r="N67" s="27"/>
      <c r="O67" s="8">
        <f>IF(B67="","",TEXT(B67,"mmm yyyy"))</f>
        <v>0</v>
      </c>
      <c r="P67" s="8">
        <f>IF(OR(B67="",H67=""),"",SUMIFS($H$5:$H$154,$O$5:$O$154,O67))</f>
        <v>0</v>
      </c>
      <c r="Q67" s="8">
        <f>IF(OR(H67="",P67="",P67=0),"",H67/P67)</f>
        <v>0</v>
      </c>
      <c r="R67" s="8">
        <f>IF(OR(C67="",E67=""),"",COUNTIFS($E$5:$E$154,"&gt;"&amp;E67)+1)</f>
        <v>0</v>
      </c>
      <c r="S67" s="8">
        <f>IF(C67="","",IF(L67="No","Unavoidable","Avoidable"))</f>
        <v>0</v>
      </c>
      <c r="T67" s="25"/>
    </row>
    <row r="68" spans="1:20">
      <c r="A68" s="7"/>
      <c r="B68" s="30"/>
      <c r="C68" s="7"/>
      <c r="D68" s="8">
        <f>IF(C68="","",IFERROR(INDEX(Ingredients!$B$5:$B$304,MATCH(C68,Ingredients!$A$5:$A$304,0)),""))</f>
        <v>0</v>
      </c>
      <c r="E68" s="26"/>
      <c r="F68" s="27"/>
      <c r="G68" s="8">
        <f>IF(C68="","",IFERROR(INDEX(Ingredients!$D$5:$D$304,MATCH(C68,Ingredients!$A$5:$A$304,0)),""))</f>
        <v>0</v>
      </c>
      <c r="H68" s="8">
        <f>IF(OR(C68="",E68="",G68=""),"",E68*G68)</f>
        <v>0</v>
      </c>
      <c r="I68" s="27"/>
      <c r="J68" s="27"/>
      <c r="K68" s="27"/>
      <c r="L68" s="27"/>
      <c r="M68" s="7"/>
      <c r="N68" s="27"/>
      <c r="O68" s="8">
        <f>IF(B68="","",TEXT(B68,"mmm yyyy"))</f>
        <v>0</v>
      </c>
      <c r="P68" s="8">
        <f>IF(OR(B68="",H68=""),"",SUMIFS($H$5:$H$154,$O$5:$O$154,O68))</f>
        <v>0</v>
      </c>
      <c r="Q68" s="8">
        <f>IF(OR(H68="",P68="",P68=0),"",H68/P68)</f>
        <v>0</v>
      </c>
      <c r="R68" s="8">
        <f>IF(OR(C68="",E68=""),"",COUNTIFS($E$5:$E$154,"&gt;"&amp;E68)+1)</f>
        <v>0</v>
      </c>
      <c r="S68" s="8">
        <f>IF(C68="","",IF(L68="No","Unavoidable","Avoidable"))</f>
        <v>0</v>
      </c>
      <c r="T68" s="25"/>
    </row>
    <row r="69" spans="1:20">
      <c r="A69" s="7"/>
      <c r="B69" s="30"/>
      <c r="C69" s="7"/>
      <c r="D69" s="8">
        <f>IF(C69="","",IFERROR(INDEX(Ingredients!$B$5:$B$304,MATCH(C69,Ingredients!$A$5:$A$304,0)),""))</f>
        <v>0</v>
      </c>
      <c r="E69" s="26"/>
      <c r="F69" s="27"/>
      <c r="G69" s="8">
        <f>IF(C69="","",IFERROR(INDEX(Ingredients!$D$5:$D$304,MATCH(C69,Ingredients!$A$5:$A$304,0)),""))</f>
        <v>0</v>
      </c>
      <c r="H69" s="8">
        <f>IF(OR(C69="",E69="",G69=""),"",E69*G69)</f>
        <v>0</v>
      </c>
      <c r="I69" s="27"/>
      <c r="J69" s="27"/>
      <c r="K69" s="27"/>
      <c r="L69" s="27"/>
      <c r="M69" s="7"/>
      <c r="N69" s="27"/>
      <c r="O69" s="8">
        <f>IF(B69="","",TEXT(B69,"mmm yyyy"))</f>
        <v>0</v>
      </c>
      <c r="P69" s="8">
        <f>IF(OR(B69="",H69=""),"",SUMIFS($H$5:$H$154,$O$5:$O$154,O69))</f>
        <v>0</v>
      </c>
      <c r="Q69" s="8">
        <f>IF(OR(H69="",P69="",P69=0),"",H69/P69)</f>
        <v>0</v>
      </c>
      <c r="R69" s="8">
        <f>IF(OR(C69="",E69=""),"",COUNTIFS($E$5:$E$154,"&gt;"&amp;E69)+1)</f>
        <v>0</v>
      </c>
      <c r="S69" s="8">
        <f>IF(C69="","",IF(L69="No","Unavoidable","Avoidable"))</f>
        <v>0</v>
      </c>
      <c r="T69" s="25"/>
    </row>
    <row r="70" spans="1:20">
      <c r="A70" s="7"/>
      <c r="B70" s="30"/>
      <c r="C70" s="7"/>
      <c r="D70" s="8">
        <f>IF(C70="","",IFERROR(INDEX(Ingredients!$B$5:$B$304,MATCH(C70,Ingredients!$A$5:$A$304,0)),""))</f>
        <v>0</v>
      </c>
      <c r="E70" s="26"/>
      <c r="F70" s="27"/>
      <c r="G70" s="8">
        <f>IF(C70="","",IFERROR(INDEX(Ingredients!$D$5:$D$304,MATCH(C70,Ingredients!$A$5:$A$304,0)),""))</f>
        <v>0</v>
      </c>
      <c r="H70" s="8">
        <f>IF(OR(C70="",E70="",G70=""),"",E70*G70)</f>
        <v>0</v>
      </c>
      <c r="I70" s="27"/>
      <c r="J70" s="27"/>
      <c r="K70" s="27"/>
      <c r="L70" s="27"/>
      <c r="M70" s="7"/>
      <c r="N70" s="27"/>
      <c r="O70" s="8">
        <f>IF(B70="","",TEXT(B70,"mmm yyyy"))</f>
        <v>0</v>
      </c>
      <c r="P70" s="8">
        <f>IF(OR(B70="",H70=""),"",SUMIFS($H$5:$H$154,$O$5:$O$154,O70))</f>
        <v>0</v>
      </c>
      <c r="Q70" s="8">
        <f>IF(OR(H70="",P70="",P70=0),"",H70/P70)</f>
        <v>0</v>
      </c>
      <c r="R70" s="8">
        <f>IF(OR(C70="",E70=""),"",COUNTIFS($E$5:$E$154,"&gt;"&amp;E70)+1)</f>
        <v>0</v>
      </c>
      <c r="S70" s="8">
        <f>IF(C70="","",IF(L70="No","Unavoidable","Avoidable"))</f>
        <v>0</v>
      </c>
      <c r="T70" s="25"/>
    </row>
    <row r="71" spans="1:20">
      <c r="A71" s="7"/>
      <c r="B71" s="30"/>
      <c r="C71" s="7"/>
      <c r="D71" s="8">
        <f>IF(C71="","",IFERROR(INDEX(Ingredients!$B$5:$B$304,MATCH(C71,Ingredients!$A$5:$A$304,0)),""))</f>
        <v>0</v>
      </c>
      <c r="E71" s="26"/>
      <c r="F71" s="27"/>
      <c r="G71" s="8">
        <f>IF(C71="","",IFERROR(INDEX(Ingredients!$D$5:$D$304,MATCH(C71,Ingredients!$A$5:$A$304,0)),""))</f>
        <v>0</v>
      </c>
      <c r="H71" s="8">
        <f>IF(OR(C71="",E71="",G71=""),"",E71*G71)</f>
        <v>0</v>
      </c>
      <c r="I71" s="27"/>
      <c r="J71" s="27"/>
      <c r="K71" s="27"/>
      <c r="L71" s="27"/>
      <c r="M71" s="7"/>
      <c r="N71" s="27"/>
      <c r="O71" s="8">
        <f>IF(B71="","",TEXT(B71,"mmm yyyy"))</f>
        <v>0</v>
      </c>
      <c r="P71" s="8">
        <f>IF(OR(B71="",H71=""),"",SUMIFS($H$5:$H$154,$O$5:$O$154,O71))</f>
        <v>0</v>
      </c>
      <c r="Q71" s="8">
        <f>IF(OR(H71="",P71="",P71=0),"",H71/P71)</f>
        <v>0</v>
      </c>
      <c r="R71" s="8">
        <f>IF(OR(C71="",E71=""),"",COUNTIFS($E$5:$E$154,"&gt;"&amp;E71)+1)</f>
        <v>0</v>
      </c>
      <c r="S71" s="8">
        <f>IF(C71="","",IF(L71="No","Unavoidable","Avoidable"))</f>
        <v>0</v>
      </c>
      <c r="T71" s="25"/>
    </row>
    <row r="72" spans="1:20">
      <c r="A72" s="7"/>
      <c r="B72" s="30"/>
      <c r="C72" s="7"/>
      <c r="D72" s="8">
        <f>IF(C72="","",IFERROR(INDEX(Ingredients!$B$5:$B$304,MATCH(C72,Ingredients!$A$5:$A$304,0)),""))</f>
        <v>0</v>
      </c>
      <c r="E72" s="26"/>
      <c r="F72" s="27"/>
      <c r="G72" s="8">
        <f>IF(C72="","",IFERROR(INDEX(Ingredients!$D$5:$D$304,MATCH(C72,Ingredients!$A$5:$A$304,0)),""))</f>
        <v>0</v>
      </c>
      <c r="H72" s="8">
        <f>IF(OR(C72="",E72="",G72=""),"",E72*G72)</f>
        <v>0</v>
      </c>
      <c r="I72" s="27"/>
      <c r="J72" s="27"/>
      <c r="K72" s="27"/>
      <c r="L72" s="27"/>
      <c r="M72" s="7"/>
      <c r="N72" s="27"/>
      <c r="O72" s="8">
        <f>IF(B72="","",TEXT(B72,"mmm yyyy"))</f>
        <v>0</v>
      </c>
      <c r="P72" s="8">
        <f>IF(OR(B72="",H72=""),"",SUMIFS($H$5:$H$154,$O$5:$O$154,O72))</f>
        <v>0</v>
      </c>
      <c r="Q72" s="8">
        <f>IF(OR(H72="",P72="",P72=0),"",H72/P72)</f>
        <v>0</v>
      </c>
      <c r="R72" s="8">
        <f>IF(OR(C72="",E72=""),"",COUNTIFS($E$5:$E$154,"&gt;"&amp;E72)+1)</f>
        <v>0</v>
      </c>
      <c r="S72" s="8">
        <f>IF(C72="","",IF(L72="No","Unavoidable","Avoidable"))</f>
        <v>0</v>
      </c>
      <c r="T72" s="25"/>
    </row>
    <row r="73" spans="1:20">
      <c r="A73" s="7"/>
      <c r="B73" s="30"/>
      <c r="C73" s="7"/>
      <c r="D73" s="8">
        <f>IF(C73="","",IFERROR(INDEX(Ingredients!$B$5:$B$304,MATCH(C73,Ingredients!$A$5:$A$304,0)),""))</f>
        <v>0</v>
      </c>
      <c r="E73" s="26"/>
      <c r="F73" s="27"/>
      <c r="G73" s="8">
        <f>IF(C73="","",IFERROR(INDEX(Ingredients!$D$5:$D$304,MATCH(C73,Ingredients!$A$5:$A$304,0)),""))</f>
        <v>0</v>
      </c>
      <c r="H73" s="8">
        <f>IF(OR(C73="",E73="",G73=""),"",E73*G73)</f>
        <v>0</v>
      </c>
      <c r="I73" s="27"/>
      <c r="J73" s="27"/>
      <c r="K73" s="27"/>
      <c r="L73" s="27"/>
      <c r="M73" s="7"/>
      <c r="N73" s="27"/>
      <c r="O73" s="8">
        <f>IF(B73="","",TEXT(B73,"mmm yyyy"))</f>
        <v>0</v>
      </c>
      <c r="P73" s="8">
        <f>IF(OR(B73="",H73=""),"",SUMIFS($H$5:$H$154,$O$5:$O$154,O73))</f>
        <v>0</v>
      </c>
      <c r="Q73" s="8">
        <f>IF(OR(H73="",P73="",P73=0),"",H73/P73)</f>
        <v>0</v>
      </c>
      <c r="R73" s="8">
        <f>IF(OR(C73="",E73=""),"",COUNTIFS($E$5:$E$154,"&gt;"&amp;E73)+1)</f>
        <v>0</v>
      </c>
      <c r="S73" s="8">
        <f>IF(C73="","",IF(L73="No","Unavoidable","Avoidable"))</f>
        <v>0</v>
      </c>
      <c r="T73" s="25"/>
    </row>
    <row r="74" spans="1:20">
      <c r="A74" s="7"/>
      <c r="B74" s="30"/>
      <c r="C74" s="7"/>
      <c r="D74" s="8">
        <f>IF(C74="","",IFERROR(INDEX(Ingredients!$B$5:$B$304,MATCH(C74,Ingredients!$A$5:$A$304,0)),""))</f>
        <v>0</v>
      </c>
      <c r="E74" s="26"/>
      <c r="F74" s="27"/>
      <c r="G74" s="8">
        <f>IF(C74="","",IFERROR(INDEX(Ingredients!$D$5:$D$304,MATCH(C74,Ingredients!$A$5:$A$304,0)),""))</f>
        <v>0</v>
      </c>
      <c r="H74" s="8">
        <f>IF(OR(C74="",E74="",G74=""),"",E74*G74)</f>
        <v>0</v>
      </c>
      <c r="I74" s="27"/>
      <c r="J74" s="27"/>
      <c r="K74" s="27"/>
      <c r="L74" s="27"/>
      <c r="M74" s="7"/>
      <c r="N74" s="27"/>
      <c r="O74" s="8">
        <f>IF(B74="","",TEXT(B74,"mmm yyyy"))</f>
        <v>0</v>
      </c>
      <c r="P74" s="8">
        <f>IF(OR(B74="",H74=""),"",SUMIFS($H$5:$H$154,$O$5:$O$154,O74))</f>
        <v>0</v>
      </c>
      <c r="Q74" s="8">
        <f>IF(OR(H74="",P74="",P74=0),"",H74/P74)</f>
        <v>0</v>
      </c>
      <c r="R74" s="8">
        <f>IF(OR(C74="",E74=""),"",COUNTIFS($E$5:$E$154,"&gt;"&amp;E74)+1)</f>
        <v>0</v>
      </c>
      <c r="S74" s="8">
        <f>IF(C74="","",IF(L74="No","Unavoidable","Avoidable"))</f>
        <v>0</v>
      </c>
      <c r="T74" s="25"/>
    </row>
    <row r="75" spans="1:20">
      <c r="A75" s="7"/>
      <c r="B75" s="30"/>
      <c r="C75" s="7"/>
      <c r="D75" s="8">
        <f>IF(C75="","",IFERROR(INDEX(Ingredients!$B$5:$B$304,MATCH(C75,Ingredients!$A$5:$A$304,0)),""))</f>
        <v>0</v>
      </c>
      <c r="E75" s="26"/>
      <c r="F75" s="27"/>
      <c r="G75" s="8">
        <f>IF(C75="","",IFERROR(INDEX(Ingredients!$D$5:$D$304,MATCH(C75,Ingredients!$A$5:$A$304,0)),""))</f>
        <v>0</v>
      </c>
      <c r="H75" s="8">
        <f>IF(OR(C75="",E75="",G75=""),"",E75*G75)</f>
        <v>0</v>
      </c>
      <c r="I75" s="27"/>
      <c r="J75" s="27"/>
      <c r="K75" s="27"/>
      <c r="L75" s="27"/>
      <c r="M75" s="7"/>
      <c r="N75" s="27"/>
      <c r="O75" s="8">
        <f>IF(B75="","",TEXT(B75,"mmm yyyy"))</f>
        <v>0</v>
      </c>
      <c r="P75" s="8">
        <f>IF(OR(B75="",H75=""),"",SUMIFS($H$5:$H$154,$O$5:$O$154,O75))</f>
        <v>0</v>
      </c>
      <c r="Q75" s="8">
        <f>IF(OR(H75="",P75="",P75=0),"",H75/P75)</f>
        <v>0</v>
      </c>
      <c r="R75" s="8">
        <f>IF(OR(C75="",E75=""),"",COUNTIFS($E$5:$E$154,"&gt;"&amp;E75)+1)</f>
        <v>0</v>
      </c>
      <c r="S75" s="8">
        <f>IF(C75="","",IF(L75="No","Unavoidable","Avoidable"))</f>
        <v>0</v>
      </c>
      <c r="T75" s="25"/>
    </row>
    <row r="76" spans="1:20">
      <c r="A76" s="7"/>
      <c r="B76" s="30"/>
      <c r="C76" s="7"/>
      <c r="D76" s="8">
        <f>IF(C76="","",IFERROR(INDEX(Ingredients!$B$5:$B$304,MATCH(C76,Ingredients!$A$5:$A$304,0)),""))</f>
        <v>0</v>
      </c>
      <c r="E76" s="26"/>
      <c r="F76" s="27"/>
      <c r="G76" s="8">
        <f>IF(C76="","",IFERROR(INDEX(Ingredients!$D$5:$D$304,MATCH(C76,Ingredients!$A$5:$A$304,0)),""))</f>
        <v>0</v>
      </c>
      <c r="H76" s="8">
        <f>IF(OR(C76="",E76="",G76=""),"",E76*G76)</f>
        <v>0</v>
      </c>
      <c r="I76" s="27"/>
      <c r="J76" s="27"/>
      <c r="K76" s="27"/>
      <c r="L76" s="27"/>
      <c r="M76" s="7"/>
      <c r="N76" s="27"/>
      <c r="O76" s="8">
        <f>IF(B76="","",TEXT(B76,"mmm yyyy"))</f>
        <v>0</v>
      </c>
      <c r="P76" s="8">
        <f>IF(OR(B76="",H76=""),"",SUMIFS($H$5:$H$154,$O$5:$O$154,O76))</f>
        <v>0</v>
      </c>
      <c r="Q76" s="8">
        <f>IF(OR(H76="",P76="",P76=0),"",H76/P76)</f>
        <v>0</v>
      </c>
      <c r="R76" s="8">
        <f>IF(OR(C76="",E76=""),"",COUNTIFS($E$5:$E$154,"&gt;"&amp;E76)+1)</f>
        <v>0</v>
      </c>
      <c r="S76" s="8">
        <f>IF(C76="","",IF(L76="No","Unavoidable","Avoidable"))</f>
        <v>0</v>
      </c>
      <c r="T76" s="25"/>
    </row>
    <row r="77" spans="1:20">
      <c r="A77" s="7"/>
      <c r="B77" s="30"/>
      <c r="C77" s="7"/>
      <c r="D77" s="8">
        <f>IF(C77="","",IFERROR(INDEX(Ingredients!$B$5:$B$304,MATCH(C77,Ingredients!$A$5:$A$304,0)),""))</f>
        <v>0</v>
      </c>
      <c r="E77" s="26"/>
      <c r="F77" s="27"/>
      <c r="G77" s="8">
        <f>IF(C77="","",IFERROR(INDEX(Ingredients!$D$5:$D$304,MATCH(C77,Ingredients!$A$5:$A$304,0)),""))</f>
        <v>0</v>
      </c>
      <c r="H77" s="8">
        <f>IF(OR(C77="",E77="",G77=""),"",E77*G77)</f>
        <v>0</v>
      </c>
      <c r="I77" s="27"/>
      <c r="J77" s="27"/>
      <c r="K77" s="27"/>
      <c r="L77" s="27"/>
      <c r="M77" s="7"/>
      <c r="N77" s="27"/>
      <c r="O77" s="8">
        <f>IF(B77="","",TEXT(B77,"mmm yyyy"))</f>
        <v>0</v>
      </c>
      <c r="P77" s="8">
        <f>IF(OR(B77="",H77=""),"",SUMIFS($H$5:$H$154,$O$5:$O$154,O77))</f>
        <v>0</v>
      </c>
      <c r="Q77" s="8">
        <f>IF(OR(H77="",P77="",P77=0),"",H77/P77)</f>
        <v>0</v>
      </c>
      <c r="R77" s="8">
        <f>IF(OR(C77="",E77=""),"",COUNTIFS($E$5:$E$154,"&gt;"&amp;E77)+1)</f>
        <v>0</v>
      </c>
      <c r="S77" s="8">
        <f>IF(C77="","",IF(L77="No","Unavoidable","Avoidable"))</f>
        <v>0</v>
      </c>
      <c r="T77" s="25"/>
    </row>
    <row r="78" spans="1:20">
      <c r="A78" s="7"/>
      <c r="B78" s="30"/>
      <c r="C78" s="7"/>
      <c r="D78" s="8">
        <f>IF(C78="","",IFERROR(INDEX(Ingredients!$B$5:$B$304,MATCH(C78,Ingredients!$A$5:$A$304,0)),""))</f>
        <v>0</v>
      </c>
      <c r="E78" s="26"/>
      <c r="F78" s="27"/>
      <c r="G78" s="8">
        <f>IF(C78="","",IFERROR(INDEX(Ingredients!$D$5:$D$304,MATCH(C78,Ingredients!$A$5:$A$304,0)),""))</f>
        <v>0</v>
      </c>
      <c r="H78" s="8">
        <f>IF(OR(C78="",E78="",G78=""),"",E78*G78)</f>
        <v>0</v>
      </c>
      <c r="I78" s="27"/>
      <c r="J78" s="27"/>
      <c r="K78" s="27"/>
      <c r="L78" s="27"/>
      <c r="M78" s="7"/>
      <c r="N78" s="27"/>
      <c r="O78" s="8">
        <f>IF(B78="","",TEXT(B78,"mmm yyyy"))</f>
        <v>0</v>
      </c>
      <c r="P78" s="8">
        <f>IF(OR(B78="",H78=""),"",SUMIFS($H$5:$H$154,$O$5:$O$154,O78))</f>
        <v>0</v>
      </c>
      <c r="Q78" s="8">
        <f>IF(OR(H78="",P78="",P78=0),"",H78/P78)</f>
        <v>0</v>
      </c>
      <c r="R78" s="8">
        <f>IF(OR(C78="",E78=""),"",COUNTIFS($E$5:$E$154,"&gt;"&amp;E78)+1)</f>
        <v>0</v>
      </c>
      <c r="S78" s="8">
        <f>IF(C78="","",IF(L78="No","Unavoidable","Avoidable"))</f>
        <v>0</v>
      </c>
      <c r="T78" s="25"/>
    </row>
    <row r="79" spans="1:20">
      <c r="A79" s="7"/>
      <c r="B79" s="30"/>
      <c r="C79" s="7"/>
      <c r="D79" s="8">
        <f>IF(C79="","",IFERROR(INDEX(Ingredients!$B$5:$B$304,MATCH(C79,Ingredients!$A$5:$A$304,0)),""))</f>
        <v>0</v>
      </c>
      <c r="E79" s="26"/>
      <c r="F79" s="27"/>
      <c r="G79" s="8">
        <f>IF(C79="","",IFERROR(INDEX(Ingredients!$D$5:$D$304,MATCH(C79,Ingredients!$A$5:$A$304,0)),""))</f>
        <v>0</v>
      </c>
      <c r="H79" s="8">
        <f>IF(OR(C79="",E79="",G79=""),"",E79*G79)</f>
        <v>0</v>
      </c>
      <c r="I79" s="27"/>
      <c r="J79" s="27"/>
      <c r="K79" s="27"/>
      <c r="L79" s="27"/>
      <c r="M79" s="7"/>
      <c r="N79" s="27"/>
      <c r="O79" s="8">
        <f>IF(B79="","",TEXT(B79,"mmm yyyy"))</f>
        <v>0</v>
      </c>
      <c r="P79" s="8">
        <f>IF(OR(B79="",H79=""),"",SUMIFS($H$5:$H$154,$O$5:$O$154,O79))</f>
        <v>0</v>
      </c>
      <c r="Q79" s="8">
        <f>IF(OR(H79="",P79="",P79=0),"",H79/P79)</f>
        <v>0</v>
      </c>
      <c r="R79" s="8">
        <f>IF(OR(C79="",E79=""),"",COUNTIFS($E$5:$E$154,"&gt;"&amp;E79)+1)</f>
        <v>0</v>
      </c>
      <c r="S79" s="8">
        <f>IF(C79="","",IF(L79="No","Unavoidable","Avoidable"))</f>
        <v>0</v>
      </c>
      <c r="T79" s="25"/>
    </row>
    <row r="80" spans="1:20">
      <c r="A80" s="7"/>
      <c r="B80" s="30"/>
      <c r="C80" s="7"/>
      <c r="D80" s="8">
        <f>IF(C80="","",IFERROR(INDEX(Ingredients!$B$5:$B$304,MATCH(C80,Ingredients!$A$5:$A$304,0)),""))</f>
        <v>0</v>
      </c>
      <c r="E80" s="26"/>
      <c r="F80" s="27"/>
      <c r="G80" s="8">
        <f>IF(C80="","",IFERROR(INDEX(Ingredients!$D$5:$D$304,MATCH(C80,Ingredients!$A$5:$A$304,0)),""))</f>
        <v>0</v>
      </c>
      <c r="H80" s="8">
        <f>IF(OR(C80="",E80="",G80=""),"",E80*G80)</f>
        <v>0</v>
      </c>
      <c r="I80" s="27"/>
      <c r="J80" s="27"/>
      <c r="K80" s="27"/>
      <c r="L80" s="27"/>
      <c r="M80" s="7"/>
      <c r="N80" s="27"/>
      <c r="O80" s="8">
        <f>IF(B80="","",TEXT(B80,"mmm yyyy"))</f>
        <v>0</v>
      </c>
      <c r="P80" s="8">
        <f>IF(OR(B80="",H80=""),"",SUMIFS($H$5:$H$154,$O$5:$O$154,O80))</f>
        <v>0</v>
      </c>
      <c r="Q80" s="8">
        <f>IF(OR(H80="",P80="",P80=0),"",H80/P80)</f>
        <v>0</v>
      </c>
      <c r="R80" s="8">
        <f>IF(OR(C80="",E80=""),"",COUNTIFS($E$5:$E$154,"&gt;"&amp;E80)+1)</f>
        <v>0</v>
      </c>
      <c r="S80" s="8">
        <f>IF(C80="","",IF(L80="No","Unavoidable","Avoidable"))</f>
        <v>0</v>
      </c>
      <c r="T80" s="25"/>
    </row>
    <row r="81" spans="1:20">
      <c r="A81" s="7"/>
      <c r="B81" s="30"/>
      <c r="C81" s="7"/>
      <c r="D81" s="8">
        <f>IF(C81="","",IFERROR(INDEX(Ingredients!$B$5:$B$304,MATCH(C81,Ingredients!$A$5:$A$304,0)),""))</f>
        <v>0</v>
      </c>
      <c r="E81" s="26"/>
      <c r="F81" s="27"/>
      <c r="G81" s="8">
        <f>IF(C81="","",IFERROR(INDEX(Ingredients!$D$5:$D$304,MATCH(C81,Ingredients!$A$5:$A$304,0)),""))</f>
        <v>0</v>
      </c>
      <c r="H81" s="8">
        <f>IF(OR(C81="",E81="",G81=""),"",E81*G81)</f>
        <v>0</v>
      </c>
      <c r="I81" s="27"/>
      <c r="J81" s="27"/>
      <c r="K81" s="27"/>
      <c r="L81" s="27"/>
      <c r="M81" s="7"/>
      <c r="N81" s="27"/>
      <c r="O81" s="8">
        <f>IF(B81="","",TEXT(B81,"mmm yyyy"))</f>
        <v>0</v>
      </c>
      <c r="P81" s="8">
        <f>IF(OR(B81="",H81=""),"",SUMIFS($H$5:$H$154,$O$5:$O$154,O81))</f>
        <v>0</v>
      </c>
      <c r="Q81" s="8">
        <f>IF(OR(H81="",P81="",P81=0),"",H81/P81)</f>
        <v>0</v>
      </c>
      <c r="R81" s="8">
        <f>IF(OR(C81="",E81=""),"",COUNTIFS($E$5:$E$154,"&gt;"&amp;E81)+1)</f>
        <v>0</v>
      </c>
      <c r="S81" s="8">
        <f>IF(C81="","",IF(L81="No","Unavoidable","Avoidable"))</f>
        <v>0</v>
      </c>
      <c r="T81" s="25"/>
    </row>
    <row r="82" spans="1:20">
      <c r="A82" s="7"/>
      <c r="B82" s="30"/>
      <c r="C82" s="7"/>
      <c r="D82" s="8">
        <f>IF(C82="","",IFERROR(INDEX(Ingredients!$B$5:$B$304,MATCH(C82,Ingredients!$A$5:$A$304,0)),""))</f>
        <v>0</v>
      </c>
      <c r="E82" s="26"/>
      <c r="F82" s="27"/>
      <c r="G82" s="8">
        <f>IF(C82="","",IFERROR(INDEX(Ingredients!$D$5:$D$304,MATCH(C82,Ingredients!$A$5:$A$304,0)),""))</f>
        <v>0</v>
      </c>
      <c r="H82" s="8">
        <f>IF(OR(C82="",E82="",G82=""),"",E82*G82)</f>
        <v>0</v>
      </c>
      <c r="I82" s="27"/>
      <c r="J82" s="27"/>
      <c r="K82" s="27"/>
      <c r="L82" s="27"/>
      <c r="M82" s="7"/>
      <c r="N82" s="27"/>
      <c r="O82" s="8">
        <f>IF(B82="","",TEXT(B82,"mmm yyyy"))</f>
        <v>0</v>
      </c>
      <c r="P82" s="8">
        <f>IF(OR(B82="",H82=""),"",SUMIFS($H$5:$H$154,$O$5:$O$154,O82))</f>
        <v>0</v>
      </c>
      <c r="Q82" s="8">
        <f>IF(OR(H82="",P82="",P82=0),"",H82/P82)</f>
        <v>0</v>
      </c>
      <c r="R82" s="8">
        <f>IF(OR(C82="",E82=""),"",COUNTIFS($E$5:$E$154,"&gt;"&amp;E82)+1)</f>
        <v>0</v>
      </c>
      <c r="S82" s="8">
        <f>IF(C82="","",IF(L82="No","Unavoidable","Avoidable"))</f>
        <v>0</v>
      </c>
      <c r="T82" s="25"/>
    </row>
    <row r="83" spans="1:20">
      <c r="A83" s="7"/>
      <c r="B83" s="30"/>
      <c r="C83" s="7"/>
      <c r="D83" s="8">
        <f>IF(C83="","",IFERROR(INDEX(Ingredients!$B$5:$B$304,MATCH(C83,Ingredients!$A$5:$A$304,0)),""))</f>
        <v>0</v>
      </c>
      <c r="E83" s="26"/>
      <c r="F83" s="27"/>
      <c r="G83" s="8">
        <f>IF(C83="","",IFERROR(INDEX(Ingredients!$D$5:$D$304,MATCH(C83,Ingredients!$A$5:$A$304,0)),""))</f>
        <v>0</v>
      </c>
      <c r="H83" s="8">
        <f>IF(OR(C83="",E83="",G83=""),"",E83*G83)</f>
        <v>0</v>
      </c>
      <c r="I83" s="27"/>
      <c r="J83" s="27"/>
      <c r="K83" s="27"/>
      <c r="L83" s="27"/>
      <c r="M83" s="7"/>
      <c r="N83" s="27"/>
      <c r="O83" s="8">
        <f>IF(B83="","",TEXT(B83,"mmm yyyy"))</f>
        <v>0</v>
      </c>
      <c r="P83" s="8">
        <f>IF(OR(B83="",H83=""),"",SUMIFS($H$5:$H$154,$O$5:$O$154,O83))</f>
        <v>0</v>
      </c>
      <c r="Q83" s="8">
        <f>IF(OR(H83="",P83="",P83=0),"",H83/P83)</f>
        <v>0</v>
      </c>
      <c r="R83" s="8">
        <f>IF(OR(C83="",E83=""),"",COUNTIFS($E$5:$E$154,"&gt;"&amp;E83)+1)</f>
        <v>0</v>
      </c>
      <c r="S83" s="8">
        <f>IF(C83="","",IF(L83="No","Unavoidable","Avoidable"))</f>
        <v>0</v>
      </c>
      <c r="T83" s="25"/>
    </row>
    <row r="84" spans="1:20">
      <c r="A84" s="7"/>
      <c r="B84" s="30"/>
      <c r="C84" s="7"/>
      <c r="D84" s="8">
        <f>IF(C84="","",IFERROR(INDEX(Ingredients!$B$5:$B$304,MATCH(C84,Ingredients!$A$5:$A$304,0)),""))</f>
        <v>0</v>
      </c>
      <c r="E84" s="26"/>
      <c r="F84" s="27"/>
      <c r="G84" s="8">
        <f>IF(C84="","",IFERROR(INDEX(Ingredients!$D$5:$D$304,MATCH(C84,Ingredients!$A$5:$A$304,0)),""))</f>
        <v>0</v>
      </c>
      <c r="H84" s="8">
        <f>IF(OR(C84="",E84="",G84=""),"",E84*G84)</f>
        <v>0</v>
      </c>
      <c r="I84" s="27"/>
      <c r="J84" s="27"/>
      <c r="K84" s="27"/>
      <c r="L84" s="27"/>
      <c r="M84" s="7"/>
      <c r="N84" s="27"/>
      <c r="O84" s="8">
        <f>IF(B84="","",TEXT(B84,"mmm yyyy"))</f>
        <v>0</v>
      </c>
      <c r="P84" s="8">
        <f>IF(OR(B84="",H84=""),"",SUMIFS($H$5:$H$154,$O$5:$O$154,O84))</f>
        <v>0</v>
      </c>
      <c r="Q84" s="8">
        <f>IF(OR(H84="",P84="",P84=0),"",H84/P84)</f>
        <v>0</v>
      </c>
      <c r="R84" s="8">
        <f>IF(OR(C84="",E84=""),"",COUNTIFS($E$5:$E$154,"&gt;"&amp;E84)+1)</f>
        <v>0</v>
      </c>
      <c r="S84" s="8">
        <f>IF(C84="","",IF(L84="No","Unavoidable","Avoidable"))</f>
        <v>0</v>
      </c>
      <c r="T84" s="25"/>
    </row>
    <row r="85" spans="1:20">
      <c r="A85" s="7"/>
      <c r="B85" s="30"/>
      <c r="C85" s="7"/>
      <c r="D85" s="8">
        <f>IF(C85="","",IFERROR(INDEX(Ingredients!$B$5:$B$304,MATCH(C85,Ingredients!$A$5:$A$304,0)),""))</f>
        <v>0</v>
      </c>
      <c r="E85" s="26"/>
      <c r="F85" s="27"/>
      <c r="G85" s="8">
        <f>IF(C85="","",IFERROR(INDEX(Ingredients!$D$5:$D$304,MATCH(C85,Ingredients!$A$5:$A$304,0)),""))</f>
        <v>0</v>
      </c>
      <c r="H85" s="8">
        <f>IF(OR(C85="",E85="",G85=""),"",E85*G85)</f>
        <v>0</v>
      </c>
      <c r="I85" s="27"/>
      <c r="J85" s="27"/>
      <c r="K85" s="27"/>
      <c r="L85" s="27"/>
      <c r="M85" s="7"/>
      <c r="N85" s="27"/>
      <c r="O85" s="8">
        <f>IF(B85="","",TEXT(B85,"mmm yyyy"))</f>
        <v>0</v>
      </c>
      <c r="P85" s="8">
        <f>IF(OR(B85="",H85=""),"",SUMIFS($H$5:$H$154,$O$5:$O$154,O85))</f>
        <v>0</v>
      </c>
      <c r="Q85" s="8">
        <f>IF(OR(H85="",P85="",P85=0),"",H85/P85)</f>
        <v>0</v>
      </c>
      <c r="R85" s="8">
        <f>IF(OR(C85="",E85=""),"",COUNTIFS($E$5:$E$154,"&gt;"&amp;E85)+1)</f>
        <v>0</v>
      </c>
      <c r="S85" s="8">
        <f>IF(C85="","",IF(L85="No","Unavoidable","Avoidable"))</f>
        <v>0</v>
      </c>
      <c r="T85" s="25"/>
    </row>
    <row r="86" spans="1:20">
      <c r="A86" s="7"/>
      <c r="B86" s="30"/>
      <c r="C86" s="7"/>
      <c r="D86" s="8">
        <f>IF(C86="","",IFERROR(INDEX(Ingredients!$B$5:$B$304,MATCH(C86,Ingredients!$A$5:$A$304,0)),""))</f>
        <v>0</v>
      </c>
      <c r="E86" s="26"/>
      <c r="F86" s="27"/>
      <c r="G86" s="8">
        <f>IF(C86="","",IFERROR(INDEX(Ingredients!$D$5:$D$304,MATCH(C86,Ingredients!$A$5:$A$304,0)),""))</f>
        <v>0</v>
      </c>
      <c r="H86" s="8">
        <f>IF(OR(C86="",E86="",G86=""),"",E86*G86)</f>
        <v>0</v>
      </c>
      <c r="I86" s="27"/>
      <c r="J86" s="27"/>
      <c r="K86" s="27"/>
      <c r="L86" s="27"/>
      <c r="M86" s="7"/>
      <c r="N86" s="27"/>
      <c r="O86" s="8">
        <f>IF(B86="","",TEXT(B86,"mmm yyyy"))</f>
        <v>0</v>
      </c>
      <c r="P86" s="8">
        <f>IF(OR(B86="",H86=""),"",SUMIFS($H$5:$H$154,$O$5:$O$154,O86))</f>
        <v>0</v>
      </c>
      <c r="Q86" s="8">
        <f>IF(OR(H86="",P86="",P86=0),"",H86/P86)</f>
        <v>0</v>
      </c>
      <c r="R86" s="8">
        <f>IF(OR(C86="",E86=""),"",COUNTIFS($E$5:$E$154,"&gt;"&amp;E86)+1)</f>
        <v>0</v>
      </c>
      <c r="S86" s="8">
        <f>IF(C86="","",IF(L86="No","Unavoidable","Avoidable"))</f>
        <v>0</v>
      </c>
      <c r="T86" s="25"/>
    </row>
    <row r="87" spans="1:20">
      <c r="A87" s="7"/>
      <c r="B87" s="30"/>
      <c r="C87" s="7"/>
      <c r="D87" s="8">
        <f>IF(C87="","",IFERROR(INDEX(Ingredients!$B$5:$B$304,MATCH(C87,Ingredients!$A$5:$A$304,0)),""))</f>
        <v>0</v>
      </c>
      <c r="E87" s="26"/>
      <c r="F87" s="27"/>
      <c r="G87" s="8">
        <f>IF(C87="","",IFERROR(INDEX(Ingredients!$D$5:$D$304,MATCH(C87,Ingredients!$A$5:$A$304,0)),""))</f>
        <v>0</v>
      </c>
      <c r="H87" s="8">
        <f>IF(OR(C87="",E87="",G87=""),"",E87*G87)</f>
        <v>0</v>
      </c>
      <c r="I87" s="27"/>
      <c r="J87" s="27"/>
      <c r="K87" s="27"/>
      <c r="L87" s="27"/>
      <c r="M87" s="7"/>
      <c r="N87" s="27"/>
      <c r="O87" s="8">
        <f>IF(B87="","",TEXT(B87,"mmm yyyy"))</f>
        <v>0</v>
      </c>
      <c r="P87" s="8">
        <f>IF(OR(B87="",H87=""),"",SUMIFS($H$5:$H$154,$O$5:$O$154,O87))</f>
        <v>0</v>
      </c>
      <c r="Q87" s="8">
        <f>IF(OR(H87="",P87="",P87=0),"",H87/P87)</f>
        <v>0</v>
      </c>
      <c r="R87" s="8">
        <f>IF(OR(C87="",E87=""),"",COUNTIFS($E$5:$E$154,"&gt;"&amp;E87)+1)</f>
        <v>0</v>
      </c>
      <c r="S87" s="8">
        <f>IF(C87="","",IF(L87="No","Unavoidable","Avoidable"))</f>
        <v>0</v>
      </c>
      <c r="T87" s="25"/>
    </row>
    <row r="88" spans="1:20">
      <c r="A88" s="7"/>
      <c r="B88" s="30"/>
      <c r="C88" s="7"/>
      <c r="D88" s="8">
        <f>IF(C88="","",IFERROR(INDEX(Ingredients!$B$5:$B$304,MATCH(C88,Ingredients!$A$5:$A$304,0)),""))</f>
        <v>0</v>
      </c>
      <c r="E88" s="26"/>
      <c r="F88" s="27"/>
      <c r="G88" s="8">
        <f>IF(C88="","",IFERROR(INDEX(Ingredients!$D$5:$D$304,MATCH(C88,Ingredients!$A$5:$A$304,0)),""))</f>
        <v>0</v>
      </c>
      <c r="H88" s="8">
        <f>IF(OR(C88="",E88="",G88=""),"",E88*G88)</f>
        <v>0</v>
      </c>
      <c r="I88" s="27"/>
      <c r="J88" s="27"/>
      <c r="K88" s="27"/>
      <c r="L88" s="27"/>
      <c r="M88" s="7"/>
      <c r="N88" s="27"/>
      <c r="O88" s="8">
        <f>IF(B88="","",TEXT(B88,"mmm yyyy"))</f>
        <v>0</v>
      </c>
      <c r="P88" s="8">
        <f>IF(OR(B88="",H88=""),"",SUMIFS($H$5:$H$154,$O$5:$O$154,O88))</f>
        <v>0</v>
      </c>
      <c r="Q88" s="8">
        <f>IF(OR(H88="",P88="",P88=0),"",H88/P88)</f>
        <v>0</v>
      </c>
      <c r="R88" s="8">
        <f>IF(OR(C88="",E88=""),"",COUNTIFS($E$5:$E$154,"&gt;"&amp;E88)+1)</f>
        <v>0</v>
      </c>
      <c r="S88" s="8">
        <f>IF(C88="","",IF(L88="No","Unavoidable","Avoidable"))</f>
        <v>0</v>
      </c>
      <c r="T88" s="25"/>
    </row>
    <row r="89" spans="1:20">
      <c r="A89" s="7"/>
      <c r="B89" s="30"/>
      <c r="C89" s="7"/>
      <c r="D89" s="8">
        <f>IF(C89="","",IFERROR(INDEX(Ingredients!$B$5:$B$304,MATCH(C89,Ingredients!$A$5:$A$304,0)),""))</f>
        <v>0</v>
      </c>
      <c r="E89" s="26"/>
      <c r="F89" s="27"/>
      <c r="G89" s="8">
        <f>IF(C89="","",IFERROR(INDEX(Ingredients!$D$5:$D$304,MATCH(C89,Ingredients!$A$5:$A$304,0)),""))</f>
        <v>0</v>
      </c>
      <c r="H89" s="8">
        <f>IF(OR(C89="",E89="",G89=""),"",E89*G89)</f>
        <v>0</v>
      </c>
      <c r="I89" s="27"/>
      <c r="J89" s="27"/>
      <c r="K89" s="27"/>
      <c r="L89" s="27"/>
      <c r="M89" s="7"/>
      <c r="N89" s="27"/>
      <c r="O89" s="8">
        <f>IF(B89="","",TEXT(B89,"mmm yyyy"))</f>
        <v>0</v>
      </c>
      <c r="P89" s="8">
        <f>IF(OR(B89="",H89=""),"",SUMIFS($H$5:$H$154,$O$5:$O$154,O89))</f>
        <v>0</v>
      </c>
      <c r="Q89" s="8">
        <f>IF(OR(H89="",P89="",P89=0),"",H89/P89)</f>
        <v>0</v>
      </c>
      <c r="R89" s="8">
        <f>IF(OR(C89="",E89=""),"",COUNTIFS($E$5:$E$154,"&gt;"&amp;E89)+1)</f>
        <v>0</v>
      </c>
      <c r="S89" s="8">
        <f>IF(C89="","",IF(L89="No","Unavoidable","Avoidable"))</f>
        <v>0</v>
      </c>
      <c r="T89" s="25"/>
    </row>
    <row r="90" spans="1:20">
      <c r="A90" s="7"/>
      <c r="B90" s="30"/>
      <c r="C90" s="7"/>
      <c r="D90" s="8">
        <f>IF(C90="","",IFERROR(INDEX(Ingredients!$B$5:$B$304,MATCH(C90,Ingredients!$A$5:$A$304,0)),""))</f>
        <v>0</v>
      </c>
      <c r="E90" s="26"/>
      <c r="F90" s="27"/>
      <c r="G90" s="8">
        <f>IF(C90="","",IFERROR(INDEX(Ingredients!$D$5:$D$304,MATCH(C90,Ingredients!$A$5:$A$304,0)),""))</f>
        <v>0</v>
      </c>
      <c r="H90" s="8">
        <f>IF(OR(C90="",E90="",G90=""),"",E90*G90)</f>
        <v>0</v>
      </c>
      <c r="I90" s="27"/>
      <c r="J90" s="27"/>
      <c r="K90" s="27"/>
      <c r="L90" s="27"/>
      <c r="M90" s="7"/>
      <c r="N90" s="27"/>
      <c r="O90" s="8">
        <f>IF(B90="","",TEXT(B90,"mmm yyyy"))</f>
        <v>0</v>
      </c>
      <c r="P90" s="8">
        <f>IF(OR(B90="",H90=""),"",SUMIFS($H$5:$H$154,$O$5:$O$154,O90))</f>
        <v>0</v>
      </c>
      <c r="Q90" s="8">
        <f>IF(OR(H90="",P90="",P90=0),"",H90/P90)</f>
        <v>0</v>
      </c>
      <c r="R90" s="8">
        <f>IF(OR(C90="",E90=""),"",COUNTIFS($E$5:$E$154,"&gt;"&amp;E90)+1)</f>
        <v>0</v>
      </c>
      <c r="S90" s="8">
        <f>IF(C90="","",IF(L90="No","Unavoidable","Avoidable"))</f>
        <v>0</v>
      </c>
      <c r="T90" s="25"/>
    </row>
    <row r="91" spans="1:20">
      <c r="A91" s="7"/>
      <c r="B91" s="30"/>
      <c r="C91" s="7"/>
      <c r="D91" s="8">
        <f>IF(C91="","",IFERROR(INDEX(Ingredients!$B$5:$B$304,MATCH(C91,Ingredients!$A$5:$A$304,0)),""))</f>
        <v>0</v>
      </c>
      <c r="E91" s="26"/>
      <c r="F91" s="27"/>
      <c r="G91" s="8">
        <f>IF(C91="","",IFERROR(INDEX(Ingredients!$D$5:$D$304,MATCH(C91,Ingredients!$A$5:$A$304,0)),""))</f>
        <v>0</v>
      </c>
      <c r="H91" s="8">
        <f>IF(OR(C91="",E91="",G91=""),"",E91*G91)</f>
        <v>0</v>
      </c>
      <c r="I91" s="27"/>
      <c r="J91" s="27"/>
      <c r="K91" s="27"/>
      <c r="L91" s="27"/>
      <c r="M91" s="7"/>
      <c r="N91" s="27"/>
      <c r="O91" s="8">
        <f>IF(B91="","",TEXT(B91,"mmm yyyy"))</f>
        <v>0</v>
      </c>
      <c r="P91" s="8">
        <f>IF(OR(B91="",H91=""),"",SUMIFS($H$5:$H$154,$O$5:$O$154,O91))</f>
        <v>0</v>
      </c>
      <c r="Q91" s="8">
        <f>IF(OR(H91="",P91="",P91=0),"",H91/P91)</f>
        <v>0</v>
      </c>
      <c r="R91" s="8">
        <f>IF(OR(C91="",E91=""),"",COUNTIFS($E$5:$E$154,"&gt;"&amp;E91)+1)</f>
        <v>0</v>
      </c>
      <c r="S91" s="8">
        <f>IF(C91="","",IF(L91="No","Unavoidable","Avoidable"))</f>
        <v>0</v>
      </c>
      <c r="T91" s="25"/>
    </row>
    <row r="92" spans="1:20">
      <c r="A92" s="7"/>
      <c r="B92" s="30"/>
      <c r="C92" s="7"/>
      <c r="D92" s="8">
        <f>IF(C92="","",IFERROR(INDEX(Ingredients!$B$5:$B$304,MATCH(C92,Ingredients!$A$5:$A$304,0)),""))</f>
        <v>0</v>
      </c>
      <c r="E92" s="26"/>
      <c r="F92" s="27"/>
      <c r="G92" s="8">
        <f>IF(C92="","",IFERROR(INDEX(Ingredients!$D$5:$D$304,MATCH(C92,Ingredients!$A$5:$A$304,0)),""))</f>
        <v>0</v>
      </c>
      <c r="H92" s="8">
        <f>IF(OR(C92="",E92="",G92=""),"",E92*G92)</f>
        <v>0</v>
      </c>
      <c r="I92" s="27"/>
      <c r="J92" s="27"/>
      <c r="K92" s="27"/>
      <c r="L92" s="27"/>
      <c r="M92" s="7"/>
      <c r="N92" s="27"/>
      <c r="O92" s="8">
        <f>IF(B92="","",TEXT(B92,"mmm yyyy"))</f>
        <v>0</v>
      </c>
      <c r="P92" s="8">
        <f>IF(OR(B92="",H92=""),"",SUMIFS($H$5:$H$154,$O$5:$O$154,O92))</f>
        <v>0</v>
      </c>
      <c r="Q92" s="8">
        <f>IF(OR(H92="",P92="",P92=0),"",H92/P92)</f>
        <v>0</v>
      </c>
      <c r="R92" s="8">
        <f>IF(OR(C92="",E92=""),"",COUNTIFS($E$5:$E$154,"&gt;"&amp;E92)+1)</f>
        <v>0</v>
      </c>
      <c r="S92" s="8">
        <f>IF(C92="","",IF(L92="No","Unavoidable","Avoidable"))</f>
        <v>0</v>
      </c>
      <c r="T92" s="25"/>
    </row>
    <row r="93" spans="1:20">
      <c r="A93" s="7"/>
      <c r="B93" s="30"/>
      <c r="C93" s="7"/>
      <c r="D93" s="8">
        <f>IF(C93="","",IFERROR(INDEX(Ingredients!$B$5:$B$304,MATCH(C93,Ingredients!$A$5:$A$304,0)),""))</f>
        <v>0</v>
      </c>
      <c r="E93" s="26"/>
      <c r="F93" s="27"/>
      <c r="G93" s="8">
        <f>IF(C93="","",IFERROR(INDEX(Ingredients!$D$5:$D$304,MATCH(C93,Ingredients!$A$5:$A$304,0)),""))</f>
        <v>0</v>
      </c>
      <c r="H93" s="8">
        <f>IF(OR(C93="",E93="",G93=""),"",E93*G93)</f>
        <v>0</v>
      </c>
      <c r="I93" s="27"/>
      <c r="J93" s="27"/>
      <c r="K93" s="27"/>
      <c r="L93" s="27"/>
      <c r="M93" s="7"/>
      <c r="N93" s="27"/>
      <c r="O93" s="8">
        <f>IF(B93="","",TEXT(B93,"mmm yyyy"))</f>
        <v>0</v>
      </c>
      <c r="P93" s="8">
        <f>IF(OR(B93="",H93=""),"",SUMIFS($H$5:$H$154,$O$5:$O$154,O93))</f>
        <v>0</v>
      </c>
      <c r="Q93" s="8">
        <f>IF(OR(H93="",P93="",P93=0),"",H93/P93)</f>
        <v>0</v>
      </c>
      <c r="R93" s="8">
        <f>IF(OR(C93="",E93=""),"",COUNTIFS($E$5:$E$154,"&gt;"&amp;E93)+1)</f>
        <v>0</v>
      </c>
      <c r="S93" s="8">
        <f>IF(C93="","",IF(L93="No","Unavoidable","Avoidable"))</f>
        <v>0</v>
      </c>
      <c r="T93" s="25"/>
    </row>
    <row r="94" spans="1:20">
      <c r="A94" s="7"/>
      <c r="B94" s="30"/>
      <c r="C94" s="7"/>
      <c r="D94" s="8">
        <f>IF(C94="","",IFERROR(INDEX(Ingredients!$B$5:$B$304,MATCH(C94,Ingredients!$A$5:$A$304,0)),""))</f>
        <v>0</v>
      </c>
      <c r="E94" s="26"/>
      <c r="F94" s="27"/>
      <c r="G94" s="8">
        <f>IF(C94="","",IFERROR(INDEX(Ingredients!$D$5:$D$304,MATCH(C94,Ingredients!$A$5:$A$304,0)),""))</f>
        <v>0</v>
      </c>
      <c r="H94" s="8">
        <f>IF(OR(C94="",E94="",G94=""),"",E94*G94)</f>
        <v>0</v>
      </c>
      <c r="I94" s="27"/>
      <c r="J94" s="27"/>
      <c r="K94" s="27"/>
      <c r="L94" s="27"/>
      <c r="M94" s="7"/>
      <c r="N94" s="27"/>
      <c r="O94" s="8">
        <f>IF(B94="","",TEXT(B94,"mmm yyyy"))</f>
        <v>0</v>
      </c>
      <c r="P94" s="8">
        <f>IF(OR(B94="",H94=""),"",SUMIFS($H$5:$H$154,$O$5:$O$154,O94))</f>
        <v>0</v>
      </c>
      <c r="Q94" s="8">
        <f>IF(OR(H94="",P94="",P94=0),"",H94/P94)</f>
        <v>0</v>
      </c>
      <c r="R94" s="8">
        <f>IF(OR(C94="",E94=""),"",COUNTIFS($E$5:$E$154,"&gt;"&amp;E94)+1)</f>
        <v>0</v>
      </c>
      <c r="S94" s="8">
        <f>IF(C94="","",IF(L94="No","Unavoidable","Avoidable"))</f>
        <v>0</v>
      </c>
      <c r="T94" s="25"/>
    </row>
    <row r="95" spans="1:20">
      <c r="A95" s="7"/>
      <c r="B95" s="30"/>
      <c r="C95" s="7"/>
      <c r="D95" s="8">
        <f>IF(C95="","",IFERROR(INDEX(Ingredients!$B$5:$B$304,MATCH(C95,Ingredients!$A$5:$A$304,0)),""))</f>
        <v>0</v>
      </c>
      <c r="E95" s="26"/>
      <c r="F95" s="27"/>
      <c r="G95" s="8">
        <f>IF(C95="","",IFERROR(INDEX(Ingredients!$D$5:$D$304,MATCH(C95,Ingredients!$A$5:$A$304,0)),""))</f>
        <v>0</v>
      </c>
      <c r="H95" s="8">
        <f>IF(OR(C95="",E95="",G95=""),"",E95*G95)</f>
        <v>0</v>
      </c>
      <c r="I95" s="27"/>
      <c r="J95" s="27"/>
      <c r="K95" s="27"/>
      <c r="L95" s="27"/>
      <c r="M95" s="7"/>
      <c r="N95" s="27"/>
      <c r="O95" s="8">
        <f>IF(B95="","",TEXT(B95,"mmm yyyy"))</f>
        <v>0</v>
      </c>
      <c r="P95" s="8">
        <f>IF(OR(B95="",H95=""),"",SUMIFS($H$5:$H$154,$O$5:$O$154,O95))</f>
        <v>0</v>
      </c>
      <c r="Q95" s="8">
        <f>IF(OR(H95="",P95="",P95=0),"",H95/P95)</f>
        <v>0</v>
      </c>
      <c r="R95" s="8">
        <f>IF(OR(C95="",E95=""),"",COUNTIFS($E$5:$E$154,"&gt;"&amp;E95)+1)</f>
        <v>0</v>
      </c>
      <c r="S95" s="8">
        <f>IF(C95="","",IF(L95="No","Unavoidable","Avoidable"))</f>
        <v>0</v>
      </c>
      <c r="T95" s="25"/>
    </row>
    <row r="96" spans="1:20">
      <c r="A96" s="7"/>
      <c r="B96" s="30"/>
      <c r="C96" s="7"/>
      <c r="D96" s="8">
        <f>IF(C96="","",IFERROR(INDEX(Ingredients!$B$5:$B$304,MATCH(C96,Ingredients!$A$5:$A$304,0)),""))</f>
        <v>0</v>
      </c>
      <c r="E96" s="26"/>
      <c r="F96" s="27"/>
      <c r="G96" s="8">
        <f>IF(C96="","",IFERROR(INDEX(Ingredients!$D$5:$D$304,MATCH(C96,Ingredients!$A$5:$A$304,0)),""))</f>
        <v>0</v>
      </c>
      <c r="H96" s="8">
        <f>IF(OR(C96="",E96="",G96=""),"",E96*G96)</f>
        <v>0</v>
      </c>
      <c r="I96" s="27"/>
      <c r="J96" s="27"/>
      <c r="K96" s="27"/>
      <c r="L96" s="27"/>
      <c r="M96" s="7"/>
      <c r="N96" s="27"/>
      <c r="O96" s="8">
        <f>IF(B96="","",TEXT(B96,"mmm yyyy"))</f>
        <v>0</v>
      </c>
      <c r="P96" s="8">
        <f>IF(OR(B96="",H96=""),"",SUMIFS($H$5:$H$154,$O$5:$O$154,O96))</f>
        <v>0</v>
      </c>
      <c r="Q96" s="8">
        <f>IF(OR(H96="",P96="",P96=0),"",H96/P96)</f>
        <v>0</v>
      </c>
      <c r="R96" s="8">
        <f>IF(OR(C96="",E96=""),"",COUNTIFS($E$5:$E$154,"&gt;"&amp;E96)+1)</f>
        <v>0</v>
      </c>
      <c r="S96" s="8">
        <f>IF(C96="","",IF(L96="No","Unavoidable","Avoidable"))</f>
        <v>0</v>
      </c>
      <c r="T96" s="25"/>
    </row>
    <row r="97" spans="1:20">
      <c r="A97" s="7"/>
      <c r="B97" s="30"/>
      <c r="C97" s="7"/>
      <c r="D97" s="8">
        <f>IF(C97="","",IFERROR(INDEX(Ingredients!$B$5:$B$304,MATCH(C97,Ingredients!$A$5:$A$304,0)),""))</f>
        <v>0</v>
      </c>
      <c r="E97" s="26"/>
      <c r="F97" s="27"/>
      <c r="G97" s="8">
        <f>IF(C97="","",IFERROR(INDEX(Ingredients!$D$5:$D$304,MATCH(C97,Ingredients!$A$5:$A$304,0)),""))</f>
        <v>0</v>
      </c>
      <c r="H97" s="8">
        <f>IF(OR(C97="",E97="",G97=""),"",E97*G97)</f>
        <v>0</v>
      </c>
      <c r="I97" s="27"/>
      <c r="J97" s="27"/>
      <c r="K97" s="27"/>
      <c r="L97" s="27"/>
      <c r="M97" s="7"/>
      <c r="N97" s="27"/>
      <c r="O97" s="8">
        <f>IF(B97="","",TEXT(B97,"mmm yyyy"))</f>
        <v>0</v>
      </c>
      <c r="P97" s="8">
        <f>IF(OR(B97="",H97=""),"",SUMIFS($H$5:$H$154,$O$5:$O$154,O97))</f>
        <v>0</v>
      </c>
      <c r="Q97" s="8">
        <f>IF(OR(H97="",P97="",P97=0),"",H97/P97)</f>
        <v>0</v>
      </c>
      <c r="R97" s="8">
        <f>IF(OR(C97="",E97=""),"",COUNTIFS($E$5:$E$154,"&gt;"&amp;E97)+1)</f>
        <v>0</v>
      </c>
      <c r="S97" s="8">
        <f>IF(C97="","",IF(L97="No","Unavoidable","Avoidable"))</f>
        <v>0</v>
      </c>
      <c r="T97" s="25"/>
    </row>
    <row r="98" spans="1:20">
      <c r="A98" s="7"/>
      <c r="B98" s="30"/>
      <c r="C98" s="7"/>
      <c r="D98" s="8">
        <f>IF(C98="","",IFERROR(INDEX(Ingredients!$B$5:$B$304,MATCH(C98,Ingredients!$A$5:$A$304,0)),""))</f>
        <v>0</v>
      </c>
      <c r="E98" s="26"/>
      <c r="F98" s="27"/>
      <c r="G98" s="8">
        <f>IF(C98="","",IFERROR(INDEX(Ingredients!$D$5:$D$304,MATCH(C98,Ingredients!$A$5:$A$304,0)),""))</f>
        <v>0</v>
      </c>
      <c r="H98" s="8">
        <f>IF(OR(C98="",E98="",G98=""),"",E98*G98)</f>
        <v>0</v>
      </c>
      <c r="I98" s="27"/>
      <c r="J98" s="27"/>
      <c r="K98" s="27"/>
      <c r="L98" s="27"/>
      <c r="M98" s="7"/>
      <c r="N98" s="27"/>
      <c r="O98" s="8">
        <f>IF(B98="","",TEXT(B98,"mmm yyyy"))</f>
        <v>0</v>
      </c>
      <c r="P98" s="8">
        <f>IF(OR(B98="",H98=""),"",SUMIFS($H$5:$H$154,$O$5:$O$154,O98))</f>
        <v>0</v>
      </c>
      <c r="Q98" s="8">
        <f>IF(OR(H98="",P98="",P98=0),"",H98/P98)</f>
        <v>0</v>
      </c>
      <c r="R98" s="8">
        <f>IF(OR(C98="",E98=""),"",COUNTIFS($E$5:$E$154,"&gt;"&amp;E98)+1)</f>
        <v>0</v>
      </c>
      <c r="S98" s="8">
        <f>IF(C98="","",IF(L98="No","Unavoidable","Avoidable"))</f>
        <v>0</v>
      </c>
      <c r="T98" s="25"/>
    </row>
    <row r="99" spans="1:20">
      <c r="A99" s="7"/>
      <c r="B99" s="30"/>
      <c r="C99" s="7"/>
      <c r="D99" s="8">
        <f>IF(C99="","",IFERROR(INDEX(Ingredients!$B$5:$B$304,MATCH(C99,Ingredients!$A$5:$A$304,0)),""))</f>
        <v>0</v>
      </c>
      <c r="E99" s="26"/>
      <c r="F99" s="27"/>
      <c r="G99" s="8">
        <f>IF(C99="","",IFERROR(INDEX(Ingredients!$D$5:$D$304,MATCH(C99,Ingredients!$A$5:$A$304,0)),""))</f>
        <v>0</v>
      </c>
      <c r="H99" s="8">
        <f>IF(OR(C99="",E99="",G99=""),"",E99*G99)</f>
        <v>0</v>
      </c>
      <c r="I99" s="27"/>
      <c r="J99" s="27"/>
      <c r="K99" s="27"/>
      <c r="L99" s="27"/>
      <c r="M99" s="7"/>
      <c r="N99" s="27"/>
      <c r="O99" s="8">
        <f>IF(B99="","",TEXT(B99,"mmm yyyy"))</f>
        <v>0</v>
      </c>
      <c r="P99" s="8">
        <f>IF(OR(B99="",H99=""),"",SUMIFS($H$5:$H$154,$O$5:$O$154,O99))</f>
        <v>0</v>
      </c>
      <c r="Q99" s="8">
        <f>IF(OR(H99="",P99="",P99=0),"",H99/P99)</f>
        <v>0</v>
      </c>
      <c r="R99" s="8">
        <f>IF(OR(C99="",E99=""),"",COUNTIFS($E$5:$E$154,"&gt;"&amp;E99)+1)</f>
        <v>0</v>
      </c>
      <c r="S99" s="8">
        <f>IF(C99="","",IF(L99="No","Unavoidable","Avoidable"))</f>
        <v>0</v>
      </c>
      <c r="T99" s="25"/>
    </row>
    <row r="100" spans="1:20">
      <c r="A100" s="7"/>
      <c r="B100" s="30"/>
      <c r="C100" s="7"/>
      <c r="D100" s="8">
        <f>IF(C100="","",IFERROR(INDEX(Ingredients!$B$5:$B$304,MATCH(C100,Ingredients!$A$5:$A$304,0)),""))</f>
        <v>0</v>
      </c>
      <c r="E100" s="26"/>
      <c r="F100" s="27"/>
      <c r="G100" s="8">
        <f>IF(C100="","",IFERROR(INDEX(Ingredients!$D$5:$D$304,MATCH(C100,Ingredients!$A$5:$A$304,0)),""))</f>
        <v>0</v>
      </c>
      <c r="H100" s="8">
        <f>IF(OR(C100="",E100="",G100=""),"",E100*G100)</f>
        <v>0</v>
      </c>
      <c r="I100" s="27"/>
      <c r="J100" s="27"/>
      <c r="K100" s="27"/>
      <c r="L100" s="27"/>
      <c r="M100" s="7"/>
      <c r="N100" s="27"/>
      <c r="O100" s="8">
        <f>IF(B100="","",TEXT(B100,"mmm yyyy"))</f>
        <v>0</v>
      </c>
      <c r="P100" s="8">
        <f>IF(OR(B100="",H100=""),"",SUMIFS($H$5:$H$154,$O$5:$O$154,O100))</f>
        <v>0</v>
      </c>
      <c r="Q100" s="8">
        <f>IF(OR(H100="",P100="",P100=0),"",H100/P100)</f>
        <v>0</v>
      </c>
      <c r="R100" s="8">
        <f>IF(OR(C100="",E100=""),"",COUNTIFS($E$5:$E$154,"&gt;"&amp;E100)+1)</f>
        <v>0</v>
      </c>
      <c r="S100" s="8">
        <f>IF(C100="","",IF(L100="No","Unavoidable","Avoidable"))</f>
        <v>0</v>
      </c>
      <c r="T100" s="25"/>
    </row>
    <row r="101" spans="1:20">
      <c r="A101" s="7"/>
      <c r="B101" s="30"/>
      <c r="C101" s="7"/>
      <c r="D101" s="8">
        <f>IF(C101="","",IFERROR(INDEX(Ingredients!$B$5:$B$304,MATCH(C101,Ingredients!$A$5:$A$304,0)),""))</f>
        <v>0</v>
      </c>
      <c r="E101" s="26"/>
      <c r="F101" s="27"/>
      <c r="G101" s="8">
        <f>IF(C101="","",IFERROR(INDEX(Ingredients!$D$5:$D$304,MATCH(C101,Ingredients!$A$5:$A$304,0)),""))</f>
        <v>0</v>
      </c>
      <c r="H101" s="8">
        <f>IF(OR(C101="",E101="",G101=""),"",E101*G101)</f>
        <v>0</v>
      </c>
      <c r="I101" s="27"/>
      <c r="J101" s="27"/>
      <c r="K101" s="27"/>
      <c r="L101" s="27"/>
      <c r="M101" s="7"/>
      <c r="N101" s="27"/>
      <c r="O101" s="8">
        <f>IF(B101="","",TEXT(B101,"mmm yyyy"))</f>
        <v>0</v>
      </c>
      <c r="P101" s="8">
        <f>IF(OR(B101="",H101=""),"",SUMIFS($H$5:$H$154,$O$5:$O$154,O101))</f>
        <v>0</v>
      </c>
      <c r="Q101" s="8">
        <f>IF(OR(H101="",P101="",P101=0),"",H101/P101)</f>
        <v>0</v>
      </c>
      <c r="R101" s="8">
        <f>IF(OR(C101="",E101=""),"",COUNTIFS($E$5:$E$154,"&gt;"&amp;E101)+1)</f>
        <v>0</v>
      </c>
      <c r="S101" s="8">
        <f>IF(C101="","",IF(L101="No","Unavoidable","Avoidable"))</f>
        <v>0</v>
      </c>
      <c r="T101" s="25"/>
    </row>
    <row r="102" spans="1:20">
      <c r="A102" s="7"/>
      <c r="B102" s="30"/>
      <c r="C102" s="7"/>
      <c r="D102" s="8">
        <f>IF(C102="","",IFERROR(INDEX(Ingredients!$B$5:$B$304,MATCH(C102,Ingredients!$A$5:$A$304,0)),""))</f>
        <v>0</v>
      </c>
      <c r="E102" s="26"/>
      <c r="F102" s="27"/>
      <c r="G102" s="8">
        <f>IF(C102="","",IFERROR(INDEX(Ingredients!$D$5:$D$304,MATCH(C102,Ingredients!$A$5:$A$304,0)),""))</f>
        <v>0</v>
      </c>
      <c r="H102" s="8">
        <f>IF(OR(C102="",E102="",G102=""),"",E102*G102)</f>
        <v>0</v>
      </c>
      <c r="I102" s="27"/>
      <c r="J102" s="27"/>
      <c r="K102" s="27"/>
      <c r="L102" s="27"/>
      <c r="M102" s="7"/>
      <c r="N102" s="27"/>
      <c r="O102" s="8">
        <f>IF(B102="","",TEXT(B102,"mmm yyyy"))</f>
        <v>0</v>
      </c>
      <c r="P102" s="8">
        <f>IF(OR(B102="",H102=""),"",SUMIFS($H$5:$H$154,$O$5:$O$154,O102))</f>
        <v>0</v>
      </c>
      <c r="Q102" s="8">
        <f>IF(OR(H102="",P102="",P102=0),"",H102/P102)</f>
        <v>0</v>
      </c>
      <c r="R102" s="8">
        <f>IF(OR(C102="",E102=""),"",COUNTIFS($E$5:$E$154,"&gt;"&amp;E102)+1)</f>
        <v>0</v>
      </c>
      <c r="S102" s="8">
        <f>IF(C102="","",IF(L102="No","Unavoidable","Avoidable"))</f>
        <v>0</v>
      </c>
      <c r="T102" s="25"/>
    </row>
    <row r="103" spans="1:20">
      <c r="A103" s="7"/>
      <c r="B103" s="30"/>
      <c r="C103" s="7"/>
      <c r="D103" s="8">
        <f>IF(C103="","",IFERROR(INDEX(Ingredients!$B$5:$B$304,MATCH(C103,Ingredients!$A$5:$A$304,0)),""))</f>
        <v>0</v>
      </c>
      <c r="E103" s="26"/>
      <c r="F103" s="27"/>
      <c r="G103" s="8">
        <f>IF(C103="","",IFERROR(INDEX(Ingredients!$D$5:$D$304,MATCH(C103,Ingredients!$A$5:$A$304,0)),""))</f>
        <v>0</v>
      </c>
      <c r="H103" s="8">
        <f>IF(OR(C103="",E103="",G103=""),"",E103*G103)</f>
        <v>0</v>
      </c>
      <c r="I103" s="27"/>
      <c r="J103" s="27"/>
      <c r="K103" s="27"/>
      <c r="L103" s="27"/>
      <c r="M103" s="7"/>
      <c r="N103" s="27"/>
      <c r="O103" s="8">
        <f>IF(B103="","",TEXT(B103,"mmm yyyy"))</f>
        <v>0</v>
      </c>
      <c r="P103" s="8">
        <f>IF(OR(B103="",H103=""),"",SUMIFS($H$5:$H$154,$O$5:$O$154,O103))</f>
        <v>0</v>
      </c>
      <c r="Q103" s="8">
        <f>IF(OR(H103="",P103="",P103=0),"",H103/P103)</f>
        <v>0</v>
      </c>
      <c r="R103" s="8">
        <f>IF(OR(C103="",E103=""),"",COUNTIFS($E$5:$E$154,"&gt;"&amp;E103)+1)</f>
        <v>0</v>
      </c>
      <c r="S103" s="8">
        <f>IF(C103="","",IF(L103="No","Unavoidable","Avoidable"))</f>
        <v>0</v>
      </c>
      <c r="T103" s="25"/>
    </row>
    <row r="104" spans="1:20">
      <c r="A104" s="7"/>
      <c r="B104" s="30"/>
      <c r="C104" s="7"/>
      <c r="D104" s="8">
        <f>IF(C104="","",IFERROR(INDEX(Ingredients!$B$5:$B$304,MATCH(C104,Ingredients!$A$5:$A$304,0)),""))</f>
        <v>0</v>
      </c>
      <c r="E104" s="26"/>
      <c r="F104" s="27"/>
      <c r="G104" s="8">
        <f>IF(C104="","",IFERROR(INDEX(Ingredients!$D$5:$D$304,MATCH(C104,Ingredients!$A$5:$A$304,0)),""))</f>
        <v>0</v>
      </c>
      <c r="H104" s="8">
        <f>IF(OR(C104="",E104="",G104=""),"",E104*G104)</f>
        <v>0</v>
      </c>
      <c r="I104" s="27"/>
      <c r="J104" s="27"/>
      <c r="K104" s="27"/>
      <c r="L104" s="27"/>
      <c r="M104" s="7"/>
      <c r="N104" s="27"/>
      <c r="O104" s="8">
        <f>IF(B104="","",TEXT(B104,"mmm yyyy"))</f>
        <v>0</v>
      </c>
      <c r="P104" s="8">
        <f>IF(OR(B104="",H104=""),"",SUMIFS($H$5:$H$154,$O$5:$O$154,O104))</f>
        <v>0</v>
      </c>
      <c r="Q104" s="8">
        <f>IF(OR(H104="",P104="",P104=0),"",H104/P104)</f>
        <v>0</v>
      </c>
      <c r="R104" s="8">
        <f>IF(OR(C104="",E104=""),"",COUNTIFS($E$5:$E$154,"&gt;"&amp;E104)+1)</f>
        <v>0</v>
      </c>
      <c r="S104" s="8">
        <f>IF(C104="","",IF(L104="No","Unavoidable","Avoidable"))</f>
        <v>0</v>
      </c>
      <c r="T104" s="25"/>
    </row>
    <row r="105" spans="1:20">
      <c r="A105" s="7"/>
      <c r="B105" s="30"/>
      <c r="C105" s="7"/>
      <c r="D105" s="8">
        <f>IF(C105="","",IFERROR(INDEX(Ingredients!$B$5:$B$304,MATCH(C105,Ingredients!$A$5:$A$304,0)),""))</f>
        <v>0</v>
      </c>
      <c r="E105" s="26"/>
      <c r="F105" s="27"/>
      <c r="G105" s="8">
        <f>IF(C105="","",IFERROR(INDEX(Ingredients!$D$5:$D$304,MATCH(C105,Ingredients!$A$5:$A$304,0)),""))</f>
        <v>0</v>
      </c>
      <c r="H105" s="8">
        <f>IF(OR(C105="",E105="",G105=""),"",E105*G105)</f>
        <v>0</v>
      </c>
      <c r="I105" s="27"/>
      <c r="J105" s="27"/>
      <c r="K105" s="27"/>
      <c r="L105" s="27"/>
      <c r="M105" s="7"/>
      <c r="N105" s="27"/>
      <c r="O105" s="8">
        <f>IF(B105="","",TEXT(B105,"mmm yyyy"))</f>
        <v>0</v>
      </c>
      <c r="P105" s="8">
        <f>IF(OR(B105="",H105=""),"",SUMIFS($H$5:$H$154,$O$5:$O$154,O105))</f>
        <v>0</v>
      </c>
      <c r="Q105" s="8">
        <f>IF(OR(H105="",P105="",P105=0),"",H105/P105)</f>
        <v>0</v>
      </c>
      <c r="R105" s="8">
        <f>IF(OR(C105="",E105=""),"",COUNTIFS($E$5:$E$154,"&gt;"&amp;E105)+1)</f>
        <v>0</v>
      </c>
      <c r="S105" s="8">
        <f>IF(C105="","",IF(L105="No","Unavoidable","Avoidable"))</f>
        <v>0</v>
      </c>
      <c r="T105" s="25"/>
    </row>
    <row r="106" spans="1:20">
      <c r="A106" s="7"/>
      <c r="B106" s="30"/>
      <c r="C106" s="7"/>
      <c r="D106" s="8">
        <f>IF(C106="","",IFERROR(INDEX(Ingredients!$B$5:$B$304,MATCH(C106,Ingredients!$A$5:$A$304,0)),""))</f>
        <v>0</v>
      </c>
      <c r="E106" s="26"/>
      <c r="F106" s="27"/>
      <c r="G106" s="8">
        <f>IF(C106="","",IFERROR(INDEX(Ingredients!$D$5:$D$304,MATCH(C106,Ingredients!$A$5:$A$304,0)),""))</f>
        <v>0</v>
      </c>
      <c r="H106" s="8">
        <f>IF(OR(C106="",E106="",G106=""),"",E106*G106)</f>
        <v>0</v>
      </c>
      <c r="I106" s="27"/>
      <c r="J106" s="27"/>
      <c r="K106" s="27"/>
      <c r="L106" s="27"/>
      <c r="M106" s="7"/>
      <c r="N106" s="27"/>
      <c r="O106" s="8">
        <f>IF(B106="","",TEXT(B106,"mmm yyyy"))</f>
        <v>0</v>
      </c>
      <c r="P106" s="8">
        <f>IF(OR(B106="",H106=""),"",SUMIFS($H$5:$H$154,$O$5:$O$154,O106))</f>
        <v>0</v>
      </c>
      <c r="Q106" s="8">
        <f>IF(OR(H106="",P106="",P106=0),"",H106/P106)</f>
        <v>0</v>
      </c>
      <c r="R106" s="8">
        <f>IF(OR(C106="",E106=""),"",COUNTIFS($E$5:$E$154,"&gt;"&amp;E106)+1)</f>
        <v>0</v>
      </c>
      <c r="S106" s="8">
        <f>IF(C106="","",IF(L106="No","Unavoidable","Avoidable"))</f>
        <v>0</v>
      </c>
      <c r="T106" s="25"/>
    </row>
    <row r="107" spans="1:20">
      <c r="A107" s="7"/>
      <c r="B107" s="30"/>
      <c r="C107" s="7"/>
      <c r="D107" s="8">
        <f>IF(C107="","",IFERROR(INDEX(Ingredients!$B$5:$B$304,MATCH(C107,Ingredients!$A$5:$A$304,0)),""))</f>
        <v>0</v>
      </c>
      <c r="E107" s="26"/>
      <c r="F107" s="27"/>
      <c r="G107" s="8">
        <f>IF(C107="","",IFERROR(INDEX(Ingredients!$D$5:$D$304,MATCH(C107,Ingredients!$A$5:$A$304,0)),""))</f>
        <v>0</v>
      </c>
      <c r="H107" s="8">
        <f>IF(OR(C107="",E107="",G107=""),"",E107*G107)</f>
        <v>0</v>
      </c>
      <c r="I107" s="27"/>
      <c r="J107" s="27"/>
      <c r="K107" s="27"/>
      <c r="L107" s="27"/>
      <c r="M107" s="7"/>
      <c r="N107" s="27"/>
      <c r="O107" s="8">
        <f>IF(B107="","",TEXT(B107,"mmm yyyy"))</f>
        <v>0</v>
      </c>
      <c r="P107" s="8">
        <f>IF(OR(B107="",H107=""),"",SUMIFS($H$5:$H$154,$O$5:$O$154,O107))</f>
        <v>0</v>
      </c>
      <c r="Q107" s="8">
        <f>IF(OR(H107="",P107="",P107=0),"",H107/P107)</f>
        <v>0</v>
      </c>
      <c r="R107" s="8">
        <f>IF(OR(C107="",E107=""),"",COUNTIFS($E$5:$E$154,"&gt;"&amp;E107)+1)</f>
        <v>0</v>
      </c>
      <c r="S107" s="8">
        <f>IF(C107="","",IF(L107="No","Unavoidable","Avoidable"))</f>
        <v>0</v>
      </c>
      <c r="T107" s="25"/>
    </row>
    <row r="108" spans="1:20">
      <c r="A108" s="7"/>
      <c r="B108" s="30"/>
      <c r="C108" s="7"/>
      <c r="D108" s="8">
        <f>IF(C108="","",IFERROR(INDEX(Ingredients!$B$5:$B$304,MATCH(C108,Ingredients!$A$5:$A$304,0)),""))</f>
        <v>0</v>
      </c>
      <c r="E108" s="26"/>
      <c r="F108" s="27"/>
      <c r="G108" s="8">
        <f>IF(C108="","",IFERROR(INDEX(Ingredients!$D$5:$D$304,MATCH(C108,Ingredients!$A$5:$A$304,0)),""))</f>
        <v>0</v>
      </c>
      <c r="H108" s="8">
        <f>IF(OR(C108="",E108="",G108=""),"",E108*G108)</f>
        <v>0</v>
      </c>
      <c r="I108" s="27"/>
      <c r="J108" s="27"/>
      <c r="K108" s="27"/>
      <c r="L108" s="27"/>
      <c r="M108" s="7"/>
      <c r="N108" s="27"/>
      <c r="O108" s="8">
        <f>IF(B108="","",TEXT(B108,"mmm yyyy"))</f>
        <v>0</v>
      </c>
      <c r="P108" s="8">
        <f>IF(OR(B108="",H108=""),"",SUMIFS($H$5:$H$154,$O$5:$O$154,O108))</f>
        <v>0</v>
      </c>
      <c r="Q108" s="8">
        <f>IF(OR(H108="",P108="",P108=0),"",H108/P108)</f>
        <v>0</v>
      </c>
      <c r="R108" s="8">
        <f>IF(OR(C108="",E108=""),"",COUNTIFS($E$5:$E$154,"&gt;"&amp;E108)+1)</f>
        <v>0</v>
      </c>
      <c r="S108" s="8">
        <f>IF(C108="","",IF(L108="No","Unavoidable","Avoidable"))</f>
        <v>0</v>
      </c>
      <c r="T108" s="25"/>
    </row>
    <row r="109" spans="1:20">
      <c r="A109" s="7"/>
      <c r="B109" s="30"/>
      <c r="C109" s="7"/>
      <c r="D109" s="8">
        <f>IF(C109="","",IFERROR(INDEX(Ingredients!$B$5:$B$304,MATCH(C109,Ingredients!$A$5:$A$304,0)),""))</f>
        <v>0</v>
      </c>
      <c r="E109" s="26"/>
      <c r="F109" s="27"/>
      <c r="G109" s="8">
        <f>IF(C109="","",IFERROR(INDEX(Ingredients!$D$5:$D$304,MATCH(C109,Ingredients!$A$5:$A$304,0)),""))</f>
        <v>0</v>
      </c>
      <c r="H109" s="8">
        <f>IF(OR(C109="",E109="",G109=""),"",E109*G109)</f>
        <v>0</v>
      </c>
      <c r="I109" s="27"/>
      <c r="J109" s="27"/>
      <c r="K109" s="27"/>
      <c r="L109" s="27"/>
      <c r="M109" s="7"/>
      <c r="N109" s="27"/>
      <c r="O109" s="8">
        <f>IF(B109="","",TEXT(B109,"mmm yyyy"))</f>
        <v>0</v>
      </c>
      <c r="P109" s="8">
        <f>IF(OR(B109="",H109=""),"",SUMIFS($H$5:$H$154,$O$5:$O$154,O109))</f>
        <v>0</v>
      </c>
      <c r="Q109" s="8">
        <f>IF(OR(H109="",P109="",P109=0),"",H109/P109)</f>
        <v>0</v>
      </c>
      <c r="R109" s="8">
        <f>IF(OR(C109="",E109=""),"",COUNTIFS($E$5:$E$154,"&gt;"&amp;E109)+1)</f>
        <v>0</v>
      </c>
      <c r="S109" s="8">
        <f>IF(C109="","",IF(L109="No","Unavoidable","Avoidable"))</f>
        <v>0</v>
      </c>
      <c r="T109" s="25"/>
    </row>
    <row r="110" spans="1:20">
      <c r="A110" s="7"/>
      <c r="B110" s="30"/>
      <c r="C110" s="7"/>
      <c r="D110" s="8">
        <f>IF(C110="","",IFERROR(INDEX(Ingredients!$B$5:$B$304,MATCH(C110,Ingredients!$A$5:$A$304,0)),""))</f>
        <v>0</v>
      </c>
      <c r="E110" s="26"/>
      <c r="F110" s="27"/>
      <c r="G110" s="8">
        <f>IF(C110="","",IFERROR(INDEX(Ingredients!$D$5:$D$304,MATCH(C110,Ingredients!$A$5:$A$304,0)),""))</f>
        <v>0</v>
      </c>
      <c r="H110" s="8">
        <f>IF(OR(C110="",E110="",G110=""),"",E110*G110)</f>
        <v>0</v>
      </c>
      <c r="I110" s="27"/>
      <c r="J110" s="27"/>
      <c r="K110" s="27"/>
      <c r="L110" s="27"/>
      <c r="M110" s="7"/>
      <c r="N110" s="27"/>
      <c r="O110" s="8">
        <f>IF(B110="","",TEXT(B110,"mmm yyyy"))</f>
        <v>0</v>
      </c>
      <c r="P110" s="8">
        <f>IF(OR(B110="",H110=""),"",SUMIFS($H$5:$H$154,$O$5:$O$154,O110))</f>
        <v>0</v>
      </c>
      <c r="Q110" s="8">
        <f>IF(OR(H110="",P110="",P110=0),"",H110/P110)</f>
        <v>0</v>
      </c>
      <c r="R110" s="8">
        <f>IF(OR(C110="",E110=""),"",COUNTIFS($E$5:$E$154,"&gt;"&amp;E110)+1)</f>
        <v>0</v>
      </c>
      <c r="S110" s="8">
        <f>IF(C110="","",IF(L110="No","Unavoidable","Avoidable"))</f>
        <v>0</v>
      </c>
      <c r="T110" s="25"/>
    </row>
    <row r="111" spans="1:20">
      <c r="A111" s="7"/>
      <c r="B111" s="30"/>
      <c r="C111" s="7"/>
      <c r="D111" s="8">
        <f>IF(C111="","",IFERROR(INDEX(Ingredients!$B$5:$B$304,MATCH(C111,Ingredients!$A$5:$A$304,0)),""))</f>
        <v>0</v>
      </c>
      <c r="E111" s="26"/>
      <c r="F111" s="27"/>
      <c r="G111" s="8">
        <f>IF(C111="","",IFERROR(INDEX(Ingredients!$D$5:$D$304,MATCH(C111,Ingredients!$A$5:$A$304,0)),""))</f>
        <v>0</v>
      </c>
      <c r="H111" s="8">
        <f>IF(OR(C111="",E111="",G111=""),"",E111*G111)</f>
        <v>0</v>
      </c>
      <c r="I111" s="27"/>
      <c r="J111" s="27"/>
      <c r="K111" s="27"/>
      <c r="L111" s="27"/>
      <c r="M111" s="7"/>
      <c r="N111" s="27"/>
      <c r="O111" s="8">
        <f>IF(B111="","",TEXT(B111,"mmm yyyy"))</f>
        <v>0</v>
      </c>
      <c r="P111" s="8">
        <f>IF(OR(B111="",H111=""),"",SUMIFS($H$5:$H$154,$O$5:$O$154,O111))</f>
        <v>0</v>
      </c>
      <c r="Q111" s="8">
        <f>IF(OR(H111="",P111="",P111=0),"",H111/P111)</f>
        <v>0</v>
      </c>
      <c r="R111" s="8">
        <f>IF(OR(C111="",E111=""),"",COUNTIFS($E$5:$E$154,"&gt;"&amp;E111)+1)</f>
        <v>0</v>
      </c>
      <c r="S111" s="8">
        <f>IF(C111="","",IF(L111="No","Unavoidable","Avoidable"))</f>
        <v>0</v>
      </c>
      <c r="T111" s="25"/>
    </row>
    <row r="112" spans="1:20">
      <c r="A112" s="7"/>
      <c r="B112" s="30"/>
      <c r="C112" s="7"/>
      <c r="D112" s="8">
        <f>IF(C112="","",IFERROR(INDEX(Ingredients!$B$5:$B$304,MATCH(C112,Ingredients!$A$5:$A$304,0)),""))</f>
        <v>0</v>
      </c>
      <c r="E112" s="26"/>
      <c r="F112" s="27"/>
      <c r="G112" s="8">
        <f>IF(C112="","",IFERROR(INDEX(Ingredients!$D$5:$D$304,MATCH(C112,Ingredients!$A$5:$A$304,0)),""))</f>
        <v>0</v>
      </c>
      <c r="H112" s="8">
        <f>IF(OR(C112="",E112="",G112=""),"",E112*G112)</f>
        <v>0</v>
      </c>
      <c r="I112" s="27"/>
      <c r="J112" s="27"/>
      <c r="K112" s="27"/>
      <c r="L112" s="27"/>
      <c r="M112" s="7"/>
      <c r="N112" s="27"/>
      <c r="O112" s="8">
        <f>IF(B112="","",TEXT(B112,"mmm yyyy"))</f>
        <v>0</v>
      </c>
      <c r="P112" s="8">
        <f>IF(OR(B112="",H112=""),"",SUMIFS($H$5:$H$154,$O$5:$O$154,O112))</f>
        <v>0</v>
      </c>
      <c r="Q112" s="8">
        <f>IF(OR(H112="",P112="",P112=0),"",H112/P112)</f>
        <v>0</v>
      </c>
      <c r="R112" s="8">
        <f>IF(OR(C112="",E112=""),"",COUNTIFS($E$5:$E$154,"&gt;"&amp;E112)+1)</f>
        <v>0</v>
      </c>
      <c r="S112" s="8">
        <f>IF(C112="","",IF(L112="No","Unavoidable","Avoidable"))</f>
        <v>0</v>
      </c>
      <c r="T112" s="25"/>
    </row>
    <row r="113" spans="1:20">
      <c r="A113" s="7"/>
      <c r="B113" s="30"/>
      <c r="C113" s="7"/>
      <c r="D113" s="8">
        <f>IF(C113="","",IFERROR(INDEX(Ingredients!$B$5:$B$304,MATCH(C113,Ingredients!$A$5:$A$304,0)),""))</f>
        <v>0</v>
      </c>
      <c r="E113" s="26"/>
      <c r="F113" s="27"/>
      <c r="G113" s="8">
        <f>IF(C113="","",IFERROR(INDEX(Ingredients!$D$5:$D$304,MATCH(C113,Ingredients!$A$5:$A$304,0)),""))</f>
        <v>0</v>
      </c>
      <c r="H113" s="8">
        <f>IF(OR(C113="",E113="",G113=""),"",E113*G113)</f>
        <v>0</v>
      </c>
      <c r="I113" s="27"/>
      <c r="J113" s="27"/>
      <c r="K113" s="27"/>
      <c r="L113" s="27"/>
      <c r="M113" s="7"/>
      <c r="N113" s="27"/>
      <c r="O113" s="8">
        <f>IF(B113="","",TEXT(B113,"mmm yyyy"))</f>
        <v>0</v>
      </c>
      <c r="P113" s="8">
        <f>IF(OR(B113="",H113=""),"",SUMIFS($H$5:$H$154,$O$5:$O$154,O113))</f>
        <v>0</v>
      </c>
      <c r="Q113" s="8">
        <f>IF(OR(H113="",P113="",P113=0),"",H113/P113)</f>
        <v>0</v>
      </c>
      <c r="R113" s="8">
        <f>IF(OR(C113="",E113=""),"",COUNTIFS($E$5:$E$154,"&gt;"&amp;E113)+1)</f>
        <v>0</v>
      </c>
      <c r="S113" s="8">
        <f>IF(C113="","",IF(L113="No","Unavoidable","Avoidable"))</f>
        <v>0</v>
      </c>
      <c r="T113" s="25"/>
    </row>
    <row r="114" spans="1:20">
      <c r="A114" s="7"/>
      <c r="B114" s="30"/>
      <c r="C114" s="7"/>
      <c r="D114" s="8">
        <f>IF(C114="","",IFERROR(INDEX(Ingredients!$B$5:$B$304,MATCH(C114,Ingredients!$A$5:$A$304,0)),""))</f>
        <v>0</v>
      </c>
      <c r="E114" s="26"/>
      <c r="F114" s="27"/>
      <c r="G114" s="8">
        <f>IF(C114="","",IFERROR(INDEX(Ingredients!$D$5:$D$304,MATCH(C114,Ingredients!$A$5:$A$304,0)),""))</f>
        <v>0</v>
      </c>
      <c r="H114" s="8">
        <f>IF(OR(C114="",E114="",G114=""),"",E114*G114)</f>
        <v>0</v>
      </c>
      <c r="I114" s="27"/>
      <c r="J114" s="27"/>
      <c r="K114" s="27"/>
      <c r="L114" s="27"/>
      <c r="M114" s="7"/>
      <c r="N114" s="27"/>
      <c r="O114" s="8">
        <f>IF(B114="","",TEXT(B114,"mmm yyyy"))</f>
        <v>0</v>
      </c>
      <c r="P114" s="8">
        <f>IF(OR(B114="",H114=""),"",SUMIFS($H$5:$H$154,$O$5:$O$154,O114))</f>
        <v>0</v>
      </c>
      <c r="Q114" s="8">
        <f>IF(OR(H114="",P114="",P114=0),"",H114/P114)</f>
        <v>0</v>
      </c>
      <c r="R114" s="8">
        <f>IF(OR(C114="",E114=""),"",COUNTIFS($E$5:$E$154,"&gt;"&amp;E114)+1)</f>
        <v>0</v>
      </c>
      <c r="S114" s="8">
        <f>IF(C114="","",IF(L114="No","Unavoidable","Avoidable"))</f>
        <v>0</v>
      </c>
      <c r="T114" s="25"/>
    </row>
    <row r="115" spans="1:20">
      <c r="A115" s="7"/>
      <c r="B115" s="30"/>
      <c r="C115" s="7"/>
      <c r="D115" s="8">
        <f>IF(C115="","",IFERROR(INDEX(Ingredients!$B$5:$B$304,MATCH(C115,Ingredients!$A$5:$A$304,0)),""))</f>
        <v>0</v>
      </c>
      <c r="E115" s="26"/>
      <c r="F115" s="27"/>
      <c r="G115" s="8">
        <f>IF(C115="","",IFERROR(INDEX(Ingredients!$D$5:$D$304,MATCH(C115,Ingredients!$A$5:$A$304,0)),""))</f>
        <v>0</v>
      </c>
      <c r="H115" s="8">
        <f>IF(OR(C115="",E115="",G115=""),"",E115*G115)</f>
        <v>0</v>
      </c>
      <c r="I115" s="27"/>
      <c r="J115" s="27"/>
      <c r="K115" s="27"/>
      <c r="L115" s="27"/>
      <c r="M115" s="7"/>
      <c r="N115" s="27"/>
      <c r="O115" s="8">
        <f>IF(B115="","",TEXT(B115,"mmm yyyy"))</f>
        <v>0</v>
      </c>
      <c r="P115" s="8">
        <f>IF(OR(B115="",H115=""),"",SUMIFS($H$5:$H$154,$O$5:$O$154,O115))</f>
        <v>0</v>
      </c>
      <c r="Q115" s="8">
        <f>IF(OR(H115="",P115="",P115=0),"",H115/P115)</f>
        <v>0</v>
      </c>
      <c r="R115" s="8">
        <f>IF(OR(C115="",E115=""),"",COUNTIFS($E$5:$E$154,"&gt;"&amp;E115)+1)</f>
        <v>0</v>
      </c>
      <c r="S115" s="8">
        <f>IF(C115="","",IF(L115="No","Unavoidable","Avoidable"))</f>
        <v>0</v>
      </c>
      <c r="T115" s="25"/>
    </row>
    <row r="116" spans="1:20">
      <c r="A116" s="7"/>
      <c r="B116" s="30"/>
      <c r="C116" s="7"/>
      <c r="D116" s="8">
        <f>IF(C116="","",IFERROR(INDEX(Ingredients!$B$5:$B$304,MATCH(C116,Ingredients!$A$5:$A$304,0)),""))</f>
        <v>0</v>
      </c>
      <c r="E116" s="26"/>
      <c r="F116" s="27"/>
      <c r="G116" s="8">
        <f>IF(C116="","",IFERROR(INDEX(Ingredients!$D$5:$D$304,MATCH(C116,Ingredients!$A$5:$A$304,0)),""))</f>
        <v>0</v>
      </c>
      <c r="H116" s="8">
        <f>IF(OR(C116="",E116="",G116=""),"",E116*G116)</f>
        <v>0</v>
      </c>
      <c r="I116" s="27"/>
      <c r="J116" s="27"/>
      <c r="K116" s="27"/>
      <c r="L116" s="27"/>
      <c r="M116" s="7"/>
      <c r="N116" s="27"/>
      <c r="O116" s="8">
        <f>IF(B116="","",TEXT(B116,"mmm yyyy"))</f>
        <v>0</v>
      </c>
      <c r="P116" s="8">
        <f>IF(OR(B116="",H116=""),"",SUMIFS($H$5:$H$154,$O$5:$O$154,O116))</f>
        <v>0</v>
      </c>
      <c r="Q116" s="8">
        <f>IF(OR(H116="",P116="",P116=0),"",H116/P116)</f>
        <v>0</v>
      </c>
      <c r="R116" s="8">
        <f>IF(OR(C116="",E116=""),"",COUNTIFS($E$5:$E$154,"&gt;"&amp;E116)+1)</f>
        <v>0</v>
      </c>
      <c r="S116" s="8">
        <f>IF(C116="","",IF(L116="No","Unavoidable","Avoidable"))</f>
        <v>0</v>
      </c>
      <c r="T116" s="25"/>
    </row>
    <row r="117" spans="1:20">
      <c r="A117" s="7"/>
      <c r="B117" s="30"/>
      <c r="C117" s="7"/>
      <c r="D117" s="8">
        <f>IF(C117="","",IFERROR(INDEX(Ingredients!$B$5:$B$304,MATCH(C117,Ingredients!$A$5:$A$304,0)),""))</f>
        <v>0</v>
      </c>
      <c r="E117" s="26"/>
      <c r="F117" s="27"/>
      <c r="G117" s="8">
        <f>IF(C117="","",IFERROR(INDEX(Ingredients!$D$5:$D$304,MATCH(C117,Ingredients!$A$5:$A$304,0)),""))</f>
        <v>0</v>
      </c>
      <c r="H117" s="8">
        <f>IF(OR(C117="",E117="",G117=""),"",E117*G117)</f>
        <v>0</v>
      </c>
      <c r="I117" s="27"/>
      <c r="J117" s="27"/>
      <c r="K117" s="27"/>
      <c r="L117" s="27"/>
      <c r="M117" s="7"/>
      <c r="N117" s="27"/>
      <c r="O117" s="8">
        <f>IF(B117="","",TEXT(B117,"mmm yyyy"))</f>
        <v>0</v>
      </c>
      <c r="P117" s="8">
        <f>IF(OR(B117="",H117=""),"",SUMIFS($H$5:$H$154,$O$5:$O$154,O117))</f>
        <v>0</v>
      </c>
      <c r="Q117" s="8">
        <f>IF(OR(H117="",P117="",P117=0),"",H117/P117)</f>
        <v>0</v>
      </c>
      <c r="R117" s="8">
        <f>IF(OR(C117="",E117=""),"",COUNTIFS($E$5:$E$154,"&gt;"&amp;E117)+1)</f>
        <v>0</v>
      </c>
      <c r="S117" s="8">
        <f>IF(C117="","",IF(L117="No","Unavoidable","Avoidable"))</f>
        <v>0</v>
      </c>
      <c r="T117" s="25"/>
    </row>
    <row r="118" spans="1:20">
      <c r="A118" s="7"/>
      <c r="B118" s="30"/>
      <c r="C118" s="7"/>
      <c r="D118" s="8">
        <f>IF(C118="","",IFERROR(INDEX(Ingredients!$B$5:$B$304,MATCH(C118,Ingredients!$A$5:$A$304,0)),""))</f>
        <v>0</v>
      </c>
      <c r="E118" s="26"/>
      <c r="F118" s="27"/>
      <c r="G118" s="8">
        <f>IF(C118="","",IFERROR(INDEX(Ingredients!$D$5:$D$304,MATCH(C118,Ingredients!$A$5:$A$304,0)),""))</f>
        <v>0</v>
      </c>
      <c r="H118" s="8">
        <f>IF(OR(C118="",E118="",G118=""),"",E118*G118)</f>
        <v>0</v>
      </c>
      <c r="I118" s="27"/>
      <c r="J118" s="27"/>
      <c r="K118" s="27"/>
      <c r="L118" s="27"/>
      <c r="M118" s="7"/>
      <c r="N118" s="27"/>
      <c r="O118" s="8">
        <f>IF(B118="","",TEXT(B118,"mmm yyyy"))</f>
        <v>0</v>
      </c>
      <c r="P118" s="8">
        <f>IF(OR(B118="",H118=""),"",SUMIFS($H$5:$H$154,$O$5:$O$154,O118))</f>
        <v>0</v>
      </c>
      <c r="Q118" s="8">
        <f>IF(OR(H118="",P118="",P118=0),"",H118/P118)</f>
        <v>0</v>
      </c>
      <c r="R118" s="8">
        <f>IF(OR(C118="",E118=""),"",COUNTIFS($E$5:$E$154,"&gt;"&amp;E118)+1)</f>
        <v>0</v>
      </c>
      <c r="S118" s="8">
        <f>IF(C118="","",IF(L118="No","Unavoidable","Avoidable"))</f>
        <v>0</v>
      </c>
      <c r="T118" s="25"/>
    </row>
    <row r="119" spans="1:20">
      <c r="A119" s="7"/>
      <c r="B119" s="30"/>
      <c r="C119" s="7"/>
      <c r="D119" s="8">
        <f>IF(C119="","",IFERROR(INDEX(Ingredients!$B$5:$B$304,MATCH(C119,Ingredients!$A$5:$A$304,0)),""))</f>
        <v>0</v>
      </c>
      <c r="E119" s="26"/>
      <c r="F119" s="27"/>
      <c r="G119" s="8">
        <f>IF(C119="","",IFERROR(INDEX(Ingredients!$D$5:$D$304,MATCH(C119,Ingredients!$A$5:$A$304,0)),""))</f>
        <v>0</v>
      </c>
      <c r="H119" s="8">
        <f>IF(OR(C119="",E119="",G119=""),"",E119*G119)</f>
        <v>0</v>
      </c>
      <c r="I119" s="27"/>
      <c r="J119" s="27"/>
      <c r="K119" s="27"/>
      <c r="L119" s="27"/>
      <c r="M119" s="7"/>
      <c r="N119" s="27"/>
      <c r="O119" s="8">
        <f>IF(B119="","",TEXT(B119,"mmm yyyy"))</f>
        <v>0</v>
      </c>
      <c r="P119" s="8">
        <f>IF(OR(B119="",H119=""),"",SUMIFS($H$5:$H$154,$O$5:$O$154,O119))</f>
        <v>0</v>
      </c>
      <c r="Q119" s="8">
        <f>IF(OR(H119="",P119="",P119=0),"",H119/P119)</f>
        <v>0</v>
      </c>
      <c r="R119" s="8">
        <f>IF(OR(C119="",E119=""),"",COUNTIFS($E$5:$E$154,"&gt;"&amp;E119)+1)</f>
        <v>0</v>
      </c>
      <c r="S119" s="8">
        <f>IF(C119="","",IF(L119="No","Unavoidable","Avoidable"))</f>
        <v>0</v>
      </c>
      <c r="T119" s="25"/>
    </row>
    <row r="120" spans="1:20">
      <c r="A120" s="7"/>
      <c r="B120" s="30"/>
      <c r="C120" s="7"/>
      <c r="D120" s="8">
        <f>IF(C120="","",IFERROR(INDEX(Ingredients!$B$5:$B$304,MATCH(C120,Ingredients!$A$5:$A$304,0)),""))</f>
        <v>0</v>
      </c>
      <c r="E120" s="26"/>
      <c r="F120" s="27"/>
      <c r="G120" s="8">
        <f>IF(C120="","",IFERROR(INDEX(Ingredients!$D$5:$D$304,MATCH(C120,Ingredients!$A$5:$A$304,0)),""))</f>
        <v>0</v>
      </c>
      <c r="H120" s="8">
        <f>IF(OR(C120="",E120="",G120=""),"",E120*G120)</f>
        <v>0</v>
      </c>
      <c r="I120" s="27"/>
      <c r="J120" s="27"/>
      <c r="K120" s="27"/>
      <c r="L120" s="27"/>
      <c r="M120" s="7"/>
      <c r="N120" s="27"/>
      <c r="O120" s="8">
        <f>IF(B120="","",TEXT(B120,"mmm yyyy"))</f>
        <v>0</v>
      </c>
      <c r="P120" s="8">
        <f>IF(OR(B120="",H120=""),"",SUMIFS($H$5:$H$154,$O$5:$O$154,O120))</f>
        <v>0</v>
      </c>
      <c r="Q120" s="8">
        <f>IF(OR(H120="",P120="",P120=0),"",H120/P120)</f>
        <v>0</v>
      </c>
      <c r="R120" s="8">
        <f>IF(OR(C120="",E120=""),"",COUNTIFS($E$5:$E$154,"&gt;"&amp;E120)+1)</f>
        <v>0</v>
      </c>
      <c r="S120" s="8">
        <f>IF(C120="","",IF(L120="No","Unavoidable","Avoidable"))</f>
        <v>0</v>
      </c>
      <c r="T120" s="25"/>
    </row>
    <row r="121" spans="1:20">
      <c r="A121" s="7"/>
      <c r="B121" s="30"/>
      <c r="C121" s="7"/>
      <c r="D121" s="8">
        <f>IF(C121="","",IFERROR(INDEX(Ingredients!$B$5:$B$304,MATCH(C121,Ingredients!$A$5:$A$304,0)),""))</f>
        <v>0</v>
      </c>
      <c r="E121" s="26"/>
      <c r="F121" s="27"/>
      <c r="G121" s="8">
        <f>IF(C121="","",IFERROR(INDEX(Ingredients!$D$5:$D$304,MATCH(C121,Ingredients!$A$5:$A$304,0)),""))</f>
        <v>0</v>
      </c>
      <c r="H121" s="8">
        <f>IF(OR(C121="",E121="",G121=""),"",E121*G121)</f>
        <v>0</v>
      </c>
      <c r="I121" s="27"/>
      <c r="J121" s="27"/>
      <c r="K121" s="27"/>
      <c r="L121" s="27"/>
      <c r="M121" s="7"/>
      <c r="N121" s="27"/>
      <c r="O121" s="8">
        <f>IF(B121="","",TEXT(B121,"mmm yyyy"))</f>
        <v>0</v>
      </c>
      <c r="P121" s="8">
        <f>IF(OR(B121="",H121=""),"",SUMIFS($H$5:$H$154,$O$5:$O$154,O121))</f>
        <v>0</v>
      </c>
      <c r="Q121" s="8">
        <f>IF(OR(H121="",P121="",P121=0),"",H121/P121)</f>
        <v>0</v>
      </c>
      <c r="R121" s="8">
        <f>IF(OR(C121="",E121=""),"",COUNTIFS($E$5:$E$154,"&gt;"&amp;E121)+1)</f>
        <v>0</v>
      </c>
      <c r="S121" s="8">
        <f>IF(C121="","",IF(L121="No","Unavoidable","Avoidable"))</f>
        <v>0</v>
      </c>
      <c r="T121" s="25"/>
    </row>
    <row r="122" spans="1:20">
      <c r="A122" s="7"/>
      <c r="B122" s="30"/>
      <c r="C122" s="7"/>
      <c r="D122" s="8">
        <f>IF(C122="","",IFERROR(INDEX(Ingredients!$B$5:$B$304,MATCH(C122,Ingredients!$A$5:$A$304,0)),""))</f>
        <v>0</v>
      </c>
      <c r="E122" s="26"/>
      <c r="F122" s="27"/>
      <c r="G122" s="8">
        <f>IF(C122="","",IFERROR(INDEX(Ingredients!$D$5:$D$304,MATCH(C122,Ingredients!$A$5:$A$304,0)),""))</f>
        <v>0</v>
      </c>
      <c r="H122" s="8">
        <f>IF(OR(C122="",E122="",G122=""),"",E122*G122)</f>
        <v>0</v>
      </c>
      <c r="I122" s="27"/>
      <c r="J122" s="27"/>
      <c r="K122" s="27"/>
      <c r="L122" s="27"/>
      <c r="M122" s="7"/>
      <c r="N122" s="27"/>
      <c r="O122" s="8">
        <f>IF(B122="","",TEXT(B122,"mmm yyyy"))</f>
        <v>0</v>
      </c>
      <c r="P122" s="8">
        <f>IF(OR(B122="",H122=""),"",SUMIFS($H$5:$H$154,$O$5:$O$154,O122))</f>
        <v>0</v>
      </c>
      <c r="Q122" s="8">
        <f>IF(OR(H122="",P122="",P122=0),"",H122/P122)</f>
        <v>0</v>
      </c>
      <c r="R122" s="8">
        <f>IF(OR(C122="",E122=""),"",COUNTIFS($E$5:$E$154,"&gt;"&amp;E122)+1)</f>
        <v>0</v>
      </c>
      <c r="S122" s="8">
        <f>IF(C122="","",IF(L122="No","Unavoidable","Avoidable"))</f>
        <v>0</v>
      </c>
      <c r="T122" s="25"/>
    </row>
    <row r="123" spans="1:20">
      <c r="A123" s="7"/>
      <c r="B123" s="30"/>
      <c r="C123" s="7"/>
      <c r="D123" s="8">
        <f>IF(C123="","",IFERROR(INDEX(Ingredients!$B$5:$B$304,MATCH(C123,Ingredients!$A$5:$A$304,0)),""))</f>
        <v>0</v>
      </c>
      <c r="E123" s="26"/>
      <c r="F123" s="27"/>
      <c r="G123" s="8">
        <f>IF(C123="","",IFERROR(INDEX(Ingredients!$D$5:$D$304,MATCH(C123,Ingredients!$A$5:$A$304,0)),""))</f>
        <v>0</v>
      </c>
      <c r="H123" s="8">
        <f>IF(OR(C123="",E123="",G123=""),"",E123*G123)</f>
        <v>0</v>
      </c>
      <c r="I123" s="27"/>
      <c r="J123" s="27"/>
      <c r="K123" s="27"/>
      <c r="L123" s="27"/>
      <c r="M123" s="7"/>
      <c r="N123" s="27"/>
      <c r="O123" s="8">
        <f>IF(B123="","",TEXT(B123,"mmm yyyy"))</f>
        <v>0</v>
      </c>
      <c r="P123" s="8">
        <f>IF(OR(B123="",H123=""),"",SUMIFS($H$5:$H$154,$O$5:$O$154,O123))</f>
        <v>0</v>
      </c>
      <c r="Q123" s="8">
        <f>IF(OR(H123="",P123="",P123=0),"",H123/P123)</f>
        <v>0</v>
      </c>
      <c r="R123" s="8">
        <f>IF(OR(C123="",E123=""),"",COUNTIFS($E$5:$E$154,"&gt;"&amp;E123)+1)</f>
        <v>0</v>
      </c>
      <c r="S123" s="8">
        <f>IF(C123="","",IF(L123="No","Unavoidable","Avoidable"))</f>
        <v>0</v>
      </c>
      <c r="T123" s="25"/>
    </row>
    <row r="124" spans="1:20">
      <c r="A124" s="7"/>
      <c r="B124" s="30"/>
      <c r="C124" s="7"/>
      <c r="D124" s="8">
        <f>IF(C124="","",IFERROR(INDEX(Ingredients!$B$5:$B$304,MATCH(C124,Ingredients!$A$5:$A$304,0)),""))</f>
        <v>0</v>
      </c>
      <c r="E124" s="26"/>
      <c r="F124" s="27"/>
      <c r="G124" s="8">
        <f>IF(C124="","",IFERROR(INDEX(Ingredients!$D$5:$D$304,MATCH(C124,Ingredients!$A$5:$A$304,0)),""))</f>
        <v>0</v>
      </c>
      <c r="H124" s="8">
        <f>IF(OR(C124="",E124="",G124=""),"",E124*G124)</f>
        <v>0</v>
      </c>
      <c r="I124" s="27"/>
      <c r="J124" s="27"/>
      <c r="K124" s="27"/>
      <c r="L124" s="27"/>
      <c r="M124" s="7"/>
      <c r="N124" s="27"/>
      <c r="O124" s="8">
        <f>IF(B124="","",TEXT(B124,"mmm yyyy"))</f>
        <v>0</v>
      </c>
      <c r="P124" s="8">
        <f>IF(OR(B124="",H124=""),"",SUMIFS($H$5:$H$154,$O$5:$O$154,O124))</f>
        <v>0</v>
      </c>
      <c r="Q124" s="8">
        <f>IF(OR(H124="",P124="",P124=0),"",H124/P124)</f>
        <v>0</v>
      </c>
      <c r="R124" s="8">
        <f>IF(OR(C124="",E124=""),"",COUNTIFS($E$5:$E$154,"&gt;"&amp;E124)+1)</f>
        <v>0</v>
      </c>
      <c r="S124" s="8">
        <f>IF(C124="","",IF(L124="No","Unavoidable","Avoidable"))</f>
        <v>0</v>
      </c>
      <c r="T124" s="25"/>
    </row>
    <row r="125" spans="1:20">
      <c r="A125" s="7"/>
      <c r="B125" s="30"/>
      <c r="C125" s="7"/>
      <c r="D125" s="8">
        <f>IF(C125="","",IFERROR(INDEX(Ingredients!$B$5:$B$304,MATCH(C125,Ingredients!$A$5:$A$304,0)),""))</f>
        <v>0</v>
      </c>
      <c r="E125" s="26"/>
      <c r="F125" s="27"/>
      <c r="G125" s="8">
        <f>IF(C125="","",IFERROR(INDEX(Ingredients!$D$5:$D$304,MATCH(C125,Ingredients!$A$5:$A$304,0)),""))</f>
        <v>0</v>
      </c>
      <c r="H125" s="8">
        <f>IF(OR(C125="",E125="",G125=""),"",E125*G125)</f>
        <v>0</v>
      </c>
      <c r="I125" s="27"/>
      <c r="J125" s="27"/>
      <c r="K125" s="27"/>
      <c r="L125" s="27"/>
      <c r="M125" s="7"/>
      <c r="N125" s="27"/>
      <c r="O125" s="8">
        <f>IF(B125="","",TEXT(B125,"mmm yyyy"))</f>
        <v>0</v>
      </c>
      <c r="P125" s="8">
        <f>IF(OR(B125="",H125=""),"",SUMIFS($H$5:$H$154,$O$5:$O$154,O125))</f>
        <v>0</v>
      </c>
      <c r="Q125" s="8">
        <f>IF(OR(H125="",P125="",P125=0),"",H125/P125)</f>
        <v>0</v>
      </c>
      <c r="R125" s="8">
        <f>IF(OR(C125="",E125=""),"",COUNTIFS($E$5:$E$154,"&gt;"&amp;E125)+1)</f>
        <v>0</v>
      </c>
      <c r="S125" s="8">
        <f>IF(C125="","",IF(L125="No","Unavoidable","Avoidable"))</f>
        <v>0</v>
      </c>
      <c r="T125" s="25"/>
    </row>
    <row r="126" spans="1:20">
      <c r="A126" s="7"/>
      <c r="B126" s="30"/>
      <c r="C126" s="7"/>
      <c r="D126" s="8">
        <f>IF(C126="","",IFERROR(INDEX(Ingredients!$B$5:$B$304,MATCH(C126,Ingredients!$A$5:$A$304,0)),""))</f>
        <v>0</v>
      </c>
      <c r="E126" s="26"/>
      <c r="F126" s="27"/>
      <c r="G126" s="8">
        <f>IF(C126="","",IFERROR(INDEX(Ingredients!$D$5:$D$304,MATCH(C126,Ingredients!$A$5:$A$304,0)),""))</f>
        <v>0</v>
      </c>
      <c r="H126" s="8">
        <f>IF(OR(C126="",E126="",G126=""),"",E126*G126)</f>
        <v>0</v>
      </c>
      <c r="I126" s="27"/>
      <c r="J126" s="27"/>
      <c r="K126" s="27"/>
      <c r="L126" s="27"/>
      <c r="M126" s="7"/>
      <c r="N126" s="27"/>
      <c r="O126" s="8">
        <f>IF(B126="","",TEXT(B126,"mmm yyyy"))</f>
        <v>0</v>
      </c>
      <c r="P126" s="8">
        <f>IF(OR(B126="",H126=""),"",SUMIFS($H$5:$H$154,$O$5:$O$154,O126))</f>
        <v>0</v>
      </c>
      <c r="Q126" s="8">
        <f>IF(OR(H126="",P126="",P126=0),"",H126/P126)</f>
        <v>0</v>
      </c>
      <c r="R126" s="8">
        <f>IF(OR(C126="",E126=""),"",COUNTIFS($E$5:$E$154,"&gt;"&amp;E126)+1)</f>
        <v>0</v>
      </c>
      <c r="S126" s="8">
        <f>IF(C126="","",IF(L126="No","Unavoidable","Avoidable"))</f>
        <v>0</v>
      </c>
      <c r="T126" s="25"/>
    </row>
    <row r="127" spans="1:20">
      <c r="A127" s="7"/>
      <c r="B127" s="30"/>
      <c r="C127" s="7"/>
      <c r="D127" s="8">
        <f>IF(C127="","",IFERROR(INDEX(Ingredients!$B$5:$B$304,MATCH(C127,Ingredients!$A$5:$A$304,0)),""))</f>
        <v>0</v>
      </c>
      <c r="E127" s="26"/>
      <c r="F127" s="27"/>
      <c r="G127" s="8">
        <f>IF(C127="","",IFERROR(INDEX(Ingredients!$D$5:$D$304,MATCH(C127,Ingredients!$A$5:$A$304,0)),""))</f>
        <v>0</v>
      </c>
      <c r="H127" s="8">
        <f>IF(OR(C127="",E127="",G127=""),"",E127*G127)</f>
        <v>0</v>
      </c>
      <c r="I127" s="27"/>
      <c r="J127" s="27"/>
      <c r="K127" s="27"/>
      <c r="L127" s="27"/>
      <c r="M127" s="7"/>
      <c r="N127" s="27"/>
      <c r="O127" s="8">
        <f>IF(B127="","",TEXT(B127,"mmm yyyy"))</f>
        <v>0</v>
      </c>
      <c r="P127" s="8">
        <f>IF(OR(B127="",H127=""),"",SUMIFS($H$5:$H$154,$O$5:$O$154,O127))</f>
        <v>0</v>
      </c>
      <c r="Q127" s="8">
        <f>IF(OR(H127="",P127="",P127=0),"",H127/P127)</f>
        <v>0</v>
      </c>
      <c r="R127" s="8">
        <f>IF(OR(C127="",E127=""),"",COUNTIFS($E$5:$E$154,"&gt;"&amp;E127)+1)</f>
        <v>0</v>
      </c>
      <c r="S127" s="8">
        <f>IF(C127="","",IF(L127="No","Unavoidable","Avoidable"))</f>
        <v>0</v>
      </c>
      <c r="T127" s="25"/>
    </row>
    <row r="128" spans="1:20">
      <c r="A128" s="7"/>
      <c r="B128" s="30"/>
      <c r="C128" s="7"/>
      <c r="D128" s="8">
        <f>IF(C128="","",IFERROR(INDEX(Ingredients!$B$5:$B$304,MATCH(C128,Ingredients!$A$5:$A$304,0)),""))</f>
        <v>0</v>
      </c>
      <c r="E128" s="26"/>
      <c r="F128" s="27"/>
      <c r="G128" s="8">
        <f>IF(C128="","",IFERROR(INDEX(Ingredients!$D$5:$D$304,MATCH(C128,Ingredients!$A$5:$A$304,0)),""))</f>
        <v>0</v>
      </c>
      <c r="H128" s="8">
        <f>IF(OR(C128="",E128="",G128=""),"",E128*G128)</f>
        <v>0</v>
      </c>
      <c r="I128" s="27"/>
      <c r="J128" s="27"/>
      <c r="K128" s="27"/>
      <c r="L128" s="27"/>
      <c r="M128" s="7"/>
      <c r="N128" s="27"/>
      <c r="O128" s="8">
        <f>IF(B128="","",TEXT(B128,"mmm yyyy"))</f>
        <v>0</v>
      </c>
      <c r="P128" s="8">
        <f>IF(OR(B128="",H128=""),"",SUMIFS($H$5:$H$154,$O$5:$O$154,O128))</f>
        <v>0</v>
      </c>
      <c r="Q128" s="8">
        <f>IF(OR(H128="",P128="",P128=0),"",H128/P128)</f>
        <v>0</v>
      </c>
      <c r="R128" s="8">
        <f>IF(OR(C128="",E128=""),"",COUNTIFS($E$5:$E$154,"&gt;"&amp;E128)+1)</f>
        <v>0</v>
      </c>
      <c r="S128" s="8">
        <f>IF(C128="","",IF(L128="No","Unavoidable","Avoidable"))</f>
        <v>0</v>
      </c>
      <c r="T128" s="25"/>
    </row>
    <row r="129" spans="1:20">
      <c r="A129" s="7"/>
      <c r="B129" s="30"/>
      <c r="C129" s="7"/>
      <c r="D129" s="8">
        <f>IF(C129="","",IFERROR(INDEX(Ingredients!$B$5:$B$304,MATCH(C129,Ingredients!$A$5:$A$304,0)),""))</f>
        <v>0</v>
      </c>
      <c r="E129" s="26"/>
      <c r="F129" s="27"/>
      <c r="G129" s="8">
        <f>IF(C129="","",IFERROR(INDEX(Ingredients!$D$5:$D$304,MATCH(C129,Ingredients!$A$5:$A$304,0)),""))</f>
        <v>0</v>
      </c>
      <c r="H129" s="8">
        <f>IF(OR(C129="",E129="",G129=""),"",E129*G129)</f>
        <v>0</v>
      </c>
      <c r="I129" s="27"/>
      <c r="J129" s="27"/>
      <c r="K129" s="27"/>
      <c r="L129" s="27"/>
      <c r="M129" s="7"/>
      <c r="N129" s="27"/>
      <c r="O129" s="8">
        <f>IF(B129="","",TEXT(B129,"mmm yyyy"))</f>
        <v>0</v>
      </c>
      <c r="P129" s="8">
        <f>IF(OR(B129="",H129=""),"",SUMIFS($H$5:$H$154,$O$5:$O$154,O129))</f>
        <v>0</v>
      </c>
      <c r="Q129" s="8">
        <f>IF(OR(H129="",P129="",P129=0),"",H129/P129)</f>
        <v>0</v>
      </c>
      <c r="R129" s="8">
        <f>IF(OR(C129="",E129=""),"",COUNTIFS($E$5:$E$154,"&gt;"&amp;E129)+1)</f>
        <v>0</v>
      </c>
      <c r="S129" s="8">
        <f>IF(C129="","",IF(L129="No","Unavoidable","Avoidable"))</f>
        <v>0</v>
      </c>
      <c r="T129" s="25"/>
    </row>
    <row r="130" spans="1:20">
      <c r="A130" s="7"/>
      <c r="B130" s="30"/>
      <c r="C130" s="7"/>
      <c r="D130" s="8">
        <f>IF(C130="","",IFERROR(INDEX(Ingredients!$B$5:$B$304,MATCH(C130,Ingredients!$A$5:$A$304,0)),""))</f>
        <v>0</v>
      </c>
      <c r="E130" s="26"/>
      <c r="F130" s="27"/>
      <c r="G130" s="8">
        <f>IF(C130="","",IFERROR(INDEX(Ingredients!$D$5:$D$304,MATCH(C130,Ingredients!$A$5:$A$304,0)),""))</f>
        <v>0</v>
      </c>
      <c r="H130" s="8">
        <f>IF(OR(C130="",E130="",G130=""),"",E130*G130)</f>
        <v>0</v>
      </c>
      <c r="I130" s="27"/>
      <c r="J130" s="27"/>
      <c r="K130" s="27"/>
      <c r="L130" s="27"/>
      <c r="M130" s="7"/>
      <c r="N130" s="27"/>
      <c r="O130" s="8">
        <f>IF(B130="","",TEXT(B130,"mmm yyyy"))</f>
        <v>0</v>
      </c>
      <c r="P130" s="8">
        <f>IF(OR(B130="",H130=""),"",SUMIFS($H$5:$H$154,$O$5:$O$154,O130))</f>
        <v>0</v>
      </c>
      <c r="Q130" s="8">
        <f>IF(OR(H130="",P130="",P130=0),"",H130/P130)</f>
        <v>0</v>
      </c>
      <c r="R130" s="8">
        <f>IF(OR(C130="",E130=""),"",COUNTIFS($E$5:$E$154,"&gt;"&amp;E130)+1)</f>
        <v>0</v>
      </c>
      <c r="S130" s="8">
        <f>IF(C130="","",IF(L130="No","Unavoidable","Avoidable"))</f>
        <v>0</v>
      </c>
      <c r="T130" s="25"/>
    </row>
    <row r="131" spans="1:20">
      <c r="A131" s="7"/>
      <c r="B131" s="30"/>
      <c r="C131" s="7"/>
      <c r="D131" s="8">
        <f>IF(C131="","",IFERROR(INDEX(Ingredients!$B$5:$B$304,MATCH(C131,Ingredients!$A$5:$A$304,0)),""))</f>
        <v>0</v>
      </c>
      <c r="E131" s="26"/>
      <c r="F131" s="27"/>
      <c r="G131" s="8">
        <f>IF(C131="","",IFERROR(INDEX(Ingredients!$D$5:$D$304,MATCH(C131,Ingredients!$A$5:$A$304,0)),""))</f>
        <v>0</v>
      </c>
      <c r="H131" s="8">
        <f>IF(OR(C131="",E131="",G131=""),"",E131*G131)</f>
        <v>0</v>
      </c>
      <c r="I131" s="27"/>
      <c r="J131" s="27"/>
      <c r="K131" s="27"/>
      <c r="L131" s="27"/>
      <c r="M131" s="7"/>
      <c r="N131" s="27"/>
      <c r="O131" s="8">
        <f>IF(B131="","",TEXT(B131,"mmm yyyy"))</f>
        <v>0</v>
      </c>
      <c r="P131" s="8">
        <f>IF(OR(B131="",H131=""),"",SUMIFS($H$5:$H$154,$O$5:$O$154,O131))</f>
        <v>0</v>
      </c>
      <c r="Q131" s="8">
        <f>IF(OR(H131="",P131="",P131=0),"",H131/P131)</f>
        <v>0</v>
      </c>
      <c r="R131" s="8">
        <f>IF(OR(C131="",E131=""),"",COUNTIFS($E$5:$E$154,"&gt;"&amp;E131)+1)</f>
        <v>0</v>
      </c>
      <c r="S131" s="8">
        <f>IF(C131="","",IF(L131="No","Unavoidable","Avoidable"))</f>
        <v>0</v>
      </c>
      <c r="T131" s="25"/>
    </row>
    <row r="132" spans="1:20">
      <c r="A132" s="7"/>
      <c r="B132" s="30"/>
      <c r="C132" s="7"/>
      <c r="D132" s="8">
        <f>IF(C132="","",IFERROR(INDEX(Ingredients!$B$5:$B$304,MATCH(C132,Ingredients!$A$5:$A$304,0)),""))</f>
        <v>0</v>
      </c>
      <c r="E132" s="26"/>
      <c r="F132" s="27"/>
      <c r="G132" s="8">
        <f>IF(C132="","",IFERROR(INDEX(Ingredients!$D$5:$D$304,MATCH(C132,Ingredients!$A$5:$A$304,0)),""))</f>
        <v>0</v>
      </c>
      <c r="H132" s="8">
        <f>IF(OR(C132="",E132="",G132=""),"",E132*G132)</f>
        <v>0</v>
      </c>
      <c r="I132" s="27"/>
      <c r="J132" s="27"/>
      <c r="K132" s="27"/>
      <c r="L132" s="27"/>
      <c r="M132" s="7"/>
      <c r="N132" s="27"/>
      <c r="O132" s="8">
        <f>IF(B132="","",TEXT(B132,"mmm yyyy"))</f>
        <v>0</v>
      </c>
      <c r="P132" s="8">
        <f>IF(OR(B132="",H132=""),"",SUMIFS($H$5:$H$154,$O$5:$O$154,O132))</f>
        <v>0</v>
      </c>
      <c r="Q132" s="8">
        <f>IF(OR(H132="",P132="",P132=0),"",H132/P132)</f>
        <v>0</v>
      </c>
      <c r="R132" s="8">
        <f>IF(OR(C132="",E132=""),"",COUNTIFS($E$5:$E$154,"&gt;"&amp;E132)+1)</f>
        <v>0</v>
      </c>
      <c r="S132" s="8">
        <f>IF(C132="","",IF(L132="No","Unavoidable","Avoidable"))</f>
        <v>0</v>
      </c>
      <c r="T132" s="25"/>
    </row>
    <row r="133" spans="1:20">
      <c r="A133" s="7"/>
      <c r="B133" s="30"/>
      <c r="C133" s="7"/>
      <c r="D133" s="8">
        <f>IF(C133="","",IFERROR(INDEX(Ingredients!$B$5:$B$304,MATCH(C133,Ingredients!$A$5:$A$304,0)),""))</f>
        <v>0</v>
      </c>
      <c r="E133" s="26"/>
      <c r="F133" s="27"/>
      <c r="G133" s="8">
        <f>IF(C133="","",IFERROR(INDEX(Ingredients!$D$5:$D$304,MATCH(C133,Ingredients!$A$5:$A$304,0)),""))</f>
        <v>0</v>
      </c>
      <c r="H133" s="8">
        <f>IF(OR(C133="",E133="",G133=""),"",E133*G133)</f>
        <v>0</v>
      </c>
      <c r="I133" s="27"/>
      <c r="J133" s="27"/>
      <c r="K133" s="27"/>
      <c r="L133" s="27"/>
      <c r="M133" s="7"/>
      <c r="N133" s="27"/>
      <c r="O133" s="8">
        <f>IF(B133="","",TEXT(B133,"mmm yyyy"))</f>
        <v>0</v>
      </c>
      <c r="P133" s="8">
        <f>IF(OR(B133="",H133=""),"",SUMIFS($H$5:$H$154,$O$5:$O$154,O133))</f>
        <v>0</v>
      </c>
      <c r="Q133" s="8">
        <f>IF(OR(H133="",P133="",P133=0),"",H133/P133)</f>
        <v>0</v>
      </c>
      <c r="R133" s="8">
        <f>IF(OR(C133="",E133=""),"",COUNTIFS($E$5:$E$154,"&gt;"&amp;E133)+1)</f>
        <v>0</v>
      </c>
      <c r="S133" s="8">
        <f>IF(C133="","",IF(L133="No","Unavoidable","Avoidable"))</f>
        <v>0</v>
      </c>
      <c r="T133" s="25"/>
    </row>
    <row r="134" spans="1:20">
      <c r="A134" s="7"/>
      <c r="B134" s="30"/>
      <c r="C134" s="7"/>
      <c r="D134" s="8">
        <f>IF(C134="","",IFERROR(INDEX(Ingredients!$B$5:$B$304,MATCH(C134,Ingredients!$A$5:$A$304,0)),""))</f>
        <v>0</v>
      </c>
      <c r="E134" s="26"/>
      <c r="F134" s="27"/>
      <c r="G134" s="8">
        <f>IF(C134="","",IFERROR(INDEX(Ingredients!$D$5:$D$304,MATCH(C134,Ingredients!$A$5:$A$304,0)),""))</f>
        <v>0</v>
      </c>
      <c r="H134" s="8">
        <f>IF(OR(C134="",E134="",G134=""),"",E134*G134)</f>
        <v>0</v>
      </c>
      <c r="I134" s="27"/>
      <c r="J134" s="27"/>
      <c r="K134" s="27"/>
      <c r="L134" s="27"/>
      <c r="M134" s="7"/>
      <c r="N134" s="27"/>
      <c r="O134" s="8">
        <f>IF(B134="","",TEXT(B134,"mmm yyyy"))</f>
        <v>0</v>
      </c>
      <c r="P134" s="8">
        <f>IF(OR(B134="",H134=""),"",SUMIFS($H$5:$H$154,$O$5:$O$154,O134))</f>
        <v>0</v>
      </c>
      <c r="Q134" s="8">
        <f>IF(OR(H134="",P134="",P134=0),"",H134/P134)</f>
        <v>0</v>
      </c>
      <c r="R134" s="8">
        <f>IF(OR(C134="",E134=""),"",COUNTIFS($E$5:$E$154,"&gt;"&amp;E134)+1)</f>
        <v>0</v>
      </c>
      <c r="S134" s="8">
        <f>IF(C134="","",IF(L134="No","Unavoidable","Avoidable"))</f>
        <v>0</v>
      </c>
      <c r="T134" s="25"/>
    </row>
    <row r="135" spans="1:20">
      <c r="A135" s="7"/>
      <c r="B135" s="30"/>
      <c r="C135" s="7"/>
      <c r="D135" s="8">
        <f>IF(C135="","",IFERROR(INDEX(Ingredients!$B$5:$B$304,MATCH(C135,Ingredients!$A$5:$A$304,0)),""))</f>
        <v>0</v>
      </c>
      <c r="E135" s="26"/>
      <c r="F135" s="27"/>
      <c r="G135" s="8">
        <f>IF(C135="","",IFERROR(INDEX(Ingredients!$D$5:$D$304,MATCH(C135,Ingredients!$A$5:$A$304,0)),""))</f>
        <v>0</v>
      </c>
      <c r="H135" s="8">
        <f>IF(OR(C135="",E135="",G135=""),"",E135*G135)</f>
        <v>0</v>
      </c>
      <c r="I135" s="27"/>
      <c r="J135" s="27"/>
      <c r="K135" s="27"/>
      <c r="L135" s="27"/>
      <c r="M135" s="7"/>
      <c r="N135" s="27"/>
      <c r="O135" s="8">
        <f>IF(B135="","",TEXT(B135,"mmm yyyy"))</f>
        <v>0</v>
      </c>
      <c r="P135" s="8">
        <f>IF(OR(B135="",H135=""),"",SUMIFS($H$5:$H$154,$O$5:$O$154,O135))</f>
        <v>0</v>
      </c>
      <c r="Q135" s="8">
        <f>IF(OR(H135="",P135="",P135=0),"",H135/P135)</f>
        <v>0</v>
      </c>
      <c r="R135" s="8">
        <f>IF(OR(C135="",E135=""),"",COUNTIFS($E$5:$E$154,"&gt;"&amp;E135)+1)</f>
        <v>0</v>
      </c>
      <c r="S135" s="8">
        <f>IF(C135="","",IF(L135="No","Unavoidable","Avoidable"))</f>
        <v>0</v>
      </c>
      <c r="T135" s="25"/>
    </row>
    <row r="136" spans="1:20">
      <c r="A136" s="7"/>
      <c r="B136" s="30"/>
      <c r="C136" s="7"/>
      <c r="D136" s="8">
        <f>IF(C136="","",IFERROR(INDEX(Ingredients!$B$5:$B$304,MATCH(C136,Ingredients!$A$5:$A$304,0)),""))</f>
        <v>0</v>
      </c>
      <c r="E136" s="26"/>
      <c r="F136" s="27"/>
      <c r="G136" s="8">
        <f>IF(C136="","",IFERROR(INDEX(Ingredients!$D$5:$D$304,MATCH(C136,Ingredients!$A$5:$A$304,0)),""))</f>
        <v>0</v>
      </c>
      <c r="H136" s="8">
        <f>IF(OR(C136="",E136="",G136=""),"",E136*G136)</f>
        <v>0</v>
      </c>
      <c r="I136" s="27"/>
      <c r="J136" s="27"/>
      <c r="K136" s="27"/>
      <c r="L136" s="27"/>
      <c r="M136" s="7"/>
      <c r="N136" s="27"/>
      <c r="O136" s="8">
        <f>IF(B136="","",TEXT(B136,"mmm yyyy"))</f>
        <v>0</v>
      </c>
      <c r="P136" s="8">
        <f>IF(OR(B136="",H136=""),"",SUMIFS($H$5:$H$154,$O$5:$O$154,O136))</f>
        <v>0</v>
      </c>
      <c r="Q136" s="8">
        <f>IF(OR(H136="",P136="",P136=0),"",H136/P136)</f>
        <v>0</v>
      </c>
      <c r="R136" s="8">
        <f>IF(OR(C136="",E136=""),"",COUNTIFS($E$5:$E$154,"&gt;"&amp;E136)+1)</f>
        <v>0</v>
      </c>
      <c r="S136" s="8">
        <f>IF(C136="","",IF(L136="No","Unavoidable","Avoidable"))</f>
        <v>0</v>
      </c>
      <c r="T136" s="25"/>
    </row>
    <row r="137" spans="1:20">
      <c r="A137" s="7"/>
      <c r="B137" s="30"/>
      <c r="C137" s="7"/>
      <c r="D137" s="8">
        <f>IF(C137="","",IFERROR(INDEX(Ingredients!$B$5:$B$304,MATCH(C137,Ingredients!$A$5:$A$304,0)),""))</f>
        <v>0</v>
      </c>
      <c r="E137" s="26"/>
      <c r="F137" s="27"/>
      <c r="G137" s="8">
        <f>IF(C137="","",IFERROR(INDEX(Ingredients!$D$5:$D$304,MATCH(C137,Ingredients!$A$5:$A$304,0)),""))</f>
        <v>0</v>
      </c>
      <c r="H137" s="8">
        <f>IF(OR(C137="",E137="",G137=""),"",E137*G137)</f>
        <v>0</v>
      </c>
      <c r="I137" s="27"/>
      <c r="J137" s="27"/>
      <c r="K137" s="27"/>
      <c r="L137" s="27"/>
      <c r="M137" s="7"/>
      <c r="N137" s="27"/>
      <c r="O137" s="8">
        <f>IF(B137="","",TEXT(B137,"mmm yyyy"))</f>
        <v>0</v>
      </c>
      <c r="P137" s="8">
        <f>IF(OR(B137="",H137=""),"",SUMIFS($H$5:$H$154,$O$5:$O$154,O137))</f>
        <v>0</v>
      </c>
      <c r="Q137" s="8">
        <f>IF(OR(H137="",P137="",P137=0),"",H137/P137)</f>
        <v>0</v>
      </c>
      <c r="R137" s="8">
        <f>IF(OR(C137="",E137=""),"",COUNTIFS($E$5:$E$154,"&gt;"&amp;E137)+1)</f>
        <v>0</v>
      </c>
      <c r="S137" s="8">
        <f>IF(C137="","",IF(L137="No","Unavoidable","Avoidable"))</f>
        <v>0</v>
      </c>
      <c r="T137" s="25"/>
    </row>
    <row r="138" spans="1:20">
      <c r="A138" s="7"/>
      <c r="B138" s="30"/>
      <c r="C138" s="7"/>
      <c r="D138" s="8">
        <f>IF(C138="","",IFERROR(INDEX(Ingredients!$B$5:$B$304,MATCH(C138,Ingredients!$A$5:$A$304,0)),""))</f>
        <v>0</v>
      </c>
      <c r="E138" s="26"/>
      <c r="F138" s="27"/>
      <c r="G138" s="8">
        <f>IF(C138="","",IFERROR(INDEX(Ingredients!$D$5:$D$304,MATCH(C138,Ingredients!$A$5:$A$304,0)),""))</f>
        <v>0</v>
      </c>
      <c r="H138" s="8">
        <f>IF(OR(C138="",E138="",G138=""),"",E138*G138)</f>
        <v>0</v>
      </c>
      <c r="I138" s="27"/>
      <c r="J138" s="27"/>
      <c r="K138" s="27"/>
      <c r="L138" s="27"/>
      <c r="M138" s="7"/>
      <c r="N138" s="27"/>
      <c r="O138" s="8">
        <f>IF(B138="","",TEXT(B138,"mmm yyyy"))</f>
        <v>0</v>
      </c>
      <c r="P138" s="8">
        <f>IF(OR(B138="",H138=""),"",SUMIFS($H$5:$H$154,$O$5:$O$154,O138))</f>
        <v>0</v>
      </c>
      <c r="Q138" s="8">
        <f>IF(OR(H138="",P138="",P138=0),"",H138/P138)</f>
        <v>0</v>
      </c>
      <c r="R138" s="8">
        <f>IF(OR(C138="",E138=""),"",COUNTIFS($E$5:$E$154,"&gt;"&amp;E138)+1)</f>
        <v>0</v>
      </c>
      <c r="S138" s="8">
        <f>IF(C138="","",IF(L138="No","Unavoidable","Avoidable"))</f>
        <v>0</v>
      </c>
      <c r="T138" s="25"/>
    </row>
    <row r="139" spans="1:20">
      <c r="A139" s="7"/>
      <c r="B139" s="30"/>
      <c r="C139" s="7"/>
      <c r="D139" s="8">
        <f>IF(C139="","",IFERROR(INDEX(Ingredients!$B$5:$B$304,MATCH(C139,Ingredients!$A$5:$A$304,0)),""))</f>
        <v>0</v>
      </c>
      <c r="E139" s="26"/>
      <c r="F139" s="27"/>
      <c r="G139" s="8">
        <f>IF(C139="","",IFERROR(INDEX(Ingredients!$D$5:$D$304,MATCH(C139,Ingredients!$A$5:$A$304,0)),""))</f>
        <v>0</v>
      </c>
      <c r="H139" s="8">
        <f>IF(OR(C139="",E139="",G139=""),"",E139*G139)</f>
        <v>0</v>
      </c>
      <c r="I139" s="27"/>
      <c r="J139" s="27"/>
      <c r="K139" s="27"/>
      <c r="L139" s="27"/>
      <c r="M139" s="7"/>
      <c r="N139" s="27"/>
      <c r="O139" s="8">
        <f>IF(B139="","",TEXT(B139,"mmm yyyy"))</f>
        <v>0</v>
      </c>
      <c r="P139" s="8">
        <f>IF(OR(B139="",H139=""),"",SUMIFS($H$5:$H$154,$O$5:$O$154,O139))</f>
        <v>0</v>
      </c>
      <c r="Q139" s="8">
        <f>IF(OR(H139="",P139="",P139=0),"",H139/P139)</f>
        <v>0</v>
      </c>
      <c r="R139" s="8">
        <f>IF(OR(C139="",E139=""),"",COUNTIFS($E$5:$E$154,"&gt;"&amp;E139)+1)</f>
        <v>0</v>
      </c>
      <c r="S139" s="8">
        <f>IF(C139="","",IF(L139="No","Unavoidable","Avoidable"))</f>
        <v>0</v>
      </c>
      <c r="T139" s="25"/>
    </row>
    <row r="140" spans="1:20">
      <c r="A140" s="7"/>
      <c r="B140" s="30"/>
      <c r="C140" s="7"/>
      <c r="D140" s="8">
        <f>IF(C140="","",IFERROR(INDEX(Ingredients!$B$5:$B$304,MATCH(C140,Ingredients!$A$5:$A$304,0)),""))</f>
        <v>0</v>
      </c>
      <c r="E140" s="26"/>
      <c r="F140" s="27"/>
      <c r="G140" s="8">
        <f>IF(C140="","",IFERROR(INDEX(Ingredients!$D$5:$D$304,MATCH(C140,Ingredients!$A$5:$A$304,0)),""))</f>
        <v>0</v>
      </c>
      <c r="H140" s="8">
        <f>IF(OR(C140="",E140="",G140=""),"",E140*G140)</f>
        <v>0</v>
      </c>
      <c r="I140" s="27"/>
      <c r="J140" s="27"/>
      <c r="K140" s="27"/>
      <c r="L140" s="27"/>
      <c r="M140" s="7"/>
      <c r="N140" s="27"/>
      <c r="O140" s="8">
        <f>IF(B140="","",TEXT(B140,"mmm yyyy"))</f>
        <v>0</v>
      </c>
      <c r="P140" s="8">
        <f>IF(OR(B140="",H140=""),"",SUMIFS($H$5:$H$154,$O$5:$O$154,O140))</f>
        <v>0</v>
      </c>
      <c r="Q140" s="8">
        <f>IF(OR(H140="",P140="",P140=0),"",H140/P140)</f>
        <v>0</v>
      </c>
      <c r="R140" s="8">
        <f>IF(OR(C140="",E140=""),"",COUNTIFS($E$5:$E$154,"&gt;"&amp;E140)+1)</f>
        <v>0</v>
      </c>
      <c r="S140" s="8">
        <f>IF(C140="","",IF(L140="No","Unavoidable","Avoidable"))</f>
        <v>0</v>
      </c>
      <c r="T140" s="25"/>
    </row>
    <row r="141" spans="1:20">
      <c r="A141" s="7"/>
      <c r="B141" s="30"/>
      <c r="C141" s="7"/>
      <c r="D141" s="8">
        <f>IF(C141="","",IFERROR(INDEX(Ingredients!$B$5:$B$304,MATCH(C141,Ingredients!$A$5:$A$304,0)),""))</f>
        <v>0</v>
      </c>
      <c r="E141" s="26"/>
      <c r="F141" s="27"/>
      <c r="G141" s="8">
        <f>IF(C141="","",IFERROR(INDEX(Ingredients!$D$5:$D$304,MATCH(C141,Ingredients!$A$5:$A$304,0)),""))</f>
        <v>0</v>
      </c>
      <c r="H141" s="8">
        <f>IF(OR(C141="",E141="",G141=""),"",E141*G141)</f>
        <v>0</v>
      </c>
      <c r="I141" s="27"/>
      <c r="J141" s="27"/>
      <c r="K141" s="27"/>
      <c r="L141" s="27"/>
      <c r="M141" s="7"/>
      <c r="N141" s="27"/>
      <c r="O141" s="8">
        <f>IF(B141="","",TEXT(B141,"mmm yyyy"))</f>
        <v>0</v>
      </c>
      <c r="P141" s="8">
        <f>IF(OR(B141="",H141=""),"",SUMIFS($H$5:$H$154,$O$5:$O$154,O141))</f>
        <v>0</v>
      </c>
      <c r="Q141" s="8">
        <f>IF(OR(H141="",P141="",P141=0),"",H141/P141)</f>
        <v>0</v>
      </c>
      <c r="R141" s="8">
        <f>IF(OR(C141="",E141=""),"",COUNTIFS($E$5:$E$154,"&gt;"&amp;E141)+1)</f>
        <v>0</v>
      </c>
      <c r="S141" s="8">
        <f>IF(C141="","",IF(L141="No","Unavoidable","Avoidable"))</f>
        <v>0</v>
      </c>
      <c r="T141" s="25"/>
    </row>
    <row r="142" spans="1:20">
      <c r="A142" s="7"/>
      <c r="B142" s="30"/>
      <c r="C142" s="7"/>
      <c r="D142" s="8">
        <f>IF(C142="","",IFERROR(INDEX(Ingredients!$B$5:$B$304,MATCH(C142,Ingredients!$A$5:$A$304,0)),""))</f>
        <v>0</v>
      </c>
      <c r="E142" s="26"/>
      <c r="F142" s="27"/>
      <c r="G142" s="8">
        <f>IF(C142="","",IFERROR(INDEX(Ingredients!$D$5:$D$304,MATCH(C142,Ingredients!$A$5:$A$304,0)),""))</f>
        <v>0</v>
      </c>
      <c r="H142" s="8">
        <f>IF(OR(C142="",E142="",G142=""),"",E142*G142)</f>
        <v>0</v>
      </c>
      <c r="I142" s="27"/>
      <c r="J142" s="27"/>
      <c r="K142" s="27"/>
      <c r="L142" s="27"/>
      <c r="M142" s="7"/>
      <c r="N142" s="27"/>
      <c r="O142" s="8">
        <f>IF(B142="","",TEXT(B142,"mmm yyyy"))</f>
        <v>0</v>
      </c>
      <c r="P142" s="8">
        <f>IF(OR(B142="",H142=""),"",SUMIFS($H$5:$H$154,$O$5:$O$154,O142))</f>
        <v>0</v>
      </c>
      <c r="Q142" s="8">
        <f>IF(OR(H142="",P142="",P142=0),"",H142/P142)</f>
        <v>0</v>
      </c>
      <c r="R142" s="8">
        <f>IF(OR(C142="",E142=""),"",COUNTIFS($E$5:$E$154,"&gt;"&amp;E142)+1)</f>
        <v>0</v>
      </c>
      <c r="S142" s="8">
        <f>IF(C142="","",IF(L142="No","Unavoidable","Avoidable"))</f>
        <v>0</v>
      </c>
      <c r="T142" s="25"/>
    </row>
    <row r="143" spans="1:20">
      <c r="A143" s="7"/>
      <c r="B143" s="30"/>
      <c r="C143" s="7"/>
      <c r="D143" s="8">
        <f>IF(C143="","",IFERROR(INDEX(Ingredients!$B$5:$B$304,MATCH(C143,Ingredients!$A$5:$A$304,0)),""))</f>
        <v>0</v>
      </c>
      <c r="E143" s="26"/>
      <c r="F143" s="27"/>
      <c r="G143" s="8">
        <f>IF(C143="","",IFERROR(INDEX(Ingredients!$D$5:$D$304,MATCH(C143,Ingredients!$A$5:$A$304,0)),""))</f>
        <v>0</v>
      </c>
      <c r="H143" s="8">
        <f>IF(OR(C143="",E143="",G143=""),"",E143*G143)</f>
        <v>0</v>
      </c>
      <c r="I143" s="27"/>
      <c r="J143" s="27"/>
      <c r="K143" s="27"/>
      <c r="L143" s="27"/>
      <c r="M143" s="7"/>
      <c r="N143" s="27"/>
      <c r="O143" s="8">
        <f>IF(B143="","",TEXT(B143,"mmm yyyy"))</f>
        <v>0</v>
      </c>
      <c r="P143" s="8">
        <f>IF(OR(B143="",H143=""),"",SUMIFS($H$5:$H$154,$O$5:$O$154,O143))</f>
        <v>0</v>
      </c>
      <c r="Q143" s="8">
        <f>IF(OR(H143="",P143="",P143=0),"",H143/P143)</f>
        <v>0</v>
      </c>
      <c r="R143" s="8">
        <f>IF(OR(C143="",E143=""),"",COUNTIFS($E$5:$E$154,"&gt;"&amp;E143)+1)</f>
        <v>0</v>
      </c>
      <c r="S143" s="8">
        <f>IF(C143="","",IF(L143="No","Unavoidable","Avoidable"))</f>
        <v>0</v>
      </c>
      <c r="T143" s="25"/>
    </row>
    <row r="144" spans="1:20">
      <c r="A144" s="7"/>
      <c r="B144" s="30"/>
      <c r="C144" s="7"/>
      <c r="D144" s="8">
        <f>IF(C144="","",IFERROR(INDEX(Ingredients!$B$5:$B$304,MATCH(C144,Ingredients!$A$5:$A$304,0)),""))</f>
        <v>0</v>
      </c>
      <c r="E144" s="26"/>
      <c r="F144" s="27"/>
      <c r="G144" s="8">
        <f>IF(C144="","",IFERROR(INDEX(Ingredients!$D$5:$D$304,MATCH(C144,Ingredients!$A$5:$A$304,0)),""))</f>
        <v>0</v>
      </c>
      <c r="H144" s="8">
        <f>IF(OR(C144="",E144="",G144=""),"",E144*G144)</f>
        <v>0</v>
      </c>
      <c r="I144" s="27"/>
      <c r="J144" s="27"/>
      <c r="K144" s="27"/>
      <c r="L144" s="27"/>
      <c r="M144" s="7"/>
      <c r="N144" s="27"/>
      <c r="O144" s="8">
        <f>IF(B144="","",TEXT(B144,"mmm yyyy"))</f>
        <v>0</v>
      </c>
      <c r="P144" s="8">
        <f>IF(OR(B144="",H144=""),"",SUMIFS($H$5:$H$154,$O$5:$O$154,O144))</f>
        <v>0</v>
      </c>
      <c r="Q144" s="8">
        <f>IF(OR(H144="",P144="",P144=0),"",H144/P144)</f>
        <v>0</v>
      </c>
      <c r="R144" s="8">
        <f>IF(OR(C144="",E144=""),"",COUNTIFS($E$5:$E$154,"&gt;"&amp;E144)+1)</f>
        <v>0</v>
      </c>
      <c r="S144" s="8">
        <f>IF(C144="","",IF(L144="No","Unavoidable","Avoidable"))</f>
        <v>0</v>
      </c>
      <c r="T144" s="25"/>
    </row>
    <row r="145" spans="1:20">
      <c r="A145" s="7"/>
      <c r="B145" s="30"/>
      <c r="C145" s="7"/>
      <c r="D145" s="8">
        <f>IF(C145="","",IFERROR(INDEX(Ingredients!$B$5:$B$304,MATCH(C145,Ingredients!$A$5:$A$304,0)),""))</f>
        <v>0</v>
      </c>
      <c r="E145" s="26"/>
      <c r="F145" s="27"/>
      <c r="G145" s="8">
        <f>IF(C145="","",IFERROR(INDEX(Ingredients!$D$5:$D$304,MATCH(C145,Ingredients!$A$5:$A$304,0)),""))</f>
        <v>0</v>
      </c>
      <c r="H145" s="8">
        <f>IF(OR(C145="",E145="",G145=""),"",E145*G145)</f>
        <v>0</v>
      </c>
      <c r="I145" s="27"/>
      <c r="J145" s="27"/>
      <c r="K145" s="27"/>
      <c r="L145" s="27"/>
      <c r="M145" s="7"/>
      <c r="N145" s="27"/>
      <c r="O145" s="8">
        <f>IF(B145="","",TEXT(B145,"mmm yyyy"))</f>
        <v>0</v>
      </c>
      <c r="P145" s="8">
        <f>IF(OR(B145="",H145=""),"",SUMIFS($H$5:$H$154,$O$5:$O$154,O145))</f>
        <v>0</v>
      </c>
      <c r="Q145" s="8">
        <f>IF(OR(H145="",P145="",P145=0),"",H145/P145)</f>
        <v>0</v>
      </c>
      <c r="R145" s="8">
        <f>IF(OR(C145="",E145=""),"",COUNTIFS($E$5:$E$154,"&gt;"&amp;E145)+1)</f>
        <v>0</v>
      </c>
      <c r="S145" s="8">
        <f>IF(C145="","",IF(L145="No","Unavoidable","Avoidable"))</f>
        <v>0</v>
      </c>
      <c r="T145" s="25"/>
    </row>
    <row r="146" spans="1:20">
      <c r="A146" s="7"/>
      <c r="B146" s="30"/>
      <c r="C146" s="7"/>
      <c r="D146" s="8">
        <f>IF(C146="","",IFERROR(INDEX(Ingredients!$B$5:$B$304,MATCH(C146,Ingredients!$A$5:$A$304,0)),""))</f>
        <v>0</v>
      </c>
      <c r="E146" s="26"/>
      <c r="F146" s="27"/>
      <c r="G146" s="8">
        <f>IF(C146="","",IFERROR(INDEX(Ingredients!$D$5:$D$304,MATCH(C146,Ingredients!$A$5:$A$304,0)),""))</f>
        <v>0</v>
      </c>
      <c r="H146" s="8">
        <f>IF(OR(C146="",E146="",G146=""),"",E146*G146)</f>
        <v>0</v>
      </c>
      <c r="I146" s="27"/>
      <c r="J146" s="27"/>
      <c r="K146" s="27"/>
      <c r="L146" s="27"/>
      <c r="M146" s="7"/>
      <c r="N146" s="27"/>
      <c r="O146" s="8">
        <f>IF(B146="","",TEXT(B146,"mmm yyyy"))</f>
        <v>0</v>
      </c>
      <c r="P146" s="8">
        <f>IF(OR(B146="",H146=""),"",SUMIFS($H$5:$H$154,$O$5:$O$154,O146))</f>
        <v>0</v>
      </c>
      <c r="Q146" s="8">
        <f>IF(OR(H146="",P146="",P146=0),"",H146/P146)</f>
        <v>0</v>
      </c>
      <c r="R146" s="8">
        <f>IF(OR(C146="",E146=""),"",COUNTIFS($E$5:$E$154,"&gt;"&amp;E146)+1)</f>
        <v>0</v>
      </c>
      <c r="S146" s="8">
        <f>IF(C146="","",IF(L146="No","Unavoidable","Avoidable"))</f>
        <v>0</v>
      </c>
      <c r="T146" s="25"/>
    </row>
    <row r="147" spans="1:20">
      <c r="A147" s="7"/>
      <c r="B147" s="30"/>
      <c r="C147" s="7"/>
      <c r="D147" s="8">
        <f>IF(C147="","",IFERROR(INDEX(Ingredients!$B$5:$B$304,MATCH(C147,Ingredients!$A$5:$A$304,0)),""))</f>
        <v>0</v>
      </c>
      <c r="E147" s="26"/>
      <c r="F147" s="27"/>
      <c r="G147" s="8">
        <f>IF(C147="","",IFERROR(INDEX(Ingredients!$D$5:$D$304,MATCH(C147,Ingredients!$A$5:$A$304,0)),""))</f>
        <v>0</v>
      </c>
      <c r="H147" s="8">
        <f>IF(OR(C147="",E147="",G147=""),"",E147*G147)</f>
        <v>0</v>
      </c>
      <c r="I147" s="27"/>
      <c r="J147" s="27"/>
      <c r="K147" s="27"/>
      <c r="L147" s="27"/>
      <c r="M147" s="7"/>
      <c r="N147" s="27"/>
      <c r="O147" s="8">
        <f>IF(B147="","",TEXT(B147,"mmm yyyy"))</f>
        <v>0</v>
      </c>
      <c r="P147" s="8">
        <f>IF(OR(B147="",H147=""),"",SUMIFS($H$5:$H$154,$O$5:$O$154,O147))</f>
        <v>0</v>
      </c>
      <c r="Q147" s="8">
        <f>IF(OR(H147="",P147="",P147=0),"",H147/P147)</f>
        <v>0</v>
      </c>
      <c r="R147" s="8">
        <f>IF(OR(C147="",E147=""),"",COUNTIFS($E$5:$E$154,"&gt;"&amp;E147)+1)</f>
        <v>0</v>
      </c>
      <c r="S147" s="8">
        <f>IF(C147="","",IF(L147="No","Unavoidable","Avoidable"))</f>
        <v>0</v>
      </c>
      <c r="T147" s="25"/>
    </row>
    <row r="148" spans="1:20">
      <c r="A148" s="7"/>
      <c r="B148" s="30"/>
      <c r="C148" s="7"/>
      <c r="D148" s="8">
        <f>IF(C148="","",IFERROR(INDEX(Ingredients!$B$5:$B$304,MATCH(C148,Ingredients!$A$5:$A$304,0)),""))</f>
        <v>0</v>
      </c>
      <c r="E148" s="26"/>
      <c r="F148" s="27"/>
      <c r="G148" s="8">
        <f>IF(C148="","",IFERROR(INDEX(Ingredients!$D$5:$D$304,MATCH(C148,Ingredients!$A$5:$A$304,0)),""))</f>
        <v>0</v>
      </c>
      <c r="H148" s="8">
        <f>IF(OR(C148="",E148="",G148=""),"",E148*G148)</f>
        <v>0</v>
      </c>
      <c r="I148" s="27"/>
      <c r="J148" s="27"/>
      <c r="K148" s="27"/>
      <c r="L148" s="27"/>
      <c r="M148" s="7"/>
      <c r="N148" s="27"/>
      <c r="O148" s="8">
        <f>IF(B148="","",TEXT(B148,"mmm yyyy"))</f>
        <v>0</v>
      </c>
      <c r="P148" s="8">
        <f>IF(OR(B148="",H148=""),"",SUMIFS($H$5:$H$154,$O$5:$O$154,O148))</f>
        <v>0</v>
      </c>
      <c r="Q148" s="8">
        <f>IF(OR(H148="",P148="",P148=0),"",H148/P148)</f>
        <v>0</v>
      </c>
      <c r="R148" s="8">
        <f>IF(OR(C148="",E148=""),"",COUNTIFS($E$5:$E$154,"&gt;"&amp;E148)+1)</f>
        <v>0</v>
      </c>
      <c r="S148" s="8">
        <f>IF(C148="","",IF(L148="No","Unavoidable","Avoidable"))</f>
        <v>0</v>
      </c>
      <c r="T148" s="25"/>
    </row>
    <row r="149" spans="1:20">
      <c r="A149" s="7"/>
      <c r="B149" s="30"/>
      <c r="C149" s="7"/>
      <c r="D149" s="8">
        <f>IF(C149="","",IFERROR(INDEX(Ingredients!$B$5:$B$304,MATCH(C149,Ingredients!$A$5:$A$304,0)),""))</f>
        <v>0</v>
      </c>
      <c r="E149" s="26"/>
      <c r="F149" s="27"/>
      <c r="G149" s="8">
        <f>IF(C149="","",IFERROR(INDEX(Ingredients!$D$5:$D$304,MATCH(C149,Ingredients!$A$5:$A$304,0)),""))</f>
        <v>0</v>
      </c>
      <c r="H149" s="8">
        <f>IF(OR(C149="",E149="",G149=""),"",E149*G149)</f>
        <v>0</v>
      </c>
      <c r="I149" s="27"/>
      <c r="J149" s="27"/>
      <c r="K149" s="27"/>
      <c r="L149" s="27"/>
      <c r="M149" s="7"/>
      <c r="N149" s="27"/>
      <c r="O149" s="8">
        <f>IF(B149="","",TEXT(B149,"mmm yyyy"))</f>
        <v>0</v>
      </c>
      <c r="P149" s="8">
        <f>IF(OR(B149="",H149=""),"",SUMIFS($H$5:$H$154,$O$5:$O$154,O149))</f>
        <v>0</v>
      </c>
      <c r="Q149" s="8">
        <f>IF(OR(H149="",P149="",P149=0),"",H149/P149)</f>
        <v>0</v>
      </c>
      <c r="R149" s="8">
        <f>IF(OR(C149="",E149=""),"",COUNTIFS($E$5:$E$154,"&gt;"&amp;E149)+1)</f>
        <v>0</v>
      </c>
      <c r="S149" s="8">
        <f>IF(C149="","",IF(L149="No","Unavoidable","Avoidable"))</f>
        <v>0</v>
      </c>
      <c r="T149" s="25"/>
    </row>
    <row r="150" spans="1:20">
      <c r="A150" s="7"/>
      <c r="B150" s="30"/>
      <c r="C150" s="7"/>
      <c r="D150" s="8">
        <f>IF(C150="","",IFERROR(INDEX(Ingredients!$B$5:$B$304,MATCH(C150,Ingredients!$A$5:$A$304,0)),""))</f>
        <v>0</v>
      </c>
      <c r="E150" s="26"/>
      <c r="F150" s="27"/>
      <c r="G150" s="8">
        <f>IF(C150="","",IFERROR(INDEX(Ingredients!$D$5:$D$304,MATCH(C150,Ingredients!$A$5:$A$304,0)),""))</f>
        <v>0</v>
      </c>
      <c r="H150" s="8">
        <f>IF(OR(C150="",E150="",G150=""),"",E150*G150)</f>
        <v>0</v>
      </c>
      <c r="I150" s="27"/>
      <c r="J150" s="27"/>
      <c r="K150" s="27"/>
      <c r="L150" s="27"/>
      <c r="M150" s="7"/>
      <c r="N150" s="27"/>
      <c r="O150" s="8">
        <f>IF(B150="","",TEXT(B150,"mmm yyyy"))</f>
        <v>0</v>
      </c>
      <c r="P150" s="8">
        <f>IF(OR(B150="",H150=""),"",SUMIFS($H$5:$H$154,$O$5:$O$154,O150))</f>
        <v>0</v>
      </c>
      <c r="Q150" s="8">
        <f>IF(OR(H150="",P150="",P150=0),"",H150/P150)</f>
        <v>0</v>
      </c>
      <c r="R150" s="8">
        <f>IF(OR(C150="",E150=""),"",COUNTIFS($E$5:$E$154,"&gt;"&amp;E150)+1)</f>
        <v>0</v>
      </c>
      <c r="S150" s="8">
        <f>IF(C150="","",IF(L150="No","Unavoidable","Avoidable"))</f>
        <v>0</v>
      </c>
      <c r="T150" s="25"/>
    </row>
    <row r="151" spans="1:20">
      <c r="A151" s="7"/>
      <c r="B151" s="30"/>
      <c r="C151" s="7"/>
      <c r="D151" s="8">
        <f>IF(C151="","",IFERROR(INDEX(Ingredients!$B$5:$B$304,MATCH(C151,Ingredients!$A$5:$A$304,0)),""))</f>
        <v>0</v>
      </c>
      <c r="E151" s="26"/>
      <c r="F151" s="27"/>
      <c r="G151" s="8">
        <f>IF(C151="","",IFERROR(INDEX(Ingredients!$D$5:$D$304,MATCH(C151,Ingredients!$A$5:$A$304,0)),""))</f>
        <v>0</v>
      </c>
      <c r="H151" s="8">
        <f>IF(OR(C151="",E151="",G151=""),"",E151*G151)</f>
        <v>0</v>
      </c>
      <c r="I151" s="27"/>
      <c r="J151" s="27"/>
      <c r="K151" s="27"/>
      <c r="L151" s="27"/>
      <c r="M151" s="7"/>
      <c r="N151" s="27"/>
      <c r="O151" s="8">
        <f>IF(B151="","",TEXT(B151,"mmm yyyy"))</f>
        <v>0</v>
      </c>
      <c r="P151" s="8">
        <f>IF(OR(B151="",H151=""),"",SUMIFS($H$5:$H$154,$O$5:$O$154,O151))</f>
        <v>0</v>
      </c>
      <c r="Q151" s="8">
        <f>IF(OR(H151="",P151="",P151=0),"",H151/P151)</f>
        <v>0</v>
      </c>
      <c r="R151" s="8">
        <f>IF(OR(C151="",E151=""),"",COUNTIFS($E$5:$E$154,"&gt;"&amp;E151)+1)</f>
        <v>0</v>
      </c>
      <c r="S151" s="8">
        <f>IF(C151="","",IF(L151="No","Unavoidable","Avoidable"))</f>
        <v>0</v>
      </c>
      <c r="T151" s="25"/>
    </row>
    <row r="152" spans="1:20">
      <c r="A152" s="7"/>
      <c r="B152" s="30"/>
      <c r="C152" s="7"/>
      <c r="D152" s="8">
        <f>IF(C152="","",IFERROR(INDEX(Ingredients!$B$5:$B$304,MATCH(C152,Ingredients!$A$5:$A$304,0)),""))</f>
        <v>0</v>
      </c>
      <c r="E152" s="26"/>
      <c r="F152" s="27"/>
      <c r="G152" s="8">
        <f>IF(C152="","",IFERROR(INDEX(Ingredients!$D$5:$D$304,MATCH(C152,Ingredients!$A$5:$A$304,0)),""))</f>
        <v>0</v>
      </c>
      <c r="H152" s="8">
        <f>IF(OR(C152="",E152="",G152=""),"",E152*G152)</f>
        <v>0</v>
      </c>
      <c r="I152" s="27"/>
      <c r="J152" s="27"/>
      <c r="K152" s="27"/>
      <c r="L152" s="27"/>
      <c r="M152" s="7"/>
      <c r="N152" s="27"/>
      <c r="O152" s="8">
        <f>IF(B152="","",TEXT(B152,"mmm yyyy"))</f>
        <v>0</v>
      </c>
      <c r="P152" s="8">
        <f>IF(OR(B152="",H152=""),"",SUMIFS($H$5:$H$154,$O$5:$O$154,O152))</f>
        <v>0</v>
      </c>
      <c r="Q152" s="8">
        <f>IF(OR(H152="",P152="",P152=0),"",H152/P152)</f>
        <v>0</v>
      </c>
      <c r="R152" s="8">
        <f>IF(OR(C152="",E152=""),"",COUNTIFS($E$5:$E$154,"&gt;"&amp;E152)+1)</f>
        <v>0</v>
      </c>
      <c r="S152" s="8">
        <f>IF(C152="","",IF(L152="No","Unavoidable","Avoidable"))</f>
        <v>0</v>
      </c>
      <c r="T152" s="25"/>
    </row>
    <row r="153" spans="1:20">
      <c r="A153" s="7"/>
      <c r="B153" s="30"/>
      <c r="C153" s="7"/>
      <c r="D153" s="8">
        <f>IF(C153="","",IFERROR(INDEX(Ingredients!$B$5:$B$304,MATCH(C153,Ingredients!$A$5:$A$304,0)),""))</f>
        <v>0</v>
      </c>
      <c r="E153" s="26"/>
      <c r="F153" s="27"/>
      <c r="G153" s="8">
        <f>IF(C153="","",IFERROR(INDEX(Ingredients!$D$5:$D$304,MATCH(C153,Ingredients!$A$5:$A$304,0)),""))</f>
        <v>0</v>
      </c>
      <c r="H153" s="8">
        <f>IF(OR(C153="",E153="",G153=""),"",E153*G153)</f>
        <v>0</v>
      </c>
      <c r="I153" s="27"/>
      <c r="J153" s="27"/>
      <c r="K153" s="27"/>
      <c r="L153" s="27"/>
      <c r="M153" s="7"/>
      <c r="N153" s="27"/>
      <c r="O153" s="8">
        <f>IF(B153="","",TEXT(B153,"mmm yyyy"))</f>
        <v>0</v>
      </c>
      <c r="P153" s="8">
        <f>IF(OR(B153="",H153=""),"",SUMIFS($H$5:$H$154,$O$5:$O$154,O153))</f>
        <v>0</v>
      </c>
      <c r="Q153" s="8">
        <f>IF(OR(H153="",P153="",P153=0),"",H153/P153)</f>
        <v>0</v>
      </c>
      <c r="R153" s="8">
        <f>IF(OR(C153="",E153=""),"",COUNTIFS($E$5:$E$154,"&gt;"&amp;E153)+1)</f>
        <v>0</v>
      </c>
      <c r="S153" s="8">
        <f>IF(C153="","",IF(L153="No","Unavoidable","Avoidable"))</f>
        <v>0</v>
      </c>
      <c r="T153" s="25"/>
    </row>
    <row r="154" spans="1:20">
      <c r="A154" s="7"/>
      <c r="B154" s="30"/>
      <c r="C154" s="7"/>
      <c r="D154" s="8">
        <f>IF(C154="","",IFERROR(INDEX(Ingredients!$B$5:$B$304,MATCH(C154,Ingredients!$A$5:$A$304,0)),""))</f>
        <v>0</v>
      </c>
      <c r="E154" s="26"/>
      <c r="F154" s="27"/>
      <c r="G154" s="8">
        <f>IF(C154="","",IFERROR(INDEX(Ingredients!$D$5:$D$304,MATCH(C154,Ingredients!$A$5:$A$304,0)),""))</f>
        <v>0</v>
      </c>
      <c r="H154" s="8">
        <f>IF(OR(C154="",E154="",G154=""),"",E154*G154)</f>
        <v>0</v>
      </c>
      <c r="I154" s="27"/>
      <c r="J154" s="27"/>
      <c r="K154" s="27"/>
      <c r="L154" s="27"/>
      <c r="M154" s="7"/>
      <c r="N154" s="27"/>
      <c r="O154" s="8">
        <f>IF(B154="","",TEXT(B154,"mmm yyyy"))</f>
        <v>0</v>
      </c>
      <c r="P154" s="8">
        <f>IF(OR(B154="",H154=""),"",SUMIFS($H$5:$H$154,$O$5:$O$154,O154))</f>
        <v>0</v>
      </c>
      <c r="Q154" s="8">
        <f>IF(OR(H154="",P154="",P154=0),"",H154/P154)</f>
        <v>0</v>
      </c>
      <c r="R154" s="8">
        <f>IF(OR(C154="",E154=""),"",COUNTIFS($E$5:$E$154,"&gt;"&amp;E154)+1)</f>
        <v>0</v>
      </c>
      <c r="S154" s="8">
        <f>IF(C154="","",IF(L154="No","Unavoidable","Avoidable"))</f>
        <v>0</v>
      </c>
      <c r="T154" s="25"/>
    </row>
  </sheetData>
  <sheetProtection password="EC7C" sheet="1" objects="1" scenarios="1" selectLockedCells="1" selectUnlockedCells="1"/>
  <autoFilter ref="A4:T154"/>
  <conditionalFormatting sqref="A101:T101">
    <cfRule type="expression" dxfId="0" priority="49">
      <formula>MOD(ROW(),2)=0</formula>
    </cfRule>
  </conditionalFormatting>
  <conditionalFormatting sqref="A103:T103">
    <cfRule type="expression" dxfId="0" priority="50">
      <formula>MOD(ROW(),2)=0</formula>
    </cfRule>
  </conditionalFormatting>
  <conditionalFormatting sqref="A105:T105">
    <cfRule type="expression" dxfId="0" priority="51">
      <formula>MOD(ROW(),2)=0</formula>
    </cfRule>
  </conditionalFormatting>
  <conditionalFormatting sqref="A107:T107">
    <cfRule type="expression" dxfId="0" priority="52">
      <formula>MOD(ROW(),2)=0</formula>
    </cfRule>
  </conditionalFormatting>
  <conditionalFormatting sqref="A109:T109">
    <cfRule type="expression" dxfId="0" priority="53">
      <formula>MOD(ROW(),2)=0</formula>
    </cfRule>
  </conditionalFormatting>
  <conditionalFormatting sqref="A111:T111">
    <cfRule type="expression" dxfId="0" priority="54">
      <formula>MOD(ROW(),2)=0</formula>
    </cfRule>
  </conditionalFormatting>
  <conditionalFormatting sqref="A113:T113">
    <cfRule type="expression" dxfId="0" priority="55">
      <formula>MOD(ROW(),2)=0</formula>
    </cfRule>
  </conditionalFormatting>
  <conditionalFormatting sqref="A115:T115">
    <cfRule type="expression" dxfId="0" priority="56">
      <formula>MOD(ROW(),2)=0</formula>
    </cfRule>
  </conditionalFormatting>
  <conditionalFormatting sqref="A117:T117">
    <cfRule type="expression" dxfId="0" priority="57">
      <formula>MOD(ROW(),2)=0</formula>
    </cfRule>
  </conditionalFormatting>
  <conditionalFormatting sqref="A119:T119">
    <cfRule type="expression" dxfId="0" priority="58">
      <formula>MOD(ROW(),2)=0</formula>
    </cfRule>
  </conditionalFormatting>
  <conditionalFormatting sqref="A11:T11">
    <cfRule type="expression" dxfId="0" priority="4">
      <formula>MOD(ROW(),2)=0</formula>
    </cfRule>
  </conditionalFormatting>
  <conditionalFormatting sqref="A121:T121">
    <cfRule type="expression" dxfId="0" priority="59">
      <formula>MOD(ROW(),2)=0</formula>
    </cfRule>
  </conditionalFormatting>
  <conditionalFormatting sqref="A123:T123">
    <cfRule type="expression" dxfId="0" priority="60">
      <formula>MOD(ROW(),2)=0</formula>
    </cfRule>
  </conditionalFormatting>
  <conditionalFormatting sqref="A125:T125">
    <cfRule type="expression" dxfId="0" priority="61">
      <formula>MOD(ROW(),2)=0</formula>
    </cfRule>
  </conditionalFormatting>
  <conditionalFormatting sqref="A127:T127">
    <cfRule type="expression" dxfId="0" priority="62">
      <formula>MOD(ROW(),2)=0</formula>
    </cfRule>
  </conditionalFormatting>
  <conditionalFormatting sqref="A129:T129">
    <cfRule type="expression" dxfId="0" priority="63">
      <formula>MOD(ROW(),2)=0</formula>
    </cfRule>
  </conditionalFormatting>
  <conditionalFormatting sqref="A131:T131">
    <cfRule type="expression" dxfId="0" priority="64">
      <formula>MOD(ROW(),2)=0</formula>
    </cfRule>
  </conditionalFormatting>
  <conditionalFormatting sqref="A133:T133">
    <cfRule type="expression" dxfId="0" priority="65">
      <formula>MOD(ROW(),2)=0</formula>
    </cfRule>
  </conditionalFormatting>
  <conditionalFormatting sqref="A135:T135">
    <cfRule type="expression" dxfId="0" priority="66">
      <formula>MOD(ROW(),2)=0</formula>
    </cfRule>
  </conditionalFormatting>
  <conditionalFormatting sqref="A137:T137">
    <cfRule type="expression" dxfId="0" priority="67">
      <formula>MOD(ROW(),2)=0</formula>
    </cfRule>
  </conditionalFormatting>
  <conditionalFormatting sqref="A139:T139">
    <cfRule type="expression" dxfId="0" priority="68">
      <formula>MOD(ROW(),2)=0</formula>
    </cfRule>
  </conditionalFormatting>
  <conditionalFormatting sqref="A13:T13">
    <cfRule type="expression" dxfId="0" priority="5">
      <formula>MOD(ROW(),2)=0</formula>
    </cfRule>
  </conditionalFormatting>
  <conditionalFormatting sqref="A141:T141">
    <cfRule type="expression" dxfId="0" priority="69">
      <formula>MOD(ROW(),2)=0</formula>
    </cfRule>
  </conditionalFormatting>
  <conditionalFormatting sqref="A143:T143">
    <cfRule type="expression" dxfId="0" priority="70">
      <formula>MOD(ROW(),2)=0</formula>
    </cfRule>
  </conditionalFormatting>
  <conditionalFormatting sqref="A145:T145">
    <cfRule type="expression" dxfId="0" priority="71">
      <formula>MOD(ROW(),2)=0</formula>
    </cfRule>
  </conditionalFormatting>
  <conditionalFormatting sqref="A147:T147">
    <cfRule type="expression" dxfId="0" priority="72">
      <formula>MOD(ROW(),2)=0</formula>
    </cfRule>
  </conditionalFormatting>
  <conditionalFormatting sqref="A149:T149">
    <cfRule type="expression" dxfId="0" priority="73">
      <formula>MOD(ROW(),2)=0</formula>
    </cfRule>
  </conditionalFormatting>
  <conditionalFormatting sqref="A151:T151">
    <cfRule type="expression" dxfId="0" priority="74">
      <formula>MOD(ROW(),2)=0</formula>
    </cfRule>
  </conditionalFormatting>
  <conditionalFormatting sqref="A153:T153">
    <cfRule type="expression" dxfId="0" priority="75">
      <formula>MOD(ROW(),2)=0</formula>
    </cfRule>
  </conditionalFormatting>
  <conditionalFormatting sqref="A15:T15">
    <cfRule type="expression" dxfId="0" priority="6">
      <formula>MOD(ROW(),2)=0</formula>
    </cfRule>
  </conditionalFormatting>
  <conditionalFormatting sqref="A17:T17">
    <cfRule type="expression" dxfId="0" priority="7">
      <formula>MOD(ROW(),2)=0</formula>
    </cfRule>
  </conditionalFormatting>
  <conditionalFormatting sqref="A19:T19">
    <cfRule type="expression" dxfId="0" priority="8">
      <formula>MOD(ROW(),2)=0</formula>
    </cfRule>
  </conditionalFormatting>
  <conditionalFormatting sqref="A21:T21">
    <cfRule type="expression" dxfId="0" priority="9">
      <formula>MOD(ROW(),2)=0</formula>
    </cfRule>
  </conditionalFormatting>
  <conditionalFormatting sqref="A23:T23">
    <cfRule type="expression" dxfId="0" priority="10">
      <formula>MOD(ROW(),2)=0</formula>
    </cfRule>
  </conditionalFormatting>
  <conditionalFormatting sqref="A25:T25">
    <cfRule type="expression" dxfId="0" priority="11">
      <formula>MOD(ROW(),2)=0</formula>
    </cfRule>
  </conditionalFormatting>
  <conditionalFormatting sqref="A27:T27">
    <cfRule type="expression" dxfId="0" priority="12">
      <formula>MOD(ROW(),2)=0</formula>
    </cfRule>
  </conditionalFormatting>
  <conditionalFormatting sqref="A29:T29">
    <cfRule type="expression" dxfId="0" priority="13">
      <formula>MOD(ROW(),2)=0</formula>
    </cfRule>
  </conditionalFormatting>
  <conditionalFormatting sqref="A31:T31">
    <cfRule type="expression" dxfId="0" priority="14">
      <formula>MOD(ROW(),2)=0</formula>
    </cfRule>
  </conditionalFormatting>
  <conditionalFormatting sqref="A33:T33">
    <cfRule type="expression" dxfId="0" priority="15">
      <formula>MOD(ROW(),2)=0</formula>
    </cfRule>
  </conditionalFormatting>
  <conditionalFormatting sqref="A35:T35">
    <cfRule type="expression" dxfId="0" priority="16">
      <formula>MOD(ROW(),2)=0</formula>
    </cfRule>
  </conditionalFormatting>
  <conditionalFormatting sqref="A37:T37">
    <cfRule type="expression" dxfId="0" priority="17">
      <formula>MOD(ROW(),2)=0</formula>
    </cfRule>
  </conditionalFormatting>
  <conditionalFormatting sqref="A39:T39">
    <cfRule type="expression" dxfId="0" priority="18">
      <formula>MOD(ROW(),2)=0</formula>
    </cfRule>
  </conditionalFormatting>
  <conditionalFormatting sqref="A41:T41">
    <cfRule type="expression" dxfId="0" priority="19">
      <formula>MOD(ROW(),2)=0</formula>
    </cfRule>
  </conditionalFormatting>
  <conditionalFormatting sqref="A43:T43">
    <cfRule type="expression" dxfId="0" priority="20">
      <formula>MOD(ROW(),2)=0</formula>
    </cfRule>
  </conditionalFormatting>
  <conditionalFormatting sqref="A45:T45">
    <cfRule type="expression" dxfId="0" priority="21">
      <formula>MOD(ROW(),2)=0</formula>
    </cfRule>
  </conditionalFormatting>
  <conditionalFormatting sqref="A47:T47">
    <cfRule type="expression" dxfId="0" priority="22">
      <formula>MOD(ROW(),2)=0</formula>
    </cfRule>
  </conditionalFormatting>
  <conditionalFormatting sqref="A49:T49">
    <cfRule type="expression" dxfId="0" priority="23">
      <formula>MOD(ROW(),2)=0</formula>
    </cfRule>
  </conditionalFormatting>
  <conditionalFormatting sqref="A51:T51">
    <cfRule type="expression" dxfId="0" priority="24">
      <formula>MOD(ROW(),2)=0</formula>
    </cfRule>
  </conditionalFormatting>
  <conditionalFormatting sqref="A53:T53">
    <cfRule type="expression" dxfId="0" priority="25">
      <formula>MOD(ROW(),2)=0</formula>
    </cfRule>
  </conditionalFormatting>
  <conditionalFormatting sqref="A55:T55">
    <cfRule type="expression" dxfId="0" priority="26">
      <formula>MOD(ROW(),2)=0</formula>
    </cfRule>
  </conditionalFormatting>
  <conditionalFormatting sqref="A57:T57">
    <cfRule type="expression" dxfId="0" priority="27">
      <formula>MOD(ROW(),2)=0</formula>
    </cfRule>
  </conditionalFormatting>
  <conditionalFormatting sqref="A59:T59">
    <cfRule type="expression" dxfId="0" priority="28">
      <formula>MOD(ROW(),2)=0</formula>
    </cfRule>
  </conditionalFormatting>
  <conditionalFormatting sqref="A5:T5">
    <cfRule type="expression" dxfId="0" priority="1">
      <formula>MOD(ROW(),2)=0</formula>
    </cfRule>
  </conditionalFormatting>
  <conditionalFormatting sqref="A61:T61">
    <cfRule type="expression" dxfId="0" priority="29">
      <formula>MOD(ROW(),2)=0</formula>
    </cfRule>
  </conditionalFormatting>
  <conditionalFormatting sqref="A63:T63">
    <cfRule type="expression" dxfId="0" priority="30">
      <formula>MOD(ROW(),2)=0</formula>
    </cfRule>
  </conditionalFormatting>
  <conditionalFormatting sqref="A65:T65">
    <cfRule type="expression" dxfId="0" priority="31">
      <formula>MOD(ROW(),2)=0</formula>
    </cfRule>
  </conditionalFormatting>
  <conditionalFormatting sqref="A67:T67">
    <cfRule type="expression" dxfId="0" priority="32">
      <formula>MOD(ROW(),2)=0</formula>
    </cfRule>
  </conditionalFormatting>
  <conditionalFormatting sqref="A69:T69">
    <cfRule type="expression" dxfId="0" priority="33">
      <formula>MOD(ROW(),2)=0</formula>
    </cfRule>
  </conditionalFormatting>
  <conditionalFormatting sqref="A71:T71">
    <cfRule type="expression" dxfId="0" priority="34">
      <formula>MOD(ROW(),2)=0</formula>
    </cfRule>
  </conditionalFormatting>
  <conditionalFormatting sqref="A73:T73">
    <cfRule type="expression" dxfId="0" priority="35">
      <formula>MOD(ROW(),2)=0</formula>
    </cfRule>
  </conditionalFormatting>
  <conditionalFormatting sqref="A75:T75">
    <cfRule type="expression" dxfId="0" priority="36">
      <formula>MOD(ROW(),2)=0</formula>
    </cfRule>
  </conditionalFormatting>
  <conditionalFormatting sqref="A77:T77">
    <cfRule type="expression" dxfId="0" priority="37">
      <formula>MOD(ROW(),2)=0</formula>
    </cfRule>
  </conditionalFormatting>
  <conditionalFormatting sqref="A79:T79">
    <cfRule type="expression" dxfId="0" priority="38">
      <formula>MOD(ROW(),2)=0</formula>
    </cfRule>
  </conditionalFormatting>
  <conditionalFormatting sqref="A7:T7">
    <cfRule type="expression" dxfId="0" priority="2">
      <formula>MOD(ROW(),2)=0</formula>
    </cfRule>
  </conditionalFormatting>
  <conditionalFormatting sqref="A81:T81">
    <cfRule type="expression" dxfId="0" priority="39">
      <formula>MOD(ROW(),2)=0</formula>
    </cfRule>
  </conditionalFormatting>
  <conditionalFormatting sqref="A83:T83">
    <cfRule type="expression" dxfId="0" priority="40">
      <formula>MOD(ROW(),2)=0</formula>
    </cfRule>
  </conditionalFormatting>
  <conditionalFormatting sqref="A85:T85">
    <cfRule type="expression" dxfId="0" priority="41">
      <formula>MOD(ROW(),2)=0</formula>
    </cfRule>
  </conditionalFormatting>
  <conditionalFormatting sqref="A87:T87">
    <cfRule type="expression" dxfId="0" priority="42">
      <formula>MOD(ROW(),2)=0</formula>
    </cfRule>
  </conditionalFormatting>
  <conditionalFormatting sqref="A89:T89">
    <cfRule type="expression" dxfId="0" priority="43">
      <formula>MOD(ROW(),2)=0</formula>
    </cfRule>
  </conditionalFormatting>
  <conditionalFormatting sqref="A91:T91">
    <cfRule type="expression" dxfId="0" priority="44">
      <formula>MOD(ROW(),2)=0</formula>
    </cfRule>
  </conditionalFormatting>
  <conditionalFormatting sqref="A93:T93">
    <cfRule type="expression" dxfId="0" priority="45">
      <formula>MOD(ROW(),2)=0</formula>
    </cfRule>
  </conditionalFormatting>
  <conditionalFormatting sqref="A95:T95">
    <cfRule type="expression" dxfId="0" priority="46">
      <formula>MOD(ROW(),2)=0</formula>
    </cfRule>
  </conditionalFormatting>
  <conditionalFormatting sqref="A97:T97">
    <cfRule type="expression" dxfId="0" priority="47">
      <formula>MOD(ROW(),2)=0</formula>
    </cfRule>
  </conditionalFormatting>
  <conditionalFormatting sqref="A99:T99">
    <cfRule type="expression" dxfId="0" priority="48">
      <formula>MOD(ROW(),2)=0</formula>
    </cfRule>
  </conditionalFormatting>
  <conditionalFormatting sqref="A9:T9">
    <cfRule type="expression" dxfId="0" priority="3">
      <formula>MOD(ROW(),2)=0</formula>
    </cfRule>
  </conditionalFormatting>
  <dataValidations count="1050">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Spreadsheet&amp;R&amp;"Calibri,Italic"Food Waste</oddHeader>
    <oddFooter>&amp;LPage &amp;P of &amp;N&amp;R&amp;D</oddFooter>
  </headerFooter>
  <legacyDrawing r:id="rId1"/>
</worksheet>
</file>

<file path=xl/worksheets/sheet17.xml><?xml version="1.0" encoding="utf-8"?>
<worksheet xmlns="http://schemas.openxmlformats.org/spreadsheetml/2006/main" xmlns:r="http://schemas.openxmlformats.org/officeDocument/2006/relationships">
  <sheetPr>
    <tabColor rgb="FF4E8A63"/>
    <pageSetUpPr fitToPage="1"/>
  </sheetPr>
  <dimension ref="A4:X12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customWidth="1"/>
    <col min="2" max="2" width="12.7109375" customWidth="1"/>
    <col min="3" max="3" width="30.7109375" customWidth="1"/>
    <col min="4" max="4" width="26.7109375" customWidth="1"/>
    <col min="5" max="5" width="10.7109375" customWidth="1"/>
    <col min="6" max="6" width="9.7109375" customWidth="1"/>
    <col min="7" max="7" width="8.7109375" customWidth="1"/>
    <col min="8" max="8" width="12.7109375" customWidth="1"/>
    <col min="9" max="9" width="10.7109375" customWidth="1"/>
    <col min="10" max="10" width="13.7109375" customWidth="1"/>
    <col min="11" max="11" width="10.7109375" customWidth="1"/>
    <col min="12" max="12" width="16.7109375" customWidth="1"/>
    <col min="13" max="13" width="15.7109375" customWidth="1"/>
    <col min="14" max="14" width="11.7109375" customWidth="1"/>
    <col min="15" max="15" width="10.7109375" customWidth="1"/>
    <col min="16" max="17" width="12.7109375" customWidth="1"/>
    <col min="18" max="18" width="14.7109375" customWidth="1"/>
    <col min="19" max="19" width="10.7109375" customWidth="1"/>
    <col min="20" max="20" width="11.7109375" customWidth="1"/>
    <col min="21" max="21" width="9.7109375" customWidth="1"/>
    <col min="22" max="23" width="12.7109375" customWidth="1"/>
    <col min="24" max="24" width="30.7109375" customWidth="1"/>
  </cols>
  <sheetData>
    <row r="4" spans="1:24" ht="32" customHeight="1">
      <c r="A4" s="9" t="s">
        <v>437</v>
      </c>
      <c r="B4" s="9" t="s">
        <v>113</v>
      </c>
      <c r="C4" s="9" t="s">
        <v>438</v>
      </c>
      <c r="D4" s="9" t="s">
        <v>138</v>
      </c>
      <c r="E4" s="9" t="s">
        <v>111</v>
      </c>
      <c r="F4" s="9" t="s">
        <v>439</v>
      </c>
      <c r="G4" s="9" t="s">
        <v>440</v>
      </c>
      <c r="H4" s="9" t="s">
        <v>441</v>
      </c>
      <c r="I4" s="9" t="s">
        <v>442</v>
      </c>
      <c r="J4" s="9" t="s">
        <v>443</v>
      </c>
      <c r="K4" s="9" t="s">
        <v>444</v>
      </c>
      <c r="L4" s="9" t="s">
        <v>445</v>
      </c>
      <c r="M4" s="9" t="s">
        <v>446</v>
      </c>
      <c r="N4" s="9" t="s">
        <v>447</v>
      </c>
      <c r="O4" s="9" t="s">
        <v>419</v>
      </c>
      <c r="P4" s="9" t="s">
        <v>448</v>
      </c>
      <c r="Q4" s="9" t="s">
        <v>449</v>
      </c>
      <c r="R4" s="9" t="s">
        <v>450</v>
      </c>
      <c r="S4" s="9" t="s">
        <v>133</v>
      </c>
      <c r="T4" s="9" t="s">
        <v>134</v>
      </c>
      <c r="U4" s="9" t="s">
        <v>451</v>
      </c>
      <c r="V4" s="9" t="s">
        <v>452</v>
      </c>
      <c r="W4" s="9" t="s">
        <v>135</v>
      </c>
      <c r="X4" s="9" t="s">
        <v>173</v>
      </c>
    </row>
    <row r="5" spans="1:24">
      <c r="A5" s="7"/>
      <c r="B5" s="27"/>
      <c r="C5" s="7"/>
      <c r="D5" s="27"/>
      <c r="E5" s="26"/>
      <c r="F5" s="26"/>
      <c r="G5" s="26"/>
      <c r="H5" s="30"/>
      <c r="I5" s="8">
        <f>IF(OR(A5="",H5=""),"",H5-TODAY())</f>
        <v>0</v>
      </c>
      <c r="J5" s="8">
        <f>IF(A5="","",IF(U5="Yes","Done",IF(I5="","No date",IF(I5&lt;0,"Overdue",IF(I5&lt;=Prep_Reminder_Days,"This week","Later")))))</f>
        <v>0</v>
      </c>
      <c r="K5" s="8">
        <f>IF(OR(A5="",I5=""),"",COUNTIFS($I$5:$I$124,"&lt;"&amp;I5)+1)</f>
        <v>0</v>
      </c>
      <c r="L5" s="7"/>
      <c r="M5" s="27"/>
      <c r="N5" s="26"/>
      <c r="O5" s="26"/>
      <c r="P5" s="8">
        <f>IF(OR(A5="",V5=""),"",V5+Leftover_Safe_Days)</f>
        <v>0</v>
      </c>
      <c r="Q5" s="8">
        <f>IF(OR(A5="",V5=""),"",V5+Freezer_Review_Days)</f>
        <v>0</v>
      </c>
      <c r="R5" s="27"/>
      <c r="S5" s="8">
        <f>IF(OR(D5="",E5=""),"",IFERROR(IFERROR(INDEX(Recipes!$H$5:$H$204,MATCH(D5,Recipes!$A$5:$A$204,0)),"")*E5,""))</f>
        <v>0</v>
      </c>
      <c r="T5" s="8">
        <f>IF(OR(D5="",E5=""),"",IFERROR(IFERROR(INDEX(Recipes!$Q$5:$Q$204,MATCH(D5,Recipes!$A$5:$A$204,0)),"")*E5,""))</f>
        <v>0</v>
      </c>
      <c r="U5" s="27"/>
      <c r="V5" s="30"/>
      <c r="W5" s="27"/>
      <c r="X5" s="25"/>
    </row>
    <row r="6" spans="1:24">
      <c r="A6" s="7"/>
      <c r="B6" s="27"/>
      <c r="C6" s="7"/>
      <c r="D6" s="27"/>
      <c r="E6" s="26"/>
      <c r="F6" s="26"/>
      <c r="G6" s="26"/>
      <c r="H6" s="30"/>
      <c r="I6" s="8">
        <f>IF(OR(A6="",H6=""),"",H6-TODAY())</f>
        <v>0</v>
      </c>
      <c r="J6" s="8">
        <f>IF(A6="","",IF(U6="Yes","Done",IF(I6="","No date",IF(I6&lt;0,"Overdue",IF(I6&lt;=Prep_Reminder_Days,"This week","Later")))))</f>
        <v>0</v>
      </c>
      <c r="K6" s="8">
        <f>IF(OR(A6="",I6=""),"",COUNTIFS($I$5:$I$124,"&lt;"&amp;I6)+1)</f>
        <v>0</v>
      </c>
      <c r="L6" s="7"/>
      <c r="M6" s="27"/>
      <c r="N6" s="26"/>
      <c r="O6" s="26"/>
      <c r="P6" s="8">
        <f>IF(OR(A6="",V6=""),"",V6+Leftover_Safe_Days)</f>
        <v>0</v>
      </c>
      <c r="Q6" s="8">
        <f>IF(OR(A6="",V6=""),"",V6+Freezer_Review_Days)</f>
        <v>0</v>
      </c>
      <c r="R6" s="27"/>
      <c r="S6" s="8">
        <f>IF(OR(D6="",E6=""),"",IFERROR(IFERROR(INDEX(Recipes!$H$5:$H$204,MATCH(D6,Recipes!$A$5:$A$204,0)),"")*E6,""))</f>
        <v>0</v>
      </c>
      <c r="T6" s="8">
        <f>IF(OR(D6="",E6=""),"",IFERROR(IFERROR(INDEX(Recipes!$Q$5:$Q$204,MATCH(D6,Recipes!$A$5:$A$204,0)),"")*E6,""))</f>
        <v>0</v>
      </c>
      <c r="U6" s="27"/>
      <c r="V6" s="30"/>
      <c r="W6" s="27"/>
      <c r="X6" s="25"/>
    </row>
    <row r="7" spans="1:24">
      <c r="A7" s="7"/>
      <c r="B7" s="27"/>
      <c r="C7" s="7"/>
      <c r="D7" s="27"/>
      <c r="E7" s="26"/>
      <c r="F7" s="26"/>
      <c r="G7" s="26"/>
      <c r="H7" s="30"/>
      <c r="I7" s="8">
        <f>IF(OR(A7="",H7=""),"",H7-TODAY())</f>
        <v>0</v>
      </c>
      <c r="J7" s="8">
        <f>IF(A7="","",IF(U7="Yes","Done",IF(I7="","No date",IF(I7&lt;0,"Overdue",IF(I7&lt;=Prep_Reminder_Days,"This week","Later")))))</f>
        <v>0</v>
      </c>
      <c r="K7" s="8">
        <f>IF(OR(A7="",I7=""),"",COUNTIFS($I$5:$I$124,"&lt;"&amp;I7)+1)</f>
        <v>0</v>
      </c>
      <c r="L7" s="7"/>
      <c r="M7" s="27"/>
      <c r="N7" s="26"/>
      <c r="O7" s="26"/>
      <c r="P7" s="8">
        <f>IF(OR(A7="",V7=""),"",V7+Leftover_Safe_Days)</f>
        <v>0</v>
      </c>
      <c r="Q7" s="8">
        <f>IF(OR(A7="",V7=""),"",V7+Freezer_Review_Days)</f>
        <v>0</v>
      </c>
      <c r="R7" s="27"/>
      <c r="S7" s="8">
        <f>IF(OR(D7="",E7=""),"",IFERROR(IFERROR(INDEX(Recipes!$H$5:$H$204,MATCH(D7,Recipes!$A$5:$A$204,0)),"")*E7,""))</f>
        <v>0</v>
      </c>
      <c r="T7" s="8">
        <f>IF(OR(D7="",E7=""),"",IFERROR(IFERROR(INDEX(Recipes!$Q$5:$Q$204,MATCH(D7,Recipes!$A$5:$A$204,0)),"")*E7,""))</f>
        <v>0</v>
      </c>
      <c r="U7" s="27"/>
      <c r="V7" s="30"/>
      <c r="W7" s="27"/>
      <c r="X7" s="25"/>
    </row>
    <row r="8" spans="1:24">
      <c r="A8" s="7"/>
      <c r="B8" s="27"/>
      <c r="C8" s="7"/>
      <c r="D8" s="27"/>
      <c r="E8" s="26"/>
      <c r="F8" s="26"/>
      <c r="G8" s="26"/>
      <c r="H8" s="30"/>
      <c r="I8" s="8">
        <f>IF(OR(A8="",H8=""),"",H8-TODAY())</f>
        <v>0</v>
      </c>
      <c r="J8" s="8">
        <f>IF(A8="","",IF(U8="Yes","Done",IF(I8="","No date",IF(I8&lt;0,"Overdue",IF(I8&lt;=Prep_Reminder_Days,"This week","Later")))))</f>
        <v>0</v>
      </c>
      <c r="K8" s="8">
        <f>IF(OR(A8="",I8=""),"",COUNTIFS($I$5:$I$124,"&lt;"&amp;I8)+1)</f>
        <v>0</v>
      </c>
      <c r="L8" s="7"/>
      <c r="M8" s="27"/>
      <c r="N8" s="26"/>
      <c r="O8" s="26"/>
      <c r="P8" s="8">
        <f>IF(OR(A8="",V8=""),"",V8+Leftover_Safe_Days)</f>
        <v>0</v>
      </c>
      <c r="Q8" s="8">
        <f>IF(OR(A8="",V8=""),"",V8+Freezer_Review_Days)</f>
        <v>0</v>
      </c>
      <c r="R8" s="27"/>
      <c r="S8" s="8">
        <f>IF(OR(D8="",E8=""),"",IFERROR(IFERROR(INDEX(Recipes!$H$5:$H$204,MATCH(D8,Recipes!$A$5:$A$204,0)),"")*E8,""))</f>
        <v>0</v>
      </c>
      <c r="T8" s="8">
        <f>IF(OR(D8="",E8=""),"",IFERROR(IFERROR(INDEX(Recipes!$Q$5:$Q$204,MATCH(D8,Recipes!$A$5:$A$204,0)),"")*E8,""))</f>
        <v>0</v>
      </c>
      <c r="U8" s="27"/>
      <c r="V8" s="30"/>
      <c r="W8" s="27"/>
      <c r="X8" s="25"/>
    </row>
    <row r="9" spans="1:24">
      <c r="A9" s="7"/>
      <c r="B9" s="27"/>
      <c r="C9" s="7"/>
      <c r="D9" s="27"/>
      <c r="E9" s="26"/>
      <c r="F9" s="26"/>
      <c r="G9" s="26"/>
      <c r="H9" s="30"/>
      <c r="I9" s="8">
        <f>IF(OR(A9="",H9=""),"",H9-TODAY())</f>
        <v>0</v>
      </c>
      <c r="J9" s="8">
        <f>IF(A9="","",IF(U9="Yes","Done",IF(I9="","No date",IF(I9&lt;0,"Overdue",IF(I9&lt;=Prep_Reminder_Days,"This week","Later")))))</f>
        <v>0</v>
      </c>
      <c r="K9" s="8">
        <f>IF(OR(A9="",I9=""),"",COUNTIFS($I$5:$I$124,"&lt;"&amp;I9)+1)</f>
        <v>0</v>
      </c>
      <c r="L9" s="7"/>
      <c r="M9" s="27"/>
      <c r="N9" s="26"/>
      <c r="O9" s="26"/>
      <c r="P9" s="8">
        <f>IF(OR(A9="",V9=""),"",V9+Leftover_Safe_Days)</f>
        <v>0</v>
      </c>
      <c r="Q9" s="8">
        <f>IF(OR(A9="",V9=""),"",V9+Freezer_Review_Days)</f>
        <v>0</v>
      </c>
      <c r="R9" s="27"/>
      <c r="S9" s="8">
        <f>IF(OR(D9="",E9=""),"",IFERROR(IFERROR(INDEX(Recipes!$H$5:$H$204,MATCH(D9,Recipes!$A$5:$A$204,0)),"")*E9,""))</f>
        <v>0</v>
      </c>
      <c r="T9" s="8">
        <f>IF(OR(D9="",E9=""),"",IFERROR(IFERROR(INDEX(Recipes!$Q$5:$Q$204,MATCH(D9,Recipes!$A$5:$A$204,0)),"")*E9,""))</f>
        <v>0</v>
      </c>
      <c r="U9" s="27"/>
      <c r="V9" s="30"/>
      <c r="W9" s="27"/>
      <c r="X9" s="25"/>
    </row>
    <row r="10" spans="1:24">
      <c r="A10" s="7"/>
      <c r="B10" s="27"/>
      <c r="C10" s="7"/>
      <c r="D10" s="27"/>
      <c r="E10" s="26"/>
      <c r="F10" s="26"/>
      <c r="G10" s="26"/>
      <c r="H10" s="30"/>
      <c r="I10" s="8">
        <f>IF(OR(A10="",H10=""),"",H10-TODAY())</f>
        <v>0</v>
      </c>
      <c r="J10" s="8">
        <f>IF(A10="","",IF(U10="Yes","Done",IF(I10="","No date",IF(I10&lt;0,"Overdue",IF(I10&lt;=Prep_Reminder_Days,"This week","Later")))))</f>
        <v>0</v>
      </c>
      <c r="K10" s="8">
        <f>IF(OR(A10="",I10=""),"",COUNTIFS($I$5:$I$124,"&lt;"&amp;I10)+1)</f>
        <v>0</v>
      </c>
      <c r="L10" s="7"/>
      <c r="M10" s="27"/>
      <c r="N10" s="26"/>
      <c r="O10" s="26"/>
      <c r="P10" s="8">
        <f>IF(OR(A10="",V10=""),"",V10+Leftover_Safe_Days)</f>
        <v>0</v>
      </c>
      <c r="Q10" s="8">
        <f>IF(OR(A10="",V10=""),"",V10+Freezer_Review_Days)</f>
        <v>0</v>
      </c>
      <c r="R10" s="27"/>
      <c r="S10" s="8">
        <f>IF(OR(D10="",E10=""),"",IFERROR(IFERROR(INDEX(Recipes!$H$5:$H$204,MATCH(D10,Recipes!$A$5:$A$204,0)),"")*E10,""))</f>
        <v>0</v>
      </c>
      <c r="T10" s="8">
        <f>IF(OR(D10="",E10=""),"",IFERROR(IFERROR(INDEX(Recipes!$Q$5:$Q$204,MATCH(D10,Recipes!$A$5:$A$204,0)),"")*E10,""))</f>
        <v>0</v>
      </c>
      <c r="U10" s="27"/>
      <c r="V10" s="30"/>
      <c r="W10" s="27"/>
      <c r="X10" s="25"/>
    </row>
    <row r="11" spans="1:24">
      <c r="A11" s="7"/>
      <c r="B11" s="27"/>
      <c r="C11" s="7"/>
      <c r="D11" s="27"/>
      <c r="E11" s="26"/>
      <c r="F11" s="26"/>
      <c r="G11" s="26"/>
      <c r="H11" s="30"/>
      <c r="I11" s="8">
        <f>IF(OR(A11="",H11=""),"",H11-TODAY())</f>
        <v>0</v>
      </c>
      <c r="J11" s="8">
        <f>IF(A11="","",IF(U11="Yes","Done",IF(I11="","No date",IF(I11&lt;0,"Overdue",IF(I11&lt;=Prep_Reminder_Days,"This week","Later")))))</f>
        <v>0</v>
      </c>
      <c r="K11" s="8">
        <f>IF(OR(A11="",I11=""),"",COUNTIFS($I$5:$I$124,"&lt;"&amp;I11)+1)</f>
        <v>0</v>
      </c>
      <c r="L11" s="7"/>
      <c r="M11" s="27"/>
      <c r="N11" s="26"/>
      <c r="O11" s="26"/>
      <c r="P11" s="8">
        <f>IF(OR(A11="",V11=""),"",V11+Leftover_Safe_Days)</f>
        <v>0</v>
      </c>
      <c r="Q11" s="8">
        <f>IF(OR(A11="",V11=""),"",V11+Freezer_Review_Days)</f>
        <v>0</v>
      </c>
      <c r="R11" s="27"/>
      <c r="S11" s="8">
        <f>IF(OR(D11="",E11=""),"",IFERROR(IFERROR(INDEX(Recipes!$H$5:$H$204,MATCH(D11,Recipes!$A$5:$A$204,0)),"")*E11,""))</f>
        <v>0</v>
      </c>
      <c r="T11" s="8">
        <f>IF(OR(D11="",E11=""),"",IFERROR(IFERROR(INDEX(Recipes!$Q$5:$Q$204,MATCH(D11,Recipes!$A$5:$A$204,0)),"")*E11,""))</f>
        <v>0</v>
      </c>
      <c r="U11" s="27"/>
      <c r="V11" s="30"/>
      <c r="W11" s="27"/>
      <c r="X11" s="25"/>
    </row>
    <row r="12" spans="1:24">
      <c r="A12" s="7"/>
      <c r="B12" s="27"/>
      <c r="C12" s="7"/>
      <c r="D12" s="27"/>
      <c r="E12" s="26"/>
      <c r="F12" s="26"/>
      <c r="G12" s="26"/>
      <c r="H12" s="30"/>
      <c r="I12" s="8">
        <f>IF(OR(A12="",H12=""),"",H12-TODAY())</f>
        <v>0</v>
      </c>
      <c r="J12" s="8">
        <f>IF(A12="","",IF(U12="Yes","Done",IF(I12="","No date",IF(I12&lt;0,"Overdue",IF(I12&lt;=Prep_Reminder_Days,"This week","Later")))))</f>
        <v>0</v>
      </c>
      <c r="K12" s="8">
        <f>IF(OR(A12="",I12=""),"",COUNTIFS($I$5:$I$124,"&lt;"&amp;I12)+1)</f>
        <v>0</v>
      </c>
      <c r="L12" s="7"/>
      <c r="M12" s="27"/>
      <c r="N12" s="26"/>
      <c r="O12" s="26"/>
      <c r="P12" s="8">
        <f>IF(OR(A12="",V12=""),"",V12+Leftover_Safe_Days)</f>
        <v>0</v>
      </c>
      <c r="Q12" s="8">
        <f>IF(OR(A12="",V12=""),"",V12+Freezer_Review_Days)</f>
        <v>0</v>
      </c>
      <c r="R12" s="27"/>
      <c r="S12" s="8">
        <f>IF(OR(D12="",E12=""),"",IFERROR(IFERROR(INDEX(Recipes!$H$5:$H$204,MATCH(D12,Recipes!$A$5:$A$204,0)),"")*E12,""))</f>
        <v>0</v>
      </c>
      <c r="T12" s="8">
        <f>IF(OR(D12="",E12=""),"",IFERROR(IFERROR(INDEX(Recipes!$Q$5:$Q$204,MATCH(D12,Recipes!$A$5:$A$204,0)),"")*E12,""))</f>
        <v>0</v>
      </c>
      <c r="U12" s="27"/>
      <c r="V12" s="30"/>
      <c r="W12" s="27"/>
      <c r="X12" s="25"/>
    </row>
    <row r="13" spans="1:24">
      <c r="A13" s="7"/>
      <c r="B13" s="27"/>
      <c r="C13" s="7"/>
      <c r="D13" s="27"/>
      <c r="E13" s="26"/>
      <c r="F13" s="26"/>
      <c r="G13" s="26"/>
      <c r="H13" s="30"/>
      <c r="I13" s="8">
        <f>IF(OR(A13="",H13=""),"",H13-TODAY())</f>
        <v>0</v>
      </c>
      <c r="J13" s="8">
        <f>IF(A13="","",IF(U13="Yes","Done",IF(I13="","No date",IF(I13&lt;0,"Overdue",IF(I13&lt;=Prep_Reminder_Days,"This week","Later")))))</f>
        <v>0</v>
      </c>
      <c r="K13" s="8">
        <f>IF(OR(A13="",I13=""),"",COUNTIFS($I$5:$I$124,"&lt;"&amp;I13)+1)</f>
        <v>0</v>
      </c>
      <c r="L13" s="7"/>
      <c r="M13" s="27"/>
      <c r="N13" s="26"/>
      <c r="O13" s="26"/>
      <c r="P13" s="8">
        <f>IF(OR(A13="",V13=""),"",V13+Leftover_Safe_Days)</f>
        <v>0</v>
      </c>
      <c r="Q13" s="8">
        <f>IF(OR(A13="",V13=""),"",V13+Freezer_Review_Days)</f>
        <v>0</v>
      </c>
      <c r="R13" s="27"/>
      <c r="S13" s="8">
        <f>IF(OR(D13="",E13=""),"",IFERROR(IFERROR(INDEX(Recipes!$H$5:$H$204,MATCH(D13,Recipes!$A$5:$A$204,0)),"")*E13,""))</f>
        <v>0</v>
      </c>
      <c r="T13" s="8">
        <f>IF(OR(D13="",E13=""),"",IFERROR(IFERROR(INDEX(Recipes!$Q$5:$Q$204,MATCH(D13,Recipes!$A$5:$A$204,0)),"")*E13,""))</f>
        <v>0</v>
      </c>
      <c r="U13" s="27"/>
      <c r="V13" s="30"/>
      <c r="W13" s="27"/>
      <c r="X13" s="25"/>
    </row>
    <row r="14" spans="1:24">
      <c r="A14" s="7"/>
      <c r="B14" s="27"/>
      <c r="C14" s="7"/>
      <c r="D14" s="27"/>
      <c r="E14" s="26"/>
      <c r="F14" s="26"/>
      <c r="G14" s="26"/>
      <c r="H14" s="30"/>
      <c r="I14" s="8">
        <f>IF(OR(A14="",H14=""),"",H14-TODAY())</f>
        <v>0</v>
      </c>
      <c r="J14" s="8">
        <f>IF(A14="","",IF(U14="Yes","Done",IF(I14="","No date",IF(I14&lt;0,"Overdue",IF(I14&lt;=Prep_Reminder_Days,"This week","Later")))))</f>
        <v>0</v>
      </c>
      <c r="K14" s="8">
        <f>IF(OR(A14="",I14=""),"",COUNTIFS($I$5:$I$124,"&lt;"&amp;I14)+1)</f>
        <v>0</v>
      </c>
      <c r="L14" s="7"/>
      <c r="M14" s="27"/>
      <c r="N14" s="26"/>
      <c r="O14" s="26"/>
      <c r="P14" s="8">
        <f>IF(OR(A14="",V14=""),"",V14+Leftover_Safe_Days)</f>
        <v>0</v>
      </c>
      <c r="Q14" s="8">
        <f>IF(OR(A14="",V14=""),"",V14+Freezer_Review_Days)</f>
        <v>0</v>
      </c>
      <c r="R14" s="27"/>
      <c r="S14" s="8">
        <f>IF(OR(D14="",E14=""),"",IFERROR(IFERROR(INDEX(Recipes!$H$5:$H$204,MATCH(D14,Recipes!$A$5:$A$204,0)),"")*E14,""))</f>
        <v>0</v>
      </c>
      <c r="T14" s="8">
        <f>IF(OR(D14="",E14=""),"",IFERROR(IFERROR(INDEX(Recipes!$Q$5:$Q$204,MATCH(D14,Recipes!$A$5:$A$204,0)),"")*E14,""))</f>
        <v>0</v>
      </c>
      <c r="U14" s="27"/>
      <c r="V14" s="30"/>
      <c r="W14" s="27"/>
      <c r="X14" s="25"/>
    </row>
    <row r="15" spans="1:24">
      <c r="A15" s="7"/>
      <c r="B15" s="27"/>
      <c r="C15" s="7"/>
      <c r="D15" s="27"/>
      <c r="E15" s="26"/>
      <c r="F15" s="26"/>
      <c r="G15" s="26"/>
      <c r="H15" s="30"/>
      <c r="I15" s="8">
        <f>IF(OR(A15="",H15=""),"",H15-TODAY())</f>
        <v>0</v>
      </c>
      <c r="J15" s="8">
        <f>IF(A15="","",IF(U15="Yes","Done",IF(I15="","No date",IF(I15&lt;0,"Overdue",IF(I15&lt;=Prep_Reminder_Days,"This week","Later")))))</f>
        <v>0</v>
      </c>
      <c r="K15" s="8">
        <f>IF(OR(A15="",I15=""),"",COUNTIFS($I$5:$I$124,"&lt;"&amp;I15)+1)</f>
        <v>0</v>
      </c>
      <c r="L15" s="7"/>
      <c r="M15" s="27"/>
      <c r="N15" s="26"/>
      <c r="O15" s="26"/>
      <c r="P15" s="8">
        <f>IF(OR(A15="",V15=""),"",V15+Leftover_Safe_Days)</f>
        <v>0</v>
      </c>
      <c r="Q15" s="8">
        <f>IF(OR(A15="",V15=""),"",V15+Freezer_Review_Days)</f>
        <v>0</v>
      </c>
      <c r="R15" s="27"/>
      <c r="S15" s="8">
        <f>IF(OR(D15="",E15=""),"",IFERROR(IFERROR(INDEX(Recipes!$H$5:$H$204,MATCH(D15,Recipes!$A$5:$A$204,0)),"")*E15,""))</f>
        <v>0</v>
      </c>
      <c r="T15" s="8">
        <f>IF(OR(D15="",E15=""),"",IFERROR(IFERROR(INDEX(Recipes!$Q$5:$Q$204,MATCH(D15,Recipes!$A$5:$A$204,0)),"")*E15,""))</f>
        <v>0</v>
      </c>
      <c r="U15" s="27"/>
      <c r="V15" s="30"/>
      <c r="W15" s="27"/>
      <c r="X15" s="25"/>
    </row>
    <row r="16" spans="1:24">
      <c r="A16" s="7"/>
      <c r="B16" s="27"/>
      <c r="C16" s="7"/>
      <c r="D16" s="27"/>
      <c r="E16" s="26"/>
      <c r="F16" s="26"/>
      <c r="G16" s="26"/>
      <c r="H16" s="30"/>
      <c r="I16" s="8">
        <f>IF(OR(A16="",H16=""),"",H16-TODAY())</f>
        <v>0</v>
      </c>
      <c r="J16" s="8">
        <f>IF(A16="","",IF(U16="Yes","Done",IF(I16="","No date",IF(I16&lt;0,"Overdue",IF(I16&lt;=Prep_Reminder_Days,"This week","Later")))))</f>
        <v>0</v>
      </c>
      <c r="K16" s="8">
        <f>IF(OR(A16="",I16=""),"",COUNTIFS($I$5:$I$124,"&lt;"&amp;I16)+1)</f>
        <v>0</v>
      </c>
      <c r="L16" s="7"/>
      <c r="M16" s="27"/>
      <c r="N16" s="26"/>
      <c r="O16" s="26"/>
      <c r="P16" s="8">
        <f>IF(OR(A16="",V16=""),"",V16+Leftover_Safe_Days)</f>
        <v>0</v>
      </c>
      <c r="Q16" s="8">
        <f>IF(OR(A16="",V16=""),"",V16+Freezer_Review_Days)</f>
        <v>0</v>
      </c>
      <c r="R16" s="27"/>
      <c r="S16" s="8">
        <f>IF(OR(D16="",E16=""),"",IFERROR(IFERROR(INDEX(Recipes!$H$5:$H$204,MATCH(D16,Recipes!$A$5:$A$204,0)),"")*E16,""))</f>
        <v>0</v>
      </c>
      <c r="T16" s="8">
        <f>IF(OR(D16="",E16=""),"",IFERROR(IFERROR(INDEX(Recipes!$Q$5:$Q$204,MATCH(D16,Recipes!$A$5:$A$204,0)),"")*E16,""))</f>
        <v>0</v>
      </c>
      <c r="U16" s="27"/>
      <c r="V16" s="30"/>
      <c r="W16" s="27"/>
      <c r="X16" s="25"/>
    </row>
    <row r="17" spans="1:24">
      <c r="A17" s="7"/>
      <c r="B17" s="27"/>
      <c r="C17" s="7"/>
      <c r="D17" s="27"/>
      <c r="E17" s="26"/>
      <c r="F17" s="26"/>
      <c r="G17" s="26"/>
      <c r="H17" s="30"/>
      <c r="I17" s="8">
        <f>IF(OR(A17="",H17=""),"",H17-TODAY())</f>
        <v>0</v>
      </c>
      <c r="J17" s="8">
        <f>IF(A17="","",IF(U17="Yes","Done",IF(I17="","No date",IF(I17&lt;0,"Overdue",IF(I17&lt;=Prep_Reminder_Days,"This week","Later")))))</f>
        <v>0</v>
      </c>
      <c r="K17" s="8">
        <f>IF(OR(A17="",I17=""),"",COUNTIFS($I$5:$I$124,"&lt;"&amp;I17)+1)</f>
        <v>0</v>
      </c>
      <c r="L17" s="7"/>
      <c r="M17" s="27"/>
      <c r="N17" s="26"/>
      <c r="O17" s="26"/>
      <c r="P17" s="8">
        <f>IF(OR(A17="",V17=""),"",V17+Leftover_Safe_Days)</f>
        <v>0</v>
      </c>
      <c r="Q17" s="8">
        <f>IF(OR(A17="",V17=""),"",V17+Freezer_Review_Days)</f>
        <v>0</v>
      </c>
      <c r="R17" s="27"/>
      <c r="S17" s="8">
        <f>IF(OR(D17="",E17=""),"",IFERROR(IFERROR(INDEX(Recipes!$H$5:$H$204,MATCH(D17,Recipes!$A$5:$A$204,0)),"")*E17,""))</f>
        <v>0</v>
      </c>
      <c r="T17" s="8">
        <f>IF(OR(D17="",E17=""),"",IFERROR(IFERROR(INDEX(Recipes!$Q$5:$Q$204,MATCH(D17,Recipes!$A$5:$A$204,0)),"")*E17,""))</f>
        <v>0</v>
      </c>
      <c r="U17" s="27"/>
      <c r="V17" s="30"/>
      <c r="W17" s="27"/>
      <c r="X17" s="25"/>
    </row>
    <row r="18" spans="1:24">
      <c r="A18" s="7"/>
      <c r="B18" s="27"/>
      <c r="C18" s="7"/>
      <c r="D18" s="27"/>
      <c r="E18" s="26"/>
      <c r="F18" s="26"/>
      <c r="G18" s="26"/>
      <c r="H18" s="30"/>
      <c r="I18" s="8">
        <f>IF(OR(A18="",H18=""),"",H18-TODAY())</f>
        <v>0</v>
      </c>
      <c r="J18" s="8">
        <f>IF(A18="","",IF(U18="Yes","Done",IF(I18="","No date",IF(I18&lt;0,"Overdue",IF(I18&lt;=Prep_Reminder_Days,"This week","Later")))))</f>
        <v>0</v>
      </c>
      <c r="K18" s="8">
        <f>IF(OR(A18="",I18=""),"",COUNTIFS($I$5:$I$124,"&lt;"&amp;I18)+1)</f>
        <v>0</v>
      </c>
      <c r="L18" s="7"/>
      <c r="M18" s="27"/>
      <c r="N18" s="26"/>
      <c r="O18" s="26"/>
      <c r="P18" s="8">
        <f>IF(OR(A18="",V18=""),"",V18+Leftover_Safe_Days)</f>
        <v>0</v>
      </c>
      <c r="Q18" s="8">
        <f>IF(OR(A18="",V18=""),"",V18+Freezer_Review_Days)</f>
        <v>0</v>
      </c>
      <c r="R18" s="27"/>
      <c r="S18" s="8">
        <f>IF(OR(D18="",E18=""),"",IFERROR(IFERROR(INDEX(Recipes!$H$5:$H$204,MATCH(D18,Recipes!$A$5:$A$204,0)),"")*E18,""))</f>
        <v>0</v>
      </c>
      <c r="T18" s="8">
        <f>IF(OR(D18="",E18=""),"",IFERROR(IFERROR(INDEX(Recipes!$Q$5:$Q$204,MATCH(D18,Recipes!$A$5:$A$204,0)),"")*E18,""))</f>
        <v>0</v>
      </c>
      <c r="U18" s="27"/>
      <c r="V18" s="30"/>
      <c r="W18" s="27"/>
      <c r="X18" s="25"/>
    </row>
    <row r="19" spans="1:24">
      <c r="A19" s="7"/>
      <c r="B19" s="27"/>
      <c r="C19" s="7"/>
      <c r="D19" s="27"/>
      <c r="E19" s="26"/>
      <c r="F19" s="26"/>
      <c r="G19" s="26"/>
      <c r="H19" s="30"/>
      <c r="I19" s="8">
        <f>IF(OR(A19="",H19=""),"",H19-TODAY())</f>
        <v>0</v>
      </c>
      <c r="J19" s="8">
        <f>IF(A19="","",IF(U19="Yes","Done",IF(I19="","No date",IF(I19&lt;0,"Overdue",IF(I19&lt;=Prep_Reminder_Days,"This week","Later")))))</f>
        <v>0</v>
      </c>
      <c r="K19" s="8">
        <f>IF(OR(A19="",I19=""),"",COUNTIFS($I$5:$I$124,"&lt;"&amp;I19)+1)</f>
        <v>0</v>
      </c>
      <c r="L19" s="7"/>
      <c r="M19" s="27"/>
      <c r="N19" s="26"/>
      <c r="O19" s="26"/>
      <c r="P19" s="8">
        <f>IF(OR(A19="",V19=""),"",V19+Leftover_Safe_Days)</f>
        <v>0</v>
      </c>
      <c r="Q19" s="8">
        <f>IF(OR(A19="",V19=""),"",V19+Freezer_Review_Days)</f>
        <v>0</v>
      </c>
      <c r="R19" s="27"/>
      <c r="S19" s="8">
        <f>IF(OR(D19="",E19=""),"",IFERROR(IFERROR(INDEX(Recipes!$H$5:$H$204,MATCH(D19,Recipes!$A$5:$A$204,0)),"")*E19,""))</f>
        <v>0</v>
      </c>
      <c r="T19" s="8">
        <f>IF(OR(D19="",E19=""),"",IFERROR(IFERROR(INDEX(Recipes!$Q$5:$Q$204,MATCH(D19,Recipes!$A$5:$A$204,0)),"")*E19,""))</f>
        <v>0</v>
      </c>
      <c r="U19" s="27"/>
      <c r="V19" s="30"/>
      <c r="W19" s="27"/>
      <c r="X19" s="25"/>
    </row>
    <row r="20" spans="1:24">
      <c r="A20" s="7"/>
      <c r="B20" s="27"/>
      <c r="C20" s="7"/>
      <c r="D20" s="27"/>
      <c r="E20" s="26"/>
      <c r="F20" s="26"/>
      <c r="G20" s="26"/>
      <c r="H20" s="30"/>
      <c r="I20" s="8">
        <f>IF(OR(A20="",H20=""),"",H20-TODAY())</f>
        <v>0</v>
      </c>
      <c r="J20" s="8">
        <f>IF(A20="","",IF(U20="Yes","Done",IF(I20="","No date",IF(I20&lt;0,"Overdue",IF(I20&lt;=Prep_Reminder_Days,"This week","Later")))))</f>
        <v>0</v>
      </c>
      <c r="K20" s="8">
        <f>IF(OR(A20="",I20=""),"",COUNTIFS($I$5:$I$124,"&lt;"&amp;I20)+1)</f>
        <v>0</v>
      </c>
      <c r="L20" s="7"/>
      <c r="M20" s="27"/>
      <c r="N20" s="26"/>
      <c r="O20" s="26"/>
      <c r="P20" s="8">
        <f>IF(OR(A20="",V20=""),"",V20+Leftover_Safe_Days)</f>
        <v>0</v>
      </c>
      <c r="Q20" s="8">
        <f>IF(OR(A20="",V20=""),"",V20+Freezer_Review_Days)</f>
        <v>0</v>
      </c>
      <c r="R20" s="27"/>
      <c r="S20" s="8">
        <f>IF(OR(D20="",E20=""),"",IFERROR(IFERROR(INDEX(Recipes!$H$5:$H$204,MATCH(D20,Recipes!$A$5:$A$204,0)),"")*E20,""))</f>
        <v>0</v>
      </c>
      <c r="T20" s="8">
        <f>IF(OR(D20="",E20=""),"",IFERROR(IFERROR(INDEX(Recipes!$Q$5:$Q$204,MATCH(D20,Recipes!$A$5:$A$204,0)),"")*E20,""))</f>
        <v>0</v>
      </c>
      <c r="U20" s="27"/>
      <c r="V20" s="30"/>
      <c r="W20" s="27"/>
      <c r="X20" s="25"/>
    </row>
    <row r="21" spans="1:24">
      <c r="A21" s="7"/>
      <c r="B21" s="27"/>
      <c r="C21" s="7"/>
      <c r="D21" s="27"/>
      <c r="E21" s="26"/>
      <c r="F21" s="26"/>
      <c r="G21" s="26"/>
      <c r="H21" s="30"/>
      <c r="I21" s="8">
        <f>IF(OR(A21="",H21=""),"",H21-TODAY())</f>
        <v>0</v>
      </c>
      <c r="J21" s="8">
        <f>IF(A21="","",IF(U21="Yes","Done",IF(I21="","No date",IF(I21&lt;0,"Overdue",IF(I21&lt;=Prep_Reminder_Days,"This week","Later")))))</f>
        <v>0</v>
      </c>
      <c r="K21" s="8">
        <f>IF(OR(A21="",I21=""),"",COUNTIFS($I$5:$I$124,"&lt;"&amp;I21)+1)</f>
        <v>0</v>
      </c>
      <c r="L21" s="7"/>
      <c r="M21" s="27"/>
      <c r="N21" s="26"/>
      <c r="O21" s="26"/>
      <c r="P21" s="8">
        <f>IF(OR(A21="",V21=""),"",V21+Leftover_Safe_Days)</f>
        <v>0</v>
      </c>
      <c r="Q21" s="8">
        <f>IF(OR(A21="",V21=""),"",V21+Freezer_Review_Days)</f>
        <v>0</v>
      </c>
      <c r="R21" s="27"/>
      <c r="S21" s="8">
        <f>IF(OR(D21="",E21=""),"",IFERROR(IFERROR(INDEX(Recipes!$H$5:$H$204,MATCH(D21,Recipes!$A$5:$A$204,0)),"")*E21,""))</f>
        <v>0</v>
      </c>
      <c r="T21" s="8">
        <f>IF(OR(D21="",E21=""),"",IFERROR(IFERROR(INDEX(Recipes!$Q$5:$Q$204,MATCH(D21,Recipes!$A$5:$A$204,0)),"")*E21,""))</f>
        <v>0</v>
      </c>
      <c r="U21" s="27"/>
      <c r="V21" s="30"/>
      <c r="W21" s="27"/>
      <c r="X21" s="25"/>
    </row>
    <row r="22" spans="1:24">
      <c r="A22" s="7"/>
      <c r="B22" s="27"/>
      <c r="C22" s="7"/>
      <c r="D22" s="27"/>
      <c r="E22" s="26"/>
      <c r="F22" s="26"/>
      <c r="G22" s="26"/>
      <c r="H22" s="30"/>
      <c r="I22" s="8">
        <f>IF(OR(A22="",H22=""),"",H22-TODAY())</f>
        <v>0</v>
      </c>
      <c r="J22" s="8">
        <f>IF(A22="","",IF(U22="Yes","Done",IF(I22="","No date",IF(I22&lt;0,"Overdue",IF(I22&lt;=Prep_Reminder_Days,"This week","Later")))))</f>
        <v>0</v>
      </c>
      <c r="K22" s="8">
        <f>IF(OR(A22="",I22=""),"",COUNTIFS($I$5:$I$124,"&lt;"&amp;I22)+1)</f>
        <v>0</v>
      </c>
      <c r="L22" s="7"/>
      <c r="M22" s="27"/>
      <c r="N22" s="26"/>
      <c r="O22" s="26"/>
      <c r="P22" s="8">
        <f>IF(OR(A22="",V22=""),"",V22+Leftover_Safe_Days)</f>
        <v>0</v>
      </c>
      <c r="Q22" s="8">
        <f>IF(OR(A22="",V22=""),"",V22+Freezer_Review_Days)</f>
        <v>0</v>
      </c>
      <c r="R22" s="27"/>
      <c r="S22" s="8">
        <f>IF(OR(D22="",E22=""),"",IFERROR(IFERROR(INDEX(Recipes!$H$5:$H$204,MATCH(D22,Recipes!$A$5:$A$204,0)),"")*E22,""))</f>
        <v>0</v>
      </c>
      <c r="T22" s="8">
        <f>IF(OR(D22="",E22=""),"",IFERROR(IFERROR(INDEX(Recipes!$Q$5:$Q$204,MATCH(D22,Recipes!$A$5:$A$204,0)),"")*E22,""))</f>
        <v>0</v>
      </c>
      <c r="U22" s="27"/>
      <c r="V22" s="30"/>
      <c r="W22" s="27"/>
      <c r="X22" s="25"/>
    </row>
    <row r="23" spans="1:24">
      <c r="A23" s="7"/>
      <c r="B23" s="27"/>
      <c r="C23" s="7"/>
      <c r="D23" s="27"/>
      <c r="E23" s="26"/>
      <c r="F23" s="26"/>
      <c r="G23" s="26"/>
      <c r="H23" s="30"/>
      <c r="I23" s="8">
        <f>IF(OR(A23="",H23=""),"",H23-TODAY())</f>
        <v>0</v>
      </c>
      <c r="J23" s="8">
        <f>IF(A23="","",IF(U23="Yes","Done",IF(I23="","No date",IF(I23&lt;0,"Overdue",IF(I23&lt;=Prep_Reminder_Days,"This week","Later")))))</f>
        <v>0</v>
      </c>
      <c r="K23" s="8">
        <f>IF(OR(A23="",I23=""),"",COUNTIFS($I$5:$I$124,"&lt;"&amp;I23)+1)</f>
        <v>0</v>
      </c>
      <c r="L23" s="7"/>
      <c r="M23" s="27"/>
      <c r="N23" s="26"/>
      <c r="O23" s="26"/>
      <c r="P23" s="8">
        <f>IF(OR(A23="",V23=""),"",V23+Leftover_Safe_Days)</f>
        <v>0</v>
      </c>
      <c r="Q23" s="8">
        <f>IF(OR(A23="",V23=""),"",V23+Freezer_Review_Days)</f>
        <v>0</v>
      </c>
      <c r="R23" s="27"/>
      <c r="S23" s="8">
        <f>IF(OR(D23="",E23=""),"",IFERROR(IFERROR(INDEX(Recipes!$H$5:$H$204,MATCH(D23,Recipes!$A$5:$A$204,0)),"")*E23,""))</f>
        <v>0</v>
      </c>
      <c r="T23" s="8">
        <f>IF(OR(D23="",E23=""),"",IFERROR(IFERROR(INDEX(Recipes!$Q$5:$Q$204,MATCH(D23,Recipes!$A$5:$A$204,0)),"")*E23,""))</f>
        <v>0</v>
      </c>
      <c r="U23" s="27"/>
      <c r="V23" s="30"/>
      <c r="W23" s="27"/>
      <c r="X23" s="25"/>
    </row>
    <row r="24" spans="1:24">
      <c r="A24" s="7"/>
      <c r="B24" s="27"/>
      <c r="C24" s="7"/>
      <c r="D24" s="27"/>
      <c r="E24" s="26"/>
      <c r="F24" s="26"/>
      <c r="G24" s="26"/>
      <c r="H24" s="30"/>
      <c r="I24" s="8">
        <f>IF(OR(A24="",H24=""),"",H24-TODAY())</f>
        <v>0</v>
      </c>
      <c r="J24" s="8">
        <f>IF(A24="","",IF(U24="Yes","Done",IF(I24="","No date",IF(I24&lt;0,"Overdue",IF(I24&lt;=Prep_Reminder_Days,"This week","Later")))))</f>
        <v>0</v>
      </c>
      <c r="K24" s="8">
        <f>IF(OR(A24="",I24=""),"",COUNTIFS($I$5:$I$124,"&lt;"&amp;I24)+1)</f>
        <v>0</v>
      </c>
      <c r="L24" s="7"/>
      <c r="M24" s="27"/>
      <c r="N24" s="26"/>
      <c r="O24" s="26"/>
      <c r="P24" s="8">
        <f>IF(OR(A24="",V24=""),"",V24+Leftover_Safe_Days)</f>
        <v>0</v>
      </c>
      <c r="Q24" s="8">
        <f>IF(OR(A24="",V24=""),"",V24+Freezer_Review_Days)</f>
        <v>0</v>
      </c>
      <c r="R24" s="27"/>
      <c r="S24" s="8">
        <f>IF(OR(D24="",E24=""),"",IFERROR(IFERROR(INDEX(Recipes!$H$5:$H$204,MATCH(D24,Recipes!$A$5:$A$204,0)),"")*E24,""))</f>
        <v>0</v>
      </c>
      <c r="T24" s="8">
        <f>IF(OR(D24="",E24=""),"",IFERROR(IFERROR(INDEX(Recipes!$Q$5:$Q$204,MATCH(D24,Recipes!$A$5:$A$204,0)),"")*E24,""))</f>
        <v>0</v>
      </c>
      <c r="U24" s="27"/>
      <c r="V24" s="30"/>
      <c r="W24" s="27"/>
      <c r="X24" s="25"/>
    </row>
    <row r="25" spans="1:24">
      <c r="A25" s="7"/>
      <c r="B25" s="27"/>
      <c r="C25" s="7"/>
      <c r="D25" s="27"/>
      <c r="E25" s="26"/>
      <c r="F25" s="26"/>
      <c r="G25" s="26"/>
      <c r="H25" s="30"/>
      <c r="I25" s="8">
        <f>IF(OR(A25="",H25=""),"",H25-TODAY())</f>
        <v>0</v>
      </c>
      <c r="J25" s="8">
        <f>IF(A25="","",IF(U25="Yes","Done",IF(I25="","No date",IF(I25&lt;0,"Overdue",IF(I25&lt;=Prep_Reminder_Days,"This week","Later")))))</f>
        <v>0</v>
      </c>
      <c r="K25" s="8">
        <f>IF(OR(A25="",I25=""),"",COUNTIFS($I$5:$I$124,"&lt;"&amp;I25)+1)</f>
        <v>0</v>
      </c>
      <c r="L25" s="7"/>
      <c r="M25" s="27"/>
      <c r="N25" s="26"/>
      <c r="O25" s="26"/>
      <c r="P25" s="8">
        <f>IF(OR(A25="",V25=""),"",V25+Leftover_Safe_Days)</f>
        <v>0</v>
      </c>
      <c r="Q25" s="8">
        <f>IF(OR(A25="",V25=""),"",V25+Freezer_Review_Days)</f>
        <v>0</v>
      </c>
      <c r="R25" s="27"/>
      <c r="S25" s="8">
        <f>IF(OR(D25="",E25=""),"",IFERROR(IFERROR(INDEX(Recipes!$H$5:$H$204,MATCH(D25,Recipes!$A$5:$A$204,0)),"")*E25,""))</f>
        <v>0</v>
      </c>
      <c r="T25" s="8">
        <f>IF(OR(D25="",E25=""),"",IFERROR(IFERROR(INDEX(Recipes!$Q$5:$Q$204,MATCH(D25,Recipes!$A$5:$A$204,0)),"")*E25,""))</f>
        <v>0</v>
      </c>
      <c r="U25" s="27"/>
      <c r="V25" s="30"/>
      <c r="W25" s="27"/>
      <c r="X25" s="25"/>
    </row>
    <row r="26" spans="1:24">
      <c r="A26" s="7"/>
      <c r="B26" s="27"/>
      <c r="C26" s="7"/>
      <c r="D26" s="27"/>
      <c r="E26" s="26"/>
      <c r="F26" s="26"/>
      <c r="G26" s="26"/>
      <c r="H26" s="30"/>
      <c r="I26" s="8">
        <f>IF(OR(A26="",H26=""),"",H26-TODAY())</f>
        <v>0</v>
      </c>
      <c r="J26" s="8">
        <f>IF(A26="","",IF(U26="Yes","Done",IF(I26="","No date",IF(I26&lt;0,"Overdue",IF(I26&lt;=Prep_Reminder_Days,"This week","Later")))))</f>
        <v>0</v>
      </c>
      <c r="K26" s="8">
        <f>IF(OR(A26="",I26=""),"",COUNTIFS($I$5:$I$124,"&lt;"&amp;I26)+1)</f>
        <v>0</v>
      </c>
      <c r="L26" s="7"/>
      <c r="M26" s="27"/>
      <c r="N26" s="26"/>
      <c r="O26" s="26"/>
      <c r="P26" s="8">
        <f>IF(OR(A26="",V26=""),"",V26+Leftover_Safe_Days)</f>
        <v>0</v>
      </c>
      <c r="Q26" s="8">
        <f>IF(OR(A26="",V26=""),"",V26+Freezer_Review_Days)</f>
        <v>0</v>
      </c>
      <c r="R26" s="27"/>
      <c r="S26" s="8">
        <f>IF(OR(D26="",E26=""),"",IFERROR(IFERROR(INDEX(Recipes!$H$5:$H$204,MATCH(D26,Recipes!$A$5:$A$204,0)),"")*E26,""))</f>
        <v>0</v>
      </c>
      <c r="T26" s="8">
        <f>IF(OR(D26="",E26=""),"",IFERROR(IFERROR(INDEX(Recipes!$Q$5:$Q$204,MATCH(D26,Recipes!$A$5:$A$204,0)),"")*E26,""))</f>
        <v>0</v>
      </c>
      <c r="U26" s="27"/>
      <c r="V26" s="30"/>
      <c r="W26" s="27"/>
      <c r="X26" s="25"/>
    </row>
    <row r="27" spans="1:24">
      <c r="A27" s="7"/>
      <c r="B27" s="27"/>
      <c r="C27" s="7"/>
      <c r="D27" s="27"/>
      <c r="E27" s="26"/>
      <c r="F27" s="26"/>
      <c r="G27" s="26"/>
      <c r="H27" s="30"/>
      <c r="I27" s="8">
        <f>IF(OR(A27="",H27=""),"",H27-TODAY())</f>
        <v>0</v>
      </c>
      <c r="J27" s="8">
        <f>IF(A27="","",IF(U27="Yes","Done",IF(I27="","No date",IF(I27&lt;0,"Overdue",IF(I27&lt;=Prep_Reminder_Days,"This week","Later")))))</f>
        <v>0</v>
      </c>
      <c r="K27" s="8">
        <f>IF(OR(A27="",I27=""),"",COUNTIFS($I$5:$I$124,"&lt;"&amp;I27)+1)</f>
        <v>0</v>
      </c>
      <c r="L27" s="7"/>
      <c r="M27" s="27"/>
      <c r="N27" s="26"/>
      <c r="O27" s="26"/>
      <c r="P27" s="8">
        <f>IF(OR(A27="",V27=""),"",V27+Leftover_Safe_Days)</f>
        <v>0</v>
      </c>
      <c r="Q27" s="8">
        <f>IF(OR(A27="",V27=""),"",V27+Freezer_Review_Days)</f>
        <v>0</v>
      </c>
      <c r="R27" s="27"/>
      <c r="S27" s="8">
        <f>IF(OR(D27="",E27=""),"",IFERROR(IFERROR(INDEX(Recipes!$H$5:$H$204,MATCH(D27,Recipes!$A$5:$A$204,0)),"")*E27,""))</f>
        <v>0</v>
      </c>
      <c r="T27" s="8">
        <f>IF(OR(D27="",E27=""),"",IFERROR(IFERROR(INDEX(Recipes!$Q$5:$Q$204,MATCH(D27,Recipes!$A$5:$A$204,0)),"")*E27,""))</f>
        <v>0</v>
      </c>
      <c r="U27" s="27"/>
      <c r="V27" s="30"/>
      <c r="W27" s="27"/>
      <c r="X27" s="25"/>
    </row>
    <row r="28" spans="1:24">
      <c r="A28" s="7"/>
      <c r="B28" s="27"/>
      <c r="C28" s="7"/>
      <c r="D28" s="27"/>
      <c r="E28" s="26"/>
      <c r="F28" s="26"/>
      <c r="G28" s="26"/>
      <c r="H28" s="30"/>
      <c r="I28" s="8">
        <f>IF(OR(A28="",H28=""),"",H28-TODAY())</f>
        <v>0</v>
      </c>
      <c r="J28" s="8">
        <f>IF(A28="","",IF(U28="Yes","Done",IF(I28="","No date",IF(I28&lt;0,"Overdue",IF(I28&lt;=Prep_Reminder_Days,"This week","Later")))))</f>
        <v>0</v>
      </c>
      <c r="K28" s="8">
        <f>IF(OR(A28="",I28=""),"",COUNTIFS($I$5:$I$124,"&lt;"&amp;I28)+1)</f>
        <v>0</v>
      </c>
      <c r="L28" s="7"/>
      <c r="M28" s="27"/>
      <c r="N28" s="26"/>
      <c r="O28" s="26"/>
      <c r="P28" s="8">
        <f>IF(OR(A28="",V28=""),"",V28+Leftover_Safe_Days)</f>
        <v>0</v>
      </c>
      <c r="Q28" s="8">
        <f>IF(OR(A28="",V28=""),"",V28+Freezer_Review_Days)</f>
        <v>0</v>
      </c>
      <c r="R28" s="27"/>
      <c r="S28" s="8">
        <f>IF(OR(D28="",E28=""),"",IFERROR(IFERROR(INDEX(Recipes!$H$5:$H$204,MATCH(D28,Recipes!$A$5:$A$204,0)),"")*E28,""))</f>
        <v>0</v>
      </c>
      <c r="T28" s="8">
        <f>IF(OR(D28="",E28=""),"",IFERROR(IFERROR(INDEX(Recipes!$Q$5:$Q$204,MATCH(D28,Recipes!$A$5:$A$204,0)),"")*E28,""))</f>
        <v>0</v>
      </c>
      <c r="U28" s="27"/>
      <c r="V28" s="30"/>
      <c r="W28" s="27"/>
      <c r="X28" s="25"/>
    </row>
    <row r="29" spans="1:24">
      <c r="A29" s="7"/>
      <c r="B29" s="27"/>
      <c r="C29" s="7"/>
      <c r="D29" s="27"/>
      <c r="E29" s="26"/>
      <c r="F29" s="26"/>
      <c r="G29" s="26"/>
      <c r="H29" s="30"/>
      <c r="I29" s="8">
        <f>IF(OR(A29="",H29=""),"",H29-TODAY())</f>
        <v>0</v>
      </c>
      <c r="J29" s="8">
        <f>IF(A29="","",IF(U29="Yes","Done",IF(I29="","No date",IF(I29&lt;0,"Overdue",IF(I29&lt;=Prep_Reminder_Days,"This week","Later")))))</f>
        <v>0</v>
      </c>
      <c r="K29" s="8">
        <f>IF(OR(A29="",I29=""),"",COUNTIFS($I$5:$I$124,"&lt;"&amp;I29)+1)</f>
        <v>0</v>
      </c>
      <c r="L29" s="7"/>
      <c r="M29" s="27"/>
      <c r="N29" s="26"/>
      <c r="O29" s="26"/>
      <c r="P29" s="8">
        <f>IF(OR(A29="",V29=""),"",V29+Leftover_Safe_Days)</f>
        <v>0</v>
      </c>
      <c r="Q29" s="8">
        <f>IF(OR(A29="",V29=""),"",V29+Freezer_Review_Days)</f>
        <v>0</v>
      </c>
      <c r="R29" s="27"/>
      <c r="S29" s="8">
        <f>IF(OR(D29="",E29=""),"",IFERROR(IFERROR(INDEX(Recipes!$H$5:$H$204,MATCH(D29,Recipes!$A$5:$A$204,0)),"")*E29,""))</f>
        <v>0</v>
      </c>
      <c r="T29" s="8">
        <f>IF(OR(D29="",E29=""),"",IFERROR(IFERROR(INDEX(Recipes!$Q$5:$Q$204,MATCH(D29,Recipes!$A$5:$A$204,0)),"")*E29,""))</f>
        <v>0</v>
      </c>
      <c r="U29" s="27"/>
      <c r="V29" s="30"/>
      <c r="W29" s="27"/>
      <c r="X29" s="25"/>
    </row>
    <row r="30" spans="1:24">
      <c r="A30" s="7"/>
      <c r="B30" s="27"/>
      <c r="C30" s="7"/>
      <c r="D30" s="27"/>
      <c r="E30" s="26"/>
      <c r="F30" s="26"/>
      <c r="G30" s="26"/>
      <c r="H30" s="30"/>
      <c r="I30" s="8">
        <f>IF(OR(A30="",H30=""),"",H30-TODAY())</f>
        <v>0</v>
      </c>
      <c r="J30" s="8">
        <f>IF(A30="","",IF(U30="Yes","Done",IF(I30="","No date",IF(I30&lt;0,"Overdue",IF(I30&lt;=Prep_Reminder_Days,"This week","Later")))))</f>
        <v>0</v>
      </c>
      <c r="K30" s="8">
        <f>IF(OR(A30="",I30=""),"",COUNTIFS($I$5:$I$124,"&lt;"&amp;I30)+1)</f>
        <v>0</v>
      </c>
      <c r="L30" s="7"/>
      <c r="M30" s="27"/>
      <c r="N30" s="26"/>
      <c r="O30" s="26"/>
      <c r="P30" s="8">
        <f>IF(OR(A30="",V30=""),"",V30+Leftover_Safe_Days)</f>
        <v>0</v>
      </c>
      <c r="Q30" s="8">
        <f>IF(OR(A30="",V30=""),"",V30+Freezer_Review_Days)</f>
        <v>0</v>
      </c>
      <c r="R30" s="27"/>
      <c r="S30" s="8">
        <f>IF(OR(D30="",E30=""),"",IFERROR(IFERROR(INDEX(Recipes!$H$5:$H$204,MATCH(D30,Recipes!$A$5:$A$204,0)),"")*E30,""))</f>
        <v>0</v>
      </c>
      <c r="T30" s="8">
        <f>IF(OR(D30="",E30=""),"",IFERROR(IFERROR(INDEX(Recipes!$Q$5:$Q$204,MATCH(D30,Recipes!$A$5:$A$204,0)),"")*E30,""))</f>
        <v>0</v>
      </c>
      <c r="U30" s="27"/>
      <c r="V30" s="30"/>
      <c r="W30" s="27"/>
      <c r="X30" s="25"/>
    </row>
    <row r="31" spans="1:24">
      <c r="A31" s="7"/>
      <c r="B31" s="27"/>
      <c r="C31" s="7"/>
      <c r="D31" s="27"/>
      <c r="E31" s="26"/>
      <c r="F31" s="26"/>
      <c r="G31" s="26"/>
      <c r="H31" s="30"/>
      <c r="I31" s="8">
        <f>IF(OR(A31="",H31=""),"",H31-TODAY())</f>
        <v>0</v>
      </c>
      <c r="J31" s="8">
        <f>IF(A31="","",IF(U31="Yes","Done",IF(I31="","No date",IF(I31&lt;0,"Overdue",IF(I31&lt;=Prep_Reminder_Days,"This week","Later")))))</f>
        <v>0</v>
      </c>
      <c r="K31" s="8">
        <f>IF(OR(A31="",I31=""),"",COUNTIFS($I$5:$I$124,"&lt;"&amp;I31)+1)</f>
        <v>0</v>
      </c>
      <c r="L31" s="7"/>
      <c r="M31" s="27"/>
      <c r="N31" s="26"/>
      <c r="O31" s="26"/>
      <c r="P31" s="8">
        <f>IF(OR(A31="",V31=""),"",V31+Leftover_Safe_Days)</f>
        <v>0</v>
      </c>
      <c r="Q31" s="8">
        <f>IF(OR(A31="",V31=""),"",V31+Freezer_Review_Days)</f>
        <v>0</v>
      </c>
      <c r="R31" s="27"/>
      <c r="S31" s="8">
        <f>IF(OR(D31="",E31=""),"",IFERROR(IFERROR(INDEX(Recipes!$H$5:$H$204,MATCH(D31,Recipes!$A$5:$A$204,0)),"")*E31,""))</f>
        <v>0</v>
      </c>
      <c r="T31" s="8">
        <f>IF(OR(D31="",E31=""),"",IFERROR(IFERROR(INDEX(Recipes!$Q$5:$Q$204,MATCH(D31,Recipes!$A$5:$A$204,0)),"")*E31,""))</f>
        <v>0</v>
      </c>
      <c r="U31" s="27"/>
      <c r="V31" s="30"/>
      <c r="W31" s="27"/>
      <c r="X31" s="25"/>
    </row>
    <row r="32" spans="1:24">
      <c r="A32" s="7"/>
      <c r="B32" s="27"/>
      <c r="C32" s="7"/>
      <c r="D32" s="27"/>
      <c r="E32" s="26"/>
      <c r="F32" s="26"/>
      <c r="G32" s="26"/>
      <c r="H32" s="30"/>
      <c r="I32" s="8">
        <f>IF(OR(A32="",H32=""),"",H32-TODAY())</f>
        <v>0</v>
      </c>
      <c r="J32" s="8">
        <f>IF(A32="","",IF(U32="Yes","Done",IF(I32="","No date",IF(I32&lt;0,"Overdue",IF(I32&lt;=Prep_Reminder_Days,"This week","Later")))))</f>
        <v>0</v>
      </c>
      <c r="K32" s="8">
        <f>IF(OR(A32="",I32=""),"",COUNTIFS($I$5:$I$124,"&lt;"&amp;I32)+1)</f>
        <v>0</v>
      </c>
      <c r="L32" s="7"/>
      <c r="M32" s="27"/>
      <c r="N32" s="26"/>
      <c r="O32" s="26"/>
      <c r="P32" s="8">
        <f>IF(OR(A32="",V32=""),"",V32+Leftover_Safe_Days)</f>
        <v>0</v>
      </c>
      <c r="Q32" s="8">
        <f>IF(OR(A32="",V32=""),"",V32+Freezer_Review_Days)</f>
        <v>0</v>
      </c>
      <c r="R32" s="27"/>
      <c r="S32" s="8">
        <f>IF(OR(D32="",E32=""),"",IFERROR(IFERROR(INDEX(Recipes!$H$5:$H$204,MATCH(D32,Recipes!$A$5:$A$204,0)),"")*E32,""))</f>
        <v>0</v>
      </c>
      <c r="T32" s="8">
        <f>IF(OR(D32="",E32=""),"",IFERROR(IFERROR(INDEX(Recipes!$Q$5:$Q$204,MATCH(D32,Recipes!$A$5:$A$204,0)),"")*E32,""))</f>
        <v>0</v>
      </c>
      <c r="U32" s="27"/>
      <c r="V32" s="30"/>
      <c r="W32" s="27"/>
      <c r="X32" s="25"/>
    </row>
    <row r="33" spans="1:24">
      <c r="A33" s="7"/>
      <c r="B33" s="27"/>
      <c r="C33" s="7"/>
      <c r="D33" s="27"/>
      <c r="E33" s="26"/>
      <c r="F33" s="26"/>
      <c r="G33" s="26"/>
      <c r="H33" s="30"/>
      <c r="I33" s="8">
        <f>IF(OR(A33="",H33=""),"",H33-TODAY())</f>
        <v>0</v>
      </c>
      <c r="J33" s="8">
        <f>IF(A33="","",IF(U33="Yes","Done",IF(I33="","No date",IF(I33&lt;0,"Overdue",IF(I33&lt;=Prep_Reminder_Days,"This week","Later")))))</f>
        <v>0</v>
      </c>
      <c r="K33" s="8">
        <f>IF(OR(A33="",I33=""),"",COUNTIFS($I$5:$I$124,"&lt;"&amp;I33)+1)</f>
        <v>0</v>
      </c>
      <c r="L33" s="7"/>
      <c r="M33" s="27"/>
      <c r="N33" s="26"/>
      <c r="O33" s="26"/>
      <c r="P33" s="8">
        <f>IF(OR(A33="",V33=""),"",V33+Leftover_Safe_Days)</f>
        <v>0</v>
      </c>
      <c r="Q33" s="8">
        <f>IF(OR(A33="",V33=""),"",V33+Freezer_Review_Days)</f>
        <v>0</v>
      </c>
      <c r="R33" s="27"/>
      <c r="S33" s="8">
        <f>IF(OR(D33="",E33=""),"",IFERROR(IFERROR(INDEX(Recipes!$H$5:$H$204,MATCH(D33,Recipes!$A$5:$A$204,0)),"")*E33,""))</f>
        <v>0</v>
      </c>
      <c r="T33" s="8">
        <f>IF(OR(D33="",E33=""),"",IFERROR(IFERROR(INDEX(Recipes!$Q$5:$Q$204,MATCH(D33,Recipes!$A$5:$A$204,0)),"")*E33,""))</f>
        <v>0</v>
      </c>
      <c r="U33" s="27"/>
      <c r="V33" s="30"/>
      <c r="W33" s="27"/>
      <c r="X33" s="25"/>
    </row>
    <row r="34" spans="1:24">
      <c r="A34" s="7"/>
      <c r="B34" s="27"/>
      <c r="C34" s="7"/>
      <c r="D34" s="27"/>
      <c r="E34" s="26"/>
      <c r="F34" s="26"/>
      <c r="G34" s="26"/>
      <c r="H34" s="30"/>
      <c r="I34" s="8">
        <f>IF(OR(A34="",H34=""),"",H34-TODAY())</f>
        <v>0</v>
      </c>
      <c r="J34" s="8">
        <f>IF(A34="","",IF(U34="Yes","Done",IF(I34="","No date",IF(I34&lt;0,"Overdue",IF(I34&lt;=Prep_Reminder_Days,"This week","Later")))))</f>
        <v>0</v>
      </c>
      <c r="K34" s="8">
        <f>IF(OR(A34="",I34=""),"",COUNTIFS($I$5:$I$124,"&lt;"&amp;I34)+1)</f>
        <v>0</v>
      </c>
      <c r="L34" s="7"/>
      <c r="M34" s="27"/>
      <c r="N34" s="26"/>
      <c r="O34" s="26"/>
      <c r="P34" s="8">
        <f>IF(OR(A34="",V34=""),"",V34+Leftover_Safe_Days)</f>
        <v>0</v>
      </c>
      <c r="Q34" s="8">
        <f>IF(OR(A34="",V34=""),"",V34+Freezer_Review_Days)</f>
        <v>0</v>
      </c>
      <c r="R34" s="27"/>
      <c r="S34" s="8">
        <f>IF(OR(D34="",E34=""),"",IFERROR(IFERROR(INDEX(Recipes!$H$5:$H$204,MATCH(D34,Recipes!$A$5:$A$204,0)),"")*E34,""))</f>
        <v>0</v>
      </c>
      <c r="T34" s="8">
        <f>IF(OR(D34="",E34=""),"",IFERROR(IFERROR(INDEX(Recipes!$Q$5:$Q$204,MATCH(D34,Recipes!$A$5:$A$204,0)),"")*E34,""))</f>
        <v>0</v>
      </c>
      <c r="U34" s="27"/>
      <c r="V34" s="30"/>
      <c r="W34" s="27"/>
      <c r="X34" s="25"/>
    </row>
    <row r="35" spans="1:24">
      <c r="A35" s="7"/>
      <c r="B35" s="27"/>
      <c r="C35" s="7"/>
      <c r="D35" s="27"/>
      <c r="E35" s="26"/>
      <c r="F35" s="26"/>
      <c r="G35" s="26"/>
      <c r="H35" s="30"/>
      <c r="I35" s="8">
        <f>IF(OR(A35="",H35=""),"",H35-TODAY())</f>
        <v>0</v>
      </c>
      <c r="J35" s="8">
        <f>IF(A35="","",IF(U35="Yes","Done",IF(I35="","No date",IF(I35&lt;0,"Overdue",IF(I35&lt;=Prep_Reminder_Days,"This week","Later")))))</f>
        <v>0</v>
      </c>
      <c r="K35" s="8">
        <f>IF(OR(A35="",I35=""),"",COUNTIFS($I$5:$I$124,"&lt;"&amp;I35)+1)</f>
        <v>0</v>
      </c>
      <c r="L35" s="7"/>
      <c r="M35" s="27"/>
      <c r="N35" s="26"/>
      <c r="O35" s="26"/>
      <c r="P35" s="8">
        <f>IF(OR(A35="",V35=""),"",V35+Leftover_Safe_Days)</f>
        <v>0</v>
      </c>
      <c r="Q35" s="8">
        <f>IF(OR(A35="",V35=""),"",V35+Freezer_Review_Days)</f>
        <v>0</v>
      </c>
      <c r="R35" s="27"/>
      <c r="S35" s="8">
        <f>IF(OR(D35="",E35=""),"",IFERROR(IFERROR(INDEX(Recipes!$H$5:$H$204,MATCH(D35,Recipes!$A$5:$A$204,0)),"")*E35,""))</f>
        <v>0</v>
      </c>
      <c r="T35" s="8">
        <f>IF(OR(D35="",E35=""),"",IFERROR(IFERROR(INDEX(Recipes!$Q$5:$Q$204,MATCH(D35,Recipes!$A$5:$A$204,0)),"")*E35,""))</f>
        <v>0</v>
      </c>
      <c r="U35" s="27"/>
      <c r="V35" s="30"/>
      <c r="W35" s="27"/>
      <c r="X35" s="25"/>
    </row>
    <row r="36" spans="1:24">
      <c r="A36" s="7"/>
      <c r="B36" s="27"/>
      <c r="C36" s="7"/>
      <c r="D36" s="27"/>
      <c r="E36" s="26"/>
      <c r="F36" s="26"/>
      <c r="G36" s="26"/>
      <c r="H36" s="30"/>
      <c r="I36" s="8">
        <f>IF(OR(A36="",H36=""),"",H36-TODAY())</f>
        <v>0</v>
      </c>
      <c r="J36" s="8">
        <f>IF(A36="","",IF(U36="Yes","Done",IF(I36="","No date",IF(I36&lt;0,"Overdue",IF(I36&lt;=Prep_Reminder_Days,"This week","Later")))))</f>
        <v>0</v>
      </c>
      <c r="K36" s="8">
        <f>IF(OR(A36="",I36=""),"",COUNTIFS($I$5:$I$124,"&lt;"&amp;I36)+1)</f>
        <v>0</v>
      </c>
      <c r="L36" s="7"/>
      <c r="M36" s="27"/>
      <c r="N36" s="26"/>
      <c r="O36" s="26"/>
      <c r="P36" s="8">
        <f>IF(OR(A36="",V36=""),"",V36+Leftover_Safe_Days)</f>
        <v>0</v>
      </c>
      <c r="Q36" s="8">
        <f>IF(OR(A36="",V36=""),"",V36+Freezer_Review_Days)</f>
        <v>0</v>
      </c>
      <c r="R36" s="27"/>
      <c r="S36" s="8">
        <f>IF(OR(D36="",E36=""),"",IFERROR(IFERROR(INDEX(Recipes!$H$5:$H$204,MATCH(D36,Recipes!$A$5:$A$204,0)),"")*E36,""))</f>
        <v>0</v>
      </c>
      <c r="T36" s="8">
        <f>IF(OR(D36="",E36=""),"",IFERROR(IFERROR(INDEX(Recipes!$Q$5:$Q$204,MATCH(D36,Recipes!$A$5:$A$204,0)),"")*E36,""))</f>
        <v>0</v>
      </c>
      <c r="U36" s="27"/>
      <c r="V36" s="30"/>
      <c r="W36" s="27"/>
      <c r="X36" s="25"/>
    </row>
    <row r="37" spans="1:24">
      <c r="A37" s="7"/>
      <c r="B37" s="27"/>
      <c r="C37" s="7"/>
      <c r="D37" s="27"/>
      <c r="E37" s="26"/>
      <c r="F37" s="26"/>
      <c r="G37" s="26"/>
      <c r="H37" s="30"/>
      <c r="I37" s="8">
        <f>IF(OR(A37="",H37=""),"",H37-TODAY())</f>
        <v>0</v>
      </c>
      <c r="J37" s="8">
        <f>IF(A37="","",IF(U37="Yes","Done",IF(I37="","No date",IF(I37&lt;0,"Overdue",IF(I37&lt;=Prep_Reminder_Days,"This week","Later")))))</f>
        <v>0</v>
      </c>
      <c r="K37" s="8">
        <f>IF(OR(A37="",I37=""),"",COUNTIFS($I$5:$I$124,"&lt;"&amp;I37)+1)</f>
        <v>0</v>
      </c>
      <c r="L37" s="7"/>
      <c r="M37" s="27"/>
      <c r="N37" s="26"/>
      <c r="O37" s="26"/>
      <c r="P37" s="8">
        <f>IF(OR(A37="",V37=""),"",V37+Leftover_Safe_Days)</f>
        <v>0</v>
      </c>
      <c r="Q37" s="8">
        <f>IF(OR(A37="",V37=""),"",V37+Freezer_Review_Days)</f>
        <v>0</v>
      </c>
      <c r="R37" s="27"/>
      <c r="S37" s="8">
        <f>IF(OR(D37="",E37=""),"",IFERROR(IFERROR(INDEX(Recipes!$H$5:$H$204,MATCH(D37,Recipes!$A$5:$A$204,0)),"")*E37,""))</f>
        <v>0</v>
      </c>
      <c r="T37" s="8">
        <f>IF(OR(D37="",E37=""),"",IFERROR(IFERROR(INDEX(Recipes!$Q$5:$Q$204,MATCH(D37,Recipes!$A$5:$A$204,0)),"")*E37,""))</f>
        <v>0</v>
      </c>
      <c r="U37" s="27"/>
      <c r="V37" s="30"/>
      <c r="W37" s="27"/>
      <c r="X37" s="25"/>
    </row>
    <row r="38" spans="1:24">
      <c r="A38" s="7"/>
      <c r="B38" s="27"/>
      <c r="C38" s="7"/>
      <c r="D38" s="27"/>
      <c r="E38" s="26"/>
      <c r="F38" s="26"/>
      <c r="G38" s="26"/>
      <c r="H38" s="30"/>
      <c r="I38" s="8">
        <f>IF(OR(A38="",H38=""),"",H38-TODAY())</f>
        <v>0</v>
      </c>
      <c r="J38" s="8">
        <f>IF(A38="","",IF(U38="Yes","Done",IF(I38="","No date",IF(I38&lt;0,"Overdue",IF(I38&lt;=Prep_Reminder_Days,"This week","Later")))))</f>
        <v>0</v>
      </c>
      <c r="K38" s="8">
        <f>IF(OR(A38="",I38=""),"",COUNTIFS($I$5:$I$124,"&lt;"&amp;I38)+1)</f>
        <v>0</v>
      </c>
      <c r="L38" s="7"/>
      <c r="M38" s="27"/>
      <c r="N38" s="26"/>
      <c r="O38" s="26"/>
      <c r="P38" s="8">
        <f>IF(OR(A38="",V38=""),"",V38+Leftover_Safe_Days)</f>
        <v>0</v>
      </c>
      <c r="Q38" s="8">
        <f>IF(OR(A38="",V38=""),"",V38+Freezer_Review_Days)</f>
        <v>0</v>
      </c>
      <c r="R38" s="27"/>
      <c r="S38" s="8">
        <f>IF(OR(D38="",E38=""),"",IFERROR(IFERROR(INDEX(Recipes!$H$5:$H$204,MATCH(D38,Recipes!$A$5:$A$204,0)),"")*E38,""))</f>
        <v>0</v>
      </c>
      <c r="T38" s="8">
        <f>IF(OR(D38="",E38=""),"",IFERROR(IFERROR(INDEX(Recipes!$Q$5:$Q$204,MATCH(D38,Recipes!$A$5:$A$204,0)),"")*E38,""))</f>
        <v>0</v>
      </c>
      <c r="U38" s="27"/>
      <c r="V38" s="30"/>
      <c r="W38" s="27"/>
      <c r="X38" s="25"/>
    </row>
    <row r="39" spans="1:24">
      <c r="A39" s="7"/>
      <c r="B39" s="27"/>
      <c r="C39" s="7"/>
      <c r="D39" s="27"/>
      <c r="E39" s="26"/>
      <c r="F39" s="26"/>
      <c r="G39" s="26"/>
      <c r="H39" s="30"/>
      <c r="I39" s="8">
        <f>IF(OR(A39="",H39=""),"",H39-TODAY())</f>
        <v>0</v>
      </c>
      <c r="J39" s="8">
        <f>IF(A39="","",IF(U39="Yes","Done",IF(I39="","No date",IF(I39&lt;0,"Overdue",IF(I39&lt;=Prep_Reminder_Days,"This week","Later")))))</f>
        <v>0</v>
      </c>
      <c r="K39" s="8">
        <f>IF(OR(A39="",I39=""),"",COUNTIFS($I$5:$I$124,"&lt;"&amp;I39)+1)</f>
        <v>0</v>
      </c>
      <c r="L39" s="7"/>
      <c r="M39" s="27"/>
      <c r="N39" s="26"/>
      <c r="O39" s="26"/>
      <c r="P39" s="8">
        <f>IF(OR(A39="",V39=""),"",V39+Leftover_Safe_Days)</f>
        <v>0</v>
      </c>
      <c r="Q39" s="8">
        <f>IF(OR(A39="",V39=""),"",V39+Freezer_Review_Days)</f>
        <v>0</v>
      </c>
      <c r="R39" s="27"/>
      <c r="S39" s="8">
        <f>IF(OR(D39="",E39=""),"",IFERROR(IFERROR(INDEX(Recipes!$H$5:$H$204,MATCH(D39,Recipes!$A$5:$A$204,0)),"")*E39,""))</f>
        <v>0</v>
      </c>
      <c r="T39" s="8">
        <f>IF(OR(D39="",E39=""),"",IFERROR(IFERROR(INDEX(Recipes!$Q$5:$Q$204,MATCH(D39,Recipes!$A$5:$A$204,0)),"")*E39,""))</f>
        <v>0</v>
      </c>
      <c r="U39" s="27"/>
      <c r="V39" s="30"/>
      <c r="W39" s="27"/>
      <c r="X39" s="25"/>
    </row>
    <row r="40" spans="1:24">
      <c r="A40" s="7"/>
      <c r="B40" s="27"/>
      <c r="C40" s="7"/>
      <c r="D40" s="27"/>
      <c r="E40" s="26"/>
      <c r="F40" s="26"/>
      <c r="G40" s="26"/>
      <c r="H40" s="30"/>
      <c r="I40" s="8">
        <f>IF(OR(A40="",H40=""),"",H40-TODAY())</f>
        <v>0</v>
      </c>
      <c r="J40" s="8">
        <f>IF(A40="","",IF(U40="Yes","Done",IF(I40="","No date",IF(I40&lt;0,"Overdue",IF(I40&lt;=Prep_Reminder_Days,"This week","Later")))))</f>
        <v>0</v>
      </c>
      <c r="K40" s="8">
        <f>IF(OR(A40="",I40=""),"",COUNTIFS($I$5:$I$124,"&lt;"&amp;I40)+1)</f>
        <v>0</v>
      </c>
      <c r="L40" s="7"/>
      <c r="M40" s="27"/>
      <c r="N40" s="26"/>
      <c r="O40" s="26"/>
      <c r="P40" s="8">
        <f>IF(OR(A40="",V40=""),"",V40+Leftover_Safe_Days)</f>
        <v>0</v>
      </c>
      <c r="Q40" s="8">
        <f>IF(OR(A40="",V40=""),"",V40+Freezer_Review_Days)</f>
        <v>0</v>
      </c>
      <c r="R40" s="27"/>
      <c r="S40" s="8">
        <f>IF(OR(D40="",E40=""),"",IFERROR(IFERROR(INDEX(Recipes!$H$5:$H$204,MATCH(D40,Recipes!$A$5:$A$204,0)),"")*E40,""))</f>
        <v>0</v>
      </c>
      <c r="T40" s="8">
        <f>IF(OR(D40="",E40=""),"",IFERROR(IFERROR(INDEX(Recipes!$Q$5:$Q$204,MATCH(D40,Recipes!$A$5:$A$204,0)),"")*E40,""))</f>
        <v>0</v>
      </c>
      <c r="U40" s="27"/>
      <c r="V40" s="30"/>
      <c r="W40" s="27"/>
      <c r="X40" s="25"/>
    </row>
    <row r="41" spans="1:24">
      <c r="A41" s="7"/>
      <c r="B41" s="27"/>
      <c r="C41" s="7"/>
      <c r="D41" s="27"/>
      <c r="E41" s="26"/>
      <c r="F41" s="26"/>
      <c r="G41" s="26"/>
      <c r="H41" s="30"/>
      <c r="I41" s="8">
        <f>IF(OR(A41="",H41=""),"",H41-TODAY())</f>
        <v>0</v>
      </c>
      <c r="J41" s="8">
        <f>IF(A41="","",IF(U41="Yes","Done",IF(I41="","No date",IF(I41&lt;0,"Overdue",IF(I41&lt;=Prep_Reminder_Days,"This week","Later")))))</f>
        <v>0</v>
      </c>
      <c r="K41" s="8">
        <f>IF(OR(A41="",I41=""),"",COUNTIFS($I$5:$I$124,"&lt;"&amp;I41)+1)</f>
        <v>0</v>
      </c>
      <c r="L41" s="7"/>
      <c r="M41" s="27"/>
      <c r="N41" s="26"/>
      <c r="O41" s="26"/>
      <c r="P41" s="8">
        <f>IF(OR(A41="",V41=""),"",V41+Leftover_Safe_Days)</f>
        <v>0</v>
      </c>
      <c r="Q41" s="8">
        <f>IF(OR(A41="",V41=""),"",V41+Freezer_Review_Days)</f>
        <v>0</v>
      </c>
      <c r="R41" s="27"/>
      <c r="S41" s="8">
        <f>IF(OR(D41="",E41=""),"",IFERROR(IFERROR(INDEX(Recipes!$H$5:$H$204,MATCH(D41,Recipes!$A$5:$A$204,0)),"")*E41,""))</f>
        <v>0</v>
      </c>
      <c r="T41" s="8">
        <f>IF(OR(D41="",E41=""),"",IFERROR(IFERROR(INDEX(Recipes!$Q$5:$Q$204,MATCH(D41,Recipes!$A$5:$A$204,0)),"")*E41,""))</f>
        <v>0</v>
      </c>
      <c r="U41" s="27"/>
      <c r="V41" s="30"/>
      <c r="W41" s="27"/>
      <c r="X41" s="25"/>
    </row>
    <row r="42" spans="1:24">
      <c r="A42" s="7"/>
      <c r="B42" s="27"/>
      <c r="C42" s="7"/>
      <c r="D42" s="27"/>
      <c r="E42" s="26"/>
      <c r="F42" s="26"/>
      <c r="G42" s="26"/>
      <c r="H42" s="30"/>
      <c r="I42" s="8">
        <f>IF(OR(A42="",H42=""),"",H42-TODAY())</f>
        <v>0</v>
      </c>
      <c r="J42" s="8">
        <f>IF(A42="","",IF(U42="Yes","Done",IF(I42="","No date",IF(I42&lt;0,"Overdue",IF(I42&lt;=Prep_Reminder_Days,"This week","Later")))))</f>
        <v>0</v>
      </c>
      <c r="K42" s="8">
        <f>IF(OR(A42="",I42=""),"",COUNTIFS($I$5:$I$124,"&lt;"&amp;I42)+1)</f>
        <v>0</v>
      </c>
      <c r="L42" s="7"/>
      <c r="M42" s="27"/>
      <c r="N42" s="26"/>
      <c r="O42" s="26"/>
      <c r="P42" s="8">
        <f>IF(OR(A42="",V42=""),"",V42+Leftover_Safe_Days)</f>
        <v>0</v>
      </c>
      <c r="Q42" s="8">
        <f>IF(OR(A42="",V42=""),"",V42+Freezer_Review_Days)</f>
        <v>0</v>
      </c>
      <c r="R42" s="27"/>
      <c r="S42" s="8">
        <f>IF(OR(D42="",E42=""),"",IFERROR(IFERROR(INDEX(Recipes!$H$5:$H$204,MATCH(D42,Recipes!$A$5:$A$204,0)),"")*E42,""))</f>
        <v>0</v>
      </c>
      <c r="T42" s="8">
        <f>IF(OR(D42="",E42=""),"",IFERROR(IFERROR(INDEX(Recipes!$Q$5:$Q$204,MATCH(D42,Recipes!$A$5:$A$204,0)),"")*E42,""))</f>
        <v>0</v>
      </c>
      <c r="U42" s="27"/>
      <c r="V42" s="30"/>
      <c r="W42" s="27"/>
      <c r="X42" s="25"/>
    </row>
    <row r="43" spans="1:24">
      <c r="A43" s="7"/>
      <c r="B43" s="27"/>
      <c r="C43" s="7"/>
      <c r="D43" s="27"/>
      <c r="E43" s="26"/>
      <c r="F43" s="26"/>
      <c r="G43" s="26"/>
      <c r="H43" s="30"/>
      <c r="I43" s="8">
        <f>IF(OR(A43="",H43=""),"",H43-TODAY())</f>
        <v>0</v>
      </c>
      <c r="J43" s="8">
        <f>IF(A43="","",IF(U43="Yes","Done",IF(I43="","No date",IF(I43&lt;0,"Overdue",IF(I43&lt;=Prep_Reminder_Days,"This week","Later")))))</f>
        <v>0</v>
      </c>
      <c r="K43" s="8">
        <f>IF(OR(A43="",I43=""),"",COUNTIFS($I$5:$I$124,"&lt;"&amp;I43)+1)</f>
        <v>0</v>
      </c>
      <c r="L43" s="7"/>
      <c r="M43" s="27"/>
      <c r="N43" s="26"/>
      <c r="O43" s="26"/>
      <c r="P43" s="8">
        <f>IF(OR(A43="",V43=""),"",V43+Leftover_Safe_Days)</f>
        <v>0</v>
      </c>
      <c r="Q43" s="8">
        <f>IF(OR(A43="",V43=""),"",V43+Freezer_Review_Days)</f>
        <v>0</v>
      </c>
      <c r="R43" s="27"/>
      <c r="S43" s="8">
        <f>IF(OR(D43="",E43=""),"",IFERROR(IFERROR(INDEX(Recipes!$H$5:$H$204,MATCH(D43,Recipes!$A$5:$A$204,0)),"")*E43,""))</f>
        <v>0</v>
      </c>
      <c r="T43" s="8">
        <f>IF(OR(D43="",E43=""),"",IFERROR(IFERROR(INDEX(Recipes!$Q$5:$Q$204,MATCH(D43,Recipes!$A$5:$A$204,0)),"")*E43,""))</f>
        <v>0</v>
      </c>
      <c r="U43" s="27"/>
      <c r="V43" s="30"/>
      <c r="W43" s="27"/>
      <c r="X43" s="25"/>
    </row>
    <row r="44" spans="1:24">
      <c r="A44" s="7"/>
      <c r="B44" s="27"/>
      <c r="C44" s="7"/>
      <c r="D44" s="27"/>
      <c r="E44" s="26"/>
      <c r="F44" s="26"/>
      <c r="G44" s="26"/>
      <c r="H44" s="30"/>
      <c r="I44" s="8">
        <f>IF(OR(A44="",H44=""),"",H44-TODAY())</f>
        <v>0</v>
      </c>
      <c r="J44" s="8">
        <f>IF(A44="","",IF(U44="Yes","Done",IF(I44="","No date",IF(I44&lt;0,"Overdue",IF(I44&lt;=Prep_Reminder_Days,"This week","Later")))))</f>
        <v>0</v>
      </c>
      <c r="K44" s="8">
        <f>IF(OR(A44="",I44=""),"",COUNTIFS($I$5:$I$124,"&lt;"&amp;I44)+1)</f>
        <v>0</v>
      </c>
      <c r="L44" s="7"/>
      <c r="M44" s="27"/>
      <c r="N44" s="26"/>
      <c r="O44" s="26"/>
      <c r="P44" s="8">
        <f>IF(OR(A44="",V44=""),"",V44+Leftover_Safe_Days)</f>
        <v>0</v>
      </c>
      <c r="Q44" s="8">
        <f>IF(OR(A44="",V44=""),"",V44+Freezer_Review_Days)</f>
        <v>0</v>
      </c>
      <c r="R44" s="27"/>
      <c r="S44" s="8">
        <f>IF(OR(D44="",E44=""),"",IFERROR(IFERROR(INDEX(Recipes!$H$5:$H$204,MATCH(D44,Recipes!$A$5:$A$204,0)),"")*E44,""))</f>
        <v>0</v>
      </c>
      <c r="T44" s="8">
        <f>IF(OR(D44="",E44=""),"",IFERROR(IFERROR(INDEX(Recipes!$Q$5:$Q$204,MATCH(D44,Recipes!$A$5:$A$204,0)),"")*E44,""))</f>
        <v>0</v>
      </c>
      <c r="U44" s="27"/>
      <c r="V44" s="30"/>
      <c r="W44" s="27"/>
      <c r="X44" s="25"/>
    </row>
    <row r="45" spans="1:24">
      <c r="A45" s="7"/>
      <c r="B45" s="27"/>
      <c r="C45" s="7"/>
      <c r="D45" s="27"/>
      <c r="E45" s="26"/>
      <c r="F45" s="26"/>
      <c r="G45" s="26"/>
      <c r="H45" s="30"/>
      <c r="I45" s="8">
        <f>IF(OR(A45="",H45=""),"",H45-TODAY())</f>
        <v>0</v>
      </c>
      <c r="J45" s="8">
        <f>IF(A45="","",IF(U45="Yes","Done",IF(I45="","No date",IF(I45&lt;0,"Overdue",IF(I45&lt;=Prep_Reminder_Days,"This week","Later")))))</f>
        <v>0</v>
      </c>
      <c r="K45" s="8">
        <f>IF(OR(A45="",I45=""),"",COUNTIFS($I$5:$I$124,"&lt;"&amp;I45)+1)</f>
        <v>0</v>
      </c>
      <c r="L45" s="7"/>
      <c r="M45" s="27"/>
      <c r="N45" s="26"/>
      <c r="O45" s="26"/>
      <c r="P45" s="8">
        <f>IF(OR(A45="",V45=""),"",V45+Leftover_Safe_Days)</f>
        <v>0</v>
      </c>
      <c r="Q45" s="8">
        <f>IF(OR(A45="",V45=""),"",V45+Freezer_Review_Days)</f>
        <v>0</v>
      </c>
      <c r="R45" s="27"/>
      <c r="S45" s="8">
        <f>IF(OR(D45="",E45=""),"",IFERROR(IFERROR(INDEX(Recipes!$H$5:$H$204,MATCH(D45,Recipes!$A$5:$A$204,0)),"")*E45,""))</f>
        <v>0</v>
      </c>
      <c r="T45" s="8">
        <f>IF(OR(D45="",E45=""),"",IFERROR(IFERROR(INDEX(Recipes!$Q$5:$Q$204,MATCH(D45,Recipes!$A$5:$A$204,0)),"")*E45,""))</f>
        <v>0</v>
      </c>
      <c r="U45" s="27"/>
      <c r="V45" s="30"/>
      <c r="W45" s="27"/>
      <c r="X45" s="25"/>
    </row>
    <row r="46" spans="1:24">
      <c r="A46" s="7"/>
      <c r="B46" s="27"/>
      <c r="C46" s="7"/>
      <c r="D46" s="27"/>
      <c r="E46" s="26"/>
      <c r="F46" s="26"/>
      <c r="G46" s="26"/>
      <c r="H46" s="30"/>
      <c r="I46" s="8">
        <f>IF(OR(A46="",H46=""),"",H46-TODAY())</f>
        <v>0</v>
      </c>
      <c r="J46" s="8">
        <f>IF(A46="","",IF(U46="Yes","Done",IF(I46="","No date",IF(I46&lt;0,"Overdue",IF(I46&lt;=Prep_Reminder_Days,"This week","Later")))))</f>
        <v>0</v>
      </c>
      <c r="K46" s="8">
        <f>IF(OR(A46="",I46=""),"",COUNTIFS($I$5:$I$124,"&lt;"&amp;I46)+1)</f>
        <v>0</v>
      </c>
      <c r="L46" s="7"/>
      <c r="M46" s="27"/>
      <c r="N46" s="26"/>
      <c r="O46" s="26"/>
      <c r="P46" s="8">
        <f>IF(OR(A46="",V46=""),"",V46+Leftover_Safe_Days)</f>
        <v>0</v>
      </c>
      <c r="Q46" s="8">
        <f>IF(OR(A46="",V46=""),"",V46+Freezer_Review_Days)</f>
        <v>0</v>
      </c>
      <c r="R46" s="27"/>
      <c r="S46" s="8">
        <f>IF(OR(D46="",E46=""),"",IFERROR(IFERROR(INDEX(Recipes!$H$5:$H$204,MATCH(D46,Recipes!$A$5:$A$204,0)),"")*E46,""))</f>
        <v>0</v>
      </c>
      <c r="T46" s="8">
        <f>IF(OR(D46="",E46=""),"",IFERROR(IFERROR(INDEX(Recipes!$Q$5:$Q$204,MATCH(D46,Recipes!$A$5:$A$204,0)),"")*E46,""))</f>
        <v>0</v>
      </c>
      <c r="U46" s="27"/>
      <c r="V46" s="30"/>
      <c r="W46" s="27"/>
      <c r="X46" s="25"/>
    </row>
    <row r="47" spans="1:24">
      <c r="A47" s="7"/>
      <c r="B47" s="27"/>
      <c r="C47" s="7"/>
      <c r="D47" s="27"/>
      <c r="E47" s="26"/>
      <c r="F47" s="26"/>
      <c r="G47" s="26"/>
      <c r="H47" s="30"/>
      <c r="I47" s="8">
        <f>IF(OR(A47="",H47=""),"",H47-TODAY())</f>
        <v>0</v>
      </c>
      <c r="J47" s="8">
        <f>IF(A47="","",IF(U47="Yes","Done",IF(I47="","No date",IF(I47&lt;0,"Overdue",IF(I47&lt;=Prep_Reminder_Days,"This week","Later")))))</f>
        <v>0</v>
      </c>
      <c r="K47" s="8">
        <f>IF(OR(A47="",I47=""),"",COUNTIFS($I$5:$I$124,"&lt;"&amp;I47)+1)</f>
        <v>0</v>
      </c>
      <c r="L47" s="7"/>
      <c r="M47" s="27"/>
      <c r="N47" s="26"/>
      <c r="O47" s="26"/>
      <c r="P47" s="8">
        <f>IF(OR(A47="",V47=""),"",V47+Leftover_Safe_Days)</f>
        <v>0</v>
      </c>
      <c r="Q47" s="8">
        <f>IF(OR(A47="",V47=""),"",V47+Freezer_Review_Days)</f>
        <v>0</v>
      </c>
      <c r="R47" s="27"/>
      <c r="S47" s="8">
        <f>IF(OR(D47="",E47=""),"",IFERROR(IFERROR(INDEX(Recipes!$H$5:$H$204,MATCH(D47,Recipes!$A$5:$A$204,0)),"")*E47,""))</f>
        <v>0</v>
      </c>
      <c r="T47" s="8">
        <f>IF(OR(D47="",E47=""),"",IFERROR(IFERROR(INDEX(Recipes!$Q$5:$Q$204,MATCH(D47,Recipes!$A$5:$A$204,0)),"")*E47,""))</f>
        <v>0</v>
      </c>
      <c r="U47" s="27"/>
      <c r="V47" s="30"/>
      <c r="W47" s="27"/>
      <c r="X47" s="25"/>
    </row>
    <row r="48" spans="1:24">
      <c r="A48" s="7"/>
      <c r="B48" s="27"/>
      <c r="C48" s="7"/>
      <c r="D48" s="27"/>
      <c r="E48" s="26"/>
      <c r="F48" s="26"/>
      <c r="G48" s="26"/>
      <c r="H48" s="30"/>
      <c r="I48" s="8">
        <f>IF(OR(A48="",H48=""),"",H48-TODAY())</f>
        <v>0</v>
      </c>
      <c r="J48" s="8">
        <f>IF(A48="","",IF(U48="Yes","Done",IF(I48="","No date",IF(I48&lt;0,"Overdue",IF(I48&lt;=Prep_Reminder_Days,"This week","Later")))))</f>
        <v>0</v>
      </c>
      <c r="K48" s="8">
        <f>IF(OR(A48="",I48=""),"",COUNTIFS($I$5:$I$124,"&lt;"&amp;I48)+1)</f>
        <v>0</v>
      </c>
      <c r="L48" s="7"/>
      <c r="M48" s="27"/>
      <c r="N48" s="26"/>
      <c r="O48" s="26"/>
      <c r="P48" s="8">
        <f>IF(OR(A48="",V48=""),"",V48+Leftover_Safe_Days)</f>
        <v>0</v>
      </c>
      <c r="Q48" s="8">
        <f>IF(OR(A48="",V48=""),"",V48+Freezer_Review_Days)</f>
        <v>0</v>
      </c>
      <c r="R48" s="27"/>
      <c r="S48" s="8">
        <f>IF(OR(D48="",E48=""),"",IFERROR(IFERROR(INDEX(Recipes!$H$5:$H$204,MATCH(D48,Recipes!$A$5:$A$204,0)),"")*E48,""))</f>
        <v>0</v>
      </c>
      <c r="T48" s="8">
        <f>IF(OR(D48="",E48=""),"",IFERROR(IFERROR(INDEX(Recipes!$Q$5:$Q$204,MATCH(D48,Recipes!$A$5:$A$204,0)),"")*E48,""))</f>
        <v>0</v>
      </c>
      <c r="U48" s="27"/>
      <c r="V48" s="30"/>
      <c r="W48" s="27"/>
      <c r="X48" s="25"/>
    </row>
    <row r="49" spans="1:24">
      <c r="A49" s="7"/>
      <c r="B49" s="27"/>
      <c r="C49" s="7"/>
      <c r="D49" s="27"/>
      <c r="E49" s="26"/>
      <c r="F49" s="26"/>
      <c r="G49" s="26"/>
      <c r="H49" s="30"/>
      <c r="I49" s="8">
        <f>IF(OR(A49="",H49=""),"",H49-TODAY())</f>
        <v>0</v>
      </c>
      <c r="J49" s="8">
        <f>IF(A49="","",IF(U49="Yes","Done",IF(I49="","No date",IF(I49&lt;0,"Overdue",IF(I49&lt;=Prep_Reminder_Days,"This week","Later")))))</f>
        <v>0</v>
      </c>
      <c r="K49" s="8">
        <f>IF(OR(A49="",I49=""),"",COUNTIFS($I$5:$I$124,"&lt;"&amp;I49)+1)</f>
        <v>0</v>
      </c>
      <c r="L49" s="7"/>
      <c r="M49" s="27"/>
      <c r="N49" s="26"/>
      <c r="O49" s="26"/>
      <c r="P49" s="8">
        <f>IF(OR(A49="",V49=""),"",V49+Leftover_Safe_Days)</f>
        <v>0</v>
      </c>
      <c r="Q49" s="8">
        <f>IF(OR(A49="",V49=""),"",V49+Freezer_Review_Days)</f>
        <v>0</v>
      </c>
      <c r="R49" s="27"/>
      <c r="S49" s="8">
        <f>IF(OR(D49="",E49=""),"",IFERROR(IFERROR(INDEX(Recipes!$H$5:$H$204,MATCH(D49,Recipes!$A$5:$A$204,0)),"")*E49,""))</f>
        <v>0</v>
      </c>
      <c r="T49" s="8">
        <f>IF(OR(D49="",E49=""),"",IFERROR(IFERROR(INDEX(Recipes!$Q$5:$Q$204,MATCH(D49,Recipes!$A$5:$A$204,0)),"")*E49,""))</f>
        <v>0</v>
      </c>
      <c r="U49" s="27"/>
      <c r="V49" s="30"/>
      <c r="W49" s="27"/>
      <c r="X49" s="25"/>
    </row>
    <row r="50" spans="1:24">
      <c r="A50" s="7"/>
      <c r="B50" s="27"/>
      <c r="C50" s="7"/>
      <c r="D50" s="27"/>
      <c r="E50" s="26"/>
      <c r="F50" s="26"/>
      <c r="G50" s="26"/>
      <c r="H50" s="30"/>
      <c r="I50" s="8">
        <f>IF(OR(A50="",H50=""),"",H50-TODAY())</f>
        <v>0</v>
      </c>
      <c r="J50" s="8">
        <f>IF(A50="","",IF(U50="Yes","Done",IF(I50="","No date",IF(I50&lt;0,"Overdue",IF(I50&lt;=Prep_Reminder_Days,"This week","Later")))))</f>
        <v>0</v>
      </c>
      <c r="K50" s="8">
        <f>IF(OR(A50="",I50=""),"",COUNTIFS($I$5:$I$124,"&lt;"&amp;I50)+1)</f>
        <v>0</v>
      </c>
      <c r="L50" s="7"/>
      <c r="M50" s="27"/>
      <c r="N50" s="26"/>
      <c r="O50" s="26"/>
      <c r="P50" s="8">
        <f>IF(OR(A50="",V50=""),"",V50+Leftover_Safe_Days)</f>
        <v>0</v>
      </c>
      <c r="Q50" s="8">
        <f>IF(OR(A50="",V50=""),"",V50+Freezer_Review_Days)</f>
        <v>0</v>
      </c>
      <c r="R50" s="27"/>
      <c r="S50" s="8">
        <f>IF(OR(D50="",E50=""),"",IFERROR(IFERROR(INDEX(Recipes!$H$5:$H$204,MATCH(D50,Recipes!$A$5:$A$204,0)),"")*E50,""))</f>
        <v>0</v>
      </c>
      <c r="T50" s="8">
        <f>IF(OR(D50="",E50=""),"",IFERROR(IFERROR(INDEX(Recipes!$Q$5:$Q$204,MATCH(D50,Recipes!$A$5:$A$204,0)),"")*E50,""))</f>
        <v>0</v>
      </c>
      <c r="U50" s="27"/>
      <c r="V50" s="30"/>
      <c r="W50" s="27"/>
      <c r="X50" s="25"/>
    </row>
    <row r="51" spans="1:24">
      <c r="A51" s="7"/>
      <c r="B51" s="27"/>
      <c r="C51" s="7"/>
      <c r="D51" s="27"/>
      <c r="E51" s="26"/>
      <c r="F51" s="26"/>
      <c r="G51" s="26"/>
      <c r="H51" s="30"/>
      <c r="I51" s="8">
        <f>IF(OR(A51="",H51=""),"",H51-TODAY())</f>
        <v>0</v>
      </c>
      <c r="J51" s="8">
        <f>IF(A51="","",IF(U51="Yes","Done",IF(I51="","No date",IF(I51&lt;0,"Overdue",IF(I51&lt;=Prep_Reminder_Days,"This week","Later")))))</f>
        <v>0</v>
      </c>
      <c r="K51" s="8">
        <f>IF(OR(A51="",I51=""),"",COUNTIFS($I$5:$I$124,"&lt;"&amp;I51)+1)</f>
        <v>0</v>
      </c>
      <c r="L51" s="7"/>
      <c r="M51" s="27"/>
      <c r="N51" s="26"/>
      <c r="O51" s="26"/>
      <c r="P51" s="8">
        <f>IF(OR(A51="",V51=""),"",V51+Leftover_Safe_Days)</f>
        <v>0</v>
      </c>
      <c r="Q51" s="8">
        <f>IF(OR(A51="",V51=""),"",V51+Freezer_Review_Days)</f>
        <v>0</v>
      </c>
      <c r="R51" s="27"/>
      <c r="S51" s="8">
        <f>IF(OR(D51="",E51=""),"",IFERROR(IFERROR(INDEX(Recipes!$H$5:$H$204,MATCH(D51,Recipes!$A$5:$A$204,0)),"")*E51,""))</f>
        <v>0</v>
      </c>
      <c r="T51" s="8">
        <f>IF(OR(D51="",E51=""),"",IFERROR(IFERROR(INDEX(Recipes!$Q$5:$Q$204,MATCH(D51,Recipes!$A$5:$A$204,0)),"")*E51,""))</f>
        <v>0</v>
      </c>
      <c r="U51" s="27"/>
      <c r="V51" s="30"/>
      <c r="W51" s="27"/>
      <c r="X51" s="25"/>
    </row>
    <row r="52" spans="1:24">
      <c r="A52" s="7"/>
      <c r="B52" s="27"/>
      <c r="C52" s="7"/>
      <c r="D52" s="27"/>
      <c r="E52" s="26"/>
      <c r="F52" s="26"/>
      <c r="G52" s="26"/>
      <c r="H52" s="30"/>
      <c r="I52" s="8">
        <f>IF(OR(A52="",H52=""),"",H52-TODAY())</f>
        <v>0</v>
      </c>
      <c r="J52" s="8">
        <f>IF(A52="","",IF(U52="Yes","Done",IF(I52="","No date",IF(I52&lt;0,"Overdue",IF(I52&lt;=Prep_Reminder_Days,"This week","Later")))))</f>
        <v>0</v>
      </c>
      <c r="K52" s="8">
        <f>IF(OR(A52="",I52=""),"",COUNTIFS($I$5:$I$124,"&lt;"&amp;I52)+1)</f>
        <v>0</v>
      </c>
      <c r="L52" s="7"/>
      <c r="M52" s="27"/>
      <c r="N52" s="26"/>
      <c r="O52" s="26"/>
      <c r="P52" s="8">
        <f>IF(OR(A52="",V52=""),"",V52+Leftover_Safe_Days)</f>
        <v>0</v>
      </c>
      <c r="Q52" s="8">
        <f>IF(OR(A52="",V52=""),"",V52+Freezer_Review_Days)</f>
        <v>0</v>
      </c>
      <c r="R52" s="27"/>
      <c r="S52" s="8">
        <f>IF(OR(D52="",E52=""),"",IFERROR(IFERROR(INDEX(Recipes!$H$5:$H$204,MATCH(D52,Recipes!$A$5:$A$204,0)),"")*E52,""))</f>
        <v>0</v>
      </c>
      <c r="T52" s="8">
        <f>IF(OR(D52="",E52=""),"",IFERROR(IFERROR(INDEX(Recipes!$Q$5:$Q$204,MATCH(D52,Recipes!$A$5:$A$204,0)),"")*E52,""))</f>
        <v>0</v>
      </c>
      <c r="U52" s="27"/>
      <c r="V52" s="30"/>
      <c r="W52" s="27"/>
      <c r="X52" s="25"/>
    </row>
    <row r="53" spans="1:24">
      <c r="A53" s="7"/>
      <c r="B53" s="27"/>
      <c r="C53" s="7"/>
      <c r="D53" s="27"/>
      <c r="E53" s="26"/>
      <c r="F53" s="26"/>
      <c r="G53" s="26"/>
      <c r="H53" s="30"/>
      <c r="I53" s="8">
        <f>IF(OR(A53="",H53=""),"",H53-TODAY())</f>
        <v>0</v>
      </c>
      <c r="J53" s="8">
        <f>IF(A53="","",IF(U53="Yes","Done",IF(I53="","No date",IF(I53&lt;0,"Overdue",IF(I53&lt;=Prep_Reminder_Days,"This week","Later")))))</f>
        <v>0</v>
      </c>
      <c r="K53" s="8">
        <f>IF(OR(A53="",I53=""),"",COUNTIFS($I$5:$I$124,"&lt;"&amp;I53)+1)</f>
        <v>0</v>
      </c>
      <c r="L53" s="7"/>
      <c r="M53" s="27"/>
      <c r="N53" s="26"/>
      <c r="O53" s="26"/>
      <c r="P53" s="8">
        <f>IF(OR(A53="",V53=""),"",V53+Leftover_Safe_Days)</f>
        <v>0</v>
      </c>
      <c r="Q53" s="8">
        <f>IF(OR(A53="",V53=""),"",V53+Freezer_Review_Days)</f>
        <v>0</v>
      </c>
      <c r="R53" s="27"/>
      <c r="S53" s="8">
        <f>IF(OR(D53="",E53=""),"",IFERROR(IFERROR(INDEX(Recipes!$H$5:$H$204,MATCH(D53,Recipes!$A$5:$A$204,0)),"")*E53,""))</f>
        <v>0</v>
      </c>
      <c r="T53" s="8">
        <f>IF(OR(D53="",E53=""),"",IFERROR(IFERROR(INDEX(Recipes!$Q$5:$Q$204,MATCH(D53,Recipes!$A$5:$A$204,0)),"")*E53,""))</f>
        <v>0</v>
      </c>
      <c r="U53" s="27"/>
      <c r="V53" s="30"/>
      <c r="W53" s="27"/>
      <c r="X53" s="25"/>
    </row>
    <row r="54" spans="1:24">
      <c r="A54" s="7"/>
      <c r="B54" s="27"/>
      <c r="C54" s="7"/>
      <c r="D54" s="27"/>
      <c r="E54" s="26"/>
      <c r="F54" s="26"/>
      <c r="G54" s="26"/>
      <c r="H54" s="30"/>
      <c r="I54" s="8">
        <f>IF(OR(A54="",H54=""),"",H54-TODAY())</f>
        <v>0</v>
      </c>
      <c r="J54" s="8">
        <f>IF(A54="","",IF(U54="Yes","Done",IF(I54="","No date",IF(I54&lt;0,"Overdue",IF(I54&lt;=Prep_Reminder_Days,"This week","Later")))))</f>
        <v>0</v>
      </c>
      <c r="K54" s="8">
        <f>IF(OR(A54="",I54=""),"",COUNTIFS($I$5:$I$124,"&lt;"&amp;I54)+1)</f>
        <v>0</v>
      </c>
      <c r="L54" s="7"/>
      <c r="M54" s="27"/>
      <c r="N54" s="26"/>
      <c r="O54" s="26"/>
      <c r="P54" s="8">
        <f>IF(OR(A54="",V54=""),"",V54+Leftover_Safe_Days)</f>
        <v>0</v>
      </c>
      <c r="Q54" s="8">
        <f>IF(OR(A54="",V54=""),"",V54+Freezer_Review_Days)</f>
        <v>0</v>
      </c>
      <c r="R54" s="27"/>
      <c r="S54" s="8">
        <f>IF(OR(D54="",E54=""),"",IFERROR(IFERROR(INDEX(Recipes!$H$5:$H$204,MATCH(D54,Recipes!$A$5:$A$204,0)),"")*E54,""))</f>
        <v>0</v>
      </c>
      <c r="T54" s="8">
        <f>IF(OR(D54="",E54=""),"",IFERROR(IFERROR(INDEX(Recipes!$Q$5:$Q$204,MATCH(D54,Recipes!$A$5:$A$204,0)),"")*E54,""))</f>
        <v>0</v>
      </c>
      <c r="U54" s="27"/>
      <c r="V54" s="30"/>
      <c r="W54" s="27"/>
      <c r="X54" s="25"/>
    </row>
    <row r="55" spans="1:24">
      <c r="A55" s="7"/>
      <c r="B55" s="27"/>
      <c r="C55" s="7"/>
      <c r="D55" s="27"/>
      <c r="E55" s="26"/>
      <c r="F55" s="26"/>
      <c r="G55" s="26"/>
      <c r="H55" s="30"/>
      <c r="I55" s="8">
        <f>IF(OR(A55="",H55=""),"",H55-TODAY())</f>
        <v>0</v>
      </c>
      <c r="J55" s="8">
        <f>IF(A55="","",IF(U55="Yes","Done",IF(I55="","No date",IF(I55&lt;0,"Overdue",IF(I55&lt;=Prep_Reminder_Days,"This week","Later")))))</f>
        <v>0</v>
      </c>
      <c r="K55" s="8">
        <f>IF(OR(A55="",I55=""),"",COUNTIFS($I$5:$I$124,"&lt;"&amp;I55)+1)</f>
        <v>0</v>
      </c>
      <c r="L55" s="7"/>
      <c r="M55" s="27"/>
      <c r="N55" s="26"/>
      <c r="O55" s="26"/>
      <c r="P55" s="8">
        <f>IF(OR(A55="",V55=""),"",V55+Leftover_Safe_Days)</f>
        <v>0</v>
      </c>
      <c r="Q55" s="8">
        <f>IF(OR(A55="",V55=""),"",V55+Freezer_Review_Days)</f>
        <v>0</v>
      </c>
      <c r="R55" s="27"/>
      <c r="S55" s="8">
        <f>IF(OR(D55="",E55=""),"",IFERROR(IFERROR(INDEX(Recipes!$H$5:$H$204,MATCH(D55,Recipes!$A$5:$A$204,0)),"")*E55,""))</f>
        <v>0</v>
      </c>
      <c r="T55" s="8">
        <f>IF(OR(D55="",E55=""),"",IFERROR(IFERROR(INDEX(Recipes!$Q$5:$Q$204,MATCH(D55,Recipes!$A$5:$A$204,0)),"")*E55,""))</f>
        <v>0</v>
      </c>
      <c r="U55" s="27"/>
      <c r="V55" s="30"/>
      <c r="W55" s="27"/>
      <c r="X55" s="25"/>
    </row>
    <row r="56" spans="1:24">
      <c r="A56" s="7"/>
      <c r="B56" s="27"/>
      <c r="C56" s="7"/>
      <c r="D56" s="27"/>
      <c r="E56" s="26"/>
      <c r="F56" s="26"/>
      <c r="G56" s="26"/>
      <c r="H56" s="30"/>
      <c r="I56" s="8">
        <f>IF(OR(A56="",H56=""),"",H56-TODAY())</f>
        <v>0</v>
      </c>
      <c r="J56" s="8">
        <f>IF(A56="","",IF(U56="Yes","Done",IF(I56="","No date",IF(I56&lt;0,"Overdue",IF(I56&lt;=Prep_Reminder_Days,"This week","Later")))))</f>
        <v>0</v>
      </c>
      <c r="K56" s="8">
        <f>IF(OR(A56="",I56=""),"",COUNTIFS($I$5:$I$124,"&lt;"&amp;I56)+1)</f>
        <v>0</v>
      </c>
      <c r="L56" s="7"/>
      <c r="M56" s="27"/>
      <c r="N56" s="26"/>
      <c r="O56" s="26"/>
      <c r="P56" s="8">
        <f>IF(OR(A56="",V56=""),"",V56+Leftover_Safe_Days)</f>
        <v>0</v>
      </c>
      <c r="Q56" s="8">
        <f>IF(OR(A56="",V56=""),"",V56+Freezer_Review_Days)</f>
        <v>0</v>
      </c>
      <c r="R56" s="27"/>
      <c r="S56" s="8">
        <f>IF(OR(D56="",E56=""),"",IFERROR(IFERROR(INDEX(Recipes!$H$5:$H$204,MATCH(D56,Recipes!$A$5:$A$204,0)),"")*E56,""))</f>
        <v>0</v>
      </c>
      <c r="T56" s="8">
        <f>IF(OR(D56="",E56=""),"",IFERROR(IFERROR(INDEX(Recipes!$Q$5:$Q$204,MATCH(D56,Recipes!$A$5:$A$204,0)),"")*E56,""))</f>
        <v>0</v>
      </c>
      <c r="U56" s="27"/>
      <c r="V56" s="30"/>
      <c r="W56" s="27"/>
      <c r="X56" s="25"/>
    </row>
    <row r="57" spans="1:24">
      <c r="A57" s="7"/>
      <c r="B57" s="27"/>
      <c r="C57" s="7"/>
      <c r="D57" s="27"/>
      <c r="E57" s="26"/>
      <c r="F57" s="26"/>
      <c r="G57" s="26"/>
      <c r="H57" s="30"/>
      <c r="I57" s="8">
        <f>IF(OR(A57="",H57=""),"",H57-TODAY())</f>
        <v>0</v>
      </c>
      <c r="J57" s="8">
        <f>IF(A57="","",IF(U57="Yes","Done",IF(I57="","No date",IF(I57&lt;0,"Overdue",IF(I57&lt;=Prep_Reminder_Days,"This week","Later")))))</f>
        <v>0</v>
      </c>
      <c r="K57" s="8">
        <f>IF(OR(A57="",I57=""),"",COUNTIFS($I$5:$I$124,"&lt;"&amp;I57)+1)</f>
        <v>0</v>
      </c>
      <c r="L57" s="7"/>
      <c r="M57" s="27"/>
      <c r="N57" s="26"/>
      <c r="O57" s="26"/>
      <c r="P57" s="8">
        <f>IF(OR(A57="",V57=""),"",V57+Leftover_Safe_Days)</f>
        <v>0</v>
      </c>
      <c r="Q57" s="8">
        <f>IF(OR(A57="",V57=""),"",V57+Freezer_Review_Days)</f>
        <v>0</v>
      </c>
      <c r="R57" s="27"/>
      <c r="S57" s="8">
        <f>IF(OR(D57="",E57=""),"",IFERROR(IFERROR(INDEX(Recipes!$H$5:$H$204,MATCH(D57,Recipes!$A$5:$A$204,0)),"")*E57,""))</f>
        <v>0</v>
      </c>
      <c r="T57" s="8">
        <f>IF(OR(D57="",E57=""),"",IFERROR(IFERROR(INDEX(Recipes!$Q$5:$Q$204,MATCH(D57,Recipes!$A$5:$A$204,0)),"")*E57,""))</f>
        <v>0</v>
      </c>
      <c r="U57" s="27"/>
      <c r="V57" s="30"/>
      <c r="W57" s="27"/>
      <c r="X57" s="25"/>
    </row>
    <row r="58" spans="1:24">
      <c r="A58" s="7"/>
      <c r="B58" s="27"/>
      <c r="C58" s="7"/>
      <c r="D58" s="27"/>
      <c r="E58" s="26"/>
      <c r="F58" s="26"/>
      <c r="G58" s="26"/>
      <c r="H58" s="30"/>
      <c r="I58" s="8">
        <f>IF(OR(A58="",H58=""),"",H58-TODAY())</f>
        <v>0</v>
      </c>
      <c r="J58" s="8">
        <f>IF(A58="","",IF(U58="Yes","Done",IF(I58="","No date",IF(I58&lt;0,"Overdue",IF(I58&lt;=Prep_Reminder_Days,"This week","Later")))))</f>
        <v>0</v>
      </c>
      <c r="K58" s="8">
        <f>IF(OR(A58="",I58=""),"",COUNTIFS($I$5:$I$124,"&lt;"&amp;I58)+1)</f>
        <v>0</v>
      </c>
      <c r="L58" s="7"/>
      <c r="M58" s="27"/>
      <c r="N58" s="26"/>
      <c r="O58" s="26"/>
      <c r="P58" s="8">
        <f>IF(OR(A58="",V58=""),"",V58+Leftover_Safe_Days)</f>
        <v>0</v>
      </c>
      <c r="Q58" s="8">
        <f>IF(OR(A58="",V58=""),"",V58+Freezer_Review_Days)</f>
        <v>0</v>
      </c>
      <c r="R58" s="27"/>
      <c r="S58" s="8">
        <f>IF(OR(D58="",E58=""),"",IFERROR(IFERROR(INDEX(Recipes!$H$5:$H$204,MATCH(D58,Recipes!$A$5:$A$204,0)),"")*E58,""))</f>
        <v>0</v>
      </c>
      <c r="T58" s="8">
        <f>IF(OR(D58="",E58=""),"",IFERROR(IFERROR(INDEX(Recipes!$Q$5:$Q$204,MATCH(D58,Recipes!$A$5:$A$204,0)),"")*E58,""))</f>
        <v>0</v>
      </c>
      <c r="U58" s="27"/>
      <c r="V58" s="30"/>
      <c r="W58" s="27"/>
      <c r="X58" s="25"/>
    </row>
    <row r="59" spans="1:24">
      <c r="A59" s="7"/>
      <c r="B59" s="27"/>
      <c r="C59" s="7"/>
      <c r="D59" s="27"/>
      <c r="E59" s="26"/>
      <c r="F59" s="26"/>
      <c r="G59" s="26"/>
      <c r="H59" s="30"/>
      <c r="I59" s="8">
        <f>IF(OR(A59="",H59=""),"",H59-TODAY())</f>
        <v>0</v>
      </c>
      <c r="J59" s="8">
        <f>IF(A59="","",IF(U59="Yes","Done",IF(I59="","No date",IF(I59&lt;0,"Overdue",IF(I59&lt;=Prep_Reminder_Days,"This week","Later")))))</f>
        <v>0</v>
      </c>
      <c r="K59" s="8">
        <f>IF(OR(A59="",I59=""),"",COUNTIFS($I$5:$I$124,"&lt;"&amp;I59)+1)</f>
        <v>0</v>
      </c>
      <c r="L59" s="7"/>
      <c r="M59" s="27"/>
      <c r="N59" s="26"/>
      <c r="O59" s="26"/>
      <c r="P59" s="8">
        <f>IF(OR(A59="",V59=""),"",V59+Leftover_Safe_Days)</f>
        <v>0</v>
      </c>
      <c r="Q59" s="8">
        <f>IF(OR(A59="",V59=""),"",V59+Freezer_Review_Days)</f>
        <v>0</v>
      </c>
      <c r="R59" s="27"/>
      <c r="S59" s="8">
        <f>IF(OR(D59="",E59=""),"",IFERROR(IFERROR(INDEX(Recipes!$H$5:$H$204,MATCH(D59,Recipes!$A$5:$A$204,0)),"")*E59,""))</f>
        <v>0</v>
      </c>
      <c r="T59" s="8">
        <f>IF(OR(D59="",E59=""),"",IFERROR(IFERROR(INDEX(Recipes!$Q$5:$Q$204,MATCH(D59,Recipes!$A$5:$A$204,0)),"")*E59,""))</f>
        <v>0</v>
      </c>
      <c r="U59" s="27"/>
      <c r="V59" s="30"/>
      <c r="W59" s="27"/>
      <c r="X59" s="25"/>
    </row>
    <row r="60" spans="1:24">
      <c r="A60" s="7"/>
      <c r="B60" s="27"/>
      <c r="C60" s="7"/>
      <c r="D60" s="27"/>
      <c r="E60" s="26"/>
      <c r="F60" s="26"/>
      <c r="G60" s="26"/>
      <c r="H60" s="30"/>
      <c r="I60" s="8">
        <f>IF(OR(A60="",H60=""),"",H60-TODAY())</f>
        <v>0</v>
      </c>
      <c r="J60" s="8">
        <f>IF(A60="","",IF(U60="Yes","Done",IF(I60="","No date",IF(I60&lt;0,"Overdue",IF(I60&lt;=Prep_Reminder_Days,"This week","Later")))))</f>
        <v>0</v>
      </c>
      <c r="K60" s="8">
        <f>IF(OR(A60="",I60=""),"",COUNTIFS($I$5:$I$124,"&lt;"&amp;I60)+1)</f>
        <v>0</v>
      </c>
      <c r="L60" s="7"/>
      <c r="M60" s="27"/>
      <c r="N60" s="26"/>
      <c r="O60" s="26"/>
      <c r="P60" s="8">
        <f>IF(OR(A60="",V60=""),"",V60+Leftover_Safe_Days)</f>
        <v>0</v>
      </c>
      <c r="Q60" s="8">
        <f>IF(OR(A60="",V60=""),"",V60+Freezer_Review_Days)</f>
        <v>0</v>
      </c>
      <c r="R60" s="27"/>
      <c r="S60" s="8">
        <f>IF(OR(D60="",E60=""),"",IFERROR(IFERROR(INDEX(Recipes!$H$5:$H$204,MATCH(D60,Recipes!$A$5:$A$204,0)),"")*E60,""))</f>
        <v>0</v>
      </c>
      <c r="T60" s="8">
        <f>IF(OR(D60="",E60=""),"",IFERROR(IFERROR(INDEX(Recipes!$Q$5:$Q$204,MATCH(D60,Recipes!$A$5:$A$204,0)),"")*E60,""))</f>
        <v>0</v>
      </c>
      <c r="U60" s="27"/>
      <c r="V60" s="30"/>
      <c r="W60" s="27"/>
      <c r="X60" s="25"/>
    </row>
    <row r="61" spans="1:24">
      <c r="A61" s="7"/>
      <c r="B61" s="27"/>
      <c r="C61" s="7"/>
      <c r="D61" s="27"/>
      <c r="E61" s="26"/>
      <c r="F61" s="26"/>
      <c r="G61" s="26"/>
      <c r="H61" s="30"/>
      <c r="I61" s="8">
        <f>IF(OR(A61="",H61=""),"",H61-TODAY())</f>
        <v>0</v>
      </c>
      <c r="J61" s="8">
        <f>IF(A61="","",IF(U61="Yes","Done",IF(I61="","No date",IF(I61&lt;0,"Overdue",IF(I61&lt;=Prep_Reminder_Days,"This week","Later")))))</f>
        <v>0</v>
      </c>
      <c r="K61" s="8">
        <f>IF(OR(A61="",I61=""),"",COUNTIFS($I$5:$I$124,"&lt;"&amp;I61)+1)</f>
        <v>0</v>
      </c>
      <c r="L61" s="7"/>
      <c r="M61" s="27"/>
      <c r="N61" s="26"/>
      <c r="O61" s="26"/>
      <c r="P61" s="8">
        <f>IF(OR(A61="",V61=""),"",V61+Leftover_Safe_Days)</f>
        <v>0</v>
      </c>
      <c r="Q61" s="8">
        <f>IF(OR(A61="",V61=""),"",V61+Freezer_Review_Days)</f>
        <v>0</v>
      </c>
      <c r="R61" s="27"/>
      <c r="S61" s="8">
        <f>IF(OR(D61="",E61=""),"",IFERROR(IFERROR(INDEX(Recipes!$H$5:$H$204,MATCH(D61,Recipes!$A$5:$A$204,0)),"")*E61,""))</f>
        <v>0</v>
      </c>
      <c r="T61" s="8">
        <f>IF(OR(D61="",E61=""),"",IFERROR(IFERROR(INDEX(Recipes!$Q$5:$Q$204,MATCH(D61,Recipes!$A$5:$A$204,0)),"")*E61,""))</f>
        <v>0</v>
      </c>
      <c r="U61" s="27"/>
      <c r="V61" s="30"/>
      <c r="W61" s="27"/>
      <c r="X61" s="25"/>
    </row>
    <row r="62" spans="1:24">
      <c r="A62" s="7"/>
      <c r="B62" s="27"/>
      <c r="C62" s="7"/>
      <c r="D62" s="27"/>
      <c r="E62" s="26"/>
      <c r="F62" s="26"/>
      <c r="G62" s="26"/>
      <c r="H62" s="30"/>
      <c r="I62" s="8">
        <f>IF(OR(A62="",H62=""),"",H62-TODAY())</f>
        <v>0</v>
      </c>
      <c r="J62" s="8">
        <f>IF(A62="","",IF(U62="Yes","Done",IF(I62="","No date",IF(I62&lt;0,"Overdue",IF(I62&lt;=Prep_Reminder_Days,"This week","Later")))))</f>
        <v>0</v>
      </c>
      <c r="K62" s="8">
        <f>IF(OR(A62="",I62=""),"",COUNTIFS($I$5:$I$124,"&lt;"&amp;I62)+1)</f>
        <v>0</v>
      </c>
      <c r="L62" s="7"/>
      <c r="M62" s="27"/>
      <c r="N62" s="26"/>
      <c r="O62" s="26"/>
      <c r="P62" s="8">
        <f>IF(OR(A62="",V62=""),"",V62+Leftover_Safe_Days)</f>
        <v>0</v>
      </c>
      <c r="Q62" s="8">
        <f>IF(OR(A62="",V62=""),"",V62+Freezer_Review_Days)</f>
        <v>0</v>
      </c>
      <c r="R62" s="27"/>
      <c r="S62" s="8">
        <f>IF(OR(D62="",E62=""),"",IFERROR(IFERROR(INDEX(Recipes!$H$5:$H$204,MATCH(D62,Recipes!$A$5:$A$204,0)),"")*E62,""))</f>
        <v>0</v>
      </c>
      <c r="T62" s="8">
        <f>IF(OR(D62="",E62=""),"",IFERROR(IFERROR(INDEX(Recipes!$Q$5:$Q$204,MATCH(D62,Recipes!$A$5:$A$204,0)),"")*E62,""))</f>
        <v>0</v>
      </c>
      <c r="U62" s="27"/>
      <c r="V62" s="30"/>
      <c r="W62" s="27"/>
      <c r="X62" s="25"/>
    </row>
    <row r="63" spans="1:24">
      <c r="A63" s="7"/>
      <c r="B63" s="27"/>
      <c r="C63" s="7"/>
      <c r="D63" s="27"/>
      <c r="E63" s="26"/>
      <c r="F63" s="26"/>
      <c r="G63" s="26"/>
      <c r="H63" s="30"/>
      <c r="I63" s="8">
        <f>IF(OR(A63="",H63=""),"",H63-TODAY())</f>
        <v>0</v>
      </c>
      <c r="J63" s="8">
        <f>IF(A63="","",IF(U63="Yes","Done",IF(I63="","No date",IF(I63&lt;0,"Overdue",IF(I63&lt;=Prep_Reminder_Days,"This week","Later")))))</f>
        <v>0</v>
      </c>
      <c r="K63" s="8">
        <f>IF(OR(A63="",I63=""),"",COUNTIFS($I$5:$I$124,"&lt;"&amp;I63)+1)</f>
        <v>0</v>
      </c>
      <c r="L63" s="7"/>
      <c r="M63" s="27"/>
      <c r="N63" s="26"/>
      <c r="O63" s="26"/>
      <c r="P63" s="8">
        <f>IF(OR(A63="",V63=""),"",V63+Leftover_Safe_Days)</f>
        <v>0</v>
      </c>
      <c r="Q63" s="8">
        <f>IF(OR(A63="",V63=""),"",V63+Freezer_Review_Days)</f>
        <v>0</v>
      </c>
      <c r="R63" s="27"/>
      <c r="S63" s="8">
        <f>IF(OR(D63="",E63=""),"",IFERROR(IFERROR(INDEX(Recipes!$H$5:$H$204,MATCH(D63,Recipes!$A$5:$A$204,0)),"")*E63,""))</f>
        <v>0</v>
      </c>
      <c r="T63" s="8">
        <f>IF(OR(D63="",E63=""),"",IFERROR(IFERROR(INDEX(Recipes!$Q$5:$Q$204,MATCH(D63,Recipes!$A$5:$A$204,0)),"")*E63,""))</f>
        <v>0</v>
      </c>
      <c r="U63" s="27"/>
      <c r="V63" s="30"/>
      <c r="W63" s="27"/>
      <c r="X63" s="25"/>
    </row>
    <row r="64" spans="1:24">
      <c r="A64" s="7"/>
      <c r="B64" s="27"/>
      <c r="C64" s="7"/>
      <c r="D64" s="27"/>
      <c r="E64" s="26"/>
      <c r="F64" s="26"/>
      <c r="G64" s="26"/>
      <c r="H64" s="30"/>
      <c r="I64" s="8">
        <f>IF(OR(A64="",H64=""),"",H64-TODAY())</f>
        <v>0</v>
      </c>
      <c r="J64" s="8">
        <f>IF(A64="","",IF(U64="Yes","Done",IF(I64="","No date",IF(I64&lt;0,"Overdue",IF(I64&lt;=Prep_Reminder_Days,"This week","Later")))))</f>
        <v>0</v>
      </c>
      <c r="K64" s="8">
        <f>IF(OR(A64="",I64=""),"",COUNTIFS($I$5:$I$124,"&lt;"&amp;I64)+1)</f>
        <v>0</v>
      </c>
      <c r="L64" s="7"/>
      <c r="M64" s="27"/>
      <c r="N64" s="26"/>
      <c r="O64" s="26"/>
      <c r="P64" s="8">
        <f>IF(OR(A64="",V64=""),"",V64+Leftover_Safe_Days)</f>
        <v>0</v>
      </c>
      <c r="Q64" s="8">
        <f>IF(OR(A64="",V64=""),"",V64+Freezer_Review_Days)</f>
        <v>0</v>
      </c>
      <c r="R64" s="27"/>
      <c r="S64" s="8">
        <f>IF(OR(D64="",E64=""),"",IFERROR(IFERROR(INDEX(Recipes!$H$5:$H$204,MATCH(D64,Recipes!$A$5:$A$204,0)),"")*E64,""))</f>
        <v>0</v>
      </c>
      <c r="T64" s="8">
        <f>IF(OR(D64="",E64=""),"",IFERROR(IFERROR(INDEX(Recipes!$Q$5:$Q$204,MATCH(D64,Recipes!$A$5:$A$204,0)),"")*E64,""))</f>
        <v>0</v>
      </c>
      <c r="U64" s="27"/>
      <c r="V64" s="30"/>
      <c r="W64" s="27"/>
      <c r="X64" s="25"/>
    </row>
    <row r="65" spans="1:24">
      <c r="A65" s="7"/>
      <c r="B65" s="27"/>
      <c r="C65" s="7"/>
      <c r="D65" s="27"/>
      <c r="E65" s="26"/>
      <c r="F65" s="26"/>
      <c r="G65" s="26"/>
      <c r="H65" s="30"/>
      <c r="I65" s="8">
        <f>IF(OR(A65="",H65=""),"",H65-TODAY())</f>
        <v>0</v>
      </c>
      <c r="J65" s="8">
        <f>IF(A65="","",IF(U65="Yes","Done",IF(I65="","No date",IF(I65&lt;0,"Overdue",IF(I65&lt;=Prep_Reminder_Days,"This week","Later")))))</f>
        <v>0</v>
      </c>
      <c r="K65" s="8">
        <f>IF(OR(A65="",I65=""),"",COUNTIFS($I$5:$I$124,"&lt;"&amp;I65)+1)</f>
        <v>0</v>
      </c>
      <c r="L65" s="7"/>
      <c r="M65" s="27"/>
      <c r="N65" s="26"/>
      <c r="O65" s="26"/>
      <c r="P65" s="8">
        <f>IF(OR(A65="",V65=""),"",V65+Leftover_Safe_Days)</f>
        <v>0</v>
      </c>
      <c r="Q65" s="8">
        <f>IF(OR(A65="",V65=""),"",V65+Freezer_Review_Days)</f>
        <v>0</v>
      </c>
      <c r="R65" s="27"/>
      <c r="S65" s="8">
        <f>IF(OR(D65="",E65=""),"",IFERROR(IFERROR(INDEX(Recipes!$H$5:$H$204,MATCH(D65,Recipes!$A$5:$A$204,0)),"")*E65,""))</f>
        <v>0</v>
      </c>
      <c r="T65" s="8">
        <f>IF(OR(D65="",E65=""),"",IFERROR(IFERROR(INDEX(Recipes!$Q$5:$Q$204,MATCH(D65,Recipes!$A$5:$A$204,0)),"")*E65,""))</f>
        <v>0</v>
      </c>
      <c r="U65" s="27"/>
      <c r="V65" s="30"/>
      <c r="W65" s="27"/>
      <c r="X65" s="25"/>
    </row>
    <row r="66" spans="1:24">
      <c r="A66" s="7"/>
      <c r="B66" s="27"/>
      <c r="C66" s="7"/>
      <c r="D66" s="27"/>
      <c r="E66" s="26"/>
      <c r="F66" s="26"/>
      <c r="G66" s="26"/>
      <c r="H66" s="30"/>
      <c r="I66" s="8">
        <f>IF(OR(A66="",H66=""),"",H66-TODAY())</f>
        <v>0</v>
      </c>
      <c r="J66" s="8">
        <f>IF(A66="","",IF(U66="Yes","Done",IF(I66="","No date",IF(I66&lt;0,"Overdue",IF(I66&lt;=Prep_Reminder_Days,"This week","Later")))))</f>
        <v>0</v>
      </c>
      <c r="K66" s="8">
        <f>IF(OR(A66="",I66=""),"",COUNTIFS($I$5:$I$124,"&lt;"&amp;I66)+1)</f>
        <v>0</v>
      </c>
      <c r="L66" s="7"/>
      <c r="M66" s="27"/>
      <c r="N66" s="26"/>
      <c r="O66" s="26"/>
      <c r="P66" s="8">
        <f>IF(OR(A66="",V66=""),"",V66+Leftover_Safe_Days)</f>
        <v>0</v>
      </c>
      <c r="Q66" s="8">
        <f>IF(OR(A66="",V66=""),"",V66+Freezer_Review_Days)</f>
        <v>0</v>
      </c>
      <c r="R66" s="27"/>
      <c r="S66" s="8">
        <f>IF(OR(D66="",E66=""),"",IFERROR(IFERROR(INDEX(Recipes!$H$5:$H$204,MATCH(D66,Recipes!$A$5:$A$204,0)),"")*E66,""))</f>
        <v>0</v>
      </c>
      <c r="T66" s="8">
        <f>IF(OR(D66="",E66=""),"",IFERROR(IFERROR(INDEX(Recipes!$Q$5:$Q$204,MATCH(D66,Recipes!$A$5:$A$204,0)),"")*E66,""))</f>
        <v>0</v>
      </c>
      <c r="U66" s="27"/>
      <c r="V66" s="30"/>
      <c r="W66" s="27"/>
      <c r="X66" s="25"/>
    </row>
    <row r="67" spans="1:24">
      <c r="A67" s="7"/>
      <c r="B67" s="27"/>
      <c r="C67" s="7"/>
      <c r="D67" s="27"/>
      <c r="E67" s="26"/>
      <c r="F67" s="26"/>
      <c r="G67" s="26"/>
      <c r="H67" s="30"/>
      <c r="I67" s="8">
        <f>IF(OR(A67="",H67=""),"",H67-TODAY())</f>
        <v>0</v>
      </c>
      <c r="J67" s="8">
        <f>IF(A67="","",IF(U67="Yes","Done",IF(I67="","No date",IF(I67&lt;0,"Overdue",IF(I67&lt;=Prep_Reminder_Days,"This week","Later")))))</f>
        <v>0</v>
      </c>
      <c r="K67" s="8">
        <f>IF(OR(A67="",I67=""),"",COUNTIFS($I$5:$I$124,"&lt;"&amp;I67)+1)</f>
        <v>0</v>
      </c>
      <c r="L67" s="7"/>
      <c r="M67" s="27"/>
      <c r="N67" s="26"/>
      <c r="O67" s="26"/>
      <c r="P67" s="8">
        <f>IF(OR(A67="",V67=""),"",V67+Leftover_Safe_Days)</f>
        <v>0</v>
      </c>
      <c r="Q67" s="8">
        <f>IF(OR(A67="",V67=""),"",V67+Freezer_Review_Days)</f>
        <v>0</v>
      </c>
      <c r="R67" s="27"/>
      <c r="S67" s="8">
        <f>IF(OR(D67="",E67=""),"",IFERROR(IFERROR(INDEX(Recipes!$H$5:$H$204,MATCH(D67,Recipes!$A$5:$A$204,0)),"")*E67,""))</f>
        <v>0</v>
      </c>
      <c r="T67" s="8">
        <f>IF(OR(D67="",E67=""),"",IFERROR(IFERROR(INDEX(Recipes!$Q$5:$Q$204,MATCH(D67,Recipes!$A$5:$A$204,0)),"")*E67,""))</f>
        <v>0</v>
      </c>
      <c r="U67" s="27"/>
      <c r="V67" s="30"/>
      <c r="W67" s="27"/>
      <c r="X67" s="25"/>
    </row>
    <row r="68" spans="1:24">
      <c r="A68" s="7"/>
      <c r="B68" s="27"/>
      <c r="C68" s="7"/>
      <c r="D68" s="27"/>
      <c r="E68" s="26"/>
      <c r="F68" s="26"/>
      <c r="G68" s="26"/>
      <c r="H68" s="30"/>
      <c r="I68" s="8">
        <f>IF(OR(A68="",H68=""),"",H68-TODAY())</f>
        <v>0</v>
      </c>
      <c r="J68" s="8">
        <f>IF(A68="","",IF(U68="Yes","Done",IF(I68="","No date",IF(I68&lt;0,"Overdue",IF(I68&lt;=Prep_Reminder_Days,"This week","Later")))))</f>
        <v>0</v>
      </c>
      <c r="K68" s="8">
        <f>IF(OR(A68="",I68=""),"",COUNTIFS($I$5:$I$124,"&lt;"&amp;I68)+1)</f>
        <v>0</v>
      </c>
      <c r="L68" s="7"/>
      <c r="M68" s="27"/>
      <c r="N68" s="26"/>
      <c r="O68" s="26"/>
      <c r="P68" s="8">
        <f>IF(OR(A68="",V68=""),"",V68+Leftover_Safe_Days)</f>
        <v>0</v>
      </c>
      <c r="Q68" s="8">
        <f>IF(OR(A68="",V68=""),"",V68+Freezer_Review_Days)</f>
        <v>0</v>
      </c>
      <c r="R68" s="27"/>
      <c r="S68" s="8">
        <f>IF(OR(D68="",E68=""),"",IFERROR(IFERROR(INDEX(Recipes!$H$5:$H$204,MATCH(D68,Recipes!$A$5:$A$204,0)),"")*E68,""))</f>
        <v>0</v>
      </c>
      <c r="T68" s="8">
        <f>IF(OR(D68="",E68=""),"",IFERROR(IFERROR(INDEX(Recipes!$Q$5:$Q$204,MATCH(D68,Recipes!$A$5:$A$204,0)),"")*E68,""))</f>
        <v>0</v>
      </c>
      <c r="U68" s="27"/>
      <c r="V68" s="30"/>
      <c r="W68" s="27"/>
      <c r="X68" s="25"/>
    </row>
    <row r="69" spans="1:24">
      <c r="A69" s="7"/>
      <c r="B69" s="27"/>
      <c r="C69" s="7"/>
      <c r="D69" s="27"/>
      <c r="E69" s="26"/>
      <c r="F69" s="26"/>
      <c r="G69" s="26"/>
      <c r="H69" s="30"/>
      <c r="I69" s="8">
        <f>IF(OR(A69="",H69=""),"",H69-TODAY())</f>
        <v>0</v>
      </c>
      <c r="J69" s="8">
        <f>IF(A69="","",IF(U69="Yes","Done",IF(I69="","No date",IF(I69&lt;0,"Overdue",IF(I69&lt;=Prep_Reminder_Days,"This week","Later")))))</f>
        <v>0</v>
      </c>
      <c r="K69" s="8">
        <f>IF(OR(A69="",I69=""),"",COUNTIFS($I$5:$I$124,"&lt;"&amp;I69)+1)</f>
        <v>0</v>
      </c>
      <c r="L69" s="7"/>
      <c r="M69" s="27"/>
      <c r="N69" s="26"/>
      <c r="O69" s="26"/>
      <c r="P69" s="8">
        <f>IF(OR(A69="",V69=""),"",V69+Leftover_Safe_Days)</f>
        <v>0</v>
      </c>
      <c r="Q69" s="8">
        <f>IF(OR(A69="",V69=""),"",V69+Freezer_Review_Days)</f>
        <v>0</v>
      </c>
      <c r="R69" s="27"/>
      <c r="S69" s="8">
        <f>IF(OR(D69="",E69=""),"",IFERROR(IFERROR(INDEX(Recipes!$H$5:$H$204,MATCH(D69,Recipes!$A$5:$A$204,0)),"")*E69,""))</f>
        <v>0</v>
      </c>
      <c r="T69" s="8">
        <f>IF(OR(D69="",E69=""),"",IFERROR(IFERROR(INDEX(Recipes!$Q$5:$Q$204,MATCH(D69,Recipes!$A$5:$A$204,0)),"")*E69,""))</f>
        <v>0</v>
      </c>
      <c r="U69" s="27"/>
      <c r="V69" s="30"/>
      <c r="W69" s="27"/>
      <c r="X69" s="25"/>
    </row>
    <row r="70" spans="1:24">
      <c r="A70" s="7"/>
      <c r="B70" s="27"/>
      <c r="C70" s="7"/>
      <c r="D70" s="27"/>
      <c r="E70" s="26"/>
      <c r="F70" s="26"/>
      <c r="G70" s="26"/>
      <c r="H70" s="30"/>
      <c r="I70" s="8">
        <f>IF(OR(A70="",H70=""),"",H70-TODAY())</f>
        <v>0</v>
      </c>
      <c r="J70" s="8">
        <f>IF(A70="","",IF(U70="Yes","Done",IF(I70="","No date",IF(I70&lt;0,"Overdue",IF(I70&lt;=Prep_Reminder_Days,"This week","Later")))))</f>
        <v>0</v>
      </c>
      <c r="K70" s="8">
        <f>IF(OR(A70="",I70=""),"",COUNTIFS($I$5:$I$124,"&lt;"&amp;I70)+1)</f>
        <v>0</v>
      </c>
      <c r="L70" s="7"/>
      <c r="M70" s="27"/>
      <c r="N70" s="26"/>
      <c r="O70" s="26"/>
      <c r="P70" s="8">
        <f>IF(OR(A70="",V70=""),"",V70+Leftover_Safe_Days)</f>
        <v>0</v>
      </c>
      <c r="Q70" s="8">
        <f>IF(OR(A70="",V70=""),"",V70+Freezer_Review_Days)</f>
        <v>0</v>
      </c>
      <c r="R70" s="27"/>
      <c r="S70" s="8">
        <f>IF(OR(D70="",E70=""),"",IFERROR(IFERROR(INDEX(Recipes!$H$5:$H$204,MATCH(D70,Recipes!$A$5:$A$204,0)),"")*E70,""))</f>
        <v>0</v>
      </c>
      <c r="T70" s="8">
        <f>IF(OR(D70="",E70=""),"",IFERROR(IFERROR(INDEX(Recipes!$Q$5:$Q$204,MATCH(D70,Recipes!$A$5:$A$204,0)),"")*E70,""))</f>
        <v>0</v>
      </c>
      <c r="U70" s="27"/>
      <c r="V70" s="30"/>
      <c r="W70" s="27"/>
      <c r="X70" s="25"/>
    </row>
    <row r="71" spans="1:24">
      <c r="A71" s="7"/>
      <c r="B71" s="27"/>
      <c r="C71" s="7"/>
      <c r="D71" s="27"/>
      <c r="E71" s="26"/>
      <c r="F71" s="26"/>
      <c r="G71" s="26"/>
      <c r="H71" s="30"/>
      <c r="I71" s="8">
        <f>IF(OR(A71="",H71=""),"",H71-TODAY())</f>
        <v>0</v>
      </c>
      <c r="J71" s="8">
        <f>IF(A71="","",IF(U71="Yes","Done",IF(I71="","No date",IF(I71&lt;0,"Overdue",IF(I71&lt;=Prep_Reminder_Days,"This week","Later")))))</f>
        <v>0</v>
      </c>
      <c r="K71" s="8">
        <f>IF(OR(A71="",I71=""),"",COUNTIFS($I$5:$I$124,"&lt;"&amp;I71)+1)</f>
        <v>0</v>
      </c>
      <c r="L71" s="7"/>
      <c r="M71" s="27"/>
      <c r="N71" s="26"/>
      <c r="O71" s="26"/>
      <c r="P71" s="8">
        <f>IF(OR(A71="",V71=""),"",V71+Leftover_Safe_Days)</f>
        <v>0</v>
      </c>
      <c r="Q71" s="8">
        <f>IF(OR(A71="",V71=""),"",V71+Freezer_Review_Days)</f>
        <v>0</v>
      </c>
      <c r="R71" s="27"/>
      <c r="S71" s="8">
        <f>IF(OR(D71="",E71=""),"",IFERROR(IFERROR(INDEX(Recipes!$H$5:$H$204,MATCH(D71,Recipes!$A$5:$A$204,0)),"")*E71,""))</f>
        <v>0</v>
      </c>
      <c r="T71" s="8">
        <f>IF(OR(D71="",E71=""),"",IFERROR(IFERROR(INDEX(Recipes!$Q$5:$Q$204,MATCH(D71,Recipes!$A$5:$A$204,0)),"")*E71,""))</f>
        <v>0</v>
      </c>
      <c r="U71" s="27"/>
      <c r="V71" s="30"/>
      <c r="W71" s="27"/>
      <c r="X71" s="25"/>
    </row>
    <row r="72" spans="1:24">
      <c r="A72" s="7"/>
      <c r="B72" s="27"/>
      <c r="C72" s="7"/>
      <c r="D72" s="27"/>
      <c r="E72" s="26"/>
      <c r="F72" s="26"/>
      <c r="G72" s="26"/>
      <c r="H72" s="30"/>
      <c r="I72" s="8">
        <f>IF(OR(A72="",H72=""),"",H72-TODAY())</f>
        <v>0</v>
      </c>
      <c r="J72" s="8">
        <f>IF(A72="","",IF(U72="Yes","Done",IF(I72="","No date",IF(I72&lt;0,"Overdue",IF(I72&lt;=Prep_Reminder_Days,"This week","Later")))))</f>
        <v>0</v>
      </c>
      <c r="K72" s="8">
        <f>IF(OR(A72="",I72=""),"",COUNTIFS($I$5:$I$124,"&lt;"&amp;I72)+1)</f>
        <v>0</v>
      </c>
      <c r="L72" s="7"/>
      <c r="M72" s="27"/>
      <c r="N72" s="26"/>
      <c r="O72" s="26"/>
      <c r="P72" s="8">
        <f>IF(OR(A72="",V72=""),"",V72+Leftover_Safe_Days)</f>
        <v>0</v>
      </c>
      <c r="Q72" s="8">
        <f>IF(OR(A72="",V72=""),"",V72+Freezer_Review_Days)</f>
        <v>0</v>
      </c>
      <c r="R72" s="27"/>
      <c r="S72" s="8">
        <f>IF(OR(D72="",E72=""),"",IFERROR(IFERROR(INDEX(Recipes!$H$5:$H$204,MATCH(D72,Recipes!$A$5:$A$204,0)),"")*E72,""))</f>
        <v>0</v>
      </c>
      <c r="T72" s="8">
        <f>IF(OR(D72="",E72=""),"",IFERROR(IFERROR(INDEX(Recipes!$Q$5:$Q$204,MATCH(D72,Recipes!$A$5:$A$204,0)),"")*E72,""))</f>
        <v>0</v>
      </c>
      <c r="U72" s="27"/>
      <c r="V72" s="30"/>
      <c r="W72" s="27"/>
      <c r="X72" s="25"/>
    </row>
    <row r="73" spans="1:24">
      <c r="A73" s="7"/>
      <c r="B73" s="27"/>
      <c r="C73" s="7"/>
      <c r="D73" s="27"/>
      <c r="E73" s="26"/>
      <c r="F73" s="26"/>
      <c r="G73" s="26"/>
      <c r="H73" s="30"/>
      <c r="I73" s="8">
        <f>IF(OR(A73="",H73=""),"",H73-TODAY())</f>
        <v>0</v>
      </c>
      <c r="J73" s="8">
        <f>IF(A73="","",IF(U73="Yes","Done",IF(I73="","No date",IF(I73&lt;0,"Overdue",IF(I73&lt;=Prep_Reminder_Days,"This week","Later")))))</f>
        <v>0</v>
      </c>
      <c r="K73" s="8">
        <f>IF(OR(A73="",I73=""),"",COUNTIFS($I$5:$I$124,"&lt;"&amp;I73)+1)</f>
        <v>0</v>
      </c>
      <c r="L73" s="7"/>
      <c r="M73" s="27"/>
      <c r="N73" s="26"/>
      <c r="O73" s="26"/>
      <c r="P73" s="8">
        <f>IF(OR(A73="",V73=""),"",V73+Leftover_Safe_Days)</f>
        <v>0</v>
      </c>
      <c r="Q73" s="8">
        <f>IF(OR(A73="",V73=""),"",V73+Freezer_Review_Days)</f>
        <v>0</v>
      </c>
      <c r="R73" s="27"/>
      <c r="S73" s="8">
        <f>IF(OR(D73="",E73=""),"",IFERROR(IFERROR(INDEX(Recipes!$H$5:$H$204,MATCH(D73,Recipes!$A$5:$A$204,0)),"")*E73,""))</f>
        <v>0</v>
      </c>
      <c r="T73" s="8">
        <f>IF(OR(D73="",E73=""),"",IFERROR(IFERROR(INDEX(Recipes!$Q$5:$Q$204,MATCH(D73,Recipes!$A$5:$A$204,0)),"")*E73,""))</f>
        <v>0</v>
      </c>
      <c r="U73" s="27"/>
      <c r="V73" s="30"/>
      <c r="W73" s="27"/>
      <c r="X73" s="25"/>
    </row>
    <row r="74" spans="1:24">
      <c r="A74" s="7"/>
      <c r="B74" s="27"/>
      <c r="C74" s="7"/>
      <c r="D74" s="27"/>
      <c r="E74" s="26"/>
      <c r="F74" s="26"/>
      <c r="G74" s="26"/>
      <c r="H74" s="30"/>
      <c r="I74" s="8">
        <f>IF(OR(A74="",H74=""),"",H74-TODAY())</f>
        <v>0</v>
      </c>
      <c r="J74" s="8">
        <f>IF(A74="","",IF(U74="Yes","Done",IF(I74="","No date",IF(I74&lt;0,"Overdue",IF(I74&lt;=Prep_Reminder_Days,"This week","Later")))))</f>
        <v>0</v>
      </c>
      <c r="K74" s="8">
        <f>IF(OR(A74="",I74=""),"",COUNTIFS($I$5:$I$124,"&lt;"&amp;I74)+1)</f>
        <v>0</v>
      </c>
      <c r="L74" s="7"/>
      <c r="M74" s="27"/>
      <c r="N74" s="26"/>
      <c r="O74" s="26"/>
      <c r="P74" s="8">
        <f>IF(OR(A74="",V74=""),"",V74+Leftover_Safe_Days)</f>
        <v>0</v>
      </c>
      <c r="Q74" s="8">
        <f>IF(OR(A74="",V74=""),"",V74+Freezer_Review_Days)</f>
        <v>0</v>
      </c>
      <c r="R74" s="27"/>
      <c r="S74" s="8">
        <f>IF(OR(D74="",E74=""),"",IFERROR(IFERROR(INDEX(Recipes!$H$5:$H$204,MATCH(D74,Recipes!$A$5:$A$204,0)),"")*E74,""))</f>
        <v>0</v>
      </c>
      <c r="T74" s="8">
        <f>IF(OR(D74="",E74=""),"",IFERROR(IFERROR(INDEX(Recipes!$Q$5:$Q$204,MATCH(D74,Recipes!$A$5:$A$204,0)),"")*E74,""))</f>
        <v>0</v>
      </c>
      <c r="U74" s="27"/>
      <c r="V74" s="30"/>
      <c r="W74" s="27"/>
      <c r="X74" s="25"/>
    </row>
    <row r="75" spans="1:24">
      <c r="A75" s="7"/>
      <c r="B75" s="27"/>
      <c r="C75" s="7"/>
      <c r="D75" s="27"/>
      <c r="E75" s="26"/>
      <c r="F75" s="26"/>
      <c r="G75" s="26"/>
      <c r="H75" s="30"/>
      <c r="I75" s="8">
        <f>IF(OR(A75="",H75=""),"",H75-TODAY())</f>
        <v>0</v>
      </c>
      <c r="J75" s="8">
        <f>IF(A75="","",IF(U75="Yes","Done",IF(I75="","No date",IF(I75&lt;0,"Overdue",IF(I75&lt;=Prep_Reminder_Days,"This week","Later")))))</f>
        <v>0</v>
      </c>
      <c r="K75" s="8">
        <f>IF(OR(A75="",I75=""),"",COUNTIFS($I$5:$I$124,"&lt;"&amp;I75)+1)</f>
        <v>0</v>
      </c>
      <c r="L75" s="7"/>
      <c r="M75" s="27"/>
      <c r="N75" s="26"/>
      <c r="O75" s="26"/>
      <c r="P75" s="8">
        <f>IF(OR(A75="",V75=""),"",V75+Leftover_Safe_Days)</f>
        <v>0</v>
      </c>
      <c r="Q75" s="8">
        <f>IF(OR(A75="",V75=""),"",V75+Freezer_Review_Days)</f>
        <v>0</v>
      </c>
      <c r="R75" s="27"/>
      <c r="S75" s="8">
        <f>IF(OR(D75="",E75=""),"",IFERROR(IFERROR(INDEX(Recipes!$H$5:$H$204,MATCH(D75,Recipes!$A$5:$A$204,0)),"")*E75,""))</f>
        <v>0</v>
      </c>
      <c r="T75" s="8">
        <f>IF(OR(D75="",E75=""),"",IFERROR(IFERROR(INDEX(Recipes!$Q$5:$Q$204,MATCH(D75,Recipes!$A$5:$A$204,0)),"")*E75,""))</f>
        <v>0</v>
      </c>
      <c r="U75" s="27"/>
      <c r="V75" s="30"/>
      <c r="W75" s="27"/>
      <c r="X75" s="25"/>
    </row>
    <row r="76" spans="1:24">
      <c r="A76" s="7"/>
      <c r="B76" s="27"/>
      <c r="C76" s="7"/>
      <c r="D76" s="27"/>
      <c r="E76" s="26"/>
      <c r="F76" s="26"/>
      <c r="G76" s="26"/>
      <c r="H76" s="30"/>
      <c r="I76" s="8">
        <f>IF(OR(A76="",H76=""),"",H76-TODAY())</f>
        <v>0</v>
      </c>
      <c r="J76" s="8">
        <f>IF(A76="","",IF(U76="Yes","Done",IF(I76="","No date",IF(I76&lt;0,"Overdue",IF(I76&lt;=Prep_Reminder_Days,"This week","Later")))))</f>
        <v>0</v>
      </c>
      <c r="K76" s="8">
        <f>IF(OR(A76="",I76=""),"",COUNTIFS($I$5:$I$124,"&lt;"&amp;I76)+1)</f>
        <v>0</v>
      </c>
      <c r="L76" s="7"/>
      <c r="M76" s="27"/>
      <c r="N76" s="26"/>
      <c r="O76" s="26"/>
      <c r="P76" s="8">
        <f>IF(OR(A76="",V76=""),"",V76+Leftover_Safe_Days)</f>
        <v>0</v>
      </c>
      <c r="Q76" s="8">
        <f>IF(OR(A76="",V76=""),"",V76+Freezer_Review_Days)</f>
        <v>0</v>
      </c>
      <c r="R76" s="27"/>
      <c r="S76" s="8">
        <f>IF(OR(D76="",E76=""),"",IFERROR(IFERROR(INDEX(Recipes!$H$5:$H$204,MATCH(D76,Recipes!$A$5:$A$204,0)),"")*E76,""))</f>
        <v>0</v>
      </c>
      <c r="T76" s="8">
        <f>IF(OR(D76="",E76=""),"",IFERROR(IFERROR(INDEX(Recipes!$Q$5:$Q$204,MATCH(D76,Recipes!$A$5:$A$204,0)),"")*E76,""))</f>
        <v>0</v>
      </c>
      <c r="U76" s="27"/>
      <c r="V76" s="30"/>
      <c r="W76" s="27"/>
      <c r="X76" s="25"/>
    </row>
    <row r="77" spans="1:24">
      <c r="A77" s="7"/>
      <c r="B77" s="27"/>
      <c r="C77" s="7"/>
      <c r="D77" s="27"/>
      <c r="E77" s="26"/>
      <c r="F77" s="26"/>
      <c r="G77" s="26"/>
      <c r="H77" s="30"/>
      <c r="I77" s="8">
        <f>IF(OR(A77="",H77=""),"",H77-TODAY())</f>
        <v>0</v>
      </c>
      <c r="J77" s="8">
        <f>IF(A77="","",IF(U77="Yes","Done",IF(I77="","No date",IF(I77&lt;0,"Overdue",IF(I77&lt;=Prep_Reminder_Days,"This week","Later")))))</f>
        <v>0</v>
      </c>
      <c r="K77" s="8">
        <f>IF(OR(A77="",I77=""),"",COUNTIFS($I$5:$I$124,"&lt;"&amp;I77)+1)</f>
        <v>0</v>
      </c>
      <c r="L77" s="7"/>
      <c r="M77" s="27"/>
      <c r="N77" s="26"/>
      <c r="O77" s="26"/>
      <c r="P77" s="8">
        <f>IF(OR(A77="",V77=""),"",V77+Leftover_Safe_Days)</f>
        <v>0</v>
      </c>
      <c r="Q77" s="8">
        <f>IF(OR(A77="",V77=""),"",V77+Freezer_Review_Days)</f>
        <v>0</v>
      </c>
      <c r="R77" s="27"/>
      <c r="S77" s="8">
        <f>IF(OR(D77="",E77=""),"",IFERROR(IFERROR(INDEX(Recipes!$H$5:$H$204,MATCH(D77,Recipes!$A$5:$A$204,0)),"")*E77,""))</f>
        <v>0</v>
      </c>
      <c r="T77" s="8">
        <f>IF(OR(D77="",E77=""),"",IFERROR(IFERROR(INDEX(Recipes!$Q$5:$Q$204,MATCH(D77,Recipes!$A$5:$A$204,0)),"")*E77,""))</f>
        <v>0</v>
      </c>
      <c r="U77" s="27"/>
      <c r="V77" s="30"/>
      <c r="W77" s="27"/>
      <c r="X77" s="25"/>
    </row>
    <row r="78" spans="1:24">
      <c r="A78" s="7"/>
      <c r="B78" s="27"/>
      <c r="C78" s="7"/>
      <c r="D78" s="27"/>
      <c r="E78" s="26"/>
      <c r="F78" s="26"/>
      <c r="G78" s="26"/>
      <c r="H78" s="30"/>
      <c r="I78" s="8">
        <f>IF(OR(A78="",H78=""),"",H78-TODAY())</f>
        <v>0</v>
      </c>
      <c r="J78" s="8">
        <f>IF(A78="","",IF(U78="Yes","Done",IF(I78="","No date",IF(I78&lt;0,"Overdue",IF(I78&lt;=Prep_Reminder_Days,"This week","Later")))))</f>
        <v>0</v>
      </c>
      <c r="K78" s="8">
        <f>IF(OR(A78="",I78=""),"",COUNTIFS($I$5:$I$124,"&lt;"&amp;I78)+1)</f>
        <v>0</v>
      </c>
      <c r="L78" s="7"/>
      <c r="M78" s="27"/>
      <c r="N78" s="26"/>
      <c r="O78" s="26"/>
      <c r="P78" s="8">
        <f>IF(OR(A78="",V78=""),"",V78+Leftover_Safe_Days)</f>
        <v>0</v>
      </c>
      <c r="Q78" s="8">
        <f>IF(OR(A78="",V78=""),"",V78+Freezer_Review_Days)</f>
        <v>0</v>
      </c>
      <c r="R78" s="27"/>
      <c r="S78" s="8">
        <f>IF(OR(D78="",E78=""),"",IFERROR(IFERROR(INDEX(Recipes!$H$5:$H$204,MATCH(D78,Recipes!$A$5:$A$204,0)),"")*E78,""))</f>
        <v>0</v>
      </c>
      <c r="T78" s="8">
        <f>IF(OR(D78="",E78=""),"",IFERROR(IFERROR(INDEX(Recipes!$Q$5:$Q$204,MATCH(D78,Recipes!$A$5:$A$204,0)),"")*E78,""))</f>
        <v>0</v>
      </c>
      <c r="U78" s="27"/>
      <c r="V78" s="30"/>
      <c r="W78" s="27"/>
      <c r="X78" s="25"/>
    </row>
    <row r="79" spans="1:24">
      <c r="A79" s="7"/>
      <c r="B79" s="27"/>
      <c r="C79" s="7"/>
      <c r="D79" s="27"/>
      <c r="E79" s="26"/>
      <c r="F79" s="26"/>
      <c r="G79" s="26"/>
      <c r="H79" s="30"/>
      <c r="I79" s="8">
        <f>IF(OR(A79="",H79=""),"",H79-TODAY())</f>
        <v>0</v>
      </c>
      <c r="J79" s="8">
        <f>IF(A79="","",IF(U79="Yes","Done",IF(I79="","No date",IF(I79&lt;0,"Overdue",IF(I79&lt;=Prep_Reminder_Days,"This week","Later")))))</f>
        <v>0</v>
      </c>
      <c r="K79" s="8">
        <f>IF(OR(A79="",I79=""),"",COUNTIFS($I$5:$I$124,"&lt;"&amp;I79)+1)</f>
        <v>0</v>
      </c>
      <c r="L79" s="7"/>
      <c r="M79" s="27"/>
      <c r="N79" s="26"/>
      <c r="O79" s="26"/>
      <c r="P79" s="8">
        <f>IF(OR(A79="",V79=""),"",V79+Leftover_Safe_Days)</f>
        <v>0</v>
      </c>
      <c r="Q79" s="8">
        <f>IF(OR(A79="",V79=""),"",V79+Freezer_Review_Days)</f>
        <v>0</v>
      </c>
      <c r="R79" s="27"/>
      <c r="S79" s="8">
        <f>IF(OR(D79="",E79=""),"",IFERROR(IFERROR(INDEX(Recipes!$H$5:$H$204,MATCH(D79,Recipes!$A$5:$A$204,0)),"")*E79,""))</f>
        <v>0</v>
      </c>
      <c r="T79" s="8">
        <f>IF(OR(D79="",E79=""),"",IFERROR(IFERROR(INDEX(Recipes!$Q$5:$Q$204,MATCH(D79,Recipes!$A$5:$A$204,0)),"")*E79,""))</f>
        <v>0</v>
      </c>
      <c r="U79" s="27"/>
      <c r="V79" s="30"/>
      <c r="W79" s="27"/>
      <c r="X79" s="25"/>
    </row>
    <row r="80" spans="1:24">
      <c r="A80" s="7"/>
      <c r="B80" s="27"/>
      <c r="C80" s="7"/>
      <c r="D80" s="27"/>
      <c r="E80" s="26"/>
      <c r="F80" s="26"/>
      <c r="G80" s="26"/>
      <c r="H80" s="30"/>
      <c r="I80" s="8">
        <f>IF(OR(A80="",H80=""),"",H80-TODAY())</f>
        <v>0</v>
      </c>
      <c r="J80" s="8">
        <f>IF(A80="","",IF(U80="Yes","Done",IF(I80="","No date",IF(I80&lt;0,"Overdue",IF(I80&lt;=Prep_Reminder_Days,"This week","Later")))))</f>
        <v>0</v>
      </c>
      <c r="K80" s="8">
        <f>IF(OR(A80="",I80=""),"",COUNTIFS($I$5:$I$124,"&lt;"&amp;I80)+1)</f>
        <v>0</v>
      </c>
      <c r="L80" s="7"/>
      <c r="M80" s="27"/>
      <c r="N80" s="26"/>
      <c r="O80" s="26"/>
      <c r="P80" s="8">
        <f>IF(OR(A80="",V80=""),"",V80+Leftover_Safe_Days)</f>
        <v>0</v>
      </c>
      <c r="Q80" s="8">
        <f>IF(OR(A80="",V80=""),"",V80+Freezer_Review_Days)</f>
        <v>0</v>
      </c>
      <c r="R80" s="27"/>
      <c r="S80" s="8">
        <f>IF(OR(D80="",E80=""),"",IFERROR(IFERROR(INDEX(Recipes!$H$5:$H$204,MATCH(D80,Recipes!$A$5:$A$204,0)),"")*E80,""))</f>
        <v>0</v>
      </c>
      <c r="T80" s="8">
        <f>IF(OR(D80="",E80=""),"",IFERROR(IFERROR(INDEX(Recipes!$Q$5:$Q$204,MATCH(D80,Recipes!$A$5:$A$204,0)),"")*E80,""))</f>
        <v>0</v>
      </c>
      <c r="U80" s="27"/>
      <c r="V80" s="30"/>
      <c r="W80" s="27"/>
      <c r="X80" s="25"/>
    </row>
    <row r="81" spans="1:24">
      <c r="A81" s="7"/>
      <c r="B81" s="27"/>
      <c r="C81" s="7"/>
      <c r="D81" s="27"/>
      <c r="E81" s="26"/>
      <c r="F81" s="26"/>
      <c r="G81" s="26"/>
      <c r="H81" s="30"/>
      <c r="I81" s="8">
        <f>IF(OR(A81="",H81=""),"",H81-TODAY())</f>
        <v>0</v>
      </c>
      <c r="J81" s="8">
        <f>IF(A81="","",IF(U81="Yes","Done",IF(I81="","No date",IF(I81&lt;0,"Overdue",IF(I81&lt;=Prep_Reminder_Days,"This week","Later")))))</f>
        <v>0</v>
      </c>
      <c r="K81" s="8">
        <f>IF(OR(A81="",I81=""),"",COUNTIFS($I$5:$I$124,"&lt;"&amp;I81)+1)</f>
        <v>0</v>
      </c>
      <c r="L81" s="7"/>
      <c r="M81" s="27"/>
      <c r="N81" s="26"/>
      <c r="O81" s="26"/>
      <c r="P81" s="8">
        <f>IF(OR(A81="",V81=""),"",V81+Leftover_Safe_Days)</f>
        <v>0</v>
      </c>
      <c r="Q81" s="8">
        <f>IF(OR(A81="",V81=""),"",V81+Freezer_Review_Days)</f>
        <v>0</v>
      </c>
      <c r="R81" s="27"/>
      <c r="S81" s="8">
        <f>IF(OR(D81="",E81=""),"",IFERROR(IFERROR(INDEX(Recipes!$H$5:$H$204,MATCH(D81,Recipes!$A$5:$A$204,0)),"")*E81,""))</f>
        <v>0</v>
      </c>
      <c r="T81" s="8">
        <f>IF(OR(D81="",E81=""),"",IFERROR(IFERROR(INDEX(Recipes!$Q$5:$Q$204,MATCH(D81,Recipes!$A$5:$A$204,0)),"")*E81,""))</f>
        <v>0</v>
      </c>
      <c r="U81" s="27"/>
      <c r="V81" s="30"/>
      <c r="W81" s="27"/>
      <c r="X81" s="25"/>
    </row>
    <row r="82" spans="1:24">
      <c r="A82" s="7"/>
      <c r="B82" s="27"/>
      <c r="C82" s="7"/>
      <c r="D82" s="27"/>
      <c r="E82" s="26"/>
      <c r="F82" s="26"/>
      <c r="G82" s="26"/>
      <c r="H82" s="30"/>
      <c r="I82" s="8">
        <f>IF(OR(A82="",H82=""),"",H82-TODAY())</f>
        <v>0</v>
      </c>
      <c r="J82" s="8">
        <f>IF(A82="","",IF(U82="Yes","Done",IF(I82="","No date",IF(I82&lt;0,"Overdue",IF(I82&lt;=Prep_Reminder_Days,"This week","Later")))))</f>
        <v>0</v>
      </c>
      <c r="K82" s="8">
        <f>IF(OR(A82="",I82=""),"",COUNTIFS($I$5:$I$124,"&lt;"&amp;I82)+1)</f>
        <v>0</v>
      </c>
      <c r="L82" s="7"/>
      <c r="M82" s="27"/>
      <c r="N82" s="26"/>
      <c r="O82" s="26"/>
      <c r="P82" s="8">
        <f>IF(OR(A82="",V82=""),"",V82+Leftover_Safe_Days)</f>
        <v>0</v>
      </c>
      <c r="Q82" s="8">
        <f>IF(OR(A82="",V82=""),"",V82+Freezer_Review_Days)</f>
        <v>0</v>
      </c>
      <c r="R82" s="27"/>
      <c r="S82" s="8">
        <f>IF(OR(D82="",E82=""),"",IFERROR(IFERROR(INDEX(Recipes!$H$5:$H$204,MATCH(D82,Recipes!$A$5:$A$204,0)),"")*E82,""))</f>
        <v>0</v>
      </c>
      <c r="T82" s="8">
        <f>IF(OR(D82="",E82=""),"",IFERROR(IFERROR(INDEX(Recipes!$Q$5:$Q$204,MATCH(D82,Recipes!$A$5:$A$204,0)),"")*E82,""))</f>
        <v>0</v>
      </c>
      <c r="U82" s="27"/>
      <c r="V82" s="30"/>
      <c r="W82" s="27"/>
      <c r="X82" s="25"/>
    </row>
    <row r="83" spans="1:24">
      <c r="A83" s="7"/>
      <c r="B83" s="27"/>
      <c r="C83" s="7"/>
      <c r="D83" s="27"/>
      <c r="E83" s="26"/>
      <c r="F83" s="26"/>
      <c r="G83" s="26"/>
      <c r="H83" s="30"/>
      <c r="I83" s="8">
        <f>IF(OR(A83="",H83=""),"",H83-TODAY())</f>
        <v>0</v>
      </c>
      <c r="J83" s="8">
        <f>IF(A83="","",IF(U83="Yes","Done",IF(I83="","No date",IF(I83&lt;0,"Overdue",IF(I83&lt;=Prep_Reminder_Days,"This week","Later")))))</f>
        <v>0</v>
      </c>
      <c r="K83" s="8">
        <f>IF(OR(A83="",I83=""),"",COUNTIFS($I$5:$I$124,"&lt;"&amp;I83)+1)</f>
        <v>0</v>
      </c>
      <c r="L83" s="7"/>
      <c r="M83" s="27"/>
      <c r="N83" s="26"/>
      <c r="O83" s="26"/>
      <c r="P83" s="8">
        <f>IF(OR(A83="",V83=""),"",V83+Leftover_Safe_Days)</f>
        <v>0</v>
      </c>
      <c r="Q83" s="8">
        <f>IF(OR(A83="",V83=""),"",V83+Freezer_Review_Days)</f>
        <v>0</v>
      </c>
      <c r="R83" s="27"/>
      <c r="S83" s="8">
        <f>IF(OR(D83="",E83=""),"",IFERROR(IFERROR(INDEX(Recipes!$H$5:$H$204,MATCH(D83,Recipes!$A$5:$A$204,0)),"")*E83,""))</f>
        <v>0</v>
      </c>
      <c r="T83" s="8">
        <f>IF(OR(D83="",E83=""),"",IFERROR(IFERROR(INDEX(Recipes!$Q$5:$Q$204,MATCH(D83,Recipes!$A$5:$A$204,0)),"")*E83,""))</f>
        <v>0</v>
      </c>
      <c r="U83" s="27"/>
      <c r="V83" s="30"/>
      <c r="W83" s="27"/>
      <c r="X83" s="25"/>
    </row>
    <row r="84" spans="1:24">
      <c r="A84" s="7"/>
      <c r="B84" s="27"/>
      <c r="C84" s="7"/>
      <c r="D84" s="27"/>
      <c r="E84" s="26"/>
      <c r="F84" s="26"/>
      <c r="G84" s="26"/>
      <c r="H84" s="30"/>
      <c r="I84" s="8">
        <f>IF(OR(A84="",H84=""),"",H84-TODAY())</f>
        <v>0</v>
      </c>
      <c r="J84" s="8">
        <f>IF(A84="","",IF(U84="Yes","Done",IF(I84="","No date",IF(I84&lt;0,"Overdue",IF(I84&lt;=Prep_Reminder_Days,"This week","Later")))))</f>
        <v>0</v>
      </c>
      <c r="K84" s="8">
        <f>IF(OR(A84="",I84=""),"",COUNTIFS($I$5:$I$124,"&lt;"&amp;I84)+1)</f>
        <v>0</v>
      </c>
      <c r="L84" s="7"/>
      <c r="M84" s="27"/>
      <c r="N84" s="26"/>
      <c r="O84" s="26"/>
      <c r="P84" s="8">
        <f>IF(OR(A84="",V84=""),"",V84+Leftover_Safe_Days)</f>
        <v>0</v>
      </c>
      <c r="Q84" s="8">
        <f>IF(OR(A84="",V84=""),"",V84+Freezer_Review_Days)</f>
        <v>0</v>
      </c>
      <c r="R84" s="27"/>
      <c r="S84" s="8">
        <f>IF(OR(D84="",E84=""),"",IFERROR(IFERROR(INDEX(Recipes!$H$5:$H$204,MATCH(D84,Recipes!$A$5:$A$204,0)),"")*E84,""))</f>
        <v>0</v>
      </c>
      <c r="T84" s="8">
        <f>IF(OR(D84="",E84=""),"",IFERROR(IFERROR(INDEX(Recipes!$Q$5:$Q$204,MATCH(D84,Recipes!$A$5:$A$204,0)),"")*E84,""))</f>
        <v>0</v>
      </c>
      <c r="U84" s="27"/>
      <c r="V84" s="30"/>
      <c r="W84" s="27"/>
      <c r="X84" s="25"/>
    </row>
    <row r="85" spans="1:24">
      <c r="A85" s="7"/>
      <c r="B85" s="27"/>
      <c r="C85" s="7"/>
      <c r="D85" s="27"/>
      <c r="E85" s="26"/>
      <c r="F85" s="26"/>
      <c r="G85" s="26"/>
      <c r="H85" s="30"/>
      <c r="I85" s="8">
        <f>IF(OR(A85="",H85=""),"",H85-TODAY())</f>
        <v>0</v>
      </c>
      <c r="J85" s="8">
        <f>IF(A85="","",IF(U85="Yes","Done",IF(I85="","No date",IF(I85&lt;0,"Overdue",IF(I85&lt;=Prep_Reminder_Days,"This week","Later")))))</f>
        <v>0</v>
      </c>
      <c r="K85" s="8">
        <f>IF(OR(A85="",I85=""),"",COUNTIFS($I$5:$I$124,"&lt;"&amp;I85)+1)</f>
        <v>0</v>
      </c>
      <c r="L85" s="7"/>
      <c r="M85" s="27"/>
      <c r="N85" s="26"/>
      <c r="O85" s="26"/>
      <c r="P85" s="8">
        <f>IF(OR(A85="",V85=""),"",V85+Leftover_Safe_Days)</f>
        <v>0</v>
      </c>
      <c r="Q85" s="8">
        <f>IF(OR(A85="",V85=""),"",V85+Freezer_Review_Days)</f>
        <v>0</v>
      </c>
      <c r="R85" s="27"/>
      <c r="S85" s="8">
        <f>IF(OR(D85="",E85=""),"",IFERROR(IFERROR(INDEX(Recipes!$H$5:$H$204,MATCH(D85,Recipes!$A$5:$A$204,0)),"")*E85,""))</f>
        <v>0</v>
      </c>
      <c r="T85" s="8">
        <f>IF(OR(D85="",E85=""),"",IFERROR(IFERROR(INDEX(Recipes!$Q$5:$Q$204,MATCH(D85,Recipes!$A$5:$A$204,0)),"")*E85,""))</f>
        <v>0</v>
      </c>
      <c r="U85" s="27"/>
      <c r="V85" s="30"/>
      <c r="W85" s="27"/>
      <c r="X85" s="25"/>
    </row>
    <row r="86" spans="1:24">
      <c r="A86" s="7"/>
      <c r="B86" s="27"/>
      <c r="C86" s="7"/>
      <c r="D86" s="27"/>
      <c r="E86" s="26"/>
      <c r="F86" s="26"/>
      <c r="G86" s="26"/>
      <c r="H86" s="30"/>
      <c r="I86" s="8">
        <f>IF(OR(A86="",H86=""),"",H86-TODAY())</f>
        <v>0</v>
      </c>
      <c r="J86" s="8">
        <f>IF(A86="","",IF(U86="Yes","Done",IF(I86="","No date",IF(I86&lt;0,"Overdue",IF(I86&lt;=Prep_Reminder_Days,"This week","Later")))))</f>
        <v>0</v>
      </c>
      <c r="K86" s="8">
        <f>IF(OR(A86="",I86=""),"",COUNTIFS($I$5:$I$124,"&lt;"&amp;I86)+1)</f>
        <v>0</v>
      </c>
      <c r="L86" s="7"/>
      <c r="M86" s="27"/>
      <c r="N86" s="26"/>
      <c r="O86" s="26"/>
      <c r="P86" s="8">
        <f>IF(OR(A86="",V86=""),"",V86+Leftover_Safe_Days)</f>
        <v>0</v>
      </c>
      <c r="Q86" s="8">
        <f>IF(OR(A86="",V86=""),"",V86+Freezer_Review_Days)</f>
        <v>0</v>
      </c>
      <c r="R86" s="27"/>
      <c r="S86" s="8">
        <f>IF(OR(D86="",E86=""),"",IFERROR(IFERROR(INDEX(Recipes!$H$5:$H$204,MATCH(D86,Recipes!$A$5:$A$204,0)),"")*E86,""))</f>
        <v>0</v>
      </c>
      <c r="T86" s="8">
        <f>IF(OR(D86="",E86=""),"",IFERROR(IFERROR(INDEX(Recipes!$Q$5:$Q$204,MATCH(D86,Recipes!$A$5:$A$204,0)),"")*E86,""))</f>
        <v>0</v>
      </c>
      <c r="U86" s="27"/>
      <c r="V86" s="30"/>
      <c r="W86" s="27"/>
      <c r="X86" s="25"/>
    </row>
    <row r="87" spans="1:24">
      <c r="A87" s="7"/>
      <c r="B87" s="27"/>
      <c r="C87" s="7"/>
      <c r="D87" s="27"/>
      <c r="E87" s="26"/>
      <c r="F87" s="26"/>
      <c r="G87" s="26"/>
      <c r="H87" s="30"/>
      <c r="I87" s="8">
        <f>IF(OR(A87="",H87=""),"",H87-TODAY())</f>
        <v>0</v>
      </c>
      <c r="J87" s="8">
        <f>IF(A87="","",IF(U87="Yes","Done",IF(I87="","No date",IF(I87&lt;0,"Overdue",IF(I87&lt;=Prep_Reminder_Days,"This week","Later")))))</f>
        <v>0</v>
      </c>
      <c r="K87" s="8">
        <f>IF(OR(A87="",I87=""),"",COUNTIFS($I$5:$I$124,"&lt;"&amp;I87)+1)</f>
        <v>0</v>
      </c>
      <c r="L87" s="7"/>
      <c r="M87" s="27"/>
      <c r="N87" s="26"/>
      <c r="O87" s="26"/>
      <c r="P87" s="8">
        <f>IF(OR(A87="",V87=""),"",V87+Leftover_Safe_Days)</f>
        <v>0</v>
      </c>
      <c r="Q87" s="8">
        <f>IF(OR(A87="",V87=""),"",V87+Freezer_Review_Days)</f>
        <v>0</v>
      </c>
      <c r="R87" s="27"/>
      <c r="S87" s="8">
        <f>IF(OR(D87="",E87=""),"",IFERROR(IFERROR(INDEX(Recipes!$H$5:$H$204,MATCH(D87,Recipes!$A$5:$A$204,0)),"")*E87,""))</f>
        <v>0</v>
      </c>
      <c r="T87" s="8">
        <f>IF(OR(D87="",E87=""),"",IFERROR(IFERROR(INDEX(Recipes!$Q$5:$Q$204,MATCH(D87,Recipes!$A$5:$A$204,0)),"")*E87,""))</f>
        <v>0</v>
      </c>
      <c r="U87" s="27"/>
      <c r="V87" s="30"/>
      <c r="W87" s="27"/>
      <c r="X87" s="25"/>
    </row>
    <row r="88" spans="1:24">
      <c r="A88" s="7"/>
      <c r="B88" s="27"/>
      <c r="C88" s="7"/>
      <c r="D88" s="27"/>
      <c r="E88" s="26"/>
      <c r="F88" s="26"/>
      <c r="G88" s="26"/>
      <c r="H88" s="30"/>
      <c r="I88" s="8">
        <f>IF(OR(A88="",H88=""),"",H88-TODAY())</f>
        <v>0</v>
      </c>
      <c r="J88" s="8">
        <f>IF(A88="","",IF(U88="Yes","Done",IF(I88="","No date",IF(I88&lt;0,"Overdue",IF(I88&lt;=Prep_Reminder_Days,"This week","Later")))))</f>
        <v>0</v>
      </c>
      <c r="K88" s="8">
        <f>IF(OR(A88="",I88=""),"",COUNTIFS($I$5:$I$124,"&lt;"&amp;I88)+1)</f>
        <v>0</v>
      </c>
      <c r="L88" s="7"/>
      <c r="M88" s="27"/>
      <c r="N88" s="26"/>
      <c r="O88" s="26"/>
      <c r="P88" s="8">
        <f>IF(OR(A88="",V88=""),"",V88+Leftover_Safe_Days)</f>
        <v>0</v>
      </c>
      <c r="Q88" s="8">
        <f>IF(OR(A88="",V88=""),"",V88+Freezer_Review_Days)</f>
        <v>0</v>
      </c>
      <c r="R88" s="27"/>
      <c r="S88" s="8">
        <f>IF(OR(D88="",E88=""),"",IFERROR(IFERROR(INDEX(Recipes!$H$5:$H$204,MATCH(D88,Recipes!$A$5:$A$204,0)),"")*E88,""))</f>
        <v>0</v>
      </c>
      <c r="T88" s="8">
        <f>IF(OR(D88="",E88=""),"",IFERROR(IFERROR(INDEX(Recipes!$Q$5:$Q$204,MATCH(D88,Recipes!$A$5:$A$204,0)),"")*E88,""))</f>
        <v>0</v>
      </c>
      <c r="U88" s="27"/>
      <c r="V88" s="30"/>
      <c r="W88" s="27"/>
      <c r="X88" s="25"/>
    </row>
    <row r="89" spans="1:24">
      <c r="A89" s="7"/>
      <c r="B89" s="27"/>
      <c r="C89" s="7"/>
      <c r="D89" s="27"/>
      <c r="E89" s="26"/>
      <c r="F89" s="26"/>
      <c r="G89" s="26"/>
      <c r="H89" s="30"/>
      <c r="I89" s="8">
        <f>IF(OR(A89="",H89=""),"",H89-TODAY())</f>
        <v>0</v>
      </c>
      <c r="J89" s="8">
        <f>IF(A89="","",IF(U89="Yes","Done",IF(I89="","No date",IF(I89&lt;0,"Overdue",IF(I89&lt;=Prep_Reminder_Days,"This week","Later")))))</f>
        <v>0</v>
      </c>
      <c r="K89" s="8">
        <f>IF(OR(A89="",I89=""),"",COUNTIFS($I$5:$I$124,"&lt;"&amp;I89)+1)</f>
        <v>0</v>
      </c>
      <c r="L89" s="7"/>
      <c r="M89" s="27"/>
      <c r="N89" s="26"/>
      <c r="O89" s="26"/>
      <c r="P89" s="8">
        <f>IF(OR(A89="",V89=""),"",V89+Leftover_Safe_Days)</f>
        <v>0</v>
      </c>
      <c r="Q89" s="8">
        <f>IF(OR(A89="",V89=""),"",V89+Freezer_Review_Days)</f>
        <v>0</v>
      </c>
      <c r="R89" s="27"/>
      <c r="S89" s="8">
        <f>IF(OR(D89="",E89=""),"",IFERROR(IFERROR(INDEX(Recipes!$H$5:$H$204,MATCH(D89,Recipes!$A$5:$A$204,0)),"")*E89,""))</f>
        <v>0</v>
      </c>
      <c r="T89" s="8">
        <f>IF(OR(D89="",E89=""),"",IFERROR(IFERROR(INDEX(Recipes!$Q$5:$Q$204,MATCH(D89,Recipes!$A$5:$A$204,0)),"")*E89,""))</f>
        <v>0</v>
      </c>
      <c r="U89" s="27"/>
      <c r="V89" s="30"/>
      <c r="W89" s="27"/>
      <c r="X89" s="25"/>
    </row>
    <row r="90" spans="1:24">
      <c r="A90" s="7"/>
      <c r="B90" s="27"/>
      <c r="C90" s="7"/>
      <c r="D90" s="27"/>
      <c r="E90" s="26"/>
      <c r="F90" s="26"/>
      <c r="G90" s="26"/>
      <c r="H90" s="30"/>
      <c r="I90" s="8">
        <f>IF(OR(A90="",H90=""),"",H90-TODAY())</f>
        <v>0</v>
      </c>
      <c r="J90" s="8">
        <f>IF(A90="","",IF(U90="Yes","Done",IF(I90="","No date",IF(I90&lt;0,"Overdue",IF(I90&lt;=Prep_Reminder_Days,"This week","Later")))))</f>
        <v>0</v>
      </c>
      <c r="K90" s="8">
        <f>IF(OR(A90="",I90=""),"",COUNTIFS($I$5:$I$124,"&lt;"&amp;I90)+1)</f>
        <v>0</v>
      </c>
      <c r="L90" s="7"/>
      <c r="M90" s="27"/>
      <c r="N90" s="26"/>
      <c r="O90" s="26"/>
      <c r="P90" s="8">
        <f>IF(OR(A90="",V90=""),"",V90+Leftover_Safe_Days)</f>
        <v>0</v>
      </c>
      <c r="Q90" s="8">
        <f>IF(OR(A90="",V90=""),"",V90+Freezer_Review_Days)</f>
        <v>0</v>
      </c>
      <c r="R90" s="27"/>
      <c r="S90" s="8">
        <f>IF(OR(D90="",E90=""),"",IFERROR(IFERROR(INDEX(Recipes!$H$5:$H$204,MATCH(D90,Recipes!$A$5:$A$204,0)),"")*E90,""))</f>
        <v>0</v>
      </c>
      <c r="T90" s="8">
        <f>IF(OR(D90="",E90=""),"",IFERROR(IFERROR(INDEX(Recipes!$Q$5:$Q$204,MATCH(D90,Recipes!$A$5:$A$204,0)),"")*E90,""))</f>
        <v>0</v>
      </c>
      <c r="U90" s="27"/>
      <c r="V90" s="30"/>
      <c r="W90" s="27"/>
      <c r="X90" s="25"/>
    </row>
    <row r="91" spans="1:24">
      <c r="A91" s="7"/>
      <c r="B91" s="27"/>
      <c r="C91" s="7"/>
      <c r="D91" s="27"/>
      <c r="E91" s="26"/>
      <c r="F91" s="26"/>
      <c r="G91" s="26"/>
      <c r="H91" s="30"/>
      <c r="I91" s="8">
        <f>IF(OR(A91="",H91=""),"",H91-TODAY())</f>
        <v>0</v>
      </c>
      <c r="J91" s="8">
        <f>IF(A91="","",IF(U91="Yes","Done",IF(I91="","No date",IF(I91&lt;0,"Overdue",IF(I91&lt;=Prep_Reminder_Days,"This week","Later")))))</f>
        <v>0</v>
      </c>
      <c r="K91" s="8">
        <f>IF(OR(A91="",I91=""),"",COUNTIFS($I$5:$I$124,"&lt;"&amp;I91)+1)</f>
        <v>0</v>
      </c>
      <c r="L91" s="7"/>
      <c r="M91" s="27"/>
      <c r="N91" s="26"/>
      <c r="O91" s="26"/>
      <c r="P91" s="8">
        <f>IF(OR(A91="",V91=""),"",V91+Leftover_Safe_Days)</f>
        <v>0</v>
      </c>
      <c r="Q91" s="8">
        <f>IF(OR(A91="",V91=""),"",V91+Freezer_Review_Days)</f>
        <v>0</v>
      </c>
      <c r="R91" s="27"/>
      <c r="S91" s="8">
        <f>IF(OR(D91="",E91=""),"",IFERROR(IFERROR(INDEX(Recipes!$H$5:$H$204,MATCH(D91,Recipes!$A$5:$A$204,0)),"")*E91,""))</f>
        <v>0</v>
      </c>
      <c r="T91" s="8">
        <f>IF(OR(D91="",E91=""),"",IFERROR(IFERROR(INDEX(Recipes!$Q$5:$Q$204,MATCH(D91,Recipes!$A$5:$A$204,0)),"")*E91,""))</f>
        <v>0</v>
      </c>
      <c r="U91" s="27"/>
      <c r="V91" s="30"/>
      <c r="W91" s="27"/>
      <c r="X91" s="25"/>
    </row>
    <row r="92" spans="1:24">
      <c r="A92" s="7"/>
      <c r="B92" s="27"/>
      <c r="C92" s="7"/>
      <c r="D92" s="27"/>
      <c r="E92" s="26"/>
      <c r="F92" s="26"/>
      <c r="G92" s="26"/>
      <c r="H92" s="30"/>
      <c r="I92" s="8">
        <f>IF(OR(A92="",H92=""),"",H92-TODAY())</f>
        <v>0</v>
      </c>
      <c r="J92" s="8">
        <f>IF(A92="","",IF(U92="Yes","Done",IF(I92="","No date",IF(I92&lt;0,"Overdue",IF(I92&lt;=Prep_Reminder_Days,"This week","Later")))))</f>
        <v>0</v>
      </c>
      <c r="K92" s="8">
        <f>IF(OR(A92="",I92=""),"",COUNTIFS($I$5:$I$124,"&lt;"&amp;I92)+1)</f>
        <v>0</v>
      </c>
      <c r="L92" s="7"/>
      <c r="M92" s="27"/>
      <c r="N92" s="26"/>
      <c r="O92" s="26"/>
      <c r="P92" s="8">
        <f>IF(OR(A92="",V92=""),"",V92+Leftover_Safe_Days)</f>
        <v>0</v>
      </c>
      <c r="Q92" s="8">
        <f>IF(OR(A92="",V92=""),"",V92+Freezer_Review_Days)</f>
        <v>0</v>
      </c>
      <c r="R92" s="27"/>
      <c r="S92" s="8">
        <f>IF(OR(D92="",E92=""),"",IFERROR(IFERROR(INDEX(Recipes!$H$5:$H$204,MATCH(D92,Recipes!$A$5:$A$204,0)),"")*E92,""))</f>
        <v>0</v>
      </c>
      <c r="T92" s="8">
        <f>IF(OR(D92="",E92=""),"",IFERROR(IFERROR(INDEX(Recipes!$Q$5:$Q$204,MATCH(D92,Recipes!$A$5:$A$204,0)),"")*E92,""))</f>
        <v>0</v>
      </c>
      <c r="U92" s="27"/>
      <c r="V92" s="30"/>
      <c r="W92" s="27"/>
      <c r="X92" s="25"/>
    </row>
    <row r="93" spans="1:24">
      <c r="A93" s="7"/>
      <c r="B93" s="27"/>
      <c r="C93" s="7"/>
      <c r="D93" s="27"/>
      <c r="E93" s="26"/>
      <c r="F93" s="26"/>
      <c r="G93" s="26"/>
      <c r="H93" s="30"/>
      <c r="I93" s="8">
        <f>IF(OR(A93="",H93=""),"",H93-TODAY())</f>
        <v>0</v>
      </c>
      <c r="J93" s="8">
        <f>IF(A93="","",IF(U93="Yes","Done",IF(I93="","No date",IF(I93&lt;0,"Overdue",IF(I93&lt;=Prep_Reminder_Days,"This week","Later")))))</f>
        <v>0</v>
      </c>
      <c r="K93" s="8">
        <f>IF(OR(A93="",I93=""),"",COUNTIFS($I$5:$I$124,"&lt;"&amp;I93)+1)</f>
        <v>0</v>
      </c>
      <c r="L93" s="7"/>
      <c r="M93" s="27"/>
      <c r="N93" s="26"/>
      <c r="O93" s="26"/>
      <c r="P93" s="8">
        <f>IF(OR(A93="",V93=""),"",V93+Leftover_Safe_Days)</f>
        <v>0</v>
      </c>
      <c r="Q93" s="8">
        <f>IF(OR(A93="",V93=""),"",V93+Freezer_Review_Days)</f>
        <v>0</v>
      </c>
      <c r="R93" s="27"/>
      <c r="S93" s="8">
        <f>IF(OR(D93="",E93=""),"",IFERROR(IFERROR(INDEX(Recipes!$H$5:$H$204,MATCH(D93,Recipes!$A$5:$A$204,0)),"")*E93,""))</f>
        <v>0</v>
      </c>
      <c r="T93" s="8">
        <f>IF(OR(D93="",E93=""),"",IFERROR(IFERROR(INDEX(Recipes!$Q$5:$Q$204,MATCH(D93,Recipes!$A$5:$A$204,0)),"")*E93,""))</f>
        <v>0</v>
      </c>
      <c r="U93" s="27"/>
      <c r="V93" s="30"/>
      <c r="W93" s="27"/>
      <c r="X93" s="25"/>
    </row>
    <row r="94" spans="1:24">
      <c r="A94" s="7"/>
      <c r="B94" s="27"/>
      <c r="C94" s="7"/>
      <c r="D94" s="27"/>
      <c r="E94" s="26"/>
      <c r="F94" s="26"/>
      <c r="G94" s="26"/>
      <c r="H94" s="30"/>
      <c r="I94" s="8">
        <f>IF(OR(A94="",H94=""),"",H94-TODAY())</f>
        <v>0</v>
      </c>
      <c r="J94" s="8">
        <f>IF(A94="","",IF(U94="Yes","Done",IF(I94="","No date",IF(I94&lt;0,"Overdue",IF(I94&lt;=Prep_Reminder_Days,"This week","Later")))))</f>
        <v>0</v>
      </c>
      <c r="K94" s="8">
        <f>IF(OR(A94="",I94=""),"",COUNTIFS($I$5:$I$124,"&lt;"&amp;I94)+1)</f>
        <v>0</v>
      </c>
      <c r="L94" s="7"/>
      <c r="M94" s="27"/>
      <c r="N94" s="26"/>
      <c r="O94" s="26"/>
      <c r="P94" s="8">
        <f>IF(OR(A94="",V94=""),"",V94+Leftover_Safe_Days)</f>
        <v>0</v>
      </c>
      <c r="Q94" s="8">
        <f>IF(OR(A94="",V94=""),"",V94+Freezer_Review_Days)</f>
        <v>0</v>
      </c>
      <c r="R94" s="27"/>
      <c r="S94" s="8">
        <f>IF(OR(D94="",E94=""),"",IFERROR(IFERROR(INDEX(Recipes!$H$5:$H$204,MATCH(D94,Recipes!$A$5:$A$204,0)),"")*E94,""))</f>
        <v>0</v>
      </c>
      <c r="T94" s="8">
        <f>IF(OR(D94="",E94=""),"",IFERROR(IFERROR(INDEX(Recipes!$Q$5:$Q$204,MATCH(D94,Recipes!$A$5:$A$204,0)),"")*E94,""))</f>
        <v>0</v>
      </c>
      <c r="U94" s="27"/>
      <c r="V94" s="30"/>
      <c r="W94" s="27"/>
      <c r="X94" s="25"/>
    </row>
    <row r="95" spans="1:24">
      <c r="A95" s="7"/>
      <c r="B95" s="27"/>
      <c r="C95" s="7"/>
      <c r="D95" s="27"/>
      <c r="E95" s="26"/>
      <c r="F95" s="26"/>
      <c r="G95" s="26"/>
      <c r="H95" s="30"/>
      <c r="I95" s="8">
        <f>IF(OR(A95="",H95=""),"",H95-TODAY())</f>
        <v>0</v>
      </c>
      <c r="J95" s="8">
        <f>IF(A95="","",IF(U95="Yes","Done",IF(I95="","No date",IF(I95&lt;0,"Overdue",IF(I95&lt;=Prep_Reminder_Days,"This week","Later")))))</f>
        <v>0</v>
      </c>
      <c r="K95" s="8">
        <f>IF(OR(A95="",I95=""),"",COUNTIFS($I$5:$I$124,"&lt;"&amp;I95)+1)</f>
        <v>0</v>
      </c>
      <c r="L95" s="7"/>
      <c r="M95" s="27"/>
      <c r="N95" s="26"/>
      <c r="O95" s="26"/>
      <c r="P95" s="8">
        <f>IF(OR(A95="",V95=""),"",V95+Leftover_Safe_Days)</f>
        <v>0</v>
      </c>
      <c r="Q95" s="8">
        <f>IF(OR(A95="",V95=""),"",V95+Freezer_Review_Days)</f>
        <v>0</v>
      </c>
      <c r="R95" s="27"/>
      <c r="S95" s="8">
        <f>IF(OR(D95="",E95=""),"",IFERROR(IFERROR(INDEX(Recipes!$H$5:$H$204,MATCH(D95,Recipes!$A$5:$A$204,0)),"")*E95,""))</f>
        <v>0</v>
      </c>
      <c r="T95" s="8">
        <f>IF(OR(D95="",E95=""),"",IFERROR(IFERROR(INDEX(Recipes!$Q$5:$Q$204,MATCH(D95,Recipes!$A$5:$A$204,0)),"")*E95,""))</f>
        <v>0</v>
      </c>
      <c r="U95" s="27"/>
      <c r="V95" s="30"/>
      <c r="W95" s="27"/>
      <c r="X95" s="25"/>
    </row>
    <row r="96" spans="1:24">
      <c r="A96" s="7"/>
      <c r="B96" s="27"/>
      <c r="C96" s="7"/>
      <c r="D96" s="27"/>
      <c r="E96" s="26"/>
      <c r="F96" s="26"/>
      <c r="G96" s="26"/>
      <c r="H96" s="30"/>
      <c r="I96" s="8">
        <f>IF(OR(A96="",H96=""),"",H96-TODAY())</f>
        <v>0</v>
      </c>
      <c r="J96" s="8">
        <f>IF(A96="","",IF(U96="Yes","Done",IF(I96="","No date",IF(I96&lt;0,"Overdue",IF(I96&lt;=Prep_Reminder_Days,"This week","Later")))))</f>
        <v>0</v>
      </c>
      <c r="K96" s="8">
        <f>IF(OR(A96="",I96=""),"",COUNTIFS($I$5:$I$124,"&lt;"&amp;I96)+1)</f>
        <v>0</v>
      </c>
      <c r="L96" s="7"/>
      <c r="M96" s="27"/>
      <c r="N96" s="26"/>
      <c r="O96" s="26"/>
      <c r="P96" s="8">
        <f>IF(OR(A96="",V96=""),"",V96+Leftover_Safe_Days)</f>
        <v>0</v>
      </c>
      <c r="Q96" s="8">
        <f>IF(OR(A96="",V96=""),"",V96+Freezer_Review_Days)</f>
        <v>0</v>
      </c>
      <c r="R96" s="27"/>
      <c r="S96" s="8">
        <f>IF(OR(D96="",E96=""),"",IFERROR(IFERROR(INDEX(Recipes!$H$5:$H$204,MATCH(D96,Recipes!$A$5:$A$204,0)),"")*E96,""))</f>
        <v>0</v>
      </c>
      <c r="T96" s="8">
        <f>IF(OR(D96="",E96=""),"",IFERROR(IFERROR(INDEX(Recipes!$Q$5:$Q$204,MATCH(D96,Recipes!$A$5:$A$204,0)),"")*E96,""))</f>
        <v>0</v>
      </c>
      <c r="U96" s="27"/>
      <c r="V96" s="30"/>
      <c r="W96" s="27"/>
      <c r="X96" s="25"/>
    </row>
    <row r="97" spans="1:24">
      <c r="A97" s="7"/>
      <c r="B97" s="27"/>
      <c r="C97" s="7"/>
      <c r="D97" s="27"/>
      <c r="E97" s="26"/>
      <c r="F97" s="26"/>
      <c r="G97" s="26"/>
      <c r="H97" s="30"/>
      <c r="I97" s="8">
        <f>IF(OR(A97="",H97=""),"",H97-TODAY())</f>
        <v>0</v>
      </c>
      <c r="J97" s="8">
        <f>IF(A97="","",IF(U97="Yes","Done",IF(I97="","No date",IF(I97&lt;0,"Overdue",IF(I97&lt;=Prep_Reminder_Days,"This week","Later")))))</f>
        <v>0</v>
      </c>
      <c r="K97" s="8">
        <f>IF(OR(A97="",I97=""),"",COUNTIFS($I$5:$I$124,"&lt;"&amp;I97)+1)</f>
        <v>0</v>
      </c>
      <c r="L97" s="7"/>
      <c r="M97" s="27"/>
      <c r="N97" s="26"/>
      <c r="O97" s="26"/>
      <c r="P97" s="8">
        <f>IF(OR(A97="",V97=""),"",V97+Leftover_Safe_Days)</f>
        <v>0</v>
      </c>
      <c r="Q97" s="8">
        <f>IF(OR(A97="",V97=""),"",V97+Freezer_Review_Days)</f>
        <v>0</v>
      </c>
      <c r="R97" s="27"/>
      <c r="S97" s="8">
        <f>IF(OR(D97="",E97=""),"",IFERROR(IFERROR(INDEX(Recipes!$H$5:$H$204,MATCH(D97,Recipes!$A$5:$A$204,0)),"")*E97,""))</f>
        <v>0</v>
      </c>
      <c r="T97" s="8">
        <f>IF(OR(D97="",E97=""),"",IFERROR(IFERROR(INDEX(Recipes!$Q$5:$Q$204,MATCH(D97,Recipes!$A$5:$A$204,0)),"")*E97,""))</f>
        <v>0</v>
      </c>
      <c r="U97" s="27"/>
      <c r="V97" s="30"/>
      <c r="W97" s="27"/>
      <c r="X97" s="25"/>
    </row>
    <row r="98" spans="1:24">
      <c r="A98" s="7"/>
      <c r="B98" s="27"/>
      <c r="C98" s="7"/>
      <c r="D98" s="27"/>
      <c r="E98" s="26"/>
      <c r="F98" s="26"/>
      <c r="G98" s="26"/>
      <c r="H98" s="30"/>
      <c r="I98" s="8">
        <f>IF(OR(A98="",H98=""),"",H98-TODAY())</f>
        <v>0</v>
      </c>
      <c r="J98" s="8">
        <f>IF(A98="","",IF(U98="Yes","Done",IF(I98="","No date",IF(I98&lt;0,"Overdue",IF(I98&lt;=Prep_Reminder_Days,"This week","Later")))))</f>
        <v>0</v>
      </c>
      <c r="K98" s="8">
        <f>IF(OR(A98="",I98=""),"",COUNTIFS($I$5:$I$124,"&lt;"&amp;I98)+1)</f>
        <v>0</v>
      </c>
      <c r="L98" s="7"/>
      <c r="M98" s="27"/>
      <c r="N98" s="26"/>
      <c r="O98" s="26"/>
      <c r="P98" s="8">
        <f>IF(OR(A98="",V98=""),"",V98+Leftover_Safe_Days)</f>
        <v>0</v>
      </c>
      <c r="Q98" s="8">
        <f>IF(OR(A98="",V98=""),"",V98+Freezer_Review_Days)</f>
        <v>0</v>
      </c>
      <c r="R98" s="27"/>
      <c r="S98" s="8">
        <f>IF(OR(D98="",E98=""),"",IFERROR(IFERROR(INDEX(Recipes!$H$5:$H$204,MATCH(D98,Recipes!$A$5:$A$204,0)),"")*E98,""))</f>
        <v>0</v>
      </c>
      <c r="T98" s="8">
        <f>IF(OR(D98="",E98=""),"",IFERROR(IFERROR(INDEX(Recipes!$Q$5:$Q$204,MATCH(D98,Recipes!$A$5:$A$204,0)),"")*E98,""))</f>
        <v>0</v>
      </c>
      <c r="U98" s="27"/>
      <c r="V98" s="30"/>
      <c r="W98" s="27"/>
      <c r="X98" s="25"/>
    </row>
    <row r="99" spans="1:24">
      <c r="A99" s="7"/>
      <c r="B99" s="27"/>
      <c r="C99" s="7"/>
      <c r="D99" s="27"/>
      <c r="E99" s="26"/>
      <c r="F99" s="26"/>
      <c r="G99" s="26"/>
      <c r="H99" s="30"/>
      <c r="I99" s="8">
        <f>IF(OR(A99="",H99=""),"",H99-TODAY())</f>
        <v>0</v>
      </c>
      <c r="J99" s="8">
        <f>IF(A99="","",IF(U99="Yes","Done",IF(I99="","No date",IF(I99&lt;0,"Overdue",IF(I99&lt;=Prep_Reminder_Days,"This week","Later")))))</f>
        <v>0</v>
      </c>
      <c r="K99" s="8">
        <f>IF(OR(A99="",I99=""),"",COUNTIFS($I$5:$I$124,"&lt;"&amp;I99)+1)</f>
        <v>0</v>
      </c>
      <c r="L99" s="7"/>
      <c r="M99" s="27"/>
      <c r="N99" s="26"/>
      <c r="O99" s="26"/>
      <c r="P99" s="8">
        <f>IF(OR(A99="",V99=""),"",V99+Leftover_Safe_Days)</f>
        <v>0</v>
      </c>
      <c r="Q99" s="8">
        <f>IF(OR(A99="",V99=""),"",V99+Freezer_Review_Days)</f>
        <v>0</v>
      </c>
      <c r="R99" s="27"/>
      <c r="S99" s="8">
        <f>IF(OR(D99="",E99=""),"",IFERROR(IFERROR(INDEX(Recipes!$H$5:$H$204,MATCH(D99,Recipes!$A$5:$A$204,0)),"")*E99,""))</f>
        <v>0</v>
      </c>
      <c r="T99" s="8">
        <f>IF(OR(D99="",E99=""),"",IFERROR(IFERROR(INDEX(Recipes!$Q$5:$Q$204,MATCH(D99,Recipes!$A$5:$A$204,0)),"")*E99,""))</f>
        <v>0</v>
      </c>
      <c r="U99" s="27"/>
      <c r="V99" s="30"/>
      <c r="W99" s="27"/>
      <c r="X99" s="25"/>
    </row>
    <row r="100" spans="1:24">
      <c r="A100" s="7"/>
      <c r="B100" s="27"/>
      <c r="C100" s="7"/>
      <c r="D100" s="27"/>
      <c r="E100" s="26"/>
      <c r="F100" s="26"/>
      <c r="G100" s="26"/>
      <c r="H100" s="30"/>
      <c r="I100" s="8">
        <f>IF(OR(A100="",H100=""),"",H100-TODAY())</f>
        <v>0</v>
      </c>
      <c r="J100" s="8">
        <f>IF(A100="","",IF(U100="Yes","Done",IF(I100="","No date",IF(I100&lt;0,"Overdue",IF(I100&lt;=Prep_Reminder_Days,"This week","Later")))))</f>
        <v>0</v>
      </c>
      <c r="K100" s="8">
        <f>IF(OR(A100="",I100=""),"",COUNTIFS($I$5:$I$124,"&lt;"&amp;I100)+1)</f>
        <v>0</v>
      </c>
      <c r="L100" s="7"/>
      <c r="M100" s="27"/>
      <c r="N100" s="26"/>
      <c r="O100" s="26"/>
      <c r="P100" s="8">
        <f>IF(OR(A100="",V100=""),"",V100+Leftover_Safe_Days)</f>
        <v>0</v>
      </c>
      <c r="Q100" s="8">
        <f>IF(OR(A100="",V100=""),"",V100+Freezer_Review_Days)</f>
        <v>0</v>
      </c>
      <c r="R100" s="27"/>
      <c r="S100" s="8">
        <f>IF(OR(D100="",E100=""),"",IFERROR(IFERROR(INDEX(Recipes!$H$5:$H$204,MATCH(D100,Recipes!$A$5:$A$204,0)),"")*E100,""))</f>
        <v>0</v>
      </c>
      <c r="T100" s="8">
        <f>IF(OR(D100="",E100=""),"",IFERROR(IFERROR(INDEX(Recipes!$Q$5:$Q$204,MATCH(D100,Recipes!$A$5:$A$204,0)),"")*E100,""))</f>
        <v>0</v>
      </c>
      <c r="U100" s="27"/>
      <c r="V100" s="30"/>
      <c r="W100" s="27"/>
      <c r="X100" s="25"/>
    </row>
    <row r="101" spans="1:24">
      <c r="A101" s="7"/>
      <c r="B101" s="27"/>
      <c r="C101" s="7"/>
      <c r="D101" s="27"/>
      <c r="E101" s="26"/>
      <c r="F101" s="26"/>
      <c r="G101" s="26"/>
      <c r="H101" s="30"/>
      <c r="I101" s="8">
        <f>IF(OR(A101="",H101=""),"",H101-TODAY())</f>
        <v>0</v>
      </c>
      <c r="J101" s="8">
        <f>IF(A101="","",IF(U101="Yes","Done",IF(I101="","No date",IF(I101&lt;0,"Overdue",IF(I101&lt;=Prep_Reminder_Days,"This week","Later")))))</f>
        <v>0</v>
      </c>
      <c r="K101" s="8">
        <f>IF(OR(A101="",I101=""),"",COUNTIFS($I$5:$I$124,"&lt;"&amp;I101)+1)</f>
        <v>0</v>
      </c>
      <c r="L101" s="7"/>
      <c r="M101" s="27"/>
      <c r="N101" s="26"/>
      <c r="O101" s="26"/>
      <c r="P101" s="8">
        <f>IF(OR(A101="",V101=""),"",V101+Leftover_Safe_Days)</f>
        <v>0</v>
      </c>
      <c r="Q101" s="8">
        <f>IF(OR(A101="",V101=""),"",V101+Freezer_Review_Days)</f>
        <v>0</v>
      </c>
      <c r="R101" s="27"/>
      <c r="S101" s="8">
        <f>IF(OR(D101="",E101=""),"",IFERROR(IFERROR(INDEX(Recipes!$H$5:$H$204,MATCH(D101,Recipes!$A$5:$A$204,0)),"")*E101,""))</f>
        <v>0</v>
      </c>
      <c r="T101" s="8">
        <f>IF(OR(D101="",E101=""),"",IFERROR(IFERROR(INDEX(Recipes!$Q$5:$Q$204,MATCH(D101,Recipes!$A$5:$A$204,0)),"")*E101,""))</f>
        <v>0</v>
      </c>
      <c r="U101" s="27"/>
      <c r="V101" s="30"/>
      <c r="W101" s="27"/>
      <c r="X101" s="25"/>
    </row>
    <row r="102" spans="1:24">
      <c r="A102" s="7"/>
      <c r="B102" s="27"/>
      <c r="C102" s="7"/>
      <c r="D102" s="27"/>
      <c r="E102" s="26"/>
      <c r="F102" s="26"/>
      <c r="G102" s="26"/>
      <c r="H102" s="30"/>
      <c r="I102" s="8">
        <f>IF(OR(A102="",H102=""),"",H102-TODAY())</f>
        <v>0</v>
      </c>
      <c r="J102" s="8">
        <f>IF(A102="","",IF(U102="Yes","Done",IF(I102="","No date",IF(I102&lt;0,"Overdue",IF(I102&lt;=Prep_Reminder_Days,"This week","Later")))))</f>
        <v>0</v>
      </c>
      <c r="K102" s="8">
        <f>IF(OR(A102="",I102=""),"",COUNTIFS($I$5:$I$124,"&lt;"&amp;I102)+1)</f>
        <v>0</v>
      </c>
      <c r="L102" s="7"/>
      <c r="M102" s="27"/>
      <c r="N102" s="26"/>
      <c r="O102" s="26"/>
      <c r="P102" s="8">
        <f>IF(OR(A102="",V102=""),"",V102+Leftover_Safe_Days)</f>
        <v>0</v>
      </c>
      <c r="Q102" s="8">
        <f>IF(OR(A102="",V102=""),"",V102+Freezer_Review_Days)</f>
        <v>0</v>
      </c>
      <c r="R102" s="27"/>
      <c r="S102" s="8">
        <f>IF(OR(D102="",E102=""),"",IFERROR(IFERROR(INDEX(Recipes!$H$5:$H$204,MATCH(D102,Recipes!$A$5:$A$204,0)),"")*E102,""))</f>
        <v>0</v>
      </c>
      <c r="T102" s="8">
        <f>IF(OR(D102="",E102=""),"",IFERROR(IFERROR(INDEX(Recipes!$Q$5:$Q$204,MATCH(D102,Recipes!$A$5:$A$204,0)),"")*E102,""))</f>
        <v>0</v>
      </c>
      <c r="U102" s="27"/>
      <c r="V102" s="30"/>
      <c r="W102" s="27"/>
      <c r="X102" s="25"/>
    </row>
    <row r="103" spans="1:24">
      <c r="A103" s="7"/>
      <c r="B103" s="27"/>
      <c r="C103" s="7"/>
      <c r="D103" s="27"/>
      <c r="E103" s="26"/>
      <c r="F103" s="26"/>
      <c r="G103" s="26"/>
      <c r="H103" s="30"/>
      <c r="I103" s="8">
        <f>IF(OR(A103="",H103=""),"",H103-TODAY())</f>
        <v>0</v>
      </c>
      <c r="J103" s="8">
        <f>IF(A103="","",IF(U103="Yes","Done",IF(I103="","No date",IF(I103&lt;0,"Overdue",IF(I103&lt;=Prep_Reminder_Days,"This week","Later")))))</f>
        <v>0</v>
      </c>
      <c r="K103" s="8">
        <f>IF(OR(A103="",I103=""),"",COUNTIFS($I$5:$I$124,"&lt;"&amp;I103)+1)</f>
        <v>0</v>
      </c>
      <c r="L103" s="7"/>
      <c r="M103" s="27"/>
      <c r="N103" s="26"/>
      <c r="O103" s="26"/>
      <c r="P103" s="8">
        <f>IF(OR(A103="",V103=""),"",V103+Leftover_Safe_Days)</f>
        <v>0</v>
      </c>
      <c r="Q103" s="8">
        <f>IF(OR(A103="",V103=""),"",V103+Freezer_Review_Days)</f>
        <v>0</v>
      </c>
      <c r="R103" s="27"/>
      <c r="S103" s="8">
        <f>IF(OR(D103="",E103=""),"",IFERROR(IFERROR(INDEX(Recipes!$H$5:$H$204,MATCH(D103,Recipes!$A$5:$A$204,0)),"")*E103,""))</f>
        <v>0</v>
      </c>
      <c r="T103" s="8">
        <f>IF(OR(D103="",E103=""),"",IFERROR(IFERROR(INDEX(Recipes!$Q$5:$Q$204,MATCH(D103,Recipes!$A$5:$A$204,0)),"")*E103,""))</f>
        <v>0</v>
      </c>
      <c r="U103" s="27"/>
      <c r="V103" s="30"/>
      <c r="W103" s="27"/>
      <c r="X103" s="25"/>
    </row>
    <row r="104" spans="1:24">
      <c r="A104" s="7"/>
      <c r="B104" s="27"/>
      <c r="C104" s="7"/>
      <c r="D104" s="27"/>
      <c r="E104" s="26"/>
      <c r="F104" s="26"/>
      <c r="G104" s="26"/>
      <c r="H104" s="30"/>
      <c r="I104" s="8">
        <f>IF(OR(A104="",H104=""),"",H104-TODAY())</f>
        <v>0</v>
      </c>
      <c r="J104" s="8">
        <f>IF(A104="","",IF(U104="Yes","Done",IF(I104="","No date",IF(I104&lt;0,"Overdue",IF(I104&lt;=Prep_Reminder_Days,"This week","Later")))))</f>
        <v>0</v>
      </c>
      <c r="K104" s="8">
        <f>IF(OR(A104="",I104=""),"",COUNTIFS($I$5:$I$124,"&lt;"&amp;I104)+1)</f>
        <v>0</v>
      </c>
      <c r="L104" s="7"/>
      <c r="M104" s="27"/>
      <c r="N104" s="26"/>
      <c r="O104" s="26"/>
      <c r="P104" s="8">
        <f>IF(OR(A104="",V104=""),"",V104+Leftover_Safe_Days)</f>
        <v>0</v>
      </c>
      <c r="Q104" s="8">
        <f>IF(OR(A104="",V104=""),"",V104+Freezer_Review_Days)</f>
        <v>0</v>
      </c>
      <c r="R104" s="27"/>
      <c r="S104" s="8">
        <f>IF(OR(D104="",E104=""),"",IFERROR(IFERROR(INDEX(Recipes!$H$5:$H$204,MATCH(D104,Recipes!$A$5:$A$204,0)),"")*E104,""))</f>
        <v>0</v>
      </c>
      <c r="T104" s="8">
        <f>IF(OR(D104="",E104=""),"",IFERROR(IFERROR(INDEX(Recipes!$Q$5:$Q$204,MATCH(D104,Recipes!$A$5:$A$204,0)),"")*E104,""))</f>
        <v>0</v>
      </c>
      <c r="U104" s="27"/>
      <c r="V104" s="30"/>
      <c r="W104" s="27"/>
      <c r="X104" s="25"/>
    </row>
    <row r="105" spans="1:24">
      <c r="A105" s="7"/>
      <c r="B105" s="27"/>
      <c r="C105" s="7"/>
      <c r="D105" s="27"/>
      <c r="E105" s="26"/>
      <c r="F105" s="26"/>
      <c r="G105" s="26"/>
      <c r="H105" s="30"/>
      <c r="I105" s="8">
        <f>IF(OR(A105="",H105=""),"",H105-TODAY())</f>
        <v>0</v>
      </c>
      <c r="J105" s="8">
        <f>IF(A105="","",IF(U105="Yes","Done",IF(I105="","No date",IF(I105&lt;0,"Overdue",IF(I105&lt;=Prep_Reminder_Days,"This week","Later")))))</f>
        <v>0</v>
      </c>
      <c r="K105" s="8">
        <f>IF(OR(A105="",I105=""),"",COUNTIFS($I$5:$I$124,"&lt;"&amp;I105)+1)</f>
        <v>0</v>
      </c>
      <c r="L105" s="7"/>
      <c r="M105" s="27"/>
      <c r="N105" s="26"/>
      <c r="O105" s="26"/>
      <c r="P105" s="8">
        <f>IF(OR(A105="",V105=""),"",V105+Leftover_Safe_Days)</f>
        <v>0</v>
      </c>
      <c r="Q105" s="8">
        <f>IF(OR(A105="",V105=""),"",V105+Freezer_Review_Days)</f>
        <v>0</v>
      </c>
      <c r="R105" s="27"/>
      <c r="S105" s="8">
        <f>IF(OR(D105="",E105=""),"",IFERROR(IFERROR(INDEX(Recipes!$H$5:$H$204,MATCH(D105,Recipes!$A$5:$A$204,0)),"")*E105,""))</f>
        <v>0</v>
      </c>
      <c r="T105" s="8">
        <f>IF(OR(D105="",E105=""),"",IFERROR(IFERROR(INDEX(Recipes!$Q$5:$Q$204,MATCH(D105,Recipes!$A$5:$A$204,0)),"")*E105,""))</f>
        <v>0</v>
      </c>
      <c r="U105" s="27"/>
      <c r="V105" s="30"/>
      <c r="W105" s="27"/>
      <c r="X105" s="25"/>
    </row>
    <row r="106" spans="1:24">
      <c r="A106" s="7"/>
      <c r="B106" s="27"/>
      <c r="C106" s="7"/>
      <c r="D106" s="27"/>
      <c r="E106" s="26"/>
      <c r="F106" s="26"/>
      <c r="G106" s="26"/>
      <c r="H106" s="30"/>
      <c r="I106" s="8">
        <f>IF(OR(A106="",H106=""),"",H106-TODAY())</f>
        <v>0</v>
      </c>
      <c r="J106" s="8">
        <f>IF(A106="","",IF(U106="Yes","Done",IF(I106="","No date",IF(I106&lt;0,"Overdue",IF(I106&lt;=Prep_Reminder_Days,"This week","Later")))))</f>
        <v>0</v>
      </c>
      <c r="K106" s="8">
        <f>IF(OR(A106="",I106=""),"",COUNTIFS($I$5:$I$124,"&lt;"&amp;I106)+1)</f>
        <v>0</v>
      </c>
      <c r="L106" s="7"/>
      <c r="M106" s="27"/>
      <c r="N106" s="26"/>
      <c r="O106" s="26"/>
      <c r="P106" s="8">
        <f>IF(OR(A106="",V106=""),"",V106+Leftover_Safe_Days)</f>
        <v>0</v>
      </c>
      <c r="Q106" s="8">
        <f>IF(OR(A106="",V106=""),"",V106+Freezer_Review_Days)</f>
        <v>0</v>
      </c>
      <c r="R106" s="27"/>
      <c r="S106" s="8">
        <f>IF(OR(D106="",E106=""),"",IFERROR(IFERROR(INDEX(Recipes!$H$5:$H$204,MATCH(D106,Recipes!$A$5:$A$204,0)),"")*E106,""))</f>
        <v>0</v>
      </c>
      <c r="T106" s="8">
        <f>IF(OR(D106="",E106=""),"",IFERROR(IFERROR(INDEX(Recipes!$Q$5:$Q$204,MATCH(D106,Recipes!$A$5:$A$204,0)),"")*E106,""))</f>
        <v>0</v>
      </c>
      <c r="U106" s="27"/>
      <c r="V106" s="30"/>
      <c r="W106" s="27"/>
      <c r="X106" s="25"/>
    </row>
    <row r="107" spans="1:24">
      <c r="A107" s="7"/>
      <c r="B107" s="27"/>
      <c r="C107" s="7"/>
      <c r="D107" s="27"/>
      <c r="E107" s="26"/>
      <c r="F107" s="26"/>
      <c r="G107" s="26"/>
      <c r="H107" s="30"/>
      <c r="I107" s="8">
        <f>IF(OR(A107="",H107=""),"",H107-TODAY())</f>
        <v>0</v>
      </c>
      <c r="J107" s="8">
        <f>IF(A107="","",IF(U107="Yes","Done",IF(I107="","No date",IF(I107&lt;0,"Overdue",IF(I107&lt;=Prep_Reminder_Days,"This week","Later")))))</f>
        <v>0</v>
      </c>
      <c r="K107" s="8">
        <f>IF(OR(A107="",I107=""),"",COUNTIFS($I$5:$I$124,"&lt;"&amp;I107)+1)</f>
        <v>0</v>
      </c>
      <c r="L107" s="7"/>
      <c r="M107" s="27"/>
      <c r="N107" s="26"/>
      <c r="O107" s="26"/>
      <c r="P107" s="8">
        <f>IF(OR(A107="",V107=""),"",V107+Leftover_Safe_Days)</f>
        <v>0</v>
      </c>
      <c r="Q107" s="8">
        <f>IF(OR(A107="",V107=""),"",V107+Freezer_Review_Days)</f>
        <v>0</v>
      </c>
      <c r="R107" s="27"/>
      <c r="S107" s="8">
        <f>IF(OR(D107="",E107=""),"",IFERROR(IFERROR(INDEX(Recipes!$H$5:$H$204,MATCH(D107,Recipes!$A$5:$A$204,0)),"")*E107,""))</f>
        <v>0</v>
      </c>
      <c r="T107" s="8">
        <f>IF(OR(D107="",E107=""),"",IFERROR(IFERROR(INDEX(Recipes!$Q$5:$Q$204,MATCH(D107,Recipes!$A$5:$A$204,0)),"")*E107,""))</f>
        <v>0</v>
      </c>
      <c r="U107" s="27"/>
      <c r="V107" s="30"/>
      <c r="W107" s="27"/>
      <c r="X107" s="25"/>
    </row>
    <row r="108" spans="1:24">
      <c r="A108" s="7"/>
      <c r="B108" s="27"/>
      <c r="C108" s="7"/>
      <c r="D108" s="27"/>
      <c r="E108" s="26"/>
      <c r="F108" s="26"/>
      <c r="G108" s="26"/>
      <c r="H108" s="30"/>
      <c r="I108" s="8">
        <f>IF(OR(A108="",H108=""),"",H108-TODAY())</f>
        <v>0</v>
      </c>
      <c r="J108" s="8">
        <f>IF(A108="","",IF(U108="Yes","Done",IF(I108="","No date",IF(I108&lt;0,"Overdue",IF(I108&lt;=Prep_Reminder_Days,"This week","Later")))))</f>
        <v>0</v>
      </c>
      <c r="K108" s="8">
        <f>IF(OR(A108="",I108=""),"",COUNTIFS($I$5:$I$124,"&lt;"&amp;I108)+1)</f>
        <v>0</v>
      </c>
      <c r="L108" s="7"/>
      <c r="M108" s="27"/>
      <c r="N108" s="26"/>
      <c r="O108" s="26"/>
      <c r="P108" s="8">
        <f>IF(OR(A108="",V108=""),"",V108+Leftover_Safe_Days)</f>
        <v>0</v>
      </c>
      <c r="Q108" s="8">
        <f>IF(OR(A108="",V108=""),"",V108+Freezer_Review_Days)</f>
        <v>0</v>
      </c>
      <c r="R108" s="27"/>
      <c r="S108" s="8">
        <f>IF(OR(D108="",E108=""),"",IFERROR(IFERROR(INDEX(Recipes!$H$5:$H$204,MATCH(D108,Recipes!$A$5:$A$204,0)),"")*E108,""))</f>
        <v>0</v>
      </c>
      <c r="T108" s="8">
        <f>IF(OR(D108="",E108=""),"",IFERROR(IFERROR(INDEX(Recipes!$Q$5:$Q$204,MATCH(D108,Recipes!$A$5:$A$204,0)),"")*E108,""))</f>
        <v>0</v>
      </c>
      <c r="U108" s="27"/>
      <c r="V108" s="30"/>
      <c r="W108" s="27"/>
      <c r="X108" s="25"/>
    </row>
    <row r="109" spans="1:24">
      <c r="A109" s="7"/>
      <c r="B109" s="27"/>
      <c r="C109" s="7"/>
      <c r="D109" s="27"/>
      <c r="E109" s="26"/>
      <c r="F109" s="26"/>
      <c r="G109" s="26"/>
      <c r="H109" s="30"/>
      <c r="I109" s="8">
        <f>IF(OR(A109="",H109=""),"",H109-TODAY())</f>
        <v>0</v>
      </c>
      <c r="J109" s="8">
        <f>IF(A109="","",IF(U109="Yes","Done",IF(I109="","No date",IF(I109&lt;0,"Overdue",IF(I109&lt;=Prep_Reminder_Days,"This week","Later")))))</f>
        <v>0</v>
      </c>
      <c r="K109" s="8">
        <f>IF(OR(A109="",I109=""),"",COUNTIFS($I$5:$I$124,"&lt;"&amp;I109)+1)</f>
        <v>0</v>
      </c>
      <c r="L109" s="7"/>
      <c r="M109" s="27"/>
      <c r="N109" s="26"/>
      <c r="O109" s="26"/>
      <c r="P109" s="8">
        <f>IF(OR(A109="",V109=""),"",V109+Leftover_Safe_Days)</f>
        <v>0</v>
      </c>
      <c r="Q109" s="8">
        <f>IF(OR(A109="",V109=""),"",V109+Freezer_Review_Days)</f>
        <v>0</v>
      </c>
      <c r="R109" s="27"/>
      <c r="S109" s="8">
        <f>IF(OR(D109="",E109=""),"",IFERROR(IFERROR(INDEX(Recipes!$H$5:$H$204,MATCH(D109,Recipes!$A$5:$A$204,0)),"")*E109,""))</f>
        <v>0</v>
      </c>
      <c r="T109" s="8">
        <f>IF(OR(D109="",E109=""),"",IFERROR(IFERROR(INDEX(Recipes!$Q$5:$Q$204,MATCH(D109,Recipes!$A$5:$A$204,0)),"")*E109,""))</f>
        <v>0</v>
      </c>
      <c r="U109" s="27"/>
      <c r="V109" s="30"/>
      <c r="W109" s="27"/>
      <c r="X109" s="25"/>
    </row>
    <row r="110" spans="1:24">
      <c r="A110" s="7"/>
      <c r="B110" s="27"/>
      <c r="C110" s="7"/>
      <c r="D110" s="27"/>
      <c r="E110" s="26"/>
      <c r="F110" s="26"/>
      <c r="G110" s="26"/>
      <c r="H110" s="30"/>
      <c r="I110" s="8">
        <f>IF(OR(A110="",H110=""),"",H110-TODAY())</f>
        <v>0</v>
      </c>
      <c r="J110" s="8">
        <f>IF(A110="","",IF(U110="Yes","Done",IF(I110="","No date",IF(I110&lt;0,"Overdue",IF(I110&lt;=Prep_Reminder_Days,"This week","Later")))))</f>
        <v>0</v>
      </c>
      <c r="K110" s="8">
        <f>IF(OR(A110="",I110=""),"",COUNTIFS($I$5:$I$124,"&lt;"&amp;I110)+1)</f>
        <v>0</v>
      </c>
      <c r="L110" s="7"/>
      <c r="M110" s="27"/>
      <c r="N110" s="26"/>
      <c r="O110" s="26"/>
      <c r="P110" s="8">
        <f>IF(OR(A110="",V110=""),"",V110+Leftover_Safe_Days)</f>
        <v>0</v>
      </c>
      <c r="Q110" s="8">
        <f>IF(OR(A110="",V110=""),"",V110+Freezer_Review_Days)</f>
        <v>0</v>
      </c>
      <c r="R110" s="27"/>
      <c r="S110" s="8">
        <f>IF(OR(D110="",E110=""),"",IFERROR(IFERROR(INDEX(Recipes!$H$5:$H$204,MATCH(D110,Recipes!$A$5:$A$204,0)),"")*E110,""))</f>
        <v>0</v>
      </c>
      <c r="T110" s="8">
        <f>IF(OR(D110="",E110=""),"",IFERROR(IFERROR(INDEX(Recipes!$Q$5:$Q$204,MATCH(D110,Recipes!$A$5:$A$204,0)),"")*E110,""))</f>
        <v>0</v>
      </c>
      <c r="U110" s="27"/>
      <c r="V110" s="30"/>
      <c r="W110" s="27"/>
      <c r="X110" s="25"/>
    </row>
    <row r="111" spans="1:24">
      <c r="A111" s="7"/>
      <c r="B111" s="27"/>
      <c r="C111" s="7"/>
      <c r="D111" s="27"/>
      <c r="E111" s="26"/>
      <c r="F111" s="26"/>
      <c r="G111" s="26"/>
      <c r="H111" s="30"/>
      <c r="I111" s="8">
        <f>IF(OR(A111="",H111=""),"",H111-TODAY())</f>
        <v>0</v>
      </c>
      <c r="J111" s="8">
        <f>IF(A111="","",IF(U111="Yes","Done",IF(I111="","No date",IF(I111&lt;0,"Overdue",IF(I111&lt;=Prep_Reminder_Days,"This week","Later")))))</f>
        <v>0</v>
      </c>
      <c r="K111" s="8">
        <f>IF(OR(A111="",I111=""),"",COUNTIFS($I$5:$I$124,"&lt;"&amp;I111)+1)</f>
        <v>0</v>
      </c>
      <c r="L111" s="7"/>
      <c r="M111" s="27"/>
      <c r="N111" s="26"/>
      <c r="O111" s="26"/>
      <c r="P111" s="8">
        <f>IF(OR(A111="",V111=""),"",V111+Leftover_Safe_Days)</f>
        <v>0</v>
      </c>
      <c r="Q111" s="8">
        <f>IF(OR(A111="",V111=""),"",V111+Freezer_Review_Days)</f>
        <v>0</v>
      </c>
      <c r="R111" s="27"/>
      <c r="S111" s="8">
        <f>IF(OR(D111="",E111=""),"",IFERROR(IFERROR(INDEX(Recipes!$H$5:$H$204,MATCH(D111,Recipes!$A$5:$A$204,0)),"")*E111,""))</f>
        <v>0</v>
      </c>
      <c r="T111" s="8">
        <f>IF(OR(D111="",E111=""),"",IFERROR(IFERROR(INDEX(Recipes!$Q$5:$Q$204,MATCH(D111,Recipes!$A$5:$A$204,0)),"")*E111,""))</f>
        <v>0</v>
      </c>
      <c r="U111" s="27"/>
      <c r="V111" s="30"/>
      <c r="W111" s="27"/>
      <c r="X111" s="25"/>
    </row>
    <row r="112" spans="1:24">
      <c r="A112" s="7"/>
      <c r="B112" s="27"/>
      <c r="C112" s="7"/>
      <c r="D112" s="27"/>
      <c r="E112" s="26"/>
      <c r="F112" s="26"/>
      <c r="G112" s="26"/>
      <c r="H112" s="30"/>
      <c r="I112" s="8">
        <f>IF(OR(A112="",H112=""),"",H112-TODAY())</f>
        <v>0</v>
      </c>
      <c r="J112" s="8">
        <f>IF(A112="","",IF(U112="Yes","Done",IF(I112="","No date",IF(I112&lt;0,"Overdue",IF(I112&lt;=Prep_Reminder_Days,"This week","Later")))))</f>
        <v>0</v>
      </c>
      <c r="K112" s="8">
        <f>IF(OR(A112="",I112=""),"",COUNTIFS($I$5:$I$124,"&lt;"&amp;I112)+1)</f>
        <v>0</v>
      </c>
      <c r="L112" s="7"/>
      <c r="M112" s="27"/>
      <c r="N112" s="26"/>
      <c r="O112" s="26"/>
      <c r="P112" s="8">
        <f>IF(OR(A112="",V112=""),"",V112+Leftover_Safe_Days)</f>
        <v>0</v>
      </c>
      <c r="Q112" s="8">
        <f>IF(OR(A112="",V112=""),"",V112+Freezer_Review_Days)</f>
        <v>0</v>
      </c>
      <c r="R112" s="27"/>
      <c r="S112" s="8">
        <f>IF(OR(D112="",E112=""),"",IFERROR(IFERROR(INDEX(Recipes!$H$5:$H$204,MATCH(D112,Recipes!$A$5:$A$204,0)),"")*E112,""))</f>
        <v>0</v>
      </c>
      <c r="T112" s="8">
        <f>IF(OR(D112="",E112=""),"",IFERROR(IFERROR(INDEX(Recipes!$Q$5:$Q$204,MATCH(D112,Recipes!$A$5:$A$204,0)),"")*E112,""))</f>
        <v>0</v>
      </c>
      <c r="U112" s="27"/>
      <c r="V112" s="30"/>
      <c r="W112" s="27"/>
      <c r="X112" s="25"/>
    </row>
    <row r="113" spans="1:24">
      <c r="A113" s="7"/>
      <c r="B113" s="27"/>
      <c r="C113" s="7"/>
      <c r="D113" s="27"/>
      <c r="E113" s="26"/>
      <c r="F113" s="26"/>
      <c r="G113" s="26"/>
      <c r="H113" s="30"/>
      <c r="I113" s="8">
        <f>IF(OR(A113="",H113=""),"",H113-TODAY())</f>
        <v>0</v>
      </c>
      <c r="J113" s="8">
        <f>IF(A113="","",IF(U113="Yes","Done",IF(I113="","No date",IF(I113&lt;0,"Overdue",IF(I113&lt;=Prep_Reminder_Days,"This week","Later")))))</f>
        <v>0</v>
      </c>
      <c r="K113" s="8">
        <f>IF(OR(A113="",I113=""),"",COUNTIFS($I$5:$I$124,"&lt;"&amp;I113)+1)</f>
        <v>0</v>
      </c>
      <c r="L113" s="7"/>
      <c r="M113" s="27"/>
      <c r="N113" s="26"/>
      <c r="O113" s="26"/>
      <c r="P113" s="8">
        <f>IF(OR(A113="",V113=""),"",V113+Leftover_Safe_Days)</f>
        <v>0</v>
      </c>
      <c r="Q113" s="8">
        <f>IF(OR(A113="",V113=""),"",V113+Freezer_Review_Days)</f>
        <v>0</v>
      </c>
      <c r="R113" s="27"/>
      <c r="S113" s="8">
        <f>IF(OR(D113="",E113=""),"",IFERROR(IFERROR(INDEX(Recipes!$H$5:$H$204,MATCH(D113,Recipes!$A$5:$A$204,0)),"")*E113,""))</f>
        <v>0</v>
      </c>
      <c r="T113" s="8">
        <f>IF(OR(D113="",E113=""),"",IFERROR(IFERROR(INDEX(Recipes!$Q$5:$Q$204,MATCH(D113,Recipes!$A$5:$A$204,0)),"")*E113,""))</f>
        <v>0</v>
      </c>
      <c r="U113" s="27"/>
      <c r="V113" s="30"/>
      <c r="W113" s="27"/>
      <c r="X113" s="25"/>
    </row>
    <row r="114" spans="1:24">
      <c r="A114" s="7"/>
      <c r="B114" s="27"/>
      <c r="C114" s="7"/>
      <c r="D114" s="27"/>
      <c r="E114" s="26"/>
      <c r="F114" s="26"/>
      <c r="G114" s="26"/>
      <c r="H114" s="30"/>
      <c r="I114" s="8">
        <f>IF(OR(A114="",H114=""),"",H114-TODAY())</f>
        <v>0</v>
      </c>
      <c r="J114" s="8">
        <f>IF(A114="","",IF(U114="Yes","Done",IF(I114="","No date",IF(I114&lt;0,"Overdue",IF(I114&lt;=Prep_Reminder_Days,"This week","Later")))))</f>
        <v>0</v>
      </c>
      <c r="K114" s="8">
        <f>IF(OR(A114="",I114=""),"",COUNTIFS($I$5:$I$124,"&lt;"&amp;I114)+1)</f>
        <v>0</v>
      </c>
      <c r="L114" s="7"/>
      <c r="M114" s="27"/>
      <c r="N114" s="26"/>
      <c r="O114" s="26"/>
      <c r="P114" s="8">
        <f>IF(OR(A114="",V114=""),"",V114+Leftover_Safe_Days)</f>
        <v>0</v>
      </c>
      <c r="Q114" s="8">
        <f>IF(OR(A114="",V114=""),"",V114+Freezer_Review_Days)</f>
        <v>0</v>
      </c>
      <c r="R114" s="27"/>
      <c r="S114" s="8">
        <f>IF(OR(D114="",E114=""),"",IFERROR(IFERROR(INDEX(Recipes!$H$5:$H$204,MATCH(D114,Recipes!$A$5:$A$204,0)),"")*E114,""))</f>
        <v>0</v>
      </c>
      <c r="T114" s="8">
        <f>IF(OR(D114="",E114=""),"",IFERROR(IFERROR(INDEX(Recipes!$Q$5:$Q$204,MATCH(D114,Recipes!$A$5:$A$204,0)),"")*E114,""))</f>
        <v>0</v>
      </c>
      <c r="U114" s="27"/>
      <c r="V114" s="30"/>
      <c r="W114" s="27"/>
      <c r="X114" s="25"/>
    </row>
    <row r="115" spans="1:24">
      <c r="A115" s="7"/>
      <c r="B115" s="27"/>
      <c r="C115" s="7"/>
      <c r="D115" s="27"/>
      <c r="E115" s="26"/>
      <c r="F115" s="26"/>
      <c r="G115" s="26"/>
      <c r="H115" s="30"/>
      <c r="I115" s="8">
        <f>IF(OR(A115="",H115=""),"",H115-TODAY())</f>
        <v>0</v>
      </c>
      <c r="J115" s="8">
        <f>IF(A115="","",IF(U115="Yes","Done",IF(I115="","No date",IF(I115&lt;0,"Overdue",IF(I115&lt;=Prep_Reminder_Days,"This week","Later")))))</f>
        <v>0</v>
      </c>
      <c r="K115" s="8">
        <f>IF(OR(A115="",I115=""),"",COUNTIFS($I$5:$I$124,"&lt;"&amp;I115)+1)</f>
        <v>0</v>
      </c>
      <c r="L115" s="7"/>
      <c r="M115" s="27"/>
      <c r="N115" s="26"/>
      <c r="O115" s="26"/>
      <c r="P115" s="8">
        <f>IF(OR(A115="",V115=""),"",V115+Leftover_Safe_Days)</f>
        <v>0</v>
      </c>
      <c r="Q115" s="8">
        <f>IF(OR(A115="",V115=""),"",V115+Freezer_Review_Days)</f>
        <v>0</v>
      </c>
      <c r="R115" s="27"/>
      <c r="S115" s="8">
        <f>IF(OR(D115="",E115=""),"",IFERROR(IFERROR(INDEX(Recipes!$H$5:$H$204,MATCH(D115,Recipes!$A$5:$A$204,0)),"")*E115,""))</f>
        <v>0</v>
      </c>
      <c r="T115" s="8">
        <f>IF(OR(D115="",E115=""),"",IFERROR(IFERROR(INDEX(Recipes!$Q$5:$Q$204,MATCH(D115,Recipes!$A$5:$A$204,0)),"")*E115,""))</f>
        <v>0</v>
      </c>
      <c r="U115" s="27"/>
      <c r="V115" s="30"/>
      <c r="W115" s="27"/>
      <c r="X115" s="25"/>
    </row>
    <row r="116" spans="1:24">
      <c r="A116" s="7"/>
      <c r="B116" s="27"/>
      <c r="C116" s="7"/>
      <c r="D116" s="27"/>
      <c r="E116" s="26"/>
      <c r="F116" s="26"/>
      <c r="G116" s="26"/>
      <c r="H116" s="30"/>
      <c r="I116" s="8">
        <f>IF(OR(A116="",H116=""),"",H116-TODAY())</f>
        <v>0</v>
      </c>
      <c r="J116" s="8">
        <f>IF(A116="","",IF(U116="Yes","Done",IF(I116="","No date",IF(I116&lt;0,"Overdue",IF(I116&lt;=Prep_Reminder_Days,"This week","Later")))))</f>
        <v>0</v>
      </c>
      <c r="K116" s="8">
        <f>IF(OR(A116="",I116=""),"",COUNTIFS($I$5:$I$124,"&lt;"&amp;I116)+1)</f>
        <v>0</v>
      </c>
      <c r="L116" s="7"/>
      <c r="M116" s="27"/>
      <c r="N116" s="26"/>
      <c r="O116" s="26"/>
      <c r="P116" s="8">
        <f>IF(OR(A116="",V116=""),"",V116+Leftover_Safe_Days)</f>
        <v>0</v>
      </c>
      <c r="Q116" s="8">
        <f>IF(OR(A116="",V116=""),"",V116+Freezer_Review_Days)</f>
        <v>0</v>
      </c>
      <c r="R116" s="27"/>
      <c r="S116" s="8">
        <f>IF(OR(D116="",E116=""),"",IFERROR(IFERROR(INDEX(Recipes!$H$5:$H$204,MATCH(D116,Recipes!$A$5:$A$204,0)),"")*E116,""))</f>
        <v>0</v>
      </c>
      <c r="T116" s="8">
        <f>IF(OR(D116="",E116=""),"",IFERROR(IFERROR(INDEX(Recipes!$Q$5:$Q$204,MATCH(D116,Recipes!$A$5:$A$204,0)),"")*E116,""))</f>
        <v>0</v>
      </c>
      <c r="U116" s="27"/>
      <c r="V116" s="30"/>
      <c r="W116" s="27"/>
      <c r="X116" s="25"/>
    </row>
    <row r="117" spans="1:24">
      <c r="A117" s="7"/>
      <c r="B117" s="27"/>
      <c r="C117" s="7"/>
      <c r="D117" s="27"/>
      <c r="E117" s="26"/>
      <c r="F117" s="26"/>
      <c r="G117" s="26"/>
      <c r="H117" s="30"/>
      <c r="I117" s="8">
        <f>IF(OR(A117="",H117=""),"",H117-TODAY())</f>
        <v>0</v>
      </c>
      <c r="J117" s="8">
        <f>IF(A117="","",IF(U117="Yes","Done",IF(I117="","No date",IF(I117&lt;0,"Overdue",IF(I117&lt;=Prep_Reminder_Days,"This week","Later")))))</f>
        <v>0</v>
      </c>
      <c r="K117" s="8">
        <f>IF(OR(A117="",I117=""),"",COUNTIFS($I$5:$I$124,"&lt;"&amp;I117)+1)</f>
        <v>0</v>
      </c>
      <c r="L117" s="7"/>
      <c r="M117" s="27"/>
      <c r="N117" s="26"/>
      <c r="O117" s="26"/>
      <c r="P117" s="8">
        <f>IF(OR(A117="",V117=""),"",V117+Leftover_Safe_Days)</f>
        <v>0</v>
      </c>
      <c r="Q117" s="8">
        <f>IF(OR(A117="",V117=""),"",V117+Freezer_Review_Days)</f>
        <v>0</v>
      </c>
      <c r="R117" s="27"/>
      <c r="S117" s="8">
        <f>IF(OR(D117="",E117=""),"",IFERROR(IFERROR(INDEX(Recipes!$H$5:$H$204,MATCH(D117,Recipes!$A$5:$A$204,0)),"")*E117,""))</f>
        <v>0</v>
      </c>
      <c r="T117" s="8">
        <f>IF(OR(D117="",E117=""),"",IFERROR(IFERROR(INDEX(Recipes!$Q$5:$Q$204,MATCH(D117,Recipes!$A$5:$A$204,0)),"")*E117,""))</f>
        <v>0</v>
      </c>
      <c r="U117" s="27"/>
      <c r="V117" s="30"/>
      <c r="W117" s="27"/>
      <c r="X117" s="25"/>
    </row>
    <row r="118" spans="1:24">
      <c r="A118" s="7"/>
      <c r="B118" s="27"/>
      <c r="C118" s="7"/>
      <c r="D118" s="27"/>
      <c r="E118" s="26"/>
      <c r="F118" s="26"/>
      <c r="G118" s="26"/>
      <c r="H118" s="30"/>
      <c r="I118" s="8">
        <f>IF(OR(A118="",H118=""),"",H118-TODAY())</f>
        <v>0</v>
      </c>
      <c r="J118" s="8">
        <f>IF(A118="","",IF(U118="Yes","Done",IF(I118="","No date",IF(I118&lt;0,"Overdue",IF(I118&lt;=Prep_Reminder_Days,"This week","Later")))))</f>
        <v>0</v>
      </c>
      <c r="K118" s="8">
        <f>IF(OR(A118="",I118=""),"",COUNTIFS($I$5:$I$124,"&lt;"&amp;I118)+1)</f>
        <v>0</v>
      </c>
      <c r="L118" s="7"/>
      <c r="M118" s="27"/>
      <c r="N118" s="26"/>
      <c r="O118" s="26"/>
      <c r="P118" s="8">
        <f>IF(OR(A118="",V118=""),"",V118+Leftover_Safe_Days)</f>
        <v>0</v>
      </c>
      <c r="Q118" s="8">
        <f>IF(OR(A118="",V118=""),"",V118+Freezer_Review_Days)</f>
        <v>0</v>
      </c>
      <c r="R118" s="27"/>
      <c r="S118" s="8">
        <f>IF(OR(D118="",E118=""),"",IFERROR(IFERROR(INDEX(Recipes!$H$5:$H$204,MATCH(D118,Recipes!$A$5:$A$204,0)),"")*E118,""))</f>
        <v>0</v>
      </c>
      <c r="T118" s="8">
        <f>IF(OR(D118="",E118=""),"",IFERROR(IFERROR(INDEX(Recipes!$Q$5:$Q$204,MATCH(D118,Recipes!$A$5:$A$204,0)),"")*E118,""))</f>
        <v>0</v>
      </c>
      <c r="U118" s="27"/>
      <c r="V118" s="30"/>
      <c r="W118" s="27"/>
      <c r="X118" s="25"/>
    </row>
    <row r="119" spans="1:24">
      <c r="A119" s="7"/>
      <c r="B119" s="27"/>
      <c r="C119" s="7"/>
      <c r="D119" s="27"/>
      <c r="E119" s="26"/>
      <c r="F119" s="26"/>
      <c r="G119" s="26"/>
      <c r="H119" s="30"/>
      <c r="I119" s="8">
        <f>IF(OR(A119="",H119=""),"",H119-TODAY())</f>
        <v>0</v>
      </c>
      <c r="J119" s="8">
        <f>IF(A119="","",IF(U119="Yes","Done",IF(I119="","No date",IF(I119&lt;0,"Overdue",IF(I119&lt;=Prep_Reminder_Days,"This week","Later")))))</f>
        <v>0</v>
      </c>
      <c r="K119" s="8">
        <f>IF(OR(A119="",I119=""),"",COUNTIFS($I$5:$I$124,"&lt;"&amp;I119)+1)</f>
        <v>0</v>
      </c>
      <c r="L119" s="7"/>
      <c r="M119" s="27"/>
      <c r="N119" s="26"/>
      <c r="O119" s="26"/>
      <c r="P119" s="8">
        <f>IF(OR(A119="",V119=""),"",V119+Leftover_Safe_Days)</f>
        <v>0</v>
      </c>
      <c r="Q119" s="8">
        <f>IF(OR(A119="",V119=""),"",V119+Freezer_Review_Days)</f>
        <v>0</v>
      </c>
      <c r="R119" s="27"/>
      <c r="S119" s="8">
        <f>IF(OR(D119="",E119=""),"",IFERROR(IFERROR(INDEX(Recipes!$H$5:$H$204,MATCH(D119,Recipes!$A$5:$A$204,0)),"")*E119,""))</f>
        <v>0</v>
      </c>
      <c r="T119" s="8">
        <f>IF(OR(D119="",E119=""),"",IFERROR(IFERROR(INDEX(Recipes!$Q$5:$Q$204,MATCH(D119,Recipes!$A$5:$A$204,0)),"")*E119,""))</f>
        <v>0</v>
      </c>
      <c r="U119" s="27"/>
      <c r="V119" s="30"/>
      <c r="W119" s="27"/>
      <c r="X119" s="25"/>
    </row>
    <row r="120" spans="1:24">
      <c r="A120" s="7"/>
      <c r="B120" s="27"/>
      <c r="C120" s="7"/>
      <c r="D120" s="27"/>
      <c r="E120" s="26"/>
      <c r="F120" s="26"/>
      <c r="G120" s="26"/>
      <c r="H120" s="30"/>
      <c r="I120" s="8">
        <f>IF(OR(A120="",H120=""),"",H120-TODAY())</f>
        <v>0</v>
      </c>
      <c r="J120" s="8">
        <f>IF(A120="","",IF(U120="Yes","Done",IF(I120="","No date",IF(I120&lt;0,"Overdue",IF(I120&lt;=Prep_Reminder_Days,"This week","Later")))))</f>
        <v>0</v>
      </c>
      <c r="K120" s="8">
        <f>IF(OR(A120="",I120=""),"",COUNTIFS($I$5:$I$124,"&lt;"&amp;I120)+1)</f>
        <v>0</v>
      </c>
      <c r="L120" s="7"/>
      <c r="M120" s="27"/>
      <c r="N120" s="26"/>
      <c r="O120" s="26"/>
      <c r="P120" s="8">
        <f>IF(OR(A120="",V120=""),"",V120+Leftover_Safe_Days)</f>
        <v>0</v>
      </c>
      <c r="Q120" s="8">
        <f>IF(OR(A120="",V120=""),"",V120+Freezer_Review_Days)</f>
        <v>0</v>
      </c>
      <c r="R120" s="27"/>
      <c r="S120" s="8">
        <f>IF(OR(D120="",E120=""),"",IFERROR(IFERROR(INDEX(Recipes!$H$5:$H$204,MATCH(D120,Recipes!$A$5:$A$204,0)),"")*E120,""))</f>
        <v>0</v>
      </c>
      <c r="T120" s="8">
        <f>IF(OR(D120="",E120=""),"",IFERROR(IFERROR(INDEX(Recipes!$Q$5:$Q$204,MATCH(D120,Recipes!$A$5:$A$204,0)),"")*E120,""))</f>
        <v>0</v>
      </c>
      <c r="U120" s="27"/>
      <c r="V120" s="30"/>
      <c r="W120" s="27"/>
      <c r="X120" s="25"/>
    </row>
    <row r="121" spans="1:24">
      <c r="A121" s="7"/>
      <c r="B121" s="27"/>
      <c r="C121" s="7"/>
      <c r="D121" s="27"/>
      <c r="E121" s="26"/>
      <c r="F121" s="26"/>
      <c r="G121" s="26"/>
      <c r="H121" s="30"/>
      <c r="I121" s="8">
        <f>IF(OR(A121="",H121=""),"",H121-TODAY())</f>
        <v>0</v>
      </c>
      <c r="J121" s="8">
        <f>IF(A121="","",IF(U121="Yes","Done",IF(I121="","No date",IF(I121&lt;0,"Overdue",IF(I121&lt;=Prep_Reminder_Days,"This week","Later")))))</f>
        <v>0</v>
      </c>
      <c r="K121" s="8">
        <f>IF(OR(A121="",I121=""),"",COUNTIFS($I$5:$I$124,"&lt;"&amp;I121)+1)</f>
        <v>0</v>
      </c>
      <c r="L121" s="7"/>
      <c r="M121" s="27"/>
      <c r="N121" s="26"/>
      <c r="O121" s="26"/>
      <c r="P121" s="8">
        <f>IF(OR(A121="",V121=""),"",V121+Leftover_Safe_Days)</f>
        <v>0</v>
      </c>
      <c r="Q121" s="8">
        <f>IF(OR(A121="",V121=""),"",V121+Freezer_Review_Days)</f>
        <v>0</v>
      </c>
      <c r="R121" s="27"/>
      <c r="S121" s="8">
        <f>IF(OR(D121="",E121=""),"",IFERROR(IFERROR(INDEX(Recipes!$H$5:$H$204,MATCH(D121,Recipes!$A$5:$A$204,0)),"")*E121,""))</f>
        <v>0</v>
      </c>
      <c r="T121" s="8">
        <f>IF(OR(D121="",E121=""),"",IFERROR(IFERROR(INDEX(Recipes!$Q$5:$Q$204,MATCH(D121,Recipes!$A$5:$A$204,0)),"")*E121,""))</f>
        <v>0</v>
      </c>
      <c r="U121" s="27"/>
      <c r="V121" s="30"/>
      <c r="W121" s="27"/>
      <c r="X121" s="25"/>
    </row>
    <row r="122" spans="1:24">
      <c r="A122" s="7"/>
      <c r="B122" s="27"/>
      <c r="C122" s="7"/>
      <c r="D122" s="27"/>
      <c r="E122" s="26"/>
      <c r="F122" s="26"/>
      <c r="G122" s="26"/>
      <c r="H122" s="30"/>
      <c r="I122" s="8">
        <f>IF(OR(A122="",H122=""),"",H122-TODAY())</f>
        <v>0</v>
      </c>
      <c r="J122" s="8">
        <f>IF(A122="","",IF(U122="Yes","Done",IF(I122="","No date",IF(I122&lt;0,"Overdue",IF(I122&lt;=Prep_Reminder_Days,"This week","Later")))))</f>
        <v>0</v>
      </c>
      <c r="K122" s="8">
        <f>IF(OR(A122="",I122=""),"",COUNTIFS($I$5:$I$124,"&lt;"&amp;I122)+1)</f>
        <v>0</v>
      </c>
      <c r="L122" s="7"/>
      <c r="M122" s="27"/>
      <c r="N122" s="26"/>
      <c r="O122" s="26"/>
      <c r="P122" s="8">
        <f>IF(OR(A122="",V122=""),"",V122+Leftover_Safe_Days)</f>
        <v>0</v>
      </c>
      <c r="Q122" s="8">
        <f>IF(OR(A122="",V122=""),"",V122+Freezer_Review_Days)</f>
        <v>0</v>
      </c>
      <c r="R122" s="27"/>
      <c r="S122" s="8">
        <f>IF(OR(D122="",E122=""),"",IFERROR(IFERROR(INDEX(Recipes!$H$5:$H$204,MATCH(D122,Recipes!$A$5:$A$204,0)),"")*E122,""))</f>
        <v>0</v>
      </c>
      <c r="T122" s="8">
        <f>IF(OR(D122="",E122=""),"",IFERROR(IFERROR(INDEX(Recipes!$Q$5:$Q$204,MATCH(D122,Recipes!$A$5:$A$204,0)),"")*E122,""))</f>
        <v>0</v>
      </c>
      <c r="U122" s="27"/>
      <c r="V122" s="30"/>
      <c r="W122" s="27"/>
      <c r="X122" s="25"/>
    </row>
    <row r="123" spans="1:24">
      <c r="A123" s="7"/>
      <c r="B123" s="27"/>
      <c r="C123" s="7"/>
      <c r="D123" s="27"/>
      <c r="E123" s="26"/>
      <c r="F123" s="26"/>
      <c r="G123" s="26"/>
      <c r="H123" s="30"/>
      <c r="I123" s="8">
        <f>IF(OR(A123="",H123=""),"",H123-TODAY())</f>
        <v>0</v>
      </c>
      <c r="J123" s="8">
        <f>IF(A123="","",IF(U123="Yes","Done",IF(I123="","No date",IF(I123&lt;0,"Overdue",IF(I123&lt;=Prep_Reminder_Days,"This week","Later")))))</f>
        <v>0</v>
      </c>
      <c r="K123" s="8">
        <f>IF(OR(A123="",I123=""),"",COUNTIFS($I$5:$I$124,"&lt;"&amp;I123)+1)</f>
        <v>0</v>
      </c>
      <c r="L123" s="7"/>
      <c r="M123" s="27"/>
      <c r="N123" s="26"/>
      <c r="O123" s="26"/>
      <c r="P123" s="8">
        <f>IF(OR(A123="",V123=""),"",V123+Leftover_Safe_Days)</f>
        <v>0</v>
      </c>
      <c r="Q123" s="8">
        <f>IF(OR(A123="",V123=""),"",V123+Freezer_Review_Days)</f>
        <v>0</v>
      </c>
      <c r="R123" s="27"/>
      <c r="S123" s="8">
        <f>IF(OR(D123="",E123=""),"",IFERROR(IFERROR(INDEX(Recipes!$H$5:$H$204,MATCH(D123,Recipes!$A$5:$A$204,0)),"")*E123,""))</f>
        <v>0</v>
      </c>
      <c r="T123" s="8">
        <f>IF(OR(D123="",E123=""),"",IFERROR(IFERROR(INDEX(Recipes!$Q$5:$Q$204,MATCH(D123,Recipes!$A$5:$A$204,0)),"")*E123,""))</f>
        <v>0</v>
      </c>
      <c r="U123" s="27"/>
      <c r="V123" s="30"/>
      <c r="W123" s="27"/>
      <c r="X123" s="25"/>
    </row>
    <row r="124" spans="1:24">
      <c r="A124" s="7"/>
      <c r="B124" s="27"/>
      <c r="C124" s="7"/>
      <c r="D124" s="27"/>
      <c r="E124" s="26"/>
      <c r="F124" s="26"/>
      <c r="G124" s="26"/>
      <c r="H124" s="30"/>
      <c r="I124" s="8">
        <f>IF(OR(A124="",H124=""),"",H124-TODAY())</f>
        <v>0</v>
      </c>
      <c r="J124" s="8">
        <f>IF(A124="","",IF(U124="Yes","Done",IF(I124="","No date",IF(I124&lt;0,"Overdue",IF(I124&lt;=Prep_Reminder_Days,"This week","Later")))))</f>
        <v>0</v>
      </c>
      <c r="K124" s="8">
        <f>IF(OR(A124="",I124=""),"",COUNTIFS($I$5:$I$124,"&lt;"&amp;I124)+1)</f>
        <v>0</v>
      </c>
      <c r="L124" s="7"/>
      <c r="M124" s="27"/>
      <c r="N124" s="26"/>
      <c r="O124" s="26"/>
      <c r="P124" s="8">
        <f>IF(OR(A124="",V124=""),"",V124+Leftover_Safe_Days)</f>
        <v>0</v>
      </c>
      <c r="Q124" s="8">
        <f>IF(OR(A124="",V124=""),"",V124+Freezer_Review_Days)</f>
        <v>0</v>
      </c>
      <c r="R124" s="27"/>
      <c r="S124" s="8">
        <f>IF(OR(D124="",E124=""),"",IFERROR(IFERROR(INDEX(Recipes!$H$5:$H$204,MATCH(D124,Recipes!$A$5:$A$204,0)),"")*E124,""))</f>
        <v>0</v>
      </c>
      <c r="T124" s="8">
        <f>IF(OR(D124="",E124=""),"",IFERROR(IFERROR(INDEX(Recipes!$Q$5:$Q$204,MATCH(D124,Recipes!$A$5:$A$204,0)),"")*E124,""))</f>
        <v>0</v>
      </c>
      <c r="U124" s="27"/>
      <c r="V124" s="30"/>
      <c r="W124" s="27"/>
      <c r="X124" s="25"/>
    </row>
  </sheetData>
  <sheetProtection password="EC7C" sheet="1" objects="1" scenarios="1" selectLockedCells="1" selectUnlockedCells="1"/>
  <autoFilter ref="A4:X124"/>
  <conditionalFormatting sqref="A101:X101">
    <cfRule type="expression" dxfId="0" priority="49">
      <formula>MOD(ROW(),2)=0</formula>
    </cfRule>
  </conditionalFormatting>
  <conditionalFormatting sqref="A103:X103">
    <cfRule type="expression" dxfId="0" priority="50">
      <formula>MOD(ROW(),2)=0</formula>
    </cfRule>
  </conditionalFormatting>
  <conditionalFormatting sqref="A105:X105">
    <cfRule type="expression" dxfId="0" priority="51">
      <formula>MOD(ROW(),2)=0</formula>
    </cfRule>
  </conditionalFormatting>
  <conditionalFormatting sqref="A107:X107">
    <cfRule type="expression" dxfId="0" priority="52">
      <formula>MOD(ROW(),2)=0</formula>
    </cfRule>
  </conditionalFormatting>
  <conditionalFormatting sqref="A109:X109">
    <cfRule type="expression" dxfId="0" priority="53">
      <formula>MOD(ROW(),2)=0</formula>
    </cfRule>
  </conditionalFormatting>
  <conditionalFormatting sqref="A111:X111">
    <cfRule type="expression" dxfId="0" priority="54">
      <formula>MOD(ROW(),2)=0</formula>
    </cfRule>
  </conditionalFormatting>
  <conditionalFormatting sqref="A113:X113">
    <cfRule type="expression" dxfId="0" priority="55">
      <formula>MOD(ROW(),2)=0</formula>
    </cfRule>
  </conditionalFormatting>
  <conditionalFormatting sqref="A115:X115">
    <cfRule type="expression" dxfId="0" priority="56">
      <formula>MOD(ROW(),2)=0</formula>
    </cfRule>
  </conditionalFormatting>
  <conditionalFormatting sqref="A117:X117">
    <cfRule type="expression" dxfId="0" priority="57">
      <formula>MOD(ROW(),2)=0</formula>
    </cfRule>
  </conditionalFormatting>
  <conditionalFormatting sqref="A119:X119">
    <cfRule type="expression" dxfId="0" priority="58">
      <formula>MOD(ROW(),2)=0</formula>
    </cfRule>
  </conditionalFormatting>
  <conditionalFormatting sqref="A11:X11">
    <cfRule type="expression" dxfId="0" priority="4">
      <formula>MOD(ROW(),2)=0</formula>
    </cfRule>
  </conditionalFormatting>
  <conditionalFormatting sqref="A121:X121">
    <cfRule type="expression" dxfId="0" priority="59">
      <formula>MOD(ROW(),2)=0</formula>
    </cfRule>
  </conditionalFormatting>
  <conditionalFormatting sqref="A123:X123">
    <cfRule type="expression" dxfId="0" priority="60">
      <formula>MOD(ROW(),2)=0</formula>
    </cfRule>
  </conditionalFormatting>
  <conditionalFormatting sqref="A13:X13">
    <cfRule type="expression" dxfId="0" priority="5">
      <formula>MOD(ROW(),2)=0</formula>
    </cfRule>
  </conditionalFormatting>
  <conditionalFormatting sqref="A15:X15">
    <cfRule type="expression" dxfId="0" priority="6">
      <formula>MOD(ROW(),2)=0</formula>
    </cfRule>
  </conditionalFormatting>
  <conditionalFormatting sqref="A17:X17">
    <cfRule type="expression" dxfId="0" priority="7">
      <formula>MOD(ROW(),2)=0</formula>
    </cfRule>
  </conditionalFormatting>
  <conditionalFormatting sqref="A19:X19">
    <cfRule type="expression" dxfId="0" priority="8">
      <formula>MOD(ROW(),2)=0</formula>
    </cfRule>
  </conditionalFormatting>
  <conditionalFormatting sqref="A21:X21">
    <cfRule type="expression" dxfId="0" priority="9">
      <formula>MOD(ROW(),2)=0</formula>
    </cfRule>
  </conditionalFormatting>
  <conditionalFormatting sqref="A23:X23">
    <cfRule type="expression" dxfId="0" priority="10">
      <formula>MOD(ROW(),2)=0</formula>
    </cfRule>
  </conditionalFormatting>
  <conditionalFormatting sqref="A25:X25">
    <cfRule type="expression" dxfId="0" priority="11">
      <formula>MOD(ROW(),2)=0</formula>
    </cfRule>
  </conditionalFormatting>
  <conditionalFormatting sqref="A27:X27">
    <cfRule type="expression" dxfId="0" priority="12">
      <formula>MOD(ROW(),2)=0</formula>
    </cfRule>
  </conditionalFormatting>
  <conditionalFormatting sqref="A29:X29">
    <cfRule type="expression" dxfId="0" priority="13">
      <formula>MOD(ROW(),2)=0</formula>
    </cfRule>
  </conditionalFormatting>
  <conditionalFormatting sqref="A31:X31">
    <cfRule type="expression" dxfId="0" priority="14">
      <formula>MOD(ROW(),2)=0</formula>
    </cfRule>
  </conditionalFormatting>
  <conditionalFormatting sqref="A33:X33">
    <cfRule type="expression" dxfId="0" priority="15">
      <formula>MOD(ROW(),2)=0</formula>
    </cfRule>
  </conditionalFormatting>
  <conditionalFormatting sqref="A35:X35">
    <cfRule type="expression" dxfId="0" priority="16">
      <formula>MOD(ROW(),2)=0</formula>
    </cfRule>
  </conditionalFormatting>
  <conditionalFormatting sqref="A37:X37">
    <cfRule type="expression" dxfId="0" priority="17">
      <formula>MOD(ROW(),2)=0</formula>
    </cfRule>
  </conditionalFormatting>
  <conditionalFormatting sqref="A39:X39">
    <cfRule type="expression" dxfId="0" priority="18">
      <formula>MOD(ROW(),2)=0</formula>
    </cfRule>
  </conditionalFormatting>
  <conditionalFormatting sqref="A41:X41">
    <cfRule type="expression" dxfId="0" priority="19">
      <formula>MOD(ROW(),2)=0</formula>
    </cfRule>
  </conditionalFormatting>
  <conditionalFormatting sqref="A43:X43">
    <cfRule type="expression" dxfId="0" priority="20">
      <formula>MOD(ROW(),2)=0</formula>
    </cfRule>
  </conditionalFormatting>
  <conditionalFormatting sqref="A45:X45">
    <cfRule type="expression" dxfId="0" priority="21">
      <formula>MOD(ROW(),2)=0</formula>
    </cfRule>
  </conditionalFormatting>
  <conditionalFormatting sqref="A47:X47">
    <cfRule type="expression" dxfId="0" priority="22">
      <formula>MOD(ROW(),2)=0</formula>
    </cfRule>
  </conditionalFormatting>
  <conditionalFormatting sqref="A49:X49">
    <cfRule type="expression" dxfId="0" priority="23">
      <formula>MOD(ROW(),2)=0</formula>
    </cfRule>
  </conditionalFormatting>
  <conditionalFormatting sqref="A51:X51">
    <cfRule type="expression" dxfId="0" priority="24">
      <formula>MOD(ROW(),2)=0</formula>
    </cfRule>
  </conditionalFormatting>
  <conditionalFormatting sqref="A53:X53">
    <cfRule type="expression" dxfId="0" priority="25">
      <formula>MOD(ROW(),2)=0</formula>
    </cfRule>
  </conditionalFormatting>
  <conditionalFormatting sqref="A55:X55">
    <cfRule type="expression" dxfId="0" priority="26">
      <formula>MOD(ROW(),2)=0</formula>
    </cfRule>
  </conditionalFormatting>
  <conditionalFormatting sqref="A57:X57">
    <cfRule type="expression" dxfId="0" priority="27">
      <formula>MOD(ROW(),2)=0</formula>
    </cfRule>
  </conditionalFormatting>
  <conditionalFormatting sqref="A59:X59">
    <cfRule type="expression" dxfId="0" priority="28">
      <formula>MOD(ROW(),2)=0</formula>
    </cfRule>
  </conditionalFormatting>
  <conditionalFormatting sqref="A5:X5">
    <cfRule type="expression" dxfId="0" priority="1">
      <formula>MOD(ROW(),2)=0</formula>
    </cfRule>
  </conditionalFormatting>
  <conditionalFormatting sqref="A61:X61">
    <cfRule type="expression" dxfId="0" priority="29">
      <formula>MOD(ROW(),2)=0</formula>
    </cfRule>
  </conditionalFormatting>
  <conditionalFormatting sqref="A63:X63">
    <cfRule type="expression" dxfId="0" priority="30">
      <formula>MOD(ROW(),2)=0</formula>
    </cfRule>
  </conditionalFormatting>
  <conditionalFormatting sqref="A65:X65">
    <cfRule type="expression" dxfId="0" priority="31">
      <formula>MOD(ROW(),2)=0</formula>
    </cfRule>
  </conditionalFormatting>
  <conditionalFormatting sqref="A67:X67">
    <cfRule type="expression" dxfId="0" priority="32">
      <formula>MOD(ROW(),2)=0</formula>
    </cfRule>
  </conditionalFormatting>
  <conditionalFormatting sqref="A69:X69">
    <cfRule type="expression" dxfId="0" priority="33">
      <formula>MOD(ROW(),2)=0</formula>
    </cfRule>
  </conditionalFormatting>
  <conditionalFormatting sqref="A71:X71">
    <cfRule type="expression" dxfId="0" priority="34">
      <formula>MOD(ROW(),2)=0</formula>
    </cfRule>
  </conditionalFormatting>
  <conditionalFormatting sqref="A73:X73">
    <cfRule type="expression" dxfId="0" priority="35">
      <formula>MOD(ROW(),2)=0</formula>
    </cfRule>
  </conditionalFormatting>
  <conditionalFormatting sqref="A75:X75">
    <cfRule type="expression" dxfId="0" priority="36">
      <formula>MOD(ROW(),2)=0</formula>
    </cfRule>
  </conditionalFormatting>
  <conditionalFormatting sqref="A77:X77">
    <cfRule type="expression" dxfId="0" priority="37">
      <formula>MOD(ROW(),2)=0</formula>
    </cfRule>
  </conditionalFormatting>
  <conditionalFormatting sqref="A79:X79">
    <cfRule type="expression" dxfId="0" priority="38">
      <formula>MOD(ROW(),2)=0</formula>
    </cfRule>
  </conditionalFormatting>
  <conditionalFormatting sqref="A7:X7">
    <cfRule type="expression" dxfId="0" priority="2">
      <formula>MOD(ROW(),2)=0</formula>
    </cfRule>
  </conditionalFormatting>
  <conditionalFormatting sqref="A81:X81">
    <cfRule type="expression" dxfId="0" priority="39">
      <formula>MOD(ROW(),2)=0</formula>
    </cfRule>
  </conditionalFormatting>
  <conditionalFormatting sqref="A83:X83">
    <cfRule type="expression" dxfId="0" priority="40">
      <formula>MOD(ROW(),2)=0</formula>
    </cfRule>
  </conditionalFormatting>
  <conditionalFormatting sqref="A85:X85">
    <cfRule type="expression" dxfId="0" priority="41">
      <formula>MOD(ROW(),2)=0</formula>
    </cfRule>
  </conditionalFormatting>
  <conditionalFormatting sqref="A87:X87">
    <cfRule type="expression" dxfId="0" priority="42">
      <formula>MOD(ROW(),2)=0</formula>
    </cfRule>
  </conditionalFormatting>
  <conditionalFormatting sqref="A89:X89">
    <cfRule type="expression" dxfId="0" priority="43">
      <formula>MOD(ROW(),2)=0</formula>
    </cfRule>
  </conditionalFormatting>
  <conditionalFormatting sqref="A91:X91">
    <cfRule type="expression" dxfId="0" priority="44">
      <formula>MOD(ROW(),2)=0</formula>
    </cfRule>
  </conditionalFormatting>
  <conditionalFormatting sqref="A93:X93">
    <cfRule type="expression" dxfId="0" priority="45">
      <formula>MOD(ROW(),2)=0</formula>
    </cfRule>
  </conditionalFormatting>
  <conditionalFormatting sqref="A95:X95">
    <cfRule type="expression" dxfId="0" priority="46">
      <formula>MOD(ROW(),2)=0</formula>
    </cfRule>
  </conditionalFormatting>
  <conditionalFormatting sqref="A97:X97">
    <cfRule type="expression" dxfId="0" priority="47">
      <formula>MOD(ROW(),2)=0</formula>
    </cfRule>
  </conditionalFormatting>
  <conditionalFormatting sqref="A99:X99">
    <cfRule type="expression" dxfId="0" priority="48">
      <formula>MOD(ROW(),2)=0</formula>
    </cfRule>
  </conditionalFormatting>
  <conditionalFormatting sqref="A9:X9">
    <cfRule type="expression" dxfId="0" priority="3">
      <formula>MOD(ROW(),2)=0</formula>
    </cfRule>
  </conditionalFormatting>
  <dataValidations count="1320">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Spreadsheet&amp;R&amp;"Calibri,Italic"Meal Prep</oddHeader>
    <oddFooter>&amp;LPage &amp;P of &amp;N&amp;R&amp;D</oddFooter>
  </headerFooter>
  <legacyDrawing r:id="rId1"/>
</worksheet>
</file>

<file path=xl/worksheets/sheet18.xml><?xml version="1.0" encoding="utf-8"?>
<worksheet xmlns="http://schemas.openxmlformats.org/spreadsheetml/2006/main" xmlns:r="http://schemas.openxmlformats.org/officeDocument/2006/relationships">
  <sheetPr>
    <tabColor rgb="FFD9703C"/>
    <pageSetUpPr fitToPage="1"/>
  </sheetPr>
  <dimension ref="A4:J1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customWidth="1"/>
    <col min="2" max="2" width="20.7109375" customWidth="1"/>
    <col min="3" max="3" width="24.7109375" customWidth="1"/>
    <col min="4" max="4" width="22.7109375" customWidth="1"/>
    <col min="5" max="5" width="12.7109375" customWidth="1"/>
    <col min="6" max="6" width="9.7109375" customWidth="1"/>
    <col min="7" max="9" width="13.7109375" customWidth="1"/>
    <col min="10" max="10" width="34.7109375" customWidth="1"/>
  </cols>
  <sheetData>
    <row r="4" spans="1:10" ht="32" customHeight="1">
      <c r="A4" s="9" t="s">
        <v>453</v>
      </c>
      <c r="B4" s="9" t="s">
        <v>454</v>
      </c>
      <c r="C4" s="9" t="s">
        <v>455</v>
      </c>
      <c r="D4" s="9" t="s">
        <v>431</v>
      </c>
      <c r="E4" s="9" t="s">
        <v>456</v>
      </c>
      <c r="F4" s="9" t="s">
        <v>457</v>
      </c>
      <c r="G4" s="9" t="s">
        <v>458</v>
      </c>
      <c r="H4" s="9" t="s">
        <v>459</v>
      </c>
      <c r="I4" s="9" t="s">
        <v>460</v>
      </c>
      <c r="J4" s="9" t="s">
        <v>173</v>
      </c>
    </row>
    <row r="5" spans="1:10">
      <c r="A5" s="7"/>
      <c r="B5" s="7"/>
      <c r="C5" s="7"/>
      <c r="D5" s="7"/>
      <c r="E5" s="27"/>
      <c r="F5" s="27"/>
      <c r="G5" s="8">
        <f>IF(C5="","",COUNTIFS(Ingredients!$A$5:$A$304,C5))</f>
        <v>0</v>
      </c>
      <c r="H5" s="8">
        <f>IF(C5="","",COUNTIFS('Recipe Ingredients'!$B$5:$B$1204,C5))</f>
        <v>0</v>
      </c>
      <c r="I5" s="8">
        <f>IF(C5="","",SUMPRODUCT((COUNTIFS('Recipe Ingredients'!$A$5:$A$1204,'Meal Plan'!$G$5:$G$504,'Recipe Ingredients'!$B$5:$B$1204,C5)&gt;0)*1))</f>
        <v>0</v>
      </c>
      <c r="J5" s="25"/>
    </row>
    <row r="6" spans="1:10">
      <c r="A6" s="7"/>
      <c r="B6" s="7"/>
      <c r="C6" s="7"/>
      <c r="D6" s="7"/>
      <c r="E6" s="27"/>
      <c r="F6" s="27"/>
      <c r="G6" s="8">
        <f>IF(C6="","",COUNTIFS(Ingredients!$A$5:$A$304,C6))</f>
        <v>0</v>
      </c>
      <c r="H6" s="8">
        <f>IF(C6="","",COUNTIFS('Recipe Ingredients'!$B$5:$B$1204,C6))</f>
        <v>0</v>
      </c>
      <c r="I6" s="8">
        <f>IF(C6="","",SUMPRODUCT((COUNTIFS('Recipe Ingredients'!$A$5:$A$1204,'Meal Plan'!$G$5:$G$504,'Recipe Ingredients'!$B$5:$B$1204,C6)&gt;0)*1))</f>
        <v>0</v>
      </c>
      <c r="J6" s="25"/>
    </row>
    <row r="7" spans="1:10">
      <c r="A7" s="7"/>
      <c r="B7" s="7"/>
      <c r="C7" s="7"/>
      <c r="D7" s="7"/>
      <c r="E7" s="27"/>
      <c r="F7" s="27"/>
      <c r="G7" s="8">
        <f>IF(C7="","",COUNTIFS(Ingredients!$A$5:$A$304,C7))</f>
        <v>0</v>
      </c>
      <c r="H7" s="8">
        <f>IF(C7="","",COUNTIFS('Recipe Ingredients'!$B$5:$B$1204,C7))</f>
        <v>0</v>
      </c>
      <c r="I7" s="8">
        <f>IF(C7="","",SUMPRODUCT((COUNTIFS('Recipe Ingredients'!$A$5:$A$1204,'Meal Plan'!$G$5:$G$504,'Recipe Ingredients'!$B$5:$B$1204,C7)&gt;0)*1))</f>
        <v>0</v>
      </c>
      <c r="J7" s="25"/>
    </row>
    <row r="8" spans="1:10">
      <c r="A8" s="7"/>
      <c r="B8" s="7"/>
      <c r="C8" s="7"/>
      <c r="D8" s="7"/>
      <c r="E8" s="27"/>
      <c r="F8" s="27"/>
      <c r="G8" s="8">
        <f>IF(C8="","",COUNTIFS(Ingredients!$A$5:$A$304,C8))</f>
        <v>0</v>
      </c>
      <c r="H8" s="8">
        <f>IF(C8="","",COUNTIFS('Recipe Ingredients'!$B$5:$B$1204,C8))</f>
        <v>0</v>
      </c>
      <c r="I8" s="8">
        <f>IF(C8="","",SUMPRODUCT((COUNTIFS('Recipe Ingredients'!$A$5:$A$1204,'Meal Plan'!$G$5:$G$504,'Recipe Ingredients'!$B$5:$B$1204,C8)&gt;0)*1))</f>
        <v>0</v>
      </c>
      <c r="J8" s="25"/>
    </row>
    <row r="9" spans="1:10">
      <c r="A9" s="7"/>
      <c r="B9" s="7"/>
      <c r="C9" s="7"/>
      <c r="D9" s="7"/>
      <c r="E9" s="27"/>
      <c r="F9" s="27"/>
      <c r="G9" s="8">
        <f>IF(C9="","",COUNTIFS(Ingredients!$A$5:$A$304,C9))</f>
        <v>0</v>
      </c>
      <c r="H9" s="8">
        <f>IF(C9="","",COUNTIFS('Recipe Ingredients'!$B$5:$B$1204,C9))</f>
        <v>0</v>
      </c>
      <c r="I9" s="8">
        <f>IF(C9="","",SUMPRODUCT((COUNTIFS('Recipe Ingredients'!$A$5:$A$1204,'Meal Plan'!$G$5:$G$504,'Recipe Ingredients'!$B$5:$B$1204,C9)&gt;0)*1))</f>
        <v>0</v>
      </c>
      <c r="J9" s="25"/>
    </row>
    <row r="10" spans="1:10">
      <c r="A10" s="7"/>
      <c r="B10" s="7"/>
      <c r="C10" s="7"/>
      <c r="D10" s="7"/>
      <c r="E10" s="27"/>
      <c r="F10" s="27"/>
      <c r="G10" s="8">
        <f>IF(C10="","",COUNTIFS(Ingredients!$A$5:$A$304,C10))</f>
        <v>0</v>
      </c>
      <c r="H10" s="8">
        <f>IF(C10="","",COUNTIFS('Recipe Ingredients'!$B$5:$B$1204,C10))</f>
        <v>0</v>
      </c>
      <c r="I10" s="8">
        <f>IF(C10="","",SUMPRODUCT((COUNTIFS('Recipe Ingredients'!$A$5:$A$1204,'Meal Plan'!$G$5:$G$504,'Recipe Ingredients'!$B$5:$B$1204,C10)&gt;0)*1))</f>
        <v>0</v>
      </c>
      <c r="J10" s="25"/>
    </row>
    <row r="11" spans="1:10">
      <c r="A11" s="7"/>
      <c r="B11" s="7"/>
      <c r="C11" s="7"/>
      <c r="D11" s="7"/>
      <c r="E11" s="27"/>
      <c r="F11" s="27"/>
      <c r="G11" s="8">
        <f>IF(C11="","",COUNTIFS(Ingredients!$A$5:$A$304,C11))</f>
        <v>0</v>
      </c>
      <c r="H11" s="8">
        <f>IF(C11="","",COUNTIFS('Recipe Ingredients'!$B$5:$B$1204,C11))</f>
        <v>0</v>
      </c>
      <c r="I11" s="8">
        <f>IF(C11="","",SUMPRODUCT((COUNTIFS('Recipe Ingredients'!$A$5:$A$1204,'Meal Plan'!$G$5:$G$504,'Recipe Ingredients'!$B$5:$B$1204,C11)&gt;0)*1))</f>
        <v>0</v>
      </c>
      <c r="J11" s="25"/>
    </row>
    <row r="12" spans="1:10">
      <c r="A12" s="7"/>
      <c r="B12" s="7"/>
      <c r="C12" s="7"/>
      <c r="D12" s="7"/>
      <c r="E12" s="27"/>
      <c r="F12" s="27"/>
      <c r="G12" s="8">
        <f>IF(C12="","",COUNTIFS(Ingredients!$A$5:$A$304,C12))</f>
        <v>0</v>
      </c>
      <c r="H12" s="8">
        <f>IF(C12="","",COUNTIFS('Recipe Ingredients'!$B$5:$B$1204,C12))</f>
        <v>0</v>
      </c>
      <c r="I12" s="8">
        <f>IF(C12="","",SUMPRODUCT((COUNTIFS('Recipe Ingredients'!$A$5:$A$1204,'Meal Plan'!$G$5:$G$504,'Recipe Ingredients'!$B$5:$B$1204,C12)&gt;0)*1))</f>
        <v>0</v>
      </c>
      <c r="J12" s="25"/>
    </row>
    <row r="13" spans="1:10">
      <c r="A13" s="7"/>
      <c r="B13" s="7"/>
      <c r="C13" s="7"/>
      <c r="D13" s="7"/>
      <c r="E13" s="27"/>
      <c r="F13" s="27"/>
      <c r="G13" s="8">
        <f>IF(C13="","",COUNTIFS(Ingredients!$A$5:$A$304,C13))</f>
        <v>0</v>
      </c>
      <c r="H13" s="8">
        <f>IF(C13="","",COUNTIFS('Recipe Ingredients'!$B$5:$B$1204,C13))</f>
        <v>0</v>
      </c>
      <c r="I13" s="8">
        <f>IF(C13="","",SUMPRODUCT((COUNTIFS('Recipe Ingredients'!$A$5:$A$1204,'Meal Plan'!$G$5:$G$504,'Recipe Ingredients'!$B$5:$B$1204,C13)&gt;0)*1))</f>
        <v>0</v>
      </c>
      <c r="J13" s="25"/>
    </row>
    <row r="14" spans="1:10">
      <c r="A14" s="7"/>
      <c r="B14" s="7"/>
      <c r="C14" s="7"/>
      <c r="D14" s="7"/>
      <c r="E14" s="27"/>
      <c r="F14" s="27"/>
      <c r="G14" s="8">
        <f>IF(C14="","",COUNTIFS(Ingredients!$A$5:$A$304,C14))</f>
        <v>0</v>
      </c>
      <c r="H14" s="8">
        <f>IF(C14="","",COUNTIFS('Recipe Ingredients'!$B$5:$B$1204,C14))</f>
        <v>0</v>
      </c>
      <c r="I14" s="8">
        <f>IF(C14="","",SUMPRODUCT((COUNTIFS('Recipe Ingredients'!$A$5:$A$1204,'Meal Plan'!$G$5:$G$504,'Recipe Ingredients'!$B$5:$B$1204,C14)&gt;0)*1))</f>
        <v>0</v>
      </c>
      <c r="J14" s="25"/>
    </row>
    <row r="15" spans="1:10">
      <c r="A15" s="7"/>
      <c r="B15" s="7"/>
      <c r="C15" s="7"/>
      <c r="D15" s="7"/>
      <c r="E15" s="27"/>
      <c r="F15" s="27"/>
      <c r="G15" s="8">
        <f>IF(C15="","",COUNTIFS(Ingredients!$A$5:$A$304,C15))</f>
        <v>0</v>
      </c>
      <c r="H15" s="8">
        <f>IF(C15="","",COUNTIFS('Recipe Ingredients'!$B$5:$B$1204,C15))</f>
        <v>0</v>
      </c>
      <c r="I15" s="8">
        <f>IF(C15="","",SUMPRODUCT((COUNTIFS('Recipe Ingredients'!$A$5:$A$1204,'Meal Plan'!$G$5:$G$504,'Recipe Ingredients'!$B$5:$B$1204,C15)&gt;0)*1))</f>
        <v>0</v>
      </c>
      <c r="J15" s="25"/>
    </row>
    <row r="16" spans="1:10">
      <c r="A16" s="7"/>
      <c r="B16" s="7"/>
      <c r="C16" s="7"/>
      <c r="D16" s="7"/>
      <c r="E16" s="27"/>
      <c r="F16" s="27"/>
      <c r="G16" s="8">
        <f>IF(C16="","",COUNTIFS(Ingredients!$A$5:$A$304,C16))</f>
        <v>0</v>
      </c>
      <c r="H16" s="8">
        <f>IF(C16="","",COUNTIFS('Recipe Ingredients'!$B$5:$B$1204,C16))</f>
        <v>0</v>
      </c>
      <c r="I16" s="8">
        <f>IF(C16="","",SUMPRODUCT((COUNTIFS('Recipe Ingredients'!$A$5:$A$1204,'Meal Plan'!$G$5:$G$504,'Recipe Ingredients'!$B$5:$B$1204,C16)&gt;0)*1))</f>
        <v>0</v>
      </c>
      <c r="J16" s="25"/>
    </row>
    <row r="17" spans="1:10">
      <c r="A17" s="7"/>
      <c r="B17" s="7"/>
      <c r="C17" s="7"/>
      <c r="D17" s="7"/>
      <c r="E17" s="27"/>
      <c r="F17" s="27"/>
      <c r="G17" s="8">
        <f>IF(C17="","",COUNTIFS(Ingredients!$A$5:$A$304,C17))</f>
        <v>0</v>
      </c>
      <c r="H17" s="8">
        <f>IF(C17="","",COUNTIFS('Recipe Ingredients'!$B$5:$B$1204,C17))</f>
        <v>0</v>
      </c>
      <c r="I17" s="8">
        <f>IF(C17="","",SUMPRODUCT((COUNTIFS('Recipe Ingredients'!$A$5:$A$1204,'Meal Plan'!$G$5:$G$504,'Recipe Ingredients'!$B$5:$B$1204,C17)&gt;0)*1))</f>
        <v>0</v>
      </c>
      <c r="J17" s="25"/>
    </row>
    <row r="18" spans="1:10">
      <c r="A18" s="7"/>
      <c r="B18" s="7"/>
      <c r="C18" s="7"/>
      <c r="D18" s="7"/>
      <c r="E18" s="27"/>
      <c r="F18" s="27"/>
      <c r="G18" s="8">
        <f>IF(C18="","",COUNTIFS(Ingredients!$A$5:$A$304,C18))</f>
        <v>0</v>
      </c>
      <c r="H18" s="8">
        <f>IF(C18="","",COUNTIFS('Recipe Ingredients'!$B$5:$B$1204,C18))</f>
        <v>0</v>
      </c>
      <c r="I18" s="8">
        <f>IF(C18="","",SUMPRODUCT((COUNTIFS('Recipe Ingredients'!$A$5:$A$1204,'Meal Plan'!$G$5:$G$504,'Recipe Ingredients'!$B$5:$B$1204,C18)&gt;0)*1))</f>
        <v>0</v>
      </c>
      <c r="J18" s="25"/>
    </row>
    <row r="19" spans="1:10">
      <c r="A19" s="7"/>
      <c r="B19" s="7"/>
      <c r="C19" s="7"/>
      <c r="D19" s="7"/>
      <c r="E19" s="27"/>
      <c r="F19" s="27"/>
      <c r="G19" s="8">
        <f>IF(C19="","",COUNTIFS(Ingredients!$A$5:$A$304,C19))</f>
        <v>0</v>
      </c>
      <c r="H19" s="8">
        <f>IF(C19="","",COUNTIFS('Recipe Ingredients'!$B$5:$B$1204,C19))</f>
        <v>0</v>
      </c>
      <c r="I19" s="8">
        <f>IF(C19="","",SUMPRODUCT((COUNTIFS('Recipe Ingredients'!$A$5:$A$1204,'Meal Plan'!$G$5:$G$504,'Recipe Ingredients'!$B$5:$B$1204,C19)&gt;0)*1))</f>
        <v>0</v>
      </c>
      <c r="J19" s="25"/>
    </row>
    <row r="20" spans="1:10">
      <c r="A20" s="7"/>
      <c r="B20" s="7"/>
      <c r="C20" s="7"/>
      <c r="D20" s="7"/>
      <c r="E20" s="27"/>
      <c r="F20" s="27"/>
      <c r="G20" s="8">
        <f>IF(C20="","",COUNTIFS(Ingredients!$A$5:$A$304,C20))</f>
        <v>0</v>
      </c>
      <c r="H20" s="8">
        <f>IF(C20="","",COUNTIFS('Recipe Ingredients'!$B$5:$B$1204,C20))</f>
        <v>0</v>
      </c>
      <c r="I20" s="8">
        <f>IF(C20="","",SUMPRODUCT((COUNTIFS('Recipe Ingredients'!$A$5:$A$1204,'Meal Plan'!$G$5:$G$504,'Recipe Ingredients'!$B$5:$B$1204,C20)&gt;0)*1))</f>
        <v>0</v>
      </c>
      <c r="J20" s="25"/>
    </row>
    <row r="21" spans="1:10">
      <c r="A21" s="7"/>
      <c r="B21" s="7"/>
      <c r="C21" s="7"/>
      <c r="D21" s="7"/>
      <c r="E21" s="27"/>
      <c r="F21" s="27"/>
      <c r="G21" s="8">
        <f>IF(C21="","",COUNTIFS(Ingredients!$A$5:$A$304,C21))</f>
        <v>0</v>
      </c>
      <c r="H21" s="8">
        <f>IF(C21="","",COUNTIFS('Recipe Ingredients'!$B$5:$B$1204,C21))</f>
        <v>0</v>
      </c>
      <c r="I21" s="8">
        <f>IF(C21="","",SUMPRODUCT((COUNTIFS('Recipe Ingredients'!$A$5:$A$1204,'Meal Plan'!$G$5:$G$504,'Recipe Ingredients'!$B$5:$B$1204,C21)&gt;0)*1))</f>
        <v>0</v>
      </c>
      <c r="J21" s="25"/>
    </row>
    <row r="22" spans="1:10">
      <c r="A22" s="7"/>
      <c r="B22" s="7"/>
      <c r="C22" s="7"/>
      <c r="D22" s="7"/>
      <c r="E22" s="27"/>
      <c r="F22" s="27"/>
      <c r="G22" s="8">
        <f>IF(C22="","",COUNTIFS(Ingredients!$A$5:$A$304,C22))</f>
        <v>0</v>
      </c>
      <c r="H22" s="8">
        <f>IF(C22="","",COUNTIFS('Recipe Ingredients'!$B$5:$B$1204,C22))</f>
        <v>0</v>
      </c>
      <c r="I22" s="8">
        <f>IF(C22="","",SUMPRODUCT((COUNTIFS('Recipe Ingredients'!$A$5:$A$1204,'Meal Plan'!$G$5:$G$504,'Recipe Ingredients'!$B$5:$B$1204,C22)&gt;0)*1))</f>
        <v>0</v>
      </c>
      <c r="J22" s="25"/>
    </row>
    <row r="23" spans="1:10">
      <c r="A23" s="7"/>
      <c r="B23" s="7"/>
      <c r="C23" s="7"/>
      <c r="D23" s="7"/>
      <c r="E23" s="27"/>
      <c r="F23" s="27"/>
      <c r="G23" s="8">
        <f>IF(C23="","",COUNTIFS(Ingredients!$A$5:$A$304,C23))</f>
        <v>0</v>
      </c>
      <c r="H23" s="8">
        <f>IF(C23="","",COUNTIFS('Recipe Ingredients'!$B$5:$B$1204,C23))</f>
        <v>0</v>
      </c>
      <c r="I23" s="8">
        <f>IF(C23="","",SUMPRODUCT((COUNTIFS('Recipe Ingredients'!$A$5:$A$1204,'Meal Plan'!$G$5:$G$504,'Recipe Ingredients'!$B$5:$B$1204,C23)&gt;0)*1))</f>
        <v>0</v>
      </c>
      <c r="J23" s="25"/>
    </row>
    <row r="24" spans="1:10">
      <c r="A24" s="7"/>
      <c r="B24" s="7"/>
      <c r="C24" s="7"/>
      <c r="D24" s="7"/>
      <c r="E24" s="27"/>
      <c r="F24" s="27"/>
      <c r="G24" s="8">
        <f>IF(C24="","",COUNTIFS(Ingredients!$A$5:$A$304,C24))</f>
        <v>0</v>
      </c>
      <c r="H24" s="8">
        <f>IF(C24="","",COUNTIFS('Recipe Ingredients'!$B$5:$B$1204,C24))</f>
        <v>0</v>
      </c>
      <c r="I24" s="8">
        <f>IF(C24="","",SUMPRODUCT((COUNTIFS('Recipe Ingredients'!$A$5:$A$1204,'Meal Plan'!$G$5:$G$504,'Recipe Ingredients'!$B$5:$B$1204,C24)&gt;0)*1))</f>
        <v>0</v>
      </c>
      <c r="J24" s="25"/>
    </row>
    <row r="25" spans="1:10">
      <c r="A25" s="7"/>
      <c r="B25" s="7"/>
      <c r="C25" s="7"/>
      <c r="D25" s="7"/>
      <c r="E25" s="27"/>
      <c r="F25" s="27"/>
      <c r="G25" s="8">
        <f>IF(C25="","",COUNTIFS(Ingredients!$A$5:$A$304,C25))</f>
        <v>0</v>
      </c>
      <c r="H25" s="8">
        <f>IF(C25="","",COUNTIFS('Recipe Ingredients'!$B$5:$B$1204,C25))</f>
        <v>0</v>
      </c>
      <c r="I25" s="8">
        <f>IF(C25="","",SUMPRODUCT((COUNTIFS('Recipe Ingredients'!$A$5:$A$1204,'Meal Plan'!$G$5:$G$504,'Recipe Ingredients'!$B$5:$B$1204,C25)&gt;0)*1))</f>
        <v>0</v>
      </c>
      <c r="J25" s="25"/>
    </row>
    <row r="26" spans="1:10">
      <c r="A26" s="7"/>
      <c r="B26" s="7"/>
      <c r="C26" s="7"/>
      <c r="D26" s="7"/>
      <c r="E26" s="27"/>
      <c r="F26" s="27"/>
      <c r="G26" s="8">
        <f>IF(C26="","",COUNTIFS(Ingredients!$A$5:$A$304,C26))</f>
        <v>0</v>
      </c>
      <c r="H26" s="8">
        <f>IF(C26="","",COUNTIFS('Recipe Ingredients'!$B$5:$B$1204,C26))</f>
        <v>0</v>
      </c>
      <c r="I26" s="8">
        <f>IF(C26="","",SUMPRODUCT((COUNTIFS('Recipe Ingredients'!$A$5:$A$1204,'Meal Plan'!$G$5:$G$504,'Recipe Ingredients'!$B$5:$B$1204,C26)&gt;0)*1))</f>
        <v>0</v>
      </c>
      <c r="J26" s="25"/>
    </row>
    <row r="27" spans="1:10">
      <c r="A27" s="7"/>
      <c r="B27" s="7"/>
      <c r="C27" s="7"/>
      <c r="D27" s="7"/>
      <c r="E27" s="27"/>
      <c r="F27" s="27"/>
      <c r="G27" s="8">
        <f>IF(C27="","",COUNTIFS(Ingredients!$A$5:$A$304,C27))</f>
        <v>0</v>
      </c>
      <c r="H27" s="8">
        <f>IF(C27="","",COUNTIFS('Recipe Ingredients'!$B$5:$B$1204,C27))</f>
        <v>0</v>
      </c>
      <c r="I27" s="8">
        <f>IF(C27="","",SUMPRODUCT((COUNTIFS('Recipe Ingredients'!$A$5:$A$1204,'Meal Plan'!$G$5:$G$504,'Recipe Ingredients'!$B$5:$B$1204,C27)&gt;0)*1))</f>
        <v>0</v>
      </c>
      <c r="J27" s="25"/>
    </row>
    <row r="28" spans="1:10">
      <c r="A28" s="7"/>
      <c r="B28" s="7"/>
      <c r="C28" s="7"/>
      <c r="D28" s="7"/>
      <c r="E28" s="27"/>
      <c r="F28" s="27"/>
      <c r="G28" s="8">
        <f>IF(C28="","",COUNTIFS(Ingredients!$A$5:$A$304,C28))</f>
        <v>0</v>
      </c>
      <c r="H28" s="8">
        <f>IF(C28="","",COUNTIFS('Recipe Ingredients'!$B$5:$B$1204,C28))</f>
        <v>0</v>
      </c>
      <c r="I28" s="8">
        <f>IF(C28="","",SUMPRODUCT((COUNTIFS('Recipe Ingredients'!$A$5:$A$1204,'Meal Plan'!$G$5:$G$504,'Recipe Ingredients'!$B$5:$B$1204,C28)&gt;0)*1))</f>
        <v>0</v>
      </c>
      <c r="J28" s="25"/>
    </row>
    <row r="29" spans="1:10">
      <c r="A29" s="7"/>
      <c r="B29" s="7"/>
      <c r="C29" s="7"/>
      <c r="D29" s="7"/>
      <c r="E29" s="27"/>
      <c r="F29" s="27"/>
      <c r="G29" s="8">
        <f>IF(C29="","",COUNTIFS(Ingredients!$A$5:$A$304,C29))</f>
        <v>0</v>
      </c>
      <c r="H29" s="8">
        <f>IF(C29="","",COUNTIFS('Recipe Ingredients'!$B$5:$B$1204,C29))</f>
        <v>0</v>
      </c>
      <c r="I29" s="8">
        <f>IF(C29="","",SUMPRODUCT((COUNTIFS('Recipe Ingredients'!$A$5:$A$1204,'Meal Plan'!$G$5:$G$504,'Recipe Ingredients'!$B$5:$B$1204,C29)&gt;0)*1))</f>
        <v>0</v>
      </c>
      <c r="J29" s="25"/>
    </row>
    <row r="30" spans="1:10">
      <c r="A30" s="7"/>
      <c r="B30" s="7"/>
      <c r="C30" s="7"/>
      <c r="D30" s="7"/>
      <c r="E30" s="27"/>
      <c r="F30" s="27"/>
      <c r="G30" s="8">
        <f>IF(C30="","",COUNTIFS(Ingredients!$A$5:$A$304,C30))</f>
        <v>0</v>
      </c>
      <c r="H30" s="8">
        <f>IF(C30="","",COUNTIFS('Recipe Ingredients'!$B$5:$B$1204,C30))</f>
        <v>0</v>
      </c>
      <c r="I30" s="8">
        <f>IF(C30="","",SUMPRODUCT((COUNTIFS('Recipe Ingredients'!$A$5:$A$1204,'Meal Plan'!$G$5:$G$504,'Recipe Ingredients'!$B$5:$B$1204,C30)&gt;0)*1))</f>
        <v>0</v>
      </c>
      <c r="J30" s="25"/>
    </row>
    <row r="31" spans="1:10">
      <c r="A31" s="7"/>
      <c r="B31" s="7"/>
      <c r="C31" s="7"/>
      <c r="D31" s="7"/>
      <c r="E31" s="27"/>
      <c r="F31" s="27"/>
      <c r="G31" s="8">
        <f>IF(C31="","",COUNTIFS(Ingredients!$A$5:$A$304,C31))</f>
        <v>0</v>
      </c>
      <c r="H31" s="8">
        <f>IF(C31="","",COUNTIFS('Recipe Ingredients'!$B$5:$B$1204,C31))</f>
        <v>0</v>
      </c>
      <c r="I31" s="8">
        <f>IF(C31="","",SUMPRODUCT((COUNTIFS('Recipe Ingredients'!$A$5:$A$1204,'Meal Plan'!$G$5:$G$504,'Recipe Ingredients'!$B$5:$B$1204,C31)&gt;0)*1))</f>
        <v>0</v>
      </c>
      <c r="J31" s="25"/>
    </row>
    <row r="32" spans="1:10">
      <c r="A32" s="7"/>
      <c r="B32" s="7"/>
      <c r="C32" s="7"/>
      <c r="D32" s="7"/>
      <c r="E32" s="27"/>
      <c r="F32" s="27"/>
      <c r="G32" s="8">
        <f>IF(C32="","",COUNTIFS(Ingredients!$A$5:$A$304,C32))</f>
        <v>0</v>
      </c>
      <c r="H32" s="8">
        <f>IF(C32="","",COUNTIFS('Recipe Ingredients'!$B$5:$B$1204,C32))</f>
        <v>0</v>
      </c>
      <c r="I32" s="8">
        <f>IF(C32="","",SUMPRODUCT((COUNTIFS('Recipe Ingredients'!$A$5:$A$1204,'Meal Plan'!$G$5:$G$504,'Recipe Ingredients'!$B$5:$B$1204,C32)&gt;0)*1))</f>
        <v>0</v>
      </c>
      <c r="J32" s="25"/>
    </row>
    <row r="33" spans="1:10">
      <c r="A33" s="7"/>
      <c r="B33" s="7"/>
      <c r="C33" s="7"/>
      <c r="D33" s="7"/>
      <c r="E33" s="27"/>
      <c r="F33" s="27"/>
      <c r="G33" s="8">
        <f>IF(C33="","",COUNTIFS(Ingredients!$A$5:$A$304,C33))</f>
        <v>0</v>
      </c>
      <c r="H33" s="8">
        <f>IF(C33="","",COUNTIFS('Recipe Ingredients'!$B$5:$B$1204,C33))</f>
        <v>0</v>
      </c>
      <c r="I33" s="8">
        <f>IF(C33="","",SUMPRODUCT((COUNTIFS('Recipe Ingredients'!$A$5:$A$1204,'Meal Plan'!$G$5:$G$504,'Recipe Ingredients'!$B$5:$B$1204,C33)&gt;0)*1))</f>
        <v>0</v>
      </c>
      <c r="J33" s="25"/>
    </row>
    <row r="34" spans="1:10">
      <c r="A34" s="7"/>
      <c r="B34" s="7"/>
      <c r="C34" s="7"/>
      <c r="D34" s="7"/>
      <c r="E34" s="27"/>
      <c r="F34" s="27"/>
      <c r="G34" s="8">
        <f>IF(C34="","",COUNTIFS(Ingredients!$A$5:$A$304,C34))</f>
        <v>0</v>
      </c>
      <c r="H34" s="8">
        <f>IF(C34="","",COUNTIFS('Recipe Ingredients'!$B$5:$B$1204,C34))</f>
        <v>0</v>
      </c>
      <c r="I34" s="8">
        <f>IF(C34="","",SUMPRODUCT((COUNTIFS('Recipe Ingredients'!$A$5:$A$1204,'Meal Plan'!$G$5:$G$504,'Recipe Ingredients'!$B$5:$B$1204,C34)&gt;0)*1))</f>
        <v>0</v>
      </c>
      <c r="J34" s="25"/>
    </row>
    <row r="35" spans="1:10">
      <c r="A35" s="7"/>
      <c r="B35" s="7"/>
      <c r="C35" s="7"/>
      <c r="D35" s="7"/>
      <c r="E35" s="27"/>
      <c r="F35" s="27"/>
      <c r="G35" s="8">
        <f>IF(C35="","",COUNTIFS(Ingredients!$A$5:$A$304,C35))</f>
        <v>0</v>
      </c>
      <c r="H35" s="8">
        <f>IF(C35="","",COUNTIFS('Recipe Ingredients'!$B$5:$B$1204,C35))</f>
        <v>0</v>
      </c>
      <c r="I35" s="8">
        <f>IF(C35="","",SUMPRODUCT((COUNTIFS('Recipe Ingredients'!$A$5:$A$1204,'Meal Plan'!$G$5:$G$504,'Recipe Ingredients'!$B$5:$B$1204,C35)&gt;0)*1))</f>
        <v>0</v>
      </c>
      <c r="J35" s="25"/>
    </row>
    <row r="36" spans="1:10">
      <c r="A36" s="7"/>
      <c r="B36" s="7"/>
      <c r="C36" s="7"/>
      <c r="D36" s="7"/>
      <c r="E36" s="27"/>
      <c r="F36" s="27"/>
      <c r="G36" s="8">
        <f>IF(C36="","",COUNTIFS(Ingredients!$A$5:$A$304,C36))</f>
        <v>0</v>
      </c>
      <c r="H36" s="8">
        <f>IF(C36="","",COUNTIFS('Recipe Ingredients'!$B$5:$B$1204,C36))</f>
        <v>0</v>
      </c>
      <c r="I36" s="8">
        <f>IF(C36="","",SUMPRODUCT((COUNTIFS('Recipe Ingredients'!$A$5:$A$1204,'Meal Plan'!$G$5:$G$504,'Recipe Ingredients'!$B$5:$B$1204,C36)&gt;0)*1))</f>
        <v>0</v>
      </c>
      <c r="J36" s="25"/>
    </row>
    <row r="37" spans="1:10">
      <c r="A37" s="7"/>
      <c r="B37" s="7"/>
      <c r="C37" s="7"/>
      <c r="D37" s="7"/>
      <c r="E37" s="27"/>
      <c r="F37" s="27"/>
      <c r="G37" s="8">
        <f>IF(C37="","",COUNTIFS(Ingredients!$A$5:$A$304,C37))</f>
        <v>0</v>
      </c>
      <c r="H37" s="8">
        <f>IF(C37="","",COUNTIFS('Recipe Ingredients'!$B$5:$B$1204,C37))</f>
        <v>0</v>
      </c>
      <c r="I37" s="8">
        <f>IF(C37="","",SUMPRODUCT((COUNTIFS('Recipe Ingredients'!$A$5:$A$1204,'Meal Plan'!$G$5:$G$504,'Recipe Ingredients'!$B$5:$B$1204,C37)&gt;0)*1))</f>
        <v>0</v>
      </c>
      <c r="J37" s="25"/>
    </row>
    <row r="38" spans="1:10">
      <c r="A38" s="7"/>
      <c r="B38" s="7"/>
      <c r="C38" s="7"/>
      <c r="D38" s="7"/>
      <c r="E38" s="27"/>
      <c r="F38" s="27"/>
      <c r="G38" s="8">
        <f>IF(C38="","",COUNTIFS(Ingredients!$A$5:$A$304,C38))</f>
        <v>0</v>
      </c>
      <c r="H38" s="8">
        <f>IF(C38="","",COUNTIFS('Recipe Ingredients'!$B$5:$B$1204,C38))</f>
        <v>0</v>
      </c>
      <c r="I38" s="8">
        <f>IF(C38="","",SUMPRODUCT((COUNTIFS('Recipe Ingredients'!$A$5:$A$1204,'Meal Plan'!$G$5:$G$504,'Recipe Ingredients'!$B$5:$B$1204,C38)&gt;0)*1))</f>
        <v>0</v>
      </c>
      <c r="J38" s="25"/>
    </row>
    <row r="39" spans="1:10">
      <c r="A39" s="7"/>
      <c r="B39" s="7"/>
      <c r="C39" s="7"/>
      <c r="D39" s="7"/>
      <c r="E39" s="27"/>
      <c r="F39" s="27"/>
      <c r="G39" s="8">
        <f>IF(C39="","",COUNTIFS(Ingredients!$A$5:$A$304,C39))</f>
        <v>0</v>
      </c>
      <c r="H39" s="8">
        <f>IF(C39="","",COUNTIFS('Recipe Ingredients'!$B$5:$B$1204,C39))</f>
        <v>0</v>
      </c>
      <c r="I39" s="8">
        <f>IF(C39="","",SUMPRODUCT((COUNTIFS('Recipe Ingredients'!$A$5:$A$1204,'Meal Plan'!$G$5:$G$504,'Recipe Ingredients'!$B$5:$B$1204,C39)&gt;0)*1))</f>
        <v>0</v>
      </c>
      <c r="J39" s="25"/>
    </row>
    <row r="40" spans="1:10">
      <c r="A40" s="7"/>
      <c r="B40" s="7"/>
      <c r="C40" s="7"/>
      <c r="D40" s="7"/>
      <c r="E40" s="27"/>
      <c r="F40" s="27"/>
      <c r="G40" s="8">
        <f>IF(C40="","",COUNTIFS(Ingredients!$A$5:$A$304,C40))</f>
        <v>0</v>
      </c>
      <c r="H40" s="8">
        <f>IF(C40="","",COUNTIFS('Recipe Ingredients'!$B$5:$B$1204,C40))</f>
        <v>0</v>
      </c>
      <c r="I40" s="8">
        <f>IF(C40="","",SUMPRODUCT((COUNTIFS('Recipe Ingredients'!$A$5:$A$1204,'Meal Plan'!$G$5:$G$504,'Recipe Ingredients'!$B$5:$B$1204,C40)&gt;0)*1))</f>
        <v>0</v>
      </c>
      <c r="J40" s="25"/>
    </row>
    <row r="41" spans="1:10">
      <c r="A41" s="7"/>
      <c r="B41" s="7"/>
      <c r="C41" s="7"/>
      <c r="D41" s="7"/>
      <c r="E41" s="27"/>
      <c r="F41" s="27"/>
      <c r="G41" s="8">
        <f>IF(C41="","",COUNTIFS(Ingredients!$A$5:$A$304,C41))</f>
        <v>0</v>
      </c>
      <c r="H41" s="8">
        <f>IF(C41="","",COUNTIFS('Recipe Ingredients'!$B$5:$B$1204,C41))</f>
        <v>0</v>
      </c>
      <c r="I41" s="8">
        <f>IF(C41="","",SUMPRODUCT((COUNTIFS('Recipe Ingredients'!$A$5:$A$1204,'Meal Plan'!$G$5:$G$504,'Recipe Ingredients'!$B$5:$B$1204,C41)&gt;0)*1))</f>
        <v>0</v>
      </c>
      <c r="J41" s="25"/>
    </row>
    <row r="42" spans="1:10">
      <c r="A42" s="7"/>
      <c r="B42" s="7"/>
      <c r="C42" s="7"/>
      <c r="D42" s="7"/>
      <c r="E42" s="27"/>
      <c r="F42" s="27"/>
      <c r="G42" s="8">
        <f>IF(C42="","",COUNTIFS(Ingredients!$A$5:$A$304,C42))</f>
        <v>0</v>
      </c>
      <c r="H42" s="8">
        <f>IF(C42="","",COUNTIFS('Recipe Ingredients'!$B$5:$B$1204,C42))</f>
        <v>0</v>
      </c>
      <c r="I42" s="8">
        <f>IF(C42="","",SUMPRODUCT((COUNTIFS('Recipe Ingredients'!$A$5:$A$1204,'Meal Plan'!$G$5:$G$504,'Recipe Ingredients'!$B$5:$B$1204,C42)&gt;0)*1))</f>
        <v>0</v>
      </c>
      <c r="J42" s="25"/>
    </row>
    <row r="43" spans="1:10">
      <c r="A43" s="7"/>
      <c r="B43" s="7"/>
      <c r="C43" s="7"/>
      <c r="D43" s="7"/>
      <c r="E43" s="27"/>
      <c r="F43" s="27"/>
      <c r="G43" s="8">
        <f>IF(C43="","",COUNTIFS(Ingredients!$A$5:$A$304,C43))</f>
        <v>0</v>
      </c>
      <c r="H43" s="8">
        <f>IF(C43="","",COUNTIFS('Recipe Ingredients'!$B$5:$B$1204,C43))</f>
        <v>0</v>
      </c>
      <c r="I43" s="8">
        <f>IF(C43="","",SUMPRODUCT((COUNTIFS('Recipe Ingredients'!$A$5:$A$1204,'Meal Plan'!$G$5:$G$504,'Recipe Ingredients'!$B$5:$B$1204,C43)&gt;0)*1))</f>
        <v>0</v>
      </c>
      <c r="J43" s="25"/>
    </row>
    <row r="44" spans="1:10">
      <c r="A44" s="7"/>
      <c r="B44" s="7"/>
      <c r="C44" s="7"/>
      <c r="D44" s="7"/>
      <c r="E44" s="27"/>
      <c r="F44" s="27"/>
      <c r="G44" s="8">
        <f>IF(C44="","",COUNTIFS(Ingredients!$A$5:$A$304,C44))</f>
        <v>0</v>
      </c>
      <c r="H44" s="8">
        <f>IF(C44="","",COUNTIFS('Recipe Ingredients'!$B$5:$B$1204,C44))</f>
        <v>0</v>
      </c>
      <c r="I44" s="8">
        <f>IF(C44="","",SUMPRODUCT((COUNTIFS('Recipe Ingredients'!$A$5:$A$1204,'Meal Plan'!$G$5:$G$504,'Recipe Ingredients'!$B$5:$B$1204,C44)&gt;0)*1))</f>
        <v>0</v>
      </c>
      <c r="J44" s="25"/>
    </row>
    <row r="45" spans="1:10">
      <c r="A45" s="7"/>
      <c r="B45" s="7"/>
      <c r="C45" s="7"/>
      <c r="D45" s="7"/>
      <c r="E45" s="27"/>
      <c r="F45" s="27"/>
      <c r="G45" s="8">
        <f>IF(C45="","",COUNTIFS(Ingredients!$A$5:$A$304,C45))</f>
        <v>0</v>
      </c>
      <c r="H45" s="8">
        <f>IF(C45="","",COUNTIFS('Recipe Ingredients'!$B$5:$B$1204,C45))</f>
        <v>0</v>
      </c>
      <c r="I45" s="8">
        <f>IF(C45="","",SUMPRODUCT((COUNTIFS('Recipe Ingredients'!$A$5:$A$1204,'Meal Plan'!$G$5:$G$504,'Recipe Ingredients'!$B$5:$B$1204,C45)&gt;0)*1))</f>
        <v>0</v>
      </c>
      <c r="J45" s="25"/>
    </row>
    <row r="46" spans="1:10">
      <c r="A46" s="7"/>
      <c r="B46" s="7"/>
      <c r="C46" s="7"/>
      <c r="D46" s="7"/>
      <c r="E46" s="27"/>
      <c r="F46" s="27"/>
      <c r="G46" s="8">
        <f>IF(C46="","",COUNTIFS(Ingredients!$A$5:$A$304,C46))</f>
        <v>0</v>
      </c>
      <c r="H46" s="8">
        <f>IF(C46="","",COUNTIFS('Recipe Ingredients'!$B$5:$B$1204,C46))</f>
        <v>0</v>
      </c>
      <c r="I46" s="8">
        <f>IF(C46="","",SUMPRODUCT((COUNTIFS('Recipe Ingredients'!$A$5:$A$1204,'Meal Plan'!$G$5:$G$504,'Recipe Ingredients'!$B$5:$B$1204,C46)&gt;0)*1))</f>
        <v>0</v>
      </c>
      <c r="J46" s="25"/>
    </row>
    <row r="47" spans="1:10">
      <c r="A47" s="7"/>
      <c r="B47" s="7"/>
      <c r="C47" s="7"/>
      <c r="D47" s="7"/>
      <c r="E47" s="27"/>
      <c r="F47" s="27"/>
      <c r="G47" s="8">
        <f>IF(C47="","",COUNTIFS(Ingredients!$A$5:$A$304,C47))</f>
        <v>0</v>
      </c>
      <c r="H47" s="8">
        <f>IF(C47="","",COUNTIFS('Recipe Ingredients'!$B$5:$B$1204,C47))</f>
        <v>0</v>
      </c>
      <c r="I47" s="8">
        <f>IF(C47="","",SUMPRODUCT((COUNTIFS('Recipe Ingredients'!$A$5:$A$1204,'Meal Plan'!$G$5:$G$504,'Recipe Ingredients'!$B$5:$B$1204,C47)&gt;0)*1))</f>
        <v>0</v>
      </c>
      <c r="J47" s="25"/>
    </row>
    <row r="48" spans="1:10">
      <c r="A48" s="7"/>
      <c r="B48" s="7"/>
      <c r="C48" s="7"/>
      <c r="D48" s="7"/>
      <c r="E48" s="27"/>
      <c r="F48" s="27"/>
      <c r="G48" s="8">
        <f>IF(C48="","",COUNTIFS(Ingredients!$A$5:$A$304,C48))</f>
        <v>0</v>
      </c>
      <c r="H48" s="8">
        <f>IF(C48="","",COUNTIFS('Recipe Ingredients'!$B$5:$B$1204,C48))</f>
        <v>0</v>
      </c>
      <c r="I48" s="8">
        <f>IF(C48="","",SUMPRODUCT((COUNTIFS('Recipe Ingredients'!$A$5:$A$1204,'Meal Plan'!$G$5:$G$504,'Recipe Ingredients'!$B$5:$B$1204,C48)&gt;0)*1))</f>
        <v>0</v>
      </c>
      <c r="J48" s="25"/>
    </row>
    <row r="49" spans="1:10">
      <c r="A49" s="7"/>
      <c r="B49" s="7"/>
      <c r="C49" s="7"/>
      <c r="D49" s="7"/>
      <c r="E49" s="27"/>
      <c r="F49" s="27"/>
      <c r="G49" s="8">
        <f>IF(C49="","",COUNTIFS(Ingredients!$A$5:$A$304,C49))</f>
        <v>0</v>
      </c>
      <c r="H49" s="8">
        <f>IF(C49="","",COUNTIFS('Recipe Ingredients'!$B$5:$B$1204,C49))</f>
        <v>0</v>
      </c>
      <c r="I49" s="8">
        <f>IF(C49="","",SUMPRODUCT((COUNTIFS('Recipe Ingredients'!$A$5:$A$1204,'Meal Plan'!$G$5:$G$504,'Recipe Ingredients'!$B$5:$B$1204,C49)&gt;0)*1))</f>
        <v>0</v>
      </c>
      <c r="J49" s="25"/>
    </row>
    <row r="50" spans="1:10">
      <c r="A50" s="7"/>
      <c r="B50" s="7"/>
      <c r="C50" s="7"/>
      <c r="D50" s="7"/>
      <c r="E50" s="27"/>
      <c r="F50" s="27"/>
      <c r="G50" s="8">
        <f>IF(C50="","",COUNTIFS(Ingredients!$A$5:$A$304,C50))</f>
        <v>0</v>
      </c>
      <c r="H50" s="8">
        <f>IF(C50="","",COUNTIFS('Recipe Ingredients'!$B$5:$B$1204,C50))</f>
        <v>0</v>
      </c>
      <c r="I50" s="8">
        <f>IF(C50="","",SUMPRODUCT((COUNTIFS('Recipe Ingredients'!$A$5:$A$1204,'Meal Plan'!$G$5:$G$504,'Recipe Ingredients'!$B$5:$B$1204,C50)&gt;0)*1))</f>
        <v>0</v>
      </c>
      <c r="J50" s="25"/>
    </row>
    <row r="51" spans="1:10">
      <c r="A51" s="7"/>
      <c r="B51" s="7"/>
      <c r="C51" s="7"/>
      <c r="D51" s="7"/>
      <c r="E51" s="27"/>
      <c r="F51" s="27"/>
      <c r="G51" s="8">
        <f>IF(C51="","",COUNTIFS(Ingredients!$A$5:$A$304,C51))</f>
        <v>0</v>
      </c>
      <c r="H51" s="8">
        <f>IF(C51="","",COUNTIFS('Recipe Ingredients'!$B$5:$B$1204,C51))</f>
        <v>0</v>
      </c>
      <c r="I51" s="8">
        <f>IF(C51="","",SUMPRODUCT((COUNTIFS('Recipe Ingredients'!$A$5:$A$1204,'Meal Plan'!$G$5:$G$504,'Recipe Ingredients'!$B$5:$B$1204,C51)&gt;0)*1))</f>
        <v>0</v>
      </c>
      <c r="J51" s="25"/>
    </row>
    <row r="52" spans="1:10">
      <c r="A52" s="7"/>
      <c r="B52" s="7"/>
      <c r="C52" s="7"/>
      <c r="D52" s="7"/>
      <c r="E52" s="27"/>
      <c r="F52" s="27"/>
      <c r="G52" s="8">
        <f>IF(C52="","",COUNTIFS(Ingredients!$A$5:$A$304,C52))</f>
        <v>0</v>
      </c>
      <c r="H52" s="8">
        <f>IF(C52="","",COUNTIFS('Recipe Ingredients'!$B$5:$B$1204,C52))</f>
        <v>0</v>
      </c>
      <c r="I52" s="8">
        <f>IF(C52="","",SUMPRODUCT((COUNTIFS('Recipe Ingredients'!$A$5:$A$1204,'Meal Plan'!$G$5:$G$504,'Recipe Ingredients'!$B$5:$B$1204,C52)&gt;0)*1))</f>
        <v>0</v>
      </c>
      <c r="J52" s="25"/>
    </row>
    <row r="53" spans="1:10">
      <c r="A53" s="7"/>
      <c r="B53" s="7"/>
      <c r="C53" s="7"/>
      <c r="D53" s="7"/>
      <c r="E53" s="27"/>
      <c r="F53" s="27"/>
      <c r="G53" s="8">
        <f>IF(C53="","",COUNTIFS(Ingredients!$A$5:$A$304,C53))</f>
        <v>0</v>
      </c>
      <c r="H53" s="8">
        <f>IF(C53="","",COUNTIFS('Recipe Ingredients'!$B$5:$B$1204,C53))</f>
        <v>0</v>
      </c>
      <c r="I53" s="8">
        <f>IF(C53="","",SUMPRODUCT((COUNTIFS('Recipe Ingredients'!$A$5:$A$1204,'Meal Plan'!$G$5:$G$504,'Recipe Ingredients'!$B$5:$B$1204,C53)&gt;0)*1))</f>
        <v>0</v>
      </c>
      <c r="J53" s="25"/>
    </row>
    <row r="54" spans="1:10">
      <c r="A54" s="7"/>
      <c r="B54" s="7"/>
      <c r="C54" s="7"/>
      <c r="D54" s="7"/>
      <c r="E54" s="27"/>
      <c r="F54" s="27"/>
      <c r="G54" s="8">
        <f>IF(C54="","",COUNTIFS(Ingredients!$A$5:$A$304,C54))</f>
        <v>0</v>
      </c>
      <c r="H54" s="8">
        <f>IF(C54="","",COUNTIFS('Recipe Ingredients'!$B$5:$B$1204,C54))</f>
        <v>0</v>
      </c>
      <c r="I54" s="8">
        <f>IF(C54="","",SUMPRODUCT((COUNTIFS('Recipe Ingredients'!$A$5:$A$1204,'Meal Plan'!$G$5:$G$504,'Recipe Ingredients'!$B$5:$B$1204,C54)&gt;0)*1))</f>
        <v>0</v>
      </c>
      <c r="J54" s="25"/>
    </row>
    <row r="55" spans="1:10">
      <c r="A55" s="7"/>
      <c r="B55" s="7"/>
      <c r="C55" s="7"/>
      <c r="D55" s="7"/>
      <c r="E55" s="27"/>
      <c r="F55" s="27"/>
      <c r="G55" s="8">
        <f>IF(C55="","",COUNTIFS(Ingredients!$A$5:$A$304,C55))</f>
        <v>0</v>
      </c>
      <c r="H55" s="8">
        <f>IF(C55="","",COUNTIFS('Recipe Ingredients'!$B$5:$B$1204,C55))</f>
        <v>0</v>
      </c>
      <c r="I55" s="8">
        <f>IF(C55="","",SUMPRODUCT((COUNTIFS('Recipe Ingredients'!$A$5:$A$1204,'Meal Plan'!$G$5:$G$504,'Recipe Ingredients'!$B$5:$B$1204,C55)&gt;0)*1))</f>
        <v>0</v>
      </c>
      <c r="J55" s="25"/>
    </row>
    <row r="56" spans="1:10">
      <c r="A56" s="7"/>
      <c r="B56" s="7"/>
      <c r="C56" s="7"/>
      <c r="D56" s="7"/>
      <c r="E56" s="27"/>
      <c r="F56" s="27"/>
      <c r="G56" s="8">
        <f>IF(C56="","",COUNTIFS(Ingredients!$A$5:$A$304,C56))</f>
        <v>0</v>
      </c>
      <c r="H56" s="8">
        <f>IF(C56="","",COUNTIFS('Recipe Ingredients'!$B$5:$B$1204,C56))</f>
        <v>0</v>
      </c>
      <c r="I56" s="8">
        <f>IF(C56="","",SUMPRODUCT((COUNTIFS('Recipe Ingredients'!$A$5:$A$1204,'Meal Plan'!$G$5:$G$504,'Recipe Ingredients'!$B$5:$B$1204,C56)&gt;0)*1))</f>
        <v>0</v>
      </c>
      <c r="J56" s="25"/>
    </row>
    <row r="57" spans="1:10">
      <c r="A57" s="7"/>
      <c r="B57" s="7"/>
      <c r="C57" s="7"/>
      <c r="D57" s="7"/>
      <c r="E57" s="27"/>
      <c r="F57" s="27"/>
      <c r="G57" s="8">
        <f>IF(C57="","",COUNTIFS(Ingredients!$A$5:$A$304,C57))</f>
        <v>0</v>
      </c>
      <c r="H57" s="8">
        <f>IF(C57="","",COUNTIFS('Recipe Ingredients'!$B$5:$B$1204,C57))</f>
        <v>0</v>
      </c>
      <c r="I57" s="8">
        <f>IF(C57="","",SUMPRODUCT((COUNTIFS('Recipe Ingredients'!$A$5:$A$1204,'Meal Plan'!$G$5:$G$504,'Recipe Ingredients'!$B$5:$B$1204,C57)&gt;0)*1))</f>
        <v>0</v>
      </c>
      <c r="J57" s="25"/>
    </row>
    <row r="58" spans="1:10">
      <c r="A58" s="7"/>
      <c r="B58" s="7"/>
      <c r="C58" s="7"/>
      <c r="D58" s="7"/>
      <c r="E58" s="27"/>
      <c r="F58" s="27"/>
      <c r="G58" s="8">
        <f>IF(C58="","",COUNTIFS(Ingredients!$A$5:$A$304,C58))</f>
        <v>0</v>
      </c>
      <c r="H58" s="8">
        <f>IF(C58="","",COUNTIFS('Recipe Ingredients'!$B$5:$B$1204,C58))</f>
        <v>0</v>
      </c>
      <c r="I58" s="8">
        <f>IF(C58="","",SUMPRODUCT((COUNTIFS('Recipe Ingredients'!$A$5:$A$1204,'Meal Plan'!$G$5:$G$504,'Recipe Ingredients'!$B$5:$B$1204,C58)&gt;0)*1))</f>
        <v>0</v>
      </c>
      <c r="J58" s="25"/>
    </row>
    <row r="59" spans="1:10">
      <c r="A59" s="7"/>
      <c r="B59" s="7"/>
      <c r="C59" s="7"/>
      <c r="D59" s="7"/>
      <c r="E59" s="27"/>
      <c r="F59" s="27"/>
      <c r="G59" s="8">
        <f>IF(C59="","",COUNTIFS(Ingredients!$A$5:$A$304,C59))</f>
        <v>0</v>
      </c>
      <c r="H59" s="8">
        <f>IF(C59="","",COUNTIFS('Recipe Ingredients'!$B$5:$B$1204,C59))</f>
        <v>0</v>
      </c>
      <c r="I59" s="8">
        <f>IF(C59="","",SUMPRODUCT((COUNTIFS('Recipe Ingredients'!$A$5:$A$1204,'Meal Plan'!$G$5:$G$504,'Recipe Ingredients'!$B$5:$B$1204,C59)&gt;0)*1))</f>
        <v>0</v>
      </c>
      <c r="J59" s="25"/>
    </row>
    <row r="60" spans="1:10">
      <c r="A60" s="7"/>
      <c r="B60" s="7"/>
      <c r="C60" s="7"/>
      <c r="D60" s="7"/>
      <c r="E60" s="27"/>
      <c r="F60" s="27"/>
      <c r="G60" s="8">
        <f>IF(C60="","",COUNTIFS(Ingredients!$A$5:$A$304,C60))</f>
        <v>0</v>
      </c>
      <c r="H60" s="8">
        <f>IF(C60="","",COUNTIFS('Recipe Ingredients'!$B$5:$B$1204,C60))</f>
        <v>0</v>
      </c>
      <c r="I60" s="8">
        <f>IF(C60="","",SUMPRODUCT((COUNTIFS('Recipe Ingredients'!$A$5:$A$1204,'Meal Plan'!$G$5:$G$504,'Recipe Ingredients'!$B$5:$B$1204,C60)&gt;0)*1))</f>
        <v>0</v>
      </c>
      <c r="J60" s="25"/>
    </row>
    <row r="61" spans="1:10">
      <c r="A61" s="7"/>
      <c r="B61" s="7"/>
      <c r="C61" s="7"/>
      <c r="D61" s="7"/>
      <c r="E61" s="27"/>
      <c r="F61" s="27"/>
      <c r="G61" s="8">
        <f>IF(C61="","",COUNTIFS(Ingredients!$A$5:$A$304,C61))</f>
        <v>0</v>
      </c>
      <c r="H61" s="8">
        <f>IF(C61="","",COUNTIFS('Recipe Ingredients'!$B$5:$B$1204,C61))</f>
        <v>0</v>
      </c>
      <c r="I61" s="8">
        <f>IF(C61="","",SUMPRODUCT((COUNTIFS('Recipe Ingredients'!$A$5:$A$1204,'Meal Plan'!$G$5:$G$504,'Recipe Ingredients'!$B$5:$B$1204,C61)&gt;0)*1))</f>
        <v>0</v>
      </c>
      <c r="J61" s="25"/>
    </row>
    <row r="62" spans="1:10">
      <c r="A62" s="7"/>
      <c r="B62" s="7"/>
      <c r="C62" s="7"/>
      <c r="D62" s="7"/>
      <c r="E62" s="27"/>
      <c r="F62" s="27"/>
      <c r="G62" s="8">
        <f>IF(C62="","",COUNTIFS(Ingredients!$A$5:$A$304,C62))</f>
        <v>0</v>
      </c>
      <c r="H62" s="8">
        <f>IF(C62="","",COUNTIFS('Recipe Ingredients'!$B$5:$B$1204,C62))</f>
        <v>0</v>
      </c>
      <c r="I62" s="8">
        <f>IF(C62="","",SUMPRODUCT((COUNTIFS('Recipe Ingredients'!$A$5:$A$1204,'Meal Plan'!$G$5:$G$504,'Recipe Ingredients'!$B$5:$B$1204,C62)&gt;0)*1))</f>
        <v>0</v>
      </c>
      <c r="J62" s="25"/>
    </row>
    <row r="63" spans="1:10">
      <c r="A63" s="7"/>
      <c r="B63" s="7"/>
      <c r="C63" s="7"/>
      <c r="D63" s="7"/>
      <c r="E63" s="27"/>
      <c r="F63" s="27"/>
      <c r="G63" s="8">
        <f>IF(C63="","",COUNTIFS(Ingredients!$A$5:$A$304,C63))</f>
        <v>0</v>
      </c>
      <c r="H63" s="8">
        <f>IF(C63="","",COUNTIFS('Recipe Ingredients'!$B$5:$B$1204,C63))</f>
        <v>0</v>
      </c>
      <c r="I63" s="8">
        <f>IF(C63="","",SUMPRODUCT((COUNTIFS('Recipe Ingredients'!$A$5:$A$1204,'Meal Plan'!$G$5:$G$504,'Recipe Ingredients'!$B$5:$B$1204,C63)&gt;0)*1))</f>
        <v>0</v>
      </c>
      <c r="J63" s="25"/>
    </row>
    <row r="64" spans="1:10">
      <c r="A64" s="7"/>
      <c r="B64" s="7"/>
      <c r="C64" s="7"/>
      <c r="D64" s="7"/>
      <c r="E64" s="27"/>
      <c r="F64" s="27"/>
      <c r="G64" s="8">
        <f>IF(C64="","",COUNTIFS(Ingredients!$A$5:$A$304,C64))</f>
        <v>0</v>
      </c>
      <c r="H64" s="8">
        <f>IF(C64="","",COUNTIFS('Recipe Ingredients'!$B$5:$B$1204,C64))</f>
        <v>0</v>
      </c>
      <c r="I64" s="8">
        <f>IF(C64="","",SUMPRODUCT((COUNTIFS('Recipe Ingredients'!$A$5:$A$1204,'Meal Plan'!$G$5:$G$504,'Recipe Ingredients'!$B$5:$B$1204,C64)&gt;0)*1))</f>
        <v>0</v>
      </c>
      <c r="J64" s="25"/>
    </row>
    <row r="65" spans="1:10">
      <c r="A65" s="7"/>
      <c r="B65" s="7"/>
      <c r="C65" s="7"/>
      <c r="D65" s="7"/>
      <c r="E65" s="27"/>
      <c r="F65" s="27"/>
      <c r="G65" s="8">
        <f>IF(C65="","",COUNTIFS(Ingredients!$A$5:$A$304,C65))</f>
        <v>0</v>
      </c>
      <c r="H65" s="8">
        <f>IF(C65="","",COUNTIFS('Recipe Ingredients'!$B$5:$B$1204,C65))</f>
        <v>0</v>
      </c>
      <c r="I65" s="8">
        <f>IF(C65="","",SUMPRODUCT((COUNTIFS('Recipe Ingredients'!$A$5:$A$1204,'Meal Plan'!$G$5:$G$504,'Recipe Ingredients'!$B$5:$B$1204,C65)&gt;0)*1))</f>
        <v>0</v>
      </c>
      <c r="J65" s="25"/>
    </row>
    <row r="66" spans="1:10">
      <c r="A66" s="7"/>
      <c r="B66" s="7"/>
      <c r="C66" s="7"/>
      <c r="D66" s="7"/>
      <c r="E66" s="27"/>
      <c r="F66" s="27"/>
      <c r="G66" s="8">
        <f>IF(C66="","",COUNTIFS(Ingredients!$A$5:$A$304,C66))</f>
        <v>0</v>
      </c>
      <c r="H66" s="8">
        <f>IF(C66="","",COUNTIFS('Recipe Ingredients'!$B$5:$B$1204,C66))</f>
        <v>0</v>
      </c>
      <c r="I66" s="8">
        <f>IF(C66="","",SUMPRODUCT((COUNTIFS('Recipe Ingredients'!$A$5:$A$1204,'Meal Plan'!$G$5:$G$504,'Recipe Ingredients'!$B$5:$B$1204,C66)&gt;0)*1))</f>
        <v>0</v>
      </c>
      <c r="J66" s="25"/>
    </row>
    <row r="67" spans="1:10">
      <c r="A67" s="7"/>
      <c r="B67" s="7"/>
      <c r="C67" s="7"/>
      <c r="D67" s="7"/>
      <c r="E67" s="27"/>
      <c r="F67" s="27"/>
      <c r="G67" s="8">
        <f>IF(C67="","",COUNTIFS(Ingredients!$A$5:$A$304,C67))</f>
        <v>0</v>
      </c>
      <c r="H67" s="8">
        <f>IF(C67="","",COUNTIFS('Recipe Ingredients'!$B$5:$B$1204,C67))</f>
        <v>0</v>
      </c>
      <c r="I67" s="8">
        <f>IF(C67="","",SUMPRODUCT((COUNTIFS('Recipe Ingredients'!$A$5:$A$1204,'Meal Plan'!$G$5:$G$504,'Recipe Ingredients'!$B$5:$B$1204,C67)&gt;0)*1))</f>
        <v>0</v>
      </c>
      <c r="J67" s="25"/>
    </row>
    <row r="68" spans="1:10">
      <c r="A68" s="7"/>
      <c r="B68" s="7"/>
      <c r="C68" s="7"/>
      <c r="D68" s="7"/>
      <c r="E68" s="27"/>
      <c r="F68" s="27"/>
      <c r="G68" s="8">
        <f>IF(C68="","",COUNTIFS(Ingredients!$A$5:$A$304,C68))</f>
        <v>0</v>
      </c>
      <c r="H68" s="8">
        <f>IF(C68="","",COUNTIFS('Recipe Ingredients'!$B$5:$B$1204,C68))</f>
        <v>0</v>
      </c>
      <c r="I68" s="8">
        <f>IF(C68="","",SUMPRODUCT((COUNTIFS('Recipe Ingredients'!$A$5:$A$1204,'Meal Plan'!$G$5:$G$504,'Recipe Ingredients'!$B$5:$B$1204,C68)&gt;0)*1))</f>
        <v>0</v>
      </c>
      <c r="J68" s="25"/>
    </row>
    <row r="69" spans="1:10">
      <c r="A69" s="7"/>
      <c r="B69" s="7"/>
      <c r="C69" s="7"/>
      <c r="D69" s="7"/>
      <c r="E69" s="27"/>
      <c r="F69" s="27"/>
      <c r="G69" s="8">
        <f>IF(C69="","",COUNTIFS(Ingredients!$A$5:$A$304,C69))</f>
        <v>0</v>
      </c>
      <c r="H69" s="8">
        <f>IF(C69="","",COUNTIFS('Recipe Ingredients'!$B$5:$B$1204,C69))</f>
        <v>0</v>
      </c>
      <c r="I69" s="8">
        <f>IF(C69="","",SUMPRODUCT((COUNTIFS('Recipe Ingredients'!$A$5:$A$1204,'Meal Plan'!$G$5:$G$504,'Recipe Ingredients'!$B$5:$B$1204,C69)&gt;0)*1))</f>
        <v>0</v>
      </c>
      <c r="J69" s="25"/>
    </row>
    <row r="70" spans="1:10">
      <c r="A70" s="7"/>
      <c r="B70" s="7"/>
      <c r="C70" s="7"/>
      <c r="D70" s="7"/>
      <c r="E70" s="27"/>
      <c r="F70" s="27"/>
      <c r="G70" s="8">
        <f>IF(C70="","",COUNTIFS(Ingredients!$A$5:$A$304,C70))</f>
        <v>0</v>
      </c>
      <c r="H70" s="8">
        <f>IF(C70="","",COUNTIFS('Recipe Ingredients'!$B$5:$B$1204,C70))</f>
        <v>0</v>
      </c>
      <c r="I70" s="8">
        <f>IF(C70="","",SUMPRODUCT((COUNTIFS('Recipe Ingredients'!$A$5:$A$1204,'Meal Plan'!$G$5:$G$504,'Recipe Ingredients'!$B$5:$B$1204,C70)&gt;0)*1))</f>
        <v>0</v>
      </c>
      <c r="J70" s="25"/>
    </row>
    <row r="71" spans="1:10">
      <c r="A71" s="7"/>
      <c r="B71" s="7"/>
      <c r="C71" s="7"/>
      <c r="D71" s="7"/>
      <c r="E71" s="27"/>
      <c r="F71" s="27"/>
      <c r="G71" s="8">
        <f>IF(C71="","",COUNTIFS(Ingredients!$A$5:$A$304,C71))</f>
        <v>0</v>
      </c>
      <c r="H71" s="8">
        <f>IF(C71="","",COUNTIFS('Recipe Ingredients'!$B$5:$B$1204,C71))</f>
        <v>0</v>
      </c>
      <c r="I71" s="8">
        <f>IF(C71="","",SUMPRODUCT((COUNTIFS('Recipe Ingredients'!$A$5:$A$1204,'Meal Plan'!$G$5:$G$504,'Recipe Ingredients'!$B$5:$B$1204,C71)&gt;0)*1))</f>
        <v>0</v>
      </c>
      <c r="J71" s="25"/>
    </row>
    <row r="72" spans="1:10">
      <c r="A72" s="7"/>
      <c r="B72" s="7"/>
      <c r="C72" s="7"/>
      <c r="D72" s="7"/>
      <c r="E72" s="27"/>
      <c r="F72" s="27"/>
      <c r="G72" s="8">
        <f>IF(C72="","",COUNTIFS(Ingredients!$A$5:$A$304,C72))</f>
        <v>0</v>
      </c>
      <c r="H72" s="8">
        <f>IF(C72="","",COUNTIFS('Recipe Ingredients'!$B$5:$B$1204,C72))</f>
        <v>0</v>
      </c>
      <c r="I72" s="8">
        <f>IF(C72="","",SUMPRODUCT((COUNTIFS('Recipe Ingredients'!$A$5:$A$1204,'Meal Plan'!$G$5:$G$504,'Recipe Ingredients'!$B$5:$B$1204,C72)&gt;0)*1))</f>
        <v>0</v>
      </c>
      <c r="J72" s="25"/>
    </row>
    <row r="73" spans="1:10">
      <c r="A73" s="7"/>
      <c r="B73" s="7"/>
      <c r="C73" s="7"/>
      <c r="D73" s="7"/>
      <c r="E73" s="27"/>
      <c r="F73" s="27"/>
      <c r="G73" s="8">
        <f>IF(C73="","",COUNTIFS(Ingredients!$A$5:$A$304,C73))</f>
        <v>0</v>
      </c>
      <c r="H73" s="8">
        <f>IF(C73="","",COUNTIFS('Recipe Ingredients'!$B$5:$B$1204,C73))</f>
        <v>0</v>
      </c>
      <c r="I73" s="8">
        <f>IF(C73="","",SUMPRODUCT((COUNTIFS('Recipe Ingredients'!$A$5:$A$1204,'Meal Plan'!$G$5:$G$504,'Recipe Ingredients'!$B$5:$B$1204,C73)&gt;0)*1))</f>
        <v>0</v>
      </c>
      <c r="J73" s="25"/>
    </row>
    <row r="74" spans="1:10">
      <c r="A74" s="7"/>
      <c r="B74" s="7"/>
      <c r="C74" s="7"/>
      <c r="D74" s="7"/>
      <c r="E74" s="27"/>
      <c r="F74" s="27"/>
      <c r="G74" s="8">
        <f>IF(C74="","",COUNTIFS(Ingredients!$A$5:$A$304,C74))</f>
        <v>0</v>
      </c>
      <c r="H74" s="8">
        <f>IF(C74="","",COUNTIFS('Recipe Ingredients'!$B$5:$B$1204,C74))</f>
        <v>0</v>
      </c>
      <c r="I74" s="8">
        <f>IF(C74="","",SUMPRODUCT((COUNTIFS('Recipe Ingredients'!$A$5:$A$1204,'Meal Plan'!$G$5:$G$504,'Recipe Ingredients'!$B$5:$B$1204,C74)&gt;0)*1))</f>
        <v>0</v>
      </c>
      <c r="J74" s="25"/>
    </row>
    <row r="75" spans="1:10">
      <c r="A75" s="7"/>
      <c r="B75" s="7"/>
      <c r="C75" s="7"/>
      <c r="D75" s="7"/>
      <c r="E75" s="27"/>
      <c r="F75" s="27"/>
      <c r="G75" s="8">
        <f>IF(C75="","",COUNTIFS(Ingredients!$A$5:$A$304,C75))</f>
        <v>0</v>
      </c>
      <c r="H75" s="8">
        <f>IF(C75="","",COUNTIFS('Recipe Ingredients'!$B$5:$B$1204,C75))</f>
        <v>0</v>
      </c>
      <c r="I75" s="8">
        <f>IF(C75="","",SUMPRODUCT((COUNTIFS('Recipe Ingredients'!$A$5:$A$1204,'Meal Plan'!$G$5:$G$504,'Recipe Ingredients'!$B$5:$B$1204,C75)&gt;0)*1))</f>
        <v>0</v>
      </c>
      <c r="J75" s="25"/>
    </row>
    <row r="76" spans="1:10">
      <c r="A76" s="7"/>
      <c r="B76" s="7"/>
      <c r="C76" s="7"/>
      <c r="D76" s="7"/>
      <c r="E76" s="27"/>
      <c r="F76" s="27"/>
      <c r="G76" s="8">
        <f>IF(C76="","",COUNTIFS(Ingredients!$A$5:$A$304,C76))</f>
        <v>0</v>
      </c>
      <c r="H76" s="8">
        <f>IF(C76="","",COUNTIFS('Recipe Ingredients'!$B$5:$B$1204,C76))</f>
        <v>0</v>
      </c>
      <c r="I76" s="8">
        <f>IF(C76="","",SUMPRODUCT((COUNTIFS('Recipe Ingredients'!$A$5:$A$1204,'Meal Plan'!$G$5:$G$504,'Recipe Ingredients'!$B$5:$B$1204,C76)&gt;0)*1))</f>
        <v>0</v>
      </c>
      <c r="J76" s="25"/>
    </row>
    <row r="77" spans="1:10">
      <c r="A77" s="7"/>
      <c r="B77" s="7"/>
      <c r="C77" s="7"/>
      <c r="D77" s="7"/>
      <c r="E77" s="27"/>
      <c r="F77" s="27"/>
      <c r="G77" s="8">
        <f>IF(C77="","",COUNTIFS(Ingredients!$A$5:$A$304,C77))</f>
        <v>0</v>
      </c>
      <c r="H77" s="8">
        <f>IF(C77="","",COUNTIFS('Recipe Ingredients'!$B$5:$B$1204,C77))</f>
        <v>0</v>
      </c>
      <c r="I77" s="8">
        <f>IF(C77="","",SUMPRODUCT((COUNTIFS('Recipe Ingredients'!$A$5:$A$1204,'Meal Plan'!$G$5:$G$504,'Recipe Ingredients'!$B$5:$B$1204,C77)&gt;0)*1))</f>
        <v>0</v>
      </c>
      <c r="J77" s="25"/>
    </row>
    <row r="78" spans="1:10">
      <c r="A78" s="7"/>
      <c r="B78" s="7"/>
      <c r="C78" s="7"/>
      <c r="D78" s="7"/>
      <c r="E78" s="27"/>
      <c r="F78" s="27"/>
      <c r="G78" s="8">
        <f>IF(C78="","",COUNTIFS(Ingredients!$A$5:$A$304,C78))</f>
        <v>0</v>
      </c>
      <c r="H78" s="8">
        <f>IF(C78="","",COUNTIFS('Recipe Ingredients'!$B$5:$B$1204,C78))</f>
        <v>0</v>
      </c>
      <c r="I78" s="8">
        <f>IF(C78="","",SUMPRODUCT((COUNTIFS('Recipe Ingredients'!$A$5:$A$1204,'Meal Plan'!$G$5:$G$504,'Recipe Ingredients'!$B$5:$B$1204,C78)&gt;0)*1))</f>
        <v>0</v>
      </c>
      <c r="J78" s="25"/>
    </row>
    <row r="79" spans="1:10">
      <c r="A79" s="7"/>
      <c r="B79" s="7"/>
      <c r="C79" s="7"/>
      <c r="D79" s="7"/>
      <c r="E79" s="27"/>
      <c r="F79" s="27"/>
      <c r="G79" s="8">
        <f>IF(C79="","",COUNTIFS(Ingredients!$A$5:$A$304,C79))</f>
        <v>0</v>
      </c>
      <c r="H79" s="8">
        <f>IF(C79="","",COUNTIFS('Recipe Ingredients'!$B$5:$B$1204,C79))</f>
        <v>0</v>
      </c>
      <c r="I79" s="8">
        <f>IF(C79="","",SUMPRODUCT((COUNTIFS('Recipe Ingredients'!$A$5:$A$1204,'Meal Plan'!$G$5:$G$504,'Recipe Ingredients'!$B$5:$B$1204,C79)&gt;0)*1))</f>
        <v>0</v>
      </c>
      <c r="J79" s="25"/>
    </row>
    <row r="80" spans="1:10">
      <c r="A80" s="7"/>
      <c r="B80" s="7"/>
      <c r="C80" s="7"/>
      <c r="D80" s="7"/>
      <c r="E80" s="27"/>
      <c r="F80" s="27"/>
      <c r="G80" s="8">
        <f>IF(C80="","",COUNTIFS(Ingredients!$A$5:$A$304,C80))</f>
        <v>0</v>
      </c>
      <c r="H80" s="8">
        <f>IF(C80="","",COUNTIFS('Recipe Ingredients'!$B$5:$B$1204,C80))</f>
        <v>0</v>
      </c>
      <c r="I80" s="8">
        <f>IF(C80="","",SUMPRODUCT((COUNTIFS('Recipe Ingredients'!$A$5:$A$1204,'Meal Plan'!$G$5:$G$504,'Recipe Ingredients'!$B$5:$B$1204,C80)&gt;0)*1))</f>
        <v>0</v>
      </c>
      <c r="J80" s="25"/>
    </row>
    <row r="81" spans="1:10">
      <c r="A81" s="7"/>
      <c r="B81" s="7"/>
      <c r="C81" s="7"/>
      <c r="D81" s="7"/>
      <c r="E81" s="27"/>
      <c r="F81" s="27"/>
      <c r="G81" s="8">
        <f>IF(C81="","",COUNTIFS(Ingredients!$A$5:$A$304,C81))</f>
        <v>0</v>
      </c>
      <c r="H81" s="8">
        <f>IF(C81="","",COUNTIFS('Recipe Ingredients'!$B$5:$B$1204,C81))</f>
        <v>0</v>
      </c>
      <c r="I81" s="8">
        <f>IF(C81="","",SUMPRODUCT((COUNTIFS('Recipe Ingredients'!$A$5:$A$1204,'Meal Plan'!$G$5:$G$504,'Recipe Ingredients'!$B$5:$B$1204,C81)&gt;0)*1))</f>
        <v>0</v>
      </c>
      <c r="J81" s="25"/>
    </row>
    <row r="82" spans="1:10">
      <c r="A82" s="7"/>
      <c r="B82" s="7"/>
      <c r="C82" s="7"/>
      <c r="D82" s="7"/>
      <c r="E82" s="27"/>
      <c r="F82" s="27"/>
      <c r="G82" s="8">
        <f>IF(C82="","",COUNTIFS(Ingredients!$A$5:$A$304,C82))</f>
        <v>0</v>
      </c>
      <c r="H82" s="8">
        <f>IF(C82="","",COUNTIFS('Recipe Ingredients'!$B$5:$B$1204,C82))</f>
        <v>0</v>
      </c>
      <c r="I82" s="8">
        <f>IF(C82="","",SUMPRODUCT((COUNTIFS('Recipe Ingredients'!$A$5:$A$1204,'Meal Plan'!$G$5:$G$504,'Recipe Ingredients'!$B$5:$B$1204,C82)&gt;0)*1))</f>
        <v>0</v>
      </c>
      <c r="J82" s="25"/>
    </row>
    <row r="83" spans="1:10">
      <c r="A83" s="7"/>
      <c r="B83" s="7"/>
      <c r="C83" s="7"/>
      <c r="D83" s="7"/>
      <c r="E83" s="27"/>
      <c r="F83" s="27"/>
      <c r="G83" s="8">
        <f>IF(C83="","",COUNTIFS(Ingredients!$A$5:$A$304,C83))</f>
        <v>0</v>
      </c>
      <c r="H83" s="8">
        <f>IF(C83="","",COUNTIFS('Recipe Ingredients'!$B$5:$B$1204,C83))</f>
        <v>0</v>
      </c>
      <c r="I83" s="8">
        <f>IF(C83="","",SUMPRODUCT((COUNTIFS('Recipe Ingredients'!$A$5:$A$1204,'Meal Plan'!$G$5:$G$504,'Recipe Ingredients'!$B$5:$B$1204,C83)&gt;0)*1))</f>
        <v>0</v>
      </c>
      <c r="J83" s="25"/>
    </row>
    <row r="84" spans="1:10">
      <c r="A84" s="7"/>
      <c r="B84" s="7"/>
      <c r="C84" s="7"/>
      <c r="D84" s="7"/>
      <c r="E84" s="27"/>
      <c r="F84" s="27"/>
      <c r="G84" s="8">
        <f>IF(C84="","",COUNTIFS(Ingredients!$A$5:$A$304,C84))</f>
        <v>0</v>
      </c>
      <c r="H84" s="8">
        <f>IF(C84="","",COUNTIFS('Recipe Ingredients'!$B$5:$B$1204,C84))</f>
        <v>0</v>
      </c>
      <c r="I84" s="8">
        <f>IF(C84="","",SUMPRODUCT((COUNTIFS('Recipe Ingredients'!$A$5:$A$1204,'Meal Plan'!$G$5:$G$504,'Recipe Ingredients'!$B$5:$B$1204,C84)&gt;0)*1))</f>
        <v>0</v>
      </c>
      <c r="J84" s="25"/>
    </row>
    <row r="85" spans="1:10">
      <c r="A85" s="7"/>
      <c r="B85" s="7"/>
      <c r="C85" s="7"/>
      <c r="D85" s="7"/>
      <c r="E85" s="27"/>
      <c r="F85" s="27"/>
      <c r="G85" s="8">
        <f>IF(C85="","",COUNTIFS(Ingredients!$A$5:$A$304,C85))</f>
        <v>0</v>
      </c>
      <c r="H85" s="8">
        <f>IF(C85="","",COUNTIFS('Recipe Ingredients'!$B$5:$B$1204,C85))</f>
        <v>0</v>
      </c>
      <c r="I85" s="8">
        <f>IF(C85="","",SUMPRODUCT((COUNTIFS('Recipe Ingredients'!$A$5:$A$1204,'Meal Plan'!$G$5:$G$504,'Recipe Ingredients'!$B$5:$B$1204,C85)&gt;0)*1))</f>
        <v>0</v>
      </c>
      <c r="J85" s="25"/>
    </row>
    <row r="86" spans="1:10">
      <c r="A86" s="7"/>
      <c r="B86" s="7"/>
      <c r="C86" s="7"/>
      <c r="D86" s="7"/>
      <c r="E86" s="27"/>
      <c r="F86" s="27"/>
      <c r="G86" s="8">
        <f>IF(C86="","",COUNTIFS(Ingredients!$A$5:$A$304,C86))</f>
        <v>0</v>
      </c>
      <c r="H86" s="8">
        <f>IF(C86="","",COUNTIFS('Recipe Ingredients'!$B$5:$B$1204,C86))</f>
        <v>0</v>
      </c>
      <c r="I86" s="8">
        <f>IF(C86="","",SUMPRODUCT((COUNTIFS('Recipe Ingredients'!$A$5:$A$1204,'Meal Plan'!$G$5:$G$504,'Recipe Ingredients'!$B$5:$B$1204,C86)&gt;0)*1))</f>
        <v>0</v>
      </c>
      <c r="J86" s="25"/>
    </row>
    <row r="87" spans="1:10">
      <c r="A87" s="7"/>
      <c r="B87" s="7"/>
      <c r="C87" s="7"/>
      <c r="D87" s="7"/>
      <c r="E87" s="27"/>
      <c r="F87" s="27"/>
      <c r="G87" s="8">
        <f>IF(C87="","",COUNTIFS(Ingredients!$A$5:$A$304,C87))</f>
        <v>0</v>
      </c>
      <c r="H87" s="8">
        <f>IF(C87="","",COUNTIFS('Recipe Ingredients'!$B$5:$B$1204,C87))</f>
        <v>0</v>
      </c>
      <c r="I87" s="8">
        <f>IF(C87="","",SUMPRODUCT((COUNTIFS('Recipe Ingredients'!$A$5:$A$1204,'Meal Plan'!$G$5:$G$504,'Recipe Ingredients'!$B$5:$B$1204,C87)&gt;0)*1))</f>
        <v>0</v>
      </c>
      <c r="J87" s="25"/>
    </row>
    <row r="88" spans="1:10">
      <c r="A88" s="7"/>
      <c r="B88" s="7"/>
      <c r="C88" s="7"/>
      <c r="D88" s="7"/>
      <c r="E88" s="27"/>
      <c r="F88" s="27"/>
      <c r="G88" s="8">
        <f>IF(C88="","",COUNTIFS(Ingredients!$A$5:$A$304,C88))</f>
        <v>0</v>
      </c>
      <c r="H88" s="8">
        <f>IF(C88="","",COUNTIFS('Recipe Ingredients'!$B$5:$B$1204,C88))</f>
        <v>0</v>
      </c>
      <c r="I88" s="8">
        <f>IF(C88="","",SUMPRODUCT((COUNTIFS('Recipe Ingredients'!$A$5:$A$1204,'Meal Plan'!$G$5:$G$504,'Recipe Ingredients'!$B$5:$B$1204,C88)&gt;0)*1))</f>
        <v>0</v>
      </c>
      <c r="J88" s="25"/>
    </row>
    <row r="89" spans="1:10">
      <c r="A89" s="7"/>
      <c r="B89" s="7"/>
      <c r="C89" s="7"/>
      <c r="D89" s="7"/>
      <c r="E89" s="27"/>
      <c r="F89" s="27"/>
      <c r="G89" s="8">
        <f>IF(C89="","",COUNTIFS(Ingredients!$A$5:$A$304,C89))</f>
        <v>0</v>
      </c>
      <c r="H89" s="8">
        <f>IF(C89="","",COUNTIFS('Recipe Ingredients'!$B$5:$B$1204,C89))</f>
        <v>0</v>
      </c>
      <c r="I89" s="8">
        <f>IF(C89="","",SUMPRODUCT((COUNTIFS('Recipe Ingredients'!$A$5:$A$1204,'Meal Plan'!$G$5:$G$504,'Recipe Ingredients'!$B$5:$B$1204,C89)&gt;0)*1))</f>
        <v>0</v>
      </c>
      <c r="J89" s="25"/>
    </row>
    <row r="90" spans="1:10">
      <c r="A90" s="7"/>
      <c r="B90" s="7"/>
      <c r="C90" s="7"/>
      <c r="D90" s="7"/>
      <c r="E90" s="27"/>
      <c r="F90" s="27"/>
      <c r="G90" s="8">
        <f>IF(C90="","",COUNTIFS(Ingredients!$A$5:$A$304,C90))</f>
        <v>0</v>
      </c>
      <c r="H90" s="8">
        <f>IF(C90="","",COUNTIFS('Recipe Ingredients'!$B$5:$B$1204,C90))</f>
        <v>0</v>
      </c>
      <c r="I90" s="8">
        <f>IF(C90="","",SUMPRODUCT((COUNTIFS('Recipe Ingredients'!$A$5:$A$1204,'Meal Plan'!$G$5:$G$504,'Recipe Ingredients'!$B$5:$B$1204,C90)&gt;0)*1))</f>
        <v>0</v>
      </c>
      <c r="J90" s="25"/>
    </row>
    <row r="91" spans="1:10">
      <c r="A91" s="7"/>
      <c r="B91" s="7"/>
      <c r="C91" s="7"/>
      <c r="D91" s="7"/>
      <c r="E91" s="27"/>
      <c r="F91" s="27"/>
      <c r="G91" s="8">
        <f>IF(C91="","",COUNTIFS(Ingredients!$A$5:$A$304,C91))</f>
        <v>0</v>
      </c>
      <c r="H91" s="8">
        <f>IF(C91="","",COUNTIFS('Recipe Ingredients'!$B$5:$B$1204,C91))</f>
        <v>0</v>
      </c>
      <c r="I91" s="8">
        <f>IF(C91="","",SUMPRODUCT((COUNTIFS('Recipe Ingredients'!$A$5:$A$1204,'Meal Plan'!$G$5:$G$504,'Recipe Ingredients'!$B$5:$B$1204,C91)&gt;0)*1))</f>
        <v>0</v>
      </c>
      <c r="J91" s="25"/>
    </row>
    <row r="92" spans="1:10">
      <c r="A92" s="7"/>
      <c r="B92" s="7"/>
      <c r="C92" s="7"/>
      <c r="D92" s="7"/>
      <c r="E92" s="27"/>
      <c r="F92" s="27"/>
      <c r="G92" s="8">
        <f>IF(C92="","",COUNTIFS(Ingredients!$A$5:$A$304,C92))</f>
        <v>0</v>
      </c>
      <c r="H92" s="8">
        <f>IF(C92="","",COUNTIFS('Recipe Ingredients'!$B$5:$B$1204,C92))</f>
        <v>0</v>
      </c>
      <c r="I92" s="8">
        <f>IF(C92="","",SUMPRODUCT((COUNTIFS('Recipe Ingredients'!$A$5:$A$1204,'Meal Plan'!$G$5:$G$504,'Recipe Ingredients'!$B$5:$B$1204,C92)&gt;0)*1))</f>
        <v>0</v>
      </c>
      <c r="J92" s="25"/>
    </row>
    <row r="93" spans="1:10">
      <c r="A93" s="7"/>
      <c r="B93" s="7"/>
      <c r="C93" s="7"/>
      <c r="D93" s="7"/>
      <c r="E93" s="27"/>
      <c r="F93" s="27"/>
      <c r="G93" s="8">
        <f>IF(C93="","",COUNTIFS(Ingredients!$A$5:$A$304,C93))</f>
        <v>0</v>
      </c>
      <c r="H93" s="8">
        <f>IF(C93="","",COUNTIFS('Recipe Ingredients'!$B$5:$B$1204,C93))</f>
        <v>0</v>
      </c>
      <c r="I93" s="8">
        <f>IF(C93="","",SUMPRODUCT((COUNTIFS('Recipe Ingredients'!$A$5:$A$1204,'Meal Plan'!$G$5:$G$504,'Recipe Ingredients'!$B$5:$B$1204,C93)&gt;0)*1))</f>
        <v>0</v>
      </c>
      <c r="J93" s="25"/>
    </row>
    <row r="94" spans="1:10">
      <c r="A94" s="7"/>
      <c r="B94" s="7"/>
      <c r="C94" s="7"/>
      <c r="D94" s="7"/>
      <c r="E94" s="27"/>
      <c r="F94" s="27"/>
      <c r="G94" s="8">
        <f>IF(C94="","",COUNTIFS(Ingredients!$A$5:$A$304,C94))</f>
        <v>0</v>
      </c>
      <c r="H94" s="8">
        <f>IF(C94="","",COUNTIFS('Recipe Ingredients'!$B$5:$B$1204,C94))</f>
        <v>0</v>
      </c>
      <c r="I94" s="8">
        <f>IF(C94="","",SUMPRODUCT((COUNTIFS('Recipe Ingredients'!$A$5:$A$1204,'Meal Plan'!$G$5:$G$504,'Recipe Ingredients'!$B$5:$B$1204,C94)&gt;0)*1))</f>
        <v>0</v>
      </c>
      <c r="J94" s="25"/>
    </row>
    <row r="95" spans="1:10">
      <c r="A95" s="7"/>
      <c r="B95" s="7"/>
      <c r="C95" s="7"/>
      <c r="D95" s="7"/>
      <c r="E95" s="27"/>
      <c r="F95" s="27"/>
      <c r="G95" s="8">
        <f>IF(C95="","",COUNTIFS(Ingredients!$A$5:$A$304,C95))</f>
        <v>0</v>
      </c>
      <c r="H95" s="8">
        <f>IF(C95="","",COUNTIFS('Recipe Ingredients'!$B$5:$B$1204,C95))</f>
        <v>0</v>
      </c>
      <c r="I95" s="8">
        <f>IF(C95="","",SUMPRODUCT((COUNTIFS('Recipe Ingredients'!$A$5:$A$1204,'Meal Plan'!$G$5:$G$504,'Recipe Ingredients'!$B$5:$B$1204,C95)&gt;0)*1))</f>
        <v>0</v>
      </c>
      <c r="J95" s="25"/>
    </row>
    <row r="96" spans="1:10">
      <c r="A96" s="7"/>
      <c r="B96" s="7"/>
      <c r="C96" s="7"/>
      <c r="D96" s="7"/>
      <c r="E96" s="27"/>
      <c r="F96" s="27"/>
      <c r="G96" s="8">
        <f>IF(C96="","",COUNTIFS(Ingredients!$A$5:$A$304,C96))</f>
        <v>0</v>
      </c>
      <c r="H96" s="8">
        <f>IF(C96="","",COUNTIFS('Recipe Ingredients'!$B$5:$B$1204,C96))</f>
        <v>0</v>
      </c>
      <c r="I96" s="8">
        <f>IF(C96="","",SUMPRODUCT((COUNTIFS('Recipe Ingredients'!$A$5:$A$1204,'Meal Plan'!$G$5:$G$504,'Recipe Ingredients'!$B$5:$B$1204,C96)&gt;0)*1))</f>
        <v>0</v>
      </c>
      <c r="J96" s="25"/>
    </row>
    <row r="97" spans="1:10">
      <c r="A97" s="7"/>
      <c r="B97" s="7"/>
      <c r="C97" s="7"/>
      <c r="D97" s="7"/>
      <c r="E97" s="27"/>
      <c r="F97" s="27"/>
      <c r="G97" s="8">
        <f>IF(C97="","",COUNTIFS(Ingredients!$A$5:$A$304,C97))</f>
        <v>0</v>
      </c>
      <c r="H97" s="8">
        <f>IF(C97="","",COUNTIFS('Recipe Ingredients'!$B$5:$B$1204,C97))</f>
        <v>0</v>
      </c>
      <c r="I97" s="8">
        <f>IF(C97="","",SUMPRODUCT((COUNTIFS('Recipe Ingredients'!$A$5:$A$1204,'Meal Plan'!$G$5:$G$504,'Recipe Ingredients'!$B$5:$B$1204,C97)&gt;0)*1))</f>
        <v>0</v>
      </c>
      <c r="J97" s="25"/>
    </row>
    <row r="98" spans="1:10">
      <c r="A98" s="7"/>
      <c r="B98" s="7"/>
      <c r="C98" s="7"/>
      <c r="D98" s="7"/>
      <c r="E98" s="27"/>
      <c r="F98" s="27"/>
      <c r="G98" s="8">
        <f>IF(C98="","",COUNTIFS(Ingredients!$A$5:$A$304,C98))</f>
        <v>0</v>
      </c>
      <c r="H98" s="8">
        <f>IF(C98="","",COUNTIFS('Recipe Ingredients'!$B$5:$B$1204,C98))</f>
        <v>0</v>
      </c>
      <c r="I98" s="8">
        <f>IF(C98="","",SUMPRODUCT((COUNTIFS('Recipe Ingredients'!$A$5:$A$1204,'Meal Plan'!$G$5:$G$504,'Recipe Ingredients'!$B$5:$B$1204,C98)&gt;0)*1))</f>
        <v>0</v>
      </c>
      <c r="J98" s="25"/>
    </row>
    <row r="99" spans="1:10">
      <c r="A99" s="7"/>
      <c r="B99" s="7"/>
      <c r="C99" s="7"/>
      <c r="D99" s="7"/>
      <c r="E99" s="27"/>
      <c r="F99" s="27"/>
      <c r="G99" s="8">
        <f>IF(C99="","",COUNTIFS(Ingredients!$A$5:$A$304,C99))</f>
        <v>0</v>
      </c>
      <c r="H99" s="8">
        <f>IF(C99="","",COUNTIFS('Recipe Ingredients'!$B$5:$B$1204,C99))</f>
        <v>0</v>
      </c>
      <c r="I99" s="8">
        <f>IF(C99="","",SUMPRODUCT((COUNTIFS('Recipe Ingredients'!$A$5:$A$1204,'Meal Plan'!$G$5:$G$504,'Recipe Ingredients'!$B$5:$B$1204,C99)&gt;0)*1))</f>
        <v>0</v>
      </c>
      <c r="J99" s="25"/>
    </row>
    <row r="100" spans="1:10">
      <c r="A100" s="7"/>
      <c r="B100" s="7"/>
      <c r="C100" s="7"/>
      <c r="D100" s="7"/>
      <c r="E100" s="27"/>
      <c r="F100" s="27"/>
      <c r="G100" s="8">
        <f>IF(C100="","",COUNTIFS(Ingredients!$A$5:$A$304,C100))</f>
        <v>0</v>
      </c>
      <c r="H100" s="8">
        <f>IF(C100="","",COUNTIFS('Recipe Ingredients'!$B$5:$B$1204,C100))</f>
        <v>0</v>
      </c>
      <c r="I100" s="8">
        <f>IF(C100="","",SUMPRODUCT((COUNTIFS('Recipe Ingredients'!$A$5:$A$1204,'Meal Plan'!$G$5:$G$504,'Recipe Ingredients'!$B$5:$B$1204,C100)&gt;0)*1))</f>
        <v>0</v>
      </c>
      <c r="J100" s="25"/>
    </row>
    <row r="101" spans="1:10">
      <c r="A101" s="7"/>
      <c r="B101" s="7"/>
      <c r="C101" s="7"/>
      <c r="D101" s="7"/>
      <c r="E101" s="27"/>
      <c r="F101" s="27"/>
      <c r="G101" s="8">
        <f>IF(C101="","",COUNTIFS(Ingredients!$A$5:$A$304,C101))</f>
        <v>0</v>
      </c>
      <c r="H101" s="8">
        <f>IF(C101="","",COUNTIFS('Recipe Ingredients'!$B$5:$B$1204,C101))</f>
        <v>0</v>
      </c>
      <c r="I101" s="8">
        <f>IF(C101="","",SUMPRODUCT((COUNTIFS('Recipe Ingredients'!$A$5:$A$1204,'Meal Plan'!$G$5:$G$504,'Recipe Ingredients'!$B$5:$B$1204,C101)&gt;0)*1))</f>
        <v>0</v>
      </c>
      <c r="J101" s="25"/>
    </row>
    <row r="102" spans="1:10">
      <c r="A102" s="7"/>
      <c r="B102" s="7"/>
      <c r="C102" s="7"/>
      <c r="D102" s="7"/>
      <c r="E102" s="27"/>
      <c r="F102" s="27"/>
      <c r="G102" s="8">
        <f>IF(C102="","",COUNTIFS(Ingredients!$A$5:$A$304,C102))</f>
        <v>0</v>
      </c>
      <c r="H102" s="8">
        <f>IF(C102="","",COUNTIFS('Recipe Ingredients'!$B$5:$B$1204,C102))</f>
        <v>0</v>
      </c>
      <c r="I102" s="8">
        <f>IF(C102="","",SUMPRODUCT((COUNTIFS('Recipe Ingredients'!$A$5:$A$1204,'Meal Plan'!$G$5:$G$504,'Recipe Ingredients'!$B$5:$B$1204,C102)&gt;0)*1))</f>
        <v>0</v>
      </c>
      <c r="J102" s="25"/>
    </row>
    <row r="103" spans="1:10">
      <c r="A103" s="7"/>
      <c r="B103" s="7"/>
      <c r="C103" s="7"/>
      <c r="D103" s="7"/>
      <c r="E103" s="27"/>
      <c r="F103" s="27"/>
      <c r="G103" s="8">
        <f>IF(C103="","",COUNTIFS(Ingredients!$A$5:$A$304,C103))</f>
        <v>0</v>
      </c>
      <c r="H103" s="8">
        <f>IF(C103="","",COUNTIFS('Recipe Ingredients'!$B$5:$B$1204,C103))</f>
        <v>0</v>
      </c>
      <c r="I103" s="8">
        <f>IF(C103="","",SUMPRODUCT((COUNTIFS('Recipe Ingredients'!$A$5:$A$1204,'Meal Plan'!$G$5:$G$504,'Recipe Ingredients'!$B$5:$B$1204,C103)&gt;0)*1))</f>
        <v>0</v>
      </c>
      <c r="J103" s="25"/>
    </row>
    <row r="104" spans="1:10">
      <c r="A104" s="7"/>
      <c r="B104" s="7"/>
      <c r="C104" s="7"/>
      <c r="D104" s="7"/>
      <c r="E104" s="27"/>
      <c r="F104" s="27"/>
      <c r="G104" s="8">
        <f>IF(C104="","",COUNTIFS(Ingredients!$A$5:$A$304,C104))</f>
        <v>0</v>
      </c>
      <c r="H104" s="8">
        <f>IF(C104="","",COUNTIFS('Recipe Ingredients'!$B$5:$B$1204,C104))</f>
        <v>0</v>
      </c>
      <c r="I104" s="8">
        <f>IF(C104="","",SUMPRODUCT((COUNTIFS('Recipe Ingredients'!$A$5:$A$1204,'Meal Plan'!$G$5:$G$504,'Recipe Ingredients'!$B$5:$B$1204,C104)&gt;0)*1))</f>
        <v>0</v>
      </c>
      <c r="J104" s="25"/>
    </row>
  </sheetData>
  <sheetProtection password="EC7C" sheet="1" objects="1" scenarios="1" selectLockedCells="1" selectUnlockedCells="1"/>
  <autoFilter ref="A4:J104"/>
  <conditionalFormatting sqref="A101:J101">
    <cfRule type="expression" dxfId="0" priority="49">
      <formula>MOD(ROW(),2)=0</formula>
    </cfRule>
  </conditionalFormatting>
  <conditionalFormatting sqref="A103:J103">
    <cfRule type="expression" dxfId="0" priority="50">
      <formula>MOD(ROW(),2)=0</formula>
    </cfRule>
  </conditionalFormatting>
  <conditionalFormatting sqref="A11:J11">
    <cfRule type="expression" dxfId="0" priority="4">
      <formula>MOD(ROW(),2)=0</formula>
    </cfRule>
  </conditionalFormatting>
  <conditionalFormatting sqref="A13:J13">
    <cfRule type="expression" dxfId="0" priority="5">
      <formula>MOD(ROW(),2)=0</formula>
    </cfRule>
  </conditionalFormatting>
  <conditionalFormatting sqref="A15:J15">
    <cfRule type="expression" dxfId="0" priority="6">
      <formula>MOD(ROW(),2)=0</formula>
    </cfRule>
  </conditionalFormatting>
  <conditionalFormatting sqref="A17:J17">
    <cfRule type="expression" dxfId="0" priority="7">
      <formula>MOD(ROW(),2)=0</formula>
    </cfRule>
  </conditionalFormatting>
  <conditionalFormatting sqref="A19:J19">
    <cfRule type="expression" dxfId="0" priority="8">
      <formula>MOD(ROW(),2)=0</formula>
    </cfRule>
  </conditionalFormatting>
  <conditionalFormatting sqref="A21:J21">
    <cfRule type="expression" dxfId="0" priority="9">
      <formula>MOD(ROW(),2)=0</formula>
    </cfRule>
  </conditionalFormatting>
  <conditionalFormatting sqref="A23:J23">
    <cfRule type="expression" dxfId="0" priority="10">
      <formula>MOD(ROW(),2)=0</formula>
    </cfRule>
  </conditionalFormatting>
  <conditionalFormatting sqref="A25:J25">
    <cfRule type="expression" dxfId="0" priority="11">
      <formula>MOD(ROW(),2)=0</formula>
    </cfRule>
  </conditionalFormatting>
  <conditionalFormatting sqref="A27:J27">
    <cfRule type="expression" dxfId="0" priority="12">
      <formula>MOD(ROW(),2)=0</formula>
    </cfRule>
  </conditionalFormatting>
  <conditionalFormatting sqref="A29:J29">
    <cfRule type="expression" dxfId="0" priority="13">
      <formula>MOD(ROW(),2)=0</formula>
    </cfRule>
  </conditionalFormatting>
  <conditionalFormatting sqref="A31:J31">
    <cfRule type="expression" dxfId="0" priority="14">
      <formula>MOD(ROW(),2)=0</formula>
    </cfRule>
  </conditionalFormatting>
  <conditionalFormatting sqref="A33:J33">
    <cfRule type="expression" dxfId="0" priority="15">
      <formula>MOD(ROW(),2)=0</formula>
    </cfRule>
  </conditionalFormatting>
  <conditionalFormatting sqref="A35:J35">
    <cfRule type="expression" dxfId="0" priority="16">
      <formula>MOD(ROW(),2)=0</formula>
    </cfRule>
  </conditionalFormatting>
  <conditionalFormatting sqref="A37:J37">
    <cfRule type="expression" dxfId="0" priority="17">
      <formula>MOD(ROW(),2)=0</formula>
    </cfRule>
  </conditionalFormatting>
  <conditionalFormatting sqref="A39:J39">
    <cfRule type="expression" dxfId="0" priority="18">
      <formula>MOD(ROW(),2)=0</formula>
    </cfRule>
  </conditionalFormatting>
  <conditionalFormatting sqref="A41:J41">
    <cfRule type="expression" dxfId="0" priority="19">
      <formula>MOD(ROW(),2)=0</formula>
    </cfRule>
  </conditionalFormatting>
  <conditionalFormatting sqref="A43:J43">
    <cfRule type="expression" dxfId="0" priority="20">
      <formula>MOD(ROW(),2)=0</formula>
    </cfRule>
  </conditionalFormatting>
  <conditionalFormatting sqref="A45:J45">
    <cfRule type="expression" dxfId="0" priority="21">
      <formula>MOD(ROW(),2)=0</formula>
    </cfRule>
  </conditionalFormatting>
  <conditionalFormatting sqref="A47:J47">
    <cfRule type="expression" dxfId="0" priority="22">
      <formula>MOD(ROW(),2)=0</formula>
    </cfRule>
  </conditionalFormatting>
  <conditionalFormatting sqref="A49:J49">
    <cfRule type="expression" dxfId="0" priority="23">
      <formula>MOD(ROW(),2)=0</formula>
    </cfRule>
  </conditionalFormatting>
  <conditionalFormatting sqref="A51:J51">
    <cfRule type="expression" dxfId="0" priority="24">
      <formula>MOD(ROW(),2)=0</formula>
    </cfRule>
  </conditionalFormatting>
  <conditionalFormatting sqref="A53:J53">
    <cfRule type="expression" dxfId="0" priority="25">
      <formula>MOD(ROW(),2)=0</formula>
    </cfRule>
  </conditionalFormatting>
  <conditionalFormatting sqref="A55:J55">
    <cfRule type="expression" dxfId="0" priority="26">
      <formula>MOD(ROW(),2)=0</formula>
    </cfRule>
  </conditionalFormatting>
  <conditionalFormatting sqref="A57:J57">
    <cfRule type="expression" dxfId="0" priority="27">
      <formula>MOD(ROW(),2)=0</formula>
    </cfRule>
  </conditionalFormatting>
  <conditionalFormatting sqref="A59:J59">
    <cfRule type="expression" dxfId="0" priority="28">
      <formula>MOD(ROW(),2)=0</formula>
    </cfRule>
  </conditionalFormatting>
  <conditionalFormatting sqref="A5:J5">
    <cfRule type="expression" dxfId="0" priority="1">
      <formula>MOD(ROW(),2)=0</formula>
    </cfRule>
  </conditionalFormatting>
  <conditionalFormatting sqref="A61:J61">
    <cfRule type="expression" dxfId="0" priority="29">
      <formula>MOD(ROW(),2)=0</formula>
    </cfRule>
  </conditionalFormatting>
  <conditionalFormatting sqref="A63:J63">
    <cfRule type="expression" dxfId="0" priority="30">
      <formula>MOD(ROW(),2)=0</formula>
    </cfRule>
  </conditionalFormatting>
  <conditionalFormatting sqref="A65:J65">
    <cfRule type="expression" dxfId="0" priority="31">
      <formula>MOD(ROW(),2)=0</formula>
    </cfRule>
  </conditionalFormatting>
  <conditionalFormatting sqref="A67:J67">
    <cfRule type="expression" dxfId="0" priority="32">
      <formula>MOD(ROW(),2)=0</formula>
    </cfRule>
  </conditionalFormatting>
  <conditionalFormatting sqref="A69:J69">
    <cfRule type="expression" dxfId="0" priority="33">
      <formula>MOD(ROW(),2)=0</formula>
    </cfRule>
  </conditionalFormatting>
  <conditionalFormatting sqref="A71:J71">
    <cfRule type="expression" dxfId="0" priority="34">
      <formula>MOD(ROW(),2)=0</formula>
    </cfRule>
  </conditionalFormatting>
  <conditionalFormatting sqref="A73:J73">
    <cfRule type="expression" dxfId="0" priority="35">
      <formula>MOD(ROW(),2)=0</formula>
    </cfRule>
  </conditionalFormatting>
  <conditionalFormatting sqref="A75:J75">
    <cfRule type="expression" dxfId="0" priority="36">
      <formula>MOD(ROW(),2)=0</formula>
    </cfRule>
  </conditionalFormatting>
  <conditionalFormatting sqref="A77:J77">
    <cfRule type="expression" dxfId="0" priority="37">
      <formula>MOD(ROW(),2)=0</formula>
    </cfRule>
  </conditionalFormatting>
  <conditionalFormatting sqref="A79:J79">
    <cfRule type="expression" dxfId="0" priority="38">
      <formula>MOD(ROW(),2)=0</formula>
    </cfRule>
  </conditionalFormatting>
  <conditionalFormatting sqref="A7:J7">
    <cfRule type="expression" dxfId="0" priority="2">
      <formula>MOD(ROW(),2)=0</formula>
    </cfRule>
  </conditionalFormatting>
  <conditionalFormatting sqref="A81:J81">
    <cfRule type="expression" dxfId="0" priority="39">
      <formula>MOD(ROW(),2)=0</formula>
    </cfRule>
  </conditionalFormatting>
  <conditionalFormatting sqref="A83:J83">
    <cfRule type="expression" dxfId="0" priority="40">
      <formula>MOD(ROW(),2)=0</formula>
    </cfRule>
  </conditionalFormatting>
  <conditionalFormatting sqref="A85:J85">
    <cfRule type="expression" dxfId="0" priority="41">
      <formula>MOD(ROW(),2)=0</formula>
    </cfRule>
  </conditionalFormatting>
  <conditionalFormatting sqref="A87:J87">
    <cfRule type="expression" dxfId="0" priority="42">
      <formula>MOD(ROW(),2)=0</formula>
    </cfRule>
  </conditionalFormatting>
  <conditionalFormatting sqref="A89:J89">
    <cfRule type="expression" dxfId="0" priority="43">
      <formula>MOD(ROW(),2)=0</formula>
    </cfRule>
  </conditionalFormatting>
  <conditionalFormatting sqref="A91:J91">
    <cfRule type="expression" dxfId="0" priority="44">
      <formula>MOD(ROW(),2)=0</formula>
    </cfRule>
  </conditionalFormatting>
  <conditionalFormatting sqref="A93:J93">
    <cfRule type="expression" dxfId="0" priority="45">
      <formula>MOD(ROW(),2)=0</formula>
    </cfRule>
  </conditionalFormatting>
  <conditionalFormatting sqref="A95:J95">
    <cfRule type="expression" dxfId="0" priority="46">
      <formula>MOD(ROW(),2)=0</formula>
    </cfRule>
  </conditionalFormatting>
  <conditionalFormatting sqref="A97:J97">
    <cfRule type="expression" dxfId="0" priority="47">
      <formula>MOD(ROW(),2)=0</formula>
    </cfRule>
  </conditionalFormatting>
  <conditionalFormatting sqref="A99:J99">
    <cfRule type="expression" dxfId="0" priority="48">
      <formula>MOD(ROW(),2)=0</formula>
    </cfRule>
  </conditionalFormatting>
  <conditionalFormatting sqref="A9:J9">
    <cfRule type="expression" dxfId="0" priority="3">
      <formula>MOD(ROW(),2)=0</formula>
    </cfRule>
  </conditionalFormatting>
  <dataValidations count="200">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Spreadsheet&amp;R&amp;"Calibri,Italic"Dietary Filters</oddHeader>
    <oddFooter>&amp;LPage &amp;P of &amp;N&amp;R&amp;D</oddFooter>
  </headerFooter>
  <legacyDrawing r:id="rId1"/>
</worksheet>
</file>

<file path=xl/worksheets/sheet19.xml><?xml version="1.0" encoding="utf-8"?>
<worksheet xmlns="http://schemas.openxmlformats.org/spreadsheetml/2006/main" xmlns:r="http://schemas.openxmlformats.org/officeDocument/2006/relationships">
  <sheetPr>
    <tabColor rgb="FF2F5E43"/>
    <pageSetUpPr fitToPage="1"/>
  </sheetPr>
  <dimension ref="A1:X138"/>
  <sheetViews>
    <sheetView showGridLines="0" workbookViewId="0">
      <pane xSplit="3" ySplit="18" topLeftCell="D19" activePane="bottomRight" state="frozen"/>
      <selection pane="topRight" activeCell="D1" sqref="D1"/>
      <selection pane="bottomLeft" activeCell="A19" sqref="A19"/>
      <selection pane="bottomRight"/>
    </sheetView>
  </sheetViews>
  <sheetFormatPr defaultRowHeight="15"/>
  <cols>
    <col min="1" max="1" width="12.7109375" customWidth="1"/>
    <col min="2" max="2" width="11.7109375" customWidth="1"/>
    <col min="3" max="3" width="8.7109375" customWidth="1"/>
    <col min="4" max="4" width="15.7109375" customWidth="1"/>
    <col min="5" max="5" width="26.7109375" customWidth="1"/>
    <col min="6" max="9" width="10.7109375" customWidth="1"/>
    <col min="10" max="12" width="9.7109375" customWidth="1"/>
    <col min="13" max="13" width="11.7109375" customWidth="1"/>
    <col min="14" max="15" width="12.7109375" customWidth="1"/>
    <col min="16" max="17" width="11.7109375" customWidth="1"/>
    <col min="18" max="20" width="10.7109375" customWidth="1"/>
    <col min="21" max="22" width="11.7109375" customWidth="1"/>
    <col min="23" max="23" width="13.7109375" customWidth="1"/>
    <col min="24" max="24" width="30.7109375" customWidth="1"/>
  </cols>
  <sheetData>
    <row r="1" spans="1:14" ht="30" customHeight="1">
      <c r="A1" s="1" t="s">
        <v>461</v>
      </c>
      <c r="B1" s="1"/>
      <c r="C1" s="1"/>
      <c r="D1" s="1"/>
      <c r="E1" s="1"/>
      <c r="F1" s="1"/>
      <c r="G1" s="1"/>
      <c r="H1" s="1"/>
      <c r="I1" s="1"/>
    </row>
    <row r="2" spans="1:14" ht="18" customHeight="1">
      <c r="A2" s="2" t="s">
        <v>462</v>
      </c>
      <c r="B2" s="2"/>
      <c r="C2" s="2"/>
      <c r="D2" s="2"/>
      <c r="E2" s="2"/>
      <c r="F2" s="2"/>
      <c r="G2" s="2"/>
      <c r="H2" s="2"/>
      <c r="I2" s="2"/>
    </row>
    <row r="3" spans="1:14" ht="20" customHeight="1">
      <c r="A3" s="3" t="s">
        <v>463</v>
      </c>
      <c r="B3" s="3"/>
      <c r="C3" s="3"/>
      <c r="D3" s="3"/>
      <c r="E3" s="3"/>
      <c r="F3" s="3"/>
      <c r="G3" s="3"/>
      <c r="H3" s="3"/>
      <c r="I3" s="3"/>
    </row>
    <row r="5" spans="1:14" ht="22" customHeight="1">
      <c r="A5" s="4" t="s">
        <v>464</v>
      </c>
      <c r="B5" s="4"/>
      <c r="C5" s="4"/>
      <c r="D5" s="4"/>
      <c r="E5" s="4"/>
      <c r="F5" s="4"/>
      <c r="G5" s="4"/>
      <c r="H5" s="4"/>
      <c r="I5" s="4"/>
    </row>
    <row r="6" spans="1:14">
      <c r="A6" s="6" t="s">
        <v>109</v>
      </c>
      <c r="B6" s="7" t="s">
        <v>465</v>
      </c>
      <c r="C6" s="6" t="s">
        <v>466</v>
      </c>
      <c r="D6" s="13">
        <f>COUNTIFS(Nutrition!$B$19:$B$138,$B$6)</f>
        <v>0</v>
      </c>
    </row>
    <row r="8" spans="1:14">
      <c r="H8" s="15" t="s">
        <v>467</v>
      </c>
      <c r="I8" s="15" t="s">
        <v>469</v>
      </c>
      <c r="J8" s="15" t="s">
        <v>471</v>
      </c>
      <c r="K8" s="15" t="s">
        <v>473</v>
      </c>
      <c r="L8" s="15" t="s">
        <v>475</v>
      </c>
      <c r="M8" s="15" t="s">
        <v>477</v>
      </c>
      <c r="N8" s="15" t="s">
        <v>479</v>
      </c>
    </row>
    <row r="9" spans="1:14" ht="30" customHeight="1">
      <c r="H9" s="16">
        <f>IFERROR(AVERAGEIFS(Nutrition!$G$19:$G$138,Nutrition!$B$19:$B$138,$B$6),0)</f>
        <v>0</v>
      </c>
      <c r="I9" s="16">
        <f>IFERROR(AVERAGEIFS(Nutrition!$H$19:$H$138,Nutrition!$B$19:$B$138,$B$6),0)</f>
        <v>0</v>
      </c>
      <c r="J9" s="16">
        <f>IFERROR(AVERAGEIFS(Nutrition!$I$19:$I$138,Nutrition!$B$19:$B$138,$B$6),0)</f>
        <v>0</v>
      </c>
      <c r="K9" s="16">
        <f>IFERROR(AVERAGEIFS(Nutrition!$J$19:$J$138,Nutrition!$B$19:$B$138,$B$6),0)</f>
        <v>0</v>
      </c>
      <c r="L9" s="16">
        <f>IFERROR(AVERAGEIFS(Nutrition!$K$19:$K$138,Nutrition!$B$19:$B$138,$B$6),0)</f>
        <v>0</v>
      </c>
      <c r="M9" s="16">
        <f>IFERROR(AVERAGEIFS(Nutrition!$L$19:$L$138,Nutrition!$B$19:$B$138,$B$6),0)</f>
        <v>0</v>
      </c>
      <c r="N9" s="16">
        <f>IFERROR(AVERAGEIFS(Nutrition!$M$19:$M$138,Nutrition!$B$19:$B$138,$B$6),0)</f>
        <v>0</v>
      </c>
    </row>
    <row r="10" spans="1:14">
      <c r="H10" s="17" t="s">
        <v>468</v>
      </c>
      <c r="I10" s="17" t="s">
        <v>470</v>
      </c>
      <c r="J10" s="17" t="s">
        <v>472</v>
      </c>
      <c r="K10" s="17" t="s">
        <v>474</v>
      </c>
      <c r="L10" s="17" t="s">
        <v>476</v>
      </c>
      <c r="M10" s="17" t="s">
        <v>478</v>
      </c>
      <c r="N10" s="17" t="s">
        <v>480</v>
      </c>
    </row>
    <row r="12" spans="1:14">
      <c r="A12" s="6" t="s">
        <v>154</v>
      </c>
      <c r="B12" s="13">
        <f>Calorie_Target*Household_Size</f>
        <v>0</v>
      </c>
      <c r="C12" s="6" t="s">
        <v>481</v>
      </c>
      <c r="D12" s="31">
        <f>IFERROR(AVERAGEIFS(Nutrition!$G$19:$G$138,Nutrition!$B$19:$B$138,$B$6)/(Calorie_Target*Household_Size),"")</f>
        <v>0</v>
      </c>
      <c r="E12" s="6" t="s">
        <v>482</v>
      </c>
      <c r="F12" s="13">
        <f>COUNTIFS(Nutrition!$B$19:$B$138,$B$6,Nutrition!$W$19:$W$138,"On target")</f>
        <v>0</v>
      </c>
      <c r="G12" s="6" t="s">
        <v>483</v>
      </c>
      <c r="H12" s="13">
        <f>COUNTIFS(Nutrition!$B$19:$B$138,$B$6,Nutrition!$W$19:$W$138,"Over target")</f>
        <v>0</v>
      </c>
      <c r="I12" s="6" t="s">
        <v>484</v>
      </c>
      <c r="J12" s="13">
        <f>COUNTIFS(Nutrition!$B$19:$B$138,$B$6,Nutrition!$W$19:$W$138,"Under target")</f>
        <v>0</v>
      </c>
    </row>
    <row r="14" spans="1:14">
      <c r="A14" s="24" t="s">
        <v>485</v>
      </c>
      <c r="B14" s="24"/>
      <c r="C14" s="24"/>
      <c r="D14" s="24"/>
      <c r="E14" s="24"/>
      <c r="F14" s="24"/>
      <c r="G14" s="24"/>
      <c r="H14" s="24"/>
      <c r="I14" s="24"/>
    </row>
    <row r="18" spans="1:24" ht="32" customHeight="1">
      <c r="A18" s="9" t="s">
        <v>128</v>
      </c>
      <c r="B18" s="9" t="s">
        <v>109</v>
      </c>
      <c r="C18" s="9" t="s">
        <v>127</v>
      </c>
      <c r="D18" s="9" t="s">
        <v>370</v>
      </c>
      <c r="E18" s="9" t="s">
        <v>138</v>
      </c>
      <c r="F18" s="9" t="s">
        <v>111</v>
      </c>
      <c r="G18" s="9" t="s">
        <v>133</v>
      </c>
      <c r="H18" s="9" t="s">
        <v>287</v>
      </c>
      <c r="I18" s="9" t="s">
        <v>288</v>
      </c>
      <c r="J18" s="9" t="s">
        <v>289</v>
      </c>
      <c r="K18" s="9" t="s">
        <v>290</v>
      </c>
      <c r="L18" s="9" t="s">
        <v>291</v>
      </c>
      <c r="M18" s="9" t="s">
        <v>292</v>
      </c>
      <c r="N18" s="9" t="s">
        <v>486</v>
      </c>
      <c r="O18" s="9" t="s">
        <v>487</v>
      </c>
      <c r="P18" s="9" t="s">
        <v>488</v>
      </c>
      <c r="Q18" s="9" t="s">
        <v>489</v>
      </c>
      <c r="R18" s="9" t="s">
        <v>490</v>
      </c>
      <c r="S18" s="9" t="s">
        <v>491</v>
      </c>
      <c r="T18" s="9" t="s">
        <v>492</v>
      </c>
      <c r="U18" s="9" t="s">
        <v>493</v>
      </c>
      <c r="V18" s="9" t="s">
        <v>494</v>
      </c>
      <c r="W18" s="9" t="s">
        <v>135</v>
      </c>
      <c r="X18" s="9" t="s">
        <v>173</v>
      </c>
    </row>
    <row r="19" spans="1:24">
      <c r="A19" s="30"/>
      <c r="B19" s="8">
        <f>IF(A19="","",TEXT(A19,"mmm yyyy"))</f>
        <v>0</v>
      </c>
      <c r="C19" s="8">
        <f>IF(A19="","",TEXT(A19,"ddd"))</f>
        <v>0</v>
      </c>
      <c r="D19" s="27"/>
      <c r="E19" s="27"/>
      <c r="F19" s="26"/>
      <c r="G19" s="8">
        <f>IF(E19="","",IFERROR(IFERROR(INDEX(Recipes!$H$5:$H$204,MATCH(E19,Recipes!$A$5:$A$204,0)),"")*IF(F19="",1,F19),""))</f>
        <v>0</v>
      </c>
      <c r="H19" s="8">
        <f>IF(E19="","",IFERROR(IFERROR(INDEX(Recipes!$I$5:$I$204,MATCH(E19,Recipes!$A$5:$A$204,0)),"")*IF(F19="",1,F19),""))</f>
        <v>0</v>
      </c>
      <c r="I19" s="8">
        <f>IF(E19="","",IFERROR(IFERROR(INDEX(Recipes!$J$5:$J$204,MATCH(E19,Recipes!$A$5:$A$204,0)),"")*IF(F19="",1,F19),""))</f>
        <v>0</v>
      </c>
      <c r="J19" s="8">
        <f>IF(E19="","",IFERROR(IFERROR(INDEX(Recipes!$K$5:$K$204,MATCH(E19,Recipes!$A$5:$A$204,0)),"")*IF(F19="",1,F19),""))</f>
        <v>0</v>
      </c>
      <c r="K19" s="8">
        <f>IF(E19="","",IFERROR(IFERROR(INDEX(Recipes!$L$5:$L$204,MATCH(E19,Recipes!$A$5:$A$204,0)),"")*IF(F19="",1,F19),""))</f>
        <v>0</v>
      </c>
      <c r="L19" s="8">
        <f>IF(E19="","",IFERROR(IFERROR(INDEX(Recipes!$M$5:$M$204,MATCH(E19,Recipes!$A$5:$A$204,0)),"")*IF(F19="",1,F19),""))</f>
        <v>0</v>
      </c>
      <c r="M19" s="8">
        <f>IF(E19="","",IFERROR(IFERROR(INDEX(Recipes!$N$5:$N$204,MATCH(E19,Recipes!$A$5:$A$204,0)),"")*IF(F19="",1,F19),""))</f>
        <v>0</v>
      </c>
      <c r="N19" s="26"/>
      <c r="O19" s="8">
        <f>IF(A19="","",Calorie_Target*Household_Size)</f>
        <v>0</v>
      </c>
      <c r="P19" s="8">
        <f>IF(OR(A19="",O19=0),"",IFERROR(G19/O19,""))</f>
        <v>0</v>
      </c>
      <c r="Q19" s="8">
        <f>IF(OR(A19="",Protein_Target=0),"",IFERROR(H19/(Protein_Target*Household_Size),""))</f>
        <v>0</v>
      </c>
      <c r="R19" s="8">
        <f>IF(OR(A19="",Carb_Target=0),"",IFERROR(I19/(Carb_Target*Household_Size),""))</f>
        <v>0</v>
      </c>
      <c r="S19" s="8">
        <f>IF(OR(A19="",Fat_Target=0),"",IFERROR(J19/(Fat_Target*Household_Size),""))</f>
        <v>0</v>
      </c>
      <c r="T19" s="8">
        <f>IF(OR(A19="",Fibre_Target=0),"",IFERROR(K19/(Fibre_Target*Household_Size),""))</f>
        <v>0</v>
      </c>
      <c r="U19" s="8">
        <f>IF(OR(A19="",Sugar_Limit=0),"",IFERROR(L19/(Sugar_Limit*Household_Size),""))</f>
        <v>0</v>
      </c>
      <c r="V19" s="8">
        <f>IF(OR(A19="",Sodium_Limit=0),"",IFERROR(M19/(Sodium_Limit*Household_Size),""))</f>
        <v>0</v>
      </c>
      <c r="W19" s="8">
        <f>IF(A19="","",IF(P19="","",IF(P19&gt;1.1,"Over target",IF(P19&lt;0.8,"Under target","On target"))))</f>
        <v>0</v>
      </c>
      <c r="X19" s="25"/>
    </row>
    <row r="20" spans="1:24">
      <c r="A20" s="30"/>
      <c r="B20" s="8">
        <f>IF(A20="","",TEXT(A20,"mmm yyyy"))</f>
        <v>0</v>
      </c>
      <c r="C20" s="8">
        <f>IF(A20="","",TEXT(A20,"ddd"))</f>
        <v>0</v>
      </c>
      <c r="D20" s="27"/>
      <c r="E20" s="27"/>
      <c r="F20" s="26"/>
      <c r="G20" s="8">
        <f>IF(E20="","",IFERROR(IFERROR(INDEX(Recipes!$H$5:$H$204,MATCH(E20,Recipes!$A$5:$A$204,0)),"")*IF(F20="",1,F20),""))</f>
        <v>0</v>
      </c>
      <c r="H20" s="8">
        <f>IF(E20="","",IFERROR(IFERROR(INDEX(Recipes!$I$5:$I$204,MATCH(E20,Recipes!$A$5:$A$204,0)),"")*IF(F20="",1,F20),""))</f>
        <v>0</v>
      </c>
      <c r="I20" s="8">
        <f>IF(E20="","",IFERROR(IFERROR(INDEX(Recipes!$J$5:$J$204,MATCH(E20,Recipes!$A$5:$A$204,0)),"")*IF(F20="",1,F20),""))</f>
        <v>0</v>
      </c>
      <c r="J20" s="8">
        <f>IF(E20="","",IFERROR(IFERROR(INDEX(Recipes!$K$5:$K$204,MATCH(E20,Recipes!$A$5:$A$204,0)),"")*IF(F20="",1,F20),""))</f>
        <v>0</v>
      </c>
      <c r="K20" s="8">
        <f>IF(E20="","",IFERROR(IFERROR(INDEX(Recipes!$L$5:$L$204,MATCH(E20,Recipes!$A$5:$A$204,0)),"")*IF(F20="",1,F20),""))</f>
        <v>0</v>
      </c>
      <c r="L20" s="8">
        <f>IF(E20="","",IFERROR(IFERROR(INDEX(Recipes!$M$5:$M$204,MATCH(E20,Recipes!$A$5:$A$204,0)),"")*IF(F20="",1,F20),""))</f>
        <v>0</v>
      </c>
      <c r="M20" s="8">
        <f>IF(E20="","",IFERROR(IFERROR(INDEX(Recipes!$N$5:$N$204,MATCH(E20,Recipes!$A$5:$A$204,0)),"")*IF(F20="",1,F20),""))</f>
        <v>0</v>
      </c>
      <c r="N20" s="26"/>
      <c r="O20" s="8">
        <f>IF(A20="","",Calorie_Target*Household_Size)</f>
        <v>0</v>
      </c>
      <c r="P20" s="8">
        <f>IF(OR(A20="",O20=0),"",IFERROR(G20/O20,""))</f>
        <v>0</v>
      </c>
      <c r="Q20" s="8">
        <f>IF(OR(A20="",Protein_Target=0),"",IFERROR(H20/(Protein_Target*Household_Size),""))</f>
        <v>0</v>
      </c>
      <c r="R20" s="8">
        <f>IF(OR(A20="",Carb_Target=0),"",IFERROR(I20/(Carb_Target*Household_Size),""))</f>
        <v>0</v>
      </c>
      <c r="S20" s="8">
        <f>IF(OR(A20="",Fat_Target=0),"",IFERROR(J20/(Fat_Target*Household_Size),""))</f>
        <v>0</v>
      </c>
      <c r="T20" s="8">
        <f>IF(OR(A20="",Fibre_Target=0),"",IFERROR(K20/(Fibre_Target*Household_Size),""))</f>
        <v>0</v>
      </c>
      <c r="U20" s="8">
        <f>IF(OR(A20="",Sugar_Limit=0),"",IFERROR(L20/(Sugar_Limit*Household_Size),""))</f>
        <v>0</v>
      </c>
      <c r="V20" s="8">
        <f>IF(OR(A20="",Sodium_Limit=0),"",IFERROR(M20/(Sodium_Limit*Household_Size),""))</f>
        <v>0</v>
      </c>
      <c r="W20" s="8">
        <f>IF(A20="","",IF(P20="","",IF(P20&gt;1.1,"Over target",IF(P20&lt;0.8,"Under target","On target"))))</f>
        <v>0</v>
      </c>
      <c r="X20" s="25"/>
    </row>
    <row r="21" spans="1:24">
      <c r="A21" s="30"/>
      <c r="B21" s="8">
        <f>IF(A21="","",TEXT(A21,"mmm yyyy"))</f>
        <v>0</v>
      </c>
      <c r="C21" s="8">
        <f>IF(A21="","",TEXT(A21,"ddd"))</f>
        <v>0</v>
      </c>
      <c r="D21" s="27"/>
      <c r="E21" s="27"/>
      <c r="F21" s="26"/>
      <c r="G21" s="8">
        <f>IF(E21="","",IFERROR(IFERROR(INDEX(Recipes!$H$5:$H$204,MATCH(E21,Recipes!$A$5:$A$204,0)),"")*IF(F21="",1,F21),""))</f>
        <v>0</v>
      </c>
      <c r="H21" s="8">
        <f>IF(E21="","",IFERROR(IFERROR(INDEX(Recipes!$I$5:$I$204,MATCH(E21,Recipes!$A$5:$A$204,0)),"")*IF(F21="",1,F21),""))</f>
        <v>0</v>
      </c>
      <c r="I21" s="8">
        <f>IF(E21="","",IFERROR(IFERROR(INDEX(Recipes!$J$5:$J$204,MATCH(E21,Recipes!$A$5:$A$204,0)),"")*IF(F21="",1,F21),""))</f>
        <v>0</v>
      </c>
      <c r="J21" s="8">
        <f>IF(E21="","",IFERROR(IFERROR(INDEX(Recipes!$K$5:$K$204,MATCH(E21,Recipes!$A$5:$A$204,0)),"")*IF(F21="",1,F21),""))</f>
        <v>0</v>
      </c>
      <c r="K21" s="8">
        <f>IF(E21="","",IFERROR(IFERROR(INDEX(Recipes!$L$5:$L$204,MATCH(E21,Recipes!$A$5:$A$204,0)),"")*IF(F21="",1,F21),""))</f>
        <v>0</v>
      </c>
      <c r="L21" s="8">
        <f>IF(E21="","",IFERROR(IFERROR(INDEX(Recipes!$M$5:$M$204,MATCH(E21,Recipes!$A$5:$A$204,0)),"")*IF(F21="",1,F21),""))</f>
        <v>0</v>
      </c>
      <c r="M21" s="8">
        <f>IF(E21="","",IFERROR(IFERROR(INDEX(Recipes!$N$5:$N$204,MATCH(E21,Recipes!$A$5:$A$204,0)),"")*IF(F21="",1,F21),""))</f>
        <v>0</v>
      </c>
      <c r="N21" s="26"/>
      <c r="O21" s="8">
        <f>IF(A21="","",Calorie_Target*Household_Size)</f>
        <v>0</v>
      </c>
      <c r="P21" s="8">
        <f>IF(OR(A21="",O21=0),"",IFERROR(G21/O21,""))</f>
        <v>0</v>
      </c>
      <c r="Q21" s="8">
        <f>IF(OR(A21="",Protein_Target=0),"",IFERROR(H21/(Protein_Target*Household_Size),""))</f>
        <v>0</v>
      </c>
      <c r="R21" s="8">
        <f>IF(OR(A21="",Carb_Target=0),"",IFERROR(I21/(Carb_Target*Household_Size),""))</f>
        <v>0</v>
      </c>
      <c r="S21" s="8">
        <f>IF(OR(A21="",Fat_Target=0),"",IFERROR(J21/(Fat_Target*Household_Size),""))</f>
        <v>0</v>
      </c>
      <c r="T21" s="8">
        <f>IF(OR(A21="",Fibre_Target=0),"",IFERROR(K21/(Fibre_Target*Household_Size),""))</f>
        <v>0</v>
      </c>
      <c r="U21" s="8">
        <f>IF(OR(A21="",Sugar_Limit=0),"",IFERROR(L21/(Sugar_Limit*Household_Size),""))</f>
        <v>0</v>
      </c>
      <c r="V21" s="8">
        <f>IF(OR(A21="",Sodium_Limit=0),"",IFERROR(M21/(Sodium_Limit*Household_Size),""))</f>
        <v>0</v>
      </c>
      <c r="W21" s="8">
        <f>IF(A21="","",IF(P21="","",IF(P21&gt;1.1,"Over target",IF(P21&lt;0.8,"Under target","On target"))))</f>
        <v>0</v>
      </c>
      <c r="X21" s="25"/>
    </row>
    <row r="22" spans="1:24">
      <c r="A22" s="30"/>
      <c r="B22" s="8">
        <f>IF(A22="","",TEXT(A22,"mmm yyyy"))</f>
        <v>0</v>
      </c>
      <c r="C22" s="8">
        <f>IF(A22="","",TEXT(A22,"ddd"))</f>
        <v>0</v>
      </c>
      <c r="D22" s="27"/>
      <c r="E22" s="27"/>
      <c r="F22" s="26"/>
      <c r="G22" s="8">
        <f>IF(E22="","",IFERROR(IFERROR(INDEX(Recipes!$H$5:$H$204,MATCH(E22,Recipes!$A$5:$A$204,0)),"")*IF(F22="",1,F22),""))</f>
        <v>0</v>
      </c>
      <c r="H22" s="8">
        <f>IF(E22="","",IFERROR(IFERROR(INDEX(Recipes!$I$5:$I$204,MATCH(E22,Recipes!$A$5:$A$204,0)),"")*IF(F22="",1,F22),""))</f>
        <v>0</v>
      </c>
      <c r="I22" s="8">
        <f>IF(E22="","",IFERROR(IFERROR(INDEX(Recipes!$J$5:$J$204,MATCH(E22,Recipes!$A$5:$A$204,0)),"")*IF(F22="",1,F22),""))</f>
        <v>0</v>
      </c>
      <c r="J22" s="8">
        <f>IF(E22="","",IFERROR(IFERROR(INDEX(Recipes!$K$5:$K$204,MATCH(E22,Recipes!$A$5:$A$204,0)),"")*IF(F22="",1,F22),""))</f>
        <v>0</v>
      </c>
      <c r="K22" s="8">
        <f>IF(E22="","",IFERROR(IFERROR(INDEX(Recipes!$L$5:$L$204,MATCH(E22,Recipes!$A$5:$A$204,0)),"")*IF(F22="",1,F22),""))</f>
        <v>0</v>
      </c>
      <c r="L22" s="8">
        <f>IF(E22="","",IFERROR(IFERROR(INDEX(Recipes!$M$5:$M$204,MATCH(E22,Recipes!$A$5:$A$204,0)),"")*IF(F22="",1,F22),""))</f>
        <v>0</v>
      </c>
      <c r="M22" s="8">
        <f>IF(E22="","",IFERROR(IFERROR(INDEX(Recipes!$N$5:$N$204,MATCH(E22,Recipes!$A$5:$A$204,0)),"")*IF(F22="",1,F22),""))</f>
        <v>0</v>
      </c>
      <c r="N22" s="26"/>
      <c r="O22" s="8">
        <f>IF(A22="","",Calorie_Target*Household_Size)</f>
        <v>0</v>
      </c>
      <c r="P22" s="8">
        <f>IF(OR(A22="",O22=0),"",IFERROR(G22/O22,""))</f>
        <v>0</v>
      </c>
      <c r="Q22" s="8">
        <f>IF(OR(A22="",Protein_Target=0),"",IFERROR(H22/(Protein_Target*Household_Size),""))</f>
        <v>0</v>
      </c>
      <c r="R22" s="8">
        <f>IF(OR(A22="",Carb_Target=0),"",IFERROR(I22/(Carb_Target*Household_Size),""))</f>
        <v>0</v>
      </c>
      <c r="S22" s="8">
        <f>IF(OR(A22="",Fat_Target=0),"",IFERROR(J22/(Fat_Target*Household_Size),""))</f>
        <v>0</v>
      </c>
      <c r="T22" s="8">
        <f>IF(OR(A22="",Fibre_Target=0),"",IFERROR(K22/(Fibre_Target*Household_Size),""))</f>
        <v>0</v>
      </c>
      <c r="U22" s="8">
        <f>IF(OR(A22="",Sugar_Limit=0),"",IFERROR(L22/(Sugar_Limit*Household_Size),""))</f>
        <v>0</v>
      </c>
      <c r="V22" s="8">
        <f>IF(OR(A22="",Sodium_Limit=0),"",IFERROR(M22/(Sodium_Limit*Household_Size),""))</f>
        <v>0</v>
      </c>
      <c r="W22" s="8">
        <f>IF(A22="","",IF(P22="","",IF(P22&gt;1.1,"Over target",IF(P22&lt;0.8,"Under target","On target"))))</f>
        <v>0</v>
      </c>
      <c r="X22" s="25"/>
    </row>
    <row r="23" spans="1:24">
      <c r="A23" s="30"/>
      <c r="B23" s="8">
        <f>IF(A23="","",TEXT(A23,"mmm yyyy"))</f>
        <v>0</v>
      </c>
      <c r="C23" s="8">
        <f>IF(A23="","",TEXT(A23,"ddd"))</f>
        <v>0</v>
      </c>
      <c r="D23" s="27"/>
      <c r="E23" s="27"/>
      <c r="F23" s="26"/>
      <c r="G23" s="8">
        <f>IF(E23="","",IFERROR(IFERROR(INDEX(Recipes!$H$5:$H$204,MATCH(E23,Recipes!$A$5:$A$204,0)),"")*IF(F23="",1,F23),""))</f>
        <v>0</v>
      </c>
      <c r="H23" s="8">
        <f>IF(E23="","",IFERROR(IFERROR(INDEX(Recipes!$I$5:$I$204,MATCH(E23,Recipes!$A$5:$A$204,0)),"")*IF(F23="",1,F23),""))</f>
        <v>0</v>
      </c>
      <c r="I23" s="8">
        <f>IF(E23="","",IFERROR(IFERROR(INDEX(Recipes!$J$5:$J$204,MATCH(E23,Recipes!$A$5:$A$204,0)),"")*IF(F23="",1,F23),""))</f>
        <v>0</v>
      </c>
      <c r="J23" s="8">
        <f>IF(E23="","",IFERROR(IFERROR(INDEX(Recipes!$K$5:$K$204,MATCH(E23,Recipes!$A$5:$A$204,0)),"")*IF(F23="",1,F23),""))</f>
        <v>0</v>
      </c>
      <c r="K23" s="8">
        <f>IF(E23="","",IFERROR(IFERROR(INDEX(Recipes!$L$5:$L$204,MATCH(E23,Recipes!$A$5:$A$204,0)),"")*IF(F23="",1,F23),""))</f>
        <v>0</v>
      </c>
      <c r="L23" s="8">
        <f>IF(E23="","",IFERROR(IFERROR(INDEX(Recipes!$M$5:$M$204,MATCH(E23,Recipes!$A$5:$A$204,0)),"")*IF(F23="",1,F23),""))</f>
        <v>0</v>
      </c>
      <c r="M23" s="8">
        <f>IF(E23="","",IFERROR(IFERROR(INDEX(Recipes!$N$5:$N$204,MATCH(E23,Recipes!$A$5:$A$204,0)),"")*IF(F23="",1,F23),""))</f>
        <v>0</v>
      </c>
      <c r="N23" s="26"/>
      <c r="O23" s="8">
        <f>IF(A23="","",Calorie_Target*Household_Size)</f>
        <v>0</v>
      </c>
      <c r="P23" s="8">
        <f>IF(OR(A23="",O23=0),"",IFERROR(G23/O23,""))</f>
        <v>0</v>
      </c>
      <c r="Q23" s="8">
        <f>IF(OR(A23="",Protein_Target=0),"",IFERROR(H23/(Protein_Target*Household_Size),""))</f>
        <v>0</v>
      </c>
      <c r="R23" s="8">
        <f>IF(OR(A23="",Carb_Target=0),"",IFERROR(I23/(Carb_Target*Household_Size),""))</f>
        <v>0</v>
      </c>
      <c r="S23" s="8">
        <f>IF(OR(A23="",Fat_Target=0),"",IFERROR(J23/(Fat_Target*Household_Size),""))</f>
        <v>0</v>
      </c>
      <c r="T23" s="8">
        <f>IF(OR(A23="",Fibre_Target=0),"",IFERROR(K23/(Fibre_Target*Household_Size),""))</f>
        <v>0</v>
      </c>
      <c r="U23" s="8">
        <f>IF(OR(A23="",Sugar_Limit=0),"",IFERROR(L23/(Sugar_Limit*Household_Size),""))</f>
        <v>0</v>
      </c>
      <c r="V23" s="8">
        <f>IF(OR(A23="",Sodium_Limit=0),"",IFERROR(M23/(Sodium_Limit*Household_Size),""))</f>
        <v>0</v>
      </c>
      <c r="W23" s="8">
        <f>IF(A23="","",IF(P23="","",IF(P23&gt;1.1,"Over target",IF(P23&lt;0.8,"Under target","On target"))))</f>
        <v>0</v>
      </c>
      <c r="X23" s="25"/>
    </row>
    <row r="24" spans="1:24">
      <c r="A24" s="30"/>
      <c r="B24" s="8">
        <f>IF(A24="","",TEXT(A24,"mmm yyyy"))</f>
        <v>0</v>
      </c>
      <c r="C24" s="8">
        <f>IF(A24="","",TEXT(A24,"ddd"))</f>
        <v>0</v>
      </c>
      <c r="D24" s="27"/>
      <c r="E24" s="27"/>
      <c r="F24" s="26"/>
      <c r="G24" s="8">
        <f>IF(E24="","",IFERROR(IFERROR(INDEX(Recipes!$H$5:$H$204,MATCH(E24,Recipes!$A$5:$A$204,0)),"")*IF(F24="",1,F24),""))</f>
        <v>0</v>
      </c>
      <c r="H24" s="8">
        <f>IF(E24="","",IFERROR(IFERROR(INDEX(Recipes!$I$5:$I$204,MATCH(E24,Recipes!$A$5:$A$204,0)),"")*IF(F24="",1,F24),""))</f>
        <v>0</v>
      </c>
      <c r="I24" s="8">
        <f>IF(E24="","",IFERROR(IFERROR(INDEX(Recipes!$J$5:$J$204,MATCH(E24,Recipes!$A$5:$A$204,0)),"")*IF(F24="",1,F24),""))</f>
        <v>0</v>
      </c>
      <c r="J24" s="8">
        <f>IF(E24="","",IFERROR(IFERROR(INDEX(Recipes!$K$5:$K$204,MATCH(E24,Recipes!$A$5:$A$204,0)),"")*IF(F24="",1,F24),""))</f>
        <v>0</v>
      </c>
      <c r="K24" s="8">
        <f>IF(E24="","",IFERROR(IFERROR(INDEX(Recipes!$L$5:$L$204,MATCH(E24,Recipes!$A$5:$A$204,0)),"")*IF(F24="",1,F24),""))</f>
        <v>0</v>
      </c>
      <c r="L24" s="8">
        <f>IF(E24="","",IFERROR(IFERROR(INDEX(Recipes!$M$5:$M$204,MATCH(E24,Recipes!$A$5:$A$204,0)),"")*IF(F24="",1,F24),""))</f>
        <v>0</v>
      </c>
      <c r="M24" s="8">
        <f>IF(E24="","",IFERROR(IFERROR(INDEX(Recipes!$N$5:$N$204,MATCH(E24,Recipes!$A$5:$A$204,0)),"")*IF(F24="",1,F24),""))</f>
        <v>0</v>
      </c>
      <c r="N24" s="26"/>
      <c r="O24" s="8">
        <f>IF(A24="","",Calorie_Target*Household_Size)</f>
        <v>0</v>
      </c>
      <c r="P24" s="8">
        <f>IF(OR(A24="",O24=0),"",IFERROR(G24/O24,""))</f>
        <v>0</v>
      </c>
      <c r="Q24" s="8">
        <f>IF(OR(A24="",Protein_Target=0),"",IFERROR(H24/(Protein_Target*Household_Size),""))</f>
        <v>0</v>
      </c>
      <c r="R24" s="8">
        <f>IF(OR(A24="",Carb_Target=0),"",IFERROR(I24/(Carb_Target*Household_Size),""))</f>
        <v>0</v>
      </c>
      <c r="S24" s="8">
        <f>IF(OR(A24="",Fat_Target=0),"",IFERROR(J24/(Fat_Target*Household_Size),""))</f>
        <v>0</v>
      </c>
      <c r="T24" s="8">
        <f>IF(OR(A24="",Fibre_Target=0),"",IFERROR(K24/(Fibre_Target*Household_Size),""))</f>
        <v>0</v>
      </c>
      <c r="U24" s="8">
        <f>IF(OR(A24="",Sugar_Limit=0),"",IFERROR(L24/(Sugar_Limit*Household_Size),""))</f>
        <v>0</v>
      </c>
      <c r="V24" s="8">
        <f>IF(OR(A24="",Sodium_Limit=0),"",IFERROR(M24/(Sodium_Limit*Household_Size),""))</f>
        <v>0</v>
      </c>
      <c r="W24" s="8">
        <f>IF(A24="","",IF(P24="","",IF(P24&gt;1.1,"Over target",IF(P24&lt;0.8,"Under target","On target"))))</f>
        <v>0</v>
      </c>
      <c r="X24" s="25"/>
    </row>
    <row r="25" spans="1:24">
      <c r="A25" s="30"/>
      <c r="B25" s="8">
        <f>IF(A25="","",TEXT(A25,"mmm yyyy"))</f>
        <v>0</v>
      </c>
      <c r="C25" s="8">
        <f>IF(A25="","",TEXT(A25,"ddd"))</f>
        <v>0</v>
      </c>
      <c r="D25" s="27"/>
      <c r="E25" s="27"/>
      <c r="F25" s="26"/>
      <c r="G25" s="8">
        <f>IF(E25="","",IFERROR(IFERROR(INDEX(Recipes!$H$5:$H$204,MATCH(E25,Recipes!$A$5:$A$204,0)),"")*IF(F25="",1,F25),""))</f>
        <v>0</v>
      </c>
      <c r="H25" s="8">
        <f>IF(E25="","",IFERROR(IFERROR(INDEX(Recipes!$I$5:$I$204,MATCH(E25,Recipes!$A$5:$A$204,0)),"")*IF(F25="",1,F25),""))</f>
        <v>0</v>
      </c>
      <c r="I25" s="8">
        <f>IF(E25="","",IFERROR(IFERROR(INDEX(Recipes!$J$5:$J$204,MATCH(E25,Recipes!$A$5:$A$204,0)),"")*IF(F25="",1,F25),""))</f>
        <v>0</v>
      </c>
      <c r="J25" s="8">
        <f>IF(E25="","",IFERROR(IFERROR(INDEX(Recipes!$K$5:$K$204,MATCH(E25,Recipes!$A$5:$A$204,0)),"")*IF(F25="",1,F25),""))</f>
        <v>0</v>
      </c>
      <c r="K25" s="8">
        <f>IF(E25="","",IFERROR(IFERROR(INDEX(Recipes!$L$5:$L$204,MATCH(E25,Recipes!$A$5:$A$204,0)),"")*IF(F25="",1,F25),""))</f>
        <v>0</v>
      </c>
      <c r="L25" s="8">
        <f>IF(E25="","",IFERROR(IFERROR(INDEX(Recipes!$M$5:$M$204,MATCH(E25,Recipes!$A$5:$A$204,0)),"")*IF(F25="",1,F25),""))</f>
        <v>0</v>
      </c>
      <c r="M25" s="8">
        <f>IF(E25="","",IFERROR(IFERROR(INDEX(Recipes!$N$5:$N$204,MATCH(E25,Recipes!$A$5:$A$204,0)),"")*IF(F25="",1,F25),""))</f>
        <v>0</v>
      </c>
      <c r="N25" s="26"/>
      <c r="O25" s="8">
        <f>IF(A25="","",Calorie_Target*Household_Size)</f>
        <v>0</v>
      </c>
      <c r="P25" s="8">
        <f>IF(OR(A25="",O25=0),"",IFERROR(G25/O25,""))</f>
        <v>0</v>
      </c>
      <c r="Q25" s="8">
        <f>IF(OR(A25="",Protein_Target=0),"",IFERROR(H25/(Protein_Target*Household_Size),""))</f>
        <v>0</v>
      </c>
      <c r="R25" s="8">
        <f>IF(OR(A25="",Carb_Target=0),"",IFERROR(I25/(Carb_Target*Household_Size),""))</f>
        <v>0</v>
      </c>
      <c r="S25" s="8">
        <f>IF(OR(A25="",Fat_Target=0),"",IFERROR(J25/(Fat_Target*Household_Size),""))</f>
        <v>0</v>
      </c>
      <c r="T25" s="8">
        <f>IF(OR(A25="",Fibre_Target=0),"",IFERROR(K25/(Fibre_Target*Household_Size),""))</f>
        <v>0</v>
      </c>
      <c r="U25" s="8">
        <f>IF(OR(A25="",Sugar_Limit=0),"",IFERROR(L25/(Sugar_Limit*Household_Size),""))</f>
        <v>0</v>
      </c>
      <c r="V25" s="8">
        <f>IF(OR(A25="",Sodium_Limit=0),"",IFERROR(M25/(Sodium_Limit*Household_Size),""))</f>
        <v>0</v>
      </c>
      <c r="W25" s="8">
        <f>IF(A25="","",IF(P25="","",IF(P25&gt;1.1,"Over target",IF(P25&lt;0.8,"Under target","On target"))))</f>
        <v>0</v>
      </c>
      <c r="X25" s="25"/>
    </row>
    <row r="26" spans="1:24">
      <c r="A26" s="30"/>
      <c r="B26" s="8">
        <f>IF(A26="","",TEXT(A26,"mmm yyyy"))</f>
        <v>0</v>
      </c>
      <c r="C26" s="8">
        <f>IF(A26="","",TEXT(A26,"ddd"))</f>
        <v>0</v>
      </c>
      <c r="D26" s="27"/>
      <c r="E26" s="27"/>
      <c r="F26" s="26"/>
      <c r="G26" s="8">
        <f>IF(E26="","",IFERROR(IFERROR(INDEX(Recipes!$H$5:$H$204,MATCH(E26,Recipes!$A$5:$A$204,0)),"")*IF(F26="",1,F26),""))</f>
        <v>0</v>
      </c>
      <c r="H26" s="8">
        <f>IF(E26="","",IFERROR(IFERROR(INDEX(Recipes!$I$5:$I$204,MATCH(E26,Recipes!$A$5:$A$204,0)),"")*IF(F26="",1,F26),""))</f>
        <v>0</v>
      </c>
      <c r="I26" s="8">
        <f>IF(E26="","",IFERROR(IFERROR(INDEX(Recipes!$J$5:$J$204,MATCH(E26,Recipes!$A$5:$A$204,0)),"")*IF(F26="",1,F26),""))</f>
        <v>0</v>
      </c>
      <c r="J26" s="8">
        <f>IF(E26="","",IFERROR(IFERROR(INDEX(Recipes!$K$5:$K$204,MATCH(E26,Recipes!$A$5:$A$204,0)),"")*IF(F26="",1,F26),""))</f>
        <v>0</v>
      </c>
      <c r="K26" s="8">
        <f>IF(E26="","",IFERROR(IFERROR(INDEX(Recipes!$L$5:$L$204,MATCH(E26,Recipes!$A$5:$A$204,0)),"")*IF(F26="",1,F26),""))</f>
        <v>0</v>
      </c>
      <c r="L26" s="8">
        <f>IF(E26="","",IFERROR(IFERROR(INDEX(Recipes!$M$5:$M$204,MATCH(E26,Recipes!$A$5:$A$204,0)),"")*IF(F26="",1,F26),""))</f>
        <v>0</v>
      </c>
      <c r="M26" s="8">
        <f>IF(E26="","",IFERROR(IFERROR(INDEX(Recipes!$N$5:$N$204,MATCH(E26,Recipes!$A$5:$A$204,0)),"")*IF(F26="",1,F26),""))</f>
        <v>0</v>
      </c>
      <c r="N26" s="26"/>
      <c r="O26" s="8">
        <f>IF(A26="","",Calorie_Target*Household_Size)</f>
        <v>0</v>
      </c>
      <c r="P26" s="8">
        <f>IF(OR(A26="",O26=0),"",IFERROR(G26/O26,""))</f>
        <v>0</v>
      </c>
      <c r="Q26" s="8">
        <f>IF(OR(A26="",Protein_Target=0),"",IFERROR(H26/(Protein_Target*Household_Size),""))</f>
        <v>0</v>
      </c>
      <c r="R26" s="8">
        <f>IF(OR(A26="",Carb_Target=0),"",IFERROR(I26/(Carb_Target*Household_Size),""))</f>
        <v>0</v>
      </c>
      <c r="S26" s="8">
        <f>IF(OR(A26="",Fat_Target=0),"",IFERROR(J26/(Fat_Target*Household_Size),""))</f>
        <v>0</v>
      </c>
      <c r="T26" s="8">
        <f>IF(OR(A26="",Fibre_Target=0),"",IFERROR(K26/(Fibre_Target*Household_Size),""))</f>
        <v>0</v>
      </c>
      <c r="U26" s="8">
        <f>IF(OR(A26="",Sugar_Limit=0),"",IFERROR(L26/(Sugar_Limit*Household_Size),""))</f>
        <v>0</v>
      </c>
      <c r="V26" s="8">
        <f>IF(OR(A26="",Sodium_Limit=0),"",IFERROR(M26/(Sodium_Limit*Household_Size),""))</f>
        <v>0</v>
      </c>
      <c r="W26" s="8">
        <f>IF(A26="","",IF(P26="","",IF(P26&gt;1.1,"Over target",IF(P26&lt;0.8,"Under target","On target"))))</f>
        <v>0</v>
      </c>
      <c r="X26" s="25"/>
    </row>
    <row r="27" spans="1:24">
      <c r="A27" s="30"/>
      <c r="B27" s="8">
        <f>IF(A27="","",TEXT(A27,"mmm yyyy"))</f>
        <v>0</v>
      </c>
      <c r="C27" s="8">
        <f>IF(A27="","",TEXT(A27,"ddd"))</f>
        <v>0</v>
      </c>
      <c r="D27" s="27"/>
      <c r="E27" s="27"/>
      <c r="F27" s="26"/>
      <c r="G27" s="8">
        <f>IF(E27="","",IFERROR(IFERROR(INDEX(Recipes!$H$5:$H$204,MATCH(E27,Recipes!$A$5:$A$204,0)),"")*IF(F27="",1,F27),""))</f>
        <v>0</v>
      </c>
      <c r="H27" s="8">
        <f>IF(E27="","",IFERROR(IFERROR(INDEX(Recipes!$I$5:$I$204,MATCH(E27,Recipes!$A$5:$A$204,0)),"")*IF(F27="",1,F27),""))</f>
        <v>0</v>
      </c>
      <c r="I27" s="8">
        <f>IF(E27="","",IFERROR(IFERROR(INDEX(Recipes!$J$5:$J$204,MATCH(E27,Recipes!$A$5:$A$204,0)),"")*IF(F27="",1,F27),""))</f>
        <v>0</v>
      </c>
      <c r="J27" s="8">
        <f>IF(E27="","",IFERROR(IFERROR(INDEX(Recipes!$K$5:$K$204,MATCH(E27,Recipes!$A$5:$A$204,0)),"")*IF(F27="",1,F27),""))</f>
        <v>0</v>
      </c>
      <c r="K27" s="8">
        <f>IF(E27="","",IFERROR(IFERROR(INDEX(Recipes!$L$5:$L$204,MATCH(E27,Recipes!$A$5:$A$204,0)),"")*IF(F27="",1,F27),""))</f>
        <v>0</v>
      </c>
      <c r="L27" s="8">
        <f>IF(E27="","",IFERROR(IFERROR(INDEX(Recipes!$M$5:$M$204,MATCH(E27,Recipes!$A$5:$A$204,0)),"")*IF(F27="",1,F27),""))</f>
        <v>0</v>
      </c>
      <c r="M27" s="8">
        <f>IF(E27="","",IFERROR(IFERROR(INDEX(Recipes!$N$5:$N$204,MATCH(E27,Recipes!$A$5:$A$204,0)),"")*IF(F27="",1,F27),""))</f>
        <v>0</v>
      </c>
      <c r="N27" s="26"/>
      <c r="O27" s="8">
        <f>IF(A27="","",Calorie_Target*Household_Size)</f>
        <v>0</v>
      </c>
      <c r="P27" s="8">
        <f>IF(OR(A27="",O27=0),"",IFERROR(G27/O27,""))</f>
        <v>0</v>
      </c>
      <c r="Q27" s="8">
        <f>IF(OR(A27="",Protein_Target=0),"",IFERROR(H27/(Protein_Target*Household_Size),""))</f>
        <v>0</v>
      </c>
      <c r="R27" s="8">
        <f>IF(OR(A27="",Carb_Target=0),"",IFERROR(I27/(Carb_Target*Household_Size),""))</f>
        <v>0</v>
      </c>
      <c r="S27" s="8">
        <f>IF(OR(A27="",Fat_Target=0),"",IFERROR(J27/(Fat_Target*Household_Size),""))</f>
        <v>0</v>
      </c>
      <c r="T27" s="8">
        <f>IF(OR(A27="",Fibre_Target=0),"",IFERROR(K27/(Fibre_Target*Household_Size),""))</f>
        <v>0</v>
      </c>
      <c r="U27" s="8">
        <f>IF(OR(A27="",Sugar_Limit=0),"",IFERROR(L27/(Sugar_Limit*Household_Size),""))</f>
        <v>0</v>
      </c>
      <c r="V27" s="8">
        <f>IF(OR(A27="",Sodium_Limit=0),"",IFERROR(M27/(Sodium_Limit*Household_Size),""))</f>
        <v>0</v>
      </c>
      <c r="W27" s="8">
        <f>IF(A27="","",IF(P27="","",IF(P27&gt;1.1,"Over target",IF(P27&lt;0.8,"Under target","On target"))))</f>
        <v>0</v>
      </c>
      <c r="X27" s="25"/>
    </row>
    <row r="28" spans="1:24">
      <c r="A28" s="30"/>
      <c r="B28" s="8">
        <f>IF(A28="","",TEXT(A28,"mmm yyyy"))</f>
        <v>0</v>
      </c>
      <c r="C28" s="8">
        <f>IF(A28="","",TEXT(A28,"ddd"))</f>
        <v>0</v>
      </c>
      <c r="D28" s="27"/>
      <c r="E28" s="27"/>
      <c r="F28" s="26"/>
      <c r="G28" s="8">
        <f>IF(E28="","",IFERROR(IFERROR(INDEX(Recipes!$H$5:$H$204,MATCH(E28,Recipes!$A$5:$A$204,0)),"")*IF(F28="",1,F28),""))</f>
        <v>0</v>
      </c>
      <c r="H28" s="8">
        <f>IF(E28="","",IFERROR(IFERROR(INDEX(Recipes!$I$5:$I$204,MATCH(E28,Recipes!$A$5:$A$204,0)),"")*IF(F28="",1,F28),""))</f>
        <v>0</v>
      </c>
      <c r="I28" s="8">
        <f>IF(E28="","",IFERROR(IFERROR(INDEX(Recipes!$J$5:$J$204,MATCH(E28,Recipes!$A$5:$A$204,0)),"")*IF(F28="",1,F28),""))</f>
        <v>0</v>
      </c>
      <c r="J28" s="8">
        <f>IF(E28="","",IFERROR(IFERROR(INDEX(Recipes!$K$5:$K$204,MATCH(E28,Recipes!$A$5:$A$204,0)),"")*IF(F28="",1,F28),""))</f>
        <v>0</v>
      </c>
      <c r="K28" s="8">
        <f>IF(E28="","",IFERROR(IFERROR(INDEX(Recipes!$L$5:$L$204,MATCH(E28,Recipes!$A$5:$A$204,0)),"")*IF(F28="",1,F28),""))</f>
        <v>0</v>
      </c>
      <c r="L28" s="8">
        <f>IF(E28="","",IFERROR(IFERROR(INDEX(Recipes!$M$5:$M$204,MATCH(E28,Recipes!$A$5:$A$204,0)),"")*IF(F28="",1,F28),""))</f>
        <v>0</v>
      </c>
      <c r="M28" s="8">
        <f>IF(E28="","",IFERROR(IFERROR(INDEX(Recipes!$N$5:$N$204,MATCH(E28,Recipes!$A$5:$A$204,0)),"")*IF(F28="",1,F28),""))</f>
        <v>0</v>
      </c>
      <c r="N28" s="26"/>
      <c r="O28" s="8">
        <f>IF(A28="","",Calorie_Target*Household_Size)</f>
        <v>0</v>
      </c>
      <c r="P28" s="8">
        <f>IF(OR(A28="",O28=0),"",IFERROR(G28/O28,""))</f>
        <v>0</v>
      </c>
      <c r="Q28" s="8">
        <f>IF(OR(A28="",Protein_Target=0),"",IFERROR(H28/(Protein_Target*Household_Size),""))</f>
        <v>0</v>
      </c>
      <c r="R28" s="8">
        <f>IF(OR(A28="",Carb_Target=0),"",IFERROR(I28/(Carb_Target*Household_Size),""))</f>
        <v>0</v>
      </c>
      <c r="S28" s="8">
        <f>IF(OR(A28="",Fat_Target=0),"",IFERROR(J28/(Fat_Target*Household_Size),""))</f>
        <v>0</v>
      </c>
      <c r="T28" s="8">
        <f>IF(OR(A28="",Fibre_Target=0),"",IFERROR(K28/(Fibre_Target*Household_Size),""))</f>
        <v>0</v>
      </c>
      <c r="U28" s="8">
        <f>IF(OR(A28="",Sugar_Limit=0),"",IFERROR(L28/(Sugar_Limit*Household_Size),""))</f>
        <v>0</v>
      </c>
      <c r="V28" s="8">
        <f>IF(OR(A28="",Sodium_Limit=0),"",IFERROR(M28/(Sodium_Limit*Household_Size),""))</f>
        <v>0</v>
      </c>
      <c r="W28" s="8">
        <f>IF(A28="","",IF(P28="","",IF(P28&gt;1.1,"Over target",IF(P28&lt;0.8,"Under target","On target"))))</f>
        <v>0</v>
      </c>
      <c r="X28" s="25"/>
    </row>
    <row r="29" spans="1:24">
      <c r="A29" s="30"/>
      <c r="B29" s="8">
        <f>IF(A29="","",TEXT(A29,"mmm yyyy"))</f>
        <v>0</v>
      </c>
      <c r="C29" s="8">
        <f>IF(A29="","",TEXT(A29,"ddd"))</f>
        <v>0</v>
      </c>
      <c r="D29" s="27"/>
      <c r="E29" s="27"/>
      <c r="F29" s="26"/>
      <c r="G29" s="8">
        <f>IF(E29="","",IFERROR(IFERROR(INDEX(Recipes!$H$5:$H$204,MATCH(E29,Recipes!$A$5:$A$204,0)),"")*IF(F29="",1,F29),""))</f>
        <v>0</v>
      </c>
      <c r="H29" s="8">
        <f>IF(E29="","",IFERROR(IFERROR(INDEX(Recipes!$I$5:$I$204,MATCH(E29,Recipes!$A$5:$A$204,0)),"")*IF(F29="",1,F29),""))</f>
        <v>0</v>
      </c>
      <c r="I29" s="8">
        <f>IF(E29="","",IFERROR(IFERROR(INDEX(Recipes!$J$5:$J$204,MATCH(E29,Recipes!$A$5:$A$204,0)),"")*IF(F29="",1,F29),""))</f>
        <v>0</v>
      </c>
      <c r="J29" s="8">
        <f>IF(E29="","",IFERROR(IFERROR(INDEX(Recipes!$K$5:$K$204,MATCH(E29,Recipes!$A$5:$A$204,0)),"")*IF(F29="",1,F29),""))</f>
        <v>0</v>
      </c>
      <c r="K29" s="8">
        <f>IF(E29="","",IFERROR(IFERROR(INDEX(Recipes!$L$5:$L$204,MATCH(E29,Recipes!$A$5:$A$204,0)),"")*IF(F29="",1,F29),""))</f>
        <v>0</v>
      </c>
      <c r="L29" s="8">
        <f>IF(E29="","",IFERROR(IFERROR(INDEX(Recipes!$M$5:$M$204,MATCH(E29,Recipes!$A$5:$A$204,0)),"")*IF(F29="",1,F29),""))</f>
        <v>0</v>
      </c>
      <c r="M29" s="8">
        <f>IF(E29="","",IFERROR(IFERROR(INDEX(Recipes!$N$5:$N$204,MATCH(E29,Recipes!$A$5:$A$204,0)),"")*IF(F29="",1,F29),""))</f>
        <v>0</v>
      </c>
      <c r="N29" s="26"/>
      <c r="O29" s="8">
        <f>IF(A29="","",Calorie_Target*Household_Size)</f>
        <v>0</v>
      </c>
      <c r="P29" s="8">
        <f>IF(OR(A29="",O29=0),"",IFERROR(G29/O29,""))</f>
        <v>0</v>
      </c>
      <c r="Q29" s="8">
        <f>IF(OR(A29="",Protein_Target=0),"",IFERROR(H29/(Protein_Target*Household_Size),""))</f>
        <v>0</v>
      </c>
      <c r="R29" s="8">
        <f>IF(OR(A29="",Carb_Target=0),"",IFERROR(I29/(Carb_Target*Household_Size),""))</f>
        <v>0</v>
      </c>
      <c r="S29" s="8">
        <f>IF(OR(A29="",Fat_Target=0),"",IFERROR(J29/(Fat_Target*Household_Size),""))</f>
        <v>0</v>
      </c>
      <c r="T29" s="8">
        <f>IF(OR(A29="",Fibre_Target=0),"",IFERROR(K29/(Fibre_Target*Household_Size),""))</f>
        <v>0</v>
      </c>
      <c r="U29" s="8">
        <f>IF(OR(A29="",Sugar_Limit=0),"",IFERROR(L29/(Sugar_Limit*Household_Size),""))</f>
        <v>0</v>
      </c>
      <c r="V29" s="8">
        <f>IF(OR(A29="",Sodium_Limit=0),"",IFERROR(M29/(Sodium_Limit*Household_Size),""))</f>
        <v>0</v>
      </c>
      <c r="W29" s="8">
        <f>IF(A29="","",IF(P29="","",IF(P29&gt;1.1,"Over target",IF(P29&lt;0.8,"Under target","On target"))))</f>
        <v>0</v>
      </c>
      <c r="X29" s="25"/>
    </row>
    <row r="30" spans="1:24">
      <c r="A30" s="30"/>
      <c r="B30" s="8">
        <f>IF(A30="","",TEXT(A30,"mmm yyyy"))</f>
        <v>0</v>
      </c>
      <c r="C30" s="8">
        <f>IF(A30="","",TEXT(A30,"ddd"))</f>
        <v>0</v>
      </c>
      <c r="D30" s="27"/>
      <c r="E30" s="27"/>
      <c r="F30" s="26"/>
      <c r="G30" s="8">
        <f>IF(E30="","",IFERROR(IFERROR(INDEX(Recipes!$H$5:$H$204,MATCH(E30,Recipes!$A$5:$A$204,0)),"")*IF(F30="",1,F30),""))</f>
        <v>0</v>
      </c>
      <c r="H30" s="8">
        <f>IF(E30="","",IFERROR(IFERROR(INDEX(Recipes!$I$5:$I$204,MATCH(E30,Recipes!$A$5:$A$204,0)),"")*IF(F30="",1,F30),""))</f>
        <v>0</v>
      </c>
      <c r="I30" s="8">
        <f>IF(E30="","",IFERROR(IFERROR(INDEX(Recipes!$J$5:$J$204,MATCH(E30,Recipes!$A$5:$A$204,0)),"")*IF(F30="",1,F30),""))</f>
        <v>0</v>
      </c>
      <c r="J30" s="8">
        <f>IF(E30="","",IFERROR(IFERROR(INDEX(Recipes!$K$5:$K$204,MATCH(E30,Recipes!$A$5:$A$204,0)),"")*IF(F30="",1,F30),""))</f>
        <v>0</v>
      </c>
      <c r="K30" s="8">
        <f>IF(E30="","",IFERROR(IFERROR(INDEX(Recipes!$L$5:$L$204,MATCH(E30,Recipes!$A$5:$A$204,0)),"")*IF(F30="",1,F30),""))</f>
        <v>0</v>
      </c>
      <c r="L30" s="8">
        <f>IF(E30="","",IFERROR(IFERROR(INDEX(Recipes!$M$5:$M$204,MATCH(E30,Recipes!$A$5:$A$204,0)),"")*IF(F30="",1,F30),""))</f>
        <v>0</v>
      </c>
      <c r="M30" s="8">
        <f>IF(E30="","",IFERROR(IFERROR(INDEX(Recipes!$N$5:$N$204,MATCH(E30,Recipes!$A$5:$A$204,0)),"")*IF(F30="",1,F30),""))</f>
        <v>0</v>
      </c>
      <c r="N30" s="26"/>
      <c r="O30" s="8">
        <f>IF(A30="","",Calorie_Target*Household_Size)</f>
        <v>0</v>
      </c>
      <c r="P30" s="8">
        <f>IF(OR(A30="",O30=0),"",IFERROR(G30/O30,""))</f>
        <v>0</v>
      </c>
      <c r="Q30" s="8">
        <f>IF(OR(A30="",Protein_Target=0),"",IFERROR(H30/(Protein_Target*Household_Size),""))</f>
        <v>0</v>
      </c>
      <c r="R30" s="8">
        <f>IF(OR(A30="",Carb_Target=0),"",IFERROR(I30/(Carb_Target*Household_Size),""))</f>
        <v>0</v>
      </c>
      <c r="S30" s="8">
        <f>IF(OR(A30="",Fat_Target=0),"",IFERROR(J30/(Fat_Target*Household_Size),""))</f>
        <v>0</v>
      </c>
      <c r="T30" s="8">
        <f>IF(OR(A30="",Fibre_Target=0),"",IFERROR(K30/(Fibre_Target*Household_Size),""))</f>
        <v>0</v>
      </c>
      <c r="U30" s="8">
        <f>IF(OR(A30="",Sugar_Limit=0),"",IFERROR(L30/(Sugar_Limit*Household_Size),""))</f>
        <v>0</v>
      </c>
      <c r="V30" s="8">
        <f>IF(OR(A30="",Sodium_Limit=0),"",IFERROR(M30/(Sodium_Limit*Household_Size),""))</f>
        <v>0</v>
      </c>
      <c r="W30" s="8">
        <f>IF(A30="","",IF(P30="","",IF(P30&gt;1.1,"Over target",IF(P30&lt;0.8,"Under target","On target"))))</f>
        <v>0</v>
      </c>
      <c r="X30" s="25"/>
    </row>
    <row r="31" spans="1:24">
      <c r="A31" s="30"/>
      <c r="B31" s="8">
        <f>IF(A31="","",TEXT(A31,"mmm yyyy"))</f>
        <v>0</v>
      </c>
      <c r="C31" s="8">
        <f>IF(A31="","",TEXT(A31,"ddd"))</f>
        <v>0</v>
      </c>
      <c r="D31" s="27"/>
      <c r="E31" s="27"/>
      <c r="F31" s="26"/>
      <c r="G31" s="8">
        <f>IF(E31="","",IFERROR(IFERROR(INDEX(Recipes!$H$5:$H$204,MATCH(E31,Recipes!$A$5:$A$204,0)),"")*IF(F31="",1,F31),""))</f>
        <v>0</v>
      </c>
      <c r="H31" s="8">
        <f>IF(E31="","",IFERROR(IFERROR(INDEX(Recipes!$I$5:$I$204,MATCH(E31,Recipes!$A$5:$A$204,0)),"")*IF(F31="",1,F31),""))</f>
        <v>0</v>
      </c>
      <c r="I31" s="8">
        <f>IF(E31="","",IFERROR(IFERROR(INDEX(Recipes!$J$5:$J$204,MATCH(E31,Recipes!$A$5:$A$204,0)),"")*IF(F31="",1,F31),""))</f>
        <v>0</v>
      </c>
      <c r="J31" s="8">
        <f>IF(E31="","",IFERROR(IFERROR(INDEX(Recipes!$K$5:$K$204,MATCH(E31,Recipes!$A$5:$A$204,0)),"")*IF(F31="",1,F31),""))</f>
        <v>0</v>
      </c>
      <c r="K31" s="8">
        <f>IF(E31="","",IFERROR(IFERROR(INDEX(Recipes!$L$5:$L$204,MATCH(E31,Recipes!$A$5:$A$204,0)),"")*IF(F31="",1,F31),""))</f>
        <v>0</v>
      </c>
      <c r="L31" s="8">
        <f>IF(E31="","",IFERROR(IFERROR(INDEX(Recipes!$M$5:$M$204,MATCH(E31,Recipes!$A$5:$A$204,0)),"")*IF(F31="",1,F31),""))</f>
        <v>0</v>
      </c>
      <c r="M31" s="8">
        <f>IF(E31="","",IFERROR(IFERROR(INDEX(Recipes!$N$5:$N$204,MATCH(E31,Recipes!$A$5:$A$204,0)),"")*IF(F31="",1,F31),""))</f>
        <v>0</v>
      </c>
      <c r="N31" s="26"/>
      <c r="O31" s="8">
        <f>IF(A31="","",Calorie_Target*Household_Size)</f>
        <v>0</v>
      </c>
      <c r="P31" s="8">
        <f>IF(OR(A31="",O31=0),"",IFERROR(G31/O31,""))</f>
        <v>0</v>
      </c>
      <c r="Q31" s="8">
        <f>IF(OR(A31="",Protein_Target=0),"",IFERROR(H31/(Protein_Target*Household_Size),""))</f>
        <v>0</v>
      </c>
      <c r="R31" s="8">
        <f>IF(OR(A31="",Carb_Target=0),"",IFERROR(I31/(Carb_Target*Household_Size),""))</f>
        <v>0</v>
      </c>
      <c r="S31" s="8">
        <f>IF(OR(A31="",Fat_Target=0),"",IFERROR(J31/(Fat_Target*Household_Size),""))</f>
        <v>0</v>
      </c>
      <c r="T31" s="8">
        <f>IF(OR(A31="",Fibre_Target=0),"",IFERROR(K31/(Fibre_Target*Household_Size),""))</f>
        <v>0</v>
      </c>
      <c r="U31" s="8">
        <f>IF(OR(A31="",Sugar_Limit=0),"",IFERROR(L31/(Sugar_Limit*Household_Size),""))</f>
        <v>0</v>
      </c>
      <c r="V31" s="8">
        <f>IF(OR(A31="",Sodium_Limit=0),"",IFERROR(M31/(Sodium_Limit*Household_Size),""))</f>
        <v>0</v>
      </c>
      <c r="W31" s="8">
        <f>IF(A31="","",IF(P31="","",IF(P31&gt;1.1,"Over target",IF(P31&lt;0.8,"Under target","On target"))))</f>
        <v>0</v>
      </c>
      <c r="X31" s="25"/>
    </row>
    <row r="32" spans="1:24">
      <c r="A32" s="30"/>
      <c r="B32" s="8">
        <f>IF(A32="","",TEXT(A32,"mmm yyyy"))</f>
        <v>0</v>
      </c>
      <c r="C32" s="8">
        <f>IF(A32="","",TEXT(A32,"ddd"))</f>
        <v>0</v>
      </c>
      <c r="D32" s="27"/>
      <c r="E32" s="27"/>
      <c r="F32" s="26"/>
      <c r="G32" s="8">
        <f>IF(E32="","",IFERROR(IFERROR(INDEX(Recipes!$H$5:$H$204,MATCH(E32,Recipes!$A$5:$A$204,0)),"")*IF(F32="",1,F32),""))</f>
        <v>0</v>
      </c>
      <c r="H32" s="8">
        <f>IF(E32="","",IFERROR(IFERROR(INDEX(Recipes!$I$5:$I$204,MATCH(E32,Recipes!$A$5:$A$204,0)),"")*IF(F32="",1,F32),""))</f>
        <v>0</v>
      </c>
      <c r="I32" s="8">
        <f>IF(E32="","",IFERROR(IFERROR(INDEX(Recipes!$J$5:$J$204,MATCH(E32,Recipes!$A$5:$A$204,0)),"")*IF(F32="",1,F32),""))</f>
        <v>0</v>
      </c>
      <c r="J32" s="8">
        <f>IF(E32="","",IFERROR(IFERROR(INDEX(Recipes!$K$5:$K$204,MATCH(E32,Recipes!$A$5:$A$204,0)),"")*IF(F32="",1,F32),""))</f>
        <v>0</v>
      </c>
      <c r="K32" s="8">
        <f>IF(E32="","",IFERROR(IFERROR(INDEX(Recipes!$L$5:$L$204,MATCH(E32,Recipes!$A$5:$A$204,0)),"")*IF(F32="",1,F32),""))</f>
        <v>0</v>
      </c>
      <c r="L32" s="8">
        <f>IF(E32="","",IFERROR(IFERROR(INDEX(Recipes!$M$5:$M$204,MATCH(E32,Recipes!$A$5:$A$204,0)),"")*IF(F32="",1,F32),""))</f>
        <v>0</v>
      </c>
      <c r="M32" s="8">
        <f>IF(E32="","",IFERROR(IFERROR(INDEX(Recipes!$N$5:$N$204,MATCH(E32,Recipes!$A$5:$A$204,0)),"")*IF(F32="",1,F32),""))</f>
        <v>0</v>
      </c>
      <c r="N32" s="26"/>
      <c r="O32" s="8">
        <f>IF(A32="","",Calorie_Target*Household_Size)</f>
        <v>0</v>
      </c>
      <c r="P32" s="8">
        <f>IF(OR(A32="",O32=0),"",IFERROR(G32/O32,""))</f>
        <v>0</v>
      </c>
      <c r="Q32" s="8">
        <f>IF(OR(A32="",Protein_Target=0),"",IFERROR(H32/(Protein_Target*Household_Size),""))</f>
        <v>0</v>
      </c>
      <c r="R32" s="8">
        <f>IF(OR(A32="",Carb_Target=0),"",IFERROR(I32/(Carb_Target*Household_Size),""))</f>
        <v>0</v>
      </c>
      <c r="S32" s="8">
        <f>IF(OR(A32="",Fat_Target=0),"",IFERROR(J32/(Fat_Target*Household_Size),""))</f>
        <v>0</v>
      </c>
      <c r="T32" s="8">
        <f>IF(OR(A32="",Fibre_Target=0),"",IFERROR(K32/(Fibre_Target*Household_Size),""))</f>
        <v>0</v>
      </c>
      <c r="U32" s="8">
        <f>IF(OR(A32="",Sugar_Limit=0),"",IFERROR(L32/(Sugar_Limit*Household_Size),""))</f>
        <v>0</v>
      </c>
      <c r="V32" s="8">
        <f>IF(OR(A32="",Sodium_Limit=0),"",IFERROR(M32/(Sodium_Limit*Household_Size),""))</f>
        <v>0</v>
      </c>
      <c r="W32" s="8">
        <f>IF(A32="","",IF(P32="","",IF(P32&gt;1.1,"Over target",IF(P32&lt;0.8,"Under target","On target"))))</f>
        <v>0</v>
      </c>
      <c r="X32" s="25"/>
    </row>
    <row r="33" spans="1:24">
      <c r="A33" s="30"/>
      <c r="B33" s="8">
        <f>IF(A33="","",TEXT(A33,"mmm yyyy"))</f>
        <v>0</v>
      </c>
      <c r="C33" s="8">
        <f>IF(A33="","",TEXT(A33,"ddd"))</f>
        <v>0</v>
      </c>
      <c r="D33" s="27"/>
      <c r="E33" s="27"/>
      <c r="F33" s="26"/>
      <c r="G33" s="8">
        <f>IF(E33="","",IFERROR(IFERROR(INDEX(Recipes!$H$5:$H$204,MATCH(E33,Recipes!$A$5:$A$204,0)),"")*IF(F33="",1,F33),""))</f>
        <v>0</v>
      </c>
      <c r="H33" s="8">
        <f>IF(E33="","",IFERROR(IFERROR(INDEX(Recipes!$I$5:$I$204,MATCH(E33,Recipes!$A$5:$A$204,0)),"")*IF(F33="",1,F33),""))</f>
        <v>0</v>
      </c>
      <c r="I33" s="8">
        <f>IF(E33="","",IFERROR(IFERROR(INDEX(Recipes!$J$5:$J$204,MATCH(E33,Recipes!$A$5:$A$204,0)),"")*IF(F33="",1,F33),""))</f>
        <v>0</v>
      </c>
      <c r="J33" s="8">
        <f>IF(E33="","",IFERROR(IFERROR(INDEX(Recipes!$K$5:$K$204,MATCH(E33,Recipes!$A$5:$A$204,0)),"")*IF(F33="",1,F33),""))</f>
        <v>0</v>
      </c>
      <c r="K33" s="8">
        <f>IF(E33="","",IFERROR(IFERROR(INDEX(Recipes!$L$5:$L$204,MATCH(E33,Recipes!$A$5:$A$204,0)),"")*IF(F33="",1,F33),""))</f>
        <v>0</v>
      </c>
      <c r="L33" s="8">
        <f>IF(E33="","",IFERROR(IFERROR(INDEX(Recipes!$M$5:$M$204,MATCH(E33,Recipes!$A$5:$A$204,0)),"")*IF(F33="",1,F33),""))</f>
        <v>0</v>
      </c>
      <c r="M33" s="8">
        <f>IF(E33="","",IFERROR(IFERROR(INDEX(Recipes!$N$5:$N$204,MATCH(E33,Recipes!$A$5:$A$204,0)),"")*IF(F33="",1,F33),""))</f>
        <v>0</v>
      </c>
      <c r="N33" s="26"/>
      <c r="O33" s="8">
        <f>IF(A33="","",Calorie_Target*Household_Size)</f>
        <v>0</v>
      </c>
      <c r="P33" s="8">
        <f>IF(OR(A33="",O33=0),"",IFERROR(G33/O33,""))</f>
        <v>0</v>
      </c>
      <c r="Q33" s="8">
        <f>IF(OR(A33="",Protein_Target=0),"",IFERROR(H33/(Protein_Target*Household_Size),""))</f>
        <v>0</v>
      </c>
      <c r="R33" s="8">
        <f>IF(OR(A33="",Carb_Target=0),"",IFERROR(I33/(Carb_Target*Household_Size),""))</f>
        <v>0</v>
      </c>
      <c r="S33" s="8">
        <f>IF(OR(A33="",Fat_Target=0),"",IFERROR(J33/(Fat_Target*Household_Size),""))</f>
        <v>0</v>
      </c>
      <c r="T33" s="8">
        <f>IF(OR(A33="",Fibre_Target=0),"",IFERROR(K33/(Fibre_Target*Household_Size),""))</f>
        <v>0</v>
      </c>
      <c r="U33" s="8">
        <f>IF(OR(A33="",Sugar_Limit=0),"",IFERROR(L33/(Sugar_Limit*Household_Size),""))</f>
        <v>0</v>
      </c>
      <c r="V33" s="8">
        <f>IF(OR(A33="",Sodium_Limit=0),"",IFERROR(M33/(Sodium_Limit*Household_Size),""))</f>
        <v>0</v>
      </c>
      <c r="W33" s="8">
        <f>IF(A33="","",IF(P33="","",IF(P33&gt;1.1,"Over target",IF(P33&lt;0.8,"Under target","On target"))))</f>
        <v>0</v>
      </c>
      <c r="X33" s="25"/>
    </row>
    <row r="34" spans="1:24">
      <c r="A34" s="30"/>
      <c r="B34" s="8">
        <f>IF(A34="","",TEXT(A34,"mmm yyyy"))</f>
        <v>0</v>
      </c>
      <c r="C34" s="8">
        <f>IF(A34="","",TEXT(A34,"ddd"))</f>
        <v>0</v>
      </c>
      <c r="D34" s="27"/>
      <c r="E34" s="27"/>
      <c r="F34" s="26"/>
      <c r="G34" s="8">
        <f>IF(E34="","",IFERROR(IFERROR(INDEX(Recipes!$H$5:$H$204,MATCH(E34,Recipes!$A$5:$A$204,0)),"")*IF(F34="",1,F34),""))</f>
        <v>0</v>
      </c>
      <c r="H34" s="8">
        <f>IF(E34="","",IFERROR(IFERROR(INDEX(Recipes!$I$5:$I$204,MATCH(E34,Recipes!$A$5:$A$204,0)),"")*IF(F34="",1,F34),""))</f>
        <v>0</v>
      </c>
      <c r="I34" s="8">
        <f>IF(E34="","",IFERROR(IFERROR(INDEX(Recipes!$J$5:$J$204,MATCH(E34,Recipes!$A$5:$A$204,0)),"")*IF(F34="",1,F34),""))</f>
        <v>0</v>
      </c>
      <c r="J34" s="8">
        <f>IF(E34="","",IFERROR(IFERROR(INDEX(Recipes!$K$5:$K$204,MATCH(E34,Recipes!$A$5:$A$204,0)),"")*IF(F34="",1,F34),""))</f>
        <v>0</v>
      </c>
      <c r="K34" s="8">
        <f>IF(E34="","",IFERROR(IFERROR(INDEX(Recipes!$L$5:$L$204,MATCH(E34,Recipes!$A$5:$A$204,0)),"")*IF(F34="",1,F34),""))</f>
        <v>0</v>
      </c>
      <c r="L34" s="8">
        <f>IF(E34="","",IFERROR(IFERROR(INDEX(Recipes!$M$5:$M$204,MATCH(E34,Recipes!$A$5:$A$204,0)),"")*IF(F34="",1,F34),""))</f>
        <v>0</v>
      </c>
      <c r="M34" s="8">
        <f>IF(E34="","",IFERROR(IFERROR(INDEX(Recipes!$N$5:$N$204,MATCH(E34,Recipes!$A$5:$A$204,0)),"")*IF(F34="",1,F34),""))</f>
        <v>0</v>
      </c>
      <c r="N34" s="26"/>
      <c r="O34" s="8">
        <f>IF(A34="","",Calorie_Target*Household_Size)</f>
        <v>0</v>
      </c>
      <c r="P34" s="8">
        <f>IF(OR(A34="",O34=0),"",IFERROR(G34/O34,""))</f>
        <v>0</v>
      </c>
      <c r="Q34" s="8">
        <f>IF(OR(A34="",Protein_Target=0),"",IFERROR(H34/(Protein_Target*Household_Size),""))</f>
        <v>0</v>
      </c>
      <c r="R34" s="8">
        <f>IF(OR(A34="",Carb_Target=0),"",IFERROR(I34/(Carb_Target*Household_Size),""))</f>
        <v>0</v>
      </c>
      <c r="S34" s="8">
        <f>IF(OR(A34="",Fat_Target=0),"",IFERROR(J34/(Fat_Target*Household_Size),""))</f>
        <v>0</v>
      </c>
      <c r="T34" s="8">
        <f>IF(OR(A34="",Fibre_Target=0),"",IFERROR(K34/(Fibre_Target*Household_Size),""))</f>
        <v>0</v>
      </c>
      <c r="U34" s="8">
        <f>IF(OR(A34="",Sugar_Limit=0),"",IFERROR(L34/(Sugar_Limit*Household_Size),""))</f>
        <v>0</v>
      </c>
      <c r="V34" s="8">
        <f>IF(OR(A34="",Sodium_Limit=0),"",IFERROR(M34/(Sodium_Limit*Household_Size),""))</f>
        <v>0</v>
      </c>
      <c r="W34" s="8">
        <f>IF(A34="","",IF(P34="","",IF(P34&gt;1.1,"Over target",IF(P34&lt;0.8,"Under target","On target"))))</f>
        <v>0</v>
      </c>
      <c r="X34" s="25"/>
    </row>
    <row r="35" spans="1:24">
      <c r="A35" s="30"/>
      <c r="B35" s="8">
        <f>IF(A35="","",TEXT(A35,"mmm yyyy"))</f>
        <v>0</v>
      </c>
      <c r="C35" s="8">
        <f>IF(A35="","",TEXT(A35,"ddd"))</f>
        <v>0</v>
      </c>
      <c r="D35" s="27"/>
      <c r="E35" s="27"/>
      <c r="F35" s="26"/>
      <c r="G35" s="8">
        <f>IF(E35="","",IFERROR(IFERROR(INDEX(Recipes!$H$5:$H$204,MATCH(E35,Recipes!$A$5:$A$204,0)),"")*IF(F35="",1,F35),""))</f>
        <v>0</v>
      </c>
      <c r="H35" s="8">
        <f>IF(E35="","",IFERROR(IFERROR(INDEX(Recipes!$I$5:$I$204,MATCH(E35,Recipes!$A$5:$A$204,0)),"")*IF(F35="",1,F35),""))</f>
        <v>0</v>
      </c>
      <c r="I35" s="8">
        <f>IF(E35="","",IFERROR(IFERROR(INDEX(Recipes!$J$5:$J$204,MATCH(E35,Recipes!$A$5:$A$204,0)),"")*IF(F35="",1,F35),""))</f>
        <v>0</v>
      </c>
      <c r="J35" s="8">
        <f>IF(E35="","",IFERROR(IFERROR(INDEX(Recipes!$K$5:$K$204,MATCH(E35,Recipes!$A$5:$A$204,0)),"")*IF(F35="",1,F35),""))</f>
        <v>0</v>
      </c>
      <c r="K35" s="8">
        <f>IF(E35="","",IFERROR(IFERROR(INDEX(Recipes!$L$5:$L$204,MATCH(E35,Recipes!$A$5:$A$204,0)),"")*IF(F35="",1,F35),""))</f>
        <v>0</v>
      </c>
      <c r="L35" s="8">
        <f>IF(E35="","",IFERROR(IFERROR(INDEX(Recipes!$M$5:$M$204,MATCH(E35,Recipes!$A$5:$A$204,0)),"")*IF(F35="",1,F35),""))</f>
        <v>0</v>
      </c>
      <c r="M35" s="8">
        <f>IF(E35="","",IFERROR(IFERROR(INDEX(Recipes!$N$5:$N$204,MATCH(E35,Recipes!$A$5:$A$204,0)),"")*IF(F35="",1,F35),""))</f>
        <v>0</v>
      </c>
      <c r="N35" s="26"/>
      <c r="O35" s="8">
        <f>IF(A35="","",Calorie_Target*Household_Size)</f>
        <v>0</v>
      </c>
      <c r="P35" s="8">
        <f>IF(OR(A35="",O35=0),"",IFERROR(G35/O35,""))</f>
        <v>0</v>
      </c>
      <c r="Q35" s="8">
        <f>IF(OR(A35="",Protein_Target=0),"",IFERROR(H35/(Protein_Target*Household_Size),""))</f>
        <v>0</v>
      </c>
      <c r="R35" s="8">
        <f>IF(OR(A35="",Carb_Target=0),"",IFERROR(I35/(Carb_Target*Household_Size),""))</f>
        <v>0</v>
      </c>
      <c r="S35" s="8">
        <f>IF(OR(A35="",Fat_Target=0),"",IFERROR(J35/(Fat_Target*Household_Size),""))</f>
        <v>0</v>
      </c>
      <c r="T35" s="8">
        <f>IF(OR(A35="",Fibre_Target=0),"",IFERROR(K35/(Fibre_Target*Household_Size),""))</f>
        <v>0</v>
      </c>
      <c r="U35" s="8">
        <f>IF(OR(A35="",Sugar_Limit=0),"",IFERROR(L35/(Sugar_Limit*Household_Size),""))</f>
        <v>0</v>
      </c>
      <c r="V35" s="8">
        <f>IF(OR(A35="",Sodium_Limit=0),"",IFERROR(M35/(Sodium_Limit*Household_Size),""))</f>
        <v>0</v>
      </c>
      <c r="W35" s="8">
        <f>IF(A35="","",IF(P35="","",IF(P35&gt;1.1,"Over target",IF(P35&lt;0.8,"Under target","On target"))))</f>
        <v>0</v>
      </c>
      <c r="X35" s="25"/>
    </row>
    <row r="36" spans="1:24">
      <c r="A36" s="30"/>
      <c r="B36" s="8">
        <f>IF(A36="","",TEXT(A36,"mmm yyyy"))</f>
        <v>0</v>
      </c>
      <c r="C36" s="8">
        <f>IF(A36="","",TEXT(A36,"ddd"))</f>
        <v>0</v>
      </c>
      <c r="D36" s="27"/>
      <c r="E36" s="27"/>
      <c r="F36" s="26"/>
      <c r="G36" s="8">
        <f>IF(E36="","",IFERROR(IFERROR(INDEX(Recipes!$H$5:$H$204,MATCH(E36,Recipes!$A$5:$A$204,0)),"")*IF(F36="",1,F36),""))</f>
        <v>0</v>
      </c>
      <c r="H36" s="8">
        <f>IF(E36="","",IFERROR(IFERROR(INDEX(Recipes!$I$5:$I$204,MATCH(E36,Recipes!$A$5:$A$204,0)),"")*IF(F36="",1,F36),""))</f>
        <v>0</v>
      </c>
      <c r="I36" s="8">
        <f>IF(E36="","",IFERROR(IFERROR(INDEX(Recipes!$J$5:$J$204,MATCH(E36,Recipes!$A$5:$A$204,0)),"")*IF(F36="",1,F36),""))</f>
        <v>0</v>
      </c>
      <c r="J36" s="8">
        <f>IF(E36="","",IFERROR(IFERROR(INDEX(Recipes!$K$5:$K$204,MATCH(E36,Recipes!$A$5:$A$204,0)),"")*IF(F36="",1,F36),""))</f>
        <v>0</v>
      </c>
      <c r="K36" s="8">
        <f>IF(E36="","",IFERROR(IFERROR(INDEX(Recipes!$L$5:$L$204,MATCH(E36,Recipes!$A$5:$A$204,0)),"")*IF(F36="",1,F36),""))</f>
        <v>0</v>
      </c>
      <c r="L36" s="8">
        <f>IF(E36="","",IFERROR(IFERROR(INDEX(Recipes!$M$5:$M$204,MATCH(E36,Recipes!$A$5:$A$204,0)),"")*IF(F36="",1,F36),""))</f>
        <v>0</v>
      </c>
      <c r="M36" s="8">
        <f>IF(E36="","",IFERROR(IFERROR(INDEX(Recipes!$N$5:$N$204,MATCH(E36,Recipes!$A$5:$A$204,0)),"")*IF(F36="",1,F36),""))</f>
        <v>0</v>
      </c>
      <c r="N36" s="26"/>
      <c r="O36" s="8">
        <f>IF(A36="","",Calorie_Target*Household_Size)</f>
        <v>0</v>
      </c>
      <c r="P36" s="8">
        <f>IF(OR(A36="",O36=0),"",IFERROR(G36/O36,""))</f>
        <v>0</v>
      </c>
      <c r="Q36" s="8">
        <f>IF(OR(A36="",Protein_Target=0),"",IFERROR(H36/(Protein_Target*Household_Size),""))</f>
        <v>0</v>
      </c>
      <c r="R36" s="8">
        <f>IF(OR(A36="",Carb_Target=0),"",IFERROR(I36/(Carb_Target*Household_Size),""))</f>
        <v>0</v>
      </c>
      <c r="S36" s="8">
        <f>IF(OR(A36="",Fat_Target=0),"",IFERROR(J36/(Fat_Target*Household_Size),""))</f>
        <v>0</v>
      </c>
      <c r="T36" s="8">
        <f>IF(OR(A36="",Fibre_Target=0),"",IFERROR(K36/(Fibre_Target*Household_Size),""))</f>
        <v>0</v>
      </c>
      <c r="U36" s="8">
        <f>IF(OR(A36="",Sugar_Limit=0),"",IFERROR(L36/(Sugar_Limit*Household_Size),""))</f>
        <v>0</v>
      </c>
      <c r="V36" s="8">
        <f>IF(OR(A36="",Sodium_Limit=0),"",IFERROR(M36/(Sodium_Limit*Household_Size),""))</f>
        <v>0</v>
      </c>
      <c r="W36" s="8">
        <f>IF(A36="","",IF(P36="","",IF(P36&gt;1.1,"Over target",IF(P36&lt;0.8,"Under target","On target"))))</f>
        <v>0</v>
      </c>
      <c r="X36" s="25"/>
    </row>
    <row r="37" spans="1:24">
      <c r="A37" s="30"/>
      <c r="B37" s="8">
        <f>IF(A37="","",TEXT(A37,"mmm yyyy"))</f>
        <v>0</v>
      </c>
      <c r="C37" s="8">
        <f>IF(A37="","",TEXT(A37,"ddd"))</f>
        <v>0</v>
      </c>
      <c r="D37" s="27"/>
      <c r="E37" s="27"/>
      <c r="F37" s="26"/>
      <c r="G37" s="8">
        <f>IF(E37="","",IFERROR(IFERROR(INDEX(Recipes!$H$5:$H$204,MATCH(E37,Recipes!$A$5:$A$204,0)),"")*IF(F37="",1,F37),""))</f>
        <v>0</v>
      </c>
      <c r="H37" s="8">
        <f>IF(E37="","",IFERROR(IFERROR(INDEX(Recipes!$I$5:$I$204,MATCH(E37,Recipes!$A$5:$A$204,0)),"")*IF(F37="",1,F37),""))</f>
        <v>0</v>
      </c>
      <c r="I37" s="8">
        <f>IF(E37="","",IFERROR(IFERROR(INDEX(Recipes!$J$5:$J$204,MATCH(E37,Recipes!$A$5:$A$204,0)),"")*IF(F37="",1,F37),""))</f>
        <v>0</v>
      </c>
      <c r="J37" s="8">
        <f>IF(E37="","",IFERROR(IFERROR(INDEX(Recipes!$K$5:$K$204,MATCH(E37,Recipes!$A$5:$A$204,0)),"")*IF(F37="",1,F37),""))</f>
        <v>0</v>
      </c>
      <c r="K37" s="8">
        <f>IF(E37="","",IFERROR(IFERROR(INDEX(Recipes!$L$5:$L$204,MATCH(E37,Recipes!$A$5:$A$204,0)),"")*IF(F37="",1,F37),""))</f>
        <v>0</v>
      </c>
      <c r="L37" s="8">
        <f>IF(E37="","",IFERROR(IFERROR(INDEX(Recipes!$M$5:$M$204,MATCH(E37,Recipes!$A$5:$A$204,0)),"")*IF(F37="",1,F37),""))</f>
        <v>0</v>
      </c>
      <c r="M37" s="8">
        <f>IF(E37="","",IFERROR(IFERROR(INDEX(Recipes!$N$5:$N$204,MATCH(E37,Recipes!$A$5:$A$204,0)),"")*IF(F37="",1,F37),""))</f>
        <v>0</v>
      </c>
      <c r="N37" s="26"/>
      <c r="O37" s="8">
        <f>IF(A37="","",Calorie_Target*Household_Size)</f>
        <v>0</v>
      </c>
      <c r="P37" s="8">
        <f>IF(OR(A37="",O37=0),"",IFERROR(G37/O37,""))</f>
        <v>0</v>
      </c>
      <c r="Q37" s="8">
        <f>IF(OR(A37="",Protein_Target=0),"",IFERROR(H37/(Protein_Target*Household_Size),""))</f>
        <v>0</v>
      </c>
      <c r="R37" s="8">
        <f>IF(OR(A37="",Carb_Target=0),"",IFERROR(I37/(Carb_Target*Household_Size),""))</f>
        <v>0</v>
      </c>
      <c r="S37" s="8">
        <f>IF(OR(A37="",Fat_Target=0),"",IFERROR(J37/(Fat_Target*Household_Size),""))</f>
        <v>0</v>
      </c>
      <c r="T37" s="8">
        <f>IF(OR(A37="",Fibre_Target=0),"",IFERROR(K37/(Fibre_Target*Household_Size),""))</f>
        <v>0</v>
      </c>
      <c r="U37" s="8">
        <f>IF(OR(A37="",Sugar_Limit=0),"",IFERROR(L37/(Sugar_Limit*Household_Size),""))</f>
        <v>0</v>
      </c>
      <c r="V37" s="8">
        <f>IF(OR(A37="",Sodium_Limit=0),"",IFERROR(M37/(Sodium_Limit*Household_Size),""))</f>
        <v>0</v>
      </c>
      <c r="W37" s="8">
        <f>IF(A37="","",IF(P37="","",IF(P37&gt;1.1,"Over target",IF(P37&lt;0.8,"Under target","On target"))))</f>
        <v>0</v>
      </c>
      <c r="X37" s="25"/>
    </row>
    <row r="38" spans="1:24">
      <c r="A38" s="30"/>
      <c r="B38" s="8">
        <f>IF(A38="","",TEXT(A38,"mmm yyyy"))</f>
        <v>0</v>
      </c>
      <c r="C38" s="8">
        <f>IF(A38="","",TEXT(A38,"ddd"))</f>
        <v>0</v>
      </c>
      <c r="D38" s="27"/>
      <c r="E38" s="27"/>
      <c r="F38" s="26"/>
      <c r="G38" s="8">
        <f>IF(E38="","",IFERROR(IFERROR(INDEX(Recipes!$H$5:$H$204,MATCH(E38,Recipes!$A$5:$A$204,0)),"")*IF(F38="",1,F38),""))</f>
        <v>0</v>
      </c>
      <c r="H38" s="8">
        <f>IF(E38="","",IFERROR(IFERROR(INDEX(Recipes!$I$5:$I$204,MATCH(E38,Recipes!$A$5:$A$204,0)),"")*IF(F38="",1,F38),""))</f>
        <v>0</v>
      </c>
      <c r="I38" s="8">
        <f>IF(E38="","",IFERROR(IFERROR(INDEX(Recipes!$J$5:$J$204,MATCH(E38,Recipes!$A$5:$A$204,0)),"")*IF(F38="",1,F38),""))</f>
        <v>0</v>
      </c>
      <c r="J38" s="8">
        <f>IF(E38="","",IFERROR(IFERROR(INDEX(Recipes!$K$5:$K$204,MATCH(E38,Recipes!$A$5:$A$204,0)),"")*IF(F38="",1,F38),""))</f>
        <v>0</v>
      </c>
      <c r="K38" s="8">
        <f>IF(E38="","",IFERROR(IFERROR(INDEX(Recipes!$L$5:$L$204,MATCH(E38,Recipes!$A$5:$A$204,0)),"")*IF(F38="",1,F38),""))</f>
        <v>0</v>
      </c>
      <c r="L38" s="8">
        <f>IF(E38="","",IFERROR(IFERROR(INDEX(Recipes!$M$5:$M$204,MATCH(E38,Recipes!$A$5:$A$204,0)),"")*IF(F38="",1,F38),""))</f>
        <v>0</v>
      </c>
      <c r="M38" s="8">
        <f>IF(E38="","",IFERROR(IFERROR(INDEX(Recipes!$N$5:$N$204,MATCH(E38,Recipes!$A$5:$A$204,0)),"")*IF(F38="",1,F38),""))</f>
        <v>0</v>
      </c>
      <c r="N38" s="26"/>
      <c r="O38" s="8">
        <f>IF(A38="","",Calorie_Target*Household_Size)</f>
        <v>0</v>
      </c>
      <c r="P38" s="8">
        <f>IF(OR(A38="",O38=0),"",IFERROR(G38/O38,""))</f>
        <v>0</v>
      </c>
      <c r="Q38" s="8">
        <f>IF(OR(A38="",Protein_Target=0),"",IFERROR(H38/(Protein_Target*Household_Size),""))</f>
        <v>0</v>
      </c>
      <c r="R38" s="8">
        <f>IF(OR(A38="",Carb_Target=0),"",IFERROR(I38/(Carb_Target*Household_Size),""))</f>
        <v>0</v>
      </c>
      <c r="S38" s="8">
        <f>IF(OR(A38="",Fat_Target=0),"",IFERROR(J38/(Fat_Target*Household_Size),""))</f>
        <v>0</v>
      </c>
      <c r="T38" s="8">
        <f>IF(OR(A38="",Fibre_Target=0),"",IFERROR(K38/(Fibre_Target*Household_Size),""))</f>
        <v>0</v>
      </c>
      <c r="U38" s="8">
        <f>IF(OR(A38="",Sugar_Limit=0),"",IFERROR(L38/(Sugar_Limit*Household_Size),""))</f>
        <v>0</v>
      </c>
      <c r="V38" s="8">
        <f>IF(OR(A38="",Sodium_Limit=0),"",IFERROR(M38/(Sodium_Limit*Household_Size),""))</f>
        <v>0</v>
      </c>
      <c r="W38" s="8">
        <f>IF(A38="","",IF(P38="","",IF(P38&gt;1.1,"Over target",IF(P38&lt;0.8,"Under target","On target"))))</f>
        <v>0</v>
      </c>
      <c r="X38" s="25"/>
    </row>
    <row r="39" spans="1:24">
      <c r="A39" s="30"/>
      <c r="B39" s="8">
        <f>IF(A39="","",TEXT(A39,"mmm yyyy"))</f>
        <v>0</v>
      </c>
      <c r="C39" s="8">
        <f>IF(A39="","",TEXT(A39,"ddd"))</f>
        <v>0</v>
      </c>
      <c r="D39" s="27"/>
      <c r="E39" s="27"/>
      <c r="F39" s="26"/>
      <c r="G39" s="8">
        <f>IF(E39="","",IFERROR(IFERROR(INDEX(Recipes!$H$5:$H$204,MATCH(E39,Recipes!$A$5:$A$204,0)),"")*IF(F39="",1,F39),""))</f>
        <v>0</v>
      </c>
      <c r="H39" s="8">
        <f>IF(E39="","",IFERROR(IFERROR(INDEX(Recipes!$I$5:$I$204,MATCH(E39,Recipes!$A$5:$A$204,0)),"")*IF(F39="",1,F39),""))</f>
        <v>0</v>
      </c>
      <c r="I39" s="8">
        <f>IF(E39="","",IFERROR(IFERROR(INDEX(Recipes!$J$5:$J$204,MATCH(E39,Recipes!$A$5:$A$204,0)),"")*IF(F39="",1,F39),""))</f>
        <v>0</v>
      </c>
      <c r="J39" s="8">
        <f>IF(E39="","",IFERROR(IFERROR(INDEX(Recipes!$K$5:$K$204,MATCH(E39,Recipes!$A$5:$A$204,0)),"")*IF(F39="",1,F39),""))</f>
        <v>0</v>
      </c>
      <c r="K39" s="8">
        <f>IF(E39="","",IFERROR(IFERROR(INDEX(Recipes!$L$5:$L$204,MATCH(E39,Recipes!$A$5:$A$204,0)),"")*IF(F39="",1,F39),""))</f>
        <v>0</v>
      </c>
      <c r="L39" s="8">
        <f>IF(E39="","",IFERROR(IFERROR(INDEX(Recipes!$M$5:$M$204,MATCH(E39,Recipes!$A$5:$A$204,0)),"")*IF(F39="",1,F39),""))</f>
        <v>0</v>
      </c>
      <c r="M39" s="8">
        <f>IF(E39="","",IFERROR(IFERROR(INDEX(Recipes!$N$5:$N$204,MATCH(E39,Recipes!$A$5:$A$204,0)),"")*IF(F39="",1,F39),""))</f>
        <v>0</v>
      </c>
      <c r="N39" s="26"/>
      <c r="O39" s="8">
        <f>IF(A39="","",Calorie_Target*Household_Size)</f>
        <v>0</v>
      </c>
      <c r="P39" s="8">
        <f>IF(OR(A39="",O39=0),"",IFERROR(G39/O39,""))</f>
        <v>0</v>
      </c>
      <c r="Q39" s="8">
        <f>IF(OR(A39="",Protein_Target=0),"",IFERROR(H39/(Protein_Target*Household_Size),""))</f>
        <v>0</v>
      </c>
      <c r="R39" s="8">
        <f>IF(OR(A39="",Carb_Target=0),"",IFERROR(I39/(Carb_Target*Household_Size),""))</f>
        <v>0</v>
      </c>
      <c r="S39" s="8">
        <f>IF(OR(A39="",Fat_Target=0),"",IFERROR(J39/(Fat_Target*Household_Size),""))</f>
        <v>0</v>
      </c>
      <c r="T39" s="8">
        <f>IF(OR(A39="",Fibre_Target=0),"",IFERROR(K39/(Fibre_Target*Household_Size),""))</f>
        <v>0</v>
      </c>
      <c r="U39" s="8">
        <f>IF(OR(A39="",Sugar_Limit=0),"",IFERROR(L39/(Sugar_Limit*Household_Size),""))</f>
        <v>0</v>
      </c>
      <c r="V39" s="8">
        <f>IF(OR(A39="",Sodium_Limit=0),"",IFERROR(M39/(Sodium_Limit*Household_Size),""))</f>
        <v>0</v>
      </c>
      <c r="W39" s="8">
        <f>IF(A39="","",IF(P39="","",IF(P39&gt;1.1,"Over target",IF(P39&lt;0.8,"Under target","On target"))))</f>
        <v>0</v>
      </c>
      <c r="X39" s="25"/>
    </row>
    <row r="40" spans="1:24">
      <c r="A40" s="30"/>
      <c r="B40" s="8">
        <f>IF(A40="","",TEXT(A40,"mmm yyyy"))</f>
        <v>0</v>
      </c>
      <c r="C40" s="8">
        <f>IF(A40="","",TEXT(A40,"ddd"))</f>
        <v>0</v>
      </c>
      <c r="D40" s="27"/>
      <c r="E40" s="27"/>
      <c r="F40" s="26"/>
      <c r="G40" s="8">
        <f>IF(E40="","",IFERROR(IFERROR(INDEX(Recipes!$H$5:$H$204,MATCH(E40,Recipes!$A$5:$A$204,0)),"")*IF(F40="",1,F40),""))</f>
        <v>0</v>
      </c>
      <c r="H40" s="8">
        <f>IF(E40="","",IFERROR(IFERROR(INDEX(Recipes!$I$5:$I$204,MATCH(E40,Recipes!$A$5:$A$204,0)),"")*IF(F40="",1,F40),""))</f>
        <v>0</v>
      </c>
      <c r="I40" s="8">
        <f>IF(E40="","",IFERROR(IFERROR(INDEX(Recipes!$J$5:$J$204,MATCH(E40,Recipes!$A$5:$A$204,0)),"")*IF(F40="",1,F40),""))</f>
        <v>0</v>
      </c>
      <c r="J40" s="8">
        <f>IF(E40="","",IFERROR(IFERROR(INDEX(Recipes!$K$5:$K$204,MATCH(E40,Recipes!$A$5:$A$204,0)),"")*IF(F40="",1,F40),""))</f>
        <v>0</v>
      </c>
      <c r="K40" s="8">
        <f>IF(E40="","",IFERROR(IFERROR(INDEX(Recipes!$L$5:$L$204,MATCH(E40,Recipes!$A$5:$A$204,0)),"")*IF(F40="",1,F40),""))</f>
        <v>0</v>
      </c>
      <c r="L40" s="8">
        <f>IF(E40="","",IFERROR(IFERROR(INDEX(Recipes!$M$5:$M$204,MATCH(E40,Recipes!$A$5:$A$204,0)),"")*IF(F40="",1,F40),""))</f>
        <v>0</v>
      </c>
      <c r="M40" s="8">
        <f>IF(E40="","",IFERROR(IFERROR(INDEX(Recipes!$N$5:$N$204,MATCH(E40,Recipes!$A$5:$A$204,0)),"")*IF(F40="",1,F40),""))</f>
        <v>0</v>
      </c>
      <c r="N40" s="26"/>
      <c r="O40" s="8">
        <f>IF(A40="","",Calorie_Target*Household_Size)</f>
        <v>0</v>
      </c>
      <c r="P40" s="8">
        <f>IF(OR(A40="",O40=0),"",IFERROR(G40/O40,""))</f>
        <v>0</v>
      </c>
      <c r="Q40" s="8">
        <f>IF(OR(A40="",Protein_Target=0),"",IFERROR(H40/(Protein_Target*Household_Size),""))</f>
        <v>0</v>
      </c>
      <c r="R40" s="8">
        <f>IF(OR(A40="",Carb_Target=0),"",IFERROR(I40/(Carb_Target*Household_Size),""))</f>
        <v>0</v>
      </c>
      <c r="S40" s="8">
        <f>IF(OR(A40="",Fat_Target=0),"",IFERROR(J40/(Fat_Target*Household_Size),""))</f>
        <v>0</v>
      </c>
      <c r="T40" s="8">
        <f>IF(OR(A40="",Fibre_Target=0),"",IFERROR(K40/(Fibre_Target*Household_Size),""))</f>
        <v>0</v>
      </c>
      <c r="U40" s="8">
        <f>IF(OR(A40="",Sugar_Limit=0),"",IFERROR(L40/(Sugar_Limit*Household_Size),""))</f>
        <v>0</v>
      </c>
      <c r="V40" s="8">
        <f>IF(OR(A40="",Sodium_Limit=0),"",IFERROR(M40/(Sodium_Limit*Household_Size),""))</f>
        <v>0</v>
      </c>
      <c r="W40" s="8">
        <f>IF(A40="","",IF(P40="","",IF(P40&gt;1.1,"Over target",IF(P40&lt;0.8,"Under target","On target"))))</f>
        <v>0</v>
      </c>
      <c r="X40" s="25"/>
    </row>
    <row r="41" spans="1:24">
      <c r="A41" s="30"/>
      <c r="B41" s="8">
        <f>IF(A41="","",TEXT(A41,"mmm yyyy"))</f>
        <v>0</v>
      </c>
      <c r="C41" s="8">
        <f>IF(A41="","",TEXT(A41,"ddd"))</f>
        <v>0</v>
      </c>
      <c r="D41" s="27"/>
      <c r="E41" s="27"/>
      <c r="F41" s="26"/>
      <c r="G41" s="8">
        <f>IF(E41="","",IFERROR(IFERROR(INDEX(Recipes!$H$5:$H$204,MATCH(E41,Recipes!$A$5:$A$204,0)),"")*IF(F41="",1,F41),""))</f>
        <v>0</v>
      </c>
      <c r="H41" s="8">
        <f>IF(E41="","",IFERROR(IFERROR(INDEX(Recipes!$I$5:$I$204,MATCH(E41,Recipes!$A$5:$A$204,0)),"")*IF(F41="",1,F41),""))</f>
        <v>0</v>
      </c>
      <c r="I41" s="8">
        <f>IF(E41="","",IFERROR(IFERROR(INDEX(Recipes!$J$5:$J$204,MATCH(E41,Recipes!$A$5:$A$204,0)),"")*IF(F41="",1,F41),""))</f>
        <v>0</v>
      </c>
      <c r="J41" s="8">
        <f>IF(E41="","",IFERROR(IFERROR(INDEX(Recipes!$K$5:$K$204,MATCH(E41,Recipes!$A$5:$A$204,0)),"")*IF(F41="",1,F41),""))</f>
        <v>0</v>
      </c>
      <c r="K41" s="8">
        <f>IF(E41="","",IFERROR(IFERROR(INDEX(Recipes!$L$5:$L$204,MATCH(E41,Recipes!$A$5:$A$204,0)),"")*IF(F41="",1,F41),""))</f>
        <v>0</v>
      </c>
      <c r="L41" s="8">
        <f>IF(E41="","",IFERROR(IFERROR(INDEX(Recipes!$M$5:$M$204,MATCH(E41,Recipes!$A$5:$A$204,0)),"")*IF(F41="",1,F41),""))</f>
        <v>0</v>
      </c>
      <c r="M41" s="8">
        <f>IF(E41="","",IFERROR(IFERROR(INDEX(Recipes!$N$5:$N$204,MATCH(E41,Recipes!$A$5:$A$204,0)),"")*IF(F41="",1,F41),""))</f>
        <v>0</v>
      </c>
      <c r="N41" s="26"/>
      <c r="O41" s="8">
        <f>IF(A41="","",Calorie_Target*Household_Size)</f>
        <v>0</v>
      </c>
      <c r="P41" s="8">
        <f>IF(OR(A41="",O41=0),"",IFERROR(G41/O41,""))</f>
        <v>0</v>
      </c>
      <c r="Q41" s="8">
        <f>IF(OR(A41="",Protein_Target=0),"",IFERROR(H41/(Protein_Target*Household_Size),""))</f>
        <v>0</v>
      </c>
      <c r="R41" s="8">
        <f>IF(OR(A41="",Carb_Target=0),"",IFERROR(I41/(Carb_Target*Household_Size),""))</f>
        <v>0</v>
      </c>
      <c r="S41" s="8">
        <f>IF(OR(A41="",Fat_Target=0),"",IFERROR(J41/(Fat_Target*Household_Size),""))</f>
        <v>0</v>
      </c>
      <c r="T41" s="8">
        <f>IF(OR(A41="",Fibre_Target=0),"",IFERROR(K41/(Fibre_Target*Household_Size),""))</f>
        <v>0</v>
      </c>
      <c r="U41" s="8">
        <f>IF(OR(A41="",Sugar_Limit=0),"",IFERROR(L41/(Sugar_Limit*Household_Size),""))</f>
        <v>0</v>
      </c>
      <c r="V41" s="8">
        <f>IF(OR(A41="",Sodium_Limit=0),"",IFERROR(M41/(Sodium_Limit*Household_Size),""))</f>
        <v>0</v>
      </c>
      <c r="W41" s="8">
        <f>IF(A41="","",IF(P41="","",IF(P41&gt;1.1,"Over target",IF(P41&lt;0.8,"Under target","On target"))))</f>
        <v>0</v>
      </c>
      <c r="X41" s="25"/>
    </row>
    <row r="42" spans="1:24">
      <c r="A42" s="30"/>
      <c r="B42" s="8">
        <f>IF(A42="","",TEXT(A42,"mmm yyyy"))</f>
        <v>0</v>
      </c>
      <c r="C42" s="8">
        <f>IF(A42="","",TEXT(A42,"ddd"))</f>
        <v>0</v>
      </c>
      <c r="D42" s="27"/>
      <c r="E42" s="27"/>
      <c r="F42" s="26"/>
      <c r="G42" s="8">
        <f>IF(E42="","",IFERROR(IFERROR(INDEX(Recipes!$H$5:$H$204,MATCH(E42,Recipes!$A$5:$A$204,0)),"")*IF(F42="",1,F42),""))</f>
        <v>0</v>
      </c>
      <c r="H42" s="8">
        <f>IF(E42="","",IFERROR(IFERROR(INDEX(Recipes!$I$5:$I$204,MATCH(E42,Recipes!$A$5:$A$204,0)),"")*IF(F42="",1,F42),""))</f>
        <v>0</v>
      </c>
      <c r="I42" s="8">
        <f>IF(E42="","",IFERROR(IFERROR(INDEX(Recipes!$J$5:$J$204,MATCH(E42,Recipes!$A$5:$A$204,0)),"")*IF(F42="",1,F42),""))</f>
        <v>0</v>
      </c>
      <c r="J42" s="8">
        <f>IF(E42="","",IFERROR(IFERROR(INDEX(Recipes!$K$5:$K$204,MATCH(E42,Recipes!$A$5:$A$204,0)),"")*IF(F42="",1,F42),""))</f>
        <v>0</v>
      </c>
      <c r="K42" s="8">
        <f>IF(E42="","",IFERROR(IFERROR(INDEX(Recipes!$L$5:$L$204,MATCH(E42,Recipes!$A$5:$A$204,0)),"")*IF(F42="",1,F42),""))</f>
        <v>0</v>
      </c>
      <c r="L42" s="8">
        <f>IF(E42="","",IFERROR(IFERROR(INDEX(Recipes!$M$5:$M$204,MATCH(E42,Recipes!$A$5:$A$204,0)),"")*IF(F42="",1,F42),""))</f>
        <v>0</v>
      </c>
      <c r="M42" s="8">
        <f>IF(E42="","",IFERROR(IFERROR(INDEX(Recipes!$N$5:$N$204,MATCH(E42,Recipes!$A$5:$A$204,0)),"")*IF(F42="",1,F42),""))</f>
        <v>0</v>
      </c>
      <c r="N42" s="26"/>
      <c r="O42" s="8">
        <f>IF(A42="","",Calorie_Target*Household_Size)</f>
        <v>0</v>
      </c>
      <c r="P42" s="8">
        <f>IF(OR(A42="",O42=0),"",IFERROR(G42/O42,""))</f>
        <v>0</v>
      </c>
      <c r="Q42" s="8">
        <f>IF(OR(A42="",Protein_Target=0),"",IFERROR(H42/(Protein_Target*Household_Size),""))</f>
        <v>0</v>
      </c>
      <c r="R42" s="8">
        <f>IF(OR(A42="",Carb_Target=0),"",IFERROR(I42/(Carb_Target*Household_Size),""))</f>
        <v>0</v>
      </c>
      <c r="S42" s="8">
        <f>IF(OR(A42="",Fat_Target=0),"",IFERROR(J42/(Fat_Target*Household_Size),""))</f>
        <v>0</v>
      </c>
      <c r="T42" s="8">
        <f>IF(OR(A42="",Fibre_Target=0),"",IFERROR(K42/(Fibre_Target*Household_Size),""))</f>
        <v>0</v>
      </c>
      <c r="U42" s="8">
        <f>IF(OR(A42="",Sugar_Limit=0),"",IFERROR(L42/(Sugar_Limit*Household_Size),""))</f>
        <v>0</v>
      </c>
      <c r="V42" s="8">
        <f>IF(OR(A42="",Sodium_Limit=0),"",IFERROR(M42/(Sodium_Limit*Household_Size),""))</f>
        <v>0</v>
      </c>
      <c r="W42" s="8">
        <f>IF(A42="","",IF(P42="","",IF(P42&gt;1.1,"Over target",IF(P42&lt;0.8,"Under target","On target"))))</f>
        <v>0</v>
      </c>
      <c r="X42" s="25"/>
    </row>
    <row r="43" spans="1:24">
      <c r="A43" s="30"/>
      <c r="B43" s="8">
        <f>IF(A43="","",TEXT(A43,"mmm yyyy"))</f>
        <v>0</v>
      </c>
      <c r="C43" s="8">
        <f>IF(A43="","",TEXT(A43,"ddd"))</f>
        <v>0</v>
      </c>
      <c r="D43" s="27"/>
      <c r="E43" s="27"/>
      <c r="F43" s="26"/>
      <c r="G43" s="8">
        <f>IF(E43="","",IFERROR(IFERROR(INDEX(Recipes!$H$5:$H$204,MATCH(E43,Recipes!$A$5:$A$204,0)),"")*IF(F43="",1,F43),""))</f>
        <v>0</v>
      </c>
      <c r="H43" s="8">
        <f>IF(E43="","",IFERROR(IFERROR(INDEX(Recipes!$I$5:$I$204,MATCH(E43,Recipes!$A$5:$A$204,0)),"")*IF(F43="",1,F43),""))</f>
        <v>0</v>
      </c>
      <c r="I43" s="8">
        <f>IF(E43="","",IFERROR(IFERROR(INDEX(Recipes!$J$5:$J$204,MATCH(E43,Recipes!$A$5:$A$204,0)),"")*IF(F43="",1,F43),""))</f>
        <v>0</v>
      </c>
      <c r="J43" s="8">
        <f>IF(E43="","",IFERROR(IFERROR(INDEX(Recipes!$K$5:$K$204,MATCH(E43,Recipes!$A$5:$A$204,0)),"")*IF(F43="",1,F43),""))</f>
        <v>0</v>
      </c>
      <c r="K43" s="8">
        <f>IF(E43="","",IFERROR(IFERROR(INDEX(Recipes!$L$5:$L$204,MATCH(E43,Recipes!$A$5:$A$204,0)),"")*IF(F43="",1,F43),""))</f>
        <v>0</v>
      </c>
      <c r="L43" s="8">
        <f>IF(E43="","",IFERROR(IFERROR(INDEX(Recipes!$M$5:$M$204,MATCH(E43,Recipes!$A$5:$A$204,0)),"")*IF(F43="",1,F43),""))</f>
        <v>0</v>
      </c>
      <c r="M43" s="8">
        <f>IF(E43="","",IFERROR(IFERROR(INDEX(Recipes!$N$5:$N$204,MATCH(E43,Recipes!$A$5:$A$204,0)),"")*IF(F43="",1,F43),""))</f>
        <v>0</v>
      </c>
      <c r="N43" s="26"/>
      <c r="O43" s="8">
        <f>IF(A43="","",Calorie_Target*Household_Size)</f>
        <v>0</v>
      </c>
      <c r="P43" s="8">
        <f>IF(OR(A43="",O43=0),"",IFERROR(G43/O43,""))</f>
        <v>0</v>
      </c>
      <c r="Q43" s="8">
        <f>IF(OR(A43="",Protein_Target=0),"",IFERROR(H43/(Protein_Target*Household_Size),""))</f>
        <v>0</v>
      </c>
      <c r="R43" s="8">
        <f>IF(OR(A43="",Carb_Target=0),"",IFERROR(I43/(Carb_Target*Household_Size),""))</f>
        <v>0</v>
      </c>
      <c r="S43" s="8">
        <f>IF(OR(A43="",Fat_Target=0),"",IFERROR(J43/(Fat_Target*Household_Size),""))</f>
        <v>0</v>
      </c>
      <c r="T43" s="8">
        <f>IF(OR(A43="",Fibre_Target=0),"",IFERROR(K43/(Fibre_Target*Household_Size),""))</f>
        <v>0</v>
      </c>
      <c r="U43" s="8">
        <f>IF(OR(A43="",Sugar_Limit=0),"",IFERROR(L43/(Sugar_Limit*Household_Size),""))</f>
        <v>0</v>
      </c>
      <c r="V43" s="8">
        <f>IF(OR(A43="",Sodium_Limit=0),"",IFERROR(M43/(Sodium_Limit*Household_Size),""))</f>
        <v>0</v>
      </c>
      <c r="W43" s="8">
        <f>IF(A43="","",IF(P43="","",IF(P43&gt;1.1,"Over target",IF(P43&lt;0.8,"Under target","On target"))))</f>
        <v>0</v>
      </c>
      <c r="X43" s="25"/>
    </row>
    <row r="44" spans="1:24">
      <c r="A44" s="30"/>
      <c r="B44" s="8">
        <f>IF(A44="","",TEXT(A44,"mmm yyyy"))</f>
        <v>0</v>
      </c>
      <c r="C44" s="8">
        <f>IF(A44="","",TEXT(A44,"ddd"))</f>
        <v>0</v>
      </c>
      <c r="D44" s="27"/>
      <c r="E44" s="27"/>
      <c r="F44" s="26"/>
      <c r="G44" s="8">
        <f>IF(E44="","",IFERROR(IFERROR(INDEX(Recipes!$H$5:$H$204,MATCH(E44,Recipes!$A$5:$A$204,0)),"")*IF(F44="",1,F44),""))</f>
        <v>0</v>
      </c>
      <c r="H44" s="8">
        <f>IF(E44="","",IFERROR(IFERROR(INDEX(Recipes!$I$5:$I$204,MATCH(E44,Recipes!$A$5:$A$204,0)),"")*IF(F44="",1,F44),""))</f>
        <v>0</v>
      </c>
      <c r="I44" s="8">
        <f>IF(E44="","",IFERROR(IFERROR(INDEX(Recipes!$J$5:$J$204,MATCH(E44,Recipes!$A$5:$A$204,0)),"")*IF(F44="",1,F44),""))</f>
        <v>0</v>
      </c>
      <c r="J44" s="8">
        <f>IF(E44="","",IFERROR(IFERROR(INDEX(Recipes!$K$5:$K$204,MATCH(E44,Recipes!$A$5:$A$204,0)),"")*IF(F44="",1,F44),""))</f>
        <v>0</v>
      </c>
      <c r="K44" s="8">
        <f>IF(E44="","",IFERROR(IFERROR(INDEX(Recipes!$L$5:$L$204,MATCH(E44,Recipes!$A$5:$A$204,0)),"")*IF(F44="",1,F44),""))</f>
        <v>0</v>
      </c>
      <c r="L44" s="8">
        <f>IF(E44="","",IFERROR(IFERROR(INDEX(Recipes!$M$5:$M$204,MATCH(E44,Recipes!$A$5:$A$204,0)),"")*IF(F44="",1,F44),""))</f>
        <v>0</v>
      </c>
      <c r="M44" s="8">
        <f>IF(E44="","",IFERROR(IFERROR(INDEX(Recipes!$N$5:$N$204,MATCH(E44,Recipes!$A$5:$A$204,0)),"")*IF(F44="",1,F44),""))</f>
        <v>0</v>
      </c>
      <c r="N44" s="26"/>
      <c r="O44" s="8">
        <f>IF(A44="","",Calorie_Target*Household_Size)</f>
        <v>0</v>
      </c>
      <c r="P44" s="8">
        <f>IF(OR(A44="",O44=0),"",IFERROR(G44/O44,""))</f>
        <v>0</v>
      </c>
      <c r="Q44" s="8">
        <f>IF(OR(A44="",Protein_Target=0),"",IFERROR(H44/(Protein_Target*Household_Size),""))</f>
        <v>0</v>
      </c>
      <c r="R44" s="8">
        <f>IF(OR(A44="",Carb_Target=0),"",IFERROR(I44/(Carb_Target*Household_Size),""))</f>
        <v>0</v>
      </c>
      <c r="S44" s="8">
        <f>IF(OR(A44="",Fat_Target=0),"",IFERROR(J44/(Fat_Target*Household_Size),""))</f>
        <v>0</v>
      </c>
      <c r="T44" s="8">
        <f>IF(OR(A44="",Fibre_Target=0),"",IFERROR(K44/(Fibre_Target*Household_Size),""))</f>
        <v>0</v>
      </c>
      <c r="U44" s="8">
        <f>IF(OR(A44="",Sugar_Limit=0),"",IFERROR(L44/(Sugar_Limit*Household_Size),""))</f>
        <v>0</v>
      </c>
      <c r="V44" s="8">
        <f>IF(OR(A44="",Sodium_Limit=0),"",IFERROR(M44/(Sodium_Limit*Household_Size),""))</f>
        <v>0</v>
      </c>
      <c r="W44" s="8">
        <f>IF(A44="","",IF(P44="","",IF(P44&gt;1.1,"Over target",IF(P44&lt;0.8,"Under target","On target"))))</f>
        <v>0</v>
      </c>
      <c r="X44" s="25"/>
    </row>
    <row r="45" spans="1:24">
      <c r="A45" s="30"/>
      <c r="B45" s="8">
        <f>IF(A45="","",TEXT(A45,"mmm yyyy"))</f>
        <v>0</v>
      </c>
      <c r="C45" s="8">
        <f>IF(A45="","",TEXT(A45,"ddd"))</f>
        <v>0</v>
      </c>
      <c r="D45" s="27"/>
      <c r="E45" s="27"/>
      <c r="F45" s="26"/>
      <c r="G45" s="8">
        <f>IF(E45="","",IFERROR(IFERROR(INDEX(Recipes!$H$5:$H$204,MATCH(E45,Recipes!$A$5:$A$204,0)),"")*IF(F45="",1,F45),""))</f>
        <v>0</v>
      </c>
      <c r="H45" s="8">
        <f>IF(E45="","",IFERROR(IFERROR(INDEX(Recipes!$I$5:$I$204,MATCH(E45,Recipes!$A$5:$A$204,0)),"")*IF(F45="",1,F45),""))</f>
        <v>0</v>
      </c>
      <c r="I45" s="8">
        <f>IF(E45="","",IFERROR(IFERROR(INDEX(Recipes!$J$5:$J$204,MATCH(E45,Recipes!$A$5:$A$204,0)),"")*IF(F45="",1,F45),""))</f>
        <v>0</v>
      </c>
      <c r="J45" s="8">
        <f>IF(E45="","",IFERROR(IFERROR(INDEX(Recipes!$K$5:$K$204,MATCH(E45,Recipes!$A$5:$A$204,0)),"")*IF(F45="",1,F45),""))</f>
        <v>0</v>
      </c>
      <c r="K45" s="8">
        <f>IF(E45="","",IFERROR(IFERROR(INDEX(Recipes!$L$5:$L$204,MATCH(E45,Recipes!$A$5:$A$204,0)),"")*IF(F45="",1,F45),""))</f>
        <v>0</v>
      </c>
      <c r="L45" s="8">
        <f>IF(E45="","",IFERROR(IFERROR(INDEX(Recipes!$M$5:$M$204,MATCH(E45,Recipes!$A$5:$A$204,0)),"")*IF(F45="",1,F45),""))</f>
        <v>0</v>
      </c>
      <c r="M45" s="8">
        <f>IF(E45="","",IFERROR(IFERROR(INDEX(Recipes!$N$5:$N$204,MATCH(E45,Recipes!$A$5:$A$204,0)),"")*IF(F45="",1,F45),""))</f>
        <v>0</v>
      </c>
      <c r="N45" s="26"/>
      <c r="O45" s="8">
        <f>IF(A45="","",Calorie_Target*Household_Size)</f>
        <v>0</v>
      </c>
      <c r="P45" s="8">
        <f>IF(OR(A45="",O45=0),"",IFERROR(G45/O45,""))</f>
        <v>0</v>
      </c>
      <c r="Q45" s="8">
        <f>IF(OR(A45="",Protein_Target=0),"",IFERROR(H45/(Protein_Target*Household_Size),""))</f>
        <v>0</v>
      </c>
      <c r="R45" s="8">
        <f>IF(OR(A45="",Carb_Target=0),"",IFERROR(I45/(Carb_Target*Household_Size),""))</f>
        <v>0</v>
      </c>
      <c r="S45" s="8">
        <f>IF(OR(A45="",Fat_Target=0),"",IFERROR(J45/(Fat_Target*Household_Size),""))</f>
        <v>0</v>
      </c>
      <c r="T45" s="8">
        <f>IF(OR(A45="",Fibre_Target=0),"",IFERROR(K45/(Fibre_Target*Household_Size),""))</f>
        <v>0</v>
      </c>
      <c r="U45" s="8">
        <f>IF(OR(A45="",Sugar_Limit=0),"",IFERROR(L45/(Sugar_Limit*Household_Size),""))</f>
        <v>0</v>
      </c>
      <c r="V45" s="8">
        <f>IF(OR(A45="",Sodium_Limit=0),"",IFERROR(M45/(Sodium_Limit*Household_Size),""))</f>
        <v>0</v>
      </c>
      <c r="W45" s="8">
        <f>IF(A45="","",IF(P45="","",IF(P45&gt;1.1,"Over target",IF(P45&lt;0.8,"Under target","On target"))))</f>
        <v>0</v>
      </c>
      <c r="X45" s="25"/>
    </row>
    <row r="46" spans="1:24">
      <c r="A46" s="30"/>
      <c r="B46" s="8">
        <f>IF(A46="","",TEXT(A46,"mmm yyyy"))</f>
        <v>0</v>
      </c>
      <c r="C46" s="8">
        <f>IF(A46="","",TEXT(A46,"ddd"))</f>
        <v>0</v>
      </c>
      <c r="D46" s="27"/>
      <c r="E46" s="27"/>
      <c r="F46" s="26"/>
      <c r="G46" s="8">
        <f>IF(E46="","",IFERROR(IFERROR(INDEX(Recipes!$H$5:$H$204,MATCH(E46,Recipes!$A$5:$A$204,0)),"")*IF(F46="",1,F46),""))</f>
        <v>0</v>
      </c>
      <c r="H46" s="8">
        <f>IF(E46="","",IFERROR(IFERROR(INDEX(Recipes!$I$5:$I$204,MATCH(E46,Recipes!$A$5:$A$204,0)),"")*IF(F46="",1,F46),""))</f>
        <v>0</v>
      </c>
      <c r="I46" s="8">
        <f>IF(E46="","",IFERROR(IFERROR(INDEX(Recipes!$J$5:$J$204,MATCH(E46,Recipes!$A$5:$A$204,0)),"")*IF(F46="",1,F46),""))</f>
        <v>0</v>
      </c>
      <c r="J46" s="8">
        <f>IF(E46="","",IFERROR(IFERROR(INDEX(Recipes!$K$5:$K$204,MATCH(E46,Recipes!$A$5:$A$204,0)),"")*IF(F46="",1,F46),""))</f>
        <v>0</v>
      </c>
      <c r="K46" s="8">
        <f>IF(E46="","",IFERROR(IFERROR(INDEX(Recipes!$L$5:$L$204,MATCH(E46,Recipes!$A$5:$A$204,0)),"")*IF(F46="",1,F46),""))</f>
        <v>0</v>
      </c>
      <c r="L46" s="8">
        <f>IF(E46="","",IFERROR(IFERROR(INDEX(Recipes!$M$5:$M$204,MATCH(E46,Recipes!$A$5:$A$204,0)),"")*IF(F46="",1,F46),""))</f>
        <v>0</v>
      </c>
      <c r="M46" s="8">
        <f>IF(E46="","",IFERROR(IFERROR(INDEX(Recipes!$N$5:$N$204,MATCH(E46,Recipes!$A$5:$A$204,0)),"")*IF(F46="",1,F46),""))</f>
        <v>0</v>
      </c>
      <c r="N46" s="26"/>
      <c r="O46" s="8">
        <f>IF(A46="","",Calorie_Target*Household_Size)</f>
        <v>0</v>
      </c>
      <c r="P46" s="8">
        <f>IF(OR(A46="",O46=0),"",IFERROR(G46/O46,""))</f>
        <v>0</v>
      </c>
      <c r="Q46" s="8">
        <f>IF(OR(A46="",Protein_Target=0),"",IFERROR(H46/(Protein_Target*Household_Size),""))</f>
        <v>0</v>
      </c>
      <c r="R46" s="8">
        <f>IF(OR(A46="",Carb_Target=0),"",IFERROR(I46/(Carb_Target*Household_Size),""))</f>
        <v>0</v>
      </c>
      <c r="S46" s="8">
        <f>IF(OR(A46="",Fat_Target=0),"",IFERROR(J46/(Fat_Target*Household_Size),""))</f>
        <v>0</v>
      </c>
      <c r="T46" s="8">
        <f>IF(OR(A46="",Fibre_Target=0),"",IFERROR(K46/(Fibre_Target*Household_Size),""))</f>
        <v>0</v>
      </c>
      <c r="U46" s="8">
        <f>IF(OR(A46="",Sugar_Limit=0),"",IFERROR(L46/(Sugar_Limit*Household_Size),""))</f>
        <v>0</v>
      </c>
      <c r="V46" s="8">
        <f>IF(OR(A46="",Sodium_Limit=0),"",IFERROR(M46/(Sodium_Limit*Household_Size),""))</f>
        <v>0</v>
      </c>
      <c r="W46" s="8">
        <f>IF(A46="","",IF(P46="","",IF(P46&gt;1.1,"Over target",IF(P46&lt;0.8,"Under target","On target"))))</f>
        <v>0</v>
      </c>
      <c r="X46" s="25"/>
    </row>
    <row r="47" spans="1:24">
      <c r="A47" s="30"/>
      <c r="B47" s="8">
        <f>IF(A47="","",TEXT(A47,"mmm yyyy"))</f>
        <v>0</v>
      </c>
      <c r="C47" s="8">
        <f>IF(A47="","",TEXT(A47,"ddd"))</f>
        <v>0</v>
      </c>
      <c r="D47" s="27"/>
      <c r="E47" s="27"/>
      <c r="F47" s="26"/>
      <c r="G47" s="8">
        <f>IF(E47="","",IFERROR(IFERROR(INDEX(Recipes!$H$5:$H$204,MATCH(E47,Recipes!$A$5:$A$204,0)),"")*IF(F47="",1,F47),""))</f>
        <v>0</v>
      </c>
      <c r="H47" s="8">
        <f>IF(E47="","",IFERROR(IFERROR(INDEX(Recipes!$I$5:$I$204,MATCH(E47,Recipes!$A$5:$A$204,0)),"")*IF(F47="",1,F47),""))</f>
        <v>0</v>
      </c>
      <c r="I47" s="8">
        <f>IF(E47="","",IFERROR(IFERROR(INDEX(Recipes!$J$5:$J$204,MATCH(E47,Recipes!$A$5:$A$204,0)),"")*IF(F47="",1,F47),""))</f>
        <v>0</v>
      </c>
      <c r="J47" s="8">
        <f>IF(E47="","",IFERROR(IFERROR(INDEX(Recipes!$K$5:$K$204,MATCH(E47,Recipes!$A$5:$A$204,0)),"")*IF(F47="",1,F47),""))</f>
        <v>0</v>
      </c>
      <c r="K47" s="8">
        <f>IF(E47="","",IFERROR(IFERROR(INDEX(Recipes!$L$5:$L$204,MATCH(E47,Recipes!$A$5:$A$204,0)),"")*IF(F47="",1,F47),""))</f>
        <v>0</v>
      </c>
      <c r="L47" s="8">
        <f>IF(E47="","",IFERROR(IFERROR(INDEX(Recipes!$M$5:$M$204,MATCH(E47,Recipes!$A$5:$A$204,0)),"")*IF(F47="",1,F47),""))</f>
        <v>0</v>
      </c>
      <c r="M47" s="8">
        <f>IF(E47="","",IFERROR(IFERROR(INDEX(Recipes!$N$5:$N$204,MATCH(E47,Recipes!$A$5:$A$204,0)),"")*IF(F47="",1,F47),""))</f>
        <v>0</v>
      </c>
      <c r="N47" s="26"/>
      <c r="O47" s="8">
        <f>IF(A47="","",Calorie_Target*Household_Size)</f>
        <v>0</v>
      </c>
      <c r="P47" s="8">
        <f>IF(OR(A47="",O47=0),"",IFERROR(G47/O47,""))</f>
        <v>0</v>
      </c>
      <c r="Q47" s="8">
        <f>IF(OR(A47="",Protein_Target=0),"",IFERROR(H47/(Protein_Target*Household_Size),""))</f>
        <v>0</v>
      </c>
      <c r="R47" s="8">
        <f>IF(OR(A47="",Carb_Target=0),"",IFERROR(I47/(Carb_Target*Household_Size),""))</f>
        <v>0</v>
      </c>
      <c r="S47" s="8">
        <f>IF(OR(A47="",Fat_Target=0),"",IFERROR(J47/(Fat_Target*Household_Size),""))</f>
        <v>0</v>
      </c>
      <c r="T47" s="8">
        <f>IF(OR(A47="",Fibre_Target=0),"",IFERROR(K47/(Fibre_Target*Household_Size),""))</f>
        <v>0</v>
      </c>
      <c r="U47" s="8">
        <f>IF(OR(A47="",Sugar_Limit=0),"",IFERROR(L47/(Sugar_Limit*Household_Size),""))</f>
        <v>0</v>
      </c>
      <c r="V47" s="8">
        <f>IF(OR(A47="",Sodium_Limit=0),"",IFERROR(M47/(Sodium_Limit*Household_Size),""))</f>
        <v>0</v>
      </c>
      <c r="W47" s="8">
        <f>IF(A47="","",IF(P47="","",IF(P47&gt;1.1,"Over target",IF(P47&lt;0.8,"Under target","On target"))))</f>
        <v>0</v>
      </c>
      <c r="X47" s="25"/>
    </row>
    <row r="48" spans="1:24">
      <c r="A48" s="30"/>
      <c r="B48" s="8">
        <f>IF(A48="","",TEXT(A48,"mmm yyyy"))</f>
        <v>0</v>
      </c>
      <c r="C48" s="8">
        <f>IF(A48="","",TEXT(A48,"ddd"))</f>
        <v>0</v>
      </c>
      <c r="D48" s="27"/>
      <c r="E48" s="27"/>
      <c r="F48" s="26"/>
      <c r="G48" s="8">
        <f>IF(E48="","",IFERROR(IFERROR(INDEX(Recipes!$H$5:$H$204,MATCH(E48,Recipes!$A$5:$A$204,0)),"")*IF(F48="",1,F48),""))</f>
        <v>0</v>
      </c>
      <c r="H48" s="8">
        <f>IF(E48="","",IFERROR(IFERROR(INDEX(Recipes!$I$5:$I$204,MATCH(E48,Recipes!$A$5:$A$204,0)),"")*IF(F48="",1,F48),""))</f>
        <v>0</v>
      </c>
      <c r="I48" s="8">
        <f>IF(E48="","",IFERROR(IFERROR(INDEX(Recipes!$J$5:$J$204,MATCH(E48,Recipes!$A$5:$A$204,0)),"")*IF(F48="",1,F48),""))</f>
        <v>0</v>
      </c>
      <c r="J48" s="8">
        <f>IF(E48="","",IFERROR(IFERROR(INDEX(Recipes!$K$5:$K$204,MATCH(E48,Recipes!$A$5:$A$204,0)),"")*IF(F48="",1,F48),""))</f>
        <v>0</v>
      </c>
      <c r="K48" s="8">
        <f>IF(E48="","",IFERROR(IFERROR(INDEX(Recipes!$L$5:$L$204,MATCH(E48,Recipes!$A$5:$A$204,0)),"")*IF(F48="",1,F48),""))</f>
        <v>0</v>
      </c>
      <c r="L48" s="8">
        <f>IF(E48="","",IFERROR(IFERROR(INDEX(Recipes!$M$5:$M$204,MATCH(E48,Recipes!$A$5:$A$204,0)),"")*IF(F48="",1,F48),""))</f>
        <v>0</v>
      </c>
      <c r="M48" s="8">
        <f>IF(E48="","",IFERROR(IFERROR(INDEX(Recipes!$N$5:$N$204,MATCH(E48,Recipes!$A$5:$A$204,0)),"")*IF(F48="",1,F48),""))</f>
        <v>0</v>
      </c>
      <c r="N48" s="26"/>
      <c r="O48" s="8">
        <f>IF(A48="","",Calorie_Target*Household_Size)</f>
        <v>0</v>
      </c>
      <c r="P48" s="8">
        <f>IF(OR(A48="",O48=0),"",IFERROR(G48/O48,""))</f>
        <v>0</v>
      </c>
      <c r="Q48" s="8">
        <f>IF(OR(A48="",Protein_Target=0),"",IFERROR(H48/(Protein_Target*Household_Size),""))</f>
        <v>0</v>
      </c>
      <c r="R48" s="8">
        <f>IF(OR(A48="",Carb_Target=0),"",IFERROR(I48/(Carb_Target*Household_Size),""))</f>
        <v>0</v>
      </c>
      <c r="S48" s="8">
        <f>IF(OR(A48="",Fat_Target=0),"",IFERROR(J48/(Fat_Target*Household_Size),""))</f>
        <v>0</v>
      </c>
      <c r="T48" s="8">
        <f>IF(OR(A48="",Fibre_Target=0),"",IFERROR(K48/(Fibre_Target*Household_Size),""))</f>
        <v>0</v>
      </c>
      <c r="U48" s="8">
        <f>IF(OR(A48="",Sugar_Limit=0),"",IFERROR(L48/(Sugar_Limit*Household_Size),""))</f>
        <v>0</v>
      </c>
      <c r="V48" s="8">
        <f>IF(OR(A48="",Sodium_Limit=0),"",IFERROR(M48/(Sodium_Limit*Household_Size),""))</f>
        <v>0</v>
      </c>
      <c r="W48" s="8">
        <f>IF(A48="","",IF(P48="","",IF(P48&gt;1.1,"Over target",IF(P48&lt;0.8,"Under target","On target"))))</f>
        <v>0</v>
      </c>
      <c r="X48" s="25"/>
    </row>
    <row r="49" spans="1:24">
      <c r="A49" s="30"/>
      <c r="B49" s="8">
        <f>IF(A49="","",TEXT(A49,"mmm yyyy"))</f>
        <v>0</v>
      </c>
      <c r="C49" s="8">
        <f>IF(A49="","",TEXT(A49,"ddd"))</f>
        <v>0</v>
      </c>
      <c r="D49" s="27"/>
      <c r="E49" s="27"/>
      <c r="F49" s="26"/>
      <c r="G49" s="8">
        <f>IF(E49="","",IFERROR(IFERROR(INDEX(Recipes!$H$5:$H$204,MATCH(E49,Recipes!$A$5:$A$204,0)),"")*IF(F49="",1,F49),""))</f>
        <v>0</v>
      </c>
      <c r="H49" s="8">
        <f>IF(E49="","",IFERROR(IFERROR(INDEX(Recipes!$I$5:$I$204,MATCH(E49,Recipes!$A$5:$A$204,0)),"")*IF(F49="",1,F49),""))</f>
        <v>0</v>
      </c>
      <c r="I49" s="8">
        <f>IF(E49="","",IFERROR(IFERROR(INDEX(Recipes!$J$5:$J$204,MATCH(E49,Recipes!$A$5:$A$204,0)),"")*IF(F49="",1,F49),""))</f>
        <v>0</v>
      </c>
      <c r="J49" s="8">
        <f>IF(E49="","",IFERROR(IFERROR(INDEX(Recipes!$K$5:$K$204,MATCH(E49,Recipes!$A$5:$A$204,0)),"")*IF(F49="",1,F49),""))</f>
        <v>0</v>
      </c>
      <c r="K49" s="8">
        <f>IF(E49="","",IFERROR(IFERROR(INDEX(Recipes!$L$5:$L$204,MATCH(E49,Recipes!$A$5:$A$204,0)),"")*IF(F49="",1,F49),""))</f>
        <v>0</v>
      </c>
      <c r="L49" s="8">
        <f>IF(E49="","",IFERROR(IFERROR(INDEX(Recipes!$M$5:$M$204,MATCH(E49,Recipes!$A$5:$A$204,0)),"")*IF(F49="",1,F49),""))</f>
        <v>0</v>
      </c>
      <c r="M49" s="8">
        <f>IF(E49="","",IFERROR(IFERROR(INDEX(Recipes!$N$5:$N$204,MATCH(E49,Recipes!$A$5:$A$204,0)),"")*IF(F49="",1,F49),""))</f>
        <v>0</v>
      </c>
      <c r="N49" s="26"/>
      <c r="O49" s="8">
        <f>IF(A49="","",Calorie_Target*Household_Size)</f>
        <v>0</v>
      </c>
      <c r="P49" s="8">
        <f>IF(OR(A49="",O49=0),"",IFERROR(G49/O49,""))</f>
        <v>0</v>
      </c>
      <c r="Q49" s="8">
        <f>IF(OR(A49="",Protein_Target=0),"",IFERROR(H49/(Protein_Target*Household_Size),""))</f>
        <v>0</v>
      </c>
      <c r="R49" s="8">
        <f>IF(OR(A49="",Carb_Target=0),"",IFERROR(I49/(Carb_Target*Household_Size),""))</f>
        <v>0</v>
      </c>
      <c r="S49" s="8">
        <f>IF(OR(A49="",Fat_Target=0),"",IFERROR(J49/(Fat_Target*Household_Size),""))</f>
        <v>0</v>
      </c>
      <c r="T49" s="8">
        <f>IF(OR(A49="",Fibre_Target=0),"",IFERROR(K49/(Fibre_Target*Household_Size),""))</f>
        <v>0</v>
      </c>
      <c r="U49" s="8">
        <f>IF(OR(A49="",Sugar_Limit=0),"",IFERROR(L49/(Sugar_Limit*Household_Size),""))</f>
        <v>0</v>
      </c>
      <c r="V49" s="8">
        <f>IF(OR(A49="",Sodium_Limit=0),"",IFERROR(M49/(Sodium_Limit*Household_Size),""))</f>
        <v>0</v>
      </c>
      <c r="W49" s="8">
        <f>IF(A49="","",IF(P49="","",IF(P49&gt;1.1,"Over target",IF(P49&lt;0.8,"Under target","On target"))))</f>
        <v>0</v>
      </c>
      <c r="X49" s="25"/>
    </row>
    <row r="50" spans="1:24">
      <c r="A50" s="30"/>
      <c r="B50" s="8">
        <f>IF(A50="","",TEXT(A50,"mmm yyyy"))</f>
        <v>0</v>
      </c>
      <c r="C50" s="8">
        <f>IF(A50="","",TEXT(A50,"ddd"))</f>
        <v>0</v>
      </c>
      <c r="D50" s="27"/>
      <c r="E50" s="27"/>
      <c r="F50" s="26"/>
      <c r="G50" s="8">
        <f>IF(E50="","",IFERROR(IFERROR(INDEX(Recipes!$H$5:$H$204,MATCH(E50,Recipes!$A$5:$A$204,0)),"")*IF(F50="",1,F50),""))</f>
        <v>0</v>
      </c>
      <c r="H50" s="8">
        <f>IF(E50="","",IFERROR(IFERROR(INDEX(Recipes!$I$5:$I$204,MATCH(E50,Recipes!$A$5:$A$204,0)),"")*IF(F50="",1,F50),""))</f>
        <v>0</v>
      </c>
      <c r="I50" s="8">
        <f>IF(E50="","",IFERROR(IFERROR(INDEX(Recipes!$J$5:$J$204,MATCH(E50,Recipes!$A$5:$A$204,0)),"")*IF(F50="",1,F50),""))</f>
        <v>0</v>
      </c>
      <c r="J50" s="8">
        <f>IF(E50="","",IFERROR(IFERROR(INDEX(Recipes!$K$5:$K$204,MATCH(E50,Recipes!$A$5:$A$204,0)),"")*IF(F50="",1,F50),""))</f>
        <v>0</v>
      </c>
      <c r="K50" s="8">
        <f>IF(E50="","",IFERROR(IFERROR(INDEX(Recipes!$L$5:$L$204,MATCH(E50,Recipes!$A$5:$A$204,0)),"")*IF(F50="",1,F50),""))</f>
        <v>0</v>
      </c>
      <c r="L50" s="8">
        <f>IF(E50="","",IFERROR(IFERROR(INDEX(Recipes!$M$5:$M$204,MATCH(E50,Recipes!$A$5:$A$204,0)),"")*IF(F50="",1,F50),""))</f>
        <v>0</v>
      </c>
      <c r="M50" s="8">
        <f>IF(E50="","",IFERROR(IFERROR(INDEX(Recipes!$N$5:$N$204,MATCH(E50,Recipes!$A$5:$A$204,0)),"")*IF(F50="",1,F50),""))</f>
        <v>0</v>
      </c>
      <c r="N50" s="26"/>
      <c r="O50" s="8">
        <f>IF(A50="","",Calorie_Target*Household_Size)</f>
        <v>0</v>
      </c>
      <c r="P50" s="8">
        <f>IF(OR(A50="",O50=0),"",IFERROR(G50/O50,""))</f>
        <v>0</v>
      </c>
      <c r="Q50" s="8">
        <f>IF(OR(A50="",Protein_Target=0),"",IFERROR(H50/(Protein_Target*Household_Size),""))</f>
        <v>0</v>
      </c>
      <c r="R50" s="8">
        <f>IF(OR(A50="",Carb_Target=0),"",IFERROR(I50/(Carb_Target*Household_Size),""))</f>
        <v>0</v>
      </c>
      <c r="S50" s="8">
        <f>IF(OR(A50="",Fat_Target=0),"",IFERROR(J50/(Fat_Target*Household_Size),""))</f>
        <v>0</v>
      </c>
      <c r="T50" s="8">
        <f>IF(OR(A50="",Fibre_Target=0),"",IFERROR(K50/(Fibre_Target*Household_Size),""))</f>
        <v>0</v>
      </c>
      <c r="U50" s="8">
        <f>IF(OR(A50="",Sugar_Limit=0),"",IFERROR(L50/(Sugar_Limit*Household_Size),""))</f>
        <v>0</v>
      </c>
      <c r="V50" s="8">
        <f>IF(OR(A50="",Sodium_Limit=0),"",IFERROR(M50/(Sodium_Limit*Household_Size),""))</f>
        <v>0</v>
      </c>
      <c r="W50" s="8">
        <f>IF(A50="","",IF(P50="","",IF(P50&gt;1.1,"Over target",IF(P50&lt;0.8,"Under target","On target"))))</f>
        <v>0</v>
      </c>
      <c r="X50" s="25"/>
    </row>
    <row r="51" spans="1:24">
      <c r="A51" s="30"/>
      <c r="B51" s="8">
        <f>IF(A51="","",TEXT(A51,"mmm yyyy"))</f>
        <v>0</v>
      </c>
      <c r="C51" s="8">
        <f>IF(A51="","",TEXT(A51,"ddd"))</f>
        <v>0</v>
      </c>
      <c r="D51" s="27"/>
      <c r="E51" s="27"/>
      <c r="F51" s="26"/>
      <c r="G51" s="8">
        <f>IF(E51="","",IFERROR(IFERROR(INDEX(Recipes!$H$5:$H$204,MATCH(E51,Recipes!$A$5:$A$204,0)),"")*IF(F51="",1,F51),""))</f>
        <v>0</v>
      </c>
      <c r="H51" s="8">
        <f>IF(E51="","",IFERROR(IFERROR(INDEX(Recipes!$I$5:$I$204,MATCH(E51,Recipes!$A$5:$A$204,0)),"")*IF(F51="",1,F51),""))</f>
        <v>0</v>
      </c>
      <c r="I51" s="8">
        <f>IF(E51="","",IFERROR(IFERROR(INDEX(Recipes!$J$5:$J$204,MATCH(E51,Recipes!$A$5:$A$204,0)),"")*IF(F51="",1,F51),""))</f>
        <v>0</v>
      </c>
      <c r="J51" s="8">
        <f>IF(E51="","",IFERROR(IFERROR(INDEX(Recipes!$K$5:$K$204,MATCH(E51,Recipes!$A$5:$A$204,0)),"")*IF(F51="",1,F51),""))</f>
        <v>0</v>
      </c>
      <c r="K51" s="8">
        <f>IF(E51="","",IFERROR(IFERROR(INDEX(Recipes!$L$5:$L$204,MATCH(E51,Recipes!$A$5:$A$204,0)),"")*IF(F51="",1,F51),""))</f>
        <v>0</v>
      </c>
      <c r="L51" s="8">
        <f>IF(E51="","",IFERROR(IFERROR(INDEX(Recipes!$M$5:$M$204,MATCH(E51,Recipes!$A$5:$A$204,0)),"")*IF(F51="",1,F51),""))</f>
        <v>0</v>
      </c>
      <c r="M51" s="8">
        <f>IF(E51="","",IFERROR(IFERROR(INDEX(Recipes!$N$5:$N$204,MATCH(E51,Recipes!$A$5:$A$204,0)),"")*IF(F51="",1,F51),""))</f>
        <v>0</v>
      </c>
      <c r="N51" s="26"/>
      <c r="O51" s="8">
        <f>IF(A51="","",Calorie_Target*Household_Size)</f>
        <v>0</v>
      </c>
      <c r="P51" s="8">
        <f>IF(OR(A51="",O51=0),"",IFERROR(G51/O51,""))</f>
        <v>0</v>
      </c>
      <c r="Q51" s="8">
        <f>IF(OR(A51="",Protein_Target=0),"",IFERROR(H51/(Protein_Target*Household_Size),""))</f>
        <v>0</v>
      </c>
      <c r="R51" s="8">
        <f>IF(OR(A51="",Carb_Target=0),"",IFERROR(I51/(Carb_Target*Household_Size),""))</f>
        <v>0</v>
      </c>
      <c r="S51" s="8">
        <f>IF(OR(A51="",Fat_Target=0),"",IFERROR(J51/(Fat_Target*Household_Size),""))</f>
        <v>0</v>
      </c>
      <c r="T51" s="8">
        <f>IF(OR(A51="",Fibre_Target=0),"",IFERROR(K51/(Fibre_Target*Household_Size),""))</f>
        <v>0</v>
      </c>
      <c r="U51" s="8">
        <f>IF(OR(A51="",Sugar_Limit=0),"",IFERROR(L51/(Sugar_Limit*Household_Size),""))</f>
        <v>0</v>
      </c>
      <c r="V51" s="8">
        <f>IF(OR(A51="",Sodium_Limit=0),"",IFERROR(M51/(Sodium_Limit*Household_Size),""))</f>
        <v>0</v>
      </c>
      <c r="W51" s="8">
        <f>IF(A51="","",IF(P51="","",IF(P51&gt;1.1,"Over target",IF(P51&lt;0.8,"Under target","On target"))))</f>
        <v>0</v>
      </c>
      <c r="X51" s="25"/>
    </row>
    <row r="52" spans="1:24">
      <c r="A52" s="30"/>
      <c r="B52" s="8">
        <f>IF(A52="","",TEXT(A52,"mmm yyyy"))</f>
        <v>0</v>
      </c>
      <c r="C52" s="8">
        <f>IF(A52="","",TEXT(A52,"ddd"))</f>
        <v>0</v>
      </c>
      <c r="D52" s="27"/>
      <c r="E52" s="27"/>
      <c r="F52" s="26"/>
      <c r="G52" s="8">
        <f>IF(E52="","",IFERROR(IFERROR(INDEX(Recipes!$H$5:$H$204,MATCH(E52,Recipes!$A$5:$A$204,0)),"")*IF(F52="",1,F52),""))</f>
        <v>0</v>
      </c>
      <c r="H52" s="8">
        <f>IF(E52="","",IFERROR(IFERROR(INDEX(Recipes!$I$5:$I$204,MATCH(E52,Recipes!$A$5:$A$204,0)),"")*IF(F52="",1,F52),""))</f>
        <v>0</v>
      </c>
      <c r="I52" s="8">
        <f>IF(E52="","",IFERROR(IFERROR(INDEX(Recipes!$J$5:$J$204,MATCH(E52,Recipes!$A$5:$A$204,0)),"")*IF(F52="",1,F52),""))</f>
        <v>0</v>
      </c>
      <c r="J52" s="8">
        <f>IF(E52="","",IFERROR(IFERROR(INDEX(Recipes!$K$5:$K$204,MATCH(E52,Recipes!$A$5:$A$204,0)),"")*IF(F52="",1,F52),""))</f>
        <v>0</v>
      </c>
      <c r="K52" s="8">
        <f>IF(E52="","",IFERROR(IFERROR(INDEX(Recipes!$L$5:$L$204,MATCH(E52,Recipes!$A$5:$A$204,0)),"")*IF(F52="",1,F52),""))</f>
        <v>0</v>
      </c>
      <c r="L52" s="8">
        <f>IF(E52="","",IFERROR(IFERROR(INDEX(Recipes!$M$5:$M$204,MATCH(E52,Recipes!$A$5:$A$204,0)),"")*IF(F52="",1,F52),""))</f>
        <v>0</v>
      </c>
      <c r="M52" s="8">
        <f>IF(E52="","",IFERROR(IFERROR(INDEX(Recipes!$N$5:$N$204,MATCH(E52,Recipes!$A$5:$A$204,0)),"")*IF(F52="",1,F52),""))</f>
        <v>0</v>
      </c>
      <c r="N52" s="26"/>
      <c r="O52" s="8">
        <f>IF(A52="","",Calorie_Target*Household_Size)</f>
        <v>0</v>
      </c>
      <c r="P52" s="8">
        <f>IF(OR(A52="",O52=0),"",IFERROR(G52/O52,""))</f>
        <v>0</v>
      </c>
      <c r="Q52" s="8">
        <f>IF(OR(A52="",Protein_Target=0),"",IFERROR(H52/(Protein_Target*Household_Size),""))</f>
        <v>0</v>
      </c>
      <c r="R52" s="8">
        <f>IF(OR(A52="",Carb_Target=0),"",IFERROR(I52/(Carb_Target*Household_Size),""))</f>
        <v>0</v>
      </c>
      <c r="S52" s="8">
        <f>IF(OR(A52="",Fat_Target=0),"",IFERROR(J52/(Fat_Target*Household_Size),""))</f>
        <v>0</v>
      </c>
      <c r="T52" s="8">
        <f>IF(OR(A52="",Fibre_Target=0),"",IFERROR(K52/(Fibre_Target*Household_Size),""))</f>
        <v>0</v>
      </c>
      <c r="U52" s="8">
        <f>IF(OR(A52="",Sugar_Limit=0),"",IFERROR(L52/(Sugar_Limit*Household_Size),""))</f>
        <v>0</v>
      </c>
      <c r="V52" s="8">
        <f>IF(OR(A52="",Sodium_Limit=0),"",IFERROR(M52/(Sodium_Limit*Household_Size),""))</f>
        <v>0</v>
      </c>
      <c r="W52" s="8">
        <f>IF(A52="","",IF(P52="","",IF(P52&gt;1.1,"Over target",IF(P52&lt;0.8,"Under target","On target"))))</f>
        <v>0</v>
      </c>
      <c r="X52" s="25"/>
    </row>
    <row r="53" spans="1:24">
      <c r="A53" s="30"/>
      <c r="B53" s="8">
        <f>IF(A53="","",TEXT(A53,"mmm yyyy"))</f>
        <v>0</v>
      </c>
      <c r="C53" s="8">
        <f>IF(A53="","",TEXT(A53,"ddd"))</f>
        <v>0</v>
      </c>
      <c r="D53" s="27"/>
      <c r="E53" s="27"/>
      <c r="F53" s="26"/>
      <c r="G53" s="8">
        <f>IF(E53="","",IFERROR(IFERROR(INDEX(Recipes!$H$5:$H$204,MATCH(E53,Recipes!$A$5:$A$204,0)),"")*IF(F53="",1,F53),""))</f>
        <v>0</v>
      </c>
      <c r="H53" s="8">
        <f>IF(E53="","",IFERROR(IFERROR(INDEX(Recipes!$I$5:$I$204,MATCH(E53,Recipes!$A$5:$A$204,0)),"")*IF(F53="",1,F53),""))</f>
        <v>0</v>
      </c>
      <c r="I53" s="8">
        <f>IF(E53="","",IFERROR(IFERROR(INDEX(Recipes!$J$5:$J$204,MATCH(E53,Recipes!$A$5:$A$204,0)),"")*IF(F53="",1,F53),""))</f>
        <v>0</v>
      </c>
      <c r="J53" s="8">
        <f>IF(E53="","",IFERROR(IFERROR(INDEX(Recipes!$K$5:$K$204,MATCH(E53,Recipes!$A$5:$A$204,0)),"")*IF(F53="",1,F53),""))</f>
        <v>0</v>
      </c>
      <c r="K53" s="8">
        <f>IF(E53="","",IFERROR(IFERROR(INDEX(Recipes!$L$5:$L$204,MATCH(E53,Recipes!$A$5:$A$204,0)),"")*IF(F53="",1,F53),""))</f>
        <v>0</v>
      </c>
      <c r="L53" s="8">
        <f>IF(E53="","",IFERROR(IFERROR(INDEX(Recipes!$M$5:$M$204,MATCH(E53,Recipes!$A$5:$A$204,0)),"")*IF(F53="",1,F53),""))</f>
        <v>0</v>
      </c>
      <c r="M53" s="8">
        <f>IF(E53="","",IFERROR(IFERROR(INDEX(Recipes!$N$5:$N$204,MATCH(E53,Recipes!$A$5:$A$204,0)),"")*IF(F53="",1,F53),""))</f>
        <v>0</v>
      </c>
      <c r="N53" s="26"/>
      <c r="O53" s="8">
        <f>IF(A53="","",Calorie_Target*Household_Size)</f>
        <v>0</v>
      </c>
      <c r="P53" s="8">
        <f>IF(OR(A53="",O53=0),"",IFERROR(G53/O53,""))</f>
        <v>0</v>
      </c>
      <c r="Q53" s="8">
        <f>IF(OR(A53="",Protein_Target=0),"",IFERROR(H53/(Protein_Target*Household_Size),""))</f>
        <v>0</v>
      </c>
      <c r="R53" s="8">
        <f>IF(OR(A53="",Carb_Target=0),"",IFERROR(I53/(Carb_Target*Household_Size),""))</f>
        <v>0</v>
      </c>
      <c r="S53" s="8">
        <f>IF(OR(A53="",Fat_Target=0),"",IFERROR(J53/(Fat_Target*Household_Size),""))</f>
        <v>0</v>
      </c>
      <c r="T53" s="8">
        <f>IF(OR(A53="",Fibre_Target=0),"",IFERROR(K53/(Fibre_Target*Household_Size),""))</f>
        <v>0</v>
      </c>
      <c r="U53" s="8">
        <f>IF(OR(A53="",Sugar_Limit=0),"",IFERROR(L53/(Sugar_Limit*Household_Size),""))</f>
        <v>0</v>
      </c>
      <c r="V53" s="8">
        <f>IF(OR(A53="",Sodium_Limit=0),"",IFERROR(M53/(Sodium_Limit*Household_Size),""))</f>
        <v>0</v>
      </c>
      <c r="W53" s="8">
        <f>IF(A53="","",IF(P53="","",IF(P53&gt;1.1,"Over target",IF(P53&lt;0.8,"Under target","On target"))))</f>
        <v>0</v>
      </c>
      <c r="X53" s="25"/>
    </row>
    <row r="54" spans="1:24">
      <c r="A54" s="30"/>
      <c r="B54" s="8">
        <f>IF(A54="","",TEXT(A54,"mmm yyyy"))</f>
        <v>0</v>
      </c>
      <c r="C54" s="8">
        <f>IF(A54="","",TEXT(A54,"ddd"))</f>
        <v>0</v>
      </c>
      <c r="D54" s="27"/>
      <c r="E54" s="27"/>
      <c r="F54" s="26"/>
      <c r="G54" s="8">
        <f>IF(E54="","",IFERROR(IFERROR(INDEX(Recipes!$H$5:$H$204,MATCH(E54,Recipes!$A$5:$A$204,0)),"")*IF(F54="",1,F54),""))</f>
        <v>0</v>
      </c>
      <c r="H54" s="8">
        <f>IF(E54="","",IFERROR(IFERROR(INDEX(Recipes!$I$5:$I$204,MATCH(E54,Recipes!$A$5:$A$204,0)),"")*IF(F54="",1,F54),""))</f>
        <v>0</v>
      </c>
      <c r="I54" s="8">
        <f>IF(E54="","",IFERROR(IFERROR(INDEX(Recipes!$J$5:$J$204,MATCH(E54,Recipes!$A$5:$A$204,0)),"")*IF(F54="",1,F54),""))</f>
        <v>0</v>
      </c>
      <c r="J54" s="8">
        <f>IF(E54="","",IFERROR(IFERROR(INDEX(Recipes!$K$5:$K$204,MATCH(E54,Recipes!$A$5:$A$204,0)),"")*IF(F54="",1,F54),""))</f>
        <v>0</v>
      </c>
      <c r="K54" s="8">
        <f>IF(E54="","",IFERROR(IFERROR(INDEX(Recipes!$L$5:$L$204,MATCH(E54,Recipes!$A$5:$A$204,0)),"")*IF(F54="",1,F54),""))</f>
        <v>0</v>
      </c>
      <c r="L54" s="8">
        <f>IF(E54="","",IFERROR(IFERROR(INDEX(Recipes!$M$5:$M$204,MATCH(E54,Recipes!$A$5:$A$204,0)),"")*IF(F54="",1,F54),""))</f>
        <v>0</v>
      </c>
      <c r="M54" s="8">
        <f>IF(E54="","",IFERROR(IFERROR(INDEX(Recipes!$N$5:$N$204,MATCH(E54,Recipes!$A$5:$A$204,0)),"")*IF(F54="",1,F54),""))</f>
        <v>0</v>
      </c>
      <c r="N54" s="26"/>
      <c r="O54" s="8">
        <f>IF(A54="","",Calorie_Target*Household_Size)</f>
        <v>0</v>
      </c>
      <c r="P54" s="8">
        <f>IF(OR(A54="",O54=0),"",IFERROR(G54/O54,""))</f>
        <v>0</v>
      </c>
      <c r="Q54" s="8">
        <f>IF(OR(A54="",Protein_Target=0),"",IFERROR(H54/(Protein_Target*Household_Size),""))</f>
        <v>0</v>
      </c>
      <c r="R54" s="8">
        <f>IF(OR(A54="",Carb_Target=0),"",IFERROR(I54/(Carb_Target*Household_Size),""))</f>
        <v>0</v>
      </c>
      <c r="S54" s="8">
        <f>IF(OR(A54="",Fat_Target=0),"",IFERROR(J54/(Fat_Target*Household_Size),""))</f>
        <v>0</v>
      </c>
      <c r="T54" s="8">
        <f>IF(OR(A54="",Fibre_Target=0),"",IFERROR(K54/(Fibre_Target*Household_Size),""))</f>
        <v>0</v>
      </c>
      <c r="U54" s="8">
        <f>IF(OR(A54="",Sugar_Limit=0),"",IFERROR(L54/(Sugar_Limit*Household_Size),""))</f>
        <v>0</v>
      </c>
      <c r="V54" s="8">
        <f>IF(OR(A54="",Sodium_Limit=0),"",IFERROR(M54/(Sodium_Limit*Household_Size),""))</f>
        <v>0</v>
      </c>
      <c r="W54" s="8">
        <f>IF(A54="","",IF(P54="","",IF(P54&gt;1.1,"Over target",IF(P54&lt;0.8,"Under target","On target"))))</f>
        <v>0</v>
      </c>
      <c r="X54" s="25"/>
    </row>
    <row r="55" spans="1:24">
      <c r="A55" s="30"/>
      <c r="B55" s="8">
        <f>IF(A55="","",TEXT(A55,"mmm yyyy"))</f>
        <v>0</v>
      </c>
      <c r="C55" s="8">
        <f>IF(A55="","",TEXT(A55,"ddd"))</f>
        <v>0</v>
      </c>
      <c r="D55" s="27"/>
      <c r="E55" s="27"/>
      <c r="F55" s="26"/>
      <c r="G55" s="8">
        <f>IF(E55="","",IFERROR(IFERROR(INDEX(Recipes!$H$5:$H$204,MATCH(E55,Recipes!$A$5:$A$204,0)),"")*IF(F55="",1,F55),""))</f>
        <v>0</v>
      </c>
      <c r="H55" s="8">
        <f>IF(E55="","",IFERROR(IFERROR(INDEX(Recipes!$I$5:$I$204,MATCH(E55,Recipes!$A$5:$A$204,0)),"")*IF(F55="",1,F55),""))</f>
        <v>0</v>
      </c>
      <c r="I55" s="8">
        <f>IF(E55="","",IFERROR(IFERROR(INDEX(Recipes!$J$5:$J$204,MATCH(E55,Recipes!$A$5:$A$204,0)),"")*IF(F55="",1,F55),""))</f>
        <v>0</v>
      </c>
      <c r="J55" s="8">
        <f>IF(E55="","",IFERROR(IFERROR(INDEX(Recipes!$K$5:$K$204,MATCH(E55,Recipes!$A$5:$A$204,0)),"")*IF(F55="",1,F55),""))</f>
        <v>0</v>
      </c>
      <c r="K55" s="8">
        <f>IF(E55="","",IFERROR(IFERROR(INDEX(Recipes!$L$5:$L$204,MATCH(E55,Recipes!$A$5:$A$204,0)),"")*IF(F55="",1,F55),""))</f>
        <v>0</v>
      </c>
      <c r="L55" s="8">
        <f>IF(E55="","",IFERROR(IFERROR(INDEX(Recipes!$M$5:$M$204,MATCH(E55,Recipes!$A$5:$A$204,0)),"")*IF(F55="",1,F55),""))</f>
        <v>0</v>
      </c>
      <c r="M55" s="8">
        <f>IF(E55="","",IFERROR(IFERROR(INDEX(Recipes!$N$5:$N$204,MATCH(E55,Recipes!$A$5:$A$204,0)),"")*IF(F55="",1,F55),""))</f>
        <v>0</v>
      </c>
      <c r="N55" s="26"/>
      <c r="O55" s="8">
        <f>IF(A55="","",Calorie_Target*Household_Size)</f>
        <v>0</v>
      </c>
      <c r="P55" s="8">
        <f>IF(OR(A55="",O55=0),"",IFERROR(G55/O55,""))</f>
        <v>0</v>
      </c>
      <c r="Q55" s="8">
        <f>IF(OR(A55="",Protein_Target=0),"",IFERROR(H55/(Protein_Target*Household_Size),""))</f>
        <v>0</v>
      </c>
      <c r="R55" s="8">
        <f>IF(OR(A55="",Carb_Target=0),"",IFERROR(I55/(Carb_Target*Household_Size),""))</f>
        <v>0</v>
      </c>
      <c r="S55" s="8">
        <f>IF(OR(A55="",Fat_Target=0),"",IFERROR(J55/(Fat_Target*Household_Size),""))</f>
        <v>0</v>
      </c>
      <c r="T55" s="8">
        <f>IF(OR(A55="",Fibre_Target=0),"",IFERROR(K55/(Fibre_Target*Household_Size),""))</f>
        <v>0</v>
      </c>
      <c r="U55" s="8">
        <f>IF(OR(A55="",Sugar_Limit=0),"",IFERROR(L55/(Sugar_Limit*Household_Size),""))</f>
        <v>0</v>
      </c>
      <c r="V55" s="8">
        <f>IF(OR(A55="",Sodium_Limit=0),"",IFERROR(M55/(Sodium_Limit*Household_Size),""))</f>
        <v>0</v>
      </c>
      <c r="W55" s="8">
        <f>IF(A55="","",IF(P55="","",IF(P55&gt;1.1,"Over target",IF(P55&lt;0.8,"Under target","On target"))))</f>
        <v>0</v>
      </c>
      <c r="X55" s="25"/>
    </row>
    <row r="56" spans="1:24">
      <c r="A56" s="30"/>
      <c r="B56" s="8">
        <f>IF(A56="","",TEXT(A56,"mmm yyyy"))</f>
        <v>0</v>
      </c>
      <c r="C56" s="8">
        <f>IF(A56="","",TEXT(A56,"ddd"))</f>
        <v>0</v>
      </c>
      <c r="D56" s="27"/>
      <c r="E56" s="27"/>
      <c r="F56" s="26"/>
      <c r="G56" s="8">
        <f>IF(E56="","",IFERROR(IFERROR(INDEX(Recipes!$H$5:$H$204,MATCH(E56,Recipes!$A$5:$A$204,0)),"")*IF(F56="",1,F56),""))</f>
        <v>0</v>
      </c>
      <c r="H56" s="8">
        <f>IF(E56="","",IFERROR(IFERROR(INDEX(Recipes!$I$5:$I$204,MATCH(E56,Recipes!$A$5:$A$204,0)),"")*IF(F56="",1,F56),""))</f>
        <v>0</v>
      </c>
      <c r="I56" s="8">
        <f>IF(E56="","",IFERROR(IFERROR(INDEX(Recipes!$J$5:$J$204,MATCH(E56,Recipes!$A$5:$A$204,0)),"")*IF(F56="",1,F56),""))</f>
        <v>0</v>
      </c>
      <c r="J56" s="8">
        <f>IF(E56="","",IFERROR(IFERROR(INDEX(Recipes!$K$5:$K$204,MATCH(E56,Recipes!$A$5:$A$204,0)),"")*IF(F56="",1,F56),""))</f>
        <v>0</v>
      </c>
      <c r="K56" s="8">
        <f>IF(E56="","",IFERROR(IFERROR(INDEX(Recipes!$L$5:$L$204,MATCH(E56,Recipes!$A$5:$A$204,0)),"")*IF(F56="",1,F56),""))</f>
        <v>0</v>
      </c>
      <c r="L56" s="8">
        <f>IF(E56="","",IFERROR(IFERROR(INDEX(Recipes!$M$5:$M$204,MATCH(E56,Recipes!$A$5:$A$204,0)),"")*IF(F56="",1,F56),""))</f>
        <v>0</v>
      </c>
      <c r="M56" s="8">
        <f>IF(E56="","",IFERROR(IFERROR(INDEX(Recipes!$N$5:$N$204,MATCH(E56,Recipes!$A$5:$A$204,0)),"")*IF(F56="",1,F56),""))</f>
        <v>0</v>
      </c>
      <c r="N56" s="26"/>
      <c r="O56" s="8">
        <f>IF(A56="","",Calorie_Target*Household_Size)</f>
        <v>0</v>
      </c>
      <c r="P56" s="8">
        <f>IF(OR(A56="",O56=0),"",IFERROR(G56/O56,""))</f>
        <v>0</v>
      </c>
      <c r="Q56" s="8">
        <f>IF(OR(A56="",Protein_Target=0),"",IFERROR(H56/(Protein_Target*Household_Size),""))</f>
        <v>0</v>
      </c>
      <c r="R56" s="8">
        <f>IF(OR(A56="",Carb_Target=0),"",IFERROR(I56/(Carb_Target*Household_Size),""))</f>
        <v>0</v>
      </c>
      <c r="S56" s="8">
        <f>IF(OR(A56="",Fat_Target=0),"",IFERROR(J56/(Fat_Target*Household_Size),""))</f>
        <v>0</v>
      </c>
      <c r="T56" s="8">
        <f>IF(OR(A56="",Fibre_Target=0),"",IFERROR(K56/(Fibre_Target*Household_Size),""))</f>
        <v>0</v>
      </c>
      <c r="U56" s="8">
        <f>IF(OR(A56="",Sugar_Limit=0),"",IFERROR(L56/(Sugar_Limit*Household_Size),""))</f>
        <v>0</v>
      </c>
      <c r="V56" s="8">
        <f>IF(OR(A56="",Sodium_Limit=0),"",IFERROR(M56/(Sodium_Limit*Household_Size),""))</f>
        <v>0</v>
      </c>
      <c r="W56" s="8">
        <f>IF(A56="","",IF(P56="","",IF(P56&gt;1.1,"Over target",IF(P56&lt;0.8,"Under target","On target"))))</f>
        <v>0</v>
      </c>
      <c r="X56" s="25"/>
    </row>
    <row r="57" spans="1:24">
      <c r="A57" s="30"/>
      <c r="B57" s="8">
        <f>IF(A57="","",TEXT(A57,"mmm yyyy"))</f>
        <v>0</v>
      </c>
      <c r="C57" s="8">
        <f>IF(A57="","",TEXT(A57,"ddd"))</f>
        <v>0</v>
      </c>
      <c r="D57" s="27"/>
      <c r="E57" s="27"/>
      <c r="F57" s="26"/>
      <c r="G57" s="8">
        <f>IF(E57="","",IFERROR(IFERROR(INDEX(Recipes!$H$5:$H$204,MATCH(E57,Recipes!$A$5:$A$204,0)),"")*IF(F57="",1,F57),""))</f>
        <v>0</v>
      </c>
      <c r="H57" s="8">
        <f>IF(E57="","",IFERROR(IFERROR(INDEX(Recipes!$I$5:$I$204,MATCH(E57,Recipes!$A$5:$A$204,0)),"")*IF(F57="",1,F57),""))</f>
        <v>0</v>
      </c>
      <c r="I57" s="8">
        <f>IF(E57="","",IFERROR(IFERROR(INDEX(Recipes!$J$5:$J$204,MATCH(E57,Recipes!$A$5:$A$204,0)),"")*IF(F57="",1,F57),""))</f>
        <v>0</v>
      </c>
      <c r="J57" s="8">
        <f>IF(E57="","",IFERROR(IFERROR(INDEX(Recipes!$K$5:$K$204,MATCH(E57,Recipes!$A$5:$A$204,0)),"")*IF(F57="",1,F57),""))</f>
        <v>0</v>
      </c>
      <c r="K57" s="8">
        <f>IF(E57="","",IFERROR(IFERROR(INDEX(Recipes!$L$5:$L$204,MATCH(E57,Recipes!$A$5:$A$204,0)),"")*IF(F57="",1,F57),""))</f>
        <v>0</v>
      </c>
      <c r="L57" s="8">
        <f>IF(E57="","",IFERROR(IFERROR(INDEX(Recipes!$M$5:$M$204,MATCH(E57,Recipes!$A$5:$A$204,0)),"")*IF(F57="",1,F57),""))</f>
        <v>0</v>
      </c>
      <c r="M57" s="8">
        <f>IF(E57="","",IFERROR(IFERROR(INDEX(Recipes!$N$5:$N$204,MATCH(E57,Recipes!$A$5:$A$204,0)),"")*IF(F57="",1,F57),""))</f>
        <v>0</v>
      </c>
      <c r="N57" s="26"/>
      <c r="O57" s="8">
        <f>IF(A57="","",Calorie_Target*Household_Size)</f>
        <v>0</v>
      </c>
      <c r="P57" s="8">
        <f>IF(OR(A57="",O57=0),"",IFERROR(G57/O57,""))</f>
        <v>0</v>
      </c>
      <c r="Q57" s="8">
        <f>IF(OR(A57="",Protein_Target=0),"",IFERROR(H57/(Protein_Target*Household_Size),""))</f>
        <v>0</v>
      </c>
      <c r="R57" s="8">
        <f>IF(OR(A57="",Carb_Target=0),"",IFERROR(I57/(Carb_Target*Household_Size),""))</f>
        <v>0</v>
      </c>
      <c r="S57" s="8">
        <f>IF(OR(A57="",Fat_Target=0),"",IFERROR(J57/(Fat_Target*Household_Size),""))</f>
        <v>0</v>
      </c>
      <c r="T57" s="8">
        <f>IF(OR(A57="",Fibre_Target=0),"",IFERROR(K57/(Fibre_Target*Household_Size),""))</f>
        <v>0</v>
      </c>
      <c r="U57" s="8">
        <f>IF(OR(A57="",Sugar_Limit=0),"",IFERROR(L57/(Sugar_Limit*Household_Size),""))</f>
        <v>0</v>
      </c>
      <c r="V57" s="8">
        <f>IF(OR(A57="",Sodium_Limit=0),"",IFERROR(M57/(Sodium_Limit*Household_Size),""))</f>
        <v>0</v>
      </c>
      <c r="W57" s="8">
        <f>IF(A57="","",IF(P57="","",IF(P57&gt;1.1,"Over target",IF(P57&lt;0.8,"Under target","On target"))))</f>
        <v>0</v>
      </c>
      <c r="X57" s="25"/>
    </row>
    <row r="58" spans="1:24">
      <c r="A58" s="30"/>
      <c r="B58" s="8">
        <f>IF(A58="","",TEXT(A58,"mmm yyyy"))</f>
        <v>0</v>
      </c>
      <c r="C58" s="8">
        <f>IF(A58="","",TEXT(A58,"ddd"))</f>
        <v>0</v>
      </c>
      <c r="D58" s="27"/>
      <c r="E58" s="27"/>
      <c r="F58" s="26"/>
      <c r="G58" s="8">
        <f>IF(E58="","",IFERROR(IFERROR(INDEX(Recipes!$H$5:$H$204,MATCH(E58,Recipes!$A$5:$A$204,0)),"")*IF(F58="",1,F58),""))</f>
        <v>0</v>
      </c>
      <c r="H58" s="8">
        <f>IF(E58="","",IFERROR(IFERROR(INDEX(Recipes!$I$5:$I$204,MATCH(E58,Recipes!$A$5:$A$204,0)),"")*IF(F58="",1,F58),""))</f>
        <v>0</v>
      </c>
      <c r="I58" s="8">
        <f>IF(E58="","",IFERROR(IFERROR(INDEX(Recipes!$J$5:$J$204,MATCH(E58,Recipes!$A$5:$A$204,0)),"")*IF(F58="",1,F58),""))</f>
        <v>0</v>
      </c>
      <c r="J58" s="8">
        <f>IF(E58="","",IFERROR(IFERROR(INDEX(Recipes!$K$5:$K$204,MATCH(E58,Recipes!$A$5:$A$204,0)),"")*IF(F58="",1,F58),""))</f>
        <v>0</v>
      </c>
      <c r="K58" s="8">
        <f>IF(E58="","",IFERROR(IFERROR(INDEX(Recipes!$L$5:$L$204,MATCH(E58,Recipes!$A$5:$A$204,0)),"")*IF(F58="",1,F58),""))</f>
        <v>0</v>
      </c>
      <c r="L58" s="8">
        <f>IF(E58="","",IFERROR(IFERROR(INDEX(Recipes!$M$5:$M$204,MATCH(E58,Recipes!$A$5:$A$204,0)),"")*IF(F58="",1,F58),""))</f>
        <v>0</v>
      </c>
      <c r="M58" s="8">
        <f>IF(E58="","",IFERROR(IFERROR(INDEX(Recipes!$N$5:$N$204,MATCH(E58,Recipes!$A$5:$A$204,0)),"")*IF(F58="",1,F58),""))</f>
        <v>0</v>
      </c>
      <c r="N58" s="26"/>
      <c r="O58" s="8">
        <f>IF(A58="","",Calorie_Target*Household_Size)</f>
        <v>0</v>
      </c>
      <c r="P58" s="8">
        <f>IF(OR(A58="",O58=0),"",IFERROR(G58/O58,""))</f>
        <v>0</v>
      </c>
      <c r="Q58" s="8">
        <f>IF(OR(A58="",Protein_Target=0),"",IFERROR(H58/(Protein_Target*Household_Size),""))</f>
        <v>0</v>
      </c>
      <c r="R58" s="8">
        <f>IF(OR(A58="",Carb_Target=0),"",IFERROR(I58/(Carb_Target*Household_Size),""))</f>
        <v>0</v>
      </c>
      <c r="S58" s="8">
        <f>IF(OR(A58="",Fat_Target=0),"",IFERROR(J58/(Fat_Target*Household_Size),""))</f>
        <v>0</v>
      </c>
      <c r="T58" s="8">
        <f>IF(OR(A58="",Fibre_Target=0),"",IFERROR(K58/(Fibre_Target*Household_Size),""))</f>
        <v>0</v>
      </c>
      <c r="U58" s="8">
        <f>IF(OR(A58="",Sugar_Limit=0),"",IFERROR(L58/(Sugar_Limit*Household_Size),""))</f>
        <v>0</v>
      </c>
      <c r="V58" s="8">
        <f>IF(OR(A58="",Sodium_Limit=0),"",IFERROR(M58/(Sodium_Limit*Household_Size),""))</f>
        <v>0</v>
      </c>
      <c r="W58" s="8">
        <f>IF(A58="","",IF(P58="","",IF(P58&gt;1.1,"Over target",IF(P58&lt;0.8,"Under target","On target"))))</f>
        <v>0</v>
      </c>
      <c r="X58" s="25"/>
    </row>
    <row r="59" spans="1:24">
      <c r="A59" s="30"/>
      <c r="B59" s="8">
        <f>IF(A59="","",TEXT(A59,"mmm yyyy"))</f>
        <v>0</v>
      </c>
      <c r="C59" s="8">
        <f>IF(A59="","",TEXT(A59,"ddd"))</f>
        <v>0</v>
      </c>
      <c r="D59" s="27"/>
      <c r="E59" s="27"/>
      <c r="F59" s="26"/>
      <c r="G59" s="8">
        <f>IF(E59="","",IFERROR(IFERROR(INDEX(Recipes!$H$5:$H$204,MATCH(E59,Recipes!$A$5:$A$204,0)),"")*IF(F59="",1,F59),""))</f>
        <v>0</v>
      </c>
      <c r="H59" s="8">
        <f>IF(E59="","",IFERROR(IFERROR(INDEX(Recipes!$I$5:$I$204,MATCH(E59,Recipes!$A$5:$A$204,0)),"")*IF(F59="",1,F59),""))</f>
        <v>0</v>
      </c>
      <c r="I59" s="8">
        <f>IF(E59="","",IFERROR(IFERROR(INDEX(Recipes!$J$5:$J$204,MATCH(E59,Recipes!$A$5:$A$204,0)),"")*IF(F59="",1,F59),""))</f>
        <v>0</v>
      </c>
      <c r="J59" s="8">
        <f>IF(E59="","",IFERROR(IFERROR(INDEX(Recipes!$K$5:$K$204,MATCH(E59,Recipes!$A$5:$A$204,0)),"")*IF(F59="",1,F59),""))</f>
        <v>0</v>
      </c>
      <c r="K59" s="8">
        <f>IF(E59="","",IFERROR(IFERROR(INDEX(Recipes!$L$5:$L$204,MATCH(E59,Recipes!$A$5:$A$204,0)),"")*IF(F59="",1,F59),""))</f>
        <v>0</v>
      </c>
      <c r="L59" s="8">
        <f>IF(E59="","",IFERROR(IFERROR(INDEX(Recipes!$M$5:$M$204,MATCH(E59,Recipes!$A$5:$A$204,0)),"")*IF(F59="",1,F59),""))</f>
        <v>0</v>
      </c>
      <c r="M59" s="8">
        <f>IF(E59="","",IFERROR(IFERROR(INDEX(Recipes!$N$5:$N$204,MATCH(E59,Recipes!$A$5:$A$204,0)),"")*IF(F59="",1,F59),""))</f>
        <v>0</v>
      </c>
      <c r="N59" s="26"/>
      <c r="O59" s="8">
        <f>IF(A59="","",Calorie_Target*Household_Size)</f>
        <v>0</v>
      </c>
      <c r="P59" s="8">
        <f>IF(OR(A59="",O59=0),"",IFERROR(G59/O59,""))</f>
        <v>0</v>
      </c>
      <c r="Q59" s="8">
        <f>IF(OR(A59="",Protein_Target=0),"",IFERROR(H59/(Protein_Target*Household_Size),""))</f>
        <v>0</v>
      </c>
      <c r="R59" s="8">
        <f>IF(OR(A59="",Carb_Target=0),"",IFERROR(I59/(Carb_Target*Household_Size),""))</f>
        <v>0</v>
      </c>
      <c r="S59" s="8">
        <f>IF(OR(A59="",Fat_Target=0),"",IFERROR(J59/(Fat_Target*Household_Size),""))</f>
        <v>0</v>
      </c>
      <c r="T59" s="8">
        <f>IF(OR(A59="",Fibre_Target=0),"",IFERROR(K59/(Fibre_Target*Household_Size),""))</f>
        <v>0</v>
      </c>
      <c r="U59" s="8">
        <f>IF(OR(A59="",Sugar_Limit=0),"",IFERROR(L59/(Sugar_Limit*Household_Size),""))</f>
        <v>0</v>
      </c>
      <c r="V59" s="8">
        <f>IF(OR(A59="",Sodium_Limit=0),"",IFERROR(M59/(Sodium_Limit*Household_Size),""))</f>
        <v>0</v>
      </c>
      <c r="W59" s="8">
        <f>IF(A59="","",IF(P59="","",IF(P59&gt;1.1,"Over target",IF(P59&lt;0.8,"Under target","On target"))))</f>
        <v>0</v>
      </c>
      <c r="X59" s="25"/>
    </row>
    <row r="60" spans="1:24">
      <c r="A60" s="30"/>
      <c r="B60" s="8">
        <f>IF(A60="","",TEXT(A60,"mmm yyyy"))</f>
        <v>0</v>
      </c>
      <c r="C60" s="8">
        <f>IF(A60="","",TEXT(A60,"ddd"))</f>
        <v>0</v>
      </c>
      <c r="D60" s="27"/>
      <c r="E60" s="27"/>
      <c r="F60" s="26"/>
      <c r="G60" s="8">
        <f>IF(E60="","",IFERROR(IFERROR(INDEX(Recipes!$H$5:$H$204,MATCH(E60,Recipes!$A$5:$A$204,0)),"")*IF(F60="",1,F60),""))</f>
        <v>0</v>
      </c>
      <c r="H60" s="8">
        <f>IF(E60="","",IFERROR(IFERROR(INDEX(Recipes!$I$5:$I$204,MATCH(E60,Recipes!$A$5:$A$204,0)),"")*IF(F60="",1,F60),""))</f>
        <v>0</v>
      </c>
      <c r="I60" s="8">
        <f>IF(E60="","",IFERROR(IFERROR(INDEX(Recipes!$J$5:$J$204,MATCH(E60,Recipes!$A$5:$A$204,0)),"")*IF(F60="",1,F60),""))</f>
        <v>0</v>
      </c>
      <c r="J60" s="8">
        <f>IF(E60="","",IFERROR(IFERROR(INDEX(Recipes!$K$5:$K$204,MATCH(E60,Recipes!$A$5:$A$204,0)),"")*IF(F60="",1,F60),""))</f>
        <v>0</v>
      </c>
      <c r="K60" s="8">
        <f>IF(E60="","",IFERROR(IFERROR(INDEX(Recipes!$L$5:$L$204,MATCH(E60,Recipes!$A$5:$A$204,0)),"")*IF(F60="",1,F60),""))</f>
        <v>0</v>
      </c>
      <c r="L60" s="8">
        <f>IF(E60="","",IFERROR(IFERROR(INDEX(Recipes!$M$5:$M$204,MATCH(E60,Recipes!$A$5:$A$204,0)),"")*IF(F60="",1,F60),""))</f>
        <v>0</v>
      </c>
      <c r="M60" s="8">
        <f>IF(E60="","",IFERROR(IFERROR(INDEX(Recipes!$N$5:$N$204,MATCH(E60,Recipes!$A$5:$A$204,0)),"")*IF(F60="",1,F60),""))</f>
        <v>0</v>
      </c>
      <c r="N60" s="26"/>
      <c r="O60" s="8">
        <f>IF(A60="","",Calorie_Target*Household_Size)</f>
        <v>0</v>
      </c>
      <c r="P60" s="8">
        <f>IF(OR(A60="",O60=0),"",IFERROR(G60/O60,""))</f>
        <v>0</v>
      </c>
      <c r="Q60" s="8">
        <f>IF(OR(A60="",Protein_Target=0),"",IFERROR(H60/(Protein_Target*Household_Size),""))</f>
        <v>0</v>
      </c>
      <c r="R60" s="8">
        <f>IF(OR(A60="",Carb_Target=0),"",IFERROR(I60/(Carb_Target*Household_Size),""))</f>
        <v>0</v>
      </c>
      <c r="S60" s="8">
        <f>IF(OR(A60="",Fat_Target=0),"",IFERROR(J60/(Fat_Target*Household_Size),""))</f>
        <v>0</v>
      </c>
      <c r="T60" s="8">
        <f>IF(OR(A60="",Fibre_Target=0),"",IFERROR(K60/(Fibre_Target*Household_Size),""))</f>
        <v>0</v>
      </c>
      <c r="U60" s="8">
        <f>IF(OR(A60="",Sugar_Limit=0),"",IFERROR(L60/(Sugar_Limit*Household_Size),""))</f>
        <v>0</v>
      </c>
      <c r="V60" s="8">
        <f>IF(OR(A60="",Sodium_Limit=0),"",IFERROR(M60/(Sodium_Limit*Household_Size),""))</f>
        <v>0</v>
      </c>
      <c r="W60" s="8">
        <f>IF(A60="","",IF(P60="","",IF(P60&gt;1.1,"Over target",IF(P60&lt;0.8,"Under target","On target"))))</f>
        <v>0</v>
      </c>
      <c r="X60" s="25"/>
    </row>
    <row r="61" spans="1:24">
      <c r="A61" s="30"/>
      <c r="B61" s="8">
        <f>IF(A61="","",TEXT(A61,"mmm yyyy"))</f>
        <v>0</v>
      </c>
      <c r="C61" s="8">
        <f>IF(A61="","",TEXT(A61,"ddd"))</f>
        <v>0</v>
      </c>
      <c r="D61" s="27"/>
      <c r="E61" s="27"/>
      <c r="F61" s="26"/>
      <c r="G61" s="8">
        <f>IF(E61="","",IFERROR(IFERROR(INDEX(Recipes!$H$5:$H$204,MATCH(E61,Recipes!$A$5:$A$204,0)),"")*IF(F61="",1,F61),""))</f>
        <v>0</v>
      </c>
      <c r="H61" s="8">
        <f>IF(E61="","",IFERROR(IFERROR(INDEX(Recipes!$I$5:$I$204,MATCH(E61,Recipes!$A$5:$A$204,0)),"")*IF(F61="",1,F61),""))</f>
        <v>0</v>
      </c>
      <c r="I61" s="8">
        <f>IF(E61="","",IFERROR(IFERROR(INDEX(Recipes!$J$5:$J$204,MATCH(E61,Recipes!$A$5:$A$204,0)),"")*IF(F61="",1,F61),""))</f>
        <v>0</v>
      </c>
      <c r="J61" s="8">
        <f>IF(E61="","",IFERROR(IFERROR(INDEX(Recipes!$K$5:$K$204,MATCH(E61,Recipes!$A$5:$A$204,0)),"")*IF(F61="",1,F61),""))</f>
        <v>0</v>
      </c>
      <c r="K61" s="8">
        <f>IF(E61="","",IFERROR(IFERROR(INDEX(Recipes!$L$5:$L$204,MATCH(E61,Recipes!$A$5:$A$204,0)),"")*IF(F61="",1,F61),""))</f>
        <v>0</v>
      </c>
      <c r="L61" s="8">
        <f>IF(E61="","",IFERROR(IFERROR(INDEX(Recipes!$M$5:$M$204,MATCH(E61,Recipes!$A$5:$A$204,0)),"")*IF(F61="",1,F61),""))</f>
        <v>0</v>
      </c>
      <c r="M61" s="8">
        <f>IF(E61="","",IFERROR(IFERROR(INDEX(Recipes!$N$5:$N$204,MATCH(E61,Recipes!$A$5:$A$204,0)),"")*IF(F61="",1,F61),""))</f>
        <v>0</v>
      </c>
      <c r="N61" s="26"/>
      <c r="O61" s="8">
        <f>IF(A61="","",Calorie_Target*Household_Size)</f>
        <v>0</v>
      </c>
      <c r="P61" s="8">
        <f>IF(OR(A61="",O61=0),"",IFERROR(G61/O61,""))</f>
        <v>0</v>
      </c>
      <c r="Q61" s="8">
        <f>IF(OR(A61="",Protein_Target=0),"",IFERROR(H61/(Protein_Target*Household_Size),""))</f>
        <v>0</v>
      </c>
      <c r="R61" s="8">
        <f>IF(OR(A61="",Carb_Target=0),"",IFERROR(I61/(Carb_Target*Household_Size),""))</f>
        <v>0</v>
      </c>
      <c r="S61" s="8">
        <f>IF(OR(A61="",Fat_Target=0),"",IFERROR(J61/(Fat_Target*Household_Size),""))</f>
        <v>0</v>
      </c>
      <c r="T61" s="8">
        <f>IF(OR(A61="",Fibre_Target=0),"",IFERROR(K61/(Fibre_Target*Household_Size),""))</f>
        <v>0</v>
      </c>
      <c r="U61" s="8">
        <f>IF(OR(A61="",Sugar_Limit=0),"",IFERROR(L61/(Sugar_Limit*Household_Size),""))</f>
        <v>0</v>
      </c>
      <c r="V61" s="8">
        <f>IF(OR(A61="",Sodium_Limit=0),"",IFERROR(M61/(Sodium_Limit*Household_Size),""))</f>
        <v>0</v>
      </c>
      <c r="W61" s="8">
        <f>IF(A61="","",IF(P61="","",IF(P61&gt;1.1,"Over target",IF(P61&lt;0.8,"Under target","On target"))))</f>
        <v>0</v>
      </c>
      <c r="X61" s="25"/>
    </row>
    <row r="62" spans="1:24">
      <c r="A62" s="30"/>
      <c r="B62" s="8">
        <f>IF(A62="","",TEXT(A62,"mmm yyyy"))</f>
        <v>0</v>
      </c>
      <c r="C62" s="8">
        <f>IF(A62="","",TEXT(A62,"ddd"))</f>
        <v>0</v>
      </c>
      <c r="D62" s="27"/>
      <c r="E62" s="27"/>
      <c r="F62" s="26"/>
      <c r="G62" s="8">
        <f>IF(E62="","",IFERROR(IFERROR(INDEX(Recipes!$H$5:$H$204,MATCH(E62,Recipes!$A$5:$A$204,0)),"")*IF(F62="",1,F62),""))</f>
        <v>0</v>
      </c>
      <c r="H62" s="8">
        <f>IF(E62="","",IFERROR(IFERROR(INDEX(Recipes!$I$5:$I$204,MATCH(E62,Recipes!$A$5:$A$204,0)),"")*IF(F62="",1,F62),""))</f>
        <v>0</v>
      </c>
      <c r="I62" s="8">
        <f>IF(E62="","",IFERROR(IFERROR(INDEX(Recipes!$J$5:$J$204,MATCH(E62,Recipes!$A$5:$A$204,0)),"")*IF(F62="",1,F62),""))</f>
        <v>0</v>
      </c>
      <c r="J62" s="8">
        <f>IF(E62="","",IFERROR(IFERROR(INDEX(Recipes!$K$5:$K$204,MATCH(E62,Recipes!$A$5:$A$204,0)),"")*IF(F62="",1,F62),""))</f>
        <v>0</v>
      </c>
      <c r="K62" s="8">
        <f>IF(E62="","",IFERROR(IFERROR(INDEX(Recipes!$L$5:$L$204,MATCH(E62,Recipes!$A$5:$A$204,0)),"")*IF(F62="",1,F62),""))</f>
        <v>0</v>
      </c>
      <c r="L62" s="8">
        <f>IF(E62="","",IFERROR(IFERROR(INDEX(Recipes!$M$5:$M$204,MATCH(E62,Recipes!$A$5:$A$204,0)),"")*IF(F62="",1,F62),""))</f>
        <v>0</v>
      </c>
      <c r="M62" s="8">
        <f>IF(E62="","",IFERROR(IFERROR(INDEX(Recipes!$N$5:$N$204,MATCH(E62,Recipes!$A$5:$A$204,0)),"")*IF(F62="",1,F62),""))</f>
        <v>0</v>
      </c>
      <c r="N62" s="26"/>
      <c r="O62" s="8">
        <f>IF(A62="","",Calorie_Target*Household_Size)</f>
        <v>0</v>
      </c>
      <c r="P62" s="8">
        <f>IF(OR(A62="",O62=0),"",IFERROR(G62/O62,""))</f>
        <v>0</v>
      </c>
      <c r="Q62" s="8">
        <f>IF(OR(A62="",Protein_Target=0),"",IFERROR(H62/(Protein_Target*Household_Size),""))</f>
        <v>0</v>
      </c>
      <c r="R62" s="8">
        <f>IF(OR(A62="",Carb_Target=0),"",IFERROR(I62/(Carb_Target*Household_Size),""))</f>
        <v>0</v>
      </c>
      <c r="S62" s="8">
        <f>IF(OR(A62="",Fat_Target=0),"",IFERROR(J62/(Fat_Target*Household_Size),""))</f>
        <v>0</v>
      </c>
      <c r="T62" s="8">
        <f>IF(OR(A62="",Fibre_Target=0),"",IFERROR(K62/(Fibre_Target*Household_Size),""))</f>
        <v>0</v>
      </c>
      <c r="U62" s="8">
        <f>IF(OR(A62="",Sugar_Limit=0),"",IFERROR(L62/(Sugar_Limit*Household_Size),""))</f>
        <v>0</v>
      </c>
      <c r="V62" s="8">
        <f>IF(OR(A62="",Sodium_Limit=0),"",IFERROR(M62/(Sodium_Limit*Household_Size),""))</f>
        <v>0</v>
      </c>
      <c r="W62" s="8">
        <f>IF(A62="","",IF(P62="","",IF(P62&gt;1.1,"Over target",IF(P62&lt;0.8,"Under target","On target"))))</f>
        <v>0</v>
      </c>
      <c r="X62" s="25"/>
    </row>
    <row r="63" spans="1:24">
      <c r="A63" s="30"/>
      <c r="B63" s="8">
        <f>IF(A63="","",TEXT(A63,"mmm yyyy"))</f>
        <v>0</v>
      </c>
      <c r="C63" s="8">
        <f>IF(A63="","",TEXT(A63,"ddd"))</f>
        <v>0</v>
      </c>
      <c r="D63" s="27"/>
      <c r="E63" s="27"/>
      <c r="F63" s="26"/>
      <c r="G63" s="8">
        <f>IF(E63="","",IFERROR(IFERROR(INDEX(Recipes!$H$5:$H$204,MATCH(E63,Recipes!$A$5:$A$204,0)),"")*IF(F63="",1,F63),""))</f>
        <v>0</v>
      </c>
      <c r="H63" s="8">
        <f>IF(E63="","",IFERROR(IFERROR(INDEX(Recipes!$I$5:$I$204,MATCH(E63,Recipes!$A$5:$A$204,0)),"")*IF(F63="",1,F63),""))</f>
        <v>0</v>
      </c>
      <c r="I63" s="8">
        <f>IF(E63="","",IFERROR(IFERROR(INDEX(Recipes!$J$5:$J$204,MATCH(E63,Recipes!$A$5:$A$204,0)),"")*IF(F63="",1,F63),""))</f>
        <v>0</v>
      </c>
      <c r="J63" s="8">
        <f>IF(E63="","",IFERROR(IFERROR(INDEX(Recipes!$K$5:$K$204,MATCH(E63,Recipes!$A$5:$A$204,0)),"")*IF(F63="",1,F63),""))</f>
        <v>0</v>
      </c>
      <c r="K63" s="8">
        <f>IF(E63="","",IFERROR(IFERROR(INDEX(Recipes!$L$5:$L$204,MATCH(E63,Recipes!$A$5:$A$204,0)),"")*IF(F63="",1,F63),""))</f>
        <v>0</v>
      </c>
      <c r="L63" s="8">
        <f>IF(E63="","",IFERROR(IFERROR(INDEX(Recipes!$M$5:$M$204,MATCH(E63,Recipes!$A$5:$A$204,0)),"")*IF(F63="",1,F63),""))</f>
        <v>0</v>
      </c>
      <c r="M63" s="8">
        <f>IF(E63="","",IFERROR(IFERROR(INDEX(Recipes!$N$5:$N$204,MATCH(E63,Recipes!$A$5:$A$204,0)),"")*IF(F63="",1,F63),""))</f>
        <v>0</v>
      </c>
      <c r="N63" s="26"/>
      <c r="O63" s="8">
        <f>IF(A63="","",Calorie_Target*Household_Size)</f>
        <v>0</v>
      </c>
      <c r="P63" s="8">
        <f>IF(OR(A63="",O63=0),"",IFERROR(G63/O63,""))</f>
        <v>0</v>
      </c>
      <c r="Q63" s="8">
        <f>IF(OR(A63="",Protein_Target=0),"",IFERROR(H63/(Protein_Target*Household_Size),""))</f>
        <v>0</v>
      </c>
      <c r="R63" s="8">
        <f>IF(OR(A63="",Carb_Target=0),"",IFERROR(I63/(Carb_Target*Household_Size),""))</f>
        <v>0</v>
      </c>
      <c r="S63" s="8">
        <f>IF(OR(A63="",Fat_Target=0),"",IFERROR(J63/(Fat_Target*Household_Size),""))</f>
        <v>0</v>
      </c>
      <c r="T63" s="8">
        <f>IF(OR(A63="",Fibre_Target=0),"",IFERROR(K63/(Fibre_Target*Household_Size),""))</f>
        <v>0</v>
      </c>
      <c r="U63" s="8">
        <f>IF(OR(A63="",Sugar_Limit=0),"",IFERROR(L63/(Sugar_Limit*Household_Size),""))</f>
        <v>0</v>
      </c>
      <c r="V63" s="8">
        <f>IF(OR(A63="",Sodium_Limit=0),"",IFERROR(M63/(Sodium_Limit*Household_Size),""))</f>
        <v>0</v>
      </c>
      <c r="W63" s="8">
        <f>IF(A63="","",IF(P63="","",IF(P63&gt;1.1,"Over target",IF(P63&lt;0.8,"Under target","On target"))))</f>
        <v>0</v>
      </c>
      <c r="X63" s="25"/>
    </row>
    <row r="64" spans="1:24">
      <c r="A64" s="30"/>
      <c r="B64" s="8">
        <f>IF(A64="","",TEXT(A64,"mmm yyyy"))</f>
        <v>0</v>
      </c>
      <c r="C64" s="8">
        <f>IF(A64="","",TEXT(A64,"ddd"))</f>
        <v>0</v>
      </c>
      <c r="D64" s="27"/>
      <c r="E64" s="27"/>
      <c r="F64" s="26"/>
      <c r="G64" s="8">
        <f>IF(E64="","",IFERROR(IFERROR(INDEX(Recipes!$H$5:$H$204,MATCH(E64,Recipes!$A$5:$A$204,0)),"")*IF(F64="",1,F64),""))</f>
        <v>0</v>
      </c>
      <c r="H64" s="8">
        <f>IF(E64="","",IFERROR(IFERROR(INDEX(Recipes!$I$5:$I$204,MATCH(E64,Recipes!$A$5:$A$204,0)),"")*IF(F64="",1,F64),""))</f>
        <v>0</v>
      </c>
      <c r="I64" s="8">
        <f>IF(E64="","",IFERROR(IFERROR(INDEX(Recipes!$J$5:$J$204,MATCH(E64,Recipes!$A$5:$A$204,0)),"")*IF(F64="",1,F64),""))</f>
        <v>0</v>
      </c>
      <c r="J64" s="8">
        <f>IF(E64="","",IFERROR(IFERROR(INDEX(Recipes!$K$5:$K$204,MATCH(E64,Recipes!$A$5:$A$204,0)),"")*IF(F64="",1,F64),""))</f>
        <v>0</v>
      </c>
      <c r="K64" s="8">
        <f>IF(E64="","",IFERROR(IFERROR(INDEX(Recipes!$L$5:$L$204,MATCH(E64,Recipes!$A$5:$A$204,0)),"")*IF(F64="",1,F64),""))</f>
        <v>0</v>
      </c>
      <c r="L64" s="8">
        <f>IF(E64="","",IFERROR(IFERROR(INDEX(Recipes!$M$5:$M$204,MATCH(E64,Recipes!$A$5:$A$204,0)),"")*IF(F64="",1,F64),""))</f>
        <v>0</v>
      </c>
      <c r="M64" s="8">
        <f>IF(E64="","",IFERROR(IFERROR(INDEX(Recipes!$N$5:$N$204,MATCH(E64,Recipes!$A$5:$A$204,0)),"")*IF(F64="",1,F64),""))</f>
        <v>0</v>
      </c>
      <c r="N64" s="26"/>
      <c r="O64" s="8">
        <f>IF(A64="","",Calorie_Target*Household_Size)</f>
        <v>0</v>
      </c>
      <c r="P64" s="8">
        <f>IF(OR(A64="",O64=0),"",IFERROR(G64/O64,""))</f>
        <v>0</v>
      </c>
      <c r="Q64" s="8">
        <f>IF(OR(A64="",Protein_Target=0),"",IFERROR(H64/(Protein_Target*Household_Size),""))</f>
        <v>0</v>
      </c>
      <c r="R64" s="8">
        <f>IF(OR(A64="",Carb_Target=0),"",IFERROR(I64/(Carb_Target*Household_Size),""))</f>
        <v>0</v>
      </c>
      <c r="S64" s="8">
        <f>IF(OR(A64="",Fat_Target=0),"",IFERROR(J64/(Fat_Target*Household_Size),""))</f>
        <v>0</v>
      </c>
      <c r="T64" s="8">
        <f>IF(OR(A64="",Fibre_Target=0),"",IFERROR(K64/(Fibre_Target*Household_Size),""))</f>
        <v>0</v>
      </c>
      <c r="U64" s="8">
        <f>IF(OR(A64="",Sugar_Limit=0),"",IFERROR(L64/(Sugar_Limit*Household_Size),""))</f>
        <v>0</v>
      </c>
      <c r="V64" s="8">
        <f>IF(OR(A64="",Sodium_Limit=0),"",IFERROR(M64/(Sodium_Limit*Household_Size),""))</f>
        <v>0</v>
      </c>
      <c r="W64" s="8">
        <f>IF(A64="","",IF(P64="","",IF(P64&gt;1.1,"Over target",IF(P64&lt;0.8,"Under target","On target"))))</f>
        <v>0</v>
      </c>
      <c r="X64" s="25"/>
    </row>
    <row r="65" spans="1:24">
      <c r="A65" s="30"/>
      <c r="B65" s="8">
        <f>IF(A65="","",TEXT(A65,"mmm yyyy"))</f>
        <v>0</v>
      </c>
      <c r="C65" s="8">
        <f>IF(A65="","",TEXT(A65,"ddd"))</f>
        <v>0</v>
      </c>
      <c r="D65" s="27"/>
      <c r="E65" s="27"/>
      <c r="F65" s="26"/>
      <c r="G65" s="8">
        <f>IF(E65="","",IFERROR(IFERROR(INDEX(Recipes!$H$5:$H$204,MATCH(E65,Recipes!$A$5:$A$204,0)),"")*IF(F65="",1,F65),""))</f>
        <v>0</v>
      </c>
      <c r="H65" s="8">
        <f>IF(E65="","",IFERROR(IFERROR(INDEX(Recipes!$I$5:$I$204,MATCH(E65,Recipes!$A$5:$A$204,0)),"")*IF(F65="",1,F65),""))</f>
        <v>0</v>
      </c>
      <c r="I65" s="8">
        <f>IF(E65="","",IFERROR(IFERROR(INDEX(Recipes!$J$5:$J$204,MATCH(E65,Recipes!$A$5:$A$204,0)),"")*IF(F65="",1,F65),""))</f>
        <v>0</v>
      </c>
      <c r="J65" s="8">
        <f>IF(E65="","",IFERROR(IFERROR(INDEX(Recipes!$K$5:$K$204,MATCH(E65,Recipes!$A$5:$A$204,0)),"")*IF(F65="",1,F65),""))</f>
        <v>0</v>
      </c>
      <c r="K65" s="8">
        <f>IF(E65="","",IFERROR(IFERROR(INDEX(Recipes!$L$5:$L$204,MATCH(E65,Recipes!$A$5:$A$204,0)),"")*IF(F65="",1,F65),""))</f>
        <v>0</v>
      </c>
      <c r="L65" s="8">
        <f>IF(E65="","",IFERROR(IFERROR(INDEX(Recipes!$M$5:$M$204,MATCH(E65,Recipes!$A$5:$A$204,0)),"")*IF(F65="",1,F65),""))</f>
        <v>0</v>
      </c>
      <c r="M65" s="8">
        <f>IF(E65="","",IFERROR(IFERROR(INDEX(Recipes!$N$5:$N$204,MATCH(E65,Recipes!$A$5:$A$204,0)),"")*IF(F65="",1,F65),""))</f>
        <v>0</v>
      </c>
      <c r="N65" s="26"/>
      <c r="O65" s="8">
        <f>IF(A65="","",Calorie_Target*Household_Size)</f>
        <v>0</v>
      </c>
      <c r="P65" s="8">
        <f>IF(OR(A65="",O65=0),"",IFERROR(G65/O65,""))</f>
        <v>0</v>
      </c>
      <c r="Q65" s="8">
        <f>IF(OR(A65="",Protein_Target=0),"",IFERROR(H65/(Protein_Target*Household_Size),""))</f>
        <v>0</v>
      </c>
      <c r="R65" s="8">
        <f>IF(OR(A65="",Carb_Target=0),"",IFERROR(I65/(Carb_Target*Household_Size),""))</f>
        <v>0</v>
      </c>
      <c r="S65" s="8">
        <f>IF(OR(A65="",Fat_Target=0),"",IFERROR(J65/(Fat_Target*Household_Size),""))</f>
        <v>0</v>
      </c>
      <c r="T65" s="8">
        <f>IF(OR(A65="",Fibre_Target=0),"",IFERROR(K65/(Fibre_Target*Household_Size),""))</f>
        <v>0</v>
      </c>
      <c r="U65" s="8">
        <f>IF(OR(A65="",Sugar_Limit=0),"",IFERROR(L65/(Sugar_Limit*Household_Size),""))</f>
        <v>0</v>
      </c>
      <c r="V65" s="8">
        <f>IF(OR(A65="",Sodium_Limit=0),"",IFERROR(M65/(Sodium_Limit*Household_Size),""))</f>
        <v>0</v>
      </c>
      <c r="W65" s="8">
        <f>IF(A65="","",IF(P65="","",IF(P65&gt;1.1,"Over target",IF(P65&lt;0.8,"Under target","On target"))))</f>
        <v>0</v>
      </c>
      <c r="X65" s="25"/>
    </row>
    <row r="66" spans="1:24">
      <c r="A66" s="30"/>
      <c r="B66" s="8">
        <f>IF(A66="","",TEXT(A66,"mmm yyyy"))</f>
        <v>0</v>
      </c>
      <c r="C66" s="8">
        <f>IF(A66="","",TEXT(A66,"ddd"))</f>
        <v>0</v>
      </c>
      <c r="D66" s="27"/>
      <c r="E66" s="27"/>
      <c r="F66" s="26"/>
      <c r="G66" s="8">
        <f>IF(E66="","",IFERROR(IFERROR(INDEX(Recipes!$H$5:$H$204,MATCH(E66,Recipes!$A$5:$A$204,0)),"")*IF(F66="",1,F66),""))</f>
        <v>0</v>
      </c>
      <c r="H66" s="8">
        <f>IF(E66="","",IFERROR(IFERROR(INDEX(Recipes!$I$5:$I$204,MATCH(E66,Recipes!$A$5:$A$204,0)),"")*IF(F66="",1,F66),""))</f>
        <v>0</v>
      </c>
      <c r="I66" s="8">
        <f>IF(E66="","",IFERROR(IFERROR(INDEX(Recipes!$J$5:$J$204,MATCH(E66,Recipes!$A$5:$A$204,0)),"")*IF(F66="",1,F66),""))</f>
        <v>0</v>
      </c>
      <c r="J66" s="8">
        <f>IF(E66="","",IFERROR(IFERROR(INDEX(Recipes!$K$5:$K$204,MATCH(E66,Recipes!$A$5:$A$204,0)),"")*IF(F66="",1,F66),""))</f>
        <v>0</v>
      </c>
      <c r="K66" s="8">
        <f>IF(E66="","",IFERROR(IFERROR(INDEX(Recipes!$L$5:$L$204,MATCH(E66,Recipes!$A$5:$A$204,0)),"")*IF(F66="",1,F66),""))</f>
        <v>0</v>
      </c>
      <c r="L66" s="8">
        <f>IF(E66="","",IFERROR(IFERROR(INDEX(Recipes!$M$5:$M$204,MATCH(E66,Recipes!$A$5:$A$204,0)),"")*IF(F66="",1,F66),""))</f>
        <v>0</v>
      </c>
      <c r="M66" s="8">
        <f>IF(E66="","",IFERROR(IFERROR(INDEX(Recipes!$N$5:$N$204,MATCH(E66,Recipes!$A$5:$A$204,0)),"")*IF(F66="",1,F66),""))</f>
        <v>0</v>
      </c>
      <c r="N66" s="26"/>
      <c r="O66" s="8">
        <f>IF(A66="","",Calorie_Target*Household_Size)</f>
        <v>0</v>
      </c>
      <c r="P66" s="8">
        <f>IF(OR(A66="",O66=0),"",IFERROR(G66/O66,""))</f>
        <v>0</v>
      </c>
      <c r="Q66" s="8">
        <f>IF(OR(A66="",Protein_Target=0),"",IFERROR(H66/(Protein_Target*Household_Size),""))</f>
        <v>0</v>
      </c>
      <c r="R66" s="8">
        <f>IF(OR(A66="",Carb_Target=0),"",IFERROR(I66/(Carb_Target*Household_Size),""))</f>
        <v>0</v>
      </c>
      <c r="S66" s="8">
        <f>IF(OR(A66="",Fat_Target=0),"",IFERROR(J66/(Fat_Target*Household_Size),""))</f>
        <v>0</v>
      </c>
      <c r="T66" s="8">
        <f>IF(OR(A66="",Fibre_Target=0),"",IFERROR(K66/(Fibre_Target*Household_Size),""))</f>
        <v>0</v>
      </c>
      <c r="U66" s="8">
        <f>IF(OR(A66="",Sugar_Limit=0),"",IFERROR(L66/(Sugar_Limit*Household_Size),""))</f>
        <v>0</v>
      </c>
      <c r="V66" s="8">
        <f>IF(OR(A66="",Sodium_Limit=0),"",IFERROR(M66/(Sodium_Limit*Household_Size),""))</f>
        <v>0</v>
      </c>
      <c r="W66" s="8">
        <f>IF(A66="","",IF(P66="","",IF(P66&gt;1.1,"Over target",IF(P66&lt;0.8,"Under target","On target"))))</f>
        <v>0</v>
      </c>
      <c r="X66" s="25"/>
    </row>
    <row r="67" spans="1:24">
      <c r="A67" s="30"/>
      <c r="B67" s="8">
        <f>IF(A67="","",TEXT(A67,"mmm yyyy"))</f>
        <v>0</v>
      </c>
      <c r="C67" s="8">
        <f>IF(A67="","",TEXT(A67,"ddd"))</f>
        <v>0</v>
      </c>
      <c r="D67" s="27"/>
      <c r="E67" s="27"/>
      <c r="F67" s="26"/>
      <c r="G67" s="8">
        <f>IF(E67="","",IFERROR(IFERROR(INDEX(Recipes!$H$5:$H$204,MATCH(E67,Recipes!$A$5:$A$204,0)),"")*IF(F67="",1,F67),""))</f>
        <v>0</v>
      </c>
      <c r="H67" s="8">
        <f>IF(E67="","",IFERROR(IFERROR(INDEX(Recipes!$I$5:$I$204,MATCH(E67,Recipes!$A$5:$A$204,0)),"")*IF(F67="",1,F67),""))</f>
        <v>0</v>
      </c>
      <c r="I67" s="8">
        <f>IF(E67="","",IFERROR(IFERROR(INDEX(Recipes!$J$5:$J$204,MATCH(E67,Recipes!$A$5:$A$204,0)),"")*IF(F67="",1,F67),""))</f>
        <v>0</v>
      </c>
      <c r="J67" s="8">
        <f>IF(E67="","",IFERROR(IFERROR(INDEX(Recipes!$K$5:$K$204,MATCH(E67,Recipes!$A$5:$A$204,0)),"")*IF(F67="",1,F67),""))</f>
        <v>0</v>
      </c>
      <c r="K67" s="8">
        <f>IF(E67="","",IFERROR(IFERROR(INDEX(Recipes!$L$5:$L$204,MATCH(E67,Recipes!$A$5:$A$204,0)),"")*IF(F67="",1,F67),""))</f>
        <v>0</v>
      </c>
      <c r="L67" s="8">
        <f>IF(E67="","",IFERROR(IFERROR(INDEX(Recipes!$M$5:$M$204,MATCH(E67,Recipes!$A$5:$A$204,0)),"")*IF(F67="",1,F67),""))</f>
        <v>0</v>
      </c>
      <c r="M67" s="8">
        <f>IF(E67="","",IFERROR(IFERROR(INDEX(Recipes!$N$5:$N$204,MATCH(E67,Recipes!$A$5:$A$204,0)),"")*IF(F67="",1,F67),""))</f>
        <v>0</v>
      </c>
      <c r="N67" s="26"/>
      <c r="O67" s="8">
        <f>IF(A67="","",Calorie_Target*Household_Size)</f>
        <v>0</v>
      </c>
      <c r="P67" s="8">
        <f>IF(OR(A67="",O67=0),"",IFERROR(G67/O67,""))</f>
        <v>0</v>
      </c>
      <c r="Q67" s="8">
        <f>IF(OR(A67="",Protein_Target=0),"",IFERROR(H67/(Protein_Target*Household_Size),""))</f>
        <v>0</v>
      </c>
      <c r="R67" s="8">
        <f>IF(OR(A67="",Carb_Target=0),"",IFERROR(I67/(Carb_Target*Household_Size),""))</f>
        <v>0</v>
      </c>
      <c r="S67" s="8">
        <f>IF(OR(A67="",Fat_Target=0),"",IFERROR(J67/(Fat_Target*Household_Size),""))</f>
        <v>0</v>
      </c>
      <c r="T67" s="8">
        <f>IF(OR(A67="",Fibre_Target=0),"",IFERROR(K67/(Fibre_Target*Household_Size),""))</f>
        <v>0</v>
      </c>
      <c r="U67" s="8">
        <f>IF(OR(A67="",Sugar_Limit=0),"",IFERROR(L67/(Sugar_Limit*Household_Size),""))</f>
        <v>0</v>
      </c>
      <c r="V67" s="8">
        <f>IF(OR(A67="",Sodium_Limit=0),"",IFERROR(M67/(Sodium_Limit*Household_Size),""))</f>
        <v>0</v>
      </c>
      <c r="W67" s="8">
        <f>IF(A67="","",IF(P67="","",IF(P67&gt;1.1,"Over target",IF(P67&lt;0.8,"Under target","On target"))))</f>
        <v>0</v>
      </c>
      <c r="X67" s="25"/>
    </row>
    <row r="68" spans="1:24">
      <c r="A68" s="30"/>
      <c r="B68" s="8">
        <f>IF(A68="","",TEXT(A68,"mmm yyyy"))</f>
        <v>0</v>
      </c>
      <c r="C68" s="8">
        <f>IF(A68="","",TEXT(A68,"ddd"))</f>
        <v>0</v>
      </c>
      <c r="D68" s="27"/>
      <c r="E68" s="27"/>
      <c r="F68" s="26"/>
      <c r="G68" s="8">
        <f>IF(E68="","",IFERROR(IFERROR(INDEX(Recipes!$H$5:$H$204,MATCH(E68,Recipes!$A$5:$A$204,0)),"")*IF(F68="",1,F68),""))</f>
        <v>0</v>
      </c>
      <c r="H68" s="8">
        <f>IF(E68="","",IFERROR(IFERROR(INDEX(Recipes!$I$5:$I$204,MATCH(E68,Recipes!$A$5:$A$204,0)),"")*IF(F68="",1,F68),""))</f>
        <v>0</v>
      </c>
      <c r="I68" s="8">
        <f>IF(E68="","",IFERROR(IFERROR(INDEX(Recipes!$J$5:$J$204,MATCH(E68,Recipes!$A$5:$A$204,0)),"")*IF(F68="",1,F68),""))</f>
        <v>0</v>
      </c>
      <c r="J68" s="8">
        <f>IF(E68="","",IFERROR(IFERROR(INDEX(Recipes!$K$5:$K$204,MATCH(E68,Recipes!$A$5:$A$204,0)),"")*IF(F68="",1,F68),""))</f>
        <v>0</v>
      </c>
      <c r="K68" s="8">
        <f>IF(E68="","",IFERROR(IFERROR(INDEX(Recipes!$L$5:$L$204,MATCH(E68,Recipes!$A$5:$A$204,0)),"")*IF(F68="",1,F68),""))</f>
        <v>0</v>
      </c>
      <c r="L68" s="8">
        <f>IF(E68="","",IFERROR(IFERROR(INDEX(Recipes!$M$5:$M$204,MATCH(E68,Recipes!$A$5:$A$204,0)),"")*IF(F68="",1,F68),""))</f>
        <v>0</v>
      </c>
      <c r="M68" s="8">
        <f>IF(E68="","",IFERROR(IFERROR(INDEX(Recipes!$N$5:$N$204,MATCH(E68,Recipes!$A$5:$A$204,0)),"")*IF(F68="",1,F68),""))</f>
        <v>0</v>
      </c>
      <c r="N68" s="26"/>
      <c r="O68" s="8">
        <f>IF(A68="","",Calorie_Target*Household_Size)</f>
        <v>0</v>
      </c>
      <c r="P68" s="8">
        <f>IF(OR(A68="",O68=0),"",IFERROR(G68/O68,""))</f>
        <v>0</v>
      </c>
      <c r="Q68" s="8">
        <f>IF(OR(A68="",Protein_Target=0),"",IFERROR(H68/(Protein_Target*Household_Size),""))</f>
        <v>0</v>
      </c>
      <c r="R68" s="8">
        <f>IF(OR(A68="",Carb_Target=0),"",IFERROR(I68/(Carb_Target*Household_Size),""))</f>
        <v>0</v>
      </c>
      <c r="S68" s="8">
        <f>IF(OR(A68="",Fat_Target=0),"",IFERROR(J68/(Fat_Target*Household_Size),""))</f>
        <v>0</v>
      </c>
      <c r="T68" s="8">
        <f>IF(OR(A68="",Fibre_Target=0),"",IFERROR(K68/(Fibre_Target*Household_Size),""))</f>
        <v>0</v>
      </c>
      <c r="U68" s="8">
        <f>IF(OR(A68="",Sugar_Limit=0),"",IFERROR(L68/(Sugar_Limit*Household_Size),""))</f>
        <v>0</v>
      </c>
      <c r="V68" s="8">
        <f>IF(OR(A68="",Sodium_Limit=0),"",IFERROR(M68/(Sodium_Limit*Household_Size),""))</f>
        <v>0</v>
      </c>
      <c r="W68" s="8">
        <f>IF(A68="","",IF(P68="","",IF(P68&gt;1.1,"Over target",IF(P68&lt;0.8,"Under target","On target"))))</f>
        <v>0</v>
      </c>
      <c r="X68" s="25"/>
    </row>
    <row r="69" spans="1:24">
      <c r="A69" s="30"/>
      <c r="B69" s="8">
        <f>IF(A69="","",TEXT(A69,"mmm yyyy"))</f>
        <v>0</v>
      </c>
      <c r="C69" s="8">
        <f>IF(A69="","",TEXT(A69,"ddd"))</f>
        <v>0</v>
      </c>
      <c r="D69" s="27"/>
      <c r="E69" s="27"/>
      <c r="F69" s="26"/>
      <c r="G69" s="8">
        <f>IF(E69="","",IFERROR(IFERROR(INDEX(Recipes!$H$5:$H$204,MATCH(E69,Recipes!$A$5:$A$204,0)),"")*IF(F69="",1,F69),""))</f>
        <v>0</v>
      </c>
      <c r="H69" s="8">
        <f>IF(E69="","",IFERROR(IFERROR(INDEX(Recipes!$I$5:$I$204,MATCH(E69,Recipes!$A$5:$A$204,0)),"")*IF(F69="",1,F69),""))</f>
        <v>0</v>
      </c>
      <c r="I69" s="8">
        <f>IF(E69="","",IFERROR(IFERROR(INDEX(Recipes!$J$5:$J$204,MATCH(E69,Recipes!$A$5:$A$204,0)),"")*IF(F69="",1,F69),""))</f>
        <v>0</v>
      </c>
      <c r="J69" s="8">
        <f>IF(E69="","",IFERROR(IFERROR(INDEX(Recipes!$K$5:$K$204,MATCH(E69,Recipes!$A$5:$A$204,0)),"")*IF(F69="",1,F69),""))</f>
        <v>0</v>
      </c>
      <c r="K69" s="8">
        <f>IF(E69="","",IFERROR(IFERROR(INDEX(Recipes!$L$5:$L$204,MATCH(E69,Recipes!$A$5:$A$204,0)),"")*IF(F69="",1,F69),""))</f>
        <v>0</v>
      </c>
      <c r="L69" s="8">
        <f>IF(E69="","",IFERROR(IFERROR(INDEX(Recipes!$M$5:$M$204,MATCH(E69,Recipes!$A$5:$A$204,0)),"")*IF(F69="",1,F69),""))</f>
        <v>0</v>
      </c>
      <c r="M69" s="8">
        <f>IF(E69="","",IFERROR(IFERROR(INDEX(Recipes!$N$5:$N$204,MATCH(E69,Recipes!$A$5:$A$204,0)),"")*IF(F69="",1,F69),""))</f>
        <v>0</v>
      </c>
      <c r="N69" s="26"/>
      <c r="O69" s="8">
        <f>IF(A69="","",Calorie_Target*Household_Size)</f>
        <v>0</v>
      </c>
      <c r="P69" s="8">
        <f>IF(OR(A69="",O69=0),"",IFERROR(G69/O69,""))</f>
        <v>0</v>
      </c>
      <c r="Q69" s="8">
        <f>IF(OR(A69="",Protein_Target=0),"",IFERROR(H69/(Protein_Target*Household_Size),""))</f>
        <v>0</v>
      </c>
      <c r="R69" s="8">
        <f>IF(OR(A69="",Carb_Target=0),"",IFERROR(I69/(Carb_Target*Household_Size),""))</f>
        <v>0</v>
      </c>
      <c r="S69" s="8">
        <f>IF(OR(A69="",Fat_Target=0),"",IFERROR(J69/(Fat_Target*Household_Size),""))</f>
        <v>0</v>
      </c>
      <c r="T69" s="8">
        <f>IF(OR(A69="",Fibre_Target=0),"",IFERROR(K69/(Fibre_Target*Household_Size),""))</f>
        <v>0</v>
      </c>
      <c r="U69" s="8">
        <f>IF(OR(A69="",Sugar_Limit=0),"",IFERROR(L69/(Sugar_Limit*Household_Size),""))</f>
        <v>0</v>
      </c>
      <c r="V69" s="8">
        <f>IF(OR(A69="",Sodium_Limit=0),"",IFERROR(M69/(Sodium_Limit*Household_Size),""))</f>
        <v>0</v>
      </c>
      <c r="W69" s="8">
        <f>IF(A69="","",IF(P69="","",IF(P69&gt;1.1,"Over target",IF(P69&lt;0.8,"Under target","On target"))))</f>
        <v>0</v>
      </c>
      <c r="X69" s="25"/>
    </row>
    <row r="70" spans="1:24">
      <c r="A70" s="30"/>
      <c r="B70" s="8">
        <f>IF(A70="","",TEXT(A70,"mmm yyyy"))</f>
        <v>0</v>
      </c>
      <c r="C70" s="8">
        <f>IF(A70="","",TEXT(A70,"ddd"))</f>
        <v>0</v>
      </c>
      <c r="D70" s="27"/>
      <c r="E70" s="27"/>
      <c r="F70" s="26"/>
      <c r="G70" s="8">
        <f>IF(E70="","",IFERROR(IFERROR(INDEX(Recipes!$H$5:$H$204,MATCH(E70,Recipes!$A$5:$A$204,0)),"")*IF(F70="",1,F70),""))</f>
        <v>0</v>
      </c>
      <c r="H70" s="8">
        <f>IF(E70="","",IFERROR(IFERROR(INDEX(Recipes!$I$5:$I$204,MATCH(E70,Recipes!$A$5:$A$204,0)),"")*IF(F70="",1,F70),""))</f>
        <v>0</v>
      </c>
      <c r="I70" s="8">
        <f>IF(E70="","",IFERROR(IFERROR(INDEX(Recipes!$J$5:$J$204,MATCH(E70,Recipes!$A$5:$A$204,0)),"")*IF(F70="",1,F70),""))</f>
        <v>0</v>
      </c>
      <c r="J70" s="8">
        <f>IF(E70="","",IFERROR(IFERROR(INDEX(Recipes!$K$5:$K$204,MATCH(E70,Recipes!$A$5:$A$204,0)),"")*IF(F70="",1,F70),""))</f>
        <v>0</v>
      </c>
      <c r="K70" s="8">
        <f>IF(E70="","",IFERROR(IFERROR(INDEX(Recipes!$L$5:$L$204,MATCH(E70,Recipes!$A$5:$A$204,0)),"")*IF(F70="",1,F70),""))</f>
        <v>0</v>
      </c>
      <c r="L70" s="8">
        <f>IF(E70="","",IFERROR(IFERROR(INDEX(Recipes!$M$5:$M$204,MATCH(E70,Recipes!$A$5:$A$204,0)),"")*IF(F70="",1,F70),""))</f>
        <v>0</v>
      </c>
      <c r="M70" s="8">
        <f>IF(E70="","",IFERROR(IFERROR(INDEX(Recipes!$N$5:$N$204,MATCH(E70,Recipes!$A$5:$A$204,0)),"")*IF(F70="",1,F70),""))</f>
        <v>0</v>
      </c>
      <c r="N70" s="26"/>
      <c r="O70" s="8">
        <f>IF(A70="","",Calorie_Target*Household_Size)</f>
        <v>0</v>
      </c>
      <c r="P70" s="8">
        <f>IF(OR(A70="",O70=0),"",IFERROR(G70/O70,""))</f>
        <v>0</v>
      </c>
      <c r="Q70" s="8">
        <f>IF(OR(A70="",Protein_Target=0),"",IFERROR(H70/(Protein_Target*Household_Size),""))</f>
        <v>0</v>
      </c>
      <c r="R70" s="8">
        <f>IF(OR(A70="",Carb_Target=0),"",IFERROR(I70/(Carb_Target*Household_Size),""))</f>
        <v>0</v>
      </c>
      <c r="S70" s="8">
        <f>IF(OR(A70="",Fat_Target=0),"",IFERROR(J70/(Fat_Target*Household_Size),""))</f>
        <v>0</v>
      </c>
      <c r="T70" s="8">
        <f>IF(OR(A70="",Fibre_Target=0),"",IFERROR(K70/(Fibre_Target*Household_Size),""))</f>
        <v>0</v>
      </c>
      <c r="U70" s="8">
        <f>IF(OR(A70="",Sugar_Limit=0),"",IFERROR(L70/(Sugar_Limit*Household_Size),""))</f>
        <v>0</v>
      </c>
      <c r="V70" s="8">
        <f>IF(OR(A70="",Sodium_Limit=0),"",IFERROR(M70/(Sodium_Limit*Household_Size),""))</f>
        <v>0</v>
      </c>
      <c r="W70" s="8">
        <f>IF(A70="","",IF(P70="","",IF(P70&gt;1.1,"Over target",IF(P70&lt;0.8,"Under target","On target"))))</f>
        <v>0</v>
      </c>
      <c r="X70" s="25"/>
    </row>
    <row r="71" spans="1:24">
      <c r="A71" s="30"/>
      <c r="B71" s="8">
        <f>IF(A71="","",TEXT(A71,"mmm yyyy"))</f>
        <v>0</v>
      </c>
      <c r="C71" s="8">
        <f>IF(A71="","",TEXT(A71,"ddd"))</f>
        <v>0</v>
      </c>
      <c r="D71" s="27"/>
      <c r="E71" s="27"/>
      <c r="F71" s="26"/>
      <c r="G71" s="8">
        <f>IF(E71="","",IFERROR(IFERROR(INDEX(Recipes!$H$5:$H$204,MATCH(E71,Recipes!$A$5:$A$204,0)),"")*IF(F71="",1,F71),""))</f>
        <v>0</v>
      </c>
      <c r="H71" s="8">
        <f>IF(E71="","",IFERROR(IFERROR(INDEX(Recipes!$I$5:$I$204,MATCH(E71,Recipes!$A$5:$A$204,0)),"")*IF(F71="",1,F71),""))</f>
        <v>0</v>
      </c>
      <c r="I71" s="8">
        <f>IF(E71="","",IFERROR(IFERROR(INDEX(Recipes!$J$5:$J$204,MATCH(E71,Recipes!$A$5:$A$204,0)),"")*IF(F71="",1,F71),""))</f>
        <v>0</v>
      </c>
      <c r="J71" s="8">
        <f>IF(E71="","",IFERROR(IFERROR(INDEX(Recipes!$K$5:$K$204,MATCH(E71,Recipes!$A$5:$A$204,0)),"")*IF(F71="",1,F71),""))</f>
        <v>0</v>
      </c>
      <c r="K71" s="8">
        <f>IF(E71="","",IFERROR(IFERROR(INDEX(Recipes!$L$5:$L$204,MATCH(E71,Recipes!$A$5:$A$204,0)),"")*IF(F71="",1,F71),""))</f>
        <v>0</v>
      </c>
      <c r="L71" s="8">
        <f>IF(E71="","",IFERROR(IFERROR(INDEX(Recipes!$M$5:$M$204,MATCH(E71,Recipes!$A$5:$A$204,0)),"")*IF(F71="",1,F71),""))</f>
        <v>0</v>
      </c>
      <c r="M71" s="8">
        <f>IF(E71="","",IFERROR(IFERROR(INDEX(Recipes!$N$5:$N$204,MATCH(E71,Recipes!$A$5:$A$204,0)),"")*IF(F71="",1,F71),""))</f>
        <v>0</v>
      </c>
      <c r="N71" s="26"/>
      <c r="O71" s="8">
        <f>IF(A71="","",Calorie_Target*Household_Size)</f>
        <v>0</v>
      </c>
      <c r="P71" s="8">
        <f>IF(OR(A71="",O71=0),"",IFERROR(G71/O71,""))</f>
        <v>0</v>
      </c>
      <c r="Q71" s="8">
        <f>IF(OR(A71="",Protein_Target=0),"",IFERROR(H71/(Protein_Target*Household_Size),""))</f>
        <v>0</v>
      </c>
      <c r="R71" s="8">
        <f>IF(OR(A71="",Carb_Target=0),"",IFERROR(I71/(Carb_Target*Household_Size),""))</f>
        <v>0</v>
      </c>
      <c r="S71" s="8">
        <f>IF(OR(A71="",Fat_Target=0),"",IFERROR(J71/(Fat_Target*Household_Size),""))</f>
        <v>0</v>
      </c>
      <c r="T71" s="8">
        <f>IF(OR(A71="",Fibre_Target=0),"",IFERROR(K71/(Fibre_Target*Household_Size),""))</f>
        <v>0</v>
      </c>
      <c r="U71" s="8">
        <f>IF(OR(A71="",Sugar_Limit=0),"",IFERROR(L71/(Sugar_Limit*Household_Size),""))</f>
        <v>0</v>
      </c>
      <c r="V71" s="8">
        <f>IF(OR(A71="",Sodium_Limit=0),"",IFERROR(M71/(Sodium_Limit*Household_Size),""))</f>
        <v>0</v>
      </c>
      <c r="W71" s="8">
        <f>IF(A71="","",IF(P71="","",IF(P71&gt;1.1,"Over target",IF(P71&lt;0.8,"Under target","On target"))))</f>
        <v>0</v>
      </c>
      <c r="X71" s="25"/>
    </row>
    <row r="72" spans="1:24">
      <c r="A72" s="30"/>
      <c r="B72" s="8">
        <f>IF(A72="","",TEXT(A72,"mmm yyyy"))</f>
        <v>0</v>
      </c>
      <c r="C72" s="8">
        <f>IF(A72="","",TEXT(A72,"ddd"))</f>
        <v>0</v>
      </c>
      <c r="D72" s="27"/>
      <c r="E72" s="27"/>
      <c r="F72" s="26"/>
      <c r="G72" s="8">
        <f>IF(E72="","",IFERROR(IFERROR(INDEX(Recipes!$H$5:$H$204,MATCH(E72,Recipes!$A$5:$A$204,0)),"")*IF(F72="",1,F72),""))</f>
        <v>0</v>
      </c>
      <c r="H72" s="8">
        <f>IF(E72="","",IFERROR(IFERROR(INDEX(Recipes!$I$5:$I$204,MATCH(E72,Recipes!$A$5:$A$204,0)),"")*IF(F72="",1,F72),""))</f>
        <v>0</v>
      </c>
      <c r="I72" s="8">
        <f>IF(E72="","",IFERROR(IFERROR(INDEX(Recipes!$J$5:$J$204,MATCH(E72,Recipes!$A$5:$A$204,0)),"")*IF(F72="",1,F72),""))</f>
        <v>0</v>
      </c>
      <c r="J72" s="8">
        <f>IF(E72="","",IFERROR(IFERROR(INDEX(Recipes!$K$5:$K$204,MATCH(E72,Recipes!$A$5:$A$204,0)),"")*IF(F72="",1,F72),""))</f>
        <v>0</v>
      </c>
      <c r="K72" s="8">
        <f>IF(E72="","",IFERROR(IFERROR(INDEX(Recipes!$L$5:$L$204,MATCH(E72,Recipes!$A$5:$A$204,0)),"")*IF(F72="",1,F72),""))</f>
        <v>0</v>
      </c>
      <c r="L72" s="8">
        <f>IF(E72="","",IFERROR(IFERROR(INDEX(Recipes!$M$5:$M$204,MATCH(E72,Recipes!$A$5:$A$204,0)),"")*IF(F72="",1,F72),""))</f>
        <v>0</v>
      </c>
      <c r="M72" s="8">
        <f>IF(E72="","",IFERROR(IFERROR(INDEX(Recipes!$N$5:$N$204,MATCH(E72,Recipes!$A$5:$A$204,0)),"")*IF(F72="",1,F72),""))</f>
        <v>0</v>
      </c>
      <c r="N72" s="26"/>
      <c r="O72" s="8">
        <f>IF(A72="","",Calorie_Target*Household_Size)</f>
        <v>0</v>
      </c>
      <c r="P72" s="8">
        <f>IF(OR(A72="",O72=0),"",IFERROR(G72/O72,""))</f>
        <v>0</v>
      </c>
      <c r="Q72" s="8">
        <f>IF(OR(A72="",Protein_Target=0),"",IFERROR(H72/(Protein_Target*Household_Size),""))</f>
        <v>0</v>
      </c>
      <c r="R72" s="8">
        <f>IF(OR(A72="",Carb_Target=0),"",IFERROR(I72/(Carb_Target*Household_Size),""))</f>
        <v>0</v>
      </c>
      <c r="S72" s="8">
        <f>IF(OR(A72="",Fat_Target=0),"",IFERROR(J72/(Fat_Target*Household_Size),""))</f>
        <v>0</v>
      </c>
      <c r="T72" s="8">
        <f>IF(OR(A72="",Fibre_Target=0),"",IFERROR(K72/(Fibre_Target*Household_Size),""))</f>
        <v>0</v>
      </c>
      <c r="U72" s="8">
        <f>IF(OR(A72="",Sugar_Limit=0),"",IFERROR(L72/(Sugar_Limit*Household_Size),""))</f>
        <v>0</v>
      </c>
      <c r="V72" s="8">
        <f>IF(OR(A72="",Sodium_Limit=0),"",IFERROR(M72/(Sodium_Limit*Household_Size),""))</f>
        <v>0</v>
      </c>
      <c r="W72" s="8">
        <f>IF(A72="","",IF(P72="","",IF(P72&gt;1.1,"Over target",IF(P72&lt;0.8,"Under target","On target"))))</f>
        <v>0</v>
      </c>
      <c r="X72" s="25"/>
    </row>
    <row r="73" spans="1:24">
      <c r="A73" s="30"/>
      <c r="B73" s="8">
        <f>IF(A73="","",TEXT(A73,"mmm yyyy"))</f>
        <v>0</v>
      </c>
      <c r="C73" s="8">
        <f>IF(A73="","",TEXT(A73,"ddd"))</f>
        <v>0</v>
      </c>
      <c r="D73" s="27"/>
      <c r="E73" s="27"/>
      <c r="F73" s="26"/>
      <c r="G73" s="8">
        <f>IF(E73="","",IFERROR(IFERROR(INDEX(Recipes!$H$5:$H$204,MATCH(E73,Recipes!$A$5:$A$204,0)),"")*IF(F73="",1,F73),""))</f>
        <v>0</v>
      </c>
      <c r="H73" s="8">
        <f>IF(E73="","",IFERROR(IFERROR(INDEX(Recipes!$I$5:$I$204,MATCH(E73,Recipes!$A$5:$A$204,0)),"")*IF(F73="",1,F73),""))</f>
        <v>0</v>
      </c>
      <c r="I73" s="8">
        <f>IF(E73="","",IFERROR(IFERROR(INDEX(Recipes!$J$5:$J$204,MATCH(E73,Recipes!$A$5:$A$204,0)),"")*IF(F73="",1,F73),""))</f>
        <v>0</v>
      </c>
      <c r="J73" s="8">
        <f>IF(E73="","",IFERROR(IFERROR(INDEX(Recipes!$K$5:$K$204,MATCH(E73,Recipes!$A$5:$A$204,0)),"")*IF(F73="",1,F73),""))</f>
        <v>0</v>
      </c>
      <c r="K73" s="8">
        <f>IF(E73="","",IFERROR(IFERROR(INDEX(Recipes!$L$5:$L$204,MATCH(E73,Recipes!$A$5:$A$204,0)),"")*IF(F73="",1,F73),""))</f>
        <v>0</v>
      </c>
      <c r="L73" s="8">
        <f>IF(E73="","",IFERROR(IFERROR(INDEX(Recipes!$M$5:$M$204,MATCH(E73,Recipes!$A$5:$A$204,0)),"")*IF(F73="",1,F73),""))</f>
        <v>0</v>
      </c>
      <c r="M73" s="8">
        <f>IF(E73="","",IFERROR(IFERROR(INDEX(Recipes!$N$5:$N$204,MATCH(E73,Recipes!$A$5:$A$204,0)),"")*IF(F73="",1,F73),""))</f>
        <v>0</v>
      </c>
      <c r="N73" s="26"/>
      <c r="O73" s="8">
        <f>IF(A73="","",Calorie_Target*Household_Size)</f>
        <v>0</v>
      </c>
      <c r="P73" s="8">
        <f>IF(OR(A73="",O73=0),"",IFERROR(G73/O73,""))</f>
        <v>0</v>
      </c>
      <c r="Q73" s="8">
        <f>IF(OR(A73="",Protein_Target=0),"",IFERROR(H73/(Protein_Target*Household_Size),""))</f>
        <v>0</v>
      </c>
      <c r="R73" s="8">
        <f>IF(OR(A73="",Carb_Target=0),"",IFERROR(I73/(Carb_Target*Household_Size),""))</f>
        <v>0</v>
      </c>
      <c r="S73" s="8">
        <f>IF(OR(A73="",Fat_Target=0),"",IFERROR(J73/(Fat_Target*Household_Size),""))</f>
        <v>0</v>
      </c>
      <c r="T73" s="8">
        <f>IF(OR(A73="",Fibre_Target=0),"",IFERROR(K73/(Fibre_Target*Household_Size),""))</f>
        <v>0</v>
      </c>
      <c r="U73" s="8">
        <f>IF(OR(A73="",Sugar_Limit=0),"",IFERROR(L73/(Sugar_Limit*Household_Size),""))</f>
        <v>0</v>
      </c>
      <c r="V73" s="8">
        <f>IF(OR(A73="",Sodium_Limit=0),"",IFERROR(M73/(Sodium_Limit*Household_Size),""))</f>
        <v>0</v>
      </c>
      <c r="W73" s="8">
        <f>IF(A73="","",IF(P73="","",IF(P73&gt;1.1,"Over target",IF(P73&lt;0.8,"Under target","On target"))))</f>
        <v>0</v>
      </c>
      <c r="X73" s="25"/>
    </row>
    <row r="74" spans="1:24">
      <c r="A74" s="30"/>
      <c r="B74" s="8">
        <f>IF(A74="","",TEXT(A74,"mmm yyyy"))</f>
        <v>0</v>
      </c>
      <c r="C74" s="8">
        <f>IF(A74="","",TEXT(A74,"ddd"))</f>
        <v>0</v>
      </c>
      <c r="D74" s="27"/>
      <c r="E74" s="27"/>
      <c r="F74" s="26"/>
      <c r="G74" s="8">
        <f>IF(E74="","",IFERROR(IFERROR(INDEX(Recipes!$H$5:$H$204,MATCH(E74,Recipes!$A$5:$A$204,0)),"")*IF(F74="",1,F74),""))</f>
        <v>0</v>
      </c>
      <c r="H74" s="8">
        <f>IF(E74="","",IFERROR(IFERROR(INDEX(Recipes!$I$5:$I$204,MATCH(E74,Recipes!$A$5:$A$204,0)),"")*IF(F74="",1,F74),""))</f>
        <v>0</v>
      </c>
      <c r="I74" s="8">
        <f>IF(E74="","",IFERROR(IFERROR(INDEX(Recipes!$J$5:$J$204,MATCH(E74,Recipes!$A$5:$A$204,0)),"")*IF(F74="",1,F74),""))</f>
        <v>0</v>
      </c>
      <c r="J74" s="8">
        <f>IF(E74="","",IFERROR(IFERROR(INDEX(Recipes!$K$5:$K$204,MATCH(E74,Recipes!$A$5:$A$204,0)),"")*IF(F74="",1,F74),""))</f>
        <v>0</v>
      </c>
      <c r="K74" s="8">
        <f>IF(E74="","",IFERROR(IFERROR(INDEX(Recipes!$L$5:$L$204,MATCH(E74,Recipes!$A$5:$A$204,0)),"")*IF(F74="",1,F74),""))</f>
        <v>0</v>
      </c>
      <c r="L74" s="8">
        <f>IF(E74="","",IFERROR(IFERROR(INDEX(Recipes!$M$5:$M$204,MATCH(E74,Recipes!$A$5:$A$204,0)),"")*IF(F74="",1,F74),""))</f>
        <v>0</v>
      </c>
      <c r="M74" s="8">
        <f>IF(E74="","",IFERROR(IFERROR(INDEX(Recipes!$N$5:$N$204,MATCH(E74,Recipes!$A$5:$A$204,0)),"")*IF(F74="",1,F74),""))</f>
        <v>0</v>
      </c>
      <c r="N74" s="26"/>
      <c r="O74" s="8">
        <f>IF(A74="","",Calorie_Target*Household_Size)</f>
        <v>0</v>
      </c>
      <c r="P74" s="8">
        <f>IF(OR(A74="",O74=0),"",IFERROR(G74/O74,""))</f>
        <v>0</v>
      </c>
      <c r="Q74" s="8">
        <f>IF(OR(A74="",Protein_Target=0),"",IFERROR(H74/(Protein_Target*Household_Size),""))</f>
        <v>0</v>
      </c>
      <c r="R74" s="8">
        <f>IF(OR(A74="",Carb_Target=0),"",IFERROR(I74/(Carb_Target*Household_Size),""))</f>
        <v>0</v>
      </c>
      <c r="S74" s="8">
        <f>IF(OR(A74="",Fat_Target=0),"",IFERROR(J74/(Fat_Target*Household_Size),""))</f>
        <v>0</v>
      </c>
      <c r="T74" s="8">
        <f>IF(OR(A74="",Fibre_Target=0),"",IFERROR(K74/(Fibre_Target*Household_Size),""))</f>
        <v>0</v>
      </c>
      <c r="U74" s="8">
        <f>IF(OR(A74="",Sugar_Limit=0),"",IFERROR(L74/(Sugar_Limit*Household_Size),""))</f>
        <v>0</v>
      </c>
      <c r="V74" s="8">
        <f>IF(OR(A74="",Sodium_Limit=0),"",IFERROR(M74/(Sodium_Limit*Household_Size),""))</f>
        <v>0</v>
      </c>
      <c r="W74" s="8">
        <f>IF(A74="","",IF(P74="","",IF(P74&gt;1.1,"Over target",IF(P74&lt;0.8,"Under target","On target"))))</f>
        <v>0</v>
      </c>
      <c r="X74" s="25"/>
    </row>
    <row r="75" spans="1:24">
      <c r="A75" s="30"/>
      <c r="B75" s="8">
        <f>IF(A75="","",TEXT(A75,"mmm yyyy"))</f>
        <v>0</v>
      </c>
      <c r="C75" s="8">
        <f>IF(A75="","",TEXT(A75,"ddd"))</f>
        <v>0</v>
      </c>
      <c r="D75" s="27"/>
      <c r="E75" s="27"/>
      <c r="F75" s="26"/>
      <c r="G75" s="8">
        <f>IF(E75="","",IFERROR(IFERROR(INDEX(Recipes!$H$5:$H$204,MATCH(E75,Recipes!$A$5:$A$204,0)),"")*IF(F75="",1,F75),""))</f>
        <v>0</v>
      </c>
      <c r="H75" s="8">
        <f>IF(E75="","",IFERROR(IFERROR(INDEX(Recipes!$I$5:$I$204,MATCH(E75,Recipes!$A$5:$A$204,0)),"")*IF(F75="",1,F75),""))</f>
        <v>0</v>
      </c>
      <c r="I75" s="8">
        <f>IF(E75="","",IFERROR(IFERROR(INDEX(Recipes!$J$5:$J$204,MATCH(E75,Recipes!$A$5:$A$204,0)),"")*IF(F75="",1,F75),""))</f>
        <v>0</v>
      </c>
      <c r="J75" s="8">
        <f>IF(E75="","",IFERROR(IFERROR(INDEX(Recipes!$K$5:$K$204,MATCH(E75,Recipes!$A$5:$A$204,0)),"")*IF(F75="",1,F75),""))</f>
        <v>0</v>
      </c>
      <c r="K75" s="8">
        <f>IF(E75="","",IFERROR(IFERROR(INDEX(Recipes!$L$5:$L$204,MATCH(E75,Recipes!$A$5:$A$204,0)),"")*IF(F75="",1,F75),""))</f>
        <v>0</v>
      </c>
      <c r="L75" s="8">
        <f>IF(E75="","",IFERROR(IFERROR(INDEX(Recipes!$M$5:$M$204,MATCH(E75,Recipes!$A$5:$A$204,0)),"")*IF(F75="",1,F75),""))</f>
        <v>0</v>
      </c>
      <c r="M75" s="8">
        <f>IF(E75="","",IFERROR(IFERROR(INDEX(Recipes!$N$5:$N$204,MATCH(E75,Recipes!$A$5:$A$204,0)),"")*IF(F75="",1,F75),""))</f>
        <v>0</v>
      </c>
      <c r="N75" s="26"/>
      <c r="O75" s="8">
        <f>IF(A75="","",Calorie_Target*Household_Size)</f>
        <v>0</v>
      </c>
      <c r="P75" s="8">
        <f>IF(OR(A75="",O75=0),"",IFERROR(G75/O75,""))</f>
        <v>0</v>
      </c>
      <c r="Q75" s="8">
        <f>IF(OR(A75="",Protein_Target=0),"",IFERROR(H75/(Protein_Target*Household_Size),""))</f>
        <v>0</v>
      </c>
      <c r="R75" s="8">
        <f>IF(OR(A75="",Carb_Target=0),"",IFERROR(I75/(Carb_Target*Household_Size),""))</f>
        <v>0</v>
      </c>
      <c r="S75" s="8">
        <f>IF(OR(A75="",Fat_Target=0),"",IFERROR(J75/(Fat_Target*Household_Size),""))</f>
        <v>0</v>
      </c>
      <c r="T75" s="8">
        <f>IF(OR(A75="",Fibre_Target=0),"",IFERROR(K75/(Fibre_Target*Household_Size),""))</f>
        <v>0</v>
      </c>
      <c r="U75" s="8">
        <f>IF(OR(A75="",Sugar_Limit=0),"",IFERROR(L75/(Sugar_Limit*Household_Size),""))</f>
        <v>0</v>
      </c>
      <c r="V75" s="8">
        <f>IF(OR(A75="",Sodium_Limit=0),"",IFERROR(M75/(Sodium_Limit*Household_Size),""))</f>
        <v>0</v>
      </c>
      <c r="W75" s="8">
        <f>IF(A75="","",IF(P75="","",IF(P75&gt;1.1,"Over target",IF(P75&lt;0.8,"Under target","On target"))))</f>
        <v>0</v>
      </c>
      <c r="X75" s="25"/>
    </row>
    <row r="76" spans="1:24">
      <c r="A76" s="30"/>
      <c r="B76" s="8">
        <f>IF(A76="","",TEXT(A76,"mmm yyyy"))</f>
        <v>0</v>
      </c>
      <c r="C76" s="8">
        <f>IF(A76="","",TEXT(A76,"ddd"))</f>
        <v>0</v>
      </c>
      <c r="D76" s="27"/>
      <c r="E76" s="27"/>
      <c r="F76" s="26"/>
      <c r="G76" s="8">
        <f>IF(E76="","",IFERROR(IFERROR(INDEX(Recipes!$H$5:$H$204,MATCH(E76,Recipes!$A$5:$A$204,0)),"")*IF(F76="",1,F76),""))</f>
        <v>0</v>
      </c>
      <c r="H76" s="8">
        <f>IF(E76="","",IFERROR(IFERROR(INDEX(Recipes!$I$5:$I$204,MATCH(E76,Recipes!$A$5:$A$204,0)),"")*IF(F76="",1,F76),""))</f>
        <v>0</v>
      </c>
      <c r="I76" s="8">
        <f>IF(E76="","",IFERROR(IFERROR(INDEX(Recipes!$J$5:$J$204,MATCH(E76,Recipes!$A$5:$A$204,0)),"")*IF(F76="",1,F76),""))</f>
        <v>0</v>
      </c>
      <c r="J76" s="8">
        <f>IF(E76="","",IFERROR(IFERROR(INDEX(Recipes!$K$5:$K$204,MATCH(E76,Recipes!$A$5:$A$204,0)),"")*IF(F76="",1,F76),""))</f>
        <v>0</v>
      </c>
      <c r="K76" s="8">
        <f>IF(E76="","",IFERROR(IFERROR(INDEX(Recipes!$L$5:$L$204,MATCH(E76,Recipes!$A$5:$A$204,0)),"")*IF(F76="",1,F76),""))</f>
        <v>0</v>
      </c>
      <c r="L76" s="8">
        <f>IF(E76="","",IFERROR(IFERROR(INDEX(Recipes!$M$5:$M$204,MATCH(E76,Recipes!$A$5:$A$204,0)),"")*IF(F76="",1,F76),""))</f>
        <v>0</v>
      </c>
      <c r="M76" s="8">
        <f>IF(E76="","",IFERROR(IFERROR(INDEX(Recipes!$N$5:$N$204,MATCH(E76,Recipes!$A$5:$A$204,0)),"")*IF(F76="",1,F76),""))</f>
        <v>0</v>
      </c>
      <c r="N76" s="26"/>
      <c r="O76" s="8">
        <f>IF(A76="","",Calorie_Target*Household_Size)</f>
        <v>0</v>
      </c>
      <c r="P76" s="8">
        <f>IF(OR(A76="",O76=0),"",IFERROR(G76/O76,""))</f>
        <v>0</v>
      </c>
      <c r="Q76" s="8">
        <f>IF(OR(A76="",Protein_Target=0),"",IFERROR(H76/(Protein_Target*Household_Size),""))</f>
        <v>0</v>
      </c>
      <c r="R76" s="8">
        <f>IF(OR(A76="",Carb_Target=0),"",IFERROR(I76/(Carb_Target*Household_Size),""))</f>
        <v>0</v>
      </c>
      <c r="S76" s="8">
        <f>IF(OR(A76="",Fat_Target=0),"",IFERROR(J76/(Fat_Target*Household_Size),""))</f>
        <v>0</v>
      </c>
      <c r="T76" s="8">
        <f>IF(OR(A76="",Fibre_Target=0),"",IFERROR(K76/(Fibre_Target*Household_Size),""))</f>
        <v>0</v>
      </c>
      <c r="U76" s="8">
        <f>IF(OR(A76="",Sugar_Limit=0),"",IFERROR(L76/(Sugar_Limit*Household_Size),""))</f>
        <v>0</v>
      </c>
      <c r="V76" s="8">
        <f>IF(OR(A76="",Sodium_Limit=0),"",IFERROR(M76/(Sodium_Limit*Household_Size),""))</f>
        <v>0</v>
      </c>
      <c r="W76" s="8">
        <f>IF(A76="","",IF(P76="","",IF(P76&gt;1.1,"Over target",IF(P76&lt;0.8,"Under target","On target"))))</f>
        <v>0</v>
      </c>
      <c r="X76" s="25"/>
    </row>
    <row r="77" spans="1:24">
      <c r="A77" s="30"/>
      <c r="B77" s="8">
        <f>IF(A77="","",TEXT(A77,"mmm yyyy"))</f>
        <v>0</v>
      </c>
      <c r="C77" s="8">
        <f>IF(A77="","",TEXT(A77,"ddd"))</f>
        <v>0</v>
      </c>
      <c r="D77" s="27"/>
      <c r="E77" s="27"/>
      <c r="F77" s="26"/>
      <c r="G77" s="8">
        <f>IF(E77="","",IFERROR(IFERROR(INDEX(Recipes!$H$5:$H$204,MATCH(E77,Recipes!$A$5:$A$204,0)),"")*IF(F77="",1,F77),""))</f>
        <v>0</v>
      </c>
      <c r="H77" s="8">
        <f>IF(E77="","",IFERROR(IFERROR(INDEX(Recipes!$I$5:$I$204,MATCH(E77,Recipes!$A$5:$A$204,0)),"")*IF(F77="",1,F77),""))</f>
        <v>0</v>
      </c>
      <c r="I77" s="8">
        <f>IF(E77="","",IFERROR(IFERROR(INDEX(Recipes!$J$5:$J$204,MATCH(E77,Recipes!$A$5:$A$204,0)),"")*IF(F77="",1,F77),""))</f>
        <v>0</v>
      </c>
      <c r="J77" s="8">
        <f>IF(E77="","",IFERROR(IFERROR(INDEX(Recipes!$K$5:$K$204,MATCH(E77,Recipes!$A$5:$A$204,0)),"")*IF(F77="",1,F77),""))</f>
        <v>0</v>
      </c>
      <c r="K77" s="8">
        <f>IF(E77="","",IFERROR(IFERROR(INDEX(Recipes!$L$5:$L$204,MATCH(E77,Recipes!$A$5:$A$204,0)),"")*IF(F77="",1,F77),""))</f>
        <v>0</v>
      </c>
      <c r="L77" s="8">
        <f>IF(E77="","",IFERROR(IFERROR(INDEX(Recipes!$M$5:$M$204,MATCH(E77,Recipes!$A$5:$A$204,0)),"")*IF(F77="",1,F77),""))</f>
        <v>0</v>
      </c>
      <c r="M77" s="8">
        <f>IF(E77="","",IFERROR(IFERROR(INDEX(Recipes!$N$5:$N$204,MATCH(E77,Recipes!$A$5:$A$204,0)),"")*IF(F77="",1,F77),""))</f>
        <v>0</v>
      </c>
      <c r="N77" s="26"/>
      <c r="O77" s="8">
        <f>IF(A77="","",Calorie_Target*Household_Size)</f>
        <v>0</v>
      </c>
      <c r="P77" s="8">
        <f>IF(OR(A77="",O77=0),"",IFERROR(G77/O77,""))</f>
        <v>0</v>
      </c>
      <c r="Q77" s="8">
        <f>IF(OR(A77="",Protein_Target=0),"",IFERROR(H77/(Protein_Target*Household_Size),""))</f>
        <v>0</v>
      </c>
      <c r="R77" s="8">
        <f>IF(OR(A77="",Carb_Target=0),"",IFERROR(I77/(Carb_Target*Household_Size),""))</f>
        <v>0</v>
      </c>
      <c r="S77" s="8">
        <f>IF(OR(A77="",Fat_Target=0),"",IFERROR(J77/(Fat_Target*Household_Size),""))</f>
        <v>0</v>
      </c>
      <c r="T77" s="8">
        <f>IF(OR(A77="",Fibre_Target=0),"",IFERROR(K77/(Fibre_Target*Household_Size),""))</f>
        <v>0</v>
      </c>
      <c r="U77" s="8">
        <f>IF(OR(A77="",Sugar_Limit=0),"",IFERROR(L77/(Sugar_Limit*Household_Size),""))</f>
        <v>0</v>
      </c>
      <c r="V77" s="8">
        <f>IF(OR(A77="",Sodium_Limit=0),"",IFERROR(M77/(Sodium_Limit*Household_Size),""))</f>
        <v>0</v>
      </c>
      <c r="W77" s="8">
        <f>IF(A77="","",IF(P77="","",IF(P77&gt;1.1,"Over target",IF(P77&lt;0.8,"Under target","On target"))))</f>
        <v>0</v>
      </c>
      <c r="X77" s="25"/>
    </row>
    <row r="78" spans="1:24">
      <c r="A78" s="30"/>
      <c r="B78" s="8">
        <f>IF(A78="","",TEXT(A78,"mmm yyyy"))</f>
        <v>0</v>
      </c>
      <c r="C78" s="8">
        <f>IF(A78="","",TEXT(A78,"ddd"))</f>
        <v>0</v>
      </c>
      <c r="D78" s="27"/>
      <c r="E78" s="27"/>
      <c r="F78" s="26"/>
      <c r="G78" s="8">
        <f>IF(E78="","",IFERROR(IFERROR(INDEX(Recipes!$H$5:$H$204,MATCH(E78,Recipes!$A$5:$A$204,0)),"")*IF(F78="",1,F78),""))</f>
        <v>0</v>
      </c>
      <c r="H78" s="8">
        <f>IF(E78="","",IFERROR(IFERROR(INDEX(Recipes!$I$5:$I$204,MATCH(E78,Recipes!$A$5:$A$204,0)),"")*IF(F78="",1,F78),""))</f>
        <v>0</v>
      </c>
      <c r="I78" s="8">
        <f>IF(E78="","",IFERROR(IFERROR(INDEX(Recipes!$J$5:$J$204,MATCH(E78,Recipes!$A$5:$A$204,0)),"")*IF(F78="",1,F78),""))</f>
        <v>0</v>
      </c>
      <c r="J78" s="8">
        <f>IF(E78="","",IFERROR(IFERROR(INDEX(Recipes!$K$5:$K$204,MATCH(E78,Recipes!$A$5:$A$204,0)),"")*IF(F78="",1,F78),""))</f>
        <v>0</v>
      </c>
      <c r="K78" s="8">
        <f>IF(E78="","",IFERROR(IFERROR(INDEX(Recipes!$L$5:$L$204,MATCH(E78,Recipes!$A$5:$A$204,0)),"")*IF(F78="",1,F78),""))</f>
        <v>0</v>
      </c>
      <c r="L78" s="8">
        <f>IF(E78="","",IFERROR(IFERROR(INDEX(Recipes!$M$5:$M$204,MATCH(E78,Recipes!$A$5:$A$204,0)),"")*IF(F78="",1,F78),""))</f>
        <v>0</v>
      </c>
      <c r="M78" s="8">
        <f>IF(E78="","",IFERROR(IFERROR(INDEX(Recipes!$N$5:$N$204,MATCH(E78,Recipes!$A$5:$A$204,0)),"")*IF(F78="",1,F78),""))</f>
        <v>0</v>
      </c>
      <c r="N78" s="26"/>
      <c r="O78" s="8">
        <f>IF(A78="","",Calorie_Target*Household_Size)</f>
        <v>0</v>
      </c>
      <c r="P78" s="8">
        <f>IF(OR(A78="",O78=0),"",IFERROR(G78/O78,""))</f>
        <v>0</v>
      </c>
      <c r="Q78" s="8">
        <f>IF(OR(A78="",Protein_Target=0),"",IFERROR(H78/(Protein_Target*Household_Size),""))</f>
        <v>0</v>
      </c>
      <c r="R78" s="8">
        <f>IF(OR(A78="",Carb_Target=0),"",IFERROR(I78/(Carb_Target*Household_Size),""))</f>
        <v>0</v>
      </c>
      <c r="S78" s="8">
        <f>IF(OR(A78="",Fat_Target=0),"",IFERROR(J78/(Fat_Target*Household_Size),""))</f>
        <v>0</v>
      </c>
      <c r="T78" s="8">
        <f>IF(OR(A78="",Fibre_Target=0),"",IFERROR(K78/(Fibre_Target*Household_Size),""))</f>
        <v>0</v>
      </c>
      <c r="U78" s="8">
        <f>IF(OR(A78="",Sugar_Limit=0),"",IFERROR(L78/(Sugar_Limit*Household_Size),""))</f>
        <v>0</v>
      </c>
      <c r="V78" s="8">
        <f>IF(OR(A78="",Sodium_Limit=0),"",IFERROR(M78/(Sodium_Limit*Household_Size),""))</f>
        <v>0</v>
      </c>
      <c r="W78" s="8">
        <f>IF(A78="","",IF(P78="","",IF(P78&gt;1.1,"Over target",IF(P78&lt;0.8,"Under target","On target"))))</f>
        <v>0</v>
      </c>
      <c r="X78" s="25"/>
    </row>
    <row r="79" spans="1:24">
      <c r="A79" s="30"/>
      <c r="B79" s="8">
        <f>IF(A79="","",TEXT(A79,"mmm yyyy"))</f>
        <v>0</v>
      </c>
      <c r="C79" s="8">
        <f>IF(A79="","",TEXT(A79,"ddd"))</f>
        <v>0</v>
      </c>
      <c r="D79" s="27"/>
      <c r="E79" s="27"/>
      <c r="F79" s="26"/>
      <c r="G79" s="8">
        <f>IF(E79="","",IFERROR(IFERROR(INDEX(Recipes!$H$5:$H$204,MATCH(E79,Recipes!$A$5:$A$204,0)),"")*IF(F79="",1,F79),""))</f>
        <v>0</v>
      </c>
      <c r="H79" s="8">
        <f>IF(E79="","",IFERROR(IFERROR(INDEX(Recipes!$I$5:$I$204,MATCH(E79,Recipes!$A$5:$A$204,0)),"")*IF(F79="",1,F79),""))</f>
        <v>0</v>
      </c>
      <c r="I79" s="8">
        <f>IF(E79="","",IFERROR(IFERROR(INDEX(Recipes!$J$5:$J$204,MATCH(E79,Recipes!$A$5:$A$204,0)),"")*IF(F79="",1,F79),""))</f>
        <v>0</v>
      </c>
      <c r="J79" s="8">
        <f>IF(E79="","",IFERROR(IFERROR(INDEX(Recipes!$K$5:$K$204,MATCH(E79,Recipes!$A$5:$A$204,0)),"")*IF(F79="",1,F79),""))</f>
        <v>0</v>
      </c>
      <c r="K79" s="8">
        <f>IF(E79="","",IFERROR(IFERROR(INDEX(Recipes!$L$5:$L$204,MATCH(E79,Recipes!$A$5:$A$204,0)),"")*IF(F79="",1,F79),""))</f>
        <v>0</v>
      </c>
      <c r="L79" s="8">
        <f>IF(E79="","",IFERROR(IFERROR(INDEX(Recipes!$M$5:$M$204,MATCH(E79,Recipes!$A$5:$A$204,0)),"")*IF(F79="",1,F79),""))</f>
        <v>0</v>
      </c>
      <c r="M79" s="8">
        <f>IF(E79="","",IFERROR(IFERROR(INDEX(Recipes!$N$5:$N$204,MATCH(E79,Recipes!$A$5:$A$204,0)),"")*IF(F79="",1,F79),""))</f>
        <v>0</v>
      </c>
      <c r="N79" s="26"/>
      <c r="O79" s="8">
        <f>IF(A79="","",Calorie_Target*Household_Size)</f>
        <v>0</v>
      </c>
      <c r="P79" s="8">
        <f>IF(OR(A79="",O79=0),"",IFERROR(G79/O79,""))</f>
        <v>0</v>
      </c>
      <c r="Q79" s="8">
        <f>IF(OR(A79="",Protein_Target=0),"",IFERROR(H79/(Protein_Target*Household_Size),""))</f>
        <v>0</v>
      </c>
      <c r="R79" s="8">
        <f>IF(OR(A79="",Carb_Target=0),"",IFERROR(I79/(Carb_Target*Household_Size),""))</f>
        <v>0</v>
      </c>
      <c r="S79" s="8">
        <f>IF(OR(A79="",Fat_Target=0),"",IFERROR(J79/(Fat_Target*Household_Size),""))</f>
        <v>0</v>
      </c>
      <c r="T79" s="8">
        <f>IF(OR(A79="",Fibre_Target=0),"",IFERROR(K79/(Fibre_Target*Household_Size),""))</f>
        <v>0</v>
      </c>
      <c r="U79" s="8">
        <f>IF(OR(A79="",Sugar_Limit=0),"",IFERROR(L79/(Sugar_Limit*Household_Size),""))</f>
        <v>0</v>
      </c>
      <c r="V79" s="8">
        <f>IF(OR(A79="",Sodium_Limit=0),"",IFERROR(M79/(Sodium_Limit*Household_Size),""))</f>
        <v>0</v>
      </c>
      <c r="W79" s="8">
        <f>IF(A79="","",IF(P79="","",IF(P79&gt;1.1,"Over target",IF(P79&lt;0.8,"Under target","On target"))))</f>
        <v>0</v>
      </c>
      <c r="X79" s="25"/>
    </row>
    <row r="80" spans="1:24">
      <c r="A80" s="30"/>
      <c r="B80" s="8">
        <f>IF(A80="","",TEXT(A80,"mmm yyyy"))</f>
        <v>0</v>
      </c>
      <c r="C80" s="8">
        <f>IF(A80="","",TEXT(A80,"ddd"))</f>
        <v>0</v>
      </c>
      <c r="D80" s="27"/>
      <c r="E80" s="27"/>
      <c r="F80" s="26"/>
      <c r="G80" s="8">
        <f>IF(E80="","",IFERROR(IFERROR(INDEX(Recipes!$H$5:$H$204,MATCH(E80,Recipes!$A$5:$A$204,0)),"")*IF(F80="",1,F80),""))</f>
        <v>0</v>
      </c>
      <c r="H80" s="8">
        <f>IF(E80="","",IFERROR(IFERROR(INDEX(Recipes!$I$5:$I$204,MATCH(E80,Recipes!$A$5:$A$204,0)),"")*IF(F80="",1,F80),""))</f>
        <v>0</v>
      </c>
      <c r="I80" s="8">
        <f>IF(E80="","",IFERROR(IFERROR(INDEX(Recipes!$J$5:$J$204,MATCH(E80,Recipes!$A$5:$A$204,0)),"")*IF(F80="",1,F80),""))</f>
        <v>0</v>
      </c>
      <c r="J80" s="8">
        <f>IF(E80="","",IFERROR(IFERROR(INDEX(Recipes!$K$5:$K$204,MATCH(E80,Recipes!$A$5:$A$204,0)),"")*IF(F80="",1,F80),""))</f>
        <v>0</v>
      </c>
      <c r="K80" s="8">
        <f>IF(E80="","",IFERROR(IFERROR(INDEX(Recipes!$L$5:$L$204,MATCH(E80,Recipes!$A$5:$A$204,0)),"")*IF(F80="",1,F80),""))</f>
        <v>0</v>
      </c>
      <c r="L80" s="8">
        <f>IF(E80="","",IFERROR(IFERROR(INDEX(Recipes!$M$5:$M$204,MATCH(E80,Recipes!$A$5:$A$204,0)),"")*IF(F80="",1,F80),""))</f>
        <v>0</v>
      </c>
      <c r="M80" s="8">
        <f>IF(E80="","",IFERROR(IFERROR(INDEX(Recipes!$N$5:$N$204,MATCH(E80,Recipes!$A$5:$A$204,0)),"")*IF(F80="",1,F80),""))</f>
        <v>0</v>
      </c>
      <c r="N80" s="26"/>
      <c r="O80" s="8">
        <f>IF(A80="","",Calorie_Target*Household_Size)</f>
        <v>0</v>
      </c>
      <c r="P80" s="8">
        <f>IF(OR(A80="",O80=0),"",IFERROR(G80/O80,""))</f>
        <v>0</v>
      </c>
      <c r="Q80" s="8">
        <f>IF(OR(A80="",Protein_Target=0),"",IFERROR(H80/(Protein_Target*Household_Size),""))</f>
        <v>0</v>
      </c>
      <c r="R80" s="8">
        <f>IF(OR(A80="",Carb_Target=0),"",IFERROR(I80/(Carb_Target*Household_Size),""))</f>
        <v>0</v>
      </c>
      <c r="S80" s="8">
        <f>IF(OR(A80="",Fat_Target=0),"",IFERROR(J80/(Fat_Target*Household_Size),""))</f>
        <v>0</v>
      </c>
      <c r="T80" s="8">
        <f>IF(OR(A80="",Fibre_Target=0),"",IFERROR(K80/(Fibre_Target*Household_Size),""))</f>
        <v>0</v>
      </c>
      <c r="U80" s="8">
        <f>IF(OR(A80="",Sugar_Limit=0),"",IFERROR(L80/(Sugar_Limit*Household_Size),""))</f>
        <v>0</v>
      </c>
      <c r="V80" s="8">
        <f>IF(OR(A80="",Sodium_Limit=0),"",IFERROR(M80/(Sodium_Limit*Household_Size),""))</f>
        <v>0</v>
      </c>
      <c r="W80" s="8">
        <f>IF(A80="","",IF(P80="","",IF(P80&gt;1.1,"Over target",IF(P80&lt;0.8,"Under target","On target"))))</f>
        <v>0</v>
      </c>
      <c r="X80" s="25"/>
    </row>
    <row r="81" spans="1:24">
      <c r="A81" s="30"/>
      <c r="B81" s="8">
        <f>IF(A81="","",TEXT(A81,"mmm yyyy"))</f>
        <v>0</v>
      </c>
      <c r="C81" s="8">
        <f>IF(A81="","",TEXT(A81,"ddd"))</f>
        <v>0</v>
      </c>
      <c r="D81" s="27"/>
      <c r="E81" s="27"/>
      <c r="F81" s="26"/>
      <c r="G81" s="8">
        <f>IF(E81="","",IFERROR(IFERROR(INDEX(Recipes!$H$5:$H$204,MATCH(E81,Recipes!$A$5:$A$204,0)),"")*IF(F81="",1,F81),""))</f>
        <v>0</v>
      </c>
      <c r="H81" s="8">
        <f>IF(E81="","",IFERROR(IFERROR(INDEX(Recipes!$I$5:$I$204,MATCH(E81,Recipes!$A$5:$A$204,0)),"")*IF(F81="",1,F81),""))</f>
        <v>0</v>
      </c>
      <c r="I81" s="8">
        <f>IF(E81="","",IFERROR(IFERROR(INDEX(Recipes!$J$5:$J$204,MATCH(E81,Recipes!$A$5:$A$204,0)),"")*IF(F81="",1,F81),""))</f>
        <v>0</v>
      </c>
      <c r="J81" s="8">
        <f>IF(E81="","",IFERROR(IFERROR(INDEX(Recipes!$K$5:$K$204,MATCH(E81,Recipes!$A$5:$A$204,0)),"")*IF(F81="",1,F81),""))</f>
        <v>0</v>
      </c>
      <c r="K81" s="8">
        <f>IF(E81="","",IFERROR(IFERROR(INDEX(Recipes!$L$5:$L$204,MATCH(E81,Recipes!$A$5:$A$204,0)),"")*IF(F81="",1,F81),""))</f>
        <v>0</v>
      </c>
      <c r="L81" s="8">
        <f>IF(E81="","",IFERROR(IFERROR(INDEX(Recipes!$M$5:$M$204,MATCH(E81,Recipes!$A$5:$A$204,0)),"")*IF(F81="",1,F81),""))</f>
        <v>0</v>
      </c>
      <c r="M81" s="8">
        <f>IF(E81="","",IFERROR(IFERROR(INDEX(Recipes!$N$5:$N$204,MATCH(E81,Recipes!$A$5:$A$204,0)),"")*IF(F81="",1,F81),""))</f>
        <v>0</v>
      </c>
      <c r="N81" s="26"/>
      <c r="O81" s="8">
        <f>IF(A81="","",Calorie_Target*Household_Size)</f>
        <v>0</v>
      </c>
      <c r="P81" s="8">
        <f>IF(OR(A81="",O81=0),"",IFERROR(G81/O81,""))</f>
        <v>0</v>
      </c>
      <c r="Q81" s="8">
        <f>IF(OR(A81="",Protein_Target=0),"",IFERROR(H81/(Protein_Target*Household_Size),""))</f>
        <v>0</v>
      </c>
      <c r="R81" s="8">
        <f>IF(OR(A81="",Carb_Target=0),"",IFERROR(I81/(Carb_Target*Household_Size),""))</f>
        <v>0</v>
      </c>
      <c r="S81" s="8">
        <f>IF(OR(A81="",Fat_Target=0),"",IFERROR(J81/(Fat_Target*Household_Size),""))</f>
        <v>0</v>
      </c>
      <c r="T81" s="8">
        <f>IF(OR(A81="",Fibre_Target=0),"",IFERROR(K81/(Fibre_Target*Household_Size),""))</f>
        <v>0</v>
      </c>
      <c r="U81" s="8">
        <f>IF(OR(A81="",Sugar_Limit=0),"",IFERROR(L81/(Sugar_Limit*Household_Size),""))</f>
        <v>0</v>
      </c>
      <c r="V81" s="8">
        <f>IF(OR(A81="",Sodium_Limit=0),"",IFERROR(M81/(Sodium_Limit*Household_Size),""))</f>
        <v>0</v>
      </c>
      <c r="W81" s="8">
        <f>IF(A81="","",IF(P81="","",IF(P81&gt;1.1,"Over target",IF(P81&lt;0.8,"Under target","On target"))))</f>
        <v>0</v>
      </c>
      <c r="X81" s="25"/>
    </row>
    <row r="82" spans="1:24">
      <c r="A82" s="30"/>
      <c r="B82" s="8">
        <f>IF(A82="","",TEXT(A82,"mmm yyyy"))</f>
        <v>0</v>
      </c>
      <c r="C82" s="8">
        <f>IF(A82="","",TEXT(A82,"ddd"))</f>
        <v>0</v>
      </c>
      <c r="D82" s="27"/>
      <c r="E82" s="27"/>
      <c r="F82" s="26"/>
      <c r="G82" s="8">
        <f>IF(E82="","",IFERROR(IFERROR(INDEX(Recipes!$H$5:$H$204,MATCH(E82,Recipes!$A$5:$A$204,0)),"")*IF(F82="",1,F82),""))</f>
        <v>0</v>
      </c>
      <c r="H82" s="8">
        <f>IF(E82="","",IFERROR(IFERROR(INDEX(Recipes!$I$5:$I$204,MATCH(E82,Recipes!$A$5:$A$204,0)),"")*IF(F82="",1,F82),""))</f>
        <v>0</v>
      </c>
      <c r="I82" s="8">
        <f>IF(E82="","",IFERROR(IFERROR(INDEX(Recipes!$J$5:$J$204,MATCH(E82,Recipes!$A$5:$A$204,0)),"")*IF(F82="",1,F82),""))</f>
        <v>0</v>
      </c>
      <c r="J82" s="8">
        <f>IF(E82="","",IFERROR(IFERROR(INDEX(Recipes!$K$5:$K$204,MATCH(E82,Recipes!$A$5:$A$204,0)),"")*IF(F82="",1,F82),""))</f>
        <v>0</v>
      </c>
      <c r="K82" s="8">
        <f>IF(E82="","",IFERROR(IFERROR(INDEX(Recipes!$L$5:$L$204,MATCH(E82,Recipes!$A$5:$A$204,0)),"")*IF(F82="",1,F82),""))</f>
        <v>0</v>
      </c>
      <c r="L82" s="8">
        <f>IF(E82="","",IFERROR(IFERROR(INDEX(Recipes!$M$5:$M$204,MATCH(E82,Recipes!$A$5:$A$204,0)),"")*IF(F82="",1,F82),""))</f>
        <v>0</v>
      </c>
      <c r="M82" s="8">
        <f>IF(E82="","",IFERROR(IFERROR(INDEX(Recipes!$N$5:$N$204,MATCH(E82,Recipes!$A$5:$A$204,0)),"")*IF(F82="",1,F82),""))</f>
        <v>0</v>
      </c>
      <c r="N82" s="26"/>
      <c r="O82" s="8">
        <f>IF(A82="","",Calorie_Target*Household_Size)</f>
        <v>0</v>
      </c>
      <c r="P82" s="8">
        <f>IF(OR(A82="",O82=0),"",IFERROR(G82/O82,""))</f>
        <v>0</v>
      </c>
      <c r="Q82" s="8">
        <f>IF(OR(A82="",Protein_Target=0),"",IFERROR(H82/(Protein_Target*Household_Size),""))</f>
        <v>0</v>
      </c>
      <c r="R82" s="8">
        <f>IF(OR(A82="",Carb_Target=0),"",IFERROR(I82/(Carb_Target*Household_Size),""))</f>
        <v>0</v>
      </c>
      <c r="S82" s="8">
        <f>IF(OR(A82="",Fat_Target=0),"",IFERROR(J82/(Fat_Target*Household_Size),""))</f>
        <v>0</v>
      </c>
      <c r="T82" s="8">
        <f>IF(OR(A82="",Fibre_Target=0),"",IFERROR(K82/(Fibre_Target*Household_Size),""))</f>
        <v>0</v>
      </c>
      <c r="U82" s="8">
        <f>IF(OR(A82="",Sugar_Limit=0),"",IFERROR(L82/(Sugar_Limit*Household_Size),""))</f>
        <v>0</v>
      </c>
      <c r="V82" s="8">
        <f>IF(OR(A82="",Sodium_Limit=0),"",IFERROR(M82/(Sodium_Limit*Household_Size),""))</f>
        <v>0</v>
      </c>
      <c r="W82" s="8">
        <f>IF(A82="","",IF(P82="","",IF(P82&gt;1.1,"Over target",IF(P82&lt;0.8,"Under target","On target"))))</f>
        <v>0</v>
      </c>
      <c r="X82" s="25"/>
    </row>
    <row r="83" spans="1:24">
      <c r="A83" s="30"/>
      <c r="B83" s="8">
        <f>IF(A83="","",TEXT(A83,"mmm yyyy"))</f>
        <v>0</v>
      </c>
      <c r="C83" s="8">
        <f>IF(A83="","",TEXT(A83,"ddd"))</f>
        <v>0</v>
      </c>
      <c r="D83" s="27"/>
      <c r="E83" s="27"/>
      <c r="F83" s="26"/>
      <c r="G83" s="8">
        <f>IF(E83="","",IFERROR(IFERROR(INDEX(Recipes!$H$5:$H$204,MATCH(E83,Recipes!$A$5:$A$204,0)),"")*IF(F83="",1,F83),""))</f>
        <v>0</v>
      </c>
      <c r="H83" s="8">
        <f>IF(E83="","",IFERROR(IFERROR(INDEX(Recipes!$I$5:$I$204,MATCH(E83,Recipes!$A$5:$A$204,0)),"")*IF(F83="",1,F83),""))</f>
        <v>0</v>
      </c>
      <c r="I83" s="8">
        <f>IF(E83="","",IFERROR(IFERROR(INDEX(Recipes!$J$5:$J$204,MATCH(E83,Recipes!$A$5:$A$204,0)),"")*IF(F83="",1,F83),""))</f>
        <v>0</v>
      </c>
      <c r="J83" s="8">
        <f>IF(E83="","",IFERROR(IFERROR(INDEX(Recipes!$K$5:$K$204,MATCH(E83,Recipes!$A$5:$A$204,0)),"")*IF(F83="",1,F83),""))</f>
        <v>0</v>
      </c>
      <c r="K83" s="8">
        <f>IF(E83="","",IFERROR(IFERROR(INDEX(Recipes!$L$5:$L$204,MATCH(E83,Recipes!$A$5:$A$204,0)),"")*IF(F83="",1,F83),""))</f>
        <v>0</v>
      </c>
      <c r="L83" s="8">
        <f>IF(E83="","",IFERROR(IFERROR(INDEX(Recipes!$M$5:$M$204,MATCH(E83,Recipes!$A$5:$A$204,0)),"")*IF(F83="",1,F83),""))</f>
        <v>0</v>
      </c>
      <c r="M83" s="8">
        <f>IF(E83="","",IFERROR(IFERROR(INDEX(Recipes!$N$5:$N$204,MATCH(E83,Recipes!$A$5:$A$204,0)),"")*IF(F83="",1,F83),""))</f>
        <v>0</v>
      </c>
      <c r="N83" s="26"/>
      <c r="O83" s="8">
        <f>IF(A83="","",Calorie_Target*Household_Size)</f>
        <v>0</v>
      </c>
      <c r="P83" s="8">
        <f>IF(OR(A83="",O83=0),"",IFERROR(G83/O83,""))</f>
        <v>0</v>
      </c>
      <c r="Q83" s="8">
        <f>IF(OR(A83="",Protein_Target=0),"",IFERROR(H83/(Protein_Target*Household_Size),""))</f>
        <v>0</v>
      </c>
      <c r="R83" s="8">
        <f>IF(OR(A83="",Carb_Target=0),"",IFERROR(I83/(Carb_Target*Household_Size),""))</f>
        <v>0</v>
      </c>
      <c r="S83" s="8">
        <f>IF(OR(A83="",Fat_Target=0),"",IFERROR(J83/(Fat_Target*Household_Size),""))</f>
        <v>0</v>
      </c>
      <c r="T83" s="8">
        <f>IF(OR(A83="",Fibre_Target=0),"",IFERROR(K83/(Fibre_Target*Household_Size),""))</f>
        <v>0</v>
      </c>
      <c r="U83" s="8">
        <f>IF(OR(A83="",Sugar_Limit=0),"",IFERROR(L83/(Sugar_Limit*Household_Size),""))</f>
        <v>0</v>
      </c>
      <c r="V83" s="8">
        <f>IF(OR(A83="",Sodium_Limit=0),"",IFERROR(M83/(Sodium_Limit*Household_Size),""))</f>
        <v>0</v>
      </c>
      <c r="W83" s="8">
        <f>IF(A83="","",IF(P83="","",IF(P83&gt;1.1,"Over target",IF(P83&lt;0.8,"Under target","On target"))))</f>
        <v>0</v>
      </c>
      <c r="X83" s="25"/>
    </row>
    <row r="84" spans="1:24">
      <c r="A84" s="30"/>
      <c r="B84" s="8">
        <f>IF(A84="","",TEXT(A84,"mmm yyyy"))</f>
        <v>0</v>
      </c>
      <c r="C84" s="8">
        <f>IF(A84="","",TEXT(A84,"ddd"))</f>
        <v>0</v>
      </c>
      <c r="D84" s="27"/>
      <c r="E84" s="27"/>
      <c r="F84" s="26"/>
      <c r="G84" s="8">
        <f>IF(E84="","",IFERROR(IFERROR(INDEX(Recipes!$H$5:$H$204,MATCH(E84,Recipes!$A$5:$A$204,0)),"")*IF(F84="",1,F84),""))</f>
        <v>0</v>
      </c>
      <c r="H84" s="8">
        <f>IF(E84="","",IFERROR(IFERROR(INDEX(Recipes!$I$5:$I$204,MATCH(E84,Recipes!$A$5:$A$204,0)),"")*IF(F84="",1,F84),""))</f>
        <v>0</v>
      </c>
      <c r="I84" s="8">
        <f>IF(E84="","",IFERROR(IFERROR(INDEX(Recipes!$J$5:$J$204,MATCH(E84,Recipes!$A$5:$A$204,0)),"")*IF(F84="",1,F84),""))</f>
        <v>0</v>
      </c>
      <c r="J84" s="8">
        <f>IF(E84="","",IFERROR(IFERROR(INDEX(Recipes!$K$5:$K$204,MATCH(E84,Recipes!$A$5:$A$204,0)),"")*IF(F84="",1,F84),""))</f>
        <v>0</v>
      </c>
      <c r="K84" s="8">
        <f>IF(E84="","",IFERROR(IFERROR(INDEX(Recipes!$L$5:$L$204,MATCH(E84,Recipes!$A$5:$A$204,0)),"")*IF(F84="",1,F84),""))</f>
        <v>0</v>
      </c>
      <c r="L84" s="8">
        <f>IF(E84="","",IFERROR(IFERROR(INDEX(Recipes!$M$5:$M$204,MATCH(E84,Recipes!$A$5:$A$204,0)),"")*IF(F84="",1,F84),""))</f>
        <v>0</v>
      </c>
      <c r="M84" s="8">
        <f>IF(E84="","",IFERROR(IFERROR(INDEX(Recipes!$N$5:$N$204,MATCH(E84,Recipes!$A$5:$A$204,0)),"")*IF(F84="",1,F84),""))</f>
        <v>0</v>
      </c>
      <c r="N84" s="26"/>
      <c r="O84" s="8">
        <f>IF(A84="","",Calorie_Target*Household_Size)</f>
        <v>0</v>
      </c>
      <c r="P84" s="8">
        <f>IF(OR(A84="",O84=0),"",IFERROR(G84/O84,""))</f>
        <v>0</v>
      </c>
      <c r="Q84" s="8">
        <f>IF(OR(A84="",Protein_Target=0),"",IFERROR(H84/(Protein_Target*Household_Size),""))</f>
        <v>0</v>
      </c>
      <c r="R84" s="8">
        <f>IF(OR(A84="",Carb_Target=0),"",IFERROR(I84/(Carb_Target*Household_Size),""))</f>
        <v>0</v>
      </c>
      <c r="S84" s="8">
        <f>IF(OR(A84="",Fat_Target=0),"",IFERROR(J84/(Fat_Target*Household_Size),""))</f>
        <v>0</v>
      </c>
      <c r="T84" s="8">
        <f>IF(OR(A84="",Fibre_Target=0),"",IFERROR(K84/(Fibre_Target*Household_Size),""))</f>
        <v>0</v>
      </c>
      <c r="U84" s="8">
        <f>IF(OR(A84="",Sugar_Limit=0),"",IFERROR(L84/(Sugar_Limit*Household_Size),""))</f>
        <v>0</v>
      </c>
      <c r="V84" s="8">
        <f>IF(OR(A84="",Sodium_Limit=0),"",IFERROR(M84/(Sodium_Limit*Household_Size),""))</f>
        <v>0</v>
      </c>
      <c r="W84" s="8">
        <f>IF(A84="","",IF(P84="","",IF(P84&gt;1.1,"Over target",IF(P84&lt;0.8,"Under target","On target"))))</f>
        <v>0</v>
      </c>
      <c r="X84" s="25"/>
    </row>
    <row r="85" spans="1:24">
      <c r="A85" s="30"/>
      <c r="B85" s="8">
        <f>IF(A85="","",TEXT(A85,"mmm yyyy"))</f>
        <v>0</v>
      </c>
      <c r="C85" s="8">
        <f>IF(A85="","",TEXT(A85,"ddd"))</f>
        <v>0</v>
      </c>
      <c r="D85" s="27"/>
      <c r="E85" s="27"/>
      <c r="F85" s="26"/>
      <c r="G85" s="8">
        <f>IF(E85="","",IFERROR(IFERROR(INDEX(Recipes!$H$5:$H$204,MATCH(E85,Recipes!$A$5:$A$204,0)),"")*IF(F85="",1,F85),""))</f>
        <v>0</v>
      </c>
      <c r="H85" s="8">
        <f>IF(E85="","",IFERROR(IFERROR(INDEX(Recipes!$I$5:$I$204,MATCH(E85,Recipes!$A$5:$A$204,0)),"")*IF(F85="",1,F85),""))</f>
        <v>0</v>
      </c>
      <c r="I85" s="8">
        <f>IF(E85="","",IFERROR(IFERROR(INDEX(Recipes!$J$5:$J$204,MATCH(E85,Recipes!$A$5:$A$204,0)),"")*IF(F85="",1,F85),""))</f>
        <v>0</v>
      </c>
      <c r="J85" s="8">
        <f>IF(E85="","",IFERROR(IFERROR(INDEX(Recipes!$K$5:$K$204,MATCH(E85,Recipes!$A$5:$A$204,0)),"")*IF(F85="",1,F85),""))</f>
        <v>0</v>
      </c>
      <c r="K85" s="8">
        <f>IF(E85="","",IFERROR(IFERROR(INDEX(Recipes!$L$5:$L$204,MATCH(E85,Recipes!$A$5:$A$204,0)),"")*IF(F85="",1,F85),""))</f>
        <v>0</v>
      </c>
      <c r="L85" s="8">
        <f>IF(E85="","",IFERROR(IFERROR(INDEX(Recipes!$M$5:$M$204,MATCH(E85,Recipes!$A$5:$A$204,0)),"")*IF(F85="",1,F85),""))</f>
        <v>0</v>
      </c>
      <c r="M85" s="8">
        <f>IF(E85="","",IFERROR(IFERROR(INDEX(Recipes!$N$5:$N$204,MATCH(E85,Recipes!$A$5:$A$204,0)),"")*IF(F85="",1,F85),""))</f>
        <v>0</v>
      </c>
      <c r="N85" s="26"/>
      <c r="O85" s="8">
        <f>IF(A85="","",Calorie_Target*Household_Size)</f>
        <v>0</v>
      </c>
      <c r="P85" s="8">
        <f>IF(OR(A85="",O85=0),"",IFERROR(G85/O85,""))</f>
        <v>0</v>
      </c>
      <c r="Q85" s="8">
        <f>IF(OR(A85="",Protein_Target=0),"",IFERROR(H85/(Protein_Target*Household_Size),""))</f>
        <v>0</v>
      </c>
      <c r="R85" s="8">
        <f>IF(OR(A85="",Carb_Target=0),"",IFERROR(I85/(Carb_Target*Household_Size),""))</f>
        <v>0</v>
      </c>
      <c r="S85" s="8">
        <f>IF(OR(A85="",Fat_Target=0),"",IFERROR(J85/(Fat_Target*Household_Size),""))</f>
        <v>0</v>
      </c>
      <c r="T85" s="8">
        <f>IF(OR(A85="",Fibre_Target=0),"",IFERROR(K85/(Fibre_Target*Household_Size),""))</f>
        <v>0</v>
      </c>
      <c r="U85" s="8">
        <f>IF(OR(A85="",Sugar_Limit=0),"",IFERROR(L85/(Sugar_Limit*Household_Size),""))</f>
        <v>0</v>
      </c>
      <c r="V85" s="8">
        <f>IF(OR(A85="",Sodium_Limit=0),"",IFERROR(M85/(Sodium_Limit*Household_Size),""))</f>
        <v>0</v>
      </c>
      <c r="W85" s="8">
        <f>IF(A85="","",IF(P85="","",IF(P85&gt;1.1,"Over target",IF(P85&lt;0.8,"Under target","On target"))))</f>
        <v>0</v>
      </c>
      <c r="X85" s="25"/>
    </row>
    <row r="86" spans="1:24">
      <c r="A86" s="30"/>
      <c r="B86" s="8">
        <f>IF(A86="","",TEXT(A86,"mmm yyyy"))</f>
        <v>0</v>
      </c>
      <c r="C86" s="8">
        <f>IF(A86="","",TEXT(A86,"ddd"))</f>
        <v>0</v>
      </c>
      <c r="D86" s="27"/>
      <c r="E86" s="27"/>
      <c r="F86" s="26"/>
      <c r="G86" s="8">
        <f>IF(E86="","",IFERROR(IFERROR(INDEX(Recipes!$H$5:$H$204,MATCH(E86,Recipes!$A$5:$A$204,0)),"")*IF(F86="",1,F86),""))</f>
        <v>0</v>
      </c>
      <c r="H86" s="8">
        <f>IF(E86="","",IFERROR(IFERROR(INDEX(Recipes!$I$5:$I$204,MATCH(E86,Recipes!$A$5:$A$204,0)),"")*IF(F86="",1,F86),""))</f>
        <v>0</v>
      </c>
      <c r="I86" s="8">
        <f>IF(E86="","",IFERROR(IFERROR(INDEX(Recipes!$J$5:$J$204,MATCH(E86,Recipes!$A$5:$A$204,0)),"")*IF(F86="",1,F86),""))</f>
        <v>0</v>
      </c>
      <c r="J86" s="8">
        <f>IF(E86="","",IFERROR(IFERROR(INDEX(Recipes!$K$5:$K$204,MATCH(E86,Recipes!$A$5:$A$204,0)),"")*IF(F86="",1,F86),""))</f>
        <v>0</v>
      </c>
      <c r="K86" s="8">
        <f>IF(E86="","",IFERROR(IFERROR(INDEX(Recipes!$L$5:$L$204,MATCH(E86,Recipes!$A$5:$A$204,0)),"")*IF(F86="",1,F86),""))</f>
        <v>0</v>
      </c>
      <c r="L86" s="8">
        <f>IF(E86="","",IFERROR(IFERROR(INDEX(Recipes!$M$5:$M$204,MATCH(E86,Recipes!$A$5:$A$204,0)),"")*IF(F86="",1,F86),""))</f>
        <v>0</v>
      </c>
      <c r="M86" s="8">
        <f>IF(E86="","",IFERROR(IFERROR(INDEX(Recipes!$N$5:$N$204,MATCH(E86,Recipes!$A$5:$A$204,0)),"")*IF(F86="",1,F86),""))</f>
        <v>0</v>
      </c>
      <c r="N86" s="26"/>
      <c r="O86" s="8">
        <f>IF(A86="","",Calorie_Target*Household_Size)</f>
        <v>0</v>
      </c>
      <c r="P86" s="8">
        <f>IF(OR(A86="",O86=0),"",IFERROR(G86/O86,""))</f>
        <v>0</v>
      </c>
      <c r="Q86" s="8">
        <f>IF(OR(A86="",Protein_Target=0),"",IFERROR(H86/(Protein_Target*Household_Size),""))</f>
        <v>0</v>
      </c>
      <c r="R86" s="8">
        <f>IF(OR(A86="",Carb_Target=0),"",IFERROR(I86/(Carb_Target*Household_Size),""))</f>
        <v>0</v>
      </c>
      <c r="S86" s="8">
        <f>IF(OR(A86="",Fat_Target=0),"",IFERROR(J86/(Fat_Target*Household_Size),""))</f>
        <v>0</v>
      </c>
      <c r="T86" s="8">
        <f>IF(OR(A86="",Fibre_Target=0),"",IFERROR(K86/(Fibre_Target*Household_Size),""))</f>
        <v>0</v>
      </c>
      <c r="U86" s="8">
        <f>IF(OR(A86="",Sugar_Limit=0),"",IFERROR(L86/(Sugar_Limit*Household_Size),""))</f>
        <v>0</v>
      </c>
      <c r="V86" s="8">
        <f>IF(OR(A86="",Sodium_Limit=0),"",IFERROR(M86/(Sodium_Limit*Household_Size),""))</f>
        <v>0</v>
      </c>
      <c r="W86" s="8">
        <f>IF(A86="","",IF(P86="","",IF(P86&gt;1.1,"Over target",IF(P86&lt;0.8,"Under target","On target"))))</f>
        <v>0</v>
      </c>
      <c r="X86" s="25"/>
    </row>
    <row r="87" spans="1:24">
      <c r="A87" s="30"/>
      <c r="B87" s="8">
        <f>IF(A87="","",TEXT(A87,"mmm yyyy"))</f>
        <v>0</v>
      </c>
      <c r="C87" s="8">
        <f>IF(A87="","",TEXT(A87,"ddd"))</f>
        <v>0</v>
      </c>
      <c r="D87" s="27"/>
      <c r="E87" s="27"/>
      <c r="F87" s="26"/>
      <c r="G87" s="8">
        <f>IF(E87="","",IFERROR(IFERROR(INDEX(Recipes!$H$5:$H$204,MATCH(E87,Recipes!$A$5:$A$204,0)),"")*IF(F87="",1,F87),""))</f>
        <v>0</v>
      </c>
      <c r="H87" s="8">
        <f>IF(E87="","",IFERROR(IFERROR(INDEX(Recipes!$I$5:$I$204,MATCH(E87,Recipes!$A$5:$A$204,0)),"")*IF(F87="",1,F87),""))</f>
        <v>0</v>
      </c>
      <c r="I87" s="8">
        <f>IF(E87="","",IFERROR(IFERROR(INDEX(Recipes!$J$5:$J$204,MATCH(E87,Recipes!$A$5:$A$204,0)),"")*IF(F87="",1,F87),""))</f>
        <v>0</v>
      </c>
      <c r="J87" s="8">
        <f>IF(E87="","",IFERROR(IFERROR(INDEX(Recipes!$K$5:$K$204,MATCH(E87,Recipes!$A$5:$A$204,0)),"")*IF(F87="",1,F87),""))</f>
        <v>0</v>
      </c>
      <c r="K87" s="8">
        <f>IF(E87="","",IFERROR(IFERROR(INDEX(Recipes!$L$5:$L$204,MATCH(E87,Recipes!$A$5:$A$204,0)),"")*IF(F87="",1,F87),""))</f>
        <v>0</v>
      </c>
      <c r="L87" s="8">
        <f>IF(E87="","",IFERROR(IFERROR(INDEX(Recipes!$M$5:$M$204,MATCH(E87,Recipes!$A$5:$A$204,0)),"")*IF(F87="",1,F87),""))</f>
        <v>0</v>
      </c>
      <c r="M87" s="8">
        <f>IF(E87="","",IFERROR(IFERROR(INDEX(Recipes!$N$5:$N$204,MATCH(E87,Recipes!$A$5:$A$204,0)),"")*IF(F87="",1,F87),""))</f>
        <v>0</v>
      </c>
      <c r="N87" s="26"/>
      <c r="O87" s="8">
        <f>IF(A87="","",Calorie_Target*Household_Size)</f>
        <v>0</v>
      </c>
      <c r="P87" s="8">
        <f>IF(OR(A87="",O87=0),"",IFERROR(G87/O87,""))</f>
        <v>0</v>
      </c>
      <c r="Q87" s="8">
        <f>IF(OR(A87="",Protein_Target=0),"",IFERROR(H87/(Protein_Target*Household_Size),""))</f>
        <v>0</v>
      </c>
      <c r="R87" s="8">
        <f>IF(OR(A87="",Carb_Target=0),"",IFERROR(I87/(Carb_Target*Household_Size),""))</f>
        <v>0</v>
      </c>
      <c r="S87" s="8">
        <f>IF(OR(A87="",Fat_Target=0),"",IFERROR(J87/(Fat_Target*Household_Size),""))</f>
        <v>0</v>
      </c>
      <c r="T87" s="8">
        <f>IF(OR(A87="",Fibre_Target=0),"",IFERROR(K87/(Fibre_Target*Household_Size),""))</f>
        <v>0</v>
      </c>
      <c r="U87" s="8">
        <f>IF(OR(A87="",Sugar_Limit=0),"",IFERROR(L87/(Sugar_Limit*Household_Size),""))</f>
        <v>0</v>
      </c>
      <c r="V87" s="8">
        <f>IF(OR(A87="",Sodium_Limit=0),"",IFERROR(M87/(Sodium_Limit*Household_Size),""))</f>
        <v>0</v>
      </c>
      <c r="W87" s="8">
        <f>IF(A87="","",IF(P87="","",IF(P87&gt;1.1,"Over target",IF(P87&lt;0.8,"Under target","On target"))))</f>
        <v>0</v>
      </c>
      <c r="X87" s="25"/>
    </row>
    <row r="88" spans="1:24">
      <c r="A88" s="30"/>
      <c r="B88" s="8">
        <f>IF(A88="","",TEXT(A88,"mmm yyyy"))</f>
        <v>0</v>
      </c>
      <c r="C88" s="8">
        <f>IF(A88="","",TEXT(A88,"ddd"))</f>
        <v>0</v>
      </c>
      <c r="D88" s="27"/>
      <c r="E88" s="27"/>
      <c r="F88" s="26"/>
      <c r="G88" s="8">
        <f>IF(E88="","",IFERROR(IFERROR(INDEX(Recipes!$H$5:$H$204,MATCH(E88,Recipes!$A$5:$A$204,0)),"")*IF(F88="",1,F88),""))</f>
        <v>0</v>
      </c>
      <c r="H88" s="8">
        <f>IF(E88="","",IFERROR(IFERROR(INDEX(Recipes!$I$5:$I$204,MATCH(E88,Recipes!$A$5:$A$204,0)),"")*IF(F88="",1,F88),""))</f>
        <v>0</v>
      </c>
      <c r="I88" s="8">
        <f>IF(E88="","",IFERROR(IFERROR(INDEX(Recipes!$J$5:$J$204,MATCH(E88,Recipes!$A$5:$A$204,0)),"")*IF(F88="",1,F88),""))</f>
        <v>0</v>
      </c>
      <c r="J88" s="8">
        <f>IF(E88="","",IFERROR(IFERROR(INDEX(Recipes!$K$5:$K$204,MATCH(E88,Recipes!$A$5:$A$204,0)),"")*IF(F88="",1,F88),""))</f>
        <v>0</v>
      </c>
      <c r="K88" s="8">
        <f>IF(E88="","",IFERROR(IFERROR(INDEX(Recipes!$L$5:$L$204,MATCH(E88,Recipes!$A$5:$A$204,0)),"")*IF(F88="",1,F88),""))</f>
        <v>0</v>
      </c>
      <c r="L88" s="8">
        <f>IF(E88="","",IFERROR(IFERROR(INDEX(Recipes!$M$5:$M$204,MATCH(E88,Recipes!$A$5:$A$204,0)),"")*IF(F88="",1,F88),""))</f>
        <v>0</v>
      </c>
      <c r="M88" s="8">
        <f>IF(E88="","",IFERROR(IFERROR(INDEX(Recipes!$N$5:$N$204,MATCH(E88,Recipes!$A$5:$A$204,0)),"")*IF(F88="",1,F88),""))</f>
        <v>0</v>
      </c>
      <c r="N88" s="26"/>
      <c r="O88" s="8">
        <f>IF(A88="","",Calorie_Target*Household_Size)</f>
        <v>0</v>
      </c>
      <c r="P88" s="8">
        <f>IF(OR(A88="",O88=0),"",IFERROR(G88/O88,""))</f>
        <v>0</v>
      </c>
      <c r="Q88" s="8">
        <f>IF(OR(A88="",Protein_Target=0),"",IFERROR(H88/(Protein_Target*Household_Size),""))</f>
        <v>0</v>
      </c>
      <c r="R88" s="8">
        <f>IF(OR(A88="",Carb_Target=0),"",IFERROR(I88/(Carb_Target*Household_Size),""))</f>
        <v>0</v>
      </c>
      <c r="S88" s="8">
        <f>IF(OR(A88="",Fat_Target=0),"",IFERROR(J88/(Fat_Target*Household_Size),""))</f>
        <v>0</v>
      </c>
      <c r="T88" s="8">
        <f>IF(OR(A88="",Fibre_Target=0),"",IFERROR(K88/(Fibre_Target*Household_Size),""))</f>
        <v>0</v>
      </c>
      <c r="U88" s="8">
        <f>IF(OR(A88="",Sugar_Limit=0),"",IFERROR(L88/(Sugar_Limit*Household_Size),""))</f>
        <v>0</v>
      </c>
      <c r="V88" s="8">
        <f>IF(OR(A88="",Sodium_Limit=0),"",IFERROR(M88/(Sodium_Limit*Household_Size),""))</f>
        <v>0</v>
      </c>
      <c r="W88" s="8">
        <f>IF(A88="","",IF(P88="","",IF(P88&gt;1.1,"Over target",IF(P88&lt;0.8,"Under target","On target"))))</f>
        <v>0</v>
      </c>
      <c r="X88" s="25"/>
    </row>
    <row r="89" spans="1:24">
      <c r="A89" s="30"/>
      <c r="B89" s="8">
        <f>IF(A89="","",TEXT(A89,"mmm yyyy"))</f>
        <v>0</v>
      </c>
      <c r="C89" s="8">
        <f>IF(A89="","",TEXT(A89,"ddd"))</f>
        <v>0</v>
      </c>
      <c r="D89" s="27"/>
      <c r="E89" s="27"/>
      <c r="F89" s="26"/>
      <c r="G89" s="8">
        <f>IF(E89="","",IFERROR(IFERROR(INDEX(Recipes!$H$5:$H$204,MATCH(E89,Recipes!$A$5:$A$204,0)),"")*IF(F89="",1,F89),""))</f>
        <v>0</v>
      </c>
      <c r="H89" s="8">
        <f>IF(E89="","",IFERROR(IFERROR(INDEX(Recipes!$I$5:$I$204,MATCH(E89,Recipes!$A$5:$A$204,0)),"")*IF(F89="",1,F89),""))</f>
        <v>0</v>
      </c>
      <c r="I89" s="8">
        <f>IF(E89="","",IFERROR(IFERROR(INDEX(Recipes!$J$5:$J$204,MATCH(E89,Recipes!$A$5:$A$204,0)),"")*IF(F89="",1,F89),""))</f>
        <v>0</v>
      </c>
      <c r="J89" s="8">
        <f>IF(E89="","",IFERROR(IFERROR(INDEX(Recipes!$K$5:$K$204,MATCH(E89,Recipes!$A$5:$A$204,0)),"")*IF(F89="",1,F89),""))</f>
        <v>0</v>
      </c>
      <c r="K89" s="8">
        <f>IF(E89="","",IFERROR(IFERROR(INDEX(Recipes!$L$5:$L$204,MATCH(E89,Recipes!$A$5:$A$204,0)),"")*IF(F89="",1,F89),""))</f>
        <v>0</v>
      </c>
      <c r="L89" s="8">
        <f>IF(E89="","",IFERROR(IFERROR(INDEX(Recipes!$M$5:$M$204,MATCH(E89,Recipes!$A$5:$A$204,0)),"")*IF(F89="",1,F89),""))</f>
        <v>0</v>
      </c>
      <c r="M89" s="8">
        <f>IF(E89="","",IFERROR(IFERROR(INDEX(Recipes!$N$5:$N$204,MATCH(E89,Recipes!$A$5:$A$204,0)),"")*IF(F89="",1,F89),""))</f>
        <v>0</v>
      </c>
      <c r="N89" s="26"/>
      <c r="O89" s="8">
        <f>IF(A89="","",Calorie_Target*Household_Size)</f>
        <v>0</v>
      </c>
      <c r="P89" s="8">
        <f>IF(OR(A89="",O89=0),"",IFERROR(G89/O89,""))</f>
        <v>0</v>
      </c>
      <c r="Q89" s="8">
        <f>IF(OR(A89="",Protein_Target=0),"",IFERROR(H89/(Protein_Target*Household_Size),""))</f>
        <v>0</v>
      </c>
      <c r="R89" s="8">
        <f>IF(OR(A89="",Carb_Target=0),"",IFERROR(I89/(Carb_Target*Household_Size),""))</f>
        <v>0</v>
      </c>
      <c r="S89" s="8">
        <f>IF(OR(A89="",Fat_Target=0),"",IFERROR(J89/(Fat_Target*Household_Size),""))</f>
        <v>0</v>
      </c>
      <c r="T89" s="8">
        <f>IF(OR(A89="",Fibre_Target=0),"",IFERROR(K89/(Fibre_Target*Household_Size),""))</f>
        <v>0</v>
      </c>
      <c r="U89" s="8">
        <f>IF(OR(A89="",Sugar_Limit=0),"",IFERROR(L89/(Sugar_Limit*Household_Size),""))</f>
        <v>0</v>
      </c>
      <c r="V89" s="8">
        <f>IF(OR(A89="",Sodium_Limit=0),"",IFERROR(M89/(Sodium_Limit*Household_Size),""))</f>
        <v>0</v>
      </c>
      <c r="W89" s="8">
        <f>IF(A89="","",IF(P89="","",IF(P89&gt;1.1,"Over target",IF(P89&lt;0.8,"Under target","On target"))))</f>
        <v>0</v>
      </c>
      <c r="X89" s="25"/>
    </row>
    <row r="90" spans="1:24">
      <c r="A90" s="30"/>
      <c r="B90" s="8">
        <f>IF(A90="","",TEXT(A90,"mmm yyyy"))</f>
        <v>0</v>
      </c>
      <c r="C90" s="8">
        <f>IF(A90="","",TEXT(A90,"ddd"))</f>
        <v>0</v>
      </c>
      <c r="D90" s="27"/>
      <c r="E90" s="27"/>
      <c r="F90" s="26"/>
      <c r="G90" s="8">
        <f>IF(E90="","",IFERROR(IFERROR(INDEX(Recipes!$H$5:$H$204,MATCH(E90,Recipes!$A$5:$A$204,0)),"")*IF(F90="",1,F90),""))</f>
        <v>0</v>
      </c>
      <c r="H90" s="8">
        <f>IF(E90="","",IFERROR(IFERROR(INDEX(Recipes!$I$5:$I$204,MATCH(E90,Recipes!$A$5:$A$204,0)),"")*IF(F90="",1,F90),""))</f>
        <v>0</v>
      </c>
      <c r="I90" s="8">
        <f>IF(E90="","",IFERROR(IFERROR(INDEX(Recipes!$J$5:$J$204,MATCH(E90,Recipes!$A$5:$A$204,0)),"")*IF(F90="",1,F90),""))</f>
        <v>0</v>
      </c>
      <c r="J90" s="8">
        <f>IF(E90="","",IFERROR(IFERROR(INDEX(Recipes!$K$5:$K$204,MATCH(E90,Recipes!$A$5:$A$204,0)),"")*IF(F90="",1,F90),""))</f>
        <v>0</v>
      </c>
      <c r="K90" s="8">
        <f>IF(E90="","",IFERROR(IFERROR(INDEX(Recipes!$L$5:$L$204,MATCH(E90,Recipes!$A$5:$A$204,0)),"")*IF(F90="",1,F90),""))</f>
        <v>0</v>
      </c>
      <c r="L90" s="8">
        <f>IF(E90="","",IFERROR(IFERROR(INDEX(Recipes!$M$5:$M$204,MATCH(E90,Recipes!$A$5:$A$204,0)),"")*IF(F90="",1,F90),""))</f>
        <v>0</v>
      </c>
      <c r="M90" s="8">
        <f>IF(E90="","",IFERROR(IFERROR(INDEX(Recipes!$N$5:$N$204,MATCH(E90,Recipes!$A$5:$A$204,0)),"")*IF(F90="",1,F90),""))</f>
        <v>0</v>
      </c>
      <c r="N90" s="26"/>
      <c r="O90" s="8">
        <f>IF(A90="","",Calorie_Target*Household_Size)</f>
        <v>0</v>
      </c>
      <c r="P90" s="8">
        <f>IF(OR(A90="",O90=0),"",IFERROR(G90/O90,""))</f>
        <v>0</v>
      </c>
      <c r="Q90" s="8">
        <f>IF(OR(A90="",Protein_Target=0),"",IFERROR(H90/(Protein_Target*Household_Size),""))</f>
        <v>0</v>
      </c>
      <c r="R90" s="8">
        <f>IF(OR(A90="",Carb_Target=0),"",IFERROR(I90/(Carb_Target*Household_Size),""))</f>
        <v>0</v>
      </c>
      <c r="S90" s="8">
        <f>IF(OR(A90="",Fat_Target=0),"",IFERROR(J90/(Fat_Target*Household_Size),""))</f>
        <v>0</v>
      </c>
      <c r="T90" s="8">
        <f>IF(OR(A90="",Fibre_Target=0),"",IFERROR(K90/(Fibre_Target*Household_Size),""))</f>
        <v>0</v>
      </c>
      <c r="U90" s="8">
        <f>IF(OR(A90="",Sugar_Limit=0),"",IFERROR(L90/(Sugar_Limit*Household_Size),""))</f>
        <v>0</v>
      </c>
      <c r="V90" s="8">
        <f>IF(OR(A90="",Sodium_Limit=0),"",IFERROR(M90/(Sodium_Limit*Household_Size),""))</f>
        <v>0</v>
      </c>
      <c r="W90" s="8">
        <f>IF(A90="","",IF(P90="","",IF(P90&gt;1.1,"Over target",IF(P90&lt;0.8,"Under target","On target"))))</f>
        <v>0</v>
      </c>
      <c r="X90" s="25"/>
    </row>
    <row r="91" spans="1:24">
      <c r="A91" s="30"/>
      <c r="B91" s="8">
        <f>IF(A91="","",TEXT(A91,"mmm yyyy"))</f>
        <v>0</v>
      </c>
      <c r="C91" s="8">
        <f>IF(A91="","",TEXT(A91,"ddd"))</f>
        <v>0</v>
      </c>
      <c r="D91" s="27"/>
      <c r="E91" s="27"/>
      <c r="F91" s="26"/>
      <c r="G91" s="8">
        <f>IF(E91="","",IFERROR(IFERROR(INDEX(Recipes!$H$5:$H$204,MATCH(E91,Recipes!$A$5:$A$204,0)),"")*IF(F91="",1,F91),""))</f>
        <v>0</v>
      </c>
      <c r="H91" s="8">
        <f>IF(E91="","",IFERROR(IFERROR(INDEX(Recipes!$I$5:$I$204,MATCH(E91,Recipes!$A$5:$A$204,0)),"")*IF(F91="",1,F91),""))</f>
        <v>0</v>
      </c>
      <c r="I91" s="8">
        <f>IF(E91="","",IFERROR(IFERROR(INDEX(Recipes!$J$5:$J$204,MATCH(E91,Recipes!$A$5:$A$204,0)),"")*IF(F91="",1,F91),""))</f>
        <v>0</v>
      </c>
      <c r="J91" s="8">
        <f>IF(E91="","",IFERROR(IFERROR(INDEX(Recipes!$K$5:$K$204,MATCH(E91,Recipes!$A$5:$A$204,0)),"")*IF(F91="",1,F91),""))</f>
        <v>0</v>
      </c>
      <c r="K91" s="8">
        <f>IF(E91="","",IFERROR(IFERROR(INDEX(Recipes!$L$5:$L$204,MATCH(E91,Recipes!$A$5:$A$204,0)),"")*IF(F91="",1,F91),""))</f>
        <v>0</v>
      </c>
      <c r="L91" s="8">
        <f>IF(E91="","",IFERROR(IFERROR(INDEX(Recipes!$M$5:$M$204,MATCH(E91,Recipes!$A$5:$A$204,0)),"")*IF(F91="",1,F91),""))</f>
        <v>0</v>
      </c>
      <c r="M91" s="8">
        <f>IF(E91="","",IFERROR(IFERROR(INDEX(Recipes!$N$5:$N$204,MATCH(E91,Recipes!$A$5:$A$204,0)),"")*IF(F91="",1,F91),""))</f>
        <v>0</v>
      </c>
      <c r="N91" s="26"/>
      <c r="O91" s="8">
        <f>IF(A91="","",Calorie_Target*Household_Size)</f>
        <v>0</v>
      </c>
      <c r="P91" s="8">
        <f>IF(OR(A91="",O91=0),"",IFERROR(G91/O91,""))</f>
        <v>0</v>
      </c>
      <c r="Q91" s="8">
        <f>IF(OR(A91="",Protein_Target=0),"",IFERROR(H91/(Protein_Target*Household_Size),""))</f>
        <v>0</v>
      </c>
      <c r="R91" s="8">
        <f>IF(OR(A91="",Carb_Target=0),"",IFERROR(I91/(Carb_Target*Household_Size),""))</f>
        <v>0</v>
      </c>
      <c r="S91" s="8">
        <f>IF(OR(A91="",Fat_Target=0),"",IFERROR(J91/(Fat_Target*Household_Size),""))</f>
        <v>0</v>
      </c>
      <c r="T91" s="8">
        <f>IF(OR(A91="",Fibre_Target=0),"",IFERROR(K91/(Fibre_Target*Household_Size),""))</f>
        <v>0</v>
      </c>
      <c r="U91" s="8">
        <f>IF(OR(A91="",Sugar_Limit=0),"",IFERROR(L91/(Sugar_Limit*Household_Size),""))</f>
        <v>0</v>
      </c>
      <c r="V91" s="8">
        <f>IF(OR(A91="",Sodium_Limit=0),"",IFERROR(M91/(Sodium_Limit*Household_Size),""))</f>
        <v>0</v>
      </c>
      <c r="W91" s="8">
        <f>IF(A91="","",IF(P91="","",IF(P91&gt;1.1,"Over target",IF(P91&lt;0.8,"Under target","On target"))))</f>
        <v>0</v>
      </c>
      <c r="X91" s="25"/>
    </row>
    <row r="92" spans="1:24">
      <c r="A92" s="30"/>
      <c r="B92" s="8">
        <f>IF(A92="","",TEXT(A92,"mmm yyyy"))</f>
        <v>0</v>
      </c>
      <c r="C92" s="8">
        <f>IF(A92="","",TEXT(A92,"ddd"))</f>
        <v>0</v>
      </c>
      <c r="D92" s="27"/>
      <c r="E92" s="27"/>
      <c r="F92" s="26"/>
      <c r="G92" s="8">
        <f>IF(E92="","",IFERROR(IFERROR(INDEX(Recipes!$H$5:$H$204,MATCH(E92,Recipes!$A$5:$A$204,0)),"")*IF(F92="",1,F92),""))</f>
        <v>0</v>
      </c>
      <c r="H92" s="8">
        <f>IF(E92="","",IFERROR(IFERROR(INDEX(Recipes!$I$5:$I$204,MATCH(E92,Recipes!$A$5:$A$204,0)),"")*IF(F92="",1,F92),""))</f>
        <v>0</v>
      </c>
      <c r="I92" s="8">
        <f>IF(E92="","",IFERROR(IFERROR(INDEX(Recipes!$J$5:$J$204,MATCH(E92,Recipes!$A$5:$A$204,0)),"")*IF(F92="",1,F92),""))</f>
        <v>0</v>
      </c>
      <c r="J92" s="8">
        <f>IF(E92="","",IFERROR(IFERROR(INDEX(Recipes!$K$5:$K$204,MATCH(E92,Recipes!$A$5:$A$204,0)),"")*IF(F92="",1,F92),""))</f>
        <v>0</v>
      </c>
      <c r="K92" s="8">
        <f>IF(E92="","",IFERROR(IFERROR(INDEX(Recipes!$L$5:$L$204,MATCH(E92,Recipes!$A$5:$A$204,0)),"")*IF(F92="",1,F92),""))</f>
        <v>0</v>
      </c>
      <c r="L92" s="8">
        <f>IF(E92="","",IFERROR(IFERROR(INDEX(Recipes!$M$5:$M$204,MATCH(E92,Recipes!$A$5:$A$204,0)),"")*IF(F92="",1,F92),""))</f>
        <v>0</v>
      </c>
      <c r="M92" s="8">
        <f>IF(E92="","",IFERROR(IFERROR(INDEX(Recipes!$N$5:$N$204,MATCH(E92,Recipes!$A$5:$A$204,0)),"")*IF(F92="",1,F92),""))</f>
        <v>0</v>
      </c>
      <c r="N92" s="26"/>
      <c r="O92" s="8">
        <f>IF(A92="","",Calorie_Target*Household_Size)</f>
        <v>0</v>
      </c>
      <c r="P92" s="8">
        <f>IF(OR(A92="",O92=0),"",IFERROR(G92/O92,""))</f>
        <v>0</v>
      </c>
      <c r="Q92" s="8">
        <f>IF(OR(A92="",Protein_Target=0),"",IFERROR(H92/(Protein_Target*Household_Size),""))</f>
        <v>0</v>
      </c>
      <c r="R92" s="8">
        <f>IF(OR(A92="",Carb_Target=0),"",IFERROR(I92/(Carb_Target*Household_Size),""))</f>
        <v>0</v>
      </c>
      <c r="S92" s="8">
        <f>IF(OR(A92="",Fat_Target=0),"",IFERROR(J92/(Fat_Target*Household_Size),""))</f>
        <v>0</v>
      </c>
      <c r="T92" s="8">
        <f>IF(OR(A92="",Fibre_Target=0),"",IFERROR(K92/(Fibre_Target*Household_Size),""))</f>
        <v>0</v>
      </c>
      <c r="U92" s="8">
        <f>IF(OR(A92="",Sugar_Limit=0),"",IFERROR(L92/(Sugar_Limit*Household_Size),""))</f>
        <v>0</v>
      </c>
      <c r="V92" s="8">
        <f>IF(OR(A92="",Sodium_Limit=0),"",IFERROR(M92/(Sodium_Limit*Household_Size),""))</f>
        <v>0</v>
      </c>
      <c r="W92" s="8">
        <f>IF(A92="","",IF(P92="","",IF(P92&gt;1.1,"Over target",IF(P92&lt;0.8,"Under target","On target"))))</f>
        <v>0</v>
      </c>
      <c r="X92" s="25"/>
    </row>
    <row r="93" spans="1:24">
      <c r="A93" s="30"/>
      <c r="B93" s="8">
        <f>IF(A93="","",TEXT(A93,"mmm yyyy"))</f>
        <v>0</v>
      </c>
      <c r="C93" s="8">
        <f>IF(A93="","",TEXT(A93,"ddd"))</f>
        <v>0</v>
      </c>
      <c r="D93" s="27"/>
      <c r="E93" s="27"/>
      <c r="F93" s="26"/>
      <c r="G93" s="8">
        <f>IF(E93="","",IFERROR(IFERROR(INDEX(Recipes!$H$5:$H$204,MATCH(E93,Recipes!$A$5:$A$204,0)),"")*IF(F93="",1,F93),""))</f>
        <v>0</v>
      </c>
      <c r="H93" s="8">
        <f>IF(E93="","",IFERROR(IFERROR(INDEX(Recipes!$I$5:$I$204,MATCH(E93,Recipes!$A$5:$A$204,0)),"")*IF(F93="",1,F93),""))</f>
        <v>0</v>
      </c>
      <c r="I93" s="8">
        <f>IF(E93="","",IFERROR(IFERROR(INDEX(Recipes!$J$5:$J$204,MATCH(E93,Recipes!$A$5:$A$204,0)),"")*IF(F93="",1,F93),""))</f>
        <v>0</v>
      </c>
      <c r="J93" s="8">
        <f>IF(E93="","",IFERROR(IFERROR(INDEX(Recipes!$K$5:$K$204,MATCH(E93,Recipes!$A$5:$A$204,0)),"")*IF(F93="",1,F93),""))</f>
        <v>0</v>
      </c>
      <c r="K93" s="8">
        <f>IF(E93="","",IFERROR(IFERROR(INDEX(Recipes!$L$5:$L$204,MATCH(E93,Recipes!$A$5:$A$204,0)),"")*IF(F93="",1,F93),""))</f>
        <v>0</v>
      </c>
      <c r="L93" s="8">
        <f>IF(E93="","",IFERROR(IFERROR(INDEX(Recipes!$M$5:$M$204,MATCH(E93,Recipes!$A$5:$A$204,0)),"")*IF(F93="",1,F93),""))</f>
        <v>0</v>
      </c>
      <c r="M93" s="8">
        <f>IF(E93="","",IFERROR(IFERROR(INDEX(Recipes!$N$5:$N$204,MATCH(E93,Recipes!$A$5:$A$204,0)),"")*IF(F93="",1,F93),""))</f>
        <v>0</v>
      </c>
      <c r="N93" s="26"/>
      <c r="O93" s="8">
        <f>IF(A93="","",Calorie_Target*Household_Size)</f>
        <v>0</v>
      </c>
      <c r="P93" s="8">
        <f>IF(OR(A93="",O93=0),"",IFERROR(G93/O93,""))</f>
        <v>0</v>
      </c>
      <c r="Q93" s="8">
        <f>IF(OR(A93="",Protein_Target=0),"",IFERROR(H93/(Protein_Target*Household_Size),""))</f>
        <v>0</v>
      </c>
      <c r="R93" s="8">
        <f>IF(OR(A93="",Carb_Target=0),"",IFERROR(I93/(Carb_Target*Household_Size),""))</f>
        <v>0</v>
      </c>
      <c r="S93" s="8">
        <f>IF(OR(A93="",Fat_Target=0),"",IFERROR(J93/(Fat_Target*Household_Size),""))</f>
        <v>0</v>
      </c>
      <c r="T93" s="8">
        <f>IF(OR(A93="",Fibre_Target=0),"",IFERROR(K93/(Fibre_Target*Household_Size),""))</f>
        <v>0</v>
      </c>
      <c r="U93" s="8">
        <f>IF(OR(A93="",Sugar_Limit=0),"",IFERROR(L93/(Sugar_Limit*Household_Size),""))</f>
        <v>0</v>
      </c>
      <c r="V93" s="8">
        <f>IF(OR(A93="",Sodium_Limit=0),"",IFERROR(M93/(Sodium_Limit*Household_Size),""))</f>
        <v>0</v>
      </c>
      <c r="W93" s="8">
        <f>IF(A93="","",IF(P93="","",IF(P93&gt;1.1,"Over target",IF(P93&lt;0.8,"Under target","On target"))))</f>
        <v>0</v>
      </c>
      <c r="X93" s="25"/>
    </row>
    <row r="94" spans="1:24">
      <c r="A94" s="30"/>
      <c r="B94" s="8">
        <f>IF(A94="","",TEXT(A94,"mmm yyyy"))</f>
        <v>0</v>
      </c>
      <c r="C94" s="8">
        <f>IF(A94="","",TEXT(A94,"ddd"))</f>
        <v>0</v>
      </c>
      <c r="D94" s="27"/>
      <c r="E94" s="27"/>
      <c r="F94" s="26"/>
      <c r="G94" s="8">
        <f>IF(E94="","",IFERROR(IFERROR(INDEX(Recipes!$H$5:$H$204,MATCH(E94,Recipes!$A$5:$A$204,0)),"")*IF(F94="",1,F94),""))</f>
        <v>0</v>
      </c>
      <c r="H94" s="8">
        <f>IF(E94="","",IFERROR(IFERROR(INDEX(Recipes!$I$5:$I$204,MATCH(E94,Recipes!$A$5:$A$204,0)),"")*IF(F94="",1,F94),""))</f>
        <v>0</v>
      </c>
      <c r="I94" s="8">
        <f>IF(E94="","",IFERROR(IFERROR(INDEX(Recipes!$J$5:$J$204,MATCH(E94,Recipes!$A$5:$A$204,0)),"")*IF(F94="",1,F94),""))</f>
        <v>0</v>
      </c>
      <c r="J94" s="8">
        <f>IF(E94="","",IFERROR(IFERROR(INDEX(Recipes!$K$5:$K$204,MATCH(E94,Recipes!$A$5:$A$204,0)),"")*IF(F94="",1,F94),""))</f>
        <v>0</v>
      </c>
      <c r="K94" s="8">
        <f>IF(E94="","",IFERROR(IFERROR(INDEX(Recipes!$L$5:$L$204,MATCH(E94,Recipes!$A$5:$A$204,0)),"")*IF(F94="",1,F94),""))</f>
        <v>0</v>
      </c>
      <c r="L94" s="8">
        <f>IF(E94="","",IFERROR(IFERROR(INDEX(Recipes!$M$5:$M$204,MATCH(E94,Recipes!$A$5:$A$204,0)),"")*IF(F94="",1,F94),""))</f>
        <v>0</v>
      </c>
      <c r="M94" s="8">
        <f>IF(E94="","",IFERROR(IFERROR(INDEX(Recipes!$N$5:$N$204,MATCH(E94,Recipes!$A$5:$A$204,0)),"")*IF(F94="",1,F94),""))</f>
        <v>0</v>
      </c>
      <c r="N94" s="26"/>
      <c r="O94" s="8">
        <f>IF(A94="","",Calorie_Target*Household_Size)</f>
        <v>0</v>
      </c>
      <c r="P94" s="8">
        <f>IF(OR(A94="",O94=0),"",IFERROR(G94/O94,""))</f>
        <v>0</v>
      </c>
      <c r="Q94" s="8">
        <f>IF(OR(A94="",Protein_Target=0),"",IFERROR(H94/(Protein_Target*Household_Size),""))</f>
        <v>0</v>
      </c>
      <c r="R94" s="8">
        <f>IF(OR(A94="",Carb_Target=0),"",IFERROR(I94/(Carb_Target*Household_Size),""))</f>
        <v>0</v>
      </c>
      <c r="S94" s="8">
        <f>IF(OR(A94="",Fat_Target=0),"",IFERROR(J94/(Fat_Target*Household_Size),""))</f>
        <v>0</v>
      </c>
      <c r="T94" s="8">
        <f>IF(OR(A94="",Fibre_Target=0),"",IFERROR(K94/(Fibre_Target*Household_Size),""))</f>
        <v>0</v>
      </c>
      <c r="U94" s="8">
        <f>IF(OR(A94="",Sugar_Limit=0),"",IFERROR(L94/(Sugar_Limit*Household_Size),""))</f>
        <v>0</v>
      </c>
      <c r="V94" s="8">
        <f>IF(OR(A94="",Sodium_Limit=0),"",IFERROR(M94/(Sodium_Limit*Household_Size),""))</f>
        <v>0</v>
      </c>
      <c r="W94" s="8">
        <f>IF(A94="","",IF(P94="","",IF(P94&gt;1.1,"Over target",IF(P94&lt;0.8,"Under target","On target"))))</f>
        <v>0</v>
      </c>
      <c r="X94" s="25"/>
    </row>
    <row r="95" spans="1:24">
      <c r="A95" s="30"/>
      <c r="B95" s="8">
        <f>IF(A95="","",TEXT(A95,"mmm yyyy"))</f>
        <v>0</v>
      </c>
      <c r="C95" s="8">
        <f>IF(A95="","",TEXT(A95,"ddd"))</f>
        <v>0</v>
      </c>
      <c r="D95" s="27"/>
      <c r="E95" s="27"/>
      <c r="F95" s="26"/>
      <c r="G95" s="8">
        <f>IF(E95="","",IFERROR(IFERROR(INDEX(Recipes!$H$5:$H$204,MATCH(E95,Recipes!$A$5:$A$204,0)),"")*IF(F95="",1,F95),""))</f>
        <v>0</v>
      </c>
      <c r="H95" s="8">
        <f>IF(E95="","",IFERROR(IFERROR(INDEX(Recipes!$I$5:$I$204,MATCH(E95,Recipes!$A$5:$A$204,0)),"")*IF(F95="",1,F95),""))</f>
        <v>0</v>
      </c>
      <c r="I95" s="8">
        <f>IF(E95="","",IFERROR(IFERROR(INDEX(Recipes!$J$5:$J$204,MATCH(E95,Recipes!$A$5:$A$204,0)),"")*IF(F95="",1,F95),""))</f>
        <v>0</v>
      </c>
      <c r="J95" s="8">
        <f>IF(E95="","",IFERROR(IFERROR(INDEX(Recipes!$K$5:$K$204,MATCH(E95,Recipes!$A$5:$A$204,0)),"")*IF(F95="",1,F95),""))</f>
        <v>0</v>
      </c>
      <c r="K95" s="8">
        <f>IF(E95="","",IFERROR(IFERROR(INDEX(Recipes!$L$5:$L$204,MATCH(E95,Recipes!$A$5:$A$204,0)),"")*IF(F95="",1,F95),""))</f>
        <v>0</v>
      </c>
      <c r="L95" s="8">
        <f>IF(E95="","",IFERROR(IFERROR(INDEX(Recipes!$M$5:$M$204,MATCH(E95,Recipes!$A$5:$A$204,0)),"")*IF(F95="",1,F95),""))</f>
        <v>0</v>
      </c>
      <c r="M95" s="8">
        <f>IF(E95="","",IFERROR(IFERROR(INDEX(Recipes!$N$5:$N$204,MATCH(E95,Recipes!$A$5:$A$204,0)),"")*IF(F95="",1,F95),""))</f>
        <v>0</v>
      </c>
      <c r="N95" s="26"/>
      <c r="O95" s="8">
        <f>IF(A95="","",Calorie_Target*Household_Size)</f>
        <v>0</v>
      </c>
      <c r="P95" s="8">
        <f>IF(OR(A95="",O95=0),"",IFERROR(G95/O95,""))</f>
        <v>0</v>
      </c>
      <c r="Q95" s="8">
        <f>IF(OR(A95="",Protein_Target=0),"",IFERROR(H95/(Protein_Target*Household_Size),""))</f>
        <v>0</v>
      </c>
      <c r="R95" s="8">
        <f>IF(OR(A95="",Carb_Target=0),"",IFERROR(I95/(Carb_Target*Household_Size),""))</f>
        <v>0</v>
      </c>
      <c r="S95" s="8">
        <f>IF(OR(A95="",Fat_Target=0),"",IFERROR(J95/(Fat_Target*Household_Size),""))</f>
        <v>0</v>
      </c>
      <c r="T95" s="8">
        <f>IF(OR(A95="",Fibre_Target=0),"",IFERROR(K95/(Fibre_Target*Household_Size),""))</f>
        <v>0</v>
      </c>
      <c r="U95" s="8">
        <f>IF(OR(A95="",Sugar_Limit=0),"",IFERROR(L95/(Sugar_Limit*Household_Size),""))</f>
        <v>0</v>
      </c>
      <c r="V95" s="8">
        <f>IF(OR(A95="",Sodium_Limit=0),"",IFERROR(M95/(Sodium_Limit*Household_Size),""))</f>
        <v>0</v>
      </c>
      <c r="W95" s="8">
        <f>IF(A95="","",IF(P95="","",IF(P95&gt;1.1,"Over target",IF(P95&lt;0.8,"Under target","On target"))))</f>
        <v>0</v>
      </c>
      <c r="X95" s="25"/>
    </row>
    <row r="96" spans="1:24">
      <c r="A96" s="30"/>
      <c r="B96" s="8">
        <f>IF(A96="","",TEXT(A96,"mmm yyyy"))</f>
        <v>0</v>
      </c>
      <c r="C96" s="8">
        <f>IF(A96="","",TEXT(A96,"ddd"))</f>
        <v>0</v>
      </c>
      <c r="D96" s="27"/>
      <c r="E96" s="27"/>
      <c r="F96" s="26"/>
      <c r="G96" s="8">
        <f>IF(E96="","",IFERROR(IFERROR(INDEX(Recipes!$H$5:$H$204,MATCH(E96,Recipes!$A$5:$A$204,0)),"")*IF(F96="",1,F96),""))</f>
        <v>0</v>
      </c>
      <c r="H96" s="8">
        <f>IF(E96="","",IFERROR(IFERROR(INDEX(Recipes!$I$5:$I$204,MATCH(E96,Recipes!$A$5:$A$204,0)),"")*IF(F96="",1,F96),""))</f>
        <v>0</v>
      </c>
      <c r="I96" s="8">
        <f>IF(E96="","",IFERROR(IFERROR(INDEX(Recipes!$J$5:$J$204,MATCH(E96,Recipes!$A$5:$A$204,0)),"")*IF(F96="",1,F96),""))</f>
        <v>0</v>
      </c>
      <c r="J96" s="8">
        <f>IF(E96="","",IFERROR(IFERROR(INDEX(Recipes!$K$5:$K$204,MATCH(E96,Recipes!$A$5:$A$204,0)),"")*IF(F96="",1,F96),""))</f>
        <v>0</v>
      </c>
      <c r="K96" s="8">
        <f>IF(E96="","",IFERROR(IFERROR(INDEX(Recipes!$L$5:$L$204,MATCH(E96,Recipes!$A$5:$A$204,0)),"")*IF(F96="",1,F96),""))</f>
        <v>0</v>
      </c>
      <c r="L96" s="8">
        <f>IF(E96="","",IFERROR(IFERROR(INDEX(Recipes!$M$5:$M$204,MATCH(E96,Recipes!$A$5:$A$204,0)),"")*IF(F96="",1,F96),""))</f>
        <v>0</v>
      </c>
      <c r="M96" s="8">
        <f>IF(E96="","",IFERROR(IFERROR(INDEX(Recipes!$N$5:$N$204,MATCH(E96,Recipes!$A$5:$A$204,0)),"")*IF(F96="",1,F96),""))</f>
        <v>0</v>
      </c>
      <c r="N96" s="26"/>
      <c r="O96" s="8">
        <f>IF(A96="","",Calorie_Target*Household_Size)</f>
        <v>0</v>
      </c>
      <c r="P96" s="8">
        <f>IF(OR(A96="",O96=0),"",IFERROR(G96/O96,""))</f>
        <v>0</v>
      </c>
      <c r="Q96" s="8">
        <f>IF(OR(A96="",Protein_Target=0),"",IFERROR(H96/(Protein_Target*Household_Size),""))</f>
        <v>0</v>
      </c>
      <c r="R96" s="8">
        <f>IF(OR(A96="",Carb_Target=0),"",IFERROR(I96/(Carb_Target*Household_Size),""))</f>
        <v>0</v>
      </c>
      <c r="S96" s="8">
        <f>IF(OR(A96="",Fat_Target=0),"",IFERROR(J96/(Fat_Target*Household_Size),""))</f>
        <v>0</v>
      </c>
      <c r="T96" s="8">
        <f>IF(OR(A96="",Fibre_Target=0),"",IFERROR(K96/(Fibre_Target*Household_Size),""))</f>
        <v>0</v>
      </c>
      <c r="U96" s="8">
        <f>IF(OR(A96="",Sugar_Limit=0),"",IFERROR(L96/(Sugar_Limit*Household_Size),""))</f>
        <v>0</v>
      </c>
      <c r="V96" s="8">
        <f>IF(OR(A96="",Sodium_Limit=0),"",IFERROR(M96/(Sodium_Limit*Household_Size),""))</f>
        <v>0</v>
      </c>
      <c r="W96" s="8">
        <f>IF(A96="","",IF(P96="","",IF(P96&gt;1.1,"Over target",IF(P96&lt;0.8,"Under target","On target"))))</f>
        <v>0</v>
      </c>
      <c r="X96" s="25"/>
    </row>
    <row r="97" spans="1:24">
      <c r="A97" s="30"/>
      <c r="B97" s="8">
        <f>IF(A97="","",TEXT(A97,"mmm yyyy"))</f>
        <v>0</v>
      </c>
      <c r="C97" s="8">
        <f>IF(A97="","",TEXT(A97,"ddd"))</f>
        <v>0</v>
      </c>
      <c r="D97" s="27"/>
      <c r="E97" s="27"/>
      <c r="F97" s="26"/>
      <c r="G97" s="8">
        <f>IF(E97="","",IFERROR(IFERROR(INDEX(Recipes!$H$5:$H$204,MATCH(E97,Recipes!$A$5:$A$204,0)),"")*IF(F97="",1,F97),""))</f>
        <v>0</v>
      </c>
      <c r="H97" s="8">
        <f>IF(E97="","",IFERROR(IFERROR(INDEX(Recipes!$I$5:$I$204,MATCH(E97,Recipes!$A$5:$A$204,0)),"")*IF(F97="",1,F97),""))</f>
        <v>0</v>
      </c>
      <c r="I97" s="8">
        <f>IF(E97="","",IFERROR(IFERROR(INDEX(Recipes!$J$5:$J$204,MATCH(E97,Recipes!$A$5:$A$204,0)),"")*IF(F97="",1,F97),""))</f>
        <v>0</v>
      </c>
      <c r="J97" s="8">
        <f>IF(E97="","",IFERROR(IFERROR(INDEX(Recipes!$K$5:$K$204,MATCH(E97,Recipes!$A$5:$A$204,0)),"")*IF(F97="",1,F97),""))</f>
        <v>0</v>
      </c>
      <c r="K97" s="8">
        <f>IF(E97="","",IFERROR(IFERROR(INDEX(Recipes!$L$5:$L$204,MATCH(E97,Recipes!$A$5:$A$204,0)),"")*IF(F97="",1,F97),""))</f>
        <v>0</v>
      </c>
      <c r="L97" s="8">
        <f>IF(E97="","",IFERROR(IFERROR(INDEX(Recipes!$M$5:$M$204,MATCH(E97,Recipes!$A$5:$A$204,0)),"")*IF(F97="",1,F97),""))</f>
        <v>0</v>
      </c>
      <c r="M97" s="8">
        <f>IF(E97="","",IFERROR(IFERROR(INDEX(Recipes!$N$5:$N$204,MATCH(E97,Recipes!$A$5:$A$204,0)),"")*IF(F97="",1,F97),""))</f>
        <v>0</v>
      </c>
      <c r="N97" s="26"/>
      <c r="O97" s="8">
        <f>IF(A97="","",Calorie_Target*Household_Size)</f>
        <v>0</v>
      </c>
      <c r="P97" s="8">
        <f>IF(OR(A97="",O97=0),"",IFERROR(G97/O97,""))</f>
        <v>0</v>
      </c>
      <c r="Q97" s="8">
        <f>IF(OR(A97="",Protein_Target=0),"",IFERROR(H97/(Protein_Target*Household_Size),""))</f>
        <v>0</v>
      </c>
      <c r="R97" s="8">
        <f>IF(OR(A97="",Carb_Target=0),"",IFERROR(I97/(Carb_Target*Household_Size),""))</f>
        <v>0</v>
      </c>
      <c r="S97" s="8">
        <f>IF(OR(A97="",Fat_Target=0),"",IFERROR(J97/(Fat_Target*Household_Size),""))</f>
        <v>0</v>
      </c>
      <c r="T97" s="8">
        <f>IF(OR(A97="",Fibre_Target=0),"",IFERROR(K97/(Fibre_Target*Household_Size),""))</f>
        <v>0</v>
      </c>
      <c r="U97" s="8">
        <f>IF(OR(A97="",Sugar_Limit=0),"",IFERROR(L97/(Sugar_Limit*Household_Size),""))</f>
        <v>0</v>
      </c>
      <c r="V97" s="8">
        <f>IF(OR(A97="",Sodium_Limit=0),"",IFERROR(M97/(Sodium_Limit*Household_Size),""))</f>
        <v>0</v>
      </c>
      <c r="W97" s="8">
        <f>IF(A97="","",IF(P97="","",IF(P97&gt;1.1,"Over target",IF(P97&lt;0.8,"Under target","On target"))))</f>
        <v>0</v>
      </c>
      <c r="X97" s="25"/>
    </row>
    <row r="98" spans="1:24">
      <c r="A98" s="30"/>
      <c r="B98" s="8">
        <f>IF(A98="","",TEXT(A98,"mmm yyyy"))</f>
        <v>0</v>
      </c>
      <c r="C98" s="8">
        <f>IF(A98="","",TEXT(A98,"ddd"))</f>
        <v>0</v>
      </c>
      <c r="D98" s="27"/>
      <c r="E98" s="27"/>
      <c r="F98" s="26"/>
      <c r="G98" s="8">
        <f>IF(E98="","",IFERROR(IFERROR(INDEX(Recipes!$H$5:$H$204,MATCH(E98,Recipes!$A$5:$A$204,0)),"")*IF(F98="",1,F98),""))</f>
        <v>0</v>
      </c>
      <c r="H98" s="8">
        <f>IF(E98="","",IFERROR(IFERROR(INDEX(Recipes!$I$5:$I$204,MATCH(E98,Recipes!$A$5:$A$204,0)),"")*IF(F98="",1,F98),""))</f>
        <v>0</v>
      </c>
      <c r="I98" s="8">
        <f>IF(E98="","",IFERROR(IFERROR(INDEX(Recipes!$J$5:$J$204,MATCH(E98,Recipes!$A$5:$A$204,0)),"")*IF(F98="",1,F98),""))</f>
        <v>0</v>
      </c>
      <c r="J98" s="8">
        <f>IF(E98="","",IFERROR(IFERROR(INDEX(Recipes!$K$5:$K$204,MATCH(E98,Recipes!$A$5:$A$204,0)),"")*IF(F98="",1,F98),""))</f>
        <v>0</v>
      </c>
      <c r="K98" s="8">
        <f>IF(E98="","",IFERROR(IFERROR(INDEX(Recipes!$L$5:$L$204,MATCH(E98,Recipes!$A$5:$A$204,0)),"")*IF(F98="",1,F98),""))</f>
        <v>0</v>
      </c>
      <c r="L98" s="8">
        <f>IF(E98="","",IFERROR(IFERROR(INDEX(Recipes!$M$5:$M$204,MATCH(E98,Recipes!$A$5:$A$204,0)),"")*IF(F98="",1,F98),""))</f>
        <v>0</v>
      </c>
      <c r="M98" s="8">
        <f>IF(E98="","",IFERROR(IFERROR(INDEX(Recipes!$N$5:$N$204,MATCH(E98,Recipes!$A$5:$A$204,0)),"")*IF(F98="",1,F98),""))</f>
        <v>0</v>
      </c>
      <c r="N98" s="26"/>
      <c r="O98" s="8">
        <f>IF(A98="","",Calorie_Target*Household_Size)</f>
        <v>0</v>
      </c>
      <c r="P98" s="8">
        <f>IF(OR(A98="",O98=0),"",IFERROR(G98/O98,""))</f>
        <v>0</v>
      </c>
      <c r="Q98" s="8">
        <f>IF(OR(A98="",Protein_Target=0),"",IFERROR(H98/(Protein_Target*Household_Size),""))</f>
        <v>0</v>
      </c>
      <c r="R98" s="8">
        <f>IF(OR(A98="",Carb_Target=0),"",IFERROR(I98/(Carb_Target*Household_Size),""))</f>
        <v>0</v>
      </c>
      <c r="S98" s="8">
        <f>IF(OR(A98="",Fat_Target=0),"",IFERROR(J98/(Fat_Target*Household_Size),""))</f>
        <v>0</v>
      </c>
      <c r="T98" s="8">
        <f>IF(OR(A98="",Fibre_Target=0),"",IFERROR(K98/(Fibre_Target*Household_Size),""))</f>
        <v>0</v>
      </c>
      <c r="U98" s="8">
        <f>IF(OR(A98="",Sugar_Limit=0),"",IFERROR(L98/(Sugar_Limit*Household_Size),""))</f>
        <v>0</v>
      </c>
      <c r="V98" s="8">
        <f>IF(OR(A98="",Sodium_Limit=0),"",IFERROR(M98/(Sodium_Limit*Household_Size),""))</f>
        <v>0</v>
      </c>
      <c r="W98" s="8">
        <f>IF(A98="","",IF(P98="","",IF(P98&gt;1.1,"Over target",IF(P98&lt;0.8,"Under target","On target"))))</f>
        <v>0</v>
      </c>
      <c r="X98" s="25"/>
    </row>
    <row r="99" spans="1:24">
      <c r="A99" s="30"/>
      <c r="B99" s="8">
        <f>IF(A99="","",TEXT(A99,"mmm yyyy"))</f>
        <v>0</v>
      </c>
      <c r="C99" s="8">
        <f>IF(A99="","",TEXT(A99,"ddd"))</f>
        <v>0</v>
      </c>
      <c r="D99" s="27"/>
      <c r="E99" s="27"/>
      <c r="F99" s="26"/>
      <c r="G99" s="8">
        <f>IF(E99="","",IFERROR(IFERROR(INDEX(Recipes!$H$5:$H$204,MATCH(E99,Recipes!$A$5:$A$204,0)),"")*IF(F99="",1,F99),""))</f>
        <v>0</v>
      </c>
      <c r="H99" s="8">
        <f>IF(E99="","",IFERROR(IFERROR(INDEX(Recipes!$I$5:$I$204,MATCH(E99,Recipes!$A$5:$A$204,0)),"")*IF(F99="",1,F99),""))</f>
        <v>0</v>
      </c>
      <c r="I99" s="8">
        <f>IF(E99="","",IFERROR(IFERROR(INDEX(Recipes!$J$5:$J$204,MATCH(E99,Recipes!$A$5:$A$204,0)),"")*IF(F99="",1,F99),""))</f>
        <v>0</v>
      </c>
      <c r="J99" s="8">
        <f>IF(E99="","",IFERROR(IFERROR(INDEX(Recipes!$K$5:$K$204,MATCH(E99,Recipes!$A$5:$A$204,0)),"")*IF(F99="",1,F99),""))</f>
        <v>0</v>
      </c>
      <c r="K99" s="8">
        <f>IF(E99="","",IFERROR(IFERROR(INDEX(Recipes!$L$5:$L$204,MATCH(E99,Recipes!$A$5:$A$204,0)),"")*IF(F99="",1,F99),""))</f>
        <v>0</v>
      </c>
      <c r="L99" s="8">
        <f>IF(E99="","",IFERROR(IFERROR(INDEX(Recipes!$M$5:$M$204,MATCH(E99,Recipes!$A$5:$A$204,0)),"")*IF(F99="",1,F99),""))</f>
        <v>0</v>
      </c>
      <c r="M99" s="8">
        <f>IF(E99="","",IFERROR(IFERROR(INDEX(Recipes!$N$5:$N$204,MATCH(E99,Recipes!$A$5:$A$204,0)),"")*IF(F99="",1,F99),""))</f>
        <v>0</v>
      </c>
      <c r="N99" s="26"/>
      <c r="O99" s="8">
        <f>IF(A99="","",Calorie_Target*Household_Size)</f>
        <v>0</v>
      </c>
      <c r="P99" s="8">
        <f>IF(OR(A99="",O99=0),"",IFERROR(G99/O99,""))</f>
        <v>0</v>
      </c>
      <c r="Q99" s="8">
        <f>IF(OR(A99="",Protein_Target=0),"",IFERROR(H99/(Protein_Target*Household_Size),""))</f>
        <v>0</v>
      </c>
      <c r="R99" s="8">
        <f>IF(OR(A99="",Carb_Target=0),"",IFERROR(I99/(Carb_Target*Household_Size),""))</f>
        <v>0</v>
      </c>
      <c r="S99" s="8">
        <f>IF(OR(A99="",Fat_Target=0),"",IFERROR(J99/(Fat_Target*Household_Size),""))</f>
        <v>0</v>
      </c>
      <c r="T99" s="8">
        <f>IF(OR(A99="",Fibre_Target=0),"",IFERROR(K99/(Fibre_Target*Household_Size),""))</f>
        <v>0</v>
      </c>
      <c r="U99" s="8">
        <f>IF(OR(A99="",Sugar_Limit=0),"",IFERROR(L99/(Sugar_Limit*Household_Size),""))</f>
        <v>0</v>
      </c>
      <c r="V99" s="8">
        <f>IF(OR(A99="",Sodium_Limit=0),"",IFERROR(M99/(Sodium_Limit*Household_Size),""))</f>
        <v>0</v>
      </c>
      <c r="W99" s="8">
        <f>IF(A99="","",IF(P99="","",IF(P99&gt;1.1,"Over target",IF(P99&lt;0.8,"Under target","On target"))))</f>
        <v>0</v>
      </c>
      <c r="X99" s="25"/>
    </row>
    <row r="100" spans="1:24">
      <c r="A100" s="30"/>
      <c r="B100" s="8">
        <f>IF(A100="","",TEXT(A100,"mmm yyyy"))</f>
        <v>0</v>
      </c>
      <c r="C100" s="8">
        <f>IF(A100="","",TEXT(A100,"ddd"))</f>
        <v>0</v>
      </c>
      <c r="D100" s="27"/>
      <c r="E100" s="27"/>
      <c r="F100" s="26"/>
      <c r="G100" s="8">
        <f>IF(E100="","",IFERROR(IFERROR(INDEX(Recipes!$H$5:$H$204,MATCH(E100,Recipes!$A$5:$A$204,0)),"")*IF(F100="",1,F100),""))</f>
        <v>0</v>
      </c>
      <c r="H100" s="8">
        <f>IF(E100="","",IFERROR(IFERROR(INDEX(Recipes!$I$5:$I$204,MATCH(E100,Recipes!$A$5:$A$204,0)),"")*IF(F100="",1,F100),""))</f>
        <v>0</v>
      </c>
      <c r="I100" s="8">
        <f>IF(E100="","",IFERROR(IFERROR(INDEX(Recipes!$J$5:$J$204,MATCH(E100,Recipes!$A$5:$A$204,0)),"")*IF(F100="",1,F100),""))</f>
        <v>0</v>
      </c>
      <c r="J100" s="8">
        <f>IF(E100="","",IFERROR(IFERROR(INDEX(Recipes!$K$5:$K$204,MATCH(E100,Recipes!$A$5:$A$204,0)),"")*IF(F100="",1,F100),""))</f>
        <v>0</v>
      </c>
      <c r="K100" s="8">
        <f>IF(E100="","",IFERROR(IFERROR(INDEX(Recipes!$L$5:$L$204,MATCH(E100,Recipes!$A$5:$A$204,0)),"")*IF(F100="",1,F100),""))</f>
        <v>0</v>
      </c>
      <c r="L100" s="8">
        <f>IF(E100="","",IFERROR(IFERROR(INDEX(Recipes!$M$5:$M$204,MATCH(E100,Recipes!$A$5:$A$204,0)),"")*IF(F100="",1,F100),""))</f>
        <v>0</v>
      </c>
      <c r="M100" s="8">
        <f>IF(E100="","",IFERROR(IFERROR(INDEX(Recipes!$N$5:$N$204,MATCH(E100,Recipes!$A$5:$A$204,0)),"")*IF(F100="",1,F100),""))</f>
        <v>0</v>
      </c>
      <c r="N100" s="26"/>
      <c r="O100" s="8">
        <f>IF(A100="","",Calorie_Target*Household_Size)</f>
        <v>0</v>
      </c>
      <c r="P100" s="8">
        <f>IF(OR(A100="",O100=0),"",IFERROR(G100/O100,""))</f>
        <v>0</v>
      </c>
      <c r="Q100" s="8">
        <f>IF(OR(A100="",Protein_Target=0),"",IFERROR(H100/(Protein_Target*Household_Size),""))</f>
        <v>0</v>
      </c>
      <c r="R100" s="8">
        <f>IF(OR(A100="",Carb_Target=0),"",IFERROR(I100/(Carb_Target*Household_Size),""))</f>
        <v>0</v>
      </c>
      <c r="S100" s="8">
        <f>IF(OR(A100="",Fat_Target=0),"",IFERROR(J100/(Fat_Target*Household_Size),""))</f>
        <v>0</v>
      </c>
      <c r="T100" s="8">
        <f>IF(OR(A100="",Fibre_Target=0),"",IFERROR(K100/(Fibre_Target*Household_Size),""))</f>
        <v>0</v>
      </c>
      <c r="U100" s="8">
        <f>IF(OR(A100="",Sugar_Limit=0),"",IFERROR(L100/(Sugar_Limit*Household_Size),""))</f>
        <v>0</v>
      </c>
      <c r="V100" s="8">
        <f>IF(OR(A100="",Sodium_Limit=0),"",IFERROR(M100/(Sodium_Limit*Household_Size),""))</f>
        <v>0</v>
      </c>
      <c r="W100" s="8">
        <f>IF(A100="","",IF(P100="","",IF(P100&gt;1.1,"Over target",IF(P100&lt;0.8,"Under target","On target"))))</f>
        <v>0</v>
      </c>
      <c r="X100" s="25"/>
    </row>
    <row r="101" spans="1:24">
      <c r="A101" s="30"/>
      <c r="B101" s="8">
        <f>IF(A101="","",TEXT(A101,"mmm yyyy"))</f>
        <v>0</v>
      </c>
      <c r="C101" s="8">
        <f>IF(A101="","",TEXT(A101,"ddd"))</f>
        <v>0</v>
      </c>
      <c r="D101" s="27"/>
      <c r="E101" s="27"/>
      <c r="F101" s="26"/>
      <c r="G101" s="8">
        <f>IF(E101="","",IFERROR(IFERROR(INDEX(Recipes!$H$5:$H$204,MATCH(E101,Recipes!$A$5:$A$204,0)),"")*IF(F101="",1,F101),""))</f>
        <v>0</v>
      </c>
      <c r="H101" s="8">
        <f>IF(E101="","",IFERROR(IFERROR(INDEX(Recipes!$I$5:$I$204,MATCH(E101,Recipes!$A$5:$A$204,0)),"")*IF(F101="",1,F101),""))</f>
        <v>0</v>
      </c>
      <c r="I101" s="8">
        <f>IF(E101="","",IFERROR(IFERROR(INDEX(Recipes!$J$5:$J$204,MATCH(E101,Recipes!$A$5:$A$204,0)),"")*IF(F101="",1,F101),""))</f>
        <v>0</v>
      </c>
      <c r="J101" s="8">
        <f>IF(E101="","",IFERROR(IFERROR(INDEX(Recipes!$K$5:$K$204,MATCH(E101,Recipes!$A$5:$A$204,0)),"")*IF(F101="",1,F101),""))</f>
        <v>0</v>
      </c>
      <c r="K101" s="8">
        <f>IF(E101="","",IFERROR(IFERROR(INDEX(Recipes!$L$5:$L$204,MATCH(E101,Recipes!$A$5:$A$204,0)),"")*IF(F101="",1,F101),""))</f>
        <v>0</v>
      </c>
      <c r="L101" s="8">
        <f>IF(E101="","",IFERROR(IFERROR(INDEX(Recipes!$M$5:$M$204,MATCH(E101,Recipes!$A$5:$A$204,0)),"")*IF(F101="",1,F101),""))</f>
        <v>0</v>
      </c>
      <c r="M101" s="8">
        <f>IF(E101="","",IFERROR(IFERROR(INDEX(Recipes!$N$5:$N$204,MATCH(E101,Recipes!$A$5:$A$204,0)),"")*IF(F101="",1,F101),""))</f>
        <v>0</v>
      </c>
      <c r="N101" s="26"/>
      <c r="O101" s="8">
        <f>IF(A101="","",Calorie_Target*Household_Size)</f>
        <v>0</v>
      </c>
      <c r="P101" s="8">
        <f>IF(OR(A101="",O101=0),"",IFERROR(G101/O101,""))</f>
        <v>0</v>
      </c>
      <c r="Q101" s="8">
        <f>IF(OR(A101="",Protein_Target=0),"",IFERROR(H101/(Protein_Target*Household_Size),""))</f>
        <v>0</v>
      </c>
      <c r="R101" s="8">
        <f>IF(OR(A101="",Carb_Target=0),"",IFERROR(I101/(Carb_Target*Household_Size),""))</f>
        <v>0</v>
      </c>
      <c r="S101" s="8">
        <f>IF(OR(A101="",Fat_Target=0),"",IFERROR(J101/(Fat_Target*Household_Size),""))</f>
        <v>0</v>
      </c>
      <c r="T101" s="8">
        <f>IF(OR(A101="",Fibre_Target=0),"",IFERROR(K101/(Fibre_Target*Household_Size),""))</f>
        <v>0</v>
      </c>
      <c r="U101" s="8">
        <f>IF(OR(A101="",Sugar_Limit=0),"",IFERROR(L101/(Sugar_Limit*Household_Size),""))</f>
        <v>0</v>
      </c>
      <c r="V101" s="8">
        <f>IF(OR(A101="",Sodium_Limit=0),"",IFERROR(M101/(Sodium_Limit*Household_Size),""))</f>
        <v>0</v>
      </c>
      <c r="W101" s="8">
        <f>IF(A101="","",IF(P101="","",IF(P101&gt;1.1,"Over target",IF(P101&lt;0.8,"Under target","On target"))))</f>
        <v>0</v>
      </c>
      <c r="X101" s="25"/>
    </row>
    <row r="102" spans="1:24">
      <c r="A102" s="30"/>
      <c r="B102" s="8">
        <f>IF(A102="","",TEXT(A102,"mmm yyyy"))</f>
        <v>0</v>
      </c>
      <c r="C102" s="8">
        <f>IF(A102="","",TEXT(A102,"ddd"))</f>
        <v>0</v>
      </c>
      <c r="D102" s="27"/>
      <c r="E102" s="27"/>
      <c r="F102" s="26"/>
      <c r="G102" s="8">
        <f>IF(E102="","",IFERROR(IFERROR(INDEX(Recipes!$H$5:$H$204,MATCH(E102,Recipes!$A$5:$A$204,0)),"")*IF(F102="",1,F102),""))</f>
        <v>0</v>
      </c>
      <c r="H102" s="8">
        <f>IF(E102="","",IFERROR(IFERROR(INDEX(Recipes!$I$5:$I$204,MATCH(E102,Recipes!$A$5:$A$204,0)),"")*IF(F102="",1,F102),""))</f>
        <v>0</v>
      </c>
      <c r="I102" s="8">
        <f>IF(E102="","",IFERROR(IFERROR(INDEX(Recipes!$J$5:$J$204,MATCH(E102,Recipes!$A$5:$A$204,0)),"")*IF(F102="",1,F102),""))</f>
        <v>0</v>
      </c>
      <c r="J102" s="8">
        <f>IF(E102="","",IFERROR(IFERROR(INDEX(Recipes!$K$5:$K$204,MATCH(E102,Recipes!$A$5:$A$204,0)),"")*IF(F102="",1,F102),""))</f>
        <v>0</v>
      </c>
      <c r="K102" s="8">
        <f>IF(E102="","",IFERROR(IFERROR(INDEX(Recipes!$L$5:$L$204,MATCH(E102,Recipes!$A$5:$A$204,0)),"")*IF(F102="",1,F102),""))</f>
        <v>0</v>
      </c>
      <c r="L102" s="8">
        <f>IF(E102="","",IFERROR(IFERROR(INDEX(Recipes!$M$5:$M$204,MATCH(E102,Recipes!$A$5:$A$204,0)),"")*IF(F102="",1,F102),""))</f>
        <v>0</v>
      </c>
      <c r="M102" s="8">
        <f>IF(E102="","",IFERROR(IFERROR(INDEX(Recipes!$N$5:$N$204,MATCH(E102,Recipes!$A$5:$A$204,0)),"")*IF(F102="",1,F102),""))</f>
        <v>0</v>
      </c>
      <c r="N102" s="26"/>
      <c r="O102" s="8">
        <f>IF(A102="","",Calorie_Target*Household_Size)</f>
        <v>0</v>
      </c>
      <c r="P102" s="8">
        <f>IF(OR(A102="",O102=0),"",IFERROR(G102/O102,""))</f>
        <v>0</v>
      </c>
      <c r="Q102" s="8">
        <f>IF(OR(A102="",Protein_Target=0),"",IFERROR(H102/(Protein_Target*Household_Size),""))</f>
        <v>0</v>
      </c>
      <c r="R102" s="8">
        <f>IF(OR(A102="",Carb_Target=0),"",IFERROR(I102/(Carb_Target*Household_Size),""))</f>
        <v>0</v>
      </c>
      <c r="S102" s="8">
        <f>IF(OR(A102="",Fat_Target=0),"",IFERROR(J102/(Fat_Target*Household_Size),""))</f>
        <v>0</v>
      </c>
      <c r="T102" s="8">
        <f>IF(OR(A102="",Fibre_Target=0),"",IFERROR(K102/(Fibre_Target*Household_Size),""))</f>
        <v>0</v>
      </c>
      <c r="U102" s="8">
        <f>IF(OR(A102="",Sugar_Limit=0),"",IFERROR(L102/(Sugar_Limit*Household_Size),""))</f>
        <v>0</v>
      </c>
      <c r="V102" s="8">
        <f>IF(OR(A102="",Sodium_Limit=0),"",IFERROR(M102/(Sodium_Limit*Household_Size),""))</f>
        <v>0</v>
      </c>
      <c r="W102" s="8">
        <f>IF(A102="","",IF(P102="","",IF(P102&gt;1.1,"Over target",IF(P102&lt;0.8,"Under target","On target"))))</f>
        <v>0</v>
      </c>
      <c r="X102" s="25"/>
    </row>
    <row r="103" spans="1:24">
      <c r="A103" s="30"/>
      <c r="B103" s="8">
        <f>IF(A103="","",TEXT(A103,"mmm yyyy"))</f>
        <v>0</v>
      </c>
      <c r="C103" s="8">
        <f>IF(A103="","",TEXT(A103,"ddd"))</f>
        <v>0</v>
      </c>
      <c r="D103" s="27"/>
      <c r="E103" s="27"/>
      <c r="F103" s="26"/>
      <c r="G103" s="8">
        <f>IF(E103="","",IFERROR(IFERROR(INDEX(Recipes!$H$5:$H$204,MATCH(E103,Recipes!$A$5:$A$204,0)),"")*IF(F103="",1,F103),""))</f>
        <v>0</v>
      </c>
      <c r="H103" s="8">
        <f>IF(E103="","",IFERROR(IFERROR(INDEX(Recipes!$I$5:$I$204,MATCH(E103,Recipes!$A$5:$A$204,0)),"")*IF(F103="",1,F103),""))</f>
        <v>0</v>
      </c>
      <c r="I103" s="8">
        <f>IF(E103="","",IFERROR(IFERROR(INDEX(Recipes!$J$5:$J$204,MATCH(E103,Recipes!$A$5:$A$204,0)),"")*IF(F103="",1,F103),""))</f>
        <v>0</v>
      </c>
      <c r="J103" s="8">
        <f>IF(E103="","",IFERROR(IFERROR(INDEX(Recipes!$K$5:$K$204,MATCH(E103,Recipes!$A$5:$A$204,0)),"")*IF(F103="",1,F103),""))</f>
        <v>0</v>
      </c>
      <c r="K103" s="8">
        <f>IF(E103="","",IFERROR(IFERROR(INDEX(Recipes!$L$5:$L$204,MATCH(E103,Recipes!$A$5:$A$204,0)),"")*IF(F103="",1,F103),""))</f>
        <v>0</v>
      </c>
      <c r="L103" s="8">
        <f>IF(E103="","",IFERROR(IFERROR(INDEX(Recipes!$M$5:$M$204,MATCH(E103,Recipes!$A$5:$A$204,0)),"")*IF(F103="",1,F103),""))</f>
        <v>0</v>
      </c>
      <c r="M103" s="8">
        <f>IF(E103="","",IFERROR(IFERROR(INDEX(Recipes!$N$5:$N$204,MATCH(E103,Recipes!$A$5:$A$204,0)),"")*IF(F103="",1,F103),""))</f>
        <v>0</v>
      </c>
      <c r="N103" s="26"/>
      <c r="O103" s="8">
        <f>IF(A103="","",Calorie_Target*Household_Size)</f>
        <v>0</v>
      </c>
      <c r="P103" s="8">
        <f>IF(OR(A103="",O103=0),"",IFERROR(G103/O103,""))</f>
        <v>0</v>
      </c>
      <c r="Q103" s="8">
        <f>IF(OR(A103="",Protein_Target=0),"",IFERROR(H103/(Protein_Target*Household_Size),""))</f>
        <v>0</v>
      </c>
      <c r="R103" s="8">
        <f>IF(OR(A103="",Carb_Target=0),"",IFERROR(I103/(Carb_Target*Household_Size),""))</f>
        <v>0</v>
      </c>
      <c r="S103" s="8">
        <f>IF(OR(A103="",Fat_Target=0),"",IFERROR(J103/(Fat_Target*Household_Size),""))</f>
        <v>0</v>
      </c>
      <c r="T103" s="8">
        <f>IF(OR(A103="",Fibre_Target=0),"",IFERROR(K103/(Fibre_Target*Household_Size),""))</f>
        <v>0</v>
      </c>
      <c r="U103" s="8">
        <f>IF(OR(A103="",Sugar_Limit=0),"",IFERROR(L103/(Sugar_Limit*Household_Size),""))</f>
        <v>0</v>
      </c>
      <c r="V103" s="8">
        <f>IF(OR(A103="",Sodium_Limit=0),"",IFERROR(M103/(Sodium_Limit*Household_Size),""))</f>
        <v>0</v>
      </c>
      <c r="W103" s="8">
        <f>IF(A103="","",IF(P103="","",IF(P103&gt;1.1,"Over target",IF(P103&lt;0.8,"Under target","On target"))))</f>
        <v>0</v>
      </c>
      <c r="X103" s="25"/>
    </row>
    <row r="104" spans="1:24">
      <c r="A104" s="30"/>
      <c r="B104" s="8">
        <f>IF(A104="","",TEXT(A104,"mmm yyyy"))</f>
        <v>0</v>
      </c>
      <c r="C104" s="8">
        <f>IF(A104="","",TEXT(A104,"ddd"))</f>
        <v>0</v>
      </c>
      <c r="D104" s="27"/>
      <c r="E104" s="27"/>
      <c r="F104" s="26"/>
      <c r="G104" s="8">
        <f>IF(E104="","",IFERROR(IFERROR(INDEX(Recipes!$H$5:$H$204,MATCH(E104,Recipes!$A$5:$A$204,0)),"")*IF(F104="",1,F104),""))</f>
        <v>0</v>
      </c>
      <c r="H104" s="8">
        <f>IF(E104="","",IFERROR(IFERROR(INDEX(Recipes!$I$5:$I$204,MATCH(E104,Recipes!$A$5:$A$204,0)),"")*IF(F104="",1,F104),""))</f>
        <v>0</v>
      </c>
      <c r="I104" s="8">
        <f>IF(E104="","",IFERROR(IFERROR(INDEX(Recipes!$J$5:$J$204,MATCH(E104,Recipes!$A$5:$A$204,0)),"")*IF(F104="",1,F104),""))</f>
        <v>0</v>
      </c>
      <c r="J104" s="8">
        <f>IF(E104="","",IFERROR(IFERROR(INDEX(Recipes!$K$5:$K$204,MATCH(E104,Recipes!$A$5:$A$204,0)),"")*IF(F104="",1,F104),""))</f>
        <v>0</v>
      </c>
      <c r="K104" s="8">
        <f>IF(E104="","",IFERROR(IFERROR(INDEX(Recipes!$L$5:$L$204,MATCH(E104,Recipes!$A$5:$A$204,0)),"")*IF(F104="",1,F104),""))</f>
        <v>0</v>
      </c>
      <c r="L104" s="8">
        <f>IF(E104="","",IFERROR(IFERROR(INDEX(Recipes!$M$5:$M$204,MATCH(E104,Recipes!$A$5:$A$204,0)),"")*IF(F104="",1,F104),""))</f>
        <v>0</v>
      </c>
      <c r="M104" s="8">
        <f>IF(E104="","",IFERROR(IFERROR(INDEX(Recipes!$N$5:$N$204,MATCH(E104,Recipes!$A$5:$A$204,0)),"")*IF(F104="",1,F104),""))</f>
        <v>0</v>
      </c>
      <c r="N104" s="26"/>
      <c r="O104" s="8">
        <f>IF(A104="","",Calorie_Target*Household_Size)</f>
        <v>0</v>
      </c>
      <c r="P104" s="8">
        <f>IF(OR(A104="",O104=0),"",IFERROR(G104/O104,""))</f>
        <v>0</v>
      </c>
      <c r="Q104" s="8">
        <f>IF(OR(A104="",Protein_Target=0),"",IFERROR(H104/(Protein_Target*Household_Size),""))</f>
        <v>0</v>
      </c>
      <c r="R104" s="8">
        <f>IF(OR(A104="",Carb_Target=0),"",IFERROR(I104/(Carb_Target*Household_Size),""))</f>
        <v>0</v>
      </c>
      <c r="S104" s="8">
        <f>IF(OR(A104="",Fat_Target=0),"",IFERROR(J104/(Fat_Target*Household_Size),""))</f>
        <v>0</v>
      </c>
      <c r="T104" s="8">
        <f>IF(OR(A104="",Fibre_Target=0),"",IFERROR(K104/(Fibre_Target*Household_Size),""))</f>
        <v>0</v>
      </c>
      <c r="U104" s="8">
        <f>IF(OR(A104="",Sugar_Limit=0),"",IFERROR(L104/(Sugar_Limit*Household_Size),""))</f>
        <v>0</v>
      </c>
      <c r="V104" s="8">
        <f>IF(OR(A104="",Sodium_Limit=0),"",IFERROR(M104/(Sodium_Limit*Household_Size),""))</f>
        <v>0</v>
      </c>
      <c r="W104" s="8">
        <f>IF(A104="","",IF(P104="","",IF(P104&gt;1.1,"Over target",IF(P104&lt;0.8,"Under target","On target"))))</f>
        <v>0</v>
      </c>
      <c r="X104" s="25"/>
    </row>
    <row r="105" spans="1:24">
      <c r="A105" s="30"/>
      <c r="B105" s="8">
        <f>IF(A105="","",TEXT(A105,"mmm yyyy"))</f>
        <v>0</v>
      </c>
      <c r="C105" s="8">
        <f>IF(A105="","",TEXT(A105,"ddd"))</f>
        <v>0</v>
      </c>
      <c r="D105" s="27"/>
      <c r="E105" s="27"/>
      <c r="F105" s="26"/>
      <c r="G105" s="8">
        <f>IF(E105="","",IFERROR(IFERROR(INDEX(Recipes!$H$5:$H$204,MATCH(E105,Recipes!$A$5:$A$204,0)),"")*IF(F105="",1,F105),""))</f>
        <v>0</v>
      </c>
      <c r="H105" s="8">
        <f>IF(E105="","",IFERROR(IFERROR(INDEX(Recipes!$I$5:$I$204,MATCH(E105,Recipes!$A$5:$A$204,0)),"")*IF(F105="",1,F105),""))</f>
        <v>0</v>
      </c>
      <c r="I105" s="8">
        <f>IF(E105="","",IFERROR(IFERROR(INDEX(Recipes!$J$5:$J$204,MATCH(E105,Recipes!$A$5:$A$204,0)),"")*IF(F105="",1,F105),""))</f>
        <v>0</v>
      </c>
      <c r="J105" s="8">
        <f>IF(E105="","",IFERROR(IFERROR(INDEX(Recipes!$K$5:$K$204,MATCH(E105,Recipes!$A$5:$A$204,0)),"")*IF(F105="",1,F105),""))</f>
        <v>0</v>
      </c>
      <c r="K105" s="8">
        <f>IF(E105="","",IFERROR(IFERROR(INDEX(Recipes!$L$5:$L$204,MATCH(E105,Recipes!$A$5:$A$204,0)),"")*IF(F105="",1,F105),""))</f>
        <v>0</v>
      </c>
      <c r="L105" s="8">
        <f>IF(E105="","",IFERROR(IFERROR(INDEX(Recipes!$M$5:$M$204,MATCH(E105,Recipes!$A$5:$A$204,0)),"")*IF(F105="",1,F105),""))</f>
        <v>0</v>
      </c>
      <c r="M105" s="8">
        <f>IF(E105="","",IFERROR(IFERROR(INDEX(Recipes!$N$5:$N$204,MATCH(E105,Recipes!$A$5:$A$204,0)),"")*IF(F105="",1,F105),""))</f>
        <v>0</v>
      </c>
      <c r="N105" s="26"/>
      <c r="O105" s="8">
        <f>IF(A105="","",Calorie_Target*Household_Size)</f>
        <v>0</v>
      </c>
      <c r="P105" s="8">
        <f>IF(OR(A105="",O105=0),"",IFERROR(G105/O105,""))</f>
        <v>0</v>
      </c>
      <c r="Q105" s="8">
        <f>IF(OR(A105="",Protein_Target=0),"",IFERROR(H105/(Protein_Target*Household_Size),""))</f>
        <v>0</v>
      </c>
      <c r="R105" s="8">
        <f>IF(OR(A105="",Carb_Target=0),"",IFERROR(I105/(Carb_Target*Household_Size),""))</f>
        <v>0</v>
      </c>
      <c r="S105" s="8">
        <f>IF(OR(A105="",Fat_Target=0),"",IFERROR(J105/(Fat_Target*Household_Size),""))</f>
        <v>0</v>
      </c>
      <c r="T105" s="8">
        <f>IF(OR(A105="",Fibre_Target=0),"",IFERROR(K105/(Fibre_Target*Household_Size),""))</f>
        <v>0</v>
      </c>
      <c r="U105" s="8">
        <f>IF(OR(A105="",Sugar_Limit=0),"",IFERROR(L105/(Sugar_Limit*Household_Size),""))</f>
        <v>0</v>
      </c>
      <c r="V105" s="8">
        <f>IF(OR(A105="",Sodium_Limit=0),"",IFERROR(M105/(Sodium_Limit*Household_Size),""))</f>
        <v>0</v>
      </c>
      <c r="W105" s="8">
        <f>IF(A105="","",IF(P105="","",IF(P105&gt;1.1,"Over target",IF(P105&lt;0.8,"Under target","On target"))))</f>
        <v>0</v>
      </c>
      <c r="X105" s="25"/>
    </row>
    <row r="106" spans="1:24">
      <c r="A106" s="30"/>
      <c r="B106" s="8">
        <f>IF(A106="","",TEXT(A106,"mmm yyyy"))</f>
        <v>0</v>
      </c>
      <c r="C106" s="8">
        <f>IF(A106="","",TEXT(A106,"ddd"))</f>
        <v>0</v>
      </c>
      <c r="D106" s="27"/>
      <c r="E106" s="27"/>
      <c r="F106" s="26"/>
      <c r="G106" s="8">
        <f>IF(E106="","",IFERROR(IFERROR(INDEX(Recipes!$H$5:$H$204,MATCH(E106,Recipes!$A$5:$A$204,0)),"")*IF(F106="",1,F106),""))</f>
        <v>0</v>
      </c>
      <c r="H106" s="8">
        <f>IF(E106="","",IFERROR(IFERROR(INDEX(Recipes!$I$5:$I$204,MATCH(E106,Recipes!$A$5:$A$204,0)),"")*IF(F106="",1,F106),""))</f>
        <v>0</v>
      </c>
      <c r="I106" s="8">
        <f>IF(E106="","",IFERROR(IFERROR(INDEX(Recipes!$J$5:$J$204,MATCH(E106,Recipes!$A$5:$A$204,0)),"")*IF(F106="",1,F106),""))</f>
        <v>0</v>
      </c>
      <c r="J106" s="8">
        <f>IF(E106="","",IFERROR(IFERROR(INDEX(Recipes!$K$5:$K$204,MATCH(E106,Recipes!$A$5:$A$204,0)),"")*IF(F106="",1,F106),""))</f>
        <v>0</v>
      </c>
      <c r="K106" s="8">
        <f>IF(E106="","",IFERROR(IFERROR(INDEX(Recipes!$L$5:$L$204,MATCH(E106,Recipes!$A$5:$A$204,0)),"")*IF(F106="",1,F106),""))</f>
        <v>0</v>
      </c>
      <c r="L106" s="8">
        <f>IF(E106="","",IFERROR(IFERROR(INDEX(Recipes!$M$5:$M$204,MATCH(E106,Recipes!$A$5:$A$204,0)),"")*IF(F106="",1,F106),""))</f>
        <v>0</v>
      </c>
      <c r="M106" s="8">
        <f>IF(E106="","",IFERROR(IFERROR(INDEX(Recipes!$N$5:$N$204,MATCH(E106,Recipes!$A$5:$A$204,0)),"")*IF(F106="",1,F106),""))</f>
        <v>0</v>
      </c>
      <c r="N106" s="26"/>
      <c r="O106" s="8">
        <f>IF(A106="","",Calorie_Target*Household_Size)</f>
        <v>0</v>
      </c>
      <c r="P106" s="8">
        <f>IF(OR(A106="",O106=0),"",IFERROR(G106/O106,""))</f>
        <v>0</v>
      </c>
      <c r="Q106" s="8">
        <f>IF(OR(A106="",Protein_Target=0),"",IFERROR(H106/(Protein_Target*Household_Size),""))</f>
        <v>0</v>
      </c>
      <c r="R106" s="8">
        <f>IF(OR(A106="",Carb_Target=0),"",IFERROR(I106/(Carb_Target*Household_Size),""))</f>
        <v>0</v>
      </c>
      <c r="S106" s="8">
        <f>IF(OR(A106="",Fat_Target=0),"",IFERROR(J106/(Fat_Target*Household_Size),""))</f>
        <v>0</v>
      </c>
      <c r="T106" s="8">
        <f>IF(OR(A106="",Fibre_Target=0),"",IFERROR(K106/(Fibre_Target*Household_Size),""))</f>
        <v>0</v>
      </c>
      <c r="U106" s="8">
        <f>IF(OR(A106="",Sugar_Limit=0),"",IFERROR(L106/(Sugar_Limit*Household_Size),""))</f>
        <v>0</v>
      </c>
      <c r="V106" s="8">
        <f>IF(OR(A106="",Sodium_Limit=0),"",IFERROR(M106/(Sodium_Limit*Household_Size),""))</f>
        <v>0</v>
      </c>
      <c r="W106" s="8">
        <f>IF(A106="","",IF(P106="","",IF(P106&gt;1.1,"Over target",IF(P106&lt;0.8,"Under target","On target"))))</f>
        <v>0</v>
      </c>
      <c r="X106" s="25"/>
    </row>
    <row r="107" spans="1:24">
      <c r="A107" s="30"/>
      <c r="B107" s="8">
        <f>IF(A107="","",TEXT(A107,"mmm yyyy"))</f>
        <v>0</v>
      </c>
      <c r="C107" s="8">
        <f>IF(A107="","",TEXT(A107,"ddd"))</f>
        <v>0</v>
      </c>
      <c r="D107" s="27"/>
      <c r="E107" s="27"/>
      <c r="F107" s="26"/>
      <c r="G107" s="8">
        <f>IF(E107="","",IFERROR(IFERROR(INDEX(Recipes!$H$5:$H$204,MATCH(E107,Recipes!$A$5:$A$204,0)),"")*IF(F107="",1,F107),""))</f>
        <v>0</v>
      </c>
      <c r="H107" s="8">
        <f>IF(E107="","",IFERROR(IFERROR(INDEX(Recipes!$I$5:$I$204,MATCH(E107,Recipes!$A$5:$A$204,0)),"")*IF(F107="",1,F107),""))</f>
        <v>0</v>
      </c>
      <c r="I107" s="8">
        <f>IF(E107="","",IFERROR(IFERROR(INDEX(Recipes!$J$5:$J$204,MATCH(E107,Recipes!$A$5:$A$204,0)),"")*IF(F107="",1,F107),""))</f>
        <v>0</v>
      </c>
      <c r="J107" s="8">
        <f>IF(E107="","",IFERROR(IFERROR(INDEX(Recipes!$K$5:$K$204,MATCH(E107,Recipes!$A$5:$A$204,0)),"")*IF(F107="",1,F107),""))</f>
        <v>0</v>
      </c>
      <c r="K107" s="8">
        <f>IF(E107="","",IFERROR(IFERROR(INDEX(Recipes!$L$5:$L$204,MATCH(E107,Recipes!$A$5:$A$204,0)),"")*IF(F107="",1,F107),""))</f>
        <v>0</v>
      </c>
      <c r="L107" s="8">
        <f>IF(E107="","",IFERROR(IFERROR(INDEX(Recipes!$M$5:$M$204,MATCH(E107,Recipes!$A$5:$A$204,0)),"")*IF(F107="",1,F107),""))</f>
        <v>0</v>
      </c>
      <c r="M107" s="8">
        <f>IF(E107="","",IFERROR(IFERROR(INDEX(Recipes!$N$5:$N$204,MATCH(E107,Recipes!$A$5:$A$204,0)),"")*IF(F107="",1,F107),""))</f>
        <v>0</v>
      </c>
      <c r="N107" s="26"/>
      <c r="O107" s="8">
        <f>IF(A107="","",Calorie_Target*Household_Size)</f>
        <v>0</v>
      </c>
      <c r="P107" s="8">
        <f>IF(OR(A107="",O107=0),"",IFERROR(G107/O107,""))</f>
        <v>0</v>
      </c>
      <c r="Q107" s="8">
        <f>IF(OR(A107="",Protein_Target=0),"",IFERROR(H107/(Protein_Target*Household_Size),""))</f>
        <v>0</v>
      </c>
      <c r="R107" s="8">
        <f>IF(OR(A107="",Carb_Target=0),"",IFERROR(I107/(Carb_Target*Household_Size),""))</f>
        <v>0</v>
      </c>
      <c r="S107" s="8">
        <f>IF(OR(A107="",Fat_Target=0),"",IFERROR(J107/(Fat_Target*Household_Size),""))</f>
        <v>0</v>
      </c>
      <c r="T107" s="8">
        <f>IF(OR(A107="",Fibre_Target=0),"",IFERROR(K107/(Fibre_Target*Household_Size),""))</f>
        <v>0</v>
      </c>
      <c r="U107" s="8">
        <f>IF(OR(A107="",Sugar_Limit=0),"",IFERROR(L107/(Sugar_Limit*Household_Size),""))</f>
        <v>0</v>
      </c>
      <c r="V107" s="8">
        <f>IF(OR(A107="",Sodium_Limit=0),"",IFERROR(M107/(Sodium_Limit*Household_Size),""))</f>
        <v>0</v>
      </c>
      <c r="W107" s="8">
        <f>IF(A107="","",IF(P107="","",IF(P107&gt;1.1,"Over target",IF(P107&lt;0.8,"Under target","On target"))))</f>
        <v>0</v>
      </c>
      <c r="X107" s="25"/>
    </row>
    <row r="108" spans="1:24">
      <c r="A108" s="30"/>
      <c r="B108" s="8">
        <f>IF(A108="","",TEXT(A108,"mmm yyyy"))</f>
        <v>0</v>
      </c>
      <c r="C108" s="8">
        <f>IF(A108="","",TEXT(A108,"ddd"))</f>
        <v>0</v>
      </c>
      <c r="D108" s="27"/>
      <c r="E108" s="27"/>
      <c r="F108" s="26"/>
      <c r="G108" s="8">
        <f>IF(E108="","",IFERROR(IFERROR(INDEX(Recipes!$H$5:$H$204,MATCH(E108,Recipes!$A$5:$A$204,0)),"")*IF(F108="",1,F108),""))</f>
        <v>0</v>
      </c>
      <c r="H108" s="8">
        <f>IF(E108="","",IFERROR(IFERROR(INDEX(Recipes!$I$5:$I$204,MATCH(E108,Recipes!$A$5:$A$204,0)),"")*IF(F108="",1,F108),""))</f>
        <v>0</v>
      </c>
      <c r="I108" s="8">
        <f>IF(E108="","",IFERROR(IFERROR(INDEX(Recipes!$J$5:$J$204,MATCH(E108,Recipes!$A$5:$A$204,0)),"")*IF(F108="",1,F108),""))</f>
        <v>0</v>
      </c>
      <c r="J108" s="8">
        <f>IF(E108="","",IFERROR(IFERROR(INDEX(Recipes!$K$5:$K$204,MATCH(E108,Recipes!$A$5:$A$204,0)),"")*IF(F108="",1,F108),""))</f>
        <v>0</v>
      </c>
      <c r="K108" s="8">
        <f>IF(E108="","",IFERROR(IFERROR(INDEX(Recipes!$L$5:$L$204,MATCH(E108,Recipes!$A$5:$A$204,0)),"")*IF(F108="",1,F108),""))</f>
        <v>0</v>
      </c>
      <c r="L108" s="8">
        <f>IF(E108="","",IFERROR(IFERROR(INDEX(Recipes!$M$5:$M$204,MATCH(E108,Recipes!$A$5:$A$204,0)),"")*IF(F108="",1,F108),""))</f>
        <v>0</v>
      </c>
      <c r="M108" s="8">
        <f>IF(E108="","",IFERROR(IFERROR(INDEX(Recipes!$N$5:$N$204,MATCH(E108,Recipes!$A$5:$A$204,0)),"")*IF(F108="",1,F108),""))</f>
        <v>0</v>
      </c>
      <c r="N108" s="26"/>
      <c r="O108" s="8">
        <f>IF(A108="","",Calorie_Target*Household_Size)</f>
        <v>0</v>
      </c>
      <c r="P108" s="8">
        <f>IF(OR(A108="",O108=0),"",IFERROR(G108/O108,""))</f>
        <v>0</v>
      </c>
      <c r="Q108" s="8">
        <f>IF(OR(A108="",Protein_Target=0),"",IFERROR(H108/(Protein_Target*Household_Size),""))</f>
        <v>0</v>
      </c>
      <c r="R108" s="8">
        <f>IF(OR(A108="",Carb_Target=0),"",IFERROR(I108/(Carb_Target*Household_Size),""))</f>
        <v>0</v>
      </c>
      <c r="S108" s="8">
        <f>IF(OR(A108="",Fat_Target=0),"",IFERROR(J108/(Fat_Target*Household_Size),""))</f>
        <v>0</v>
      </c>
      <c r="T108" s="8">
        <f>IF(OR(A108="",Fibre_Target=0),"",IFERROR(K108/(Fibre_Target*Household_Size),""))</f>
        <v>0</v>
      </c>
      <c r="U108" s="8">
        <f>IF(OR(A108="",Sugar_Limit=0),"",IFERROR(L108/(Sugar_Limit*Household_Size),""))</f>
        <v>0</v>
      </c>
      <c r="V108" s="8">
        <f>IF(OR(A108="",Sodium_Limit=0),"",IFERROR(M108/(Sodium_Limit*Household_Size),""))</f>
        <v>0</v>
      </c>
      <c r="W108" s="8">
        <f>IF(A108="","",IF(P108="","",IF(P108&gt;1.1,"Over target",IF(P108&lt;0.8,"Under target","On target"))))</f>
        <v>0</v>
      </c>
      <c r="X108" s="25"/>
    </row>
    <row r="109" spans="1:24">
      <c r="A109" s="30"/>
      <c r="B109" s="8">
        <f>IF(A109="","",TEXT(A109,"mmm yyyy"))</f>
        <v>0</v>
      </c>
      <c r="C109" s="8">
        <f>IF(A109="","",TEXT(A109,"ddd"))</f>
        <v>0</v>
      </c>
      <c r="D109" s="27"/>
      <c r="E109" s="27"/>
      <c r="F109" s="26"/>
      <c r="G109" s="8">
        <f>IF(E109="","",IFERROR(IFERROR(INDEX(Recipes!$H$5:$H$204,MATCH(E109,Recipes!$A$5:$A$204,0)),"")*IF(F109="",1,F109),""))</f>
        <v>0</v>
      </c>
      <c r="H109" s="8">
        <f>IF(E109="","",IFERROR(IFERROR(INDEX(Recipes!$I$5:$I$204,MATCH(E109,Recipes!$A$5:$A$204,0)),"")*IF(F109="",1,F109),""))</f>
        <v>0</v>
      </c>
      <c r="I109" s="8">
        <f>IF(E109="","",IFERROR(IFERROR(INDEX(Recipes!$J$5:$J$204,MATCH(E109,Recipes!$A$5:$A$204,0)),"")*IF(F109="",1,F109),""))</f>
        <v>0</v>
      </c>
      <c r="J109" s="8">
        <f>IF(E109="","",IFERROR(IFERROR(INDEX(Recipes!$K$5:$K$204,MATCH(E109,Recipes!$A$5:$A$204,0)),"")*IF(F109="",1,F109),""))</f>
        <v>0</v>
      </c>
      <c r="K109" s="8">
        <f>IF(E109="","",IFERROR(IFERROR(INDEX(Recipes!$L$5:$L$204,MATCH(E109,Recipes!$A$5:$A$204,0)),"")*IF(F109="",1,F109),""))</f>
        <v>0</v>
      </c>
      <c r="L109" s="8">
        <f>IF(E109="","",IFERROR(IFERROR(INDEX(Recipes!$M$5:$M$204,MATCH(E109,Recipes!$A$5:$A$204,0)),"")*IF(F109="",1,F109),""))</f>
        <v>0</v>
      </c>
      <c r="M109" s="8">
        <f>IF(E109="","",IFERROR(IFERROR(INDEX(Recipes!$N$5:$N$204,MATCH(E109,Recipes!$A$5:$A$204,0)),"")*IF(F109="",1,F109),""))</f>
        <v>0</v>
      </c>
      <c r="N109" s="26"/>
      <c r="O109" s="8">
        <f>IF(A109="","",Calorie_Target*Household_Size)</f>
        <v>0</v>
      </c>
      <c r="P109" s="8">
        <f>IF(OR(A109="",O109=0),"",IFERROR(G109/O109,""))</f>
        <v>0</v>
      </c>
      <c r="Q109" s="8">
        <f>IF(OR(A109="",Protein_Target=0),"",IFERROR(H109/(Protein_Target*Household_Size),""))</f>
        <v>0</v>
      </c>
      <c r="R109" s="8">
        <f>IF(OR(A109="",Carb_Target=0),"",IFERROR(I109/(Carb_Target*Household_Size),""))</f>
        <v>0</v>
      </c>
      <c r="S109" s="8">
        <f>IF(OR(A109="",Fat_Target=0),"",IFERROR(J109/(Fat_Target*Household_Size),""))</f>
        <v>0</v>
      </c>
      <c r="T109" s="8">
        <f>IF(OR(A109="",Fibre_Target=0),"",IFERROR(K109/(Fibre_Target*Household_Size),""))</f>
        <v>0</v>
      </c>
      <c r="U109" s="8">
        <f>IF(OR(A109="",Sugar_Limit=0),"",IFERROR(L109/(Sugar_Limit*Household_Size),""))</f>
        <v>0</v>
      </c>
      <c r="V109" s="8">
        <f>IF(OR(A109="",Sodium_Limit=0),"",IFERROR(M109/(Sodium_Limit*Household_Size),""))</f>
        <v>0</v>
      </c>
      <c r="W109" s="8">
        <f>IF(A109="","",IF(P109="","",IF(P109&gt;1.1,"Over target",IF(P109&lt;0.8,"Under target","On target"))))</f>
        <v>0</v>
      </c>
      <c r="X109" s="25"/>
    </row>
    <row r="110" spans="1:24">
      <c r="A110" s="30"/>
      <c r="B110" s="8">
        <f>IF(A110="","",TEXT(A110,"mmm yyyy"))</f>
        <v>0</v>
      </c>
      <c r="C110" s="8">
        <f>IF(A110="","",TEXT(A110,"ddd"))</f>
        <v>0</v>
      </c>
      <c r="D110" s="27"/>
      <c r="E110" s="27"/>
      <c r="F110" s="26"/>
      <c r="G110" s="8">
        <f>IF(E110="","",IFERROR(IFERROR(INDEX(Recipes!$H$5:$H$204,MATCH(E110,Recipes!$A$5:$A$204,0)),"")*IF(F110="",1,F110),""))</f>
        <v>0</v>
      </c>
      <c r="H110" s="8">
        <f>IF(E110="","",IFERROR(IFERROR(INDEX(Recipes!$I$5:$I$204,MATCH(E110,Recipes!$A$5:$A$204,0)),"")*IF(F110="",1,F110),""))</f>
        <v>0</v>
      </c>
      <c r="I110" s="8">
        <f>IF(E110="","",IFERROR(IFERROR(INDEX(Recipes!$J$5:$J$204,MATCH(E110,Recipes!$A$5:$A$204,0)),"")*IF(F110="",1,F110),""))</f>
        <v>0</v>
      </c>
      <c r="J110" s="8">
        <f>IF(E110="","",IFERROR(IFERROR(INDEX(Recipes!$K$5:$K$204,MATCH(E110,Recipes!$A$5:$A$204,0)),"")*IF(F110="",1,F110),""))</f>
        <v>0</v>
      </c>
      <c r="K110" s="8">
        <f>IF(E110="","",IFERROR(IFERROR(INDEX(Recipes!$L$5:$L$204,MATCH(E110,Recipes!$A$5:$A$204,0)),"")*IF(F110="",1,F110),""))</f>
        <v>0</v>
      </c>
      <c r="L110" s="8">
        <f>IF(E110="","",IFERROR(IFERROR(INDEX(Recipes!$M$5:$M$204,MATCH(E110,Recipes!$A$5:$A$204,0)),"")*IF(F110="",1,F110),""))</f>
        <v>0</v>
      </c>
      <c r="M110" s="8">
        <f>IF(E110="","",IFERROR(IFERROR(INDEX(Recipes!$N$5:$N$204,MATCH(E110,Recipes!$A$5:$A$204,0)),"")*IF(F110="",1,F110),""))</f>
        <v>0</v>
      </c>
      <c r="N110" s="26"/>
      <c r="O110" s="8">
        <f>IF(A110="","",Calorie_Target*Household_Size)</f>
        <v>0</v>
      </c>
      <c r="P110" s="8">
        <f>IF(OR(A110="",O110=0),"",IFERROR(G110/O110,""))</f>
        <v>0</v>
      </c>
      <c r="Q110" s="8">
        <f>IF(OR(A110="",Protein_Target=0),"",IFERROR(H110/(Protein_Target*Household_Size),""))</f>
        <v>0</v>
      </c>
      <c r="R110" s="8">
        <f>IF(OR(A110="",Carb_Target=0),"",IFERROR(I110/(Carb_Target*Household_Size),""))</f>
        <v>0</v>
      </c>
      <c r="S110" s="8">
        <f>IF(OR(A110="",Fat_Target=0),"",IFERROR(J110/(Fat_Target*Household_Size),""))</f>
        <v>0</v>
      </c>
      <c r="T110" s="8">
        <f>IF(OR(A110="",Fibre_Target=0),"",IFERROR(K110/(Fibre_Target*Household_Size),""))</f>
        <v>0</v>
      </c>
      <c r="U110" s="8">
        <f>IF(OR(A110="",Sugar_Limit=0),"",IFERROR(L110/(Sugar_Limit*Household_Size),""))</f>
        <v>0</v>
      </c>
      <c r="V110" s="8">
        <f>IF(OR(A110="",Sodium_Limit=0),"",IFERROR(M110/(Sodium_Limit*Household_Size),""))</f>
        <v>0</v>
      </c>
      <c r="W110" s="8">
        <f>IF(A110="","",IF(P110="","",IF(P110&gt;1.1,"Over target",IF(P110&lt;0.8,"Under target","On target"))))</f>
        <v>0</v>
      </c>
      <c r="X110" s="25"/>
    </row>
    <row r="111" spans="1:24">
      <c r="A111" s="30"/>
      <c r="B111" s="8">
        <f>IF(A111="","",TEXT(A111,"mmm yyyy"))</f>
        <v>0</v>
      </c>
      <c r="C111" s="8">
        <f>IF(A111="","",TEXT(A111,"ddd"))</f>
        <v>0</v>
      </c>
      <c r="D111" s="27"/>
      <c r="E111" s="27"/>
      <c r="F111" s="26"/>
      <c r="G111" s="8">
        <f>IF(E111="","",IFERROR(IFERROR(INDEX(Recipes!$H$5:$H$204,MATCH(E111,Recipes!$A$5:$A$204,0)),"")*IF(F111="",1,F111),""))</f>
        <v>0</v>
      </c>
      <c r="H111" s="8">
        <f>IF(E111="","",IFERROR(IFERROR(INDEX(Recipes!$I$5:$I$204,MATCH(E111,Recipes!$A$5:$A$204,0)),"")*IF(F111="",1,F111),""))</f>
        <v>0</v>
      </c>
      <c r="I111" s="8">
        <f>IF(E111="","",IFERROR(IFERROR(INDEX(Recipes!$J$5:$J$204,MATCH(E111,Recipes!$A$5:$A$204,0)),"")*IF(F111="",1,F111),""))</f>
        <v>0</v>
      </c>
      <c r="J111" s="8">
        <f>IF(E111="","",IFERROR(IFERROR(INDEX(Recipes!$K$5:$K$204,MATCH(E111,Recipes!$A$5:$A$204,0)),"")*IF(F111="",1,F111),""))</f>
        <v>0</v>
      </c>
      <c r="K111" s="8">
        <f>IF(E111="","",IFERROR(IFERROR(INDEX(Recipes!$L$5:$L$204,MATCH(E111,Recipes!$A$5:$A$204,0)),"")*IF(F111="",1,F111),""))</f>
        <v>0</v>
      </c>
      <c r="L111" s="8">
        <f>IF(E111="","",IFERROR(IFERROR(INDEX(Recipes!$M$5:$M$204,MATCH(E111,Recipes!$A$5:$A$204,0)),"")*IF(F111="",1,F111),""))</f>
        <v>0</v>
      </c>
      <c r="M111" s="8">
        <f>IF(E111="","",IFERROR(IFERROR(INDEX(Recipes!$N$5:$N$204,MATCH(E111,Recipes!$A$5:$A$204,0)),"")*IF(F111="",1,F111),""))</f>
        <v>0</v>
      </c>
      <c r="N111" s="26"/>
      <c r="O111" s="8">
        <f>IF(A111="","",Calorie_Target*Household_Size)</f>
        <v>0</v>
      </c>
      <c r="P111" s="8">
        <f>IF(OR(A111="",O111=0),"",IFERROR(G111/O111,""))</f>
        <v>0</v>
      </c>
      <c r="Q111" s="8">
        <f>IF(OR(A111="",Protein_Target=0),"",IFERROR(H111/(Protein_Target*Household_Size),""))</f>
        <v>0</v>
      </c>
      <c r="R111" s="8">
        <f>IF(OR(A111="",Carb_Target=0),"",IFERROR(I111/(Carb_Target*Household_Size),""))</f>
        <v>0</v>
      </c>
      <c r="S111" s="8">
        <f>IF(OR(A111="",Fat_Target=0),"",IFERROR(J111/(Fat_Target*Household_Size),""))</f>
        <v>0</v>
      </c>
      <c r="T111" s="8">
        <f>IF(OR(A111="",Fibre_Target=0),"",IFERROR(K111/(Fibre_Target*Household_Size),""))</f>
        <v>0</v>
      </c>
      <c r="U111" s="8">
        <f>IF(OR(A111="",Sugar_Limit=0),"",IFERROR(L111/(Sugar_Limit*Household_Size),""))</f>
        <v>0</v>
      </c>
      <c r="V111" s="8">
        <f>IF(OR(A111="",Sodium_Limit=0),"",IFERROR(M111/(Sodium_Limit*Household_Size),""))</f>
        <v>0</v>
      </c>
      <c r="W111" s="8">
        <f>IF(A111="","",IF(P111="","",IF(P111&gt;1.1,"Over target",IF(P111&lt;0.8,"Under target","On target"))))</f>
        <v>0</v>
      </c>
      <c r="X111" s="25"/>
    </row>
    <row r="112" spans="1:24">
      <c r="A112" s="30"/>
      <c r="B112" s="8">
        <f>IF(A112="","",TEXT(A112,"mmm yyyy"))</f>
        <v>0</v>
      </c>
      <c r="C112" s="8">
        <f>IF(A112="","",TEXT(A112,"ddd"))</f>
        <v>0</v>
      </c>
      <c r="D112" s="27"/>
      <c r="E112" s="27"/>
      <c r="F112" s="26"/>
      <c r="G112" s="8">
        <f>IF(E112="","",IFERROR(IFERROR(INDEX(Recipes!$H$5:$H$204,MATCH(E112,Recipes!$A$5:$A$204,0)),"")*IF(F112="",1,F112),""))</f>
        <v>0</v>
      </c>
      <c r="H112" s="8">
        <f>IF(E112="","",IFERROR(IFERROR(INDEX(Recipes!$I$5:$I$204,MATCH(E112,Recipes!$A$5:$A$204,0)),"")*IF(F112="",1,F112),""))</f>
        <v>0</v>
      </c>
      <c r="I112" s="8">
        <f>IF(E112="","",IFERROR(IFERROR(INDEX(Recipes!$J$5:$J$204,MATCH(E112,Recipes!$A$5:$A$204,0)),"")*IF(F112="",1,F112),""))</f>
        <v>0</v>
      </c>
      <c r="J112" s="8">
        <f>IF(E112="","",IFERROR(IFERROR(INDEX(Recipes!$K$5:$K$204,MATCH(E112,Recipes!$A$5:$A$204,0)),"")*IF(F112="",1,F112),""))</f>
        <v>0</v>
      </c>
      <c r="K112" s="8">
        <f>IF(E112="","",IFERROR(IFERROR(INDEX(Recipes!$L$5:$L$204,MATCH(E112,Recipes!$A$5:$A$204,0)),"")*IF(F112="",1,F112),""))</f>
        <v>0</v>
      </c>
      <c r="L112" s="8">
        <f>IF(E112="","",IFERROR(IFERROR(INDEX(Recipes!$M$5:$M$204,MATCH(E112,Recipes!$A$5:$A$204,0)),"")*IF(F112="",1,F112),""))</f>
        <v>0</v>
      </c>
      <c r="M112" s="8">
        <f>IF(E112="","",IFERROR(IFERROR(INDEX(Recipes!$N$5:$N$204,MATCH(E112,Recipes!$A$5:$A$204,0)),"")*IF(F112="",1,F112),""))</f>
        <v>0</v>
      </c>
      <c r="N112" s="26"/>
      <c r="O112" s="8">
        <f>IF(A112="","",Calorie_Target*Household_Size)</f>
        <v>0</v>
      </c>
      <c r="P112" s="8">
        <f>IF(OR(A112="",O112=0),"",IFERROR(G112/O112,""))</f>
        <v>0</v>
      </c>
      <c r="Q112" s="8">
        <f>IF(OR(A112="",Protein_Target=0),"",IFERROR(H112/(Protein_Target*Household_Size),""))</f>
        <v>0</v>
      </c>
      <c r="R112" s="8">
        <f>IF(OR(A112="",Carb_Target=0),"",IFERROR(I112/(Carb_Target*Household_Size),""))</f>
        <v>0</v>
      </c>
      <c r="S112" s="8">
        <f>IF(OR(A112="",Fat_Target=0),"",IFERROR(J112/(Fat_Target*Household_Size),""))</f>
        <v>0</v>
      </c>
      <c r="T112" s="8">
        <f>IF(OR(A112="",Fibre_Target=0),"",IFERROR(K112/(Fibre_Target*Household_Size),""))</f>
        <v>0</v>
      </c>
      <c r="U112" s="8">
        <f>IF(OR(A112="",Sugar_Limit=0),"",IFERROR(L112/(Sugar_Limit*Household_Size),""))</f>
        <v>0</v>
      </c>
      <c r="V112" s="8">
        <f>IF(OR(A112="",Sodium_Limit=0),"",IFERROR(M112/(Sodium_Limit*Household_Size),""))</f>
        <v>0</v>
      </c>
      <c r="W112" s="8">
        <f>IF(A112="","",IF(P112="","",IF(P112&gt;1.1,"Over target",IF(P112&lt;0.8,"Under target","On target"))))</f>
        <v>0</v>
      </c>
      <c r="X112" s="25"/>
    </row>
    <row r="113" spans="1:24">
      <c r="A113" s="30"/>
      <c r="B113" s="8">
        <f>IF(A113="","",TEXT(A113,"mmm yyyy"))</f>
        <v>0</v>
      </c>
      <c r="C113" s="8">
        <f>IF(A113="","",TEXT(A113,"ddd"))</f>
        <v>0</v>
      </c>
      <c r="D113" s="27"/>
      <c r="E113" s="27"/>
      <c r="F113" s="26"/>
      <c r="G113" s="8">
        <f>IF(E113="","",IFERROR(IFERROR(INDEX(Recipes!$H$5:$H$204,MATCH(E113,Recipes!$A$5:$A$204,0)),"")*IF(F113="",1,F113),""))</f>
        <v>0</v>
      </c>
      <c r="H113" s="8">
        <f>IF(E113="","",IFERROR(IFERROR(INDEX(Recipes!$I$5:$I$204,MATCH(E113,Recipes!$A$5:$A$204,0)),"")*IF(F113="",1,F113),""))</f>
        <v>0</v>
      </c>
      <c r="I113" s="8">
        <f>IF(E113="","",IFERROR(IFERROR(INDEX(Recipes!$J$5:$J$204,MATCH(E113,Recipes!$A$5:$A$204,0)),"")*IF(F113="",1,F113),""))</f>
        <v>0</v>
      </c>
      <c r="J113" s="8">
        <f>IF(E113="","",IFERROR(IFERROR(INDEX(Recipes!$K$5:$K$204,MATCH(E113,Recipes!$A$5:$A$204,0)),"")*IF(F113="",1,F113),""))</f>
        <v>0</v>
      </c>
      <c r="K113" s="8">
        <f>IF(E113="","",IFERROR(IFERROR(INDEX(Recipes!$L$5:$L$204,MATCH(E113,Recipes!$A$5:$A$204,0)),"")*IF(F113="",1,F113),""))</f>
        <v>0</v>
      </c>
      <c r="L113" s="8">
        <f>IF(E113="","",IFERROR(IFERROR(INDEX(Recipes!$M$5:$M$204,MATCH(E113,Recipes!$A$5:$A$204,0)),"")*IF(F113="",1,F113),""))</f>
        <v>0</v>
      </c>
      <c r="M113" s="8">
        <f>IF(E113="","",IFERROR(IFERROR(INDEX(Recipes!$N$5:$N$204,MATCH(E113,Recipes!$A$5:$A$204,0)),"")*IF(F113="",1,F113),""))</f>
        <v>0</v>
      </c>
      <c r="N113" s="26"/>
      <c r="O113" s="8">
        <f>IF(A113="","",Calorie_Target*Household_Size)</f>
        <v>0</v>
      </c>
      <c r="P113" s="8">
        <f>IF(OR(A113="",O113=0),"",IFERROR(G113/O113,""))</f>
        <v>0</v>
      </c>
      <c r="Q113" s="8">
        <f>IF(OR(A113="",Protein_Target=0),"",IFERROR(H113/(Protein_Target*Household_Size),""))</f>
        <v>0</v>
      </c>
      <c r="R113" s="8">
        <f>IF(OR(A113="",Carb_Target=0),"",IFERROR(I113/(Carb_Target*Household_Size),""))</f>
        <v>0</v>
      </c>
      <c r="S113" s="8">
        <f>IF(OR(A113="",Fat_Target=0),"",IFERROR(J113/(Fat_Target*Household_Size),""))</f>
        <v>0</v>
      </c>
      <c r="T113" s="8">
        <f>IF(OR(A113="",Fibre_Target=0),"",IFERROR(K113/(Fibre_Target*Household_Size),""))</f>
        <v>0</v>
      </c>
      <c r="U113" s="8">
        <f>IF(OR(A113="",Sugar_Limit=0),"",IFERROR(L113/(Sugar_Limit*Household_Size),""))</f>
        <v>0</v>
      </c>
      <c r="V113" s="8">
        <f>IF(OR(A113="",Sodium_Limit=0),"",IFERROR(M113/(Sodium_Limit*Household_Size),""))</f>
        <v>0</v>
      </c>
      <c r="W113" s="8">
        <f>IF(A113="","",IF(P113="","",IF(P113&gt;1.1,"Over target",IF(P113&lt;0.8,"Under target","On target"))))</f>
        <v>0</v>
      </c>
      <c r="X113" s="25"/>
    </row>
    <row r="114" spans="1:24">
      <c r="A114" s="30"/>
      <c r="B114" s="8">
        <f>IF(A114="","",TEXT(A114,"mmm yyyy"))</f>
        <v>0</v>
      </c>
      <c r="C114" s="8">
        <f>IF(A114="","",TEXT(A114,"ddd"))</f>
        <v>0</v>
      </c>
      <c r="D114" s="27"/>
      <c r="E114" s="27"/>
      <c r="F114" s="26"/>
      <c r="G114" s="8">
        <f>IF(E114="","",IFERROR(IFERROR(INDEX(Recipes!$H$5:$H$204,MATCH(E114,Recipes!$A$5:$A$204,0)),"")*IF(F114="",1,F114),""))</f>
        <v>0</v>
      </c>
      <c r="H114" s="8">
        <f>IF(E114="","",IFERROR(IFERROR(INDEX(Recipes!$I$5:$I$204,MATCH(E114,Recipes!$A$5:$A$204,0)),"")*IF(F114="",1,F114),""))</f>
        <v>0</v>
      </c>
      <c r="I114" s="8">
        <f>IF(E114="","",IFERROR(IFERROR(INDEX(Recipes!$J$5:$J$204,MATCH(E114,Recipes!$A$5:$A$204,0)),"")*IF(F114="",1,F114),""))</f>
        <v>0</v>
      </c>
      <c r="J114" s="8">
        <f>IF(E114="","",IFERROR(IFERROR(INDEX(Recipes!$K$5:$K$204,MATCH(E114,Recipes!$A$5:$A$204,0)),"")*IF(F114="",1,F114),""))</f>
        <v>0</v>
      </c>
      <c r="K114" s="8">
        <f>IF(E114="","",IFERROR(IFERROR(INDEX(Recipes!$L$5:$L$204,MATCH(E114,Recipes!$A$5:$A$204,0)),"")*IF(F114="",1,F114),""))</f>
        <v>0</v>
      </c>
      <c r="L114" s="8">
        <f>IF(E114="","",IFERROR(IFERROR(INDEX(Recipes!$M$5:$M$204,MATCH(E114,Recipes!$A$5:$A$204,0)),"")*IF(F114="",1,F114),""))</f>
        <v>0</v>
      </c>
      <c r="M114" s="8">
        <f>IF(E114="","",IFERROR(IFERROR(INDEX(Recipes!$N$5:$N$204,MATCH(E114,Recipes!$A$5:$A$204,0)),"")*IF(F114="",1,F114),""))</f>
        <v>0</v>
      </c>
      <c r="N114" s="26"/>
      <c r="O114" s="8">
        <f>IF(A114="","",Calorie_Target*Household_Size)</f>
        <v>0</v>
      </c>
      <c r="P114" s="8">
        <f>IF(OR(A114="",O114=0),"",IFERROR(G114/O114,""))</f>
        <v>0</v>
      </c>
      <c r="Q114" s="8">
        <f>IF(OR(A114="",Protein_Target=0),"",IFERROR(H114/(Protein_Target*Household_Size),""))</f>
        <v>0</v>
      </c>
      <c r="R114" s="8">
        <f>IF(OR(A114="",Carb_Target=0),"",IFERROR(I114/(Carb_Target*Household_Size),""))</f>
        <v>0</v>
      </c>
      <c r="S114" s="8">
        <f>IF(OR(A114="",Fat_Target=0),"",IFERROR(J114/(Fat_Target*Household_Size),""))</f>
        <v>0</v>
      </c>
      <c r="T114" s="8">
        <f>IF(OR(A114="",Fibre_Target=0),"",IFERROR(K114/(Fibre_Target*Household_Size),""))</f>
        <v>0</v>
      </c>
      <c r="U114" s="8">
        <f>IF(OR(A114="",Sugar_Limit=0),"",IFERROR(L114/(Sugar_Limit*Household_Size),""))</f>
        <v>0</v>
      </c>
      <c r="V114" s="8">
        <f>IF(OR(A114="",Sodium_Limit=0),"",IFERROR(M114/(Sodium_Limit*Household_Size),""))</f>
        <v>0</v>
      </c>
      <c r="W114" s="8">
        <f>IF(A114="","",IF(P114="","",IF(P114&gt;1.1,"Over target",IF(P114&lt;0.8,"Under target","On target"))))</f>
        <v>0</v>
      </c>
      <c r="X114" s="25"/>
    </row>
    <row r="115" spans="1:24">
      <c r="A115" s="30"/>
      <c r="B115" s="8">
        <f>IF(A115="","",TEXT(A115,"mmm yyyy"))</f>
        <v>0</v>
      </c>
      <c r="C115" s="8">
        <f>IF(A115="","",TEXT(A115,"ddd"))</f>
        <v>0</v>
      </c>
      <c r="D115" s="27"/>
      <c r="E115" s="27"/>
      <c r="F115" s="26"/>
      <c r="G115" s="8">
        <f>IF(E115="","",IFERROR(IFERROR(INDEX(Recipes!$H$5:$H$204,MATCH(E115,Recipes!$A$5:$A$204,0)),"")*IF(F115="",1,F115),""))</f>
        <v>0</v>
      </c>
      <c r="H115" s="8">
        <f>IF(E115="","",IFERROR(IFERROR(INDEX(Recipes!$I$5:$I$204,MATCH(E115,Recipes!$A$5:$A$204,0)),"")*IF(F115="",1,F115),""))</f>
        <v>0</v>
      </c>
      <c r="I115" s="8">
        <f>IF(E115="","",IFERROR(IFERROR(INDEX(Recipes!$J$5:$J$204,MATCH(E115,Recipes!$A$5:$A$204,0)),"")*IF(F115="",1,F115),""))</f>
        <v>0</v>
      </c>
      <c r="J115" s="8">
        <f>IF(E115="","",IFERROR(IFERROR(INDEX(Recipes!$K$5:$K$204,MATCH(E115,Recipes!$A$5:$A$204,0)),"")*IF(F115="",1,F115),""))</f>
        <v>0</v>
      </c>
      <c r="K115" s="8">
        <f>IF(E115="","",IFERROR(IFERROR(INDEX(Recipes!$L$5:$L$204,MATCH(E115,Recipes!$A$5:$A$204,0)),"")*IF(F115="",1,F115),""))</f>
        <v>0</v>
      </c>
      <c r="L115" s="8">
        <f>IF(E115="","",IFERROR(IFERROR(INDEX(Recipes!$M$5:$M$204,MATCH(E115,Recipes!$A$5:$A$204,0)),"")*IF(F115="",1,F115),""))</f>
        <v>0</v>
      </c>
      <c r="M115" s="8">
        <f>IF(E115="","",IFERROR(IFERROR(INDEX(Recipes!$N$5:$N$204,MATCH(E115,Recipes!$A$5:$A$204,0)),"")*IF(F115="",1,F115),""))</f>
        <v>0</v>
      </c>
      <c r="N115" s="26"/>
      <c r="O115" s="8">
        <f>IF(A115="","",Calorie_Target*Household_Size)</f>
        <v>0</v>
      </c>
      <c r="P115" s="8">
        <f>IF(OR(A115="",O115=0),"",IFERROR(G115/O115,""))</f>
        <v>0</v>
      </c>
      <c r="Q115" s="8">
        <f>IF(OR(A115="",Protein_Target=0),"",IFERROR(H115/(Protein_Target*Household_Size),""))</f>
        <v>0</v>
      </c>
      <c r="R115" s="8">
        <f>IF(OR(A115="",Carb_Target=0),"",IFERROR(I115/(Carb_Target*Household_Size),""))</f>
        <v>0</v>
      </c>
      <c r="S115" s="8">
        <f>IF(OR(A115="",Fat_Target=0),"",IFERROR(J115/(Fat_Target*Household_Size),""))</f>
        <v>0</v>
      </c>
      <c r="T115" s="8">
        <f>IF(OR(A115="",Fibre_Target=0),"",IFERROR(K115/(Fibre_Target*Household_Size),""))</f>
        <v>0</v>
      </c>
      <c r="U115" s="8">
        <f>IF(OR(A115="",Sugar_Limit=0),"",IFERROR(L115/(Sugar_Limit*Household_Size),""))</f>
        <v>0</v>
      </c>
      <c r="V115" s="8">
        <f>IF(OR(A115="",Sodium_Limit=0),"",IFERROR(M115/(Sodium_Limit*Household_Size),""))</f>
        <v>0</v>
      </c>
      <c r="W115" s="8">
        <f>IF(A115="","",IF(P115="","",IF(P115&gt;1.1,"Over target",IF(P115&lt;0.8,"Under target","On target"))))</f>
        <v>0</v>
      </c>
      <c r="X115" s="25"/>
    </row>
    <row r="116" spans="1:24">
      <c r="A116" s="30"/>
      <c r="B116" s="8">
        <f>IF(A116="","",TEXT(A116,"mmm yyyy"))</f>
        <v>0</v>
      </c>
      <c r="C116" s="8">
        <f>IF(A116="","",TEXT(A116,"ddd"))</f>
        <v>0</v>
      </c>
      <c r="D116" s="27"/>
      <c r="E116" s="27"/>
      <c r="F116" s="26"/>
      <c r="G116" s="8">
        <f>IF(E116="","",IFERROR(IFERROR(INDEX(Recipes!$H$5:$H$204,MATCH(E116,Recipes!$A$5:$A$204,0)),"")*IF(F116="",1,F116),""))</f>
        <v>0</v>
      </c>
      <c r="H116" s="8">
        <f>IF(E116="","",IFERROR(IFERROR(INDEX(Recipes!$I$5:$I$204,MATCH(E116,Recipes!$A$5:$A$204,0)),"")*IF(F116="",1,F116),""))</f>
        <v>0</v>
      </c>
      <c r="I116" s="8">
        <f>IF(E116="","",IFERROR(IFERROR(INDEX(Recipes!$J$5:$J$204,MATCH(E116,Recipes!$A$5:$A$204,0)),"")*IF(F116="",1,F116),""))</f>
        <v>0</v>
      </c>
      <c r="J116" s="8">
        <f>IF(E116="","",IFERROR(IFERROR(INDEX(Recipes!$K$5:$K$204,MATCH(E116,Recipes!$A$5:$A$204,0)),"")*IF(F116="",1,F116),""))</f>
        <v>0</v>
      </c>
      <c r="K116" s="8">
        <f>IF(E116="","",IFERROR(IFERROR(INDEX(Recipes!$L$5:$L$204,MATCH(E116,Recipes!$A$5:$A$204,0)),"")*IF(F116="",1,F116),""))</f>
        <v>0</v>
      </c>
      <c r="L116" s="8">
        <f>IF(E116="","",IFERROR(IFERROR(INDEX(Recipes!$M$5:$M$204,MATCH(E116,Recipes!$A$5:$A$204,0)),"")*IF(F116="",1,F116),""))</f>
        <v>0</v>
      </c>
      <c r="M116" s="8">
        <f>IF(E116="","",IFERROR(IFERROR(INDEX(Recipes!$N$5:$N$204,MATCH(E116,Recipes!$A$5:$A$204,0)),"")*IF(F116="",1,F116),""))</f>
        <v>0</v>
      </c>
      <c r="N116" s="26"/>
      <c r="O116" s="8">
        <f>IF(A116="","",Calorie_Target*Household_Size)</f>
        <v>0</v>
      </c>
      <c r="P116" s="8">
        <f>IF(OR(A116="",O116=0),"",IFERROR(G116/O116,""))</f>
        <v>0</v>
      </c>
      <c r="Q116" s="8">
        <f>IF(OR(A116="",Protein_Target=0),"",IFERROR(H116/(Protein_Target*Household_Size),""))</f>
        <v>0</v>
      </c>
      <c r="R116" s="8">
        <f>IF(OR(A116="",Carb_Target=0),"",IFERROR(I116/(Carb_Target*Household_Size),""))</f>
        <v>0</v>
      </c>
      <c r="S116" s="8">
        <f>IF(OR(A116="",Fat_Target=0),"",IFERROR(J116/(Fat_Target*Household_Size),""))</f>
        <v>0</v>
      </c>
      <c r="T116" s="8">
        <f>IF(OR(A116="",Fibre_Target=0),"",IFERROR(K116/(Fibre_Target*Household_Size),""))</f>
        <v>0</v>
      </c>
      <c r="U116" s="8">
        <f>IF(OR(A116="",Sugar_Limit=0),"",IFERROR(L116/(Sugar_Limit*Household_Size),""))</f>
        <v>0</v>
      </c>
      <c r="V116" s="8">
        <f>IF(OR(A116="",Sodium_Limit=0),"",IFERROR(M116/(Sodium_Limit*Household_Size),""))</f>
        <v>0</v>
      </c>
      <c r="W116" s="8">
        <f>IF(A116="","",IF(P116="","",IF(P116&gt;1.1,"Over target",IF(P116&lt;0.8,"Under target","On target"))))</f>
        <v>0</v>
      </c>
      <c r="X116" s="25"/>
    </row>
    <row r="117" spans="1:24">
      <c r="A117" s="30"/>
      <c r="B117" s="8">
        <f>IF(A117="","",TEXT(A117,"mmm yyyy"))</f>
        <v>0</v>
      </c>
      <c r="C117" s="8">
        <f>IF(A117="","",TEXT(A117,"ddd"))</f>
        <v>0</v>
      </c>
      <c r="D117" s="27"/>
      <c r="E117" s="27"/>
      <c r="F117" s="26"/>
      <c r="G117" s="8">
        <f>IF(E117="","",IFERROR(IFERROR(INDEX(Recipes!$H$5:$H$204,MATCH(E117,Recipes!$A$5:$A$204,0)),"")*IF(F117="",1,F117),""))</f>
        <v>0</v>
      </c>
      <c r="H117" s="8">
        <f>IF(E117="","",IFERROR(IFERROR(INDEX(Recipes!$I$5:$I$204,MATCH(E117,Recipes!$A$5:$A$204,0)),"")*IF(F117="",1,F117),""))</f>
        <v>0</v>
      </c>
      <c r="I117" s="8">
        <f>IF(E117="","",IFERROR(IFERROR(INDEX(Recipes!$J$5:$J$204,MATCH(E117,Recipes!$A$5:$A$204,0)),"")*IF(F117="",1,F117),""))</f>
        <v>0</v>
      </c>
      <c r="J117" s="8">
        <f>IF(E117="","",IFERROR(IFERROR(INDEX(Recipes!$K$5:$K$204,MATCH(E117,Recipes!$A$5:$A$204,0)),"")*IF(F117="",1,F117),""))</f>
        <v>0</v>
      </c>
      <c r="K117" s="8">
        <f>IF(E117="","",IFERROR(IFERROR(INDEX(Recipes!$L$5:$L$204,MATCH(E117,Recipes!$A$5:$A$204,0)),"")*IF(F117="",1,F117),""))</f>
        <v>0</v>
      </c>
      <c r="L117" s="8">
        <f>IF(E117="","",IFERROR(IFERROR(INDEX(Recipes!$M$5:$M$204,MATCH(E117,Recipes!$A$5:$A$204,0)),"")*IF(F117="",1,F117),""))</f>
        <v>0</v>
      </c>
      <c r="M117" s="8">
        <f>IF(E117="","",IFERROR(IFERROR(INDEX(Recipes!$N$5:$N$204,MATCH(E117,Recipes!$A$5:$A$204,0)),"")*IF(F117="",1,F117),""))</f>
        <v>0</v>
      </c>
      <c r="N117" s="26"/>
      <c r="O117" s="8">
        <f>IF(A117="","",Calorie_Target*Household_Size)</f>
        <v>0</v>
      </c>
      <c r="P117" s="8">
        <f>IF(OR(A117="",O117=0),"",IFERROR(G117/O117,""))</f>
        <v>0</v>
      </c>
      <c r="Q117" s="8">
        <f>IF(OR(A117="",Protein_Target=0),"",IFERROR(H117/(Protein_Target*Household_Size),""))</f>
        <v>0</v>
      </c>
      <c r="R117" s="8">
        <f>IF(OR(A117="",Carb_Target=0),"",IFERROR(I117/(Carb_Target*Household_Size),""))</f>
        <v>0</v>
      </c>
      <c r="S117" s="8">
        <f>IF(OR(A117="",Fat_Target=0),"",IFERROR(J117/(Fat_Target*Household_Size),""))</f>
        <v>0</v>
      </c>
      <c r="T117" s="8">
        <f>IF(OR(A117="",Fibre_Target=0),"",IFERROR(K117/(Fibre_Target*Household_Size),""))</f>
        <v>0</v>
      </c>
      <c r="U117" s="8">
        <f>IF(OR(A117="",Sugar_Limit=0),"",IFERROR(L117/(Sugar_Limit*Household_Size),""))</f>
        <v>0</v>
      </c>
      <c r="V117" s="8">
        <f>IF(OR(A117="",Sodium_Limit=0),"",IFERROR(M117/(Sodium_Limit*Household_Size),""))</f>
        <v>0</v>
      </c>
      <c r="W117" s="8">
        <f>IF(A117="","",IF(P117="","",IF(P117&gt;1.1,"Over target",IF(P117&lt;0.8,"Under target","On target"))))</f>
        <v>0</v>
      </c>
      <c r="X117" s="25"/>
    </row>
    <row r="118" spans="1:24">
      <c r="A118" s="30"/>
      <c r="B118" s="8">
        <f>IF(A118="","",TEXT(A118,"mmm yyyy"))</f>
        <v>0</v>
      </c>
      <c r="C118" s="8">
        <f>IF(A118="","",TEXT(A118,"ddd"))</f>
        <v>0</v>
      </c>
      <c r="D118" s="27"/>
      <c r="E118" s="27"/>
      <c r="F118" s="26"/>
      <c r="G118" s="8">
        <f>IF(E118="","",IFERROR(IFERROR(INDEX(Recipes!$H$5:$H$204,MATCH(E118,Recipes!$A$5:$A$204,0)),"")*IF(F118="",1,F118),""))</f>
        <v>0</v>
      </c>
      <c r="H118" s="8">
        <f>IF(E118="","",IFERROR(IFERROR(INDEX(Recipes!$I$5:$I$204,MATCH(E118,Recipes!$A$5:$A$204,0)),"")*IF(F118="",1,F118),""))</f>
        <v>0</v>
      </c>
      <c r="I118" s="8">
        <f>IF(E118="","",IFERROR(IFERROR(INDEX(Recipes!$J$5:$J$204,MATCH(E118,Recipes!$A$5:$A$204,0)),"")*IF(F118="",1,F118),""))</f>
        <v>0</v>
      </c>
      <c r="J118" s="8">
        <f>IF(E118="","",IFERROR(IFERROR(INDEX(Recipes!$K$5:$K$204,MATCH(E118,Recipes!$A$5:$A$204,0)),"")*IF(F118="",1,F118),""))</f>
        <v>0</v>
      </c>
      <c r="K118" s="8">
        <f>IF(E118="","",IFERROR(IFERROR(INDEX(Recipes!$L$5:$L$204,MATCH(E118,Recipes!$A$5:$A$204,0)),"")*IF(F118="",1,F118),""))</f>
        <v>0</v>
      </c>
      <c r="L118" s="8">
        <f>IF(E118="","",IFERROR(IFERROR(INDEX(Recipes!$M$5:$M$204,MATCH(E118,Recipes!$A$5:$A$204,0)),"")*IF(F118="",1,F118),""))</f>
        <v>0</v>
      </c>
      <c r="M118" s="8">
        <f>IF(E118="","",IFERROR(IFERROR(INDEX(Recipes!$N$5:$N$204,MATCH(E118,Recipes!$A$5:$A$204,0)),"")*IF(F118="",1,F118),""))</f>
        <v>0</v>
      </c>
      <c r="N118" s="26"/>
      <c r="O118" s="8">
        <f>IF(A118="","",Calorie_Target*Household_Size)</f>
        <v>0</v>
      </c>
      <c r="P118" s="8">
        <f>IF(OR(A118="",O118=0),"",IFERROR(G118/O118,""))</f>
        <v>0</v>
      </c>
      <c r="Q118" s="8">
        <f>IF(OR(A118="",Protein_Target=0),"",IFERROR(H118/(Protein_Target*Household_Size),""))</f>
        <v>0</v>
      </c>
      <c r="R118" s="8">
        <f>IF(OR(A118="",Carb_Target=0),"",IFERROR(I118/(Carb_Target*Household_Size),""))</f>
        <v>0</v>
      </c>
      <c r="S118" s="8">
        <f>IF(OR(A118="",Fat_Target=0),"",IFERROR(J118/(Fat_Target*Household_Size),""))</f>
        <v>0</v>
      </c>
      <c r="T118" s="8">
        <f>IF(OR(A118="",Fibre_Target=0),"",IFERROR(K118/(Fibre_Target*Household_Size),""))</f>
        <v>0</v>
      </c>
      <c r="U118" s="8">
        <f>IF(OR(A118="",Sugar_Limit=0),"",IFERROR(L118/(Sugar_Limit*Household_Size),""))</f>
        <v>0</v>
      </c>
      <c r="V118" s="8">
        <f>IF(OR(A118="",Sodium_Limit=0),"",IFERROR(M118/(Sodium_Limit*Household_Size),""))</f>
        <v>0</v>
      </c>
      <c r="W118" s="8">
        <f>IF(A118="","",IF(P118="","",IF(P118&gt;1.1,"Over target",IF(P118&lt;0.8,"Under target","On target"))))</f>
        <v>0</v>
      </c>
      <c r="X118" s="25"/>
    </row>
    <row r="119" spans="1:24">
      <c r="A119" s="30"/>
      <c r="B119" s="8">
        <f>IF(A119="","",TEXT(A119,"mmm yyyy"))</f>
        <v>0</v>
      </c>
      <c r="C119" s="8">
        <f>IF(A119="","",TEXT(A119,"ddd"))</f>
        <v>0</v>
      </c>
      <c r="D119" s="27"/>
      <c r="E119" s="27"/>
      <c r="F119" s="26"/>
      <c r="G119" s="8">
        <f>IF(E119="","",IFERROR(IFERROR(INDEX(Recipes!$H$5:$H$204,MATCH(E119,Recipes!$A$5:$A$204,0)),"")*IF(F119="",1,F119),""))</f>
        <v>0</v>
      </c>
      <c r="H119" s="8">
        <f>IF(E119="","",IFERROR(IFERROR(INDEX(Recipes!$I$5:$I$204,MATCH(E119,Recipes!$A$5:$A$204,0)),"")*IF(F119="",1,F119),""))</f>
        <v>0</v>
      </c>
      <c r="I119" s="8">
        <f>IF(E119="","",IFERROR(IFERROR(INDEX(Recipes!$J$5:$J$204,MATCH(E119,Recipes!$A$5:$A$204,0)),"")*IF(F119="",1,F119),""))</f>
        <v>0</v>
      </c>
      <c r="J119" s="8">
        <f>IF(E119="","",IFERROR(IFERROR(INDEX(Recipes!$K$5:$K$204,MATCH(E119,Recipes!$A$5:$A$204,0)),"")*IF(F119="",1,F119),""))</f>
        <v>0</v>
      </c>
      <c r="K119" s="8">
        <f>IF(E119="","",IFERROR(IFERROR(INDEX(Recipes!$L$5:$L$204,MATCH(E119,Recipes!$A$5:$A$204,0)),"")*IF(F119="",1,F119),""))</f>
        <v>0</v>
      </c>
      <c r="L119" s="8">
        <f>IF(E119="","",IFERROR(IFERROR(INDEX(Recipes!$M$5:$M$204,MATCH(E119,Recipes!$A$5:$A$204,0)),"")*IF(F119="",1,F119),""))</f>
        <v>0</v>
      </c>
      <c r="M119" s="8">
        <f>IF(E119="","",IFERROR(IFERROR(INDEX(Recipes!$N$5:$N$204,MATCH(E119,Recipes!$A$5:$A$204,0)),"")*IF(F119="",1,F119),""))</f>
        <v>0</v>
      </c>
      <c r="N119" s="26"/>
      <c r="O119" s="8">
        <f>IF(A119="","",Calorie_Target*Household_Size)</f>
        <v>0</v>
      </c>
      <c r="P119" s="8">
        <f>IF(OR(A119="",O119=0),"",IFERROR(G119/O119,""))</f>
        <v>0</v>
      </c>
      <c r="Q119" s="8">
        <f>IF(OR(A119="",Protein_Target=0),"",IFERROR(H119/(Protein_Target*Household_Size),""))</f>
        <v>0</v>
      </c>
      <c r="R119" s="8">
        <f>IF(OR(A119="",Carb_Target=0),"",IFERROR(I119/(Carb_Target*Household_Size),""))</f>
        <v>0</v>
      </c>
      <c r="S119" s="8">
        <f>IF(OR(A119="",Fat_Target=0),"",IFERROR(J119/(Fat_Target*Household_Size),""))</f>
        <v>0</v>
      </c>
      <c r="T119" s="8">
        <f>IF(OR(A119="",Fibre_Target=0),"",IFERROR(K119/(Fibre_Target*Household_Size),""))</f>
        <v>0</v>
      </c>
      <c r="U119" s="8">
        <f>IF(OR(A119="",Sugar_Limit=0),"",IFERROR(L119/(Sugar_Limit*Household_Size),""))</f>
        <v>0</v>
      </c>
      <c r="V119" s="8">
        <f>IF(OR(A119="",Sodium_Limit=0),"",IFERROR(M119/(Sodium_Limit*Household_Size),""))</f>
        <v>0</v>
      </c>
      <c r="W119" s="8">
        <f>IF(A119="","",IF(P119="","",IF(P119&gt;1.1,"Over target",IF(P119&lt;0.8,"Under target","On target"))))</f>
        <v>0</v>
      </c>
      <c r="X119" s="25"/>
    </row>
    <row r="120" spans="1:24">
      <c r="A120" s="30"/>
      <c r="B120" s="8">
        <f>IF(A120="","",TEXT(A120,"mmm yyyy"))</f>
        <v>0</v>
      </c>
      <c r="C120" s="8">
        <f>IF(A120="","",TEXT(A120,"ddd"))</f>
        <v>0</v>
      </c>
      <c r="D120" s="27"/>
      <c r="E120" s="27"/>
      <c r="F120" s="26"/>
      <c r="G120" s="8">
        <f>IF(E120="","",IFERROR(IFERROR(INDEX(Recipes!$H$5:$H$204,MATCH(E120,Recipes!$A$5:$A$204,0)),"")*IF(F120="",1,F120),""))</f>
        <v>0</v>
      </c>
      <c r="H120" s="8">
        <f>IF(E120="","",IFERROR(IFERROR(INDEX(Recipes!$I$5:$I$204,MATCH(E120,Recipes!$A$5:$A$204,0)),"")*IF(F120="",1,F120),""))</f>
        <v>0</v>
      </c>
      <c r="I120" s="8">
        <f>IF(E120="","",IFERROR(IFERROR(INDEX(Recipes!$J$5:$J$204,MATCH(E120,Recipes!$A$5:$A$204,0)),"")*IF(F120="",1,F120),""))</f>
        <v>0</v>
      </c>
      <c r="J120" s="8">
        <f>IF(E120="","",IFERROR(IFERROR(INDEX(Recipes!$K$5:$K$204,MATCH(E120,Recipes!$A$5:$A$204,0)),"")*IF(F120="",1,F120),""))</f>
        <v>0</v>
      </c>
      <c r="K120" s="8">
        <f>IF(E120="","",IFERROR(IFERROR(INDEX(Recipes!$L$5:$L$204,MATCH(E120,Recipes!$A$5:$A$204,0)),"")*IF(F120="",1,F120),""))</f>
        <v>0</v>
      </c>
      <c r="L120" s="8">
        <f>IF(E120="","",IFERROR(IFERROR(INDEX(Recipes!$M$5:$M$204,MATCH(E120,Recipes!$A$5:$A$204,0)),"")*IF(F120="",1,F120),""))</f>
        <v>0</v>
      </c>
      <c r="M120" s="8">
        <f>IF(E120="","",IFERROR(IFERROR(INDEX(Recipes!$N$5:$N$204,MATCH(E120,Recipes!$A$5:$A$204,0)),"")*IF(F120="",1,F120),""))</f>
        <v>0</v>
      </c>
      <c r="N120" s="26"/>
      <c r="O120" s="8">
        <f>IF(A120="","",Calorie_Target*Household_Size)</f>
        <v>0</v>
      </c>
      <c r="P120" s="8">
        <f>IF(OR(A120="",O120=0),"",IFERROR(G120/O120,""))</f>
        <v>0</v>
      </c>
      <c r="Q120" s="8">
        <f>IF(OR(A120="",Protein_Target=0),"",IFERROR(H120/(Protein_Target*Household_Size),""))</f>
        <v>0</v>
      </c>
      <c r="R120" s="8">
        <f>IF(OR(A120="",Carb_Target=0),"",IFERROR(I120/(Carb_Target*Household_Size),""))</f>
        <v>0</v>
      </c>
      <c r="S120" s="8">
        <f>IF(OR(A120="",Fat_Target=0),"",IFERROR(J120/(Fat_Target*Household_Size),""))</f>
        <v>0</v>
      </c>
      <c r="T120" s="8">
        <f>IF(OR(A120="",Fibre_Target=0),"",IFERROR(K120/(Fibre_Target*Household_Size),""))</f>
        <v>0</v>
      </c>
      <c r="U120" s="8">
        <f>IF(OR(A120="",Sugar_Limit=0),"",IFERROR(L120/(Sugar_Limit*Household_Size),""))</f>
        <v>0</v>
      </c>
      <c r="V120" s="8">
        <f>IF(OR(A120="",Sodium_Limit=0),"",IFERROR(M120/(Sodium_Limit*Household_Size),""))</f>
        <v>0</v>
      </c>
      <c r="W120" s="8">
        <f>IF(A120="","",IF(P120="","",IF(P120&gt;1.1,"Over target",IF(P120&lt;0.8,"Under target","On target"))))</f>
        <v>0</v>
      </c>
      <c r="X120" s="25"/>
    </row>
    <row r="121" spans="1:24">
      <c r="A121" s="30"/>
      <c r="B121" s="8">
        <f>IF(A121="","",TEXT(A121,"mmm yyyy"))</f>
        <v>0</v>
      </c>
      <c r="C121" s="8">
        <f>IF(A121="","",TEXT(A121,"ddd"))</f>
        <v>0</v>
      </c>
      <c r="D121" s="27"/>
      <c r="E121" s="27"/>
      <c r="F121" s="26"/>
      <c r="G121" s="8">
        <f>IF(E121="","",IFERROR(IFERROR(INDEX(Recipes!$H$5:$H$204,MATCH(E121,Recipes!$A$5:$A$204,0)),"")*IF(F121="",1,F121),""))</f>
        <v>0</v>
      </c>
      <c r="H121" s="8">
        <f>IF(E121="","",IFERROR(IFERROR(INDEX(Recipes!$I$5:$I$204,MATCH(E121,Recipes!$A$5:$A$204,0)),"")*IF(F121="",1,F121),""))</f>
        <v>0</v>
      </c>
      <c r="I121" s="8">
        <f>IF(E121="","",IFERROR(IFERROR(INDEX(Recipes!$J$5:$J$204,MATCH(E121,Recipes!$A$5:$A$204,0)),"")*IF(F121="",1,F121),""))</f>
        <v>0</v>
      </c>
      <c r="J121" s="8">
        <f>IF(E121="","",IFERROR(IFERROR(INDEX(Recipes!$K$5:$K$204,MATCH(E121,Recipes!$A$5:$A$204,0)),"")*IF(F121="",1,F121),""))</f>
        <v>0</v>
      </c>
      <c r="K121" s="8">
        <f>IF(E121="","",IFERROR(IFERROR(INDEX(Recipes!$L$5:$L$204,MATCH(E121,Recipes!$A$5:$A$204,0)),"")*IF(F121="",1,F121),""))</f>
        <v>0</v>
      </c>
      <c r="L121" s="8">
        <f>IF(E121="","",IFERROR(IFERROR(INDEX(Recipes!$M$5:$M$204,MATCH(E121,Recipes!$A$5:$A$204,0)),"")*IF(F121="",1,F121),""))</f>
        <v>0</v>
      </c>
      <c r="M121" s="8">
        <f>IF(E121="","",IFERROR(IFERROR(INDEX(Recipes!$N$5:$N$204,MATCH(E121,Recipes!$A$5:$A$204,0)),"")*IF(F121="",1,F121),""))</f>
        <v>0</v>
      </c>
      <c r="N121" s="26"/>
      <c r="O121" s="8">
        <f>IF(A121="","",Calorie_Target*Household_Size)</f>
        <v>0</v>
      </c>
      <c r="P121" s="8">
        <f>IF(OR(A121="",O121=0),"",IFERROR(G121/O121,""))</f>
        <v>0</v>
      </c>
      <c r="Q121" s="8">
        <f>IF(OR(A121="",Protein_Target=0),"",IFERROR(H121/(Protein_Target*Household_Size),""))</f>
        <v>0</v>
      </c>
      <c r="R121" s="8">
        <f>IF(OR(A121="",Carb_Target=0),"",IFERROR(I121/(Carb_Target*Household_Size),""))</f>
        <v>0</v>
      </c>
      <c r="S121" s="8">
        <f>IF(OR(A121="",Fat_Target=0),"",IFERROR(J121/(Fat_Target*Household_Size),""))</f>
        <v>0</v>
      </c>
      <c r="T121" s="8">
        <f>IF(OR(A121="",Fibre_Target=0),"",IFERROR(K121/(Fibre_Target*Household_Size),""))</f>
        <v>0</v>
      </c>
      <c r="U121" s="8">
        <f>IF(OR(A121="",Sugar_Limit=0),"",IFERROR(L121/(Sugar_Limit*Household_Size),""))</f>
        <v>0</v>
      </c>
      <c r="V121" s="8">
        <f>IF(OR(A121="",Sodium_Limit=0),"",IFERROR(M121/(Sodium_Limit*Household_Size),""))</f>
        <v>0</v>
      </c>
      <c r="W121" s="8">
        <f>IF(A121="","",IF(P121="","",IF(P121&gt;1.1,"Over target",IF(P121&lt;0.8,"Under target","On target"))))</f>
        <v>0</v>
      </c>
      <c r="X121" s="25"/>
    </row>
    <row r="122" spans="1:24">
      <c r="A122" s="30"/>
      <c r="B122" s="8">
        <f>IF(A122="","",TEXT(A122,"mmm yyyy"))</f>
        <v>0</v>
      </c>
      <c r="C122" s="8">
        <f>IF(A122="","",TEXT(A122,"ddd"))</f>
        <v>0</v>
      </c>
      <c r="D122" s="27"/>
      <c r="E122" s="27"/>
      <c r="F122" s="26"/>
      <c r="G122" s="8">
        <f>IF(E122="","",IFERROR(IFERROR(INDEX(Recipes!$H$5:$H$204,MATCH(E122,Recipes!$A$5:$A$204,0)),"")*IF(F122="",1,F122),""))</f>
        <v>0</v>
      </c>
      <c r="H122" s="8">
        <f>IF(E122="","",IFERROR(IFERROR(INDEX(Recipes!$I$5:$I$204,MATCH(E122,Recipes!$A$5:$A$204,0)),"")*IF(F122="",1,F122),""))</f>
        <v>0</v>
      </c>
      <c r="I122" s="8">
        <f>IF(E122="","",IFERROR(IFERROR(INDEX(Recipes!$J$5:$J$204,MATCH(E122,Recipes!$A$5:$A$204,0)),"")*IF(F122="",1,F122),""))</f>
        <v>0</v>
      </c>
      <c r="J122" s="8">
        <f>IF(E122="","",IFERROR(IFERROR(INDEX(Recipes!$K$5:$K$204,MATCH(E122,Recipes!$A$5:$A$204,0)),"")*IF(F122="",1,F122),""))</f>
        <v>0</v>
      </c>
      <c r="K122" s="8">
        <f>IF(E122="","",IFERROR(IFERROR(INDEX(Recipes!$L$5:$L$204,MATCH(E122,Recipes!$A$5:$A$204,0)),"")*IF(F122="",1,F122),""))</f>
        <v>0</v>
      </c>
      <c r="L122" s="8">
        <f>IF(E122="","",IFERROR(IFERROR(INDEX(Recipes!$M$5:$M$204,MATCH(E122,Recipes!$A$5:$A$204,0)),"")*IF(F122="",1,F122),""))</f>
        <v>0</v>
      </c>
      <c r="M122" s="8">
        <f>IF(E122="","",IFERROR(IFERROR(INDEX(Recipes!$N$5:$N$204,MATCH(E122,Recipes!$A$5:$A$204,0)),"")*IF(F122="",1,F122),""))</f>
        <v>0</v>
      </c>
      <c r="N122" s="26"/>
      <c r="O122" s="8">
        <f>IF(A122="","",Calorie_Target*Household_Size)</f>
        <v>0</v>
      </c>
      <c r="P122" s="8">
        <f>IF(OR(A122="",O122=0),"",IFERROR(G122/O122,""))</f>
        <v>0</v>
      </c>
      <c r="Q122" s="8">
        <f>IF(OR(A122="",Protein_Target=0),"",IFERROR(H122/(Protein_Target*Household_Size),""))</f>
        <v>0</v>
      </c>
      <c r="R122" s="8">
        <f>IF(OR(A122="",Carb_Target=0),"",IFERROR(I122/(Carb_Target*Household_Size),""))</f>
        <v>0</v>
      </c>
      <c r="S122" s="8">
        <f>IF(OR(A122="",Fat_Target=0),"",IFERROR(J122/(Fat_Target*Household_Size),""))</f>
        <v>0</v>
      </c>
      <c r="T122" s="8">
        <f>IF(OR(A122="",Fibre_Target=0),"",IFERROR(K122/(Fibre_Target*Household_Size),""))</f>
        <v>0</v>
      </c>
      <c r="U122" s="8">
        <f>IF(OR(A122="",Sugar_Limit=0),"",IFERROR(L122/(Sugar_Limit*Household_Size),""))</f>
        <v>0</v>
      </c>
      <c r="V122" s="8">
        <f>IF(OR(A122="",Sodium_Limit=0),"",IFERROR(M122/(Sodium_Limit*Household_Size),""))</f>
        <v>0</v>
      </c>
      <c r="W122" s="8">
        <f>IF(A122="","",IF(P122="","",IF(P122&gt;1.1,"Over target",IF(P122&lt;0.8,"Under target","On target"))))</f>
        <v>0</v>
      </c>
      <c r="X122" s="25"/>
    </row>
    <row r="123" spans="1:24">
      <c r="A123" s="30"/>
      <c r="B123" s="8">
        <f>IF(A123="","",TEXT(A123,"mmm yyyy"))</f>
        <v>0</v>
      </c>
      <c r="C123" s="8">
        <f>IF(A123="","",TEXT(A123,"ddd"))</f>
        <v>0</v>
      </c>
      <c r="D123" s="27"/>
      <c r="E123" s="27"/>
      <c r="F123" s="26"/>
      <c r="G123" s="8">
        <f>IF(E123="","",IFERROR(IFERROR(INDEX(Recipes!$H$5:$H$204,MATCH(E123,Recipes!$A$5:$A$204,0)),"")*IF(F123="",1,F123),""))</f>
        <v>0</v>
      </c>
      <c r="H123" s="8">
        <f>IF(E123="","",IFERROR(IFERROR(INDEX(Recipes!$I$5:$I$204,MATCH(E123,Recipes!$A$5:$A$204,0)),"")*IF(F123="",1,F123),""))</f>
        <v>0</v>
      </c>
      <c r="I123" s="8">
        <f>IF(E123="","",IFERROR(IFERROR(INDEX(Recipes!$J$5:$J$204,MATCH(E123,Recipes!$A$5:$A$204,0)),"")*IF(F123="",1,F123),""))</f>
        <v>0</v>
      </c>
      <c r="J123" s="8">
        <f>IF(E123="","",IFERROR(IFERROR(INDEX(Recipes!$K$5:$K$204,MATCH(E123,Recipes!$A$5:$A$204,0)),"")*IF(F123="",1,F123),""))</f>
        <v>0</v>
      </c>
      <c r="K123" s="8">
        <f>IF(E123="","",IFERROR(IFERROR(INDEX(Recipes!$L$5:$L$204,MATCH(E123,Recipes!$A$5:$A$204,0)),"")*IF(F123="",1,F123),""))</f>
        <v>0</v>
      </c>
      <c r="L123" s="8">
        <f>IF(E123="","",IFERROR(IFERROR(INDEX(Recipes!$M$5:$M$204,MATCH(E123,Recipes!$A$5:$A$204,0)),"")*IF(F123="",1,F123),""))</f>
        <v>0</v>
      </c>
      <c r="M123" s="8">
        <f>IF(E123="","",IFERROR(IFERROR(INDEX(Recipes!$N$5:$N$204,MATCH(E123,Recipes!$A$5:$A$204,0)),"")*IF(F123="",1,F123),""))</f>
        <v>0</v>
      </c>
      <c r="N123" s="26"/>
      <c r="O123" s="8">
        <f>IF(A123="","",Calorie_Target*Household_Size)</f>
        <v>0</v>
      </c>
      <c r="P123" s="8">
        <f>IF(OR(A123="",O123=0),"",IFERROR(G123/O123,""))</f>
        <v>0</v>
      </c>
      <c r="Q123" s="8">
        <f>IF(OR(A123="",Protein_Target=0),"",IFERROR(H123/(Protein_Target*Household_Size),""))</f>
        <v>0</v>
      </c>
      <c r="R123" s="8">
        <f>IF(OR(A123="",Carb_Target=0),"",IFERROR(I123/(Carb_Target*Household_Size),""))</f>
        <v>0</v>
      </c>
      <c r="S123" s="8">
        <f>IF(OR(A123="",Fat_Target=0),"",IFERROR(J123/(Fat_Target*Household_Size),""))</f>
        <v>0</v>
      </c>
      <c r="T123" s="8">
        <f>IF(OR(A123="",Fibre_Target=0),"",IFERROR(K123/(Fibre_Target*Household_Size),""))</f>
        <v>0</v>
      </c>
      <c r="U123" s="8">
        <f>IF(OR(A123="",Sugar_Limit=0),"",IFERROR(L123/(Sugar_Limit*Household_Size),""))</f>
        <v>0</v>
      </c>
      <c r="V123" s="8">
        <f>IF(OR(A123="",Sodium_Limit=0),"",IFERROR(M123/(Sodium_Limit*Household_Size),""))</f>
        <v>0</v>
      </c>
      <c r="W123" s="8">
        <f>IF(A123="","",IF(P123="","",IF(P123&gt;1.1,"Over target",IF(P123&lt;0.8,"Under target","On target"))))</f>
        <v>0</v>
      </c>
      <c r="X123" s="25"/>
    </row>
    <row r="124" spans="1:24">
      <c r="A124" s="30"/>
      <c r="B124" s="8">
        <f>IF(A124="","",TEXT(A124,"mmm yyyy"))</f>
        <v>0</v>
      </c>
      <c r="C124" s="8">
        <f>IF(A124="","",TEXT(A124,"ddd"))</f>
        <v>0</v>
      </c>
      <c r="D124" s="27"/>
      <c r="E124" s="27"/>
      <c r="F124" s="26"/>
      <c r="G124" s="8">
        <f>IF(E124="","",IFERROR(IFERROR(INDEX(Recipes!$H$5:$H$204,MATCH(E124,Recipes!$A$5:$A$204,0)),"")*IF(F124="",1,F124),""))</f>
        <v>0</v>
      </c>
      <c r="H124" s="8">
        <f>IF(E124="","",IFERROR(IFERROR(INDEX(Recipes!$I$5:$I$204,MATCH(E124,Recipes!$A$5:$A$204,0)),"")*IF(F124="",1,F124),""))</f>
        <v>0</v>
      </c>
      <c r="I124" s="8">
        <f>IF(E124="","",IFERROR(IFERROR(INDEX(Recipes!$J$5:$J$204,MATCH(E124,Recipes!$A$5:$A$204,0)),"")*IF(F124="",1,F124),""))</f>
        <v>0</v>
      </c>
      <c r="J124" s="8">
        <f>IF(E124="","",IFERROR(IFERROR(INDEX(Recipes!$K$5:$K$204,MATCH(E124,Recipes!$A$5:$A$204,0)),"")*IF(F124="",1,F124),""))</f>
        <v>0</v>
      </c>
      <c r="K124" s="8">
        <f>IF(E124="","",IFERROR(IFERROR(INDEX(Recipes!$L$5:$L$204,MATCH(E124,Recipes!$A$5:$A$204,0)),"")*IF(F124="",1,F124),""))</f>
        <v>0</v>
      </c>
      <c r="L124" s="8">
        <f>IF(E124="","",IFERROR(IFERROR(INDEX(Recipes!$M$5:$M$204,MATCH(E124,Recipes!$A$5:$A$204,0)),"")*IF(F124="",1,F124),""))</f>
        <v>0</v>
      </c>
      <c r="M124" s="8">
        <f>IF(E124="","",IFERROR(IFERROR(INDEX(Recipes!$N$5:$N$204,MATCH(E124,Recipes!$A$5:$A$204,0)),"")*IF(F124="",1,F124),""))</f>
        <v>0</v>
      </c>
      <c r="N124" s="26"/>
      <c r="O124" s="8">
        <f>IF(A124="","",Calorie_Target*Household_Size)</f>
        <v>0</v>
      </c>
      <c r="P124" s="8">
        <f>IF(OR(A124="",O124=0),"",IFERROR(G124/O124,""))</f>
        <v>0</v>
      </c>
      <c r="Q124" s="8">
        <f>IF(OR(A124="",Protein_Target=0),"",IFERROR(H124/(Protein_Target*Household_Size),""))</f>
        <v>0</v>
      </c>
      <c r="R124" s="8">
        <f>IF(OR(A124="",Carb_Target=0),"",IFERROR(I124/(Carb_Target*Household_Size),""))</f>
        <v>0</v>
      </c>
      <c r="S124" s="8">
        <f>IF(OR(A124="",Fat_Target=0),"",IFERROR(J124/(Fat_Target*Household_Size),""))</f>
        <v>0</v>
      </c>
      <c r="T124" s="8">
        <f>IF(OR(A124="",Fibre_Target=0),"",IFERROR(K124/(Fibre_Target*Household_Size),""))</f>
        <v>0</v>
      </c>
      <c r="U124" s="8">
        <f>IF(OR(A124="",Sugar_Limit=0),"",IFERROR(L124/(Sugar_Limit*Household_Size),""))</f>
        <v>0</v>
      </c>
      <c r="V124" s="8">
        <f>IF(OR(A124="",Sodium_Limit=0),"",IFERROR(M124/(Sodium_Limit*Household_Size),""))</f>
        <v>0</v>
      </c>
      <c r="W124" s="8">
        <f>IF(A124="","",IF(P124="","",IF(P124&gt;1.1,"Over target",IF(P124&lt;0.8,"Under target","On target"))))</f>
        <v>0</v>
      </c>
      <c r="X124" s="25"/>
    </row>
    <row r="125" spans="1:24">
      <c r="A125" s="30"/>
      <c r="B125" s="8">
        <f>IF(A125="","",TEXT(A125,"mmm yyyy"))</f>
        <v>0</v>
      </c>
      <c r="C125" s="8">
        <f>IF(A125="","",TEXT(A125,"ddd"))</f>
        <v>0</v>
      </c>
      <c r="D125" s="27"/>
      <c r="E125" s="27"/>
      <c r="F125" s="26"/>
      <c r="G125" s="8">
        <f>IF(E125="","",IFERROR(IFERROR(INDEX(Recipes!$H$5:$H$204,MATCH(E125,Recipes!$A$5:$A$204,0)),"")*IF(F125="",1,F125),""))</f>
        <v>0</v>
      </c>
      <c r="H125" s="8">
        <f>IF(E125="","",IFERROR(IFERROR(INDEX(Recipes!$I$5:$I$204,MATCH(E125,Recipes!$A$5:$A$204,0)),"")*IF(F125="",1,F125),""))</f>
        <v>0</v>
      </c>
      <c r="I125" s="8">
        <f>IF(E125="","",IFERROR(IFERROR(INDEX(Recipes!$J$5:$J$204,MATCH(E125,Recipes!$A$5:$A$204,0)),"")*IF(F125="",1,F125),""))</f>
        <v>0</v>
      </c>
      <c r="J125" s="8">
        <f>IF(E125="","",IFERROR(IFERROR(INDEX(Recipes!$K$5:$K$204,MATCH(E125,Recipes!$A$5:$A$204,0)),"")*IF(F125="",1,F125),""))</f>
        <v>0</v>
      </c>
      <c r="K125" s="8">
        <f>IF(E125="","",IFERROR(IFERROR(INDEX(Recipes!$L$5:$L$204,MATCH(E125,Recipes!$A$5:$A$204,0)),"")*IF(F125="",1,F125),""))</f>
        <v>0</v>
      </c>
      <c r="L125" s="8">
        <f>IF(E125="","",IFERROR(IFERROR(INDEX(Recipes!$M$5:$M$204,MATCH(E125,Recipes!$A$5:$A$204,0)),"")*IF(F125="",1,F125),""))</f>
        <v>0</v>
      </c>
      <c r="M125" s="8">
        <f>IF(E125="","",IFERROR(IFERROR(INDEX(Recipes!$N$5:$N$204,MATCH(E125,Recipes!$A$5:$A$204,0)),"")*IF(F125="",1,F125),""))</f>
        <v>0</v>
      </c>
      <c r="N125" s="26"/>
      <c r="O125" s="8">
        <f>IF(A125="","",Calorie_Target*Household_Size)</f>
        <v>0</v>
      </c>
      <c r="P125" s="8">
        <f>IF(OR(A125="",O125=0),"",IFERROR(G125/O125,""))</f>
        <v>0</v>
      </c>
      <c r="Q125" s="8">
        <f>IF(OR(A125="",Protein_Target=0),"",IFERROR(H125/(Protein_Target*Household_Size),""))</f>
        <v>0</v>
      </c>
      <c r="R125" s="8">
        <f>IF(OR(A125="",Carb_Target=0),"",IFERROR(I125/(Carb_Target*Household_Size),""))</f>
        <v>0</v>
      </c>
      <c r="S125" s="8">
        <f>IF(OR(A125="",Fat_Target=0),"",IFERROR(J125/(Fat_Target*Household_Size),""))</f>
        <v>0</v>
      </c>
      <c r="T125" s="8">
        <f>IF(OR(A125="",Fibre_Target=0),"",IFERROR(K125/(Fibre_Target*Household_Size),""))</f>
        <v>0</v>
      </c>
      <c r="U125" s="8">
        <f>IF(OR(A125="",Sugar_Limit=0),"",IFERROR(L125/(Sugar_Limit*Household_Size),""))</f>
        <v>0</v>
      </c>
      <c r="V125" s="8">
        <f>IF(OR(A125="",Sodium_Limit=0),"",IFERROR(M125/(Sodium_Limit*Household_Size),""))</f>
        <v>0</v>
      </c>
      <c r="W125" s="8">
        <f>IF(A125="","",IF(P125="","",IF(P125&gt;1.1,"Over target",IF(P125&lt;0.8,"Under target","On target"))))</f>
        <v>0</v>
      </c>
      <c r="X125" s="25"/>
    </row>
    <row r="126" spans="1:24">
      <c r="A126" s="30"/>
      <c r="B126" s="8">
        <f>IF(A126="","",TEXT(A126,"mmm yyyy"))</f>
        <v>0</v>
      </c>
      <c r="C126" s="8">
        <f>IF(A126="","",TEXT(A126,"ddd"))</f>
        <v>0</v>
      </c>
      <c r="D126" s="27"/>
      <c r="E126" s="27"/>
      <c r="F126" s="26"/>
      <c r="G126" s="8">
        <f>IF(E126="","",IFERROR(IFERROR(INDEX(Recipes!$H$5:$H$204,MATCH(E126,Recipes!$A$5:$A$204,0)),"")*IF(F126="",1,F126),""))</f>
        <v>0</v>
      </c>
      <c r="H126" s="8">
        <f>IF(E126="","",IFERROR(IFERROR(INDEX(Recipes!$I$5:$I$204,MATCH(E126,Recipes!$A$5:$A$204,0)),"")*IF(F126="",1,F126),""))</f>
        <v>0</v>
      </c>
      <c r="I126" s="8">
        <f>IF(E126="","",IFERROR(IFERROR(INDEX(Recipes!$J$5:$J$204,MATCH(E126,Recipes!$A$5:$A$204,0)),"")*IF(F126="",1,F126),""))</f>
        <v>0</v>
      </c>
      <c r="J126" s="8">
        <f>IF(E126="","",IFERROR(IFERROR(INDEX(Recipes!$K$5:$K$204,MATCH(E126,Recipes!$A$5:$A$204,0)),"")*IF(F126="",1,F126),""))</f>
        <v>0</v>
      </c>
      <c r="K126" s="8">
        <f>IF(E126="","",IFERROR(IFERROR(INDEX(Recipes!$L$5:$L$204,MATCH(E126,Recipes!$A$5:$A$204,0)),"")*IF(F126="",1,F126),""))</f>
        <v>0</v>
      </c>
      <c r="L126" s="8">
        <f>IF(E126="","",IFERROR(IFERROR(INDEX(Recipes!$M$5:$M$204,MATCH(E126,Recipes!$A$5:$A$204,0)),"")*IF(F126="",1,F126),""))</f>
        <v>0</v>
      </c>
      <c r="M126" s="8">
        <f>IF(E126="","",IFERROR(IFERROR(INDEX(Recipes!$N$5:$N$204,MATCH(E126,Recipes!$A$5:$A$204,0)),"")*IF(F126="",1,F126),""))</f>
        <v>0</v>
      </c>
      <c r="N126" s="26"/>
      <c r="O126" s="8">
        <f>IF(A126="","",Calorie_Target*Household_Size)</f>
        <v>0</v>
      </c>
      <c r="P126" s="8">
        <f>IF(OR(A126="",O126=0),"",IFERROR(G126/O126,""))</f>
        <v>0</v>
      </c>
      <c r="Q126" s="8">
        <f>IF(OR(A126="",Protein_Target=0),"",IFERROR(H126/(Protein_Target*Household_Size),""))</f>
        <v>0</v>
      </c>
      <c r="R126" s="8">
        <f>IF(OR(A126="",Carb_Target=0),"",IFERROR(I126/(Carb_Target*Household_Size),""))</f>
        <v>0</v>
      </c>
      <c r="S126" s="8">
        <f>IF(OR(A126="",Fat_Target=0),"",IFERROR(J126/(Fat_Target*Household_Size),""))</f>
        <v>0</v>
      </c>
      <c r="T126" s="8">
        <f>IF(OR(A126="",Fibre_Target=0),"",IFERROR(K126/(Fibre_Target*Household_Size),""))</f>
        <v>0</v>
      </c>
      <c r="U126" s="8">
        <f>IF(OR(A126="",Sugar_Limit=0),"",IFERROR(L126/(Sugar_Limit*Household_Size),""))</f>
        <v>0</v>
      </c>
      <c r="V126" s="8">
        <f>IF(OR(A126="",Sodium_Limit=0),"",IFERROR(M126/(Sodium_Limit*Household_Size),""))</f>
        <v>0</v>
      </c>
      <c r="W126" s="8">
        <f>IF(A126="","",IF(P126="","",IF(P126&gt;1.1,"Over target",IF(P126&lt;0.8,"Under target","On target"))))</f>
        <v>0</v>
      </c>
      <c r="X126" s="25"/>
    </row>
    <row r="127" spans="1:24">
      <c r="A127" s="30"/>
      <c r="B127" s="8">
        <f>IF(A127="","",TEXT(A127,"mmm yyyy"))</f>
        <v>0</v>
      </c>
      <c r="C127" s="8">
        <f>IF(A127="","",TEXT(A127,"ddd"))</f>
        <v>0</v>
      </c>
      <c r="D127" s="27"/>
      <c r="E127" s="27"/>
      <c r="F127" s="26"/>
      <c r="G127" s="8">
        <f>IF(E127="","",IFERROR(IFERROR(INDEX(Recipes!$H$5:$H$204,MATCH(E127,Recipes!$A$5:$A$204,0)),"")*IF(F127="",1,F127),""))</f>
        <v>0</v>
      </c>
      <c r="H127" s="8">
        <f>IF(E127="","",IFERROR(IFERROR(INDEX(Recipes!$I$5:$I$204,MATCH(E127,Recipes!$A$5:$A$204,0)),"")*IF(F127="",1,F127),""))</f>
        <v>0</v>
      </c>
      <c r="I127" s="8">
        <f>IF(E127="","",IFERROR(IFERROR(INDEX(Recipes!$J$5:$J$204,MATCH(E127,Recipes!$A$5:$A$204,0)),"")*IF(F127="",1,F127),""))</f>
        <v>0</v>
      </c>
      <c r="J127" s="8">
        <f>IF(E127="","",IFERROR(IFERROR(INDEX(Recipes!$K$5:$K$204,MATCH(E127,Recipes!$A$5:$A$204,0)),"")*IF(F127="",1,F127),""))</f>
        <v>0</v>
      </c>
      <c r="K127" s="8">
        <f>IF(E127="","",IFERROR(IFERROR(INDEX(Recipes!$L$5:$L$204,MATCH(E127,Recipes!$A$5:$A$204,0)),"")*IF(F127="",1,F127),""))</f>
        <v>0</v>
      </c>
      <c r="L127" s="8">
        <f>IF(E127="","",IFERROR(IFERROR(INDEX(Recipes!$M$5:$M$204,MATCH(E127,Recipes!$A$5:$A$204,0)),"")*IF(F127="",1,F127),""))</f>
        <v>0</v>
      </c>
      <c r="M127" s="8">
        <f>IF(E127="","",IFERROR(IFERROR(INDEX(Recipes!$N$5:$N$204,MATCH(E127,Recipes!$A$5:$A$204,0)),"")*IF(F127="",1,F127),""))</f>
        <v>0</v>
      </c>
      <c r="N127" s="26"/>
      <c r="O127" s="8">
        <f>IF(A127="","",Calorie_Target*Household_Size)</f>
        <v>0</v>
      </c>
      <c r="P127" s="8">
        <f>IF(OR(A127="",O127=0),"",IFERROR(G127/O127,""))</f>
        <v>0</v>
      </c>
      <c r="Q127" s="8">
        <f>IF(OR(A127="",Protein_Target=0),"",IFERROR(H127/(Protein_Target*Household_Size),""))</f>
        <v>0</v>
      </c>
      <c r="R127" s="8">
        <f>IF(OR(A127="",Carb_Target=0),"",IFERROR(I127/(Carb_Target*Household_Size),""))</f>
        <v>0</v>
      </c>
      <c r="S127" s="8">
        <f>IF(OR(A127="",Fat_Target=0),"",IFERROR(J127/(Fat_Target*Household_Size),""))</f>
        <v>0</v>
      </c>
      <c r="T127" s="8">
        <f>IF(OR(A127="",Fibre_Target=0),"",IFERROR(K127/(Fibre_Target*Household_Size),""))</f>
        <v>0</v>
      </c>
      <c r="U127" s="8">
        <f>IF(OR(A127="",Sugar_Limit=0),"",IFERROR(L127/(Sugar_Limit*Household_Size),""))</f>
        <v>0</v>
      </c>
      <c r="V127" s="8">
        <f>IF(OR(A127="",Sodium_Limit=0),"",IFERROR(M127/(Sodium_Limit*Household_Size),""))</f>
        <v>0</v>
      </c>
      <c r="W127" s="8">
        <f>IF(A127="","",IF(P127="","",IF(P127&gt;1.1,"Over target",IF(P127&lt;0.8,"Under target","On target"))))</f>
        <v>0</v>
      </c>
      <c r="X127" s="25"/>
    </row>
    <row r="128" spans="1:24">
      <c r="A128" s="30"/>
      <c r="B128" s="8">
        <f>IF(A128="","",TEXT(A128,"mmm yyyy"))</f>
        <v>0</v>
      </c>
      <c r="C128" s="8">
        <f>IF(A128="","",TEXT(A128,"ddd"))</f>
        <v>0</v>
      </c>
      <c r="D128" s="27"/>
      <c r="E128" s="27"/>
      <c r="F128" s="26"/>
      <c r="G128" s="8">
        <f>IF(E128="","",IFERROR(IFERROR(INDEX(Recipes!$H$5:$H$204,MATCH(E128,Recipes!$A$5:$A$204,0)),"")*IF(F128="",1,F128),""))</f>
        <v>0</v>
      </c>
      <c r="H128" s="8">
        <f>IF(E128="","",IFERROR(IFERROR(INDEX(Recipes!$I$5:$I$204,MATCH(E128,Recipes!$A$5:$A$204,0)),"")*IF(F128="",1,F128),""))</f>
        <v>0</v>
      </c>
      <c r="I128" s="8">
        <f>IF(E128="","",IFERROR(IFERROR(INDEX(Recipes!$J$5:$J$204,MATCH(E128,Recipes!$A$5:$A$204,0)),"")*IF(F128="",1,F128),""))</f>
        <v>0</v>
      </c>
      <c r="J128" s="8">
        <f>IF(E128="","",IFERROR(IFERROR(INDEX(Recipes!$K$5:$K$204,MATCH(E128,Recipes!$A$5:$A$204,0)),"")*IF(F128="",1,F128),""))</f>
        <v>0</v>
      </c>
      <c r="K128" s="8">
        <f>IF(E128="","",IFERROR(IFERROR(INDEX(Recipes!$L$5:$L$204,MATCH(E128,Recipes!$A$5:$A$204,0)),"")*IF(F128="",1,F128),""))</f>
        <v>0</v>
      </c>
      <c r="L128" s="8">
        <f>IF(E128="","",IFERROR(IFERROR(INDEX(Recipes!$M$5:$M$204,MATCH(E128,Recipes!$A$5:$A$204,0)),"")*IF(F128="",1,F128),""))</f>
        <v>0</v>
      </c>
      <c r="M128" s="8">
        <f>IF(E128="","",IFERROR(IFERROR(INDEX(Recipes!$N$5:$N$204,MATCH(E128,Recipes!$A$5:$A$204,0)),"")*IF(F128="",1,F128),""))</f>
        <v>0</v>
      </c>
      <c r="N128" s="26"/>
      <c r="O128" s="8">
        <f>IF(A128="","",Calorie_Target*Household_Size)</f>
        <v>0</v>
      </c>
      <c r="P128" s="8">
        <f>IF(OR(A128="",O128=0),"",IFERROR(G128/O128,""))</f>
        <v>0</v>
      </c>
      <c r="Q128" s="8">
        <f>IF(OR(A128="",Protein_Target=0),"",IFERROR(H128/(Protein_Target*Household_Size),""))</f>
        <v>0</v>
      </c>
      <c r="R128" s="8">
        <f>IF(OR(A128="",Carb_Target=0),"",IFERROR(I128/(Carb_Target*Household_Size),""))</f>
        <v>0</v>
      </c>
      <c r="S128" s="8">
        <f>IF(OR(A128="",Fat_Target=0),"",IFERROR(J128/(Fat_Target*Household_Size),""))</f>
        <v>0</v>
      </c>
      <c r="T128" s="8">
        <f>IF(OR(A128="",Fibre_Target=0),"",IFERROR(K128/(Fibre_Target*Household_Size),""))</f>
        <v>0</v>
      </c>
      <c r="U128" s="8">
        <f>IF(OR(A128="",Sugar_Limit=0),"",IFERROR(L128/(Sugar_Limit*Household_Size),""))</f>
        <v>0</v>
      </c>
      <c r="V128" s="8">
        <f>IF(OR(A128="",Sodium_Limit=0),"",IFERROR(M128/(Sodium_Limit*Household_Size),""))</f>
        <v>0</v>
      </c>
      <c r="W128" s="8">
        <f>IF(A128="","",IF(P128="","",IF(P128&gt;1.1,"Over target",IF(P128&lt;0.8,"Under target","On target"))))</f>
        <v>0</v>
      </c>
      <c r="X128" s="25"/>
    </row>
    <row r="129" spans="1:24">
      <c r="A129" s="30"/>
      <c r="B129" s="8">
        <f>IF(A129="","",TEXT(A129,"mmm yyyy"))</f>
        <v>0</v>
      </c>
      <c r="C129" s="8">
        <f>IF(A129="","",TEXT(A129,"ddd"))</f>
        <v>0</v>
      </c>
      <c r="D129" s="27"/>
      <c r="E129" s="27"/>
      <c r="F129" s="26"/>
      <c r="G129" s="8">
        <f>IF(E129="","",IFERROR(IFERROR(INDEX(Recipes!$H$5:$H$204,MATCH(E129,Recipes!$A$5:$A$204,0)),"")*IF(F129="",1,F129),""))</f>
        <v>0</v>
      </c>
      <c r="H129" s="8">
        <f>IF(E129="","",IFERROR(IFERROR(INDEX(Recipes!$I$5:$I$204,MATCH(E129,Recipes!$A$5:$A$204,0)),"")*IF(F129="",1,F129),""))</f>
        <v>0</v>
      </c>
      <c r="I129" s="8">
        <f>IF(E129="","",IFERROR(IFERROR(INDEX(Recipes!$J$5:$J$204,MATCH(E129,Recipes!$A$5:$A$204,0)),"")*IF(F129="",1,F129),""))</f>
        <v>0</v>
      </c>
      <c r="J129" s="8">
        <f>IF(E129="","",IFERROR(IFERROR(INDEX(Recipes!$K$5:$K$204,MATCH(E129,Recipes!$A$5:$A$204,0)),"")*IF(F129="",1,F129),""))</f>
        <v>0</v>
      </c>
      <c r="K129" s="8">
        <f>IF(E129="","",IFERROR(IFERROR(INDEX(Recipes!$L$5:$L$204,MATCH(E129,Recipes!$A$5:$A$204,0)),"")*IF(F129="",1,F129),""))</f>
        <v>0</v>
      </c>
      <c r="L129" s="8">
        <f>IF(E129="","",IFERROR(IFERROR(INDEX(Recipes!$M$5:$M$204,MATCH(E129,Recipes!$A$5:$A$204,0)),"")*IF(F129="",1,F129),""))</f>
        <v>0</v>
      </c>
      <c r="M129" s="8">
        <f>IF(E129="","",IFERROR(IFERROR(INDEX(Recipes!$N$5:$N$204,MATCH(E129,Recipes!$A$5:$A$204,0)),"")*IF(F129="",1,F129),""))</f>
        <v>0</v>
      </c>
      <c r="N129" s="26"/>
      <c r="O129" s="8">
        <f>IF(A129="","",Calorie_Target*Household_Size)</f>
        <v>0</v>
      </c>
      <c r="P129" s="8">
        <f>IF(OR(A129="",O129=0),"",IFERROR(G129/O129,""))</f>
        <v>0</v>
      </c>
      <c r="Q129" s="8">
        <f>IF(OR(A129="",Protein_Target=0),"",IFERROR(H129/(Protein_Target*Household_Size),""))</f>
        <v>0</v>
      </c>
      <c r="R129" s="8">
        <f>IF(OR(A129="",Carb_Target=0),"",IFERROR(I129/(Carb_Target*Household_Size),""))</f>
        <v>0</v>
      </c>
      <c r="S129" s="8">
        <f>IF(OR(A129="",Fat_Target=0),"",IFERROR(J129/(Fat_Target*Household_Size),""))</f>
        <v>0</v>
      </c>
      <c r="T129" s="8">
        <f>IF(OR(A129="",Fibre_Target=0),"",IFERROR(K129/(Fibre_Target*Household_Size),""))</f>
        <v>0</v>
      </c>
      <c r="U129" s="8">
        <f>IF(OR(A129="",Sugar_Limit=0),"",IFERROR(L129/(Sugar_Limit*Household_Size),""))</f>
        <v>0</v>
      </c>
      <c r="V129" s="8">
        <f>IF(OR(A129="",Sodium_Limit=0),"",IFERROR(M129/(Sodium_Limit*Household_Size),""))</f>
        <v>0</v>
      </c>
      <c r="W129" s="8">
        <f>IF(A129="","",IF(P129="","",IF(P129&gt;1.1,"Over target",IF(P129&lt;0.8,"Under target","On target"))))</f>
        <v>0</v>
      </c>
      <c r="X129" s="25"/>
    </row>
    <row r="130" spans="1:24">
      <c r="A130" s="30"/>
      <c r="B130" s="8">
        <f>IF(A130="","",TEXT(A130,"mmm yyyy"))</f>
        <v>0</v>
      </c>
      <c r="C130" s="8">
        <f>IF(A130="","",TEXT(A130,"ddd"))</f>
        <v>0</v>
      </c>
      <c r="D130" s="27"/>
      <c r="E130" s="27"/>
      <c r="F130" s="26"/>
      <c r="G130" s="8">
        <f>IF(E130="","",IFERROR(IFERROR(INDEX(Recipes!$H$5:$H$204,MATCH(E130,Recipes!$A$5:$A$204,0)),"")*IF(F130="",1,F130),""))</f>
        <v>0</v>
      </c>
      <c r="H130" s="8">
        <f>IF(E130="","",IFERROR(IFERROR(INDEX(Recipes!$I$5:$I$204,MATCH(E130,Recipes!$A$5:$A$204,0)),"")*IF(F130="",1,F130),""))</f>
        <v>0</v>
      </c>
      <c r="I130" s="8">
        <f>IF(E130="","",IFERROR(IFERROR(INDEX(Recipes!$J$5:$J$204,MATCH(E130,Recipes!$A$5:$A$204,0)),"")*IF(F130="",1,F130),""))</f>
        <v>0</v>
      </c>
      <c r="J130" s="8">
        <f>IF(E130="","",IFERROR(IFERROR(INDEX(Recipes!$K$5:$K$204,MATCH(E130,Recipes!$A$5:$A$204,0)),"")*IF(F130="",1,F130),""))</f>
        <v>0</v>
      </c>
      <c r="K130" s="8">
        <f>IF(E130="","",IFERROR(IFERROR(INDEX(Recipes!$L$5:$L$204,MATCH(E130,Recipes!$A$5:$A$204,0)),"")*IF(F130="",1,F130),""))</f>
        <v>0</v>
      </c>
      <c r="L130" s="8">
        <f>IF(E130="","",IFERROR(IFERROR(INDEX(Recipes!$M$5:$M$204,MATCH(E130,Recipes!$A$5:$A$204,0)),"")*IF(F130="",1,F130),""))</f>
        <v>0</v>
      </c>
      <c r="M130" s="8">
        <f>IF(E130="","",IFERROR(IFERROR(INDEX(Recipes!$N$5:$N$204,MATCH(E130,Recipes!$A$5:$A$204,0)),"")*IF(F130="",1,F130),""))</f>
        <v>0</v>
      </c>
      <c r="N130" s="26"/>
      <c r="O130" s="8">
        <f>IF(A130="","",Calorie_Target*Household_Size)</f>
        <v>0</v>
      </c>
      <c r="P130" s="8">
        <f>IF(OR(A130="",O130=0),"",IFERROR(G130/O130,""))</f>
        <v>0</v>
      </c>
      <c r="Q130" s="8">
        <f>IF(OR(A130="",Protein_Target=0),"",IFERROR(H130/(Protein_Target*Household_Size),""))</f>
        <v>0</v>
      </c>
      <c r="R130" s="8">
        <f>IF(OR(A130="",Carb_Target=0),"",IFERROR(I130/(Carb_Target*Household_Size),""))</f>
        <v>0</v>
      </c>
      <c r="S130" s="8">
        <f>IF(OR(A130="",Fat_Target=0),"",IFERROR(J130/(Fat_Target*Household_Size),""))</f>
        <v>0</v>
      </c>
      <c r="T130" s="8">
        <f>IF(OR(A130="",Fibre_Target=0),"",IFERROR(K130/(Fibre_Target*Household_Size),""))</f>
        <v>0</v>
      </c>
      <c r="U130" s="8">
        <f>IF(OR(A130="",Sugar_Limit=0),"",IFERROR(L130/(Sugar_Limit*Household_Size),""))</f>
        <v>0</v>
      </c>
      <c r="V130" s="8">
        <f>IF(OR(A130="",Sodium_Limit=0),"",IFERROR(M130/(Sodium_Limit*Household_Size),""))</f>
        <v>0</v>
      </c>
      <c r="W130" s="8">
        <f>IF(A130="","",IF(P130="","",IF(P130&gt;1.1,"Over target",IF(P130&lt;0.8,"Under target","On target"))))</f>
        <v>0</v>
      </c>
      <c r="X130" s="25"/>
    </row>
    <row r="131" spans="1:24">
      <c r="A131" s="30"/>
      <c r="B131" s="8">
        <f>IF(A131="","",TEXT(A131,"mmm yyyy"))</f>
        <v>0</v>
      </c>
      <c r="C131" s="8">
        <f>IF(A131="","",TEXT(A131,"ddd"))</f>
        <v>0</v>
      </c>
      <c r="D131" s="27"/>
      <c r="E131" s="27"/>
      <c r="F131" s="26"/>
      <c r="G131" s="8">
        <f>IF(E131="","",IFERROR(IFERROR(INDEX(Recipes!$H$5:$H$204,MATCH(E131,Recipes!$A$5:$A$204,0)),"")*IF(F131="",1,F131),""))</f>
        <v>0</v>
      </c>
      <c r="H131" s="8">
        <f>IF(E131="","",IFERROR(IFERROR(INDEX(Recipes!$I$5:$I$204,MATCH(E131,Recipes!$A$5:$A$204,0)),"")*IF(F131="",1,F131),""))</f>
        <v>0</v>
      </c>
      <c r="I131" s="8">
        <f>IF(E131="","",IFERROR(IFERROR(INDEX(Recipes!$J$5:$J$204,MATCH(E131,Recipes!$A$5:$A$204,0)),"")*IF(F131="",1,F131),""))</f>
        <v>0</v>
      </c>
      <c r="J131" s="8">
        <f>IF(E131="","",IFERROR(IFERROR(INDEX(Recipes!$K$5:$K$204,MATCH(E131,Recipes!$A$5:$A$204,0)),"")*IF(F131="",1,F131),""))</f>
        <v>0</v>
      </c>
      <c r="K131" s="8">
        <f>IF(E131="","",IFERROR(IFERROR(INDEX(Recipes!$L$5:$L$204,MATCH(E131,Recipes!$A$5:$A$204,0)),"")*IF(F131="",1,F131),""))</f>
        <v>0</v>
      </c>
      <c r="L131" s="8">
        <f>IF(E131="","",IFERROR(IFERROR(INDEX(Recipes!$M$5:$M$204,MATCH(E131,Recipes!$A$5:$A$204,0)),"")*IF(F131="",1,F131),""))</f>
        <v>0</v>
      </c>
      <c r="M131" s="8">
        <f>IF(E131="","",IFERROR(IFERROR(INDEX(Recipes!$N$5:$N$204,MATCH(E131,Recipes!$A$5:$A$204,0)),"")*IF(F131="",1,F131),""))</f>
        <v>0</v>
      </c>
      <c r="N131" s="26"/>
      <c r="O131" s="8">
        <f>IF(A131="","",Calorie_Target*Household_Size)</f>
        <v>0</v>
      </c>
      <c r="P131" s="8">
        <f>IF(OR(A131="",O131=0),"",IFERROR(G131/O131,""))</f>
        <v>0</v>
      </c>
      <c r="Q131" s="8">
        <f>IF(OR(A131="",Protein_Target=0),"",IFERROR(H131/(Protein_Target*Household_Size),""))</f>
        <v>0</v>
      </c>
      <c r="R131" s="8">
        <f>IF(OR(A131="",Carb_Target=0),"",IFERROR(I131/(Carb_Target*Household_Size),""))</f>
        <v>0</v>
      </c>
      <c r="S131" s="8">
        <f>IF(OR(A131="",Fat_Target=0),"",IFERROR(J131/(Fat_Target*Household_Size),""))</f>
        <v>0</v>
      </c>
      <c r="T131" s="8">
        <f>IF(OR(A131="",Fibre_Target=0),"",IFERROR(K131/(Fibre_Target*Household_Size),""))</f>
        <v>0</v>
      </c>
      <c r="U131" s="8">
        <f>IF(OR(A131="",Sugar_Limit=0),"",IFERROR(L131/(Sugar_Limit*Household_Size),""))</f>
        <v>0</v>
      </c>
      <c r="V131" s="8">
        <f>IF(OR(A131="",Sodium_Limit=0),"",IFERROR(M131/(Sodium_Limit*Household_Size),""))</f>
        <v>0</v>
      </c>
      <c r="W131" s="8">
        <f>IF(A131="","",IF(P131="","",IF(P131&gt;1.1,"Over target",IF(P131&lt;0.8,"Under target","On target"))))</f>
        <v>0</v>
      </c>
      <c r="X131" s="25"/>
    </row>
    <row r="132" spans="1:24">
      <c r="A132" s="30"/>
      <c r="B132" s="8">
        <f>IF(A132="","",TEXT(A132,"mmm yyyy"))</f>
        <v>0</v>
      </c>
      <c r="C132" s="8">
        <f>IF(A132="","",TEXT(A132,"ddd"))</f>
        <v>0</v>
      </c>
      <c r="D132" s="27"/>
      <c r="E132" s="27"/>
      <c r="F132" s="26"/>
      <c r="G132" s="8">
        <f>IF(E132="","",IFERROR(IFERROR(INDEX(Recipes!$H$5:$H$204,MATCH(E132,Recipes!$A$5:$A$204,0)),"")*IF(F132="",1,F132),""))</f>
        <v>0</v>
      </c>
      <c r="H132" s="8">
        <f>IF(E132="","",IFERROR(IFERROR(INDEX(Recipes!$I$5:$I$204,MATCH(E132,Recipes!$A$5:$A$204,0)),"")*IF(F132="",1,F132),""))</f>
        <v>0</v>
      </c>
      <c r="I132" s="8">
        <f>IF(E132="","",IFERROR(IFERROR(INDEX(Recipes!$J$5:$J$204,MATCH(E132,Recipes!$A$5:$A$204,0)),"")*IF(F132="",1,F132),""))</f>
        <v>0</v>
      </c>
      <c r="J132" s="8">
        <f>IF(E132="","",IFERROR(IFERROR(INDEX(Recipes!$K$5:$K$204,MATCH(E132,Recipes!$A$5:$A$204,0)),"")*IF(F132="",1,F132),""))</f>
        <v>0</v>
      </c>
      <c r="K132" s="8">
        <f>IF(E132="","",IFERROR(IFERROR(INDEX(Recipes!$L$5:$L$204,MATCH(E132,Recipes!$A$5:$A$204,0)),"")*IF(F132="",1,F132),""))</f>
        <v>0</v>
      </c>
      <c r="L132" s="8">
        <f>IF(E132="","",IFERROR(IFERROR(INDEX(Recipes!$M$5:$M$204,MATCH(E132,Recipes!$A$5:$A$204,0)),"")*IF(F132="",1,F132),""))</f>
        <v>0</v>
      </c>
      <c r="M132" s="8">
        <f>IF(E132="","",IFERROR(IFERROR(INDEX(Recipes!$N$5:$N$204,MATCH(E132,Recipes!$A$5:$A$204,0)),"")*IF(F132="",1,F132),""))</f>
        <v>0</v>
      </c>
      <c r="N132" s="26"/>
      <c r="O132" s="8">
        <f>IF(A132="","",Calorie_Target*Household_Size)</f>
        <v>0</v>
      </c>
      <c r="P132" s="8">
        <f>IF(OR(A132="",O132=0),"",IFERROR(G132/O132,""))</f>
        <v>0</v>
      </c>
      <c r="Q132" s="8">
        <f>IF(OR(A132="",Protein_Target=0),"",IFERROR(H132/(Protein_Target*Household_Size),""))</f>
        <v>0</v>
      </c>
      <c r="R132" s="8">
        <f>IF(OR(A132="",Carb_Target=0),"",IFERROR(I132/(Carb_Target*Household_Size),""))</f>
        <v>0</v>
      </c>
      <c r="S132" s="8">
        <f>IF(OR(A132="",Fat_Target=0),"",IFERROR(J132/(Fat_Target*Household_Size),""))</f>
        <v>0</v>
      </c>
      <c r="T132" s="8">
        <f>IF(OR(A132="",Fibre_Target=0),"",IFERROR(K132/(Fibre_Target*Household_Size),""))</f>
        <v>0</v>
      </c>
      <c r="U132" s="8">
        <f>IF(OR(A132="",Sugar_Limit=0),"",IFERROR(L132/(Sugar_Limit*Household_Size),""))</f>
        <v>0</v>
      </c>
      <c r="V132" s="8">
        <f>IF(OR(A132="",Sodium_Limit=0),"",IFERROR(M132/(Sodium_Limit*Household_Size),""))</f>
        <v>0</v>
      </c>
      <c r="W132" s="8">
        <f>IF(A132="","",IF(P132="","",IF(P132&gt;1.1,"Over target",IF(P132&lt;0.8,"Under target","On target"))))</f>
        <v>0</v>
      </c>
      <c r="X132" s="25"/>
    </row>
    <row r="133" spans="1:24">
      <c r="A133" s="30"/>
      <c r="B133" s="8">
        <f>IF(A133="","",TEXT(A133,"mmm yyyy"))</f>
        <v>0</v>
      </c>
      <c r="C133" s="8">
        <f>IF(A133="","",TEXT(A133,"ddd"))</f>
        <v>0</v>
      </c>
      <c r="D133" s="27"/>
      <c r="E133" s="27"/>
      <c r="F133" s="26"/>
      <c r="G133" s="8">
        <f>IF(E133="","",IFERROR(IFERROR(INDEX(Recipes!$H$5:$H$204,MATCH(E133,Recipes!$A$5:$A$204,0)),"")*IF(F133="",1,F133),""))</f>
        <v>0</v>
      </c>
      <c r="H133" s="8">
        <f>IF(E133="","",IFERROR(IFERROR(INDEX(Recipes!$I$5:$I$204,MATCH(E133,Recipes!$A$5:$A$204,0)),"")*IF(F133="",1,F133),""))</f>
        <v>0</v>
      </c>
      <c r="I133" s="8">
        <f>IF(E133="","",IFERROR(IFERROR(INDEX(Recipes!$J$5:$J$204,MATCH(E133,Recipes!$A$5:$A$204,0)),"")*IF(F133="",1,F133),""))</f>
        <v>0</v>
      </c>
      <c r="J133" s="8">
        <f>IF(E133="","",IFERROR(IFERROR(INDEX(Recipes!$K$5:$K$204,MATCH(E133,Recipes!$A$5:$A$204,0)),"")*IF(F133="",1,F133),""))</f>
        <v>0</v>
      </c>
      <c r="K133" s="8">
        <f>IF(E133="","",IFERROR(IFERROR(INDEX(Recipes!$L$5:$L$204,MATCH(E133,Recipes!$A$5:$A$204,0)),"")*IF(F133="",1,F133),""))</f>
        <v>0</v>
      </c>
      <c r="L133" s="8">
        <f>IF(E133="","",IFERROR(IFERROR(INDEX(Recipes!$M$5:$M$204,MATCH(E133,Recipes!$A$5:$A$204,0)),"")*IF(F133="",1,F133),""))</f>
        <v>0</v>
      </c>
      <c r="M133" s="8">
        <f>IF(E133="","",IFERROR(IFERROR(INDEX(Recipes!$N$5:$N$204,MATCH(E133,Recipes!$A$5:$A$204,0)),"")*IF(F133="",1,F133),""))</f>
        <v>0</v>
      </c>
      <c r="N133" s="26"/>
      <c r="O133" s="8">
        <f>IF(A133="","",Calorie_Target*Household_Size)</f>
        <v>0</v>
      </c>
      <c r="P133" s="8">
        <f>IF(OR(A133="",O133=0),"",IFERROR(G133/O133,""))</f>
        <v>0</v>
      </c>
      <c r="Q133" s="8">
        <f>IF(OR(A133="",Protein_Target=0),"",IFERROR(H133/(Protein_Target*Household_Size),""))</f>
        <v>0</v>
      </c>
      <c r="R133" s="8">
        <f>IF(OR(A133="",Carb_Target=0),"",IFERROR(I133/(Carb_Target*Household_Size),""))</f>
        <v>0</v>
      </c>
      <c r="S133" s="8">
        <f>IF(OR(A133="",Fat_Target=0),"",IFERROR(J133/(Fat_Target*Household_Size),""))</f>
        <v>0</v>
      </c>
      <c r="T133" s="8">
        <f>IF(OR(A133="",Fibre_Target=0),"",IFERROR(K133/(Fibre_Target*Household_Size),""))</f>
        <v>0</v>
      </c>
      <c r="U133" s="8">
        <f>IF(OR(A133="",Sugar_Limit=0),"",IFERROR(L133/(Sugar_Limit*Household_Size),""))</f>
        <v>0</v>
      </c>
      <c r="V133" s="8">
        <f>IF(OR(A133="",Sodium_Limit=0),"",IFERROR(M133/(Sodium_Limit*Household_Size),""))</f>
        <v>0</v>
      </c>
      <c r="W133" s="8">
        <f>IF(A133="","",IF(P133="","",IF(P133&gt;1.1,"Over target",IF(P133&lt;0.8,"Under target","On target"))))</f>
        <v>0</v>
      </c>
      <c r="X133" s="25"/>
    </row>
    <row r="134" spans="1:24">
      <c r="A134" s="30"/>
      <c r="B134" s="8">
        <f>IF(A134="","",TEXT(A134,"mmm yyyy"))</f>
        <v>0</v>
      </c>
      <c r="C134" s="8">
        <f>IF(A134="","",TEXT(A134,"ddd"))</f>
        <v>0</v>
      </c>
      <c r="D134" s="27"/>
      <c r="E134" s="27"/>
      <c r="F134" s="26"/>
      <c r="G134" s="8">
        <f>IF(E134="","",IFERROR(IFERROR(INDEX(Recipes!$H$5:$H$204,MATCH(E134,Recipes!$A$5:$A$204,0)),"")*IF(F134="",1,F134),""))</f>
        <v>0</v>
      </c>
      <c r="H134" s="8">
        <f>IF(E134="","",IFERROR(IFERROR(INDEX(Recipes!$I$5:$I$204,MATCH(E134,Recipes!$A$5:$A$204,0)),"")*IF(F134="",1,F134),""))</f>
        <v>0</v>
      </c>
      <c r="I134" s="8">
        <f>IF(E134="","",IFERROR(IFERROR(INDEX(Recipes!$J$5:$J$204,MATCH(E134,Recipes!$A$5:$A$204,0)),"")*IF(F134="",1,F134),""))</f>
        <v>0</v>
      </c>
      <c r="J134" s="8">
        <f>IF(E134="","",IFERROR(IFERROR(INDEX(Recipes!$K$5:$K$204,MATCH(E134,Recipes!$A$5:$A$204,0)),"")*IF(F134="",1,F134),""))</f>
        <v>0</v>
      </c>
      <c r="K134" s="8">
        <f>IF(E134="","",IFERROR(IFERROR(INDEX(Recipes!$L$5:$L$204,MATCH(E134,Recipes!$A$5:$A$204,0)),"")*IF(F134="",1,F134),""))</f>
        <v>0</v>
      </c>
      <c r="L134" s="8">
        <f>IF(E134="","",IFERROR(IFERROR(INDEX(Recipes!$M$5:$M$204,MATCH(E134,Recipes!$A$5:$A$204,0)),"")*IF(F134="",1,F134),""))</f>
        <v>0</v>
      </c>
      <c r="M134" s="8">
        <f>IF(E134="","",IFERROR(IFERROR(INDEX(Recipes!$N$5:$N$204,MATCH(E134,Recipes!$A$5:$A$204,0)),"")*IF(F134="",1,F134),""))</f>
        <v>0</v>
      </c>
      <c r="N134" s="26"/>
      <c r="O134" s="8">
        <f>IF(A134="","",Calorie_Target*Household_Size)</f>
        <v>0</v>
      </c>
      <c r="P134" s="8">
        <f>IF(OR(A134="",O134=0),"",IFERROR(G134/O134,""))</f>
        <v>0</v>
      </c>
      <c r="Q134" s="8">
        <f>IF(OR(A134="",Protein_Target=0),"",IFERROR(H134/(Protein_Target*Household_Size),""))</f>
        <v>0</v>
      </c>
      <c r="R134" s="8">
        <f>IF(OR(A134="",Carb_Target=0),"",IFERROR(I134/(Carb_Target*Household_Size),""))</f>
        <v>0</v>
      </c>
      <c r="S134" s="8">
        <f>IF(OR(A134="",Fat_Target=0),"",IFERROR(J134/(Fat_Target*Household_Size),""))</f>
        <v>0</v>
      </c>
      <c r="T134" s="8">
        <f>IF(OR(A134="",Fibre_Target=0),"",IFERROR(K134/(Fibre_Target*Household_Size),""))</f>
        <v>0</v>
      </c>
      <c r="U134" s="8">
        <f>IF(OR(A134="",Sugar_Limit=0),"",IFERROR(L134/(Sugar_Limit*Household_Size),""))</f>
        <v>0</v>
      </c>
      <c r="V134" s="8">
        <f>IF(OR(A134="",Sodium_Limit=0),"",IFERROR(M134/(Sodium_Limit*Household_Size),""))</f>
        <v>0</v>
      </c>
      <c r="W134" s="8">
        <f>IF(A134="","",IF(P134="","",IF(P134&gt;1.1,"Over target",IF(P134&lt;0.8,"Under target","On target"))))</f>
        <v>0</v>
      </c>
      <c r="X134" s="25"/>
    </row>
    <row r="135" spans="1:24">
      <c r="A135" s="30"/>
      <c r="B135" s="8">
        <f>IF(A135="","",TEXT(A135,"mmm yyyy"))</f>
        <v>0</v>
      </c>
      <c r="C135" s="8">
        <f>IF(A135="","",TEXT(A135,"ddd"))</f>
        <v>0</v>
      </c>
      <c r="D135" s="27"/>
      <c r="E135" s="27"/>
      <c r="F135" s="26"/>
      <c r="G135" s="8">
        <f>IF(E135="","",IFERROR(IFERROR(INDEX(Recipes!$H$5:$H$204,MATCH(E135,Recipes!$A$5:$A$204,0)),"")*IF(F135="",1,F135),""))</f>
        <v>0</v>
      </c>
      <c r="H135" s="8">
        <f>IF(E135="","",IFERROR(IFERROR(INDEX(Recipes!$I$5:$I$204,MATCH(E135,Recipes!$A$5:$A$204,0)),"")*IF(F135="",1,F135),""))</f>
        <v>0</v>
      </c>
      <c r="I135" s="8">
        <f>IF(E135="","",IFERROR(IFERROR(INDEX(Recipes!$J$5:$J$204,MATCH(E135,Recipes!$A$5:$A$204,0)),"")*IF(F135="",1,F135),""))</f>
        <v>0</v>
      </c>
      <c r="J135" s="8">
        <f>IF(E135="","",IFERROR(IFERROR(INDEX(Recipes!$K$5:$K$204,MATCH(E135,Recipes!$A$5:$A$204,0)),"")*IF(F135="",1,F135),""))</f>
        <v>0</v>
      </c>
      <c r="K135" s="8">
        <f>IF(E135="","",IFERROR(IFERROR(INDEX(Recipes!$L$5:$L$204,MATCH(E135,Recipes!$A$5:$A$204,0)),"")*IF(F135="",1,F135),""))</f>
        <v>0</v>
      </c>
      <c r="L135" s="8">
        <f>IF(E135="","",IFERROR(IFERROR(INDEX(Recipes!$M$5:$M$204,MATCH(E135,Recipes!$A$5:$A$204,0)),"")*IF(F135="",1,F135),""))</f>
        <v>0</v>
      </c>
      <c r="M135" s="8">
        <f>IF(E135="","",IFERROR(IFERROR(INDEX(Recipes!$N$5:$N$204,MATCH(E135,Recipes!$A$5:$A$204,0)),"")*IF(F135="",1,F135),""))</f>
        <v>0</v>
      </c>
      <c r="N135" s="26"/>
      <c r="O135" s="8">
        <f>IF(A135="","",Calorie_Target*Household_Size)</f>
        <v>0</v>
      </c>
      <c r="P135" s="8">
        <f>IF(OR(A135="",O135=0),"",IFERROR(G135/O135,""))</f>
        <v>0</v>
      </c>
      <c r="Q135" s="8">
        <f>IF(OR(A135="",Protein_Target=0),"",IFERROR(H135/(Protein_Target*Household_Size),""))</f>
        <v>0</v>
      </c>
      <c r="R135" s="8">
        <f>IF(OR(A135="",Carb_Target=0),"",IFERROR(I135/(Carb_Target*Household_Size),""))</f>
        <v>0</v>
      </c>
      <c r="S135" s="8">
        <f>IF(OR(A135="",Fat_Target=0),"",IFERROR(J135/(Fat_Target*Household_Size),""))</f>
        <v>0</v>
      </c>
      <c r="T135" s="8">
        <f>IF(OR(A135="",Fibre_Target=0),"",IFERROR(K135/(Fibre_Target*Household_Size),""))</f>
        <v>0</v>
      </c>
      <c r="U135" s="8">
        <f>IF(OR(A135="",Sugar_Limit=0),"",IFERROR(L135/(Sugar_Limit*Household_Size),""))</f>
        <v>0</v>
      </c>
      <c r="V135" s="8">
        <f>IF(OR(A135="",Sodium_Limit=0),"",IFERROR(M135/(Sodium_Limit*Household_Size),""))</f>
        <v>0</v>
      </c>
      <c r="W135" s="8">
        <f>IF(A135="","",IF(P135="","",IF(P135&gt;1.1,"Over target",IF(P135&lt;0.8,"Under target","On target"))))</f>
        <v>0</v>
      </c>
      <c r="X135" s="25"/>
    </row>
    <row r="136" spans="1:24">
      <c r="A136" s="30"/>
      <c r="B136" s="8">
        <f>IF(A136="","",TEXT(A136,"mmm yyyy"))</f>
        <v>0</v>
      </c>
      <c r="C136" s="8">
        <f>IF(A136="","",TEXT(A136,"ddd"))</f>
        <v>0</v>
      </c>
      <c r="D136" s="27"/>
      <c r="E136" s="27"/>
      <c r="F136" s="26"/>
      <c r="G136" s="8">
        <f>IF(E136="","",IFERROR(IFERROR(INDEX(Recipes!$H$5:$H$204,MATCH(E136,Recipes!$A$5:$A$204,0)),"")*IF(F136="",1,F136),""))</f>
        <v>0</v>
      </c>
      <c r="H136" s="8">
        <f>IF(E136="","",IFERROR(IFERROR(INDEX(Recipes!$I$5:$I$204,MATCH(E136,Recipes!$A$5:$A$204,0)),"")*IF(F136="",1,F136),""))</f>
        <v>0</v>
      </c>
      <c r="I136" s="8">
        <f>IF(E136="","",IFERROR(IFERROR(INDEX(Recipes!$J$5:$J$204,MATCH(E136,Recipes!$A$5:$A$204,0)),"")*IF(F136="",1,F136),""))</f>
        <v>0</v>
      </c>
      <c r="J136" s="8">
        <f>IF(E136="","",IFERROR(IFERROR(INDEX(Recipes!$K$5:$K$204,MATCH(E136,Recipes!$A$5:$A$204,0)),"")*IF(F136="",1,F136),""))</f>
        <v>0</v>
      </c>
      <c r="K136" s="8">
        <f>IF(E136="","",IFERROR(IFERROR(INDEX(Recipes!$L$5:$L$204,MATCH(E136,Recipes!$A$5:$A$204,0)),"")*IF(F136="",1,F136),""))</f>
        <v>0</v>
      </c>
      <c r="L136" s="8">
        <f>IF(E136="","",IFERROR(IFERROR(INDEX(Recipes!$M$5:$M$204,MATCH(E136,Recipes!$A$5:$A$204,0)),"")*IF(F136="",1,F136),""))</f>
        <v>0</v>
      </c>
      <c r="M136" s="8">
        <f>IF(E136="","",IFERROR(IFERROR(INDEX(Recipes!$N$5:$N$204,MATCH(E136,Recipes!$A$5:$A$204,0)),"")*IF(F136="",1,F136),""))</f>
        <v>0</v>
      </c>
      <c r="N136" s="26"/>
      <c r="O136" s="8">
        <f>IF(A136="","",Calorie_Target*Household_Size)</f>
        <v>0</v>
      </c>
      <c r="P136" s="8">
        <f>IF(OR(A136="",O136=0),"",IFERROR(G136/O136,""))</f>
        <v>0</v>
      </c>
      <c r="Q136" s="8">
        <f>IF(OR(A136="",Protein_Target=0),"",IFERROR(H136/(Protein_Target*Household_Size),""))</f>
        <v>0</v>
      </c>
      <c r="R136" s="8">
        <f>IF(OR(A136="",Carb_Target=0),"",IFERROR(I136/(Carb_Target*Household_Size),""))</f>
        <v>0</v>
      </c>
      <c r="S136" s="8">
        <f>IF(OR(A136="",Fat_Target=0),"",IFERROR(J136/(Fat_Target*Household_Size),""))</f>
        <v>0</v>
      </c>
      <c r="T136" s="8">
        <f>IF(OR(A136="",Fibre_Target=0),"",IFERROR(K136/(Fibre_Target*Household_Size),""))</f>
        <v>0</v>
      </c>
      <c r="U136" s="8">
        <f>IF(OR(A136="",Sugar_Limit=0),"",IFERROR(L136/(Sugar_Limit*Household_Size),""))</f>
        <v>0</v>
      </c>
      <c r="V136" s="8">
        <f>IF(OR(A136="",Sodium_Limit=0),"",IFERROR(M136/(Sodium_Limit*Household_Size),""))</f>
        <v>0</v>
      </c>
      <c r="W136" s="8">
        <f>IF(A136="","",IF(P136="","",IF(P136&gt;1.1,"Over target",IF(P136&lt;0.8,"Under target","On target"))))</f>
        <v>0</v>
      </c>
      <c r="X136" s="25"/>
    </row>
    <row r="137" spans="1:24">
      <c r="A137" s="30"/>
      <c r="B137" s="8">
        <f>IF(A137="","",TEXT(A137,"mmm yyyy"))</f>
        <v>0</v>
      </c>
      <c r="C137" s="8">
        <f>IF(A137="","",TEXT(A137,"ddd"))</f>
        <v>0</v>
      </c>
      <c r="D137" s="27"/>
      <c r="E137" s="27"/>
      <c r="F137" s="26"/>
      <c r="G137" s="8">
        <f>IF(E137="","",IFERROR(IFERROR(INDEX(Recipes!$H$5:$H$204,MATCH(E137,Recipes!$A$5:$A$204,0)),"")*IF(F137="",1,F137),""))</f>
        <v>0</v>
      </c>
      <c r="H137" s="8">
        <f>IF(E137="","",IFERROR(IFERROR(INDEX(Recipes!$I$5:$I$204,MATCH(E137,Recipes!$A$5:$A$204,0)),"")*IF(F137="",1,F137),""))</f>
        <v>0</v>
      </c>
      <c r="I137" s="8">
        <f>IF(E137="","",IFERROR(IFERROR(INDEX(Recipes!$J$5:$J$204,MATCH(E137,Recipes!$A$5:$A$204,0)),"")*IF(F137="",1,F137),""))</f>
        <v>0</v>
      </c>
      <c r="J137" s="8">
        <f>IF(E137="","",IFERROR(IFERROR(INDEX(Recipes!$K$5:$K$204,MATCH(E137,Recipes!$A$5:$A$204,0)),"")*IF(F137="",1,F137),""))</f>
        <v>0</v>
      </c>
      <c r="K137" s="8">
        <f>IF(E137="","",IFERROR(IFERROR(INDEX(Recipes!$L$5:$L$204,MATCH(E137,Recipes!$A$5:$A$204,0)),"")*IF(F137="",1,F137),""))</f>
        <v>0</v>
      </c>
      <c r="L137" s="8">
        <f>IF(E137="","",IFERROR(IFERROR(INDEX(Recipes!$M$5:$M$204,MATCH(E137,Recipes!$A$5:$A$204,0)),"")*IF(F137="",1,F137),""))</f>
        <v>0</v>
      </c>
      <c r="M137" s="8">
        <f>IF(E137="","",IFERROR(IFERROR(INDEX(Recipes!$N$5:$N$204,MATCH(E137,Recipes!$A$5:$A$204,0)),"")*IF(F137="",1,F137),""))</f>
        <v>0</v>
      </c>
      <c r="N137" s="26"/>
      <c r="O137" s="8">
        <f>IF(A137="","",Calorie_Target*Household_Size)</f>
        <v>0</v>
      </c>
      <c r="P137" s="8">
        <f>IF(OR(A137="",O137=0),"",IFERROR(G137/O137,""))</f>
        <v>0</v>
      </c>
      <c r="Q137" s="8">
        <f>IF(OR(A137="",Protein_Target=0),"",IFERROR(H137/(Protein_Target*Household_Size),""))</f>
        <v>0</v>
      </c>
      <c r="R137" s="8">
        <f>IF(OR(A137="",Carb_Target=0),"",IFERROR(I137/(Carb_Target*Household_Size),""))</f>
        <v>0</v>
      </c>
      <c r="S137" s="8">
        <f>IF(OR(A137="",Fat_Target=0),"",IFERROR(J137/(Fat_Target*Household_Size),""))</f>
        <v>0</v>
      </c>
      <c r="T137" s="8">
        <f>IF(OR(A137="",Fibre_Target=0),"",IFERROR(K137/(Fibre_Target*Household_Size),""))</f>
        <v>0</v>
      </c>
      <c r="U137" s="8">
        <f>IF(OR(A137="",Sugar_Limit=0),"",IFERROR(L137/(Sugar_Limit*Household_Size),""))</f>
        <v>0</v>
      </c>
      <c r="V137" s="8">
        <f>IF(OR(A137="",Sodium_Limit=0),"",IFERROR(M137/(Sodium_Limit*Household_Size),""))</f>
        <v>0</v>
      </c>
      <c r="W137" s="8">
        <f>IF(A137="","",IF(P137="","",IF(P137&gt;1.1,"Over target",IF(P137&lt;0.8,"Under target","On target"))))</f>
        <v>0</v>
      </c>
      <c r="X137" s="25"/>
    </row>
    <row r="138" spans="1:24">
      <c r="A138" s="30"/>
      <c r="B138" s="8">
        <f>IF(A138="","",TEXT(A138,"mmm yyyy"))</f>
        <v>0</v>
      </c>
      <c r="C138" s="8">
        <f>IF(A138="","",TEXT(A138,"ddd"))</f>
        <v>0</v>
      </c>
      <c r="D138" s="27"/>
      <c r="E138" s="27"/>
      <c r="F138" s="26"/>
      <c r="G138" s="8">
        <f>IF(E138="","",IFERROR(IFERROR(INDEX(Recipes!$H$5:$H$204,MATCH(E138,Recipes!$A$5:$A$204,0)),"")*IF(F138="",1,F138),""))</f>
        <v>0</v>
      </c>
      <c r="H138" s="8">
        <f>IF(E138="","",IFERROR(IFERROR(INDEX(Recipes!$I$5:$I$204,MATCH(E138,Recipes!$A$5:$A$204,0)),"")*IF(F138="",1,F138),""))</f>
        <v>0</v>
      </c>
      <c r="I138" s="8">
        <f>IF(E138="","",IFERROR(IFERROR(INDEX(Recipes!$J$5:$J$204,MATCH(E138,Recipes!$A$5:$A$204,0)),"")*IF(F138="",1,F138),""))</f>
        <v>0</v>
      </c>
      <c r="J138" s="8">
        <f>IF(E138="","",IFERROR(IFERROR(INDEX(Recipes!$K$5:$K$204,MATCH(E138,Recipes!$A$5:$A$204,0)),"")*IF(F138="",1,F138),""))</f>
        <v>0</v>
      </c>
      <c r="K138" s="8">
        <f>IF(E138="","",IFERROR(IFERROR(INDEX(Recipes!$L$5:$L$204,MATCH(E138,Recipes!$A$5:$A$204,0)),"")*IF(F138="",1,F138),""))</f>
        <v>0</v>
      </c>
      <c r="L138" s="8">
        <f>IF(E138="","",IFERROR(IFERROR(INDEX(Recipes!$M$5:$M$204,MATCH(E138,Recipes!$A$5:$A$204,0)),"")*IF(F138="",1,F138),""))</f>
        <v>0</v>
      </c>
      <c r="M138" s="8">
        <f>IF(E138="","",IFERROR(IFERROR(INDEX(Recipes!$N$5:$N$204,MATCH(E138,Recipes!$A$5:$A$204,0)),"")*IF(F138="",1,F138),""))</f>
        <v>0</v>
      </c>
      <c r="N138" s="26"/>
      <c r="O138" s="8">
        <f>IF(A138="","",Calorie_Target*Household_Size)</f>
        <v>0</v>
      </c>
      <c r="P138" s="8">
        <f>IF(OR(A138="",O138=0),"",IFERROR(G138/O138,""))</f>
        <v>0</v>
      </c>
      <c r="Q138" s="8">
        <f>IF(OR(A138="",Protein_Target=0),"",IFERROR(H138/(Protein_Target*Household_Size),""))</f>
        <v>0</v>
      </c>
      <c r="R138" s="8">
        <f>IF(OR(A138="",Carb_Target=0),"",IFERROR(I138/(Carb_Target*Household_Size),""))</f>
        <v>0</v>
      </c>
      <c r="S138" s="8">
        <f>IF(OR(A138="",Fat_Target=0),"",IFERROR(J138/(Fat_Target*Household_Size),""))</f>
        <v>0</v>
      </c>
      <c r="T138" s="8">
        <f>IF(OR(A138="",Fibre_Target=0),"",IFERROR(K138/(Fibre_Target*Household_Size),""))</f>
        <v>0</v>
      </c>
      <c r="U138" s="8">
        <f>IF(OR(A138="",Sugar_Limit=0),"",IFERROR(L138/(Sugar_Limit*Household_Size),""))</f>
        <v>0</v>
      </c>
      <c r="V138" s="8">
        <f>IF(OR(A138="",Sodium_Limit=0),"",IFERROR(M138/(Sodium_Limit*Household_Size),""))</f>
        <v>0</v>
      </c>
      <c r="W138" s="8">
        <f>IF(A138="","",IF(P138="","",IF(P138&gt;1.1,"Over target",IF(P138&lt;0.8,"Under target","On target"))))</f>
        <v>0</v>
      </c>
      <c r="X138" s="25"/>
    </row>
  </sheetData>
  <sheetProtection password="EC7C" sheet="1" objects="1" scenarios="1" selectLockedCells="1" selectUnlockedCells="1"/>
  <autoFilter ref="A18:X138"/>
  <mergeCells count="5">
    <mergeCell ref="A1:I1"/>
    <mergeCell ref="A2:I2"/>
    <mergeCell ref="A3:I3"/>
    <mergeCell ref="A5:I5"/>
    <mergeCell ref="A14:I14"/>
  </mergeCells>
  <dataValidations count="480">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s>
  <pageMargins left="0.7" right="0.7" top="0.75" bottom="0.75" header="0.3" footer="0.3"/>
  <pageSetup paperSize="9" fitToHeight="0" orientation="landscape"/>
</worksheet>
</file>

<file path=xl/worksheets/sheet20.xml><?xml version="1.0" encoding="utf-8"?>
<worksheet xmlns="http://schemas.openxmlformats.org/spreadsheetml/2006/main" xmlns:r="http://schemas.openxmlformats.org/officeDocument/2006/relationships">
  <sheetPr>
    <tabColor rgb="FFD9703C"/>
    <pageSetUpPr fitToPage="1"/>
  </sheetPr>
  <dimension ref="A1:O76"/>
  <sheetViews>
    <sheetView showGridLines="0" workbookViewId="0">
      <pane xSplit="1" ySplit="16" topLeftCell="B17" activePane="bottomRight" state="frozen"/>
      <selection pane="topRight" activeCell="B1" sqref="B1"/>
      <selection pane="bottomLeft" activeCell="A17" sqref="A17"/>
      <selection pane="bottomRight"/>
    </sheetView>
  </sheetViews>
  <sheetFormatPr defaultRowHeight="15"/>
  <cols>
    <col min="1" max="1" width="12.7109375" customWidth="1"/>
    <col min="2" max="3" width="13.7109375" customWidth="1"/>
    <col min="4" max="4" width="11.7109375" customWidth="1"/>
    <col min="5" max="6" width="13.7109375" customWidth="1"/>
    <col min="7" max="8" width="11.7109375" customWidth="1"/>
    <col min="9" max="11" width="12.7109375" customWidth="1"/>
    <col min="12" max="12" width="10.7109375" customWidth="1"/>
    <col min="13" max="13" width="14.7109375" customWidth="1"/>
    <col min="14" max="14" width="12.7109375" customWidth="1"/>
    <col min="15" max="15" width="30.7109375" customWidth="1"/>
  </cols>
  <sheetData>
    <row r="1" spans="1:15" ht="30" customHeight="1">
      <c r="A1" s="1" t="s">
        <v>495</v>
      </c>
      <c r="B1" s="1"/>
      <c r="C1" s="1"/>
      <c r="D1" s="1"/>
      <c r="E1" s="1"/>
      <c r="F1" s="1"/>
      <c r="G1" s="1"/>
      <c r="H1" s="1"/>
      <c r="I1" s="1"/>
      <c r="J1" s="1"/>
      <c r="K1" s="1"/>
    </row>
    <row r="2" spans="1:15" ht="18" customHeight="1">
      <c r="A2" s="2" t="s">
        <v>496</v>
      </c>
      <c r="B2" s="2"/>
      <c r="C2" s="2"/>
      <c r="D2" s="2"/>
      <c r="E2" s="2"/>
      <c r="F2" s="2"/>
      <c r="G2" s="2"/>
      <c r="H2" s="2"/>
      <c r="I2" s="2"/>
      <c r="J2" s="2"/>
      <c r="K2" s="2"/>
    </row>
    <row r="3" spans="1:15" ht="20" customHeight="1">
      <c r="A3" s="3" t="s">
        <v>497</v>
      </c>
      <c r="B3" s="3"/>
      <c r="C3" s="3"/>
      <c r="D3" s="3"/>
      <c r="E3" s="3"/>
      <c r="F3" s="3"/>
      <c r="G3" s="3"/>
      <c r="H3" s="3"/>
      <c r="I3" s="3"/>
      <c r="J3" s="3"/>
      <c r="K3" s="3"/>
    </row>
    <row r="5" spans="1:15" ht="22" customHeight="1">
      <c r="A5" s="4" t="s">
        <v>498</v>
      </c>
      <c r="B5" s="4"/>
      <c r="C5" s="4"/>
      <c r="D5" s="4"/>
      <c r="E5" s="4"/>
      <c r="F5" s="4"/>
      <c r="G5" s="4"/>
      <c r="H5" s="4"/>
      <c r="I5" s="4"/>
      <c r="J5" s="4"/>
      <c r="K5" s="4"/>
    </row>
    <row r="6" spans="1:15">
      <c r="A6" s="6" t="s">
        <v>206</v>
      </c>
      <c r="B6" s="13">
        <f>Plan_Year</f>
        <v>0</v>
      </c>
    </row>
    <row r="8" spans="1:15">
      <c r="D8" s="15" t="s">
        <v>499</v>
      </c>
      <c r="F8" s="15" t="s">
        <v>500</v>
      </c>
      <c r="H8" s="15" t="s">
        <v>501</v>
      </c>
      <c r="J8" s="15" t="s">
        <v>181</v>
      </c>
    </row>
    <row r="9" spans="1:15" ht="30" customHeight="1">
      <c r="D9" s="10">
        <f>SUMIFS(Budget!$C$17:$C$76,Budget!$A$17:$A$76,"&lt;&gt;")</f>
        <v>0</v>
      </c>
      <c r="F9" s="10">
        <f>SUM(Budget!$J$17:$J$76)</f>
        <v>0</v>
      </c>
      <c r="H9" s="10">
        <f>SUM(Budget!$H$17:$H$76)</f>
        <v>0</v>
      </c>
      <c r="J9" s="10">
        <f>Monthly_Budget</f>
        <v>0</v>
      </c>
    </row>
    <row r="11" spans="1:15">
      <c r="A11" s="6" t="s">
        <v>502</v>
      </c>
      <c r="B11" s="22">
        <f>IFERROR(AVERAGE(Budget!$J$17:$J$76),0)</f>
        <v>0</v>
      </c>
      <c r="C11" s="6" t="s">
        <v>503</v>
      </c>
      <c r="D11" s="13">
        <f>COUNTIFS(Budget!$M$17:$M$76,"Over budget")</f>
        <v>0</v>
      </c>
      <c r="E11" s="6" t="s">
        <v>504</v>
      </c>
      <c r="F11" s="13">
        <f>COUNTIFS(Budget!$M$17:$M$76,"Under budget")</f>
        <v>0</v>
      </c>
      <c r="G11" s="6" t="s">
        <v>505</v>
      </c>
      <c r="H11" s="31">
        <f>IFERROR(SUM(Budget!$H$17:$H$76)/SUM(Budget!$C$17:$C$76),0)</f>
        <v>0</v>
      </c>
      <c r="I11" s="6" t="s">
        <v>154</v>
      </c>
      <c r="J11" s="31">
        <f>Waste_Reduction_Target</f>
        <v>0</v>
      </c>
    </row>
    <row r="13" spans="1:15">
      <c r="A13" s="24" t="s">
        <v>506</v>
      </c>
      <c r="B13" s="24"/>
      <c r="C13" s="24"/>
      <c r="D13" s="24"/>
      <c r="E13" s="24"/>
      <c r="F13" s="24"/>
      <c r="G13" s="24"/>
      <c r="H13" s="24"/>
      <c r="I13" s="24"/>
      <c r="J13" s="24"/>
    </row>
    <row r="16" spans="1:15" ht="32" customHeight="1">
      <c r="A16" s="9" t="s">
        <v>109</v>
      </c>
      <c r="B16" s="9" t="s">
        <v>507</v>
      </c>
      <c r="C16" s="9" t="s">
        <v>508</v>
      </c>
      <c r="D16" s="9" t="s">
        <v>184</v>
      </c>
      <c r="E16" s="9" t="s">
        <v>509</v>
      </c>
      <c r="F16" s="9" t="s">
        <v>510</v>
      </c>
      <c r="G16" s="9" t="s">
        <v>184</v>
      </c>
      <c r="H16" s="9" t="s">
        <v>511</v>
      </c>
      <c r="I16" s="9" t="s">
        <v>512</v>
      </c>
      <c r="J16" s="9" t="s">
        <v>513</v>
      </c>
      <c r="K16" s="9" t="s">
        <v>514</v>
      </c>
      <c r="L16" s="9" t="s">
        <v>358</v>
      </c>
      <c r="M16" s="9" t="s">
        <v>135</v>
      </c>
      <c r="N16" s="9" t="s">
        <v>515</v>
      </c>
      <c r="O16" s="9" t="s">
        <v>173</v>
      </c>
    </row>
    <row r="17" spans="1:15">
      <c r="A17" s="7"/>
      <c r="B17" s="8">
        <f>IF(A17="","",Weekly_Budget*52/12)</f>
        <v>0</v>
      </c>
      <c r="C17" s="8">
        <f>IF(A17="","",SUMIFS('Grocery Spending'!$J$5:$J$404,'Grocery Spending'!$C$5:$C$404,A17))</f>
        <v>0</v>
      </c>
      <c r="D17" s="8">
        <f>IF(A17="","",B17-C17)</f>
        <v>0</v>
      </c>
      <c r="E17" s="8">
        <f>IF(A17="","",Eating_Out_Budget)</f>
        <v>0</v>
      </c>
      <c r="F17" s="28"/>
      <c r="G17" s="8">
        <f>IF(A17="","",E17-IF(F17="",0,F17))</f>
        <v>0</v>
      </c>
      <c r="H17" s="8">
        <f>IF(A17="","",SUMIFS('Food Waste'!$H$5:$H$154,'Food Waste'!$O$5:$O$154,A17))</f>
        <v>0</v>
      </c>
      <c r="I17" s="8">
        <f>IF(A17="","",B17+E17)</f>
        <v>0</v>
      </c>
      <c r="J17" s="8">
        <f>IF(A17="","",C17+IF(F17="",0,F17)+H17)</f>
        <v>0</v>
      </c>
      <c r="K17" s="8">
        <f>IF(A17="","",I17-J17)</f>
        <v>0</v>
      </c>
      <c r="L17" s="8">
        <f>IF(J17="","",COUNTIFS($J$17:$J$76,"&gt;"&amp;J17)+1)</f>
        <v>0</v>
      </c>
      <c r="M17" s="8">
        <f>IF(A17="","",IF(K17="","",IF(K17&lt;0,"Over budget",IF(K17&lt;Monthly_Budget*0.1,"Close","Under budget"))))</f>
        <v>0</v>
      </c>
      <c r="N17" s="8">
        <f>IF(J17="","",SUM($J$17:J17))</f>
        <v>0</v>
      </c>
      <c r="O17" s="25"/>
    </row>
    <row r="18" spans="1:15">
      <c r="A18" s="7"/>
      <c r="B18" s="8">
        <f>IF(A18="","",Weekly_Budget*52/12)</f>
        <v>0</v>
      </c>
      <c r="C18" s="8">
        <f>IF(A18="","",SUMIFS('Grocery Spending'!$J$5:$J$404,'Grocery Spending'!$C$5:$C$404,A18))</f>
        <v>0</v>
      </c>
      <c r="D18" s="8">
        <f>IF(A18="","",B18-C18)</f>
        <v>0</v>
      </c>
      <c r="E18" s="8">
        <f>IF(A18="","",Eating_Out_Budget)</f>
        <v>0</v>
      </c>
      <c r="F18" s="28"/>
      <c r="G18" s="8">
        <f>IF(A18="","",E18-IF(F18="",0,F18))</f>
        <v>0</v>
      </c>
      <c r="H18" s="8">
        <f>IF(A18="","",SUMIFS('Food Waste'!$H$5:$H$154,'Food Waste'!$O$5:$O$154,A18))</f>
        <v>0</v>
      </c>
      <c r="I18" s="8">
        <f>IF(A18="","",B18+E18)</f>
        <v>0</v>
      </c>
      <c r="J18" s="8">
        <f>IF(A18="","",C18+IF(F18="",0,F18)+H18)</f>
        <v>0</v>
      </c>
      <c r="K18" s="8">
        <f>IF(A18="","",I18-J18)</f>
        <v>0</v>
      </c>
      <c r="L18" s="8">
        <f>IF(J18="","",COUNTIFS($J$17:$J$76,"&gt;"&amp;J18)+1)</f>
        <v>0</v>
      </c>
      <c r="M18" s="8">
        <f>IF(A18="","",IF(K18="","",IF(K18&lt;0,"Over budget",IF(K18&lt;Monthly_Budget*0.1,"Close","Under budget"))))</f>
        <v>0</v>
      </c>
      <c r="N18" s="8">
        <f>IF(J18="","",SUM($J$17:J18))</f>
        <v>0</v>
      </c>
      <c r="O18" s="25"/>
    </row>
    <row r="19" spans="1:15">
      <c r="A19" s="7"/>
      <c r="B19" s="8">
        <f>IF(A19="","",Weekly_Budget*52/12)</f>
        <v>0</v>
      </c>
      <c r="C19" s="8">
        <f>IF(A19="","",SUMIFS('Grocery Spending'!$J$5:$J$404,'Grocery Spending'!$C$5:$C$404,A19))</f>
        <v>0</v>
      </c>
      <c r="D19" s="8">
        <f>IF(A19="","",B19-C19)</f>
        <v>0</v>
      </c>
      <c r="E19" s="8">
        <f>IF(A19="","",Eating_Out_Budget)</f>
        <v>0</v>
      </c>
      <c r="F19" s="28"/>
      <c r="G19" s="8">
        <f>IF(A19="","",E19-IF(F19="",0,F19))</f>
        <v>0</v>
      </c>
      <c r="H19" s="8">
        <f>IF(A19="","",SUMIFS('Food Waste'!$H$5:$H$154,'Food Waste'!$O$5:$O$154,A19))</f>
        <v>0</v>
      </c>
      <c r="I19" s="8">
        <f>IF(A19="","",B19+E19)</f>
        <v>0</v>
      </c>
      <c r="J19" s="8">
        <f>IF(A19="","",C19+IF(F19="",0,F19)+H19)</f>
        <v>0</v>
      </c>
      <c r="K19" s="8">
        <f>IF(A19="","",I19-J19)</f>
        <v>0</v>
      </c>
      <c r="L19" s="8">
        <f>IF(J19="","",COUNTIFS($J$17:$J$76,"&gt;"&amp;J19)+1)</f>
        <v>0</v>
      </c>
      <c r="M19" s="8">
        <f>IF(A19="","",IF(K19="","",IF(K19&lt;0,"Over budget",IF(K19&lt;Monthly_Budget*0.1,"Close","Under budget"))))</f>
        <v>0</v>
      </c>
      <c r="N19" s="8">
        <f>IF(J19="","",SUM($J$17:J19))</f>
        <v>0</v>
      </c>
      <c r="O19" s="25"/>
    </row>
    <row r="20" spans="1:15">
      <c r="A20" s="7"/>
      <c r="B20" s="8">
        <f>IF(A20="","",Weekly_Budget*52/12)</f>
        <v>0</v>
      </c>
      <c r="C20" s="8">
        <f>IF(A20="","",SUMIFS('Grocery Spending'!$J$5:$J$404,'Grocery Spending'!$C$5:$C$404,A20))</f>
        <v>0</v>
      </c>
      <c r="D20" s="8">
        <f>IF(A20="","",B20-C20)</f>
        <v>0</v>
      </c>
      <c r="E20" s="8">
        <f>IF(A20="","",Eating_Out_Budget)</f>
        <v>0</v>
      </c>
      <c r="F20" s="28"/>
      <c r="G20" s="8">
        <f>IF(A20="","",E20-IF(F20="",0,F20))</f>
        <v>0</v>
      </c>
      <c r="H20" s="8">
        <f>IF(A20="","",SUMIFS('Food Waste'!$H$5:$H$154,'Food Waste'!$O$5:$O$154,A20))</f>
        <v>0</v>
      </c>
      <c r="I20" s="8">
        <f>IF(A20="","",B20+E20)</f>
        <v>0</v>
      </c>
      <c r="J20" s="8">
        <f>IF(A20="","",C20+IF(F20="",0,F20)+H20)</f>
        <v>0</v>
      </c>
      <c r="K20" s="8">
        <f>IF(A20="","",I20-J20)</f>
        <v>0</v>
      </c>
      <c r="L20" s="8">
        <f>IF(J20="","",COUNTIFS($J$17:$J$76,"&gt;"&amp;J20)+1)</f>
        <v>0</v>
      </c>
      <c r="M20" s="8">
        <f>IF(A20="","",IF(K20="","",IF(K20&lt;0,"Over budget",IF(K20&lt;Monthly_Budget*0.1,"Close","Under budget"))))</f>
        <v>0</v>
      </c>
      <c r="N20" s="8">
        <f>IF(J20="","",SUM($J$17:J20))</f>
        <v>0</v>
      </c>
      <c r="O20" s="25"/>
    </row>
    <row r="21" spans="1:15">
      <c r="A21" s="7"/>
      <c r="B21" s="8">
        <f>IF(A21="","",Weekly_Budget*52/12)</f>
        <v>0</v>
      </c>
      <c r="C21" s="8">
        <f>IF(A21="","",SUMIFS('Grocery Spending'!$J$5:$J$404,'Grocery Spending'!$C$5:$C$404,A21))</f>
        <v>0</v>
      </c>
      <c r="D21" s="8">
        <f>IF(A21="","",B21-C21)</f>
        <v>0</v>
      </c>
      <c r="E21" s="8">
        <f>IF(A21="","",Eating_Out_Budget)</f>
        <v>0</v>
      </c>
      <c r="F21" s="28"/>
      <c r="G21" s="8">
        <f>IF(A21="","",E21-IF(F21="",0,F21))</f>
        <v>0</v>
      </c>
      <c r="H21" s="8">
        <f>IF(A21="","",SUMIFS('Food Waste'!$H$5:$H$154,'Food Waste'!$O$5:$O$154,A21))</f>
        <v>0</v>
      </c>
      <c r="I21" s="8">
        <f>IF(A21="","",B21+E21)</f>
        <v>0</v>
      </c>
      <c r="J21" s="8">
        <f>IF(A21="","",C21+IF(F21="",0,F21)+H21)</f>
        <v>0</v>
      </c>
      <c r="K21" s="8">
        <f>IF(A21="","",I21-J21)</f>
        <v>0</v>
      </c>
      <c r="L21" s="8">
        <f>IF(J21="","",COUNTIFS($J$17:$J$76,"&gt;"&amp;J21)+1)</f>
        <v>0</v>
      </c>
      <c r="M21" s="8">
        <f>IF(A21="","",IF(K21="","",IF(K21&lt;0,"Over budget",IF(K21&lt;Monthly_Budget*0.1,"Close","Under budget"))))</f>
        <v>0</v>
      </c>
      <c r="N21" s="8">
        <f>IF(J21="","",SUM($J$17:J21))</f>
        <v>0</v>
      </c>
      <c r="O21" s="25"/>
    </row>
    <row r="22" spans="1:15">
      <c r="A22" s="7"/>
      <c r="B22" s="8">
        <f>IF(A22="","",Weekly_Budget*52/12)</f>
        <v>0</v>
      </c>
      <c r="C22" s="8">
        <f>IF(A22="","",SUMIFS('Grocery Spending'!$J$5:$J$404,'Grocery Spending'!$C$5:$C$404,A22))</f>
        <v>0</v>
      </c>
      <c r="D22" s="8">
        <f>IF(A22="","",B22-C22)</f>
        <v>0</v>
      </c>
      <c r="E22" s="8">
        <f>IF(A22="","",Eating_Out_Budget)</f>
        <v>0</v>
      </c>
      <c r="F22" s="28"/>
      <c r="G22" s="8">
        <f>IF(A22="","",E22-IF(F22="",0,F22))</f>
        <v>0</v>
      </c>
      <c r="H22" s="8">
        <f>IF(A22="","",SUMIFS('Food Waste'!$H$5:$H$154,'Food Waste'!$O$5:$O$154,A22))</f>
        <v>0</v>
      </c>
      <c r="I22" s="8">
        <f>IF(A22="","",B22+E22)</f>
        <v>0</v>
      </c>
      <c r="J22" s="8">
        <f>IF(A22="","",C22+IF(F22="",0,F22)+H22)</f>
        <v>0</v>
      </c>
      <c r="K22" s="8">
        <f>IF(A22="","",I22-J22)</f>
        <v>0</v>
      </c>
      <c r="L22" s="8">
        <f>IF(J22="","",COUNTIFS($J$17:$J$76,"&gt;"&amp;J22)+1)</f>
        <v>0</v>
      </c>
      <c r="M22" s="8">
        <f>IF(A22="","",IF(K22="","",IF(K22&lt;0,"Over budget",IF(K22&lt;Monthly_Budget*0.1,"Close","Under budget"))))</f>
        <v>0</v>
      </c>
      <c r="N22" s="8">
        <f>IF(J22="","",SUM($J$17:J22))</f>
        <v>0</v>
      </c>
      <c r="O22" s="25"/>
    </row>
    <row r="23" spans="1:15">
      <c r="A23" s="7"/>
      <c r="B23" s="8">
        <f>IF(A23="","",Weekly_Budget*52/12)</f>
        <v>0</v>
      </c>
      <c r="C23" s="8">
        <f>IF(A23="","",SUMIFS('Grocery Spending'!$J$5:$J$404,'Grocery Spending'!$C$5:$C$404,A23))</f>
        <v>0</v>
      </c>
      <c r="D23" s="8">
        <f>IF(A23="","",B23-C23)</f>
        <v>0</v>
      </c>
      <c r="E23" s="8">
        <f>IF(A23="","",Eating_Out_Budget)</f>
        <v>0</v>
      </c>
      <c r="F23" s="28"/>
      <c r="G23" s="8">
        <f>IF(A23="","",E23-IF(F23="",0,F23))</f>
        <v>0</v>
      </c>
      <c r="H23" s="8">
        <f>IF(A23="","",SUMIFS('Food Waste'!$H$5:$H$154,'Food Waste'!$O$5:$O$154,A23))</f>
        <v>0</v>
      </c>
      <c r="I23" s="8">
        <f>IF(A23="","",B23+E23)</f>
        <v>0</v>
      </c>
      <c r="J23" s="8">
        <f>IF(A23="","",C23+IF(F23="",0,F23)+H23)</f>
        <v>0</v>
      </c>
      <c r="K23" s="8">
        <f>IF(A23="","",I23-J23)</f>
        <v>0</v>
      </c>
      <c r="L23" s="8">
        <f>IF(J23="","",COUNTIFS($J$17:$J$76,"&gt;"&amp;J23)+1)</f>
        <v>0</v>
      </c>
      <c r="M23" s="8">
        <f>IF(A23="","",IF(K23="","",IF(K23&lt;0,"Over budget",IF(K23&lt;Monthly_Budget*0.1,"Close","Under budget"))))</f>
        <v>0</v>
      </c>
      <c r="N23" s="8">
        <f>IF(J23="","",SUM($J$17:J23))</f>
        <v>0</v>
      </c>
      <c r="O23" s="25"/>
    </row>
    <row r="24" spans="1:15">
      <c r="A24" s="7"/>
      <c r="B24" s="8">
        <f>IF(A24="","",Weekly_Budget*52/12)</f>
        <v>0</v>
      </c>
      <c r="C24" s="8">
        <f>IF(A24="","",SUMIFS('Grocery Spending'!$J$5:$J$404,'Grocery Spending'!$C$5:$C$404,A24))</f>
        <v>0</v>
      </c>
      <c r="D24" s="8">
        <f>IF(A24="","",B24-C24)</f>
        <v>0</v>
      </c>
      <c r="E24" s="8">
        <f>IF(A24="","",Eating_Out_Budget)</f>
        <v>0</v>
      </c>
      <c r="F24" s="28"/>
      <c r="G24" s="8">
        <f>IF(A24="","",E24-IF(F24="",0,F24))</f>
        <v>0</v>
      </c>
      <c r="H24" s="8">
        <f>IF(A24="","",SUMIFS('Food Waste'!$H$5:$H$154,'Food Waste'!$O$5:$O$154,A24))</f>
        <v>0</v>
      </c>
      <c r="I24" s="8">
        <f>IF(A24="","",B24+E24)</f>
        <v>0</v>
      </c>
      <c r="J24" s="8">
        <f>IF(A24="","",C24+IF(F24="",0,F24)+H24)</f>
        <v>0</v>
      </c>
      <c r="K24" s="8">
        <f>IF(A24="","",I24-J24)</f>
        <v>0</v>
      </c>
      <c r="L24" s="8">
        <f>IF(J24="","",COUNTIFS($J$17:$J$76,"&gt;"&amp;J24)+1)</f>
        <v>0</v>
      </c>
      <c r="M24" s="8">
        <f>IF(A24="","",IF(K24="","",IF(K24&lt;0,"Over budget",IF(K24&lt;Monthly_Budget*0.1,"Close","Under budget"))))</f>
        <v>0</v>
      </c>
      <c r="N24" s="8">
        <f>IF(J24="","",SUM($J$17:J24))</f>
        <v>0</v>
      </c>
      <c r="O24" s="25"/>
    </row>
    <row r="25" spans="1:15">
      <c r="A25" s="7"/>
      <c r="B25" s="8">
        <f>IF(A25="","",Weekly_Budget*52/12)</f>
        <v>0</v>
      </c>
      <c r="C25" s="8">
        <f>IF(A25="","",SUMIFS('Grocery Spending'!$J$5:$J$404,'Grocery Spending'!$C$5:$C$404,A25))</f>
        <v>0</v>
      </c>
      <c r="D25" s="8">
        <f>IF(A25="","",B25-C25)</f>
        <v>0</v>
      </c>
      <c r="E25" s="8">
        <f>IF(A25="","",Eating_Out_Budget)</f>
        <v>0</v>
      </c>
      <c r="F25" s="28"/>
      <c r="G25" s="8">
        <f>IF(A25="","",E25-IF(F25="",0,F25))</f>
        <v>0</v>
      </c>
      <c r="H25" s="8">
        <f>IF(A25="","",SUMIFS('Food Waste'!$H$5:$H$154,'Food Waste'!$O$5:$O$154,A25))</f>
        <v>0</v>
      </c>
      <c r="I25" s="8">
        <f>IF(A25="","",B25+E25)</f>
        <v>0</v>
      </c>
      <c r="J25" s="8">
        <f>IF(A25="","",C25+IF(F25="",0,F25)+H25)</f>
        <v>0</v>
      </c>
      <c r="K25" s="8">
        <f>IF(A25="","",I25-J25)</f>
        <v>0</v>
      </c>
      <c r="L25" s="8">
        <f>IF(J25="","",COUNTIFS($J$17:$J$76,"&gt;"&amp;J25)+1)</f>
        <v>0</v>
      </c>
      <c r="M25" s="8">
        <f>IF(A25="","",IF(K25="","",IF(K25&lt;0,"Over budget",IF(K25&lt;Monthly_Budget*0.1,"Close","Under budget"))))</f>
        <v>0</v>
      </c>
      <c r="N25" s="8">
        <f>IF(J25="","",SUM($J$17:J25))</f>
        <v>0</v>
      </c>
      <c r="O25" s="25"/>
    </row>
    <row r="26" spans="1:15">
      <c r="A26" s="7"/>
      <c r="B26" s="8">
        <f>IF(A26="","",Weekly_Budget*52/12)</f>
        <v>0</v>
      </c>
      <c r="C26" s="8">
        <f>IF(A26="","",SUMIFS('Grocery Spending'!$J$5:$J$404,'Grocery Spending'!$C$5:$C$404,A26))</f>
        <v>0</v>
      </c>
      <c r="D26" s="8">
        <f>IF(A26="","",B26-C26)</f>
        <v>0</v>
      </c>
      <c r="E26" s="8">
        <f>IF(A26="","",Eating_Out_Budget)</f>
        <v>0</v>
      </c>
      <c r="F26" s="28"/>
      <c r="G26" s="8">
        <f>IF(A26="","",E26-IF(F26="",0,F26))</f>
        <v>0</v>
      </c>
      <c r="H26" s="8">
        <f>IF(A26="","",SUMIFS('Food Waste'!$H$5:$H$154,'Food Waste'!$O$5:$O$154,A26))</f>
        <v>0</v>
      </c>
      <c r="I26" s="8">
        <f>IF(A26="","",B26+E26)</f>
        <v>0</v>
      </c>
      <c r="J26" s="8">
        <f>IF(A26="","",C26+IF(F26="",0,F26)+H26)</f>
        <v>0</v>
      </c>
      <c r="K26" s="8">
        <f>IF(A26="","",I26-J26)</f>
        <v>0</v>
      </c>
      <c r="L26" s="8">
        <f>IF(J26="","",COUNTIFS($J$17:$J$76,"&gt;"&amp;J26)+1)</f>
        <v>0</v>
      </c>
      <c r="M26" s="8">
        <f>IF(A26="","",IF(K26="","",IF(K26&lt;0,"Over budget",IF(K26&lt;Monthly_Budget*0.1,"Close","Under budget"))))</f>
        <v>0</v>
      </c>
      <c r="N26" s="8">
        <f>IF(J26="","",SUM($J$17:J26))</f>
        <v>0</v>
      </c>
      <c r="O26" s="25"/>
    </row>
    <row r="27" spans="1:15">
      <c r="A27" s="7"/>
      <c r="B27" s="8">
        <f>IF(A27="","",Weekly_Budget*52/12)</f>
        <v>0</v>
      </c>
      <c r="C27" s="8">
        <f>IF(A27="","",SUMIFS('Grocery Spending'!$J$5:$J$404,'Grocery Spending'!$C$5:$C$404,A27))</f>
        <v>0</v>
      </c>
      <c r="D27" s="8">
        <f>IF(A27="","",B27-C27)</f>
        <v>0</v>
      </c>
      <c r="E27" s="8">
        <f>IF(A27="","",Eating_Out_Budget)</f>
        <v>0</v>
      </c>
      <c r="F27" s="28"/>
      <c r="G27" s="8">
        <f>IF(A27="","",E27-IF(F27="",0,F27))</f>
        <v>0</v>
      </c>
      <c r="H27" s="8">
        <f>IF(A27="","",SUMIFS('Food Waste'!$H$5:$H$154,'Food Waste'!$O$5:$O$154,A27))</f>
        <v>0</v>
      </c>
      <c r="I27" s="8">
        <f>IF(A27="","",B27+E27)</f>
        <v>0</v>
      </c>
      <c r="J27" s="8">
        <f>IF(A27="","",C27+IF(F27="",0,F27)+H27)</f>
        <v>0</v>
      </c>
      <c r="K27" s="8">
        <f>IF(A27="","",I27-J27)</f>
        <v>0</v>
      </c>
      <c r="L27" s="8">
        <f>IF(J27="","",COUNTIFS($J$17:$J$76,"&gt;"&amp;J27)+1)</f>
        <v>0</v>
      </c>
      <c r="M27" s="8">
        <f>IF(A27="","",IF(K27="","",IF(K27&lt;0,"Over budget",IF(K27&lt;Monthly_Budget*0.1,"Close","Under budget"))))</f>
        <v>0</v>
      </c>
      <c r="N27" s="8">
        <f>IF(J27="","",SUM($J$17:J27))</f>
        <v>0</v>
      </c>
      <c r="O27" s="25"/>
    </row>
    <row r="28" spans="1:15">
      <c r="A28" s="7"/>
      <c r="B28" s="8">
        <f>IF(A28="","",Weekly_Budget*52/12)</f>
        <v>0</v>
      </c>
      <c r="C28" s="8">
        <f>IF(A28="","",SUMIFS('Grocery Spending'!$J$5:$J$404,'Grocery Spending'!$C$5:$C$404,A28))</f>
        <v>0</v>
      </c>
      <c r="D28" s="8">
        <f>IF(A28="","",B28-C28)</f>
        <v>0</v>
      </c>
      <c r="E28" s="8">
        <f>IF(A28="","",Eating_Out_Budget)</f>
        <v>0</v>
      </c>
      <c r="F28" s="28"/>
      <c r="G28" s="8">
        <f>IF(A28="","",E28-IF(F28="",0,F28))</f>
        <v>0</v>
      </c>
      <c r="H28" s="8">
        <f>IF(A28="","",SUMIFS('Food Waste'!$H$5:$H$154,'Food Waste'!$O$5:$O$154,A28))</f>
        <v>0</v>
      </c>
      <c r="I28" s="8">
        <f>IF(A28="","",B28+E28)</f>
        <v>0</v>
      </c>
      <c r="J28" s="8">
        <f>IF(A28="","",C28+IF(F28="",0,F28)+H28)</f>
        <v>0</v>
      </c>
      <c r="K28" s="8">
        <f>IF(A28="","",I28-J28)</f>
        <v>0</v>
      </c>
      <c r="L28" s="8">
        <f>IF(J28="","",COUNTIFS($J$17:$J$76,"&gt;"&amp;J28)+1)</f>
        <v>0</v>
      </c>
      <c r="M28" s="8">
        <f>IF(A28="","",IF(K28="","",IF(K28&lt;0,"Over budget",IF(K28&lt;Monthly_Budget*0.1,"Close","Under budget"))))</f>
        <v>0</v>
      </c>
      <c r="N28" s="8">
        <f>IF(J28="","",SUM($J$17:J28))</f>
        <v>0</v>
      </c>
      <c r="O28" s="25"/>
    </row>
    <row r="29" spans="1:15">
      <c r="A29" s="7"/>
      <c r="B29" s="8">
        <f>IF(A29="","",Weekly_Budget*52/12)</f>
        <v>0</v>
      </c>
      <c r="C29" s="8">
        <f>IF(A29="","",SUMIFS('Grocery Spending'!$J$5:$J$404,'Grocery Spending'!$C$5:$C$404,A29))</f>
        <v>0</v>
      </c>
      <c r="D29" s="8">
        <f>IF(A29="","",B29-C29)</f>
        <v>0</v>
      </c>
      <c r="E29" s="8">
        <f>IF(A29="","",Eating_Out_Budget)</f>
        <v>0</v>
      </c>
      <c r="F29" s="28"/>
      <c r="G29" s="8">
        <f>IF(A29="","",E29-IF(F29="",0,F29))</f>
        <v>0</v>
      </c>
      <c r="H29" s="8">
        <f>IF(A29="","",SUMIFS('Food Waste'!$H$5:$H$154,'Food Waste'!$O$5:$O$154,A29))</f>
        <v>0</v>
      </c>
      <c r="I29" s="8">
        <f>IF(A29="","",B29+E29)</f>
        <v>0</v>
      </c>
      <c r="J29" s="8">
        <f>IF(A29="","",C29+IF(F29="",0,F29)+H29)</f>
        <v>0</v>
      </c>
      <c r="K29" s="8">
        <f>IF(A29="","",I29-J29)</f>
        <v>0</v>
      </c>
      <c r="L29" s="8">
        <f>IF(J29="","",COUNTIFS($J$17:$J$76,"&gt;"&amp;J29)+1)</f>
        <v>0</v>
      </c>
      <c r="M29" s="8">
        <f>IF(A29="","",IF(K29="","",IF(K29&lt;0,"Over budget",IF(K29&lt;Monthly_Budget*0.1,"Close","Under budget"))))</f>
        <v>0</v>
      </c>
      <c r="N29" s="8">
        <f>IF(J29="","",SUM($J$17:J29))</f>
        <v>0</v>
      </c>
      <c r="O29" s="25"/>
    </row>
    <row r="30" spans="1:15">
      <c r="A30" s="7"/>
      <c r="B30" s="8">
        <f>IF(A30="","",Weekly_Budget*52/12)</f>
        <v>0</v>
      </c>
      <c r="C30" s="8">
        <f>IF(A30="","",SUMIFS('Grocery Spending'!$J$5:$J$404,'Grocery Spending'!$C$5:$C$404,A30))</f>
        <v>0</v>
      </c>
      <c r="D30" s="8">
        <f>IF(A30="","",B30-C30)</f>
        <v>0</v>
      </c>
      <c r="E30" s="8">
        <f>IF(A30="","",Eating_Out_Budget)</f>
        <v>0</v>
      </c>
      <c r="F30" s="28"/>
      <c r="G30" s="8">
        <f>IF(A30="","",E30-IF(F30="",0,F30))</f>
        <v>0</v>
      </c>
      <c r="H30" s="8">
        <f>IF(A30="","",SUMIFS('Food Waste'!$H$5:$H$154,'Food Waste'!$O$5:$O$154,A30))</f>
        <v>0</v>
      </c>
      <c r="I30" s="8">
        <f>IF(A30="","",B30+E30)</f>
        <v>0</v>
      </c>
      <c r="J30" s="8">
        <f>IF(A30="","",C30+IF(F30="",0,F30)+H30)</f>
        <v>0</v>
      </c>
      <c r="K30" s="8">
        <f>IF(A30="","",I30-J30)</f>
        <v>0</v>
      </c>
      <c r="L30" s="8">
        <f>IF(J30="","",COUNTIFS($J$17:$J$76,"&gt;"&amp;J30)+1)</f>
        <v>0</v>
      </c>
      <c r="M30" s="8">
        <f>IF(A30="","",IF(K30="","",IF(K30&lt;0,"Over budget",IF(K30&lt;Monthly_Budget*0.1,"Close","Under budget"))))</f>
        <v>0</v>
      </c>
      <c r="N30" s="8">
        <f>IF(J30="","",SUM($J$17:J30))</f>
        <v>0</v>
      </c>
      <c r="O30" s="25"/>
    </row>
    <row r="31" spans="1:15">
      <c r="A31" s="7"/>
      <c r="B31" s="8">
        <f>IF(A31="","",Weekly_Budget*52/12)</f>
        <v>0</v>
      </c>
      <c r="C31" s="8">
        <f>IF(A31="","",SUMIFS('Grocery Spending'!$J$5:$J$404,'Grocery Spending'!$C$5:$C$404,A31))</f>
        <v>0</v>
      </c>
      <c r="D31" s="8">
        <f>IF(A31="","",B31-C31)</f>
        <v>0</v>
      </c>
      <c r="E31" s="8">
        <f>IF(A31="","",Eating_Out_Budget)</f>
        <v>0</v>
      </c>
      <c r="F31" s="28"/>
      <c r="G31" s="8">
        <f>IF(A31="","",E31-IF(F31="",0,F31))</f>
        <v>0</v>
      </c>
      <c r="H31" s="8">
        <f>IF(A31="","",SUMIFS('Food Waste'!$H$5:$H$154,'Food Waste'!$O$5:$O$154,A31))</f>
        <v>0</v>
      </c>
      <c r="I31" s="8">
        <f>IF(A31="","",B31+E31)</f>
        <v>0</v>
      </c>
      <c r="J31" s="8">
        <f>IF(A31="","",C31+IF(F31="",0,F31)+H31)</f>
        <v>0</v>
      </c>
      <c r="K31" s="8">
        <f>IF(A31="","",I31-J31)</f>
        <v>0</v>
      </c>
      <c r="L31" s="8">
        <f>IF(J31="","",COUNTIFS($J$17:$J$76,"&gt;"&amp;J31)+1)</f>
        <v>0</v>
      </c>
      <c r="M31" s="8">
        <f>IF(A31="","",IF(K31="","",IF(K31&lt;0,"Over budget",IF(K31&lt;Monthly_Budget*0.1,"Close","Under budget"))))</f>
        <v>0</v>
      </c>
      <c r="N31" s="8">
        <f>IF(J31="","",SUM($J$17:J31))</f>
        <v>0</v>
      </c>
      <c r="O31" s="25"/>
    </row>
    <row r="32" spans="1:15">
      <c r="A32" s="7"/>
      <c r="B32" s="8">
        <f>IF(A32="","",Weekly_Budget*52/12)</f>
        <v>0</v>
      </c>
      <c r="C32" s="8">
        <f>IF(A32="","",SUMIFS('Grocery Spending'!$J$5:$J$404,'Grocery Spending'!$C$5:$C$404,A32))</f>
        <v>0</v>
      </c>
      <c r="D32" s="8">
        <f>IF(A32="","",B32-C32)</f>
        <v>0</v>
      </c>
      <c r="E32" s="8">
        <f>IF(A32="","",Eating_Out_Budget)</f>
        <v>0</v>
      </c>
      <c r="F32" s="28"/>
      <c r="G32" s="8">
        <f>IF(A32="","",E32-IF(F32="",0,F32))</f>
        <v>0</v>
      </c>
      <c r="H32" s="8">
        <f>IF(A32="","",SUMIFS('Food Waste'!$H$5:$H$154,'Food Waste'!$O$5:$O$154,A32))</f>
        <v>0</v>
      </c>
      <c r="I32" s="8">
        <f>IF(A32="","",B32+E32)</f>
        <v>0</v>
      </c>
      <c r="J32" s="8">
        <f>IF(A32="","",C32+IF(F32="",0,F32)+H32)</f>
        <v>0</v>
      </c>
      <c r="K32" s="8">
        <f>IF(A32="","",I32-J32)</f>
        <v>0</v>
      </c>
      <c r="L32" s="8">
        <f>IF(J32="","",COUNTIFS($J$17:$J$76,"&gt;"&amp;J32)+1)</f>
        <v>0</v>
      </c>
      <c r="M32" s="8">
        <f>IF(A32="","",IF(K32="","",IF(K32&lt;0,"Over budget",IF(K32&lt;Monthly_Budget*0.1,"Close","Under budget"))))</f>
        <v>0</v>
      </c>
      <c r="N32" s="8">
        <f>IF(J32="","",SUM($J$17:J32))</f>
        <v>0</v>
      </c>
      <c r="O32" s="25"/>
    </row>
    <row r="33" spans="1:15">
      <c r="A33" s="7"/>
      <c r="B33" s="8">
        <f>IF(A33="","",Weekly_Budget*52/12)</f>
        <v>0</v>
      </c>
      <c r="C33" s="8">
        <f>IF(A33="","",SUMIFS('Grocery Spending'!$J$5:$J$404,'Grocery Spending'!$C$5:$C$404,A33))</f>
        <v>0</v>
      </c>
      <c r="D33" s="8">
        <f>IF(A33="","",B33-C33)</f>
        <v>0</v>
      </c>
      <c r="E33" s="8">
        <f>IF(A33="","",Eating_Out_Budget)</f>
        <v>0</v>
      </c>
      <c r="F33" s="28"/>
      <c r="G33" s="8">
        <f>IF(A33="","",E33-IF(F33="",0,F33))</f>
        <v>0</v>
      </c>
      <c r="H33" s="8">
        <f>IF(A33="","",SUMIFS('Food Waste'!$H$5:$H$154,'Food Waste'!$O$5:$O$154,A33))</f>
        <v>0</v>
      </c>
      <c r="I33" s="8">
        <f>IF(A33="","",B33+E33)</f>
        <v>0</v>
      </c>
      <c r="J33" s="8">
        <f>IF(A33="","",C33+IF(F33="",0,F33)+H33)</f>
        <v>0</v>
      </c>
      <c r="K33" s="8">
        <f>IF(A33="","",I33-J33)</f>
        <v>0</v>
      </c>
      <c r="L33" s="8">
        <f>IF(J33="","",COUNTIFS($J$17:$J$76,"&gt;"&amp;J33)+1)</f>
        <v>0</v>
      </c>
      <c r="M33" s="8">
        <f>IF(A33="","",IF(K33="","",IF(K33&lt;0,"Over budget",IF(K33&lt;Monthly_Budget*0.1,"Close","Under budget"))))</f>
        <v>0</v>
      </c>
      <c r="N33" s="8">
        <f>IF(J33="","",SUM($J$17:J33))</f>
        <v>0</v>
      </c>
      <c r="O33" s="25"/>
    </row>
    <row r="34" spans="1:15">
      <c r="A34" s="7"/>
      <c r="B34" s="8">
        <f>IF(A34="","",Weekly_Budget*52/12)</f>
        <v>0</v>
      </c>
      <c r="C34" s="8">
        <f>IF(A34="","",SUMIFS('Grocery Spending'!$J$5:$J$404,'Grocery Spending'!$C$5:$C$404,A34))</f>
        <v>0</v>
      </c>
      <c r="D34" s="8">
        <f>IF(A34="","",B34-C34)</f>
        <v>0</v>
      </c>
      <c r="E34" s="8">
        <f>IF(A34="","",Eating_Out_Budget)</f>
        <v>0</v>
      </c>
      <c r="F34" s="28"/>
      <c r="G34" s="8">
        <f>IF(A34="","",E34-IF(F34="",0,F34))</f>
        <v>0</v>
      </c>
      <c r="H34" s="8">
        <f>IF(A34="","",SUMIFS('Food Waste'!$H$5:$H$154,'Food Waste'!$O$5:$O$154,A34))</f>
        <v>0</v>
      </c>
      <c r="I34" s="8">
        <f>IF(A34="","",B34+E34)</f>
        <v>0</v>
      </c>
      <c r="J34" s="8">
        <f>IF(A34="","",C34+IF(F34="",0,F34)+H34)</f>
        <v>0</v>
      </c>
      <c r="K34" s="8">
        <f>IF(A34="","",I34-J34)</f>
        <v>0</v>
      </c>
      <c r="L34" s="8">
        <f>IF(J34="","",COUNTIFS($J$17:$J$76,"&gt;"&amp;J34)+1)</f>
        <v>0</v>
      </c>
      <c r="M34" s="8">
        <f>IF(A34="","",IF(K34="","",IF(K34&lt;0,"Over budget",IF(K34&lt;Monthly_Budget*0.1,"Close","Under budget"))))</f>
        <v>0</v>
      </c>
      <c r="N34" s="8">
        <f>IF(J34="","",SUM($J$17:J34))</f>
        <v>0</v>
      </c>
      <c r="O34" s="25"/>
    </row>
    <row r="35" spans="1:15">
      <c r="A35" s="7"/>
      <c r="B35" s="8">
        <f>IF(A35="","",Weekly_Budget*52/12)</f>
        <v>0</v>
      </c>
      <c r="C35" s="8">
        <f>IF(A35="","",SUMIFS('Grocery Spending'!$J$5:$J$404,'Grocery Spending'!$C$5:$C$404,A35))</f>
        <v>0</v>
      </c>
      <c r="D35" s="8">
        <f>IF(A35="","",B35-C35)</f>
        <v>0</v>
      </c>
      <c r="E35" s="8">
        <f>IF(A35="","",Eating_Out_Budget)</f>
        <v>0</v>
      </c>
      <c r="F35" s="28"/>
      <c r="G35" s="8">
        <f>IF(A35="","",E35-IF(F35="",0,F35))</f>
        <v>0</v>
      </c>
      <c r="H35" s="8">
        <f>IF(A35="","",SUMIFS('Food Waste'!$H$5:$H$154,'Food Waste'!$O$5:$O$154,A35))</f>
        <v>0</v>
      </c>
      <c r="I35" s="8">
        <f>IF(A35="","",B35+E35)</f>
        <v>0</v>
      </c>
      <c r="J35" s="8">
        <f>IF(A35="","",C35+IF(F35="",0,F35)+H35)</f>
        <v>0</v>
      </c>
      <c r="K35" s="8">
        <f>IF(A35="","",I35-J35)</f>
        <v>0</v>
      </c>
      <c r="L35" s="8">
        <f>IF(J35="","",COUNTIFS($J$17:$J$76,"&gt;"&amp;J35)+1)</f>
        <v>0</v>
      </c>
      <c r="M35" s="8">
        <f>IF(A35="","",IF(K35="","",IF(K35&lt;0,"Over budget",IF(K35&lt;Monthly_Budget*0.1,"Close","Under budget"))))</f>
        <v>0</v>
      </c>
      <c r="N35" s="8">
        <f>IF(J35="","",SUM($J$17:J35))</f>
        <v>0</v>
      </c>
      <c r="O35" s="25"/>
    </row>
    <row r="36" spans="1:15">
      <c r="A36" s="7"/>
      <c r="B36" s="8">
        <f>IF(A36="","",Weekly_Budget*52/12)</f>
        <v>0</v>
      </c>
      <c r="C36" s="8">
        <f>IF(A36="","",SUMIFS('Grocery Spending'!$J$5:$J$404,'Grocery Spending'!$C$5:$C$404,A36))</f>
        <v>0</v>
      </c>
      <c r="D36" s="8">
        <f>IF(A36="","",B36-C36)</f>
        <v>0</v>
      </c>
      <c r="E36" s="8">
        <f>IF(A36="","",Eating_Out_Budget)</f>
        <v>0</v>
      </c>
      <c r="F36" s="28"/>
      <c r="G36" s="8">
        <f>IF(A36="","",E36-IF(F36="",0,F36))</f>
        <v>0</v>
      </c>
      <c r="H36" s="8">
        <f>IF(A36="","",SUMIFS('Food Waste'!$H$5:$H$154,'Food Waste'!$O$5:$O$154,A36))</f>
        <v>0</v>
      </c>
      <c r="I36" s="8">
        <f>IF(A36="","",B36+E36)</f>
        <v>0</v>
      </c>
      <c r="J36" s="8">
        <f>IF(A36="","",C36+IF(F36="",0,F36)+H36)</f>
        <v>0</v>
      </c>
      <c r="K36" s="8">
        <f>IF(A36="","",I36-J36)</f>
        <v>0</v>
      </c>
      <c r="L36" s="8">
        <f>IF(J36="","",COUNTIFS($J$17:$J$76,"&gt;"&amp;J36)+1)</f>
        <v>0</v>
      </c>
      <c r="M36" s="8">
        <f>IF(A36="","",IF(K36="","",IF(K36&lt;0,"Over budget",IF(K36&lt;Monthly_Budget*0.1,"Close","Under budget"))))</f>
        <v>0</v>
      </c>
      <c r="N36" s="8">
        <f>IF(J36="","",SUM($J$17:J36))</f>
        <v>0</v>
      </c>
      <c r="O36" s="25"/>
    </row>
    <row r="37" spans="1:15">
      <c r="A37" s="7"/>
      <c r="B37" s="8">
        <f>IF(A37="","",Weekly_Budget*52/12)</f>
        <v>0</v>
      </c>
      <c r="C37" s="8">
        <f>IF(A37="","",SUMIFS('Grocery Spending'!$J$5:$J$404,'Grocery Spending'!$C$5:$C$404,A37))</f>
        <v>0</v>
      </c>
      <c r="D37" s="8">
        <f>IF(A37="","",B37-C37)</f>
        <v>0</v>
      </c>
      <c r="E37" s="8">
        <f>IF(A37="","",Eating_Out_Budget)</f>
        <v>0</v>
      </c>
      <c r="F37" s="28"/>
      <c r="G37" s="8">
        <f>IF(A37="","",E37-IF(F37="",0,F37))</f>
        <v>0</v>
      </c>
      <c r="H37" s="8">
        <f>IF(A37="","",SUMIFS('Food Waste'!$H$5:$H$154,'Food Waste'!$O$5:$O$154,A37))</f>
        <v>0</v>
      </c>
      <c r="I37" s="8">
        <f>IF(A37="","",B37+E37)</f>
        <v>0</v>
      </c>
      <c r="J37" s="8">
        <f>IF(A37="","",C37+IF(F37="",0,F37)+H37)</f>
        <v>0</v>
      </c>
      <c r="K37" s="8">
        <f>IF(A37="","",I37-J37)</f>
        <v>0</v>
      </c>
      <c r="L37" s="8">
        <f>IF(J37="","",COUNTIFS($J$17:$J$76,"&gt;"&amp;J37)+1)</f>
        <v>0</v>
      </c>
      <c r="M37" s="8">
        <f>IF(A37="","",IF(K37="","",IF(K37&lt;0,"Over budget",IF(K37&lt;Monthly_Budget*0.1,"Close","Under budget"))))</f>
        <v>0</v>
      </c>
      <c r="N37" s="8">
        <f>IF(J37="","",SUM($J$17:J37))</f>
        <v>0</v>
      </c>
      <c r="O37" s="25"/>
    </row>
    <row r="38" spans="1:15">
      <c r="A38" s="7"/>
      <c r="B38" s="8">
        <f>IF(A38="","",Weekly_Budget*52/12)</f>
        <v>0</v>
      </c>
      <c r="C38" s="8">
        <f>IF(A38="","",SUMIFS('Grocery Spending'!$J$5:$J$404,'Grocery Spending'!$C$5:$C$404,A38))</f>
        <v>0</v>
      </c>
      <c r="D38" s="8">
        <f>IF(A38="","",B38-C38)</f>
        <v>0</v>
      </c>
      <c r="E38" s="8">
        <f>IF(A38="","",Eating_Out_Budget)</f>
        <v>0</v>
      </c>
      <c r="F38" s="28"/>
      <c r="G38" s="8">
        <f>IF(A38="","",E38-IF(F38="",0,F38))</f>
        <v>0</v>
      </c>
      <c r="H38" s="8">
        <f>IF(A38="","",SUMIFS('Food Waste'!$H$5:$H$154,'Food Waste'!$O$5:$O$154,A38))</f>
        <v>0</v>
      </c>
      <c r="I38" s="8">
        <f>IF(A38="","",B38+E38)</f>
        <v>0</v>
      </c>
      <c r="J38" s="8">
        <f>IF(A38="","",C38+IF(F38="",0,F38)+H38)</f>
        <v>0</v>
      </c>
      <c r="K38" s="8">
        <f>IF(A38="","",I38-J38)</f>
        <v>0</v>
      </c>
      <c r="L38" s="8">
        <f>IF(J38="","",COUNTIFS($J$17:$J$76,"&gt;"&amp;J38)+1)</f>
        <v>0</v>
      </c>
      <c r="M38" s="8">
        <f>IF(A38="","",IF(K38="","",IF(K38&lt;0,"Over budget",IF(K38&lt;Monthly_Budget*0.1,"Close","Under budget"))))</f>
        <v>0</v>
      </c>
      <c r="N38" s="8">
        <f>IF(J38="","",SUM($J$17:J38))</f>
        <v>0</v>
      </c>
      <c r="O38" s="25"/>
    </row>
    <row r="39" spans="1:15">
      <c r="A39" s="7"/>
      <c r="B39" s="8">
        <f>IF(A39="","",Weekly_Budget*52/12)</f>
        <v>0</v>
      </c>
      <c r="C39" s="8">
        <f>IF(A39="","",SUMIFS('Grocery Spending'!$J$5:$J$404,'Grocery Spending'!$C$5:$C$404,A39))</f>
        <v>0</v>
      </c>
      <c r="D39" s="8">
        <f>IF(A39="","",B39-C39)</f>
        <v>0</v>
      </c>
      <c r="E39" s="8">
        <f>IF(A39="","",Eating_Out_Budget)</f>
        <v>0</v>
      </c>
      <c r="F39" s="28"/>
      <c r="G39" s="8">
        <f>IF(A39="","",E39-IF(F39="",0,F39))</f>
        <v>0</v>
      </c>
      <c r="H39" s="8">
        <f>IF(A39="","",SUMIFS('Food Waste'!$H$5:$H$154,'Food Waste'!$O$5:$O$154,A39))</f>
        <v>0</v>
      </c>
      <c r="I39" s="8">
        <f>IF(A39="","",B39+E39)</f>
        <v>0</v>
      </c>
      <c r="J39" s="8">
        <f>IF(A39="","",C39+IF(F39="",0,F39)+H39)</f>
        <v>0</v>
      </c>
      <c r="K39" s="8">
        <f>IF(A39="","",I39-J39)</f>
        <v>0</v>
      </c>
      <c r="L39" s="8">
        <f>IF(J39="","",COUNTIFS($J$17:$J$76,"&gt;"&amp;J39)+1)</f>
        <v>0</v>
      </c>
      <c r="M39" s="8">
        <f>IF(A39="","",IF(K39="","",IF(K39&lt;0,"Over budget",IF(K39&lt;Monthly_Budget*0.1,"Close","Under budget"))))</f>
        <v>0</v>
      </c>
      <c r="N39" s="8">
        <f>IF(J39="","",SUM($J$17:J39))</f>
        <v>0</v>
      </c>
      <c r="O39" s="25"/>
    </row>
    <row r="40" spans="1:15">
      <c r="A40" s="7"/>
      <c r="B40" s="8">
        <f>IF(A40="","",Weekly_Budget*52/12)</f>
        <v>0</v>
      </c>
      <c r="C40" s="8">
        <f>IF(A40="","",SUMIFS('Grocery Spending'!$J$5:$J$404,'Grocery Spending'!$C$5:$C$404,A40))</f>
        <v>0</v>
      </c>
      <c r="D40" s="8">
        <f>IF(A40="","",B40-C40)</f>
        <v>0</v>
      </c>
      <c r="E40" s="8">
        <f>IF(A40="","",Eating_Out_Budget)</f>
        <v>0</v>
      </c>
      <c r="F40" s="28"/>
      <c r="G40" s="8">
        <f>IF(A40="","",E40-IF(F40="",0,F40))</f>
        <v>0</v>
      </c>
      <c r="H40" s="8">
        <f>IF(A40="","",SUMIFS('Food Waste'!$H$5:$H$154,'Food Waste'!$O$5:$O$154,A40))</f>
        <v>0</v>
      </c>
      <c r="I40" s="8">
        <f>IF(A40="","",B40+E40)</f>
        <v>0</v>
      </c>
      <c r="J40" s="8">
        <f>IF(A40="","",C40+IF(F40="",0,F40)+H40)</f>
        <v>0</v>
      </c>
      <c r="K40" s="8">
        <f>IF(A40="","",I40-J40)</f>
        <v>0</v>
      </c>
      <c r="L40" s="8">
        <f>IF(J40="","",COUNTIFS($J$17:$J$76,"&gt;"&amp;J40)+1)</f>
        <v>0</v>
      </c>
      <c r="M40" s="8">
        <f>IF(A40="","",IF(K40="","",IF(K40&lt;0,"Over budget",IF(K40&lt;Monthly_Budget*0.1,"Close","Under budget"))))</f>
        <v>0</v>
      </c>
      <c r="N40" s="8">
        <f>IF(J40="","",SUM($J$17:J40))</f>
        <v>0</v>
      </c>
      <c r="O40" s="25"/>
    </row>
    <row r="41" spans="1:15">
      <c r="A41" s="7"/>
      <c r="B41" s="8">
        <f>IF(A41="","",Weekly_Budget*52/12)</f>
        <v>0</v>
      </c>
      <c r="C41" s="8">
        <f>IF(A41="","",SUMIFS('Grocery Spending'!$J$5:$J$404,'Grocery Spending'!$C$5:$C$404,A41))</f>
        <v>0</v>
      </c>
      <c r="D41" s="8">
        <f>IF(A41="","",B41-C41)</f>
        <v>0</v>
      </c>
      <c r="E41" s="8">
        <f>IF(A41="","",Eating_Out_Budget)</f>
        <v>0</v>
      </c>
      <c r="F41" s="28"/>
      <c r="G41" s="8">
        <f>IF(A41="","",E41-IF(F41="",0,F41))</f>
        <v>0</v>
      </c>
      <c r="H41" s="8">
        <f>IF(A41="","",SUMIFS('Food Waste'!$H$5:$H$154,'Food Waste'!$O$5:$O$154,A41))</f>
        <v>0</v>
      </c>
      <c r="I41" s="8">
        <f>IF(A41="","",B41+E41)</f>
        <v>0</v>
      </c>
      <c r="J41" s="8">
        <f>IF(A41="","",C41+IF(F41="",0,F41)+H41)</f>
        <v>0</v>
      </c>
      <c r="K41" s="8">
        <f>IF(A41="","",I41-J41)</f>
        <v>0</v>
      </c>
      <c r="L41" s="8">
        <f>IF(J41="","",COUNTIFS($J$17:$J$76,"&gt;"&amp;J41)+1)</f>
        <v>0</v>
      </c>
      <c r="M41" s="8">
        <f>IF(A41="","",IF(K41="","",IF(K41&lt;0,"Over budget",IF(K41&lt;Monthly_Budget*0.1,"Close","Under budget"))))</f>
        <v>0</v>
      </c>
      <c r="N41" s="8">
        <f>IF(J41="","",SUM($J$17:J41))</f>
        <v>0</v>
      </c>
      <c r="O41" s="25"/>
    </row>
    <row r="42" spans="1:15">
      <c r="A42" s="7"/>
      <c r="B42" s="8">
        <f>IF(A42="","",Weekly_Budget*52/12)</f>
        <v>0</v>
      </c>
      <c r="C42" s="8">
        <f>IF(A42="","",SUMIFS('Grocery Spending'!$J$5:$J$404,'Grocery Spending'!$C$5:$C$404,A42))</f>
        <v>0</v>
      </c>
      <c r="D42" s="8">
        <f>IF(A42="","",B42-C42)</f>
        <v>0</v>
      </c>
      <c r="E42" s="8">
        <f>IF(A42="","",Eating_Out_Budget)</f>
        <v>0</v>
      </c>
      <c r="F42" s="28"/>
      <c r="G42" s="8">
        <f>IF(A42="","",E42-IF(F42="",0,F42))</f>
        <v>0</v>
      </c>
      <c r="H42" s="8">
        <f>IF(A42="","",SUMIFS('Food Waste'!$H$5:$H$154,'Food Waste'!$O$5:$O$154,A42))</f>
        <v>0</v>
      </c>
      <c r="I42" s="8">
        <f>IF(A42="","",B42+E42)</f>
        <v>0</v>
      </c>
      <c r="J42" s="8">
        <f>IF(A42="","",C42+IF(F42="",0,F42)+H42)</f>
        <v>0</v>
      </c>
      <c r="K42" s="8">
        <f>IF(A42="","",I42-J42)</f>
        <v>0</v>
      </c>
      <c r="L42" s="8">
        <f>IF(J42="","",COUNTIFS($J$17:$J$76,"&gt;"&amp;J42)+1)</f>
        <v>0</v>
      </c>
      <c r="M42" s="8">
        <f>IF(A42="","",IF(K42="","",IF(K42&lt;0,"Over budget",IF(K42&lt;Monthly_Budget*0.1,"Close","Under budget"))))</f>
        <v>0</v>
      </c>
      <c r="N42" s="8">
        <f>IF(J42="","",SUM($J$17:J42))</f>
        <v>0</v>
      </c>
      <c r="O42" s="25"/>
    </row>
    <row r="43" spans="1:15">
      <c r="A43" s="7"/>
      <c r="B43" s="8">
        <f>IF(A43="","",Weekly_Budget*52/12)</f>
        <v>0</v>
      </c>
      <c r="C43" s="8">
        <f>IF(A43="","",SUMIFS('Grocery Spending'!$J$5:$J$404,'Grocery Spending'!$C$5:$C$404,A43))</f>
        <v>0</v>
      </c>
      <c r="D43" s="8">
        <f>IF(A43="","",B43-C43)</f>
        <v>0</v>
      </c>
      <c r="E43" s="8">
        <f>IF(A43="","",Eating_Out_Budget)</f>
        <v>0</v>
      </c>
      <c r="F43" s="28"/>
      <c r="G43" s="8">
        <f>IF(A43="","",E43-IF(F43="",0,F43))</f>
        <v>0</v>
      </c>
      <c r="H43" s="8">
        <f>IF(A43="","",SUMIFS('Food Waste'!$H$5:$H$154,'Food Waste'!$O$5:$O$154,A43))</f>
        <v>0</v>
      </c>
      <c r="I43" s="8">
        <f>IF(A43="","",B43+E43)</f>
        <v>0</v>
      </c>
      <c r="J43" s="8">
        <f>IF(A43="","",C43+IF(F43="",0,F43)+H43)</f>
        <v>0</v>
      </c>
      <c r="K43" s="8">
        <f>IF(A43="","",I43-J43)</f>
        <v>0</v>
      </c>
      <c r="L43" s="8">
        <f>IF(J43="","",COUNTIFS($J$17:$J$76,"&gt;"&amp;J43)+1)</f>
        <v>0</v>
      </c>
      <c r="M43" s="8">
        <f>IF(A43="","",IF(K43="","",IF(K43&lt;0,"Over budget",IF(K43&lt;Monthly_Budget*0.1,"Close","Under budget"))))</f>
        <v>0</v>
      </c>
      <c r="N43" s="8">
        <f>IF(J43="","",SUM($J$17:J43))</f>
        <v>0</v>
      </c>
      <c r="O43" s="25"/>
    </row>
    <row r="44" spans="1:15">
      <c r="A44" s="7"/>
      <c r="B44" s="8">
        <f>IF(A44="","",Weekly_Budget*52/12)</f>
        <v>0</v>
      </c>
      <c r="C44" s="8">
        <f>IF(A44="","",SUMIFS('Grocery Spending'!$J$5:$J$404,'Grocery Spending'!$C$5:$C$404,A44))</f>
        <v>0</v>
      </c>
      <c r="D44" s="8">
        <f>IF(A44="","",B44-C44)</f>
        <v>0</v>
      </c>
      <c r="E44" s="8">
        <f>IF(A44="","",Eating_Out_Budget)</f>
        <v>0</v>
      </c>
      <c r="F44" s="28"/>
      <c r="G44" s="8">
        <f>IF(A44="","",E44-IF(F44="",0,F44))</f>
        <v>0</v>
      </c>
      <c r="H44" s="8">
        <f>IF(A44="","",SUMIFS('Food Waste'!$H$5:$H$154,'Food Waste'!$O$5:$O$154,A44))</f>
        <v>0</v>
      </c>
      <c r="I44" s="8">
        <f>IF(A44="","",B44+E44)</f>
        <v>0</v>
      </c>
      <c r="J44" s="8">
        <f>IF(A44="","",C44+IF(F44="",0,F44)+H44)</f>
        <v>0</v>
      </c>
      <c r="K44" s="8">
        <f>IF(A44="","",I44-J44)</f>
        <v>0</v>
      </c>
      <c r="L44" s="8">
        <f>IF(J44="","",COUNTIFS($J$17:$J$76,"&gt;"&amp;J44)+1)</f>
        <v>0</v>
      </c>
      <c r="M44" s="8">
        <f>IF(A44="","",IF(K44="","",IF(K44&lt;0,"Over budget",IF(K44&lt;Monthly_Budget*0.1,"Close","Under budget"))))</f>
        <v>0</v>
      </c>
      <c r="N44" s="8">
        <f>IF(J44="","",SUM($J$17:J44))</f>
        <v>0</v>
      </c>
      <c r="O44" s="25"/>
    </row>
    <row r="45" spans="1:15">
      <c r="A45" s="7"/>
      <c r="B45" s="8">
        <f>IF(A45="","",Weekly_Budget*52/12)</f>
        <v>0</v>
      </c>
      <c r="C45" s="8">
        <f>IF(A45="","",SUMIFS('Grocery Spending'!$J$5:$J$404,'Grocery Spending'!$C$5:$C$404,A45))</f>
        <v>0</v>
      </c>
      <c r="D45" s="8">
        <f>IF(A45="","",B45-C45)</f>
        <v>0</v>
      </c>
      <c r="E45" s="8">
        <f>IF(A45="","",Eating_Out_Budget)</f>
        <v>0</v>
      </c>
      <c r="F45" s="28"/>
      <c r="G45" s="8">
        <f>IF(A45="","",E45-IF(F45="",0,F45))</f>
        <v>0</v>
      </c>
      <c r="H45" s="8">
        <f>IF(A45="","",SUMIFS('Food Waste'!$H$5:$H$154,'Food Waste'!$O$5:$O$154,A45))</f>
        <v>0</v>
      </c>
      <c r="I45" s="8">
        <f>IF(A45="","",B45+E45)</f>
        <v>0</v>
      </c>
      <c r="J45" s="8">
        <f>IF(A45="","",C45+IF(F45="",0,F45)+H45)</f>
        <v>0</v>
      </c>
      <c r="K45" s="8">
        <f>IF(A45="","",I45-J45)</f>
        <v>0</v>
      </c>
      <c r="L45" s="8">
        <f>IF(J45="","",COUNTIFS($J$17:$J$76,"&gt;"&amp;J45)+1)</f>
        <v>0</v>
      </c>
      <c r="M45" s="8">
        <f>IF(A45="","",IF(K45="","",IF(K45&lt;0,"Over budget",IF(K45&lt;Monthly_Budget*0.1,"Close","Under budget"))))</f>
        <v>0</v>
      </c>
      <c r="N45" s="8">
        <f>IF(J45="","",SUM($J$17:J45))</f>
        <v>0</v>
      </c>
      <c r="O45" s="25"/>
    </row>
    <row r="46" spans="1:15">
      <c r="A46" s="7"/>
      <c r="B46" s="8">
        <f>IF(A46="","",Weekly_Budget*52/12)</f>
        <v>0</v>
      </c>
      <c r="C46" s="8">
        <f>IF(A46="","",SUMIFS('Grocery Spending'!$J$5:$J$404,'Grocery Spending'!$C$5:$C$404,A46))</f>
        <v>0</v>
      </c>
      <c r="D46" s="8">
        <f>IF(A46="","",B46-C46)</f>
        <v>0</v>
      </c>
      <c r="E46" s="8">
        <f>IF(A46="","",Eating_Out_Budget)</f>
        <v>0</v>
      </c>
      <c r="F46" s="28"/>
      <c r="G46" s="8">
        <f>IF(A46="","",E46-IF(F46="",0,F46))</f>
        <v>0</v>
      </c>
      <c r="H46" s="8">
        <f>IF(A46="","",SUMIFS('Food Waste'!$H$5:$H$154,'Food Waste'!$O$5:$O$154,A46))</f>
        <v>0</v>
      </c>
      <c r="I46" s="8">
        <f>IF(A46="","",B46+E46)</f>
        <v>0</v>
      </c>
      <c r="J46" s="8">
        <f>IF(A46="","",C46+IF(F46="",0,F46)+H46)</f>
        <v>0</v>
      </c>
      <c r="K46" s="8">
        <f>IF(A46="","",I46-J46)</f>
        <v>0</v>
      </c>
      <c r="L46" s="8">
        <f>IF(J46="","",COUNTIFS($J$17:$J$76,"&gt;"&amp;J46)+1)</f>
        <v>0</v>
      </c>
      <c r="M46" s="8">
        <f>IF(A46="","",IF(K46="","",IF(K46&lt;0,"Over budget",IF(K46&lt;Monthly_Budget*0.1,"Close","Under budget"))))</f>
        <v>0</v>
      </c>
      <c r="N46" s="8">
        <f>IF(J46="","",SUM($J$17:J46))</f>
        <v>0</v>
      </c>
      <c r="O46" s="25"/>
    </row>
    <row r="47" spans="1:15">
      <c r="A47" s="7"/>
      <c r="B47" s="8">
        <f>IF(A47="","",Weekly_Budget*52/12)</f>
        <v>0</v>
      </c>
      <c r="C47" s="8">
        <f>IF(A47="","",SUMIFS('Grocery Spending'!$J$5:$J$404,'Grocery Spending'!$C$5:$C$404,A47))</f>
        <v>0</v>
      </c>
      <c r="D47" s="8">
        <f>IF(A47="","",B47-C47)</f>
        <v>0</v>
      </c>
      <c r="E47" s="8">
        <f>IF(A47="","",Eating_Out_Budget)</f>
        <v>0</v>
      </c>
      <c r="F47" s="28"/>
      <c r="G47" s="8">
        <f>IF(A47="","",E47-IF(F47="",0,F47))</f>
        <v>0</v>
      </c>
      <c r="H47" s="8">
        <f>IF(A47="","",SUMIFS('Food Waste'!$H$5:$H$154,'Food Waste'!$O$5:$O$154,A47))</f>
        <v>0</v>
      </c>
      <c r="I47" s="8">
        <f>IF(A47="","",B47+E47)</f>
        <v>0</v>
      </c>
      <c r="J47" s="8">
        <f>IF(A47="","",C47+IF(F47="",0,F47)+H47)</f>
        <v>0</v>
      </c>
      <c r="K47" s="8">
        <f>IF(A47="","",I47-J47)</f>
        <v>0</v>
      </c>
      <c r="L47" s="8">
        <f>IF(J47="","",COUNTIFS($J$17:$J$76,"&gt;"&amp;J47)+1)</f>
        <v>0</v>
      </c>
      <c r="M47" s="8">
        <f>IF(A47="","",IF(K47="","",IF(K47&lt;0,"Over budget",IF(K47&lt;Monthly_Budget*0.1,"Close","Under budget"))))</f>
        <v>0</v>
      </c>
      <c r="N47" s="8">
        <f>IF(J47="","",SUM($J$17:J47))</f>
        <v>0</v>
      </c>
      <c r="O47" s="25"/>
    </row>
    <row r="48" spans="1:15">
      <c r="A48" s="7"/>
      <c r="B48" s="8">
        <f>IF(A48="","",Weekly_Budget*52/12)</f>
        <v>0</v>
      </c>
      <c r="C48" s="8">
        <f>IF(A48="","",SUMIFS('Grocery Spending'!$J$5:$J$404,'Grocery Spending'!$C$5:$C$404,A48))</f>
        <v>0</v>
      </c>
      <c r="D48" s="8">
        <f>IF(A48="","",B48-C48)</f>
        <v>0</v>
      </c>
      <c r="E48" s="8">
        <f>IF(A48="","",Eating_Out_Budget)</f>
        <v>0</v>
      </c>
      <c r="F48" s="28"/>
      <c r="G48" s="8">
        <f>IF(A48="","",E48-IF(F48="",0,F48))</f>
        <v>0</v>
      </c>
      <c r="H48" s="8">
        <f>IF(A48="","",SUMIFS('Food Waste'!$H$5:$H$154,'Food Waste'!$O$5:$O$154,A48))</f>
        <v>0</v>
      </c>
      <c r="I48" s="8">
        <f>IF(A48="","",B48+E48)</f>
        <v>0</v>
      </c>
      <c r="J48" s="8">
        <f>IF(A48="","",C48+IF(F48="",0,F48)+H48)</f>
        <v>0</v>
      </c>
      <c r="K48" s="8">
        <f>IF(A48="","",I48-J48)</f>
        <v>0</v>
      </c>
      <c r="L48" s="8">
        <f>IF(J48="","",COUNTIFS($J$17:$J$76,"&gt;"&amp;J48)+1)</f>
        <v>0</v>
      </c>
      <c r="M48" s="8">
        <f>IF(A48="","",IF(K48="","",IF(K48&lt;0,"Over budget",IF(K48&lt;Monthly_Budget*0.1,"Close","Under budget"))))</f>
        <v>0</v>
      </c>
      <c r="N48" s="8">
        <f>IF(J48="","",SUM($J$17:J48))</f>
        <v>0</v>
      </c>
      <c r="O48" s="25"/>
    </row>
    <row r="49" spans="1:15">
      <c r="A49" s="7"/>
      <c r="B49" s="8">
        <f>IF(A49="","",Weekly_Budget*52/12)</f>
        <v>0</v>
      </c>
      <c r="C49" s="8">
        <f>IF(A49="","",SUMIFS('Grocery Spending'!$J$5:$J$404,'Grocery Spending'!$C$5:$C$404,A49))</f>
        <v>0</v>
      </c>
      <c r="D49" s="8">
        <f>IF(A49="","",B49-C49)</f>
        <v>0</v>
      </c>
      <c r="E49" s="8">
        <f>IF(A49="","",Eating_Out_Budget)</f>
        <v>0</v>
      </c>
      <c r="F49" s="28"/>
      <c r="G49" s="8">
        <f>IF(A49="","",E49-IF(F49="",0,F49))</f>
        <v>0</v>
      </c>
      <c r="H49" s="8">
        <f>IF(A49="","",SUMIFS('Food Waste'!$H$5:$H$154,'Food Waste'!$O$5:$O$154,A49))</f>
        <v>0</v>
      </c>
      <c r="I49" s="8">
        <f>IF(A49="","",B49+E49)</f>
        <v>0</v>
      </c>
      <c r="J49" s="8">
        <f>IF(A49="","",C49+IF(F49="",0,F49)+H49)</f>
        <v>0</v>
      </c>
      <c r="K49" s="8">
        <f>IF(A49="","",I49-J49)</f>
        <v>0</v>
      </c>
      <c r="L49" s="8">
        <f>IF(J49="","",COUNTIFS($J$17:$J$76,"&gt;"&amp;J49)+1)</f>
        <v>0</v>
      </c>
      <c r="M49" s="8">
        <f>IF(A49="","",IF(K49="","",IF(K49&lt;0,"Over budget",IF(K49&lt;Monthly_Budget*0.1,"Close","Under budget"))))</f>
        <v>0</v>
      </c>
      <c r="N49" s="8">
        <f>IF(J49="","",SUM($J$17:J49))</f>
        <v>0</v>
      </c>
      <c r="O49" s="25"/>
    </row>
    <row r="50" spans="1:15">
      <c r="A50" s="7"/>
      <c r="B50" s="8">
        <f>IF(A50="","",Weekly_Budget*52/12)</f>
        <v>0</v>
      </c>
      <c r="C50" s="8">
        <f>IF(A50="","",SUMIFS('Grocery Spending'!$J$5:$J$404,'Grocery Spending'!$C$5:$C$404,A50))</f>
        <v>0</v>
      </c>
      <c r="D50" s="8">
        <f>IF(A50="","",B50-C50)</f>
        <v>0</v>
      </c>
      <c r="E50" s="8">
        <f>IF(A50="","",Eating_Out_Budget)</f>
        <v>0</v>
      </c>
      <c r="F50" s="28"/>
      <c r="G50" s="8">
        <f>IF(A50="","",E50-IF(F50="",0,F50))</f>
        <v>0</v>
      </c>
      <c r="H50" s="8">
        <f>IF(A50="","",SUMIFS('Food Waste'!$H$5:$H$154,'Food Waste'!$O$5:$O$154,A50))</f>
        <v>0</v>
      </c>
      <c r="I50" s="8">
        <f>IF(A50="","",B50+E50)</f>
        <v>0</v>
      </c>
      <c r="J50" s="8">
        <f>IF(A50="","",C50+IF(F50="",0,F50)+H50)</f>
        <v>0</v>
      </c>
      <c r="K50" s="8">
        <f>IF(A50="","",I50-J50)</f>
        <v>0</v>
      </c>
      <c r="L50" s="8">
        <f>IF(J50="","",COUNTIFS($J$17:$J$76,"&gt;"&amp;J50)+1)</f>
        <v>0</v>
      </c>
      <c r="M50" s="8">
        <f>IF(A50="","",IF(K50="","",IF(K50&lt;0,"Over budget",IF(K50&lt;Monthly_Budget*0.1,"Close","Under budget"))))</f>
        <v>0</v>
      </c>
      <c r="N50" s="8">
        <f>IF(J50="","",SUM($J$17:J50))</f>
        <v>0</v>
      </c>
      <c r="O50" s="25"/>
    </row>
    <row r="51" spans="1:15">
      <c r="A51" s="7"/>
      <c r="B51" s="8">
        <f>IF(A51="","",Weekly_Budget*52/12)</f>
        <v>0</v>
      </c>
      <c r="C51" s="8">
        <f>IF(A51="","",SUMIFS('Grocery Spending'!$J$5:$J$404,'Grocery Spending'!$C$5:$C$404,A51))</f>
        <v>0</v>
      </c>
      <c r="D51" s="8">
        <f>IF(A51="","",B51-C51)</f>
        <v>0</v>
      </c>
      <c r="E51" s="8">
        <f>IF(A51="","",Eating_Out_Budget)</f>
        <v>0</v>
      </c>
      <c r="F51" s="28"/>
      <c r="G51" s="8">
        <f>IF(A51="","",E51-IF(F51="",0,F51))</f>
        <v>0</v>
      </c>
      <c r="H51" s="8">
        <f>IF(A51="","",SUMIFS('Food Waste'!$H$5:$H$154,'Food Waste'!$O$5:$O$154,A51))</f>
        <v>0</v>
      </c>
      <c r="I51" s="8">
        <f>IF(A51="","",B51+E51)</f>
        <v>0</v>
      </c>
      <c r="J51" s="8">
        <f>IF(A51="","",C51+IF(F51="",0,F51)+H51)</f>
        <v>0</v>
      </c>
      <c r="K51" s="8">
        <f>IF(A51="","",I51-J51)</f>
        <v>0</v>
      </c>
      <c r="L51" s="8">
        <f>IF(J51="","",COUNTIFS($J$17:$J$76,"&gt;"&amp;J51)+1)</f>
        <v>0</v>
      </c>
      <c r="M51" s="8">
        <f>IF(A51="","",IF(K51="","",IF(K51&lt;0,"Over budget",IF(K51&lt;Monthly_Budget*0.1,"Close","Under budget"))))</f>
        <v>0</v>
      </c>
      <c r="N51" s="8">
        <f>IF(J51="","",SUM($J$17:J51))</f>
        <v>0</v>
      </c>
      <c r="O51" s="25"/>
    </row>
    <row r="52" spans="1:15">
      <c r="A52" s="7"/>
      <c r="B52" s="8">
        <f>IF(A52="","",Weekly_Budget*52/12)</f>
        <v>0</v>
      </c>
      <c r="C52" s="8">
        <f>IF(A52="","",SUMIFS('Grocery Spending'!$J$5:$J$404,'Grocery Spending'!$C$5:$C$404,A52))</f>
        <v>0</v>
      </c>
      <c r="D52" s="8">
        <f>IF(A52="","",B52-C52)</f>
        <v>0</v>
      </c>
      <c r="E52" s="8">
        <f>IF(A52="","",Eating_Out_Budget)</f>
        <v>0</v>
      </c>
      <c r="F52" s="28"/>
      <c r="G52" s="8">
        <f>IF(A52="","",E52-IF(F52="",0,F52))</f>
        <v>0</v>
      </c>
      <c r="H52" s="8">
        <f>IF(A52="","",SUMIFS('Food Waste'!$H$5:$H$154,'Food Waste'!$O$5:$O$154,A52))</f>
        <v>0</v>
      </c>
      <c r="I52" s="8">
        <f>IF(A52="","",B52+E52)</f>
        <v>0</v>
      </c>
      <c r="J52" s="8">
        <f>IF(A52="","",C52+IF(F52="",0,F52)+H52)</f>
        <v>0</v>
      </c>
      <c r="K52" s="8">
        <f>IF(A52="","",I52-J52)</f>
        <v>0</v>
      </c>
      <c r="L52" s="8">
        <f>IF(J52="","",COUNTIFS($J$17:$J$76,"&gt;"&amp;J52)+1)</f>
        <v>0</v>
      </c>
      <c r="M52" s="8">
        <f>IF(A52="","",IF(K52="","",IF(K52&lt;0,"Over budget",IF(K52&lt;Monthly_Budget*0.1,"Close","Under budget"))))</f>
        <v>0</v>
      </c>
      <c r="N52" s="8">
        <f>IF(J52="","",SUM($J$17:J52))</f>
        <v>0</v>
      </c>
      <c r="O52" s="25"/>
    </row>
    <row r="53" spans="1:15">
      <c r="A53" s="7"/>
      <c r="B53" s="8">
        <f>IF(A53="","",Weekly_Budget*52/12)</f>
        <v>0</v>
      </c>
      <c r="C53" s="8">
        <f>IF(A53="","",SUMIFS('Grocery Spending'!$J$5:$J$404,'Grocery Spending'!$C$5:$C$404,A53))</f>
        <v>0</v>
      </c>
      <c r="D53" s="8">
        <f>IF(A53="","",B53-C53)</f>
        <v>0</v>
      </c>
      <c r="E53" s="8">
        <f>IF(A53="","",Eating_Out_Budget)</f>
        <v>0</v>
      </c>
      <c r="F53" s="28"/>
      <c r="G53" s="8">
        <f>IF(A53="","",E53-IF(F53="",0,F53))</f>
        <v>0</v>
      </c>
      <c r="H53" s="8">
        <f>IF(A53="","",SUMIFS('Food Waste'!$H$5:$H$154,'Food Waste'!$O$5:$O$154,A53))</f>
        <v>0</v>
      </c>
      <c r="I53" s="8">
        <f>IF(A53="","",B53+E53)</f>
        <v>0</v>
      </c>
      <c r="J53" s="8">
        <f>IF(A53="","",C53+IF(F53="",0,F53)+H53)</f>
        <v>0</v>
      </c>
      <c r="K53" s="8">
        <f>IF(A53="","",I53-J53)</f>
        <v>0</v>
      </c>
      <c r="L53" s="8">
        <f>IF(J53="","",COUNTIFS($J$17:$J$76,"&gt;"&amp;J53)+1)</f>
        <v>0</v>
      </c>
      <c r="M53" s="8">
        <f>IF(A53="","",IF(K53="","",IF(K53&lt;0,"Over budget",IF(K53&lt;Monthly_Budget*0.1,"Close","Under budget"))))</f>
        <v>0</v>
      </c>
      <c r="N53" s="8">
        <f>IF(J53="","",SUM($J$17:J53))</f>
        <v>0</v>
      </c>
      <c r="O53" s="25"/>
    </row>
    <row r="54" spans="1:15">
      <c r="A54" s="7"/>
      <c r="B54" s="8">
        <f>IF(A54="","",Weekly_Budget*52/12)</f>
        <v>0</v>
      </c>
      <c r="C54" s="8">
        <f>IF(A54="","",SUMIFS('Grocery Spending'!$J$5:$J$404,'Grocery Spending'!$C$5:$C$404,A54))</f>
        <v>0</v>
      </c>
      <c r="D54" s="8">
        <f>IF(A54="","",B54-C54)</f>
        <v>0</v>
      </c>
      <c r="E54" s="8">
        <f>IF(A54="","",Eating_Out_Budget)</f>
        <v>0</v>
      </c>
      <c r="F54" s="28"/>
      <c r="G54" s="8">
        <f>IF(A54="","",E54-IF(F54="",0,F54))</f>
        <v>0</v>
      </c>
      <c r="H54" s="8">
        <f>IF(A54="","",SUMIFS('Food Waste'!$H$5:$H$154,'Food Waste'!$O$5:$O$154,A54))</f>
        <v>0</v>
      </c>
      <c r="I54" s="8">
        <f>IF(A54="","",B54+E54)</f>
        <v>0</v>
      </c>
      <c r="J54" s="8">
        <f>IF(A54="","",C54+IF(F54="",0,F54)+H54)</f>
        <v>0</v>
      </c>
      <c r="K54" s="8">
        <f>IF(A54="","",I54-J54)</f>
        <v>0</v>
      </c>
      <c r="L54" s="8">
        <f>IF(J54="","",COUNTIFS($J$17:$J$76,"&gt;"&amp;J54)+1)</f>
        <v>0</v>
      </c>
      <c r="M54" s="8">
        <f>IF(A54="","",IF(K54="","",IF(K54&lt;0,"Over budget",IF(K54&lt;Monthly_Budget*0.1,"Close","Under budget"))))</f>
        <v>0</v>
      </c>
      <c r="N54" s="8">
        <f>IF(J54="","",SUM($J$17:J54))</f>
        <v>0</v>
      </c>
      <c r="O54" s="25"/>
    </row>
    <row r="55" spans="1:15">
      <c r="A55" s="7"/>
      <c r="B55" s="8">
        <f>IF(A55="","",Weekly_Budget*52/12)</f>
        <v>0</v>
      </c>
      <c r="C55" s="8">
        <f>IF(A55="","",SUMIFS('Grocery Spending'!$J$5:$J$404,'Grocery Spending'!$C$5:$C$404,A55))</f>
        <v>0</v>
      </c>
      <c r="D55" s="8">
        <f>IF(A55="","",B55-C55)</f>
        <v>0</v>
      </c>
      <c r="E55" s="8">
        <f>IF(A55="","",Eating_Out_Budget)</f>
        <v>0</v>
      </c>
      <c r="F55" s="28"/>
      <c r="G55" s="8">
        <f>IF(A55="","",E55-IF(F55="",0,F55))</f>
        <v>0</v>
      </c>
      <c r="H55" s="8">
        <f>IF(A55="","",SUMIFS('Food Waste'!$H$5:$H$154,'Food Waste'!$O$5:$O$154,A55))</f>
        <v>0</v>
      </c>
      <c r="I55" s="8">
        <f>IF(A55="","",B55+E55)</f>
        <v>0</v>
      </c>
      <c r="J55" s="8">
        <f>IF(A55="","",C55+IF(F55="",0,F55)+H55)</f>
        <v>0</v>
      </c>
      <c r="K55" s="8">
        <f>IF(A55="","",I55-J55)</f>
        <v>0</v>
      </c>
      <c r="L55" s="8">
        <f>IF(J55="","",COUNTIFS($J$17:$J$76,"&gt;"&amp;J55)+1)</f>
        <v>0</v>
      </c>
      <c r="M55" s="8">
        <f>IF(A55="","",IF(K55="","",IF(K55&lt;0,"Over budget",IF(K55&lt;Monthly_Budget*0.1,"Close","Under budget"))))</f>
        <v>0</v>
      </c>
      <c r="N55" s="8">
        <f>IF(J55="","",SUM($J$17:J55))</f>
        <v>0</v>
      </c>
      <c r="O55" s="25"/>
    </row>
    <row r="56" spans="1:15">
      <c r="A56" s="7"/>
      <c r="B56" s="8">
        <f>IF(A56="","",Weekly_Budget*52/12)</f>
        <v>0</v>
      </c>
      <c r="C56" s="8">
        <f>IF(A56="","",SUMIFS('Grocery Spending'!$J$5:$J$404,'Grocery Spending'!$C$5:$C$404,A56))</f>
        <v>0</v>
      </c>
      <c r="D56" s="8">
        <f>IF(A56="","",B56-C56)</f>
        <v>0</v>
      </c>
      <c r="E56" s="8">
        <f>IF(A56="","",Eating_Out_Budget)</f>
        <v>0</v>
      </c>
      <c r="F56" s="28"/>
      <c r="G56" s="8">
        <f>IF(A56="","",E56-IF(F56="",0,F56))</f>
        <v>0</v>
      </c>
      <c r="H56" s="8">
        <f>IF(A56="","",SUMIFS('Food Waste'!$H$5:$H$154,'Food Waste'!$O$5:$O$154,A56))</f>
        <v>0</v>
      </c>
      <c r="I56" s="8">
        <f>IF(A56="","",B56+E56)</f>
        <v>0</v>
      </c>
      <c r="J56" s="8">
        <f>IF(A56="","",C56+IF(F56="",0,F56)+H56)</f>
        <v>0</v>
      </c>
      <c r="K56" s="8">
        <f>IF(A56="","",I56-J56)</f>
        <v>0</v>
      </c>
      <c r="L56" s="8">
        <f>IF(J56="","",COUNTIFS($J$17:$J$76,"&gt;"&amp;J56)+1)</f>
        <v>0</v>
      </c>
      <c r="M56" s="8">
        <f>IF(A56="","",IF(K56="","",IF(K56&lt;0,"Over budget",IF(K56&lt;Monthly_Budget*0.1,"Close","Under budget"))))</f>
        <v>0</v>
      </c>
      <c r="N56" s="8">
        <f>IF(J56="","",SUM($J$17:J56))</f>
        <v>0</v>
      </c>
      <c r="O56" s="25"/>
    </row>
    <row r="57" spans="1:15">
      <c r="A57" s="7"/>
      <c r="B57" s="8">
        <f>IF(A57="","",Weekly_Budget*52/12)</f>
        <v>0</v>
      </c>
      <c r="C57" s="8">
        <f>IF(A57="","",SUMIFS('Grocery Spending'!$J$5:$J$404,'Grocery Spending'!$C$5:$C$404,A57))</f>
        <v>0</v>
      </c>
      <c r="D57" s="8">
        <f>IF(A57="","",B57-C57)</f>
        <v>0</v>
      </c>
      <c r="E57" s="8">
        <f>IF(A57="","",Eating_Out_Budget)</f>
        <v>0</v>
      </c>
      <c r="F57" s="28"/>
      <c r="G57" s="8">
        <f>IF(A57="","",E57-IF(F57="",0,F57))</f>
        <v>0</v>
      </c>
      <c r="H57" s="8">
        <f>IF(A57="","",SUMIFS('Food Waste'!$H$5:$H$154,'Food Waste'!$O$5:$O$154,A57))</f>
        <v>0</v>
      </c>
      <c r="I57" s="8">
        <f>IF(A57="","",B57+E57)</f>
        <v>0</v>
      </c>
      <c r="J57" s="8">
        <f>IF(A57="","",C57+IF(F57="",0,F57)+H57)</f>
        <v>0</v>
      </c>
      <c r="K57" s="8">
        <f>IF(A57="","",I57-J57)</f>
        <v>0</v>
      </c>
      <c r="L57" s="8">
        <f>IF(J57="","",COUNTIFS($J$17:$J$76,"&gt;"&amp;J57)+1)</f>
        <v>0</v>
      </c>
      <c r="M57" s="8">
        <f>IF(A57="","",IF(K57="","",IF(K57&lt;0,"Over budget",IF(K57&lt;Monthly_Budget*0.1,"Close","Under budget"))))</f>
        <v>0</v>
      </c>
      <c r="N57" s="8">
        <f>IF(J57="","",SUM($J$17:J57))</f>
        <v>0</v>
      </c>
      <c r="O57" s="25"/>
    </row>
    <row r="58" spans="1:15">
      <c r="A58" s="7"/>
      <c r="B58" s="8">
        <f>IF(A58="","",Weekly_Budget*52/12)</f>
        <v>0</v>
      </c>
      <c r="C58" s="8">
        <f>IF(A58="","",SUMIFS('Grocery Spending'!$J$5:$J$404,'Grocery Spending'!$C$5:$C$404,A58))</f>
        <v>0</v>
      </c>
      <c r="D58" s="8">
        <f>IF(A58="","",B58-C58)</f>
        <v>0</v>
      </c>
      <c r="E58" s="8">
        <f>IF(A58="","",Eating_Out_Budget)</f>
        <v>0</v>
      </c>
      <c r="F58" s="28"/>
      <c r="G58" s="8">
        <f>IF(A58="","",E58-IF(F58="",0,F58))</f>
        <v>0</v>
      </c>
      <c r="H58" s="8">
        <f>IF(A58="","",SUMIFS('Food Waste'!$H$5:$H$154,'Food Waste'!$O$5:$O$154,A58))</f>
        <v>0</v>
      </c>
      <c r="I58" s="8">
        <f>IF(A58="","",B58+E58)</f>
        <v>0</v>
      </c>
      <c r="J58" s="8">
        <f>IF(A58="","",C58+IF(F58="",0,F58)+H58)</f>
        <v>0</v>
      </c>
      <c r="K58" s="8">
        <f>IF(A58="","",I58-J58)</f>
        <v>0</v>
      </c>
      <c r="L58" s="8">
        <f>IF(J58="","",COUNTIFS($J$17:$J$76,"&gt;"&amp;J58)+1)</f>
        <v>0</v>
      </c>
      <c r="M58" s="8">
        <f>IF(A58="","",IF(K58="","",IF(K58&lt;0,"Over budget",IF(K58&lt;Monthly_Budget*0.1,"Close","Under budget"))))</f>
        <v>0</v>
      </c>
      <c r="N58" s="8">
        <f>IF(J58="","",SUM($J$17:J58))</f>
        <v>0</v>
      </c>
      <c r="O58" s="25"/>
    </row>
    <row r="59" spans="1:15">
      <c r="A59" s="7"/>
      <c r="B59" s="8">
        <f>IF(A59="","",Weekly_Budget*52/12)</f>
        <v>0</v>
      </c>
      <c r="C59" s="8">
        <f>IF(A59="","",SUMIFS('Grocery Spending'!$J$5:$J$404,'Grocery Spending'!$C$5:$C$404,A59))</f>
        <v>0</v>
      </c>
      <c r="D59" s="8">
        <f>IF(A59="","",B59-C59)</f>
        <v>0</v>
      </c>
      <c r="E59" s="8">
        <f>IF(A59="","",Eating_Out_Budget)</f>
        <v>0</v>
      </c>
      <c r="F59" s="28"/>
      <c r="G59" s="8">
        <f>IF(A59="","",E59-IF(F59="",0,F59))</f>
        <v>0</v>
      </c>
      <c r="H59" s="8">
        <f>IF(A59="","",SUMIFS('Food Waste'!$H$5:$H$154,'Food Waste'!$O$5:$O$154,A59))</f>
        <v>0</v>
      </c>
      <c r="I59" s="8">
        <f>IF(A59="","",B59+E59)</f>
        <v>0</v>
      </c>
      <c r="J59" s="8">
        <f>IF(A59="","",C59+IF(F59="",0,F59)+H59)</f>
        <v>0</v>
      </c>
      <c r="K59" s="8">
        <f>IF(A59="","",I59-J59)</f>
        <v>0</v>
      </c>
      <c r="L59" s="8">
        <f>IF(J59="","",COUNTIFS($J$17:$J$76,"&gt;"&amp;J59)+1)</f>
        <v>0</v>
      </c>
      <c r="M59" s="8">
        <f>IF(A59="","",IF(K59="","",IF(K59&lt;0,"Over budget",IF(K59&lt;Monthly_Budget*0.1,"Close","Under budget"))))</f>
        <v>0</v>
      </c>
      <c r="N59" s="8">
        <f>IF(J59="","",SUM($J$17:J59))</f>
        <v>0</v>
      </c>
      <c r="O59" s="25"/>
    </row>
    <row r="60" spans="1:15">
      <c r="A60" s="7"/>
      <c r="B60" s="8">
        <f>IF(A60="","",Weekly_Budget*52/12)</f>
        <v>0</v>
      </c>
      <c r="C60" s="8">
        <f>IF(A60="","",SUMIFS('Grocery Spending'!$J$5:$J$404,'Grocery Spending'!$C$5:$C$404,A60))</f>
        <v>0</v>
      </c>
      <c r="D60" s="8">
        <f>IF(A60="","",B60-C60)</f>
        <v>0</v>
      </c>
      <c r="E60" s="8">
        <f>IF(A60="","",Eating_Out_Budget)</f>
        <v>0</v>
      </c>
      <c r="F60" s="28"/>
      <c r="G60" s="8">
        <f>IF(A60="","",E60-IF(F60="",0,F60))</f>
        <v>0</v>
      </c>
      <c r="H60" s="8">
        <f>IF(A60="","",SUMIFS('Food Waste'!$H$5:$H$154,'Food Waste'!$O$5:$O$154,A60))</f>
        <v>0</v>
      </c>
      <c r="I60" s="8">
        <f>IF(A60="","",B60+E60)</f>
        <v>0</v>
      </c>
      <c r="J60" s="8">
        <f>IF(A60="","",C60+IF(F60="",0,F60)+H60)</f>
        <v>0</v>
      </c>
      <c r="K60" s="8">
        <f>IF(A60="","",I60-J60)</f>
        <v>0</v>
      </c>
      <c r="L60" s="8">
        <f>IF(J60="","",COUNTIFS($J$17:$J$76,"&gt;"&amp;J60)+1)</f>
        <v>0</v>
      </c>
      <c r="M60" s="8">
        <f>IF(A60="","",IF(K60="","",IF(K60&lt;0,"Over budget",IF(K60&lt;Monthly_Budget*0.1,"Close","Under budget"))))</f>
        <v>0</v>
      </c>
      <c r="N60" s="8">
        <f>IF(J60="","",SUM($J$17:J60))</f>
        <v>0</v>
      </c>
      <c r="O60" s="25"/>
    </row>
    <row r="61" spans="1:15">
      <c r="A61" s="7"/>
      <c r="B61" s="8">
        <f>IF(A61="","",Weekly_Budget*52/12)</f>
        <v>0</v>
      </c>
      <c r="C61" s="8">
        <f>IF(A61="","",SUMIFS('Grocery Spending'!$J$5:$J$404,'Grocery Spending'!$C$5:$C$404,A61))</f>
        <v>0</v>
      </c>
      <c r="D61" s="8">
        <f>IF(A61="","",B61-C61)</f>
        <v>0</v>
      </c>
      <c r="E61" s="8">
        <f>IF(A61="","",Eating_Out_Budget)</f>
        <v>0</v>
      </c>
      <c r="F61" s="28"/>
      <c r="G61" s="8">
        <f>IF(A61="","",E61-IF(F61="",0,F61))</f>
        <v>0</v>
      </c>
      <c r="H61" s="8">
        <f>IF(A61="","",SUMIFS('Food Waste'!$H$5:$H$154,'Food Waste'!$O$5:$O$154,A61))</f>
        <v>0</v>
      </c>
      <c r="I61" s="8">
        <f>IF(A61="","",B61+E61)</f>
        <v>0</v>
      </c>
      <c r="J61" s="8">
        <f>IF(A61="","",C61+IF(F61="",0,F61)+H61)</f>
        <v>0</v>
      </c>
      <c r="K61" s="8">
        <f>IF(A61="","",I61-J61)</f>
        <v>0</v>
      </c>
      <c r="L61" s="8">
        <f>IF(J61="","",COUNTIFS($J$17:$J$76,"&gt;"&amp;J61)+1)</f>
        <v>0</v>
      </c>
      <c r="M61" s="8">
        <f>IF(A61="","",IF(K61="","",IF(K61&lt;0,"Over budget",IF(K61&lt;Monthly_Budget*0.1,"Close","Under budget"))))</f>
        <v>0</v>
      </c>
      <c r="N61" s="8">
        <f>IF(J61="","",SUM($J$17:J61))</f>
        <v>0</v>
      </c>
      <c r="O61" s="25"/>
    </row>
    <row r="62" spans="1:15">
      <c r="A62" s="7"/>
      <c r="B62" s="8">
        <f>IF(A62="","",Weekly_Budget*52/12)</f>
        <v>0</v>
      </c>
      <c r="C62" s="8">
        <f>IF(A62="","",SUMIFS('Grocery Spending'!$J$5:$J$404,'Grocery Spending'!$C$5:$C$404,A62))</f>
        <v>0</v>
      </c>
      <c r="D62" s="8">
        <f>IF(A62="","",B62-C62)</f>
        <v>0</v>
      </c>
      <c r="E62" s="8">
        <f>IF(A62="","",Eating_Out_Budget)</f>
        <v>0</v>
      </c>
      <c r="F62" s="28"/>
      <c r="G62" s="8">
        <f>IF(A62="","",E62-IF(F62="",0,F62))</f>
        <v>0</v>
      </c>
      <c r="H62" s="8">
        <f>IF(A62="","",SUMIFS('Food Waste'!$H$5:$H$154,'Food Waste'!$O$5:$O$154,A62))</f>
        <v>0</v>
      </c>
      <c r="I62" s="8">
        <f>IF(A62="","",B62+E62)</f>
        <v>0</v>
      </c>
      <c r="J62" s="8">
        <f>IF(A62="","",C62+IF(F62="",0,F62)+H62)</f>
        <v>0</v>
      </c>
      <c r="K62" s="8">
        <f>IF(A62="","",I62-J62)</f>
        <v>0</v>
      </c>
      <c r="L62" s="8">
        <f>IF(J62="","",COUNTIFS($J$17:$J$76,"&gt;"&amp;J62)+1)</f>
        <v>0</v>
      </c>
      <c r="M62" s="8">
        <f>IF(A62="","",IF(K62="","",IF(K62&lt;0,"Over budget",IF(K62&lt;Monthly_Budget*0.1,"Close","Under budget"))))</f>
        <v>0</v>
      </c>
      <c r="N62" s="8">
        <f>IF(J62="","",SUM($J$17:J62))</f>
        <v>0</v>
      </c>
      <c r="O62" s="25"/>
    </row>
    <row r="63" spans="1:15">
      <c r="A63" s="7"/>
      <c r="B63" s="8">
        <f>IF(A63="","",Weekly_Budget*52/12)</f>
        <v>0</v>
      </c>
      <c r="C63" s="8">
        <f>IF(A63="","",SUMIFS('Grocery Spending'!$J$5:$J$404,'Grocery Spending'!$C$5:$C$404,A63))</f>
        <v>0</v>
      </c>
      <c r="D63" s="8">
        <f>IF(A63="","",B63-C63)</f>
        <v>0</v>
      </c>
      <c r="E63" s="8">
        <f>IF(A63="","",Eating_Out_Budget)</f>
        <v>0</v>
      </c>
      <c r="F63" s="28"/>
      <c r="G63" s="8">
        <f>IF(A63="","",E63-IF(F63="",0,F63))</f>
        <v>0</v>
      </c>
      <c r="H63" s="8">
        <f>IF(A63="","",SUMIFS('Food Waste'!$H$5:$H$154,'Food Waste'!$O$5:$O$154,A63))</f>
        <v>0</v>
      </c>
      <c r="I63" s="8">
        <f>IF(A63="","",B63+E63)</f>
        <v>0</v>
      </c>
      <c r="J63" s="8">
        <f>IF(A63="","",C63+IF(F63="",0,F63)+H63)</f>
        <v>0</v>
      </c>
      <c r="K63" s="8">
        <f>IF(A63="","",I63-J63)</f>
        <v>0</v>
      </c>
      <c r="L63" s="8">
        <f>IF(J63="","",COUNTIFS($J$17:$J$76,"&gt;"&amp;J63)+1)</f>
        <v>0</v>
      </c>
      <c r="M63" s="8">
        <f>IF(A63="","",IF(K63="","",IF(K63&lt;0,"Over budget",IF(K63&lt;Monthly_Budget*0.1,"Close","Under budget"))))</f>
        <v>0</v>
      </c>
      <c r="N63" s="8">
        <f>IF(J63="","",SUM($J$17:J63))</f>
        <v>0</v>
      </c>
      <c r="O63" s="25"/>
    </row>
    <row r="64" spans="1:15">
      <c r="A64" s="7"/>
      <c r="B64" s="8">
        <f>IF(A64="","",Weekly_Budget*52/12)</f>
        <v>0</v>
      </c>
      <c r="C64" s="8">
        <f>IF(A64="","",SUMIFS('Grocery Spending'!$J$5:$J$404,'Grocery Spending'!$C$5:$C$404,A64))</f>
        <v>0</v>
      </c>
      <c r="D64" s="8">
        <f>IF(A64="","",B64-C64)</f>
        <v>0</v>
      </c>
      <c r="E64" s="8">
        <f>IF(A64="","",Eating_Out_Budget)</f>
        <v>0</v>
      </c>
      <c r="F64" s="28"/>
      <c r="G64" s="8">
        <f>IF(A64="","",E64-IF(F64="",0,F64))</f>
        <v>0</v>
      </c>
      <c r="H64" s="8">
        <f>IF(A64="","",SUMIFS('Food Waste'!$H$5:$H$154,'Food Waste'!$O$5:$O$154,A64))</f>
        <v>0</v>
      </c>
      <c r="I64" s="8">
        <f>IF(A64="","",B64+E64)</f>
        <v>0</v>
      </c>
      <c r="J64" s="8">
        <f>IF(A64="","",C64+IF(F64="",0,F64)+H64)</f>
        <v>0</v>
      </c>
      <c r="K64" s="8">
        <f>IF(A64="","",I64-J64)</f>
        <v>0</v>
      </c>
      <c r="L64" s="8">
        <f>IF(J64="","",COUNTIFS($J$17:$J$76,"&gt;"&amp;J64)+1)</f>
        <v>0</v>
      </c>
      <c r="M64" s="8">
        <f>IF(A64="","",IF(K64="","",IF(K64&lt;0,"Over budget",IF(K64&lt;Monthly_Budget*0.1,"Close","Under budget"))))</f>
        <v>0</v>
      </c>
      <c r="N64" s="8">
        <f>IF(J64="","",SUM($J$17:J64))</f>
        <v>0</v>
      </c>
      <c r="O64" s="25"/>
    </row>
    <row r="65" spans="1:15">
      <c r="A65" s="7"/>
      <c r="B65" s="8">
        <f>IF(A65="","",Weekly_Budget*52/12)</f>
        <v>0</v>
      </c>
      <c r="C65" s="8">
        <f>IF(A65="","",SUMIFS('Grocery Spending'!$J$5:$J$404,'Grocery Spending'!$C$5:$C$404,A65))</f>
        <v>0</v>
      </c>
      <c r="D65" s="8">
        <f>IF(A65="","",B65-C65)</f>
        <v>0</v>
      </c>
      <c r="E65" s="8">
        <f>IF(A65="","",Eating_Out_Budget)</f>
        <v>0</v>
      </c>
      <c r="F65" s="28"/>
      <c r="G65" s="8">
        <f>IF(A65="","",E65-IF(F65="",0,F65))</f>
        <v>0</v>
      </c>
      <c r="H65" s="8">
        <f>IF(A65="","",SUMIFS('Food Waste'!$H$5:$H$154,'Food Waste'!$O$5:$O$154,A65))</f>
        <v>0</v>
      </c>
      <c r="I65" s="8">
        <f>IF(A65="","",B65+E65)</f>
        <v>0</v>
      </c>
      <c r="J65" s="8">
        <f>IF(A65="","",C65+IF(F65="",0,F65)+H65)</f>
        <v>0</v>
      </c>
      <c r="K65" s="8">
        <f>IF(A65="","",I65-J65)</f>
        <v>0</v>
      </c>
      <c r="L65" s="8">
        <f>IF(J65="","",COUNTIFS($J$17:$J$76,"&gt;"&amp;J65)+1)</f>
        <v>0</v>
      </c>
      <c r="M65" s="8">
        <f>IF(A65="","",IF(K65="","",IF(K65&lt;0,"Over budget",IF(K65&lt;Monthly_Budget*0.1,"Close","Under budget"))))</f>
        <v>0</v>
      </c>
      <c r="N65" s="8">
        <f>IF(J65="","",SUM($J$17:J65))</f>
        <v>0</v>
      </c>
      <c r="O65" s="25"/>
    </row>
    <row r="66" spans="1:15">
      <c r="A66" s="7"/>
      <c r="B66" s="8">
        <f>IF(A66="","",Weekly_Budget*52/12)</f>
        <v>0</v>
      </c>
      <c r="C66" s="8">
        <f>IF(A66="","",SUMIFS('Grocery Spending'!$J$5:$J$404,'Grocery Spending'!$C$5:$C$404,A66))</f>
        <v>0</v>
      </c>
      <c r="D66" s="8">
        <f>IF(A66="","",B66-C66)</f>
        <v>0</v>
      </c>
      <c r="E66" s="8">
        <f>IF(A66="","",Eating_Out_Budget)</f>
        <v>0</v>
      </c>
      <c r="F66" s="28"/>
      <c r="G66" s="8">
        <f>IF(A66="","",E66-IF(F66="",0,F66))</f>
        <v>0</v>
      </c>
      <c r="H66" s="8">
        <f>IF(A66="","",SUMIFS('Food Waste'!$H$5:$H$154,'Food Waste'!$O$5:$O$154,A66))</f>
        <v>0</v>
      </c>
      <c r="I66" s="8">
        <f>IF(A66="","",B66+E66)</f>
        <v>0</v>
      </c>
      <c r="J66" s="8">
        <f>IF(A66="","",C66+IF(F66="",0,F66)+H66)</f>
        <v>0</v>
      </c>
      <c r="K66" s="8">
        <f>IF(A66="","",I66-J66)</f>
        <v>0</v>
      </c>
      <c r="L66" s="8">
        <f>IF(J66="","",COUNTIFS($J$17:$J$76,"&gt;"&amp;J66)+1)</f>
        <v>0</v>
      </c>
      <c r="M66" s="8">
        <f>IF(A66="","",IF(K66="","",IF(K66&lt;0,"Over budget",IF(K66&lt;Monthly_Budget*0.1,"Close","Under budget"))))</f>
        <v>0</v>
      </c>
      <c r="N66" s="8">
        <f>IF(J66="","",SUM($J$17:J66))</f>
        <v>0</v>
      </c>
      <c r="O66" s="25"/>
    </row>
    <row r="67" spans="1:15">
      <c r="A67" s="7"/>
      <c r="B67" s="8">
        <f>IF(A67="","",Weekly_Budget*52/12)</f>
        <v>0</v>
      </c>
      <c r="C67" s="8">
        <f>IF(A67="","",SUMIFS('Grocery Spending'!$J$5:$J$404,'Grocery Spending'!$C$5:$C$404,A67))</f>
        <v>0</v>
      </c>
      <c r="D67" s="8">
        <f>IF(A67="","",B67-C67)</f>
        <v>0</v>
      </c>
      <c r="E67" s="8">
        <f>IF(A67="","",Eating_Out_Budget)</f>
        <v>0</v>
      </c>
      <c r="F67" s="28"/>
      <c r="G67" s="8">
        <f>IF(A67="","",E67-IF(F67="",0,F67))</f>
        <v>0</v>
      </c>
      <c r="H67" s="8">
        <f>IF(A67="","",SUMIFS('Food Waste'!$H$5:$H$154,'Food Waste'!$O$5:$O$154,A67))</f>
        <v>0</v>
      </c>
      <c r="I67" s="8">
        <f>IF(A67="","",B67+E67)</f>
        <v>0</v>
      </c>
      <c r="J67" s="8">
        <f>IF(A67="","",C67+IF(F67="",0,F67)+H67)</f>
        <v>0</v>
      </c>
      <c r="K67" s="8">
        <f>IF(A67="","",I67-J67)</f>
        <v>0</v>
      </c>
      <c r="L67" s="8">
        <f>IF(J67="","",COUNTIFS($J$17:$J$76,"&gt;"&amp;J67)+1)</f>
        <v>0</v>
      </c>
      <c r="M67" s="8">
        <f>IF(A67="","",IF(K67="","",IF(K67&lt;0,"Over budget",IF(K67&lt;Monthly_Budget*0.1,"Close","Under budget"))))</f>
        <v>0</v>
      </c>
      <c r="N67" s="8">
        <f>IF(J67="","",SUM($J$17:J67))</f>
        <v>0</v>
      </c>
      <c r="O67" s="25"/>
    </row>
    <row r="68" spans="1:15">
      <c r="A68" s="7"/>
      <c r="B68" s="8">
        <f>IF(A68="","",Weekly_Budget*52/12)</f>
        <v>0</v>
      </c>
      <c r="C68" s="8">
        <f>IF(A68="","",SUMIFS('Grocery Spending'!$J$5:$J$404,'Grocery Spending'!$C$5:$C$404,A68))</f>
        <v>0</v>
      </c>
      <c r="D68" s="8">
        <f>IF(A68="","",B68-C68)</f>
        <v>0</v>
      </c>
      <c r="E68" s="8">
        <f>IF(A68="","",Eating_Out_Budget)</f>
        <v>0</v>
      </c>
      <c r="F68" s="28"/>
      <c r="G68" s="8">
        <f>IF(A68="","",E68-IF(F68="",0,F68))</f>
        <v>0</v>
      </c>
      <c r="H68" s="8">
        <f>IF(A68="","",SUMIFS('Food Waste'!$H$5:$H$154,'Food Waste'!$O$5:$O$154,A68))</f>
        <v>0</v>
      </c>
      <c r="I68" s="8">
        <f>IF(A68="","",B68+E68)</f>
        <v>0</v>
      </c>
      <c r="J68" s="8">
        <f>IF(A68="","",C68+IF(F68="",0,F68)+H68)</f>
        <v>0</v>
      </c>
      <c r="K68" s="8">
        <f>IF(A68="","",I68-J68)</f>
        <v>0</v>
      </c>
      <c r="L68" s="8">
        <f>IF(J68="","",COUNTIFS($J$17:$J$76,"&gt;"&amp;J68)+1)</f>
        <v>0</v>
      </c>
      <c r="M68" s="8">
        <f>IF(A68="","",IF(K68="","",IF(K68&lt;0,"Over budget",IF(K68&lt;Monthly_Budget*0.1,"Close","Under budget"))))</f>
        <v>0</v>
      </c>
      <c r="N68" s="8">
        <f>IF(J68="","",SUM($J$17:J68))</f>
        <v>0</v>
      </c>
      <c r="O68" s="25"/>
    </row>
    <row r="69" spans="1:15">
      <c r="A69" s="7"/>
      <c r="B69" s="8">
        <f>IF(A69="","",Weekly_Budget*52/12)</f>
        <v>0</v>
      </c>
      <c r="C69" s="8">
        <f>IF(A69="","",SUMIFS('Grocery Spending'!$J$5:$J$404,'Grocery Spending'!$C$5:$C$404,A69))</f>
        <v>0</v>
      </c>
      <c r="D69" s="8">
        <f>IF(A69="","",B69-C69)</f>
        <v>0</v>
      </c>
      <c r="E69" s="8">
        <f>IF(A69="","",Eating_Out_Budget)</f>
        <v>0</v>
      </c>
      <c r="F69" s="28"/>
      <c r="G69" s="8">
        <f>IF(A69="","",E69-IF(F69="",0,F69))</f>
        <v>0</v>
      </c>
      <c r="H69" s="8">
        <f>IF(A69="","",SUMIFS('Food Waste'!$H$5:$H$154,'Food Waste'!$O$5:$O$154,A69))</f>
        <v>0</v>
      </c>
      <c r="I69" s="8">
        <f>IF(A69="","",B69+E69)</f>
        <v>0</v>
      </c>
      <c r="J69" s="8">
        <f>IF(A69="","",C69+IF(F69="",0,F69)+H69)</f>
        <v>0</v>
      </c>
      <c r="K69" s="8">
        <f>IF(A69="","",I69-J69)</f>
        <v>0</v>
      </c>
      <c r="L69" s="8">
        <f>IF(J69="","",COUNTIFS($J$17:$J$76,"&gt;"&amp;J69)+1)</f>
        <v>0</v>
      </c>
      <c r="M69" s="8">
        <f>IF(A69="","",IF(K69="","",IF(K69&lt;0,"Over budget",IF(K69&lt;Monthly_Budget*0.1,"Close","Under budget"))))</f>
        <v>0</v>
      </c>
      <c r="N69" s="8">
        <f>IF(J69="","",SUM($J$17:J69))</f>
        <v>0</v>
      </c>
      <c r="O69" s="25"/>
    </row>
    <row r="70" spans="1:15">
      <c r="A70" s="7"/>
      <c r="B70" s="8">
        <f>IF(A70="","",Weekly_Budget*52/12)</f>
        <v>0</v>
      </c>
      <c r="C70" s="8">
        <f>IF(A70="","",SUMIFS('Grocery Spending'!$J$5:$J$404,'Grocery Spending'!$C$5:$C$404,A70))</f>
        <v>0</v>
      </c>
      <c r="D70" s="8">
        <f>IF(A70="","",B70-C70)</f>
        <v>0</v>
      </c>
      <c r="E70" s="8">
        <f>IF(A70="","",Eating_Out_Budget)</f>
        <v>0</v>
      </c>
      <c r="F70" s="28"/>
      <c r="G70" s="8">
        <f>IF(A70="","",E70-IF(F70="",0,F70))</f>
        <v>0</v>
      </c>
      <c r="H70" s="8">
        <f>IF(A70="","",SUMIFS('Food Waste'!$H$5:$H$154,'Food Waste'!$O$5:$O$154,A70))</f>
        <v>0</v>
      </c>
      <c r="I70" s="8">
        <f>IF(A70="","",B70+E70)</f>
        <v>0</v>
      </c>
      <c r="J70" s="8">
        <f>IF(A70="","",C70+IF(F70="",0,F70)+H70)</f>
        <v>0</v>
      </c>
      <c r="K70" s="8">
        <f>IF(A70="","",I70-J70)</f>
        <v>0</v>
      </c>
      <c r="L70" s="8">
        <f>IF(J70="","",COUNTIFS($J$17:$J$76,"&gt;"&amp;J70)+1)</f>
        <v>0</v>
      </c>
      <c r="M70" s="8">
        <f>IF(A70="","",IF(K70="","",IF(K70&lt;0,"Over budget",IF(K70&lt;Monthly_Budget*0.1,"Close","Under budget"))))</f>
        <v>0</v>
      </c>
      <c r="N70" s="8">
        <f>IF(J70="","",SUM($J$17:J70))</f>
        <v>0</v>
      </c>
      <c r="O70" s="25"/>
    </row>
    <row r="71" spans="1:15">
      <c r="A71" s="7"/>
      <c r="B71" s="8">
        <f>IF(A71="","",Weekly_Budget*52/12)</f>
        <v>0</v>
      </c>
      <c r="C71" s="8">
        <f>IF(A71="","",SUMIFS('Grocery Spending'!$J$5:$J$404,'Grocery Spending'!$C$5:$C$404,A71))</f>
        <v>0</v>
      </c>
      <c r="D71" s="8">
        <f>IF(A71="","",B71-C71)</f>
        <v>0</v>
      </c>
      <c r="E71" s="8">
        <f>IF(A71="","",Eating_Out_Budget)</f>
        <v>0</v>
      </c>
      <c r="F71" s="28"/>
      <c r="G71" s="8">
        <f>IF(A71="","",E71-IF(F71="",0,F71))</f>
        <v>0</v>
      </c>
      <c r="H71" s="8">
        <f>IF(A71="","",SUMIFS('Food Waste'!$H$5:$H$154,'Food Waste'!$O$5:$O$154,A71))</f>
        <v>0</v>
      </c>
      <c r="I71" s="8">
        <f>IF(A71="","",B71+E71)</f>
        <v>0</v>
      </c>
      <c r="J71" s="8">
        <f>IF(A71="","",C71+IF(F71="",0,F71)+H71)</f>
        <v>0</v>
      </c>
      <c r="K71" s="8">
        <f>IF(A71="","",I71-J71)</f>
        <v>0</v>
      </c>
      <c r="L71" s="8">
        <f>IF(J71="","",COUNTIFS($J$17:$J$76,"&gt;"&amp;J71)+1)</f>
        <v>0</v>
      </c>
      <c r="M71" s="8">
        <f>IF(A71="","",IF(K71="","",IF(K71&lt;0,"Over budget",IF(K71&lt;Monthly_Budget*0.1,"Close","Under budget"))))</f>
        <v>0</v>
      </c>
      <c r="N71" s="8">
        <f>IF(J71="","",SUM($J$17:J71))</f>
        <v>0</v>
      </c>
      <c r="O71" s="25"/>
    </row>
    <row r="72" spans="1:15">
      <c r="A72" s="7"/>
      <c r="B72" s="8">
        <f>IF(A72="","",Weekly_Budget*52/12)</f>
        <v>0</v>
      </c>
      <c r="C72" s="8">
        <f>IF(A72="","",SUMIFS('Grocery Spending'!$J$5:$J$404,'Grocery Spending'!$C$5:$C$404,A72))</f>
        <v>0</v>
      </c>
      <c r="D72" s="8">
        <f>IF(A72="","",B72-C72)</f>
        <v>0</v>
      </c>
      <c r="E72" s="8">
        <f>IF(A72="","",Eating_Out_Budget)</f>
        <v>0</v>
      </c>
      <c r="F72" s="28"/>
      <c r="G72" s="8">
        <f>IF(A72="","",E72-IF(F72="",0,F72))</f>
        <v>0</v>
      </c>
      <c r="H72" s="8">
        <f>IF(A72="","",SUMIFS('Food Waste'!$H$5:$H$154,'Food Waste'!$O$5:$O$154,A72))</f>
        <v>0</v>
      </c>
      <c r="I72" s="8">
        <f>IF(A72="","",B72+E72)</f>
        <v>0</v>
      </c>
      <c r="J72" s="8">
        <f>IF(A72="","",C72+IF(F72="",0,F72)+H72)</f>
        <v>0</v>
      </c>
      <c r="K72" s="8">
        <f>IF(A72="","",I72-J72)</f>
        <v>0</v>
      </c>
      <c r="L72" s="8">
        <f>IF(J72="","",COUNTIFS($J$17:$J$76,"&gt;"&amp;J72)+1)</f>
        <v>0</v>
      </c>
      <c r="M72" s="8">
        <f>IF(A72="","",IF(K72="","",IF(K72&lt;0,"Over budget",IF(K72&lt;Monthly_Budget*0.1,"Close","Under budget"))))</f>
        <v>0</v>
      </c>
      <c r="N72" s="8">
        <f>IF(J72="","",SUM($J$17:J72))</f>
        <v>0</v>
      </c>
      <c r="O72" s="25"/>
    </row>
    <row r="73" spans="1:15">
      <c r="A73" s="7"/>
      <c r="B73" s="8">
        <f>IF(A73="","",Weekly_Budget*52/12)</f>
        <v>0</v>
      </c>
      <c r="C73" s="8">
        <f>IF(A73="","",SUMIFS('Grocery Spending'!$J$5:$J$404,'Grocery Spending'!$C$5:$C$404,A73))</f>
        <v>0</v>
      </c>
      <c r="D73" s="8">
        <f>IF(A73="","",B73-C73)</f>
        <v>0</v>
      </c>
      <c r="E73" s="8">
        <f>IF(A73="","",Eating_Out_Budget)</f>
        <v>0</v>
      </c>
      <c r="F73" s="28"/>
      <c r="G73" s="8">
        <f>IF(A73="","",E73-IF(F73="",0,F73))</f>
        <v>0</v>
      </c>
      <c r="H73" s="8">
        <f>IF(A73="","",SUMIFS('Food Waste'!$H$5:$H$154,'Food Waste'!$O$5:$O$154,A73))</f>
        <v>0</v>
      </c>
      <c r="I73" s="8">
        <f>IF(A73="","",B73+E73)</f>
        <v>0</v>
      </c>
      <c r="J73" s="8">
        <f>IF(A73="","",C73+IF(F73="",0,F73)+H73)</f>
        <v>0</v>
      </c>
      <c r="K73" s="8">
        <f>IF(A73="","",I73-J73)</f>
        <v>0</v>
      </c>
      <c r="L73" s="8">
        <f>IF(J73="","",COUNTIFS($J$17:$J$76,"&gt;"&amp;J73)+1)</f>
        <v>0</v>
      </c>
      <c r="M73" s="8">
        <f>IF(A73="","",IF(K73="","",IF(K73&lt;0,"Over budget",IF(K73&lt;Monthly_Budget*0.1,"Close","Under budget"))))</f>
        <v>0</v>
      </c>
      <c r="N73" s="8">
        <f>IF(J73="","",SUM($J$17:J73))</f>
        <v>0</v>
      </c>
      <c r="O73" s="25"/>
    </row>
    <row r="74" spans="1:15">
      <c r="A74" s="7"/>
      <c r="B74" s="8">
        <f>IF(A74="","",Weekly_Budget*52/12)</f>
        <v>0</v>
      </c>
      <c r="C74" s="8">
        <f>IF(A74="","",SUMIFS('Grocery Spending'!$J$5:$J$404,'Grocery Spending'!$C$5:$C$404,A74))</f>
        <v>0</v>
      </c>
      <c r="D74" s="8">
        <f>IF(A74="","",B74-C74)</f>
        <v>0</v>
      </c>
      <c r="E74" s="8">
        <f>IF(A74="","",Eating_Out_Budget)</f>
        <v>0</v>
      </c>
      <c r="F74" s="28"/>
      <c r="G74" s="8">
        <f>IF(A74="","",E74-IF(F74="",0,F74))</f>
        <v>0</v>
      </c>
      <c r="H74" s="8">
        <f>IF(A74="","",SUMIFS('Food Waste'!$H$5:$H$154,'Food Waste'!$O$5:$O$154,A74))</f>
        <v>0</v>
      </c>
      <c r="I74" s="8">
        <f>IF(A74="","",B74+E74)</f>
        <v>0</v>
      </c>
      <c r="J74" s="8">
        <f>IF(A74="","",C74+IF(F74="",0,F74)+H74)</f>
        <v>0</v>
      </c>
      <c r="K74" s="8">
        <f>IF(A74="","",I74-J74)</f>
        <v>0</v>
      </c>
      <c r="L74" s="8">
        <f>IF(J74="","",COUNTIFS($J$17:$J$76,"&gt;"&amp;J74)+1)</f>
        <v>0</v>
      </c>
      <c r="M74" s="8">
        <f>IF(A74="","",IF(K74="","",IF(K74&lt;0,"Over budget",IF(K74&lt;Monthly_Budget*0.1,"Close","Under budget"))))</f>
        <v>0</v>
      </c>
      <c r="N74" s="8">
        <f>IF(J74="","",SUM($J$17:J74))</f>
        <v>0</v>
      </c>
      <c r="O74" s="25"/>
    </row>
    <row r="75" spans="1:15">
      <c r="A75" s="7"/>
      <c r="B75" s="8">
        <f>IF(A75="","",Weekly_Budget*52/12)</f>
        <v>0</v>
      </c>
      <c r="C75" s="8">
        <f>IF(A75="","",SUMIFS('Grocery Spending'!$J$5:$J$404,'Grocery Spending'!$C$5:$C$404,A75))</f>
        <v>0</v>
      </c>
      <c r="D75" s="8">
        <f>IF(A75="","",B75-C75)</f>
        <v>0</v>
      </c>
      <c r="E75" s="8">
        <f>IF(A75="","",Eating_Out_Budget)</f>
        <v>0</v>
      </c>
      <c r="F75" s="28"/>
      <c r="G75" s="8">
        <f>IF(A75="","",E75-IF(F75="",0,F75))</f>
        <v>0</v>
      </c>
      <c r="H75" s="8">
        <f>IF(A75="","",SUMIFS('Food Waste'!$H$5:$H$154,'Food Waste'!$O$5:$O$154,A75))</f>
        <v>0</v>
      </c>
      <c r="I75" s="8">
        <f>IF(A75="","",B75+E75)</f>
        <v>0</v>
      </c>
      <c r="J75" s="8">
        <f>IF(A75="","",C75+IF(F75="",0,F75)+H75)</f>
        <v>0</v>
      </c>
      <c r="K75" s="8">
        <f>IF(A75="","",I75-J75)</f>
        <v>0</v>
      </c>
      <c r="L75" s="8">
        <f>IF(J75="","",COUNTIFS($J$17:$J$76,"&gt;"&amp;J75)+1)</f>
        <v>0</v>
      </c>
      <c r="M75" s="8">
        <f>IF(A75="","",IF(K75="","",IF(K75&lt;0,"Over budget",IF(K75&lt;Monthly_Budget*0.1,"Close","Under budget"))))</f>
        <v>0</v>
      </c>
      <c r="N75" s="8">
        <f>IF(J75="","",SUM($J$17:J75))</f>
        <v>0</v>
      </c>
      <c r="O75" s="25"/>
    </row>
    <row r="76" spans="1:15">
      <c r="A76" s="7"/>
      <c r="B76" s="8">
        <f>IF(A76="","",Weekly_Budget*52/12)</f>
        <v>0</v>
      </c>
      <c r="C76" s="8">
        <f>IF(A76="","",SUMIFS('Grocery Spending'!$J$5:$J$404,'Grocery Spending'!$C$5:$C$404,A76))</f>
        <v>0</v>
      </c>
      <c r="D76" s="8">
        <f>IF(A76="","",B76-C76)</f>
        <v>0</v>
      </c>
      <c r="E76" s="8">
        <f>IF(A76="","",Eating_Out_Budget)</f>
        <v>0</v>
      </c>
      <c r="F76" s="28"/>
      <c r="G76" s="8">
        <f>IF(A76="","",E76-IF(F76="",0,F76))</f>
        <v>0</v>
      </c>
      <c r="H76" s="8">
        <f>IF(A76="","",SUMIFS('Food Waste'!$H$5:$H$154,'Food Waste'!$O$5:$O$154,A76))</f>
        <v>0</v>
      </c>
      <c r="I76" s="8">
        <f>IF(A76="","",B76+E76)</f>
        <v>0</v>
      </c>
      <c r="J76" s="8">
        <f>IF(A76="","",C76+IF(F76="",0,F76)+H76)</f>
        <v>0</v>
      </c>
      <c r="K76" s="8">
        <f>IF(A76="","",I76-J76)</f>
        <v>0</v>
      </c>
      <c r="L76" s="8">
        <f>IF(J76="","",COUNTIFS($J$17:$J$76,"&gt;"&amp;J76)+1)</f>
        <v>0</v>
      </c>
      <c r="M76" s="8">
        <f>IF(A76="","",IF(K76="","",IF(K76&lt;0,"Over budget",IF(K76&lt;Monthly_Budget*0.1,"Close","Under budget"))))</f>
        <v>0</v>
      </c>
      <c r="N76" s="8">
        <f>IF(J76="","",SUM($J$17:J76))</f>
        <v>0</v>
      </c>
      <c r="O76" s="25"/>
    </row>
  </sheetData>
  <sheetProtection password="EC7C" sheet="1" objects="1" scenarios="1" selectLockedCells="1" selectUnlockedCells="1"/>
  <autoFilter ref="A16:O76"/>
  <mergeCells count="5">
    <mergeCell ref="A1:K1"/>
    <mergeCell ref="A2:K2"/>
    <mergeCell ref="A3:K3"/>
    <mergeCell ref="A5:K5"/>
    <mergeCell ref="A13:J13"/>
  </mergeCells>
  <dataValidations count="60">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s>
  <pageMargins left="0.7" right="0.7" top="0.75" bottom="0.75" header="0.3" footer="0.3"/>
  <pageSetup paperSize="9" fitToHeight="0" orientation="landscape"/>
  <legacyDrawing r:id="rId1"/>
</worksheet>
</file>

<file path=xl/worksheets/sheet21.xml><?xml version="1.0" encoding="utf-8"?>
<worksheet xmlns="http://schemas.openxmlformats.org/spreadsheetml/2006/main" xmlns:r="http://schemas.openxmlformats.org/officeDocument/2006/relationships">
  <sheetPr>
    <tabColor rgb="FFD9703C"/>
    <pageSetUpPr fitToPage="1"/>
  </sheetPr>
  <dimension ref="A4:R20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8.7109375" customWidth="1"/>
    <col min="2" max="2" width="15.7109375" customWidth="1"/>
    <col min="3" max="3" width="10.7109375" customWidth="1"/>
    <col min="4" max="4" width="11.7109375" customWidth="1"/>
    <col min="5" max="6" width="12.7109375" customWidth="1"/>
    <col min="7" max="7" width="13.7109375" customWidth="1"/>
    <col min="8" max="8" width="10.7109375" customWidth="1"/>
    <col min="9" max="9" width="22.7109375" customWidth="1"/>
    <col min="10" max="10" width="11.7109375" customWidth="1"/>
    <col min="11" max="11" width="12.7109375" customWidth="1"/>
    <col min="12" max="12" width="13.7109375" customWidth="1"/>
    <col min="13" max="13" width="12.7109375" customWidth="1"/>
    <col min="14" max="14" width="10.7109375" customWidth="1"/>
    <col min="15" max="15" width="11.7109375" customWidth="1"/>
    <col min="16" max="17" width="12.7109375" customWidth="1"/>
    <col min="18" max="18" width="30.7109375" customWidth="1"/>
  </cols>
  <sheetData>
    <row r="4" spans="1:18" ht="32" customHeight="1">
      <c r="A4" s="9" t="s">
        <v>138</v>
      </c>
      <c r="B4" s="9" t="s">
        <v>282</v>
      </c>
      <c r="C4" s="9" t="s">
        <v>111</v>
      </c>
      <c r="D4" s="9" t="s">
        <v>44</v>
      </c>
      <c r="E4" s="9" t="s">
        <v>293</v>
      </c>
      <c r="F4" s="9" t="s">
        <v>142</v>
      </c>
      <c r="G4" s="9" t="s">
        <v>516</v>
      </c>
      <c r="H4" s="9" t="s">
        <v>318</v>
      </c>
      <c r="I4" s="9" t="s">
        <v>517</v>
      </c>
      <c r="J4" s="9" t="s">
        <v>518</v>
      </c>
      <c r="K4" s="9" t="s">
        <v>328</v>
      </c>
      <c r="L4" s="9" t="s">
        <v>519</v>
      </c>
      <c r="M4" s="9" t="s">
        <v>520</v>
      </c>
      <c r="N4" s="9" t="s">
        <v>133</v>
      </c>
      <c r="O4" s="9" t="s">
        <v>294</v>
      </c>
      <c r="P4" s="9" t="s">
        <v>295</v>
      </c>
      <c r="Q4" s="9" t="s">
        <v>521</v>
      </c>
      <c r="R4" s="9" t="s">
        <v>173</v>
      </c>
    </row>
    <row r="5" spans="1:18">
      <c r="A5" s="7"/>
      <c r="B5" s="8">
        <f>IF(A5="","",IFERROR(INDEX(Recipes!$B$5:$B$204,MATCH(A5,Recipes!$A$5:$A$204,0)),""))</f>
        <v>0</v>
      </c>
      <c r="C5" s="8">
        <f>IF(A5="","",IFERROR(INDEX(Recipes!$D$5:$D$204,MATCH(A5,Recipes!$A$5:$A$204,0)),""))</f>
        <v>0</v>
      </c>
      <c r="D5" s="8">
        <f>IF(A5="","",COUNTIFS('Recipe Ingredients'!$A$5:$A$1204,A5))</f>
        <v>0</v>
      </c>
      <c r="E5" s="8">
        <f>IF(A5="","",SUMIFS('Recipe Ingredients'!$H$5:$H$1204,'Recipe Ingredients'!$A$5:$A$1204,A5))</f>
        <v>0</v>
      </c>
      <c r="F5" s="8">
        <f>IF(A5="","",IFERROR(INDEX(Recipes!$Q$5:$Q$204,MATCH(A5,Recipes!$A$5:$A$204,0)),""))</f>
        <v>0</v>
      </c>
      <c r="G5" s="8">
        <f>IF(OR(A5="",N5="",N5=0),"",IFERROR(F5/N5*100,""))</f>
        <v>0</v>
      </c>
      <c r="H5" s="8">
        <f>IF(OR(A5="",F5=""),"",COUNTIFS($F$5:$F$204,"&lt;"&amp;F5)+1)</f>
        <v>0</v>
      </c>
      <c r="I5" s="8">
        <f>IF(A5="","",IFERROR(INDEX('Recipe Ingredients'!$B$5:$B$1204,MATCH(1,INDEX(('Recipe Ingredients'!$A$5:$A$1204=A5)*('Recipe Ingredients'!$H$5:$H$1204=J5),0),0)),""))</f>
        <v>0</v>
      </c>
      <c r="J5" s="8">
        <f>IF(A5="","",SUMPRODUCT(MAX(('Recipe Ingredients'!$A$5:$A$1204=A5)*'Recipe Ingredients'!$H$5:$H$1204)))</f>
        <v>0</v>
      </c>
      <c r="K5" s="8">
        <f>IF(OR(A5="",E5="",E5=0),"",IFERROR(J5/E5,""))</f>
        <v>0</v>
      </c>
      <c r="L5" s="8">
        <f>IF(OR(A5="",F5=""),"",IFERROR(F5-AVERAGE($F$5:$F$204),""))</f>
        <v>0</v>
      </c>
      <c r="M5" s="8">
        <f>IF(OR(A5="",F5=""),"",IF(F5&lt;=Weekly_Budget/21,"Within budget","Over budget"))</f>
        <v>0</v>
      </c>
      <c r="N5" s="8">
        <f>IF(A5="","",IFERROR(INDEX(Recipes!$H$5:$H$204,MATCH(A5,Recipes!$A$5:$A$204,0)),""))</f>
        <v>0</v>
      </c>
      <c r="O5" s="8">
        <f>IF(A5="","",IFERROR(INDEX(Recipes!$S$5:$S$204,MATCH(A5,Recipes!$A$5:$A$204,0)),""))</f>
        <v>0</v>
      </c>
      <c r="P5" s="8">
        <f>IF(A5="","",IFERROR(INDEX(Recipes!$T$5:$T$204,MATCH(A5,Recipes!$A$5:$A$204,0)),""))</f>
        <v>0</v>
      </c>
      <c r="Q5" s="8">
        <f>IF(OR(A5="",F5=""),"",F5*7*3)</f>
        <v>0</v>
      </c>
      <c r="R5" s="25"/>
    </row>
    <row r="6" spans="1:18">
      <c r="A6" s="7"/>
      <c r="B6" s="8">
        <f>IF(A6="","",IFERROR(INDEX(Recipes!$B$5:$B$204,MATCH(A6,Recipes!$A$5:$A$204,0)),""))</f>
        <v>0</v>
      </c>
      <c r="C6" s="8">
        <f>IF(A6="","",IFERROR(INDEX(Recipes!$D$5:$D$204,MATCH(A6,Recipes!$A$5:$A$204,0)),""))</f>
        <v>0</v>
      </c>
      <c r="D6" s="8">
        <f>IF(A6="","",COUNTIFS('Recipe Ingredients'!$A$5:$A$1204,A6))</f>
        <v>0</v>
      </c>
      <c r="E6" s="8">
        <f>IF(A6="","",SUMIFS('Recipe Ingredients'!$H$5:$H$1204,'Recipe Ingredients'!$A$5:$A$1204,A6))</f>
        <v>0</v>
      </c>
      <c r="F6" s="8">
        <f>IF(A6="","",IFERROR(INDEX(Recipes!$Q$5:$Q$204,MATCH(A6,Recipes!$A$5:$A$204,0)),""))</f>
        <v>0</v>
      </c>
      <c r="G6" s="8">
        <f>IF(OR(A6="",N6="",N6=0),"",IFERROR(F6/N6*100,""))</f>
        <v>0</v>
      </c>
      <c r="H6" s="8">
        <f>IF(OR(A6="",F6=""),"",COUNTIFS($F$5:$F$204,"&lt;"&amp;F6)+1)</f>
        <v>0</v>
      </c>
      <c r="I6" s="8">
        <f>IF(A6="","",IFERROR(INDEX('Recipe Ingredients'!$B$5:$B$1204,MATCH(1,INDEX(('Recipe Ingredients'!$A$5:$A$1204=A6)*('Recipe Ingredients'!$H$5:$H$1204=J6),0),0)),""))</f>
        <v>0</v>
      </c>
      <c r="J6" s="8">
        <f>IF(A6="","",SUMPRODUCT(MAX(('Recipe Ingredients'!$A$5:$A$1204=A6)*'Recipe Ingredients'!$H$5:$H$1204)))</f>
        <v>0</v>
      </c>
      <c r="K6" s="8">
        <f>IF(OR(A6="",E6="",E6=0),"",IFERROR(J6/E6,""))</f>
        <v>0</v>
      </c>
      <c r="L6" s="8">
        <f>IF(OR(A6="",F6=""),"",IFERROR(F6-AVERAGE($F$5:$F$204),""))</f>
        <v>0</v>
      </c>
      <c r="M6" s="8">
        <f>IF(OR(A6="",F6=""),"",IF(F6&lt;=Weekly_Budget/21,"Within budget","Over budget"))</f>
        <v>0</v>
      </c>
      <c r="N6" s="8">
        <f>IF(A6="","",IFERROR(INDEX(Recipes!$H$5:$H$204,MATCH(A6,Recipes!$A$5:$A$204,0)),""))</f>
        <v>0</v>
      </c>
      <c r="O6" s="8">
        <f>IF(A6="","",IFERROR(INDEX(Recipes!$S$5:$S$204,MATCH(A6,Recipes!$A$5:$A$204,0)),""))</f>
        <v>0</v>
      </c>
      <c r="P6" s="8">
        <f>IF(A6="","",IFERROR(INDEX(Recipes!$T$5:$T$204,MATCH(A6,Recipes!$A$5:$A$204,0)),""))</f>
        <v>0</v>
      </c>
      <c r="Q6" s="8">
        <f>IF(OR(A6="",F6=""),"",F6*7*3)</f>
        <v>0</v>
      </c>
      <c r="R6" s="25"/>
    </row>
    <row r="7" spans="1:18">
      <c r="A7" s="7"/>
      <c r="B7" s="8">
        <f>IF(A7="","",IFERROR(INDEX(Recipes!$B$5:$B$204,MATCH(A7,Recipes!$A$5:$A$204,0)),""))</f>
        <v>0</v>
      </c>
      <c r="C7" s="8">
        <f>IF(A7="","",IFERROR(INDEX(Recipes!$D$5:$D$204,MATCH(A7,Recipes!$A$5:$A$204,0)),""))</f>
        <v>0</v>
      </c>
      <c r="D7" s="8">
        <f>IF(A7="","",COUNTIFS('Recipe Ingredients'!$A$5:$A$1204,A7))</f>
        <v>0</v>
      </c>
      <c r="E7" s="8">
        <f>IF(A7="","",SUMIFS('Recipe Ingredients'!$H$5:$H$1204,'Recipe Ingredients'!$A$5:$A$1204,A7))</f>
        <v>0</v>
      </c>
      <c r="F7" s="8">
        <f>IF(A7="","",IFERROR(INDEX(Recipes!$Q$5:$Q$204,MATCH(A7,Recipes!$A$5:$A$204,0)),""))</f>
        <v>0</v>
      </c>
      <c r="G7" s="8">
        <f>IF(OR(A7="",N7="",N7=0),"",IFERROR(F7/N7*100,""))</f>
        <v>0</v>
      </c>
      <c r="H7" s="8">
        <f>IF(OR(A7="",F7=""),"",COUNTIFS($F$5:$F$204,"&lt;"&amp;F7)+1)</f>
        <v>0</v>
      </c>
      <c r="I7" s="8">
        <f>IF(A7="","",IFERROR(INDEX('Recipe Ingredients'!$B$5:$B$1204,MATCH(1,INDEX(('Recipe Ingredients'!$A$5:$A$1204=A7)*('Recipe Ingredients'!$H$5:$H$1204=J7),0),0)),""))</f>
        <v>0</v>
      </c>
      <c r="J7" s="8">
        <f>IF(A7="","",SUMPRODUCT(MAX(('Recipe Ingredients'!$A$5:$A$1204=A7)*'Recipe Ingredients'!$H$5:$H$1204)))</f>
        <v>0</v>
      </c>
      <c r="K7" s="8">
        <f>IF(OR(A7="",E7="",E7=0),"",IFERROR(J7/E7,""))</f>
        <v>0</v>
      </c>
      <c r="L7" s="8">
        <f>IF(OR(A7="",F7=""),"",IFERROR(F7-AVERAGE($F$5:$F$204),""))</f>
        <v>0</v>
      </c>
      <c r="M7" s="8">
        <f>IF(OR(A7="",F7=""),"",IF(F7&lt;=Weekly_Budget/21,"Within budget","Over budget"))</f>
        <v>0</v>
      </c>
      <c r="N7" s="8">
        <f>IF(A7="","",IFERROR(INDEX(Recipes!$H$5:$H$204,MATCH(A7,Recipes!$A$5:$A$204,0)),""))</f>
        <v>0</v>
      </c>
      <c r="O7" s="8">
        <f>IF(A7="","",IFERROR(INDEX(Recipes!$S$5:$S$204,MATCH(A7,Recipes!$A$5:$A$204,0)),""))</f>
        <v>0</v>
      </c>
      <c r="P7" s="8">
        <f>IF(A7="","",IFERROR(INDEX(Recipes!$T$5:$T$204,MATCH(A7,Recipes!$A$5:$A$204,0)),""))</f>
        <v>0</v>
      </c>
      <c r="Q7" s="8">
        <f>IF(OR(A7="",F7=""),"",F7*7*3)</f>
        <v>0</v>
      </c>
      <c r="R7" s="25"/>
    </row>
    <row r="8" spans="1:18">
      <c r="A8" s="7"/>
      <c r="B8" s="8">
        <f>IF(A8="","",IFERROR(INDEX(Recipes!$B$5:$B$204,MATCH(A8,Recipes!$A$5:$A$204,0)),""))</f>
        <v>0</v>
      </c>
      <c r="C8" s="8">
        <f>IF(A8="","",IFERROR(INDEX(Recipes!$D$5:$D$204,MATCH(A8,Recipes!$A$5:$A$204,0)),""))</f>
        <v>0</v>
      </c>
      <c r="D8" s="8">
        <f>IF(A8="","",COUNTIFS('Recipe Ingredients'!$A$5:$A$1204,A8))</f>
        <v>0</v>
      </c>
      <c r="E8" s="8">
        <f>IF(A8="","",SUMIFS('Recipe Ingredients'!$H$5:$H$1204,'Recipe Ingredients'!$A$5:$A$1204,A8))</f>
        <v>0</v>
      </c>
      <c r="F8" s="8">
        <f>IF(A8="","",IFERROR(INDEX(Recipes!$Q$5:$Q$204,MATCH(A8,Recipes!$A$5:$A$204,0)),""))</f>
        <v>0</v>
      </c>
      <c r="G8" s="8">
        <f>IF(OR(A8="",N8="",N8=0),"",IFERROR(F8/N8*100,""))</f>
        <v>0</v>
      </c>
      <c r="H8" s="8">
        <f>IF(OR(A8="",F8=""),"",COUNTIFS($F$5:$F$204,"&lt;"&amp;F8)+1)</f>
        <v>0</v>
      </c>
      <c r="I8" s="8">
        <f>IF(A8="","",IFERROR(INDEX('Recipe Ingredients'!$B$5:$B$1204,MATCH(1,INDEX(('Recipe Ingredients'!$A$5:$A$1204=A8)*('Recipe Ingredients'!$H$5:$H$1204=J8),0),0)),""))</f>
        <v>0</v>
      </c>
      <c r="J8" s="8">
        <f>IF(A8="","",SUMPRODUCT(MAX(('Recipe Ingredients'!$A$5:$A$1204=A8)*'Recipe Ingredients'!$H$5:$H$1204)))</f>
        <v>0</v>
      </c>
      <c r="K8" s="8">
        <f>IF(OR(A8="",E8="",E8=0),"",IFERROR(J8/E8,""))</f>
        <v>0</v>
      </c>
      <c r="L8" s="8">
        <f>IF(OR(A8="",F8=""),"",IFERROR(F8-AVERAGE($F$5:$F$204),""))</f>
        <v>0</v>
      </c>
      <c r="M8" s="8">
        <f>IF(OR(A8="",F8=""),"",IF(F8&lt;=Weekly_Budget/21,"Within budget","Over budget"))</f>
        <v>0</v>
      </c>
      <c r="N8" s="8">
        <f>IF(A8="","",IFERROR(INDEX(Recipes!$H$5:$H$204,MATCH(A8,Recipes!$A$5:$A$204,0)),""))</f>
        <v>0</v>
      </c>
      <c r="O8" s="8">
        <f>IF(A8="","",IFERROR(INDEX(Recipes!$S$5:$S$204,MATCH(A8,Recipes!$A$5:$A$204,0)),""))</f>
        <v>0</v>
      </c>
      <c r="P8" s="8">
        <f>IF(A8="","",IFERROR(INDEX(Recipes!$T$5:$T$204,MATCH(A8,Recipes!$A$5:$A$204,0)),""))</f>
        <v>0</v>
      </c>
      <c r="Q8" s="8">
        <f>IF(OR(A8="",F8=""),"",F8*7*3)</f>
        <v>0</v>
      </c>
      <c r="R8" s="25"/>
    </row>
    <row r="9" spans="1:18">
      <c r="A9" s="7"/>
      <c r="B9" s="8">
        <f>IF(A9="","",IFERROR(INDEX(Recipes!$B$5:$B$204,MATCH(A9,Recipes!$A$5:$A$204,0)),""))</f>
        <v>0</v>
      </c>
      <c r="C9" s="8">
        <f>IF(A9="","",IFERROR(INDEX(Recipes!$D$5:$D$204,MATCH(A9,Recipes!$A$5:$A$204,0)),""))</f>
        <v>0</v>
      </c>
      <c r="D9" s="8">
        <f>IF(A9="","",COUNTIFS('Recipe Ingredients'!$A$5:$A$1204,A9))</f>
        <v>0</v>
      </c>
      <c r="E9" s="8">
        <f>IF(A9="","",SUMIFS('Recipe Ingredients'!$H$5:$H$1204,'Recipe Ingredients'!$A$5:$A$1204,A9))</f>
        <v>0</v>
      </c>
      <c r="F9" s="8">
        <f>IF(A9="","",IFERROR(INDEX(Recipes!$Q$5:$Q$204,MATCH(A9,Recipes!$A$5:$A$204,0)),""))</f>
        <v>0</v>
      </c>
      <c r="G9" s="8">
        <f>IF(OR(A9="",N9="",N9=0),"",IFERROR(F9/N9*100,""))</f>
        <v>0</v>
      </c>
      <c r="H9" s="8">
        <f>IF(OR(A9="",F9=""),"",COUNTIFS($F$5:$F$204,"&lt;"&amp;F9)+1)</f>
        <v>0</v>
      </c>
      <c r="I9" s="8">
        <f>IF(A9="","",IFERROR(INDEX('Recipe Ingredients'!$B$5:$B$1204,MATCH(1,INDEX(('Recipe Ingredients'!$A$5:$A$1204=A9)*('Recipe Ingredients'!$H$5:$H$1204=J9),0),0)),""))</f>
        <v>0</v>
      </c>
      <c r="J9" s="8">
        <f>IF(A9="","",SUMPRODUCT(MAX(('Recipe Ingredients'!$A$5:$A$1204=A9)*'Recipe Ingredients'!$H$5:$H$1204)))</f>
        <v>0</v>
      </c>
      <c r="K9" s="8">
        <f>IF(OR(A9="",E9="",E9=0),"",IFERROR(J9/E9,""))</f>
        <v>0</v>
      </c>
      <c r="L9" s="8">
        <f>IF(OR(A9="",F9=""),"",IFERROR(F9-AVERAGE($F$5:$F$204),""))</f>
        <v>0</v>
      </c>
      <c r="M9" s="8">
        <f>IF(OR(A9="",F9=""),"",IF(F9&lt;=Weekly_Budget/21,"Within budget","Over budget"))</f>
        <v>0</v>
      </c>
      <c r="N9" s="8">
        <f>IF(A9="","",IFERROR(INDEX(Recipes!$H$5:$H$204,MATCH(A9,Recipes!$A$5:$A$204,0)),""))</f>
        <v>0</v>
      </c>
      <c r="O9" s="8">
        <f>IF(A9="","",IFERROR(INDEX(Recipes!$S$5:$S$204,MATCH(A9,Recipes!$A$5:$A$204,0)),""))</f>
        <v>0</v>
      </c>
      <c r="P9" s="8">
        <f>IF(A9="","",IFERROR(INDEX(Recipes!$T$5:$T$204,MATCH(A9,Recipes!$A$5:$A$204,0)),""))</f>
        <v>0</v>
      </c>
      <c r="Q9" s="8">
        <f>IF(OR(A9="",F9=""),"",F9*7*3)</f>
        <v>0</v>
      </c>
      <c r="R9" s="25"/>
    </row>
    <row r="10" spans="1:18">
      <c r="A10" s="7"/>
      <c r="B10" s="8">
        <f>IF(A10="","",IFERROR(INDEX(Recipes!$B$5:$B$204,MATCH(A10,Recipes!$A$5:$A$204,0)),""))</f>
        <v>0</v>
      </c>
      <c r="C10" s="8">
        <f>IF(A10="","",IFERROR(INDEX(Recipes!$D$5:$D$204,MATCH(A10,Recipes!$A$5:$A$204,0)),""))</f>
        <v>0</v>
      </c>
      <c r="D10" s="8">
        <f>IF(A10="","",COUNTIFS('Recipe Ingredients'!$A$5:$A$1204,A10))</f>
        <v>0</v>
      </c>
      <c r="E10" s="8">
        <f>IF(A10="","",SUMIFS('Recipe Ingredients'!$H$5:$H$1204,'Recipe Ingredients'!$A$5:$A$1204,A10))</f>
        <v>0</v>
      </c>
      <c r="F10" s="8">
        <f>IF(A10="","",IFERROR(INDEX(Recipes!$Q$5:$Q$204,MATCH(A10,Recipes!$A$5:$A$204,0)),""))</f>
        <v>0</v>
      </c>
      <c r="G10" s="8">
        <f>IF(OR(A10="",N10="",N10=0),"",IFERROR(F10/N10*100,""))</f>
        <v>0</v>
      </c>
      <c r="H10" s="8">
        <f>IF(OR(A10="",F10=""),"",COUNTIFS($F$5:$F$204,"&lt;"&amp;F10)+1)</f>
        <v>0</v>
      </c>
      <c r="I10" s="8">
        <f>IF(A10="","",IFERROR(INDEX('Recipe Ingredients'!$B$5:$B$1204,MATCH(1,INDEX(('Recipe Ingredients'!$A$5:$A$1204=A10)*('Recipe Ingredients'!$H$5:$H$1204=J10),0),0)),""))</f>
        <v>0</v>
      </c>
      <c r="J10" s="8">
        <f>IF(A10="","",SUMPRODUCT(MAX(('Recipe Ingredients'!$A$5:$A$1204=A10)*'Recipe Ingredients'!$H$5:$H$1204)))</f>
        <v>0</v>
      </c>
      <c r="K10" s="8">
        <f>IF(OR(A10="",E10="",E10=0),"",IFERROR(J10/E10,""))</f>
        <v>0</v>
      </c>
      <c r="L10" s="8">
        <f>IF(OR(A10="",F10=""),"",IFERROR(F10-AVERAGE($F$5:$F$204),""))</f>
        <v>0</v>
      </c>
      <c r="M10" s="8">
        <f>IF(OR(A10="",F10=""),"",IF(F10&lt;=Weekly_Budget/21,"Within budget","Over budget"))</f>
        <v>0</v>
      </c>
      <c r="N10" s="8">
        <f>IF(A10="","",IFERROR(INDEX(Recipes!$H$5:$H$204,MATCH(A10,Recipes!$A$5:$A$204,0)),""))</f>
        <v>0</v>
      </c>
      <c r="O10" s="8">
        <f>IF(A10="","",IFERROR(INDEX(Recipes!$S$5:$S$204,MATCH(A10,Recipes!$A$5:$A$204,0)),""))</f>
        <v>0</v>
      </c>
      <c r="P10" s="8">
        <f>IF(A10="","",IFERROR(INDEX(Recipes!$T$5:$T$204,MATCH(A10,Recipes!$A$5:$A$204,0)),""))</f>
        <v>0</v>
      </c>
      <c r="Q10" s="8">
        <f>IF(OR(A10="",F10=""),"",F10*7*3)</f>
        <v>0</v>
      </c>
      <c r="R10" s="25"/>
    </row>
    <row r="11" spans="1:18">
      <c r="A11" s="7"/>
      <c r="B11" s="8">
        <f>IF(A11="","",IFERROR(INDEX(Recipes!$B$5:$B$204,MATCH(A11,Recipes!$A$5:$A$204,0)),""))</f>
        <v>0</v>
      </c>
      <c r="C11" s="8">
        <f>IF(A11="","",IFERROR(INDEX(Recipes!$D$5:$D$204,MATCH(A11,Recipes!$A$5:$A$204,0)),""))</f>
        <v>0</v>
      </c>
      <c r="D11" s="8">
        <f>IF(A11="","",COUNTIFS('Recipe Ingredients'!$A$5:$A$1204,A11))</f>
        <v>0</v>
      </c>
      <c r="E11" s="8">
        <f>IF(A11="","",SUMIFS('Recipe Ingredients'!$H$5:$H$1204,'Recipe Ingredients'!$A$5:$A$1204,A11))</f>
        <v>0</v>
      </c>
      <c r="F11" s="8">
        <f>IF(A11="","",IFERROR(INDEX(Recipes!$Q$5:$Q$204,MATCH(A11,Recipes!$A$5:$A$204,0)),""))</f>
        <v>0</v>
      </c>
      <c r="G11" s="8">
        <f>IF(OR(A11="",N11="",N11=0),"",IFERROR(F11/N11*100,""))</f>
        <v>0</v>
      </c>
      <c r="H11" s="8">
        <f>IF(OR(A11="",F11=""),"",COUNTIFS($F$5:$F$204,"&lt;"&amp;F11)+1)</f>
        <v>0</v>
      </c>
      <c r="I11" s="8">
        <f>IF(A11="","",IFERROR(INDEX('Recipe Ingredients'!$B$5:$B$1204,MATCH(1,INDEX(('Recipe Ingredients'!$A$5:$A$1204=A11)*('Recipe Ingredients'!$H$5:$H$1204=J11),0),0)),""))</f>
        <v>0</v>
      </c>
      <c r="J11" s="8">
        <f>IF(A11="","",SUMPRODUCT(MAX(('Recipe Ingredients'!$A$5:$A$1204=A11)*'Recipe Ingredients'!$H$5:$H$1204)))</f>
        <v>0</v>
      </c>
      <c r="K11" s="8">
        <f>IF(OR(A11="",E11="",E11=0),"",IFERROR(J11/E11,""))</f>
        <v>0</v>
      </c>
      <c r="L11" s="8">
        <f>IF(OR(A11="",F11=""),"",IFERROR(F11-AVERAGE($F$5:$F$204),""))</f>
        <v>0</v>
      </c>
      <c r="M11" s="8">
        <f>IF(OR(A11="",F11=""),"",IF(F11&lt;=Weekly_Budget/21,"Within budget","Over budget"))</f>
        <v>0</v>
      </c>
      <c r="N11" s="8">
        <f>IF(A11="","",IFERROR(INDEX(Recipes!$H$5:$H$204,MATCH(A11,Recipes!$A$5:$A$204,0)),""))</f>
        <v>0</v>
      </c>
      <c r="O11" s="8">
        <f>IF(A11="","",IFERROR(INDEX(Recipes!$S$5:$S$204,MATCH(A11,Recipes!$A$5:$A$204,0)),""))</f>
        <v>0</v>
      </c>
      <c r="P11" s="8">
        <f>IF(A11="","",IFERROR(INDEX(Recipes!$T$5:$T$204,MATCH(A11,Recipes!$A$5:$A$204,0)),""))</f>
        <v>0</v>
      </c>
      <c r="Q11" s="8">
        <f>IF(OR(A11="",F11=""),"",F11*7*3)</f>
        <v>0</v>
      </c>
      <c r="R11" s="25"/>
    </row>
    <row r="12" spans="1:18">
      <c r="A12" s="7"/>
      <c r="B12" s="8">
        <f>IF(A12="","",IFERROR(INDEX(Recipes!$B$5:$B$204,MATCH(A12,Recipes!$A$5:$A$204,0)),""))</f>
        <v>0</v>
      </c>
      <c r="C12" s="8">
        <f>IF(A12="","",IFERROR(INDEX(Recipes!$D$5:$D$204,MATCH(A12,Recipes!$A$5:$A$204,0)),""))</f>
        <v>0</v>
      </c>
      <c r="D12" s="8">
        <f>IF(A12="","",COUNTIFS('Recipe Ingredients'!$A$5:$A$1204,A12))</f>
        <v>0</v>
      </c>
      <c r="E12" s="8">
        <f>IF(A12="","",SUMIFS('Recipe Ingredients'!$H$5:$H$1204,'Recipe Ingredients'!$A$5:$A$1204,A12))</f>
        <v>0</v>
      </c>
      <c r="F12" s="8">
        <f>IF(A12="","",IFERROR(INDEX(Recipes!$Q$5:$Q$204,MATCH(A12,Recipes!$A$5:$A$204,0)),""))</f>
        <v>0</v>
      </c>
      <c r="G12" s="8">
        <f>IF(OR(A12="",N12="",N12=0),"",IFERROR(F12/N12*100,""))</f>
        <v>0</v>
      </c>
      <c r="H12" s="8">
        <f>IF(OR(A12="",F12=""),"",COUNTIFS($F$5:$F$204,"&lt;"&amp;F12)+1)</f>
        <v>0</v>
      </c>
      <c r="I12" s="8">
        <f>IF(A12="","",IFERROR(INDEX('Recipe Ingredients'!$B$5:$B$1204,MATCH(1,INDEX(('Recipe Ingredients'!$A$5:$A$1204=A12)*('Recipe Ingredients'!$H$5:$H$1204=J12),0),0)),""))</f>
        <v>0</v>
      </c>
      <c r="J12" s="8">
        <f>IF(A12="","",SUMPRODUCT(MAX(('Recipe Ingredients'!$A$5:$A$1204=A12)*'Recipe Ingredients'!$H$5:$H$1204)))</f>
        <v>0</v>
      </c>
      <c r="K12" s="8">
        <f>IF(OR(A12="",E12="",E12=0),"",IFERROR(J12/E12,""))</f>
        <v>0</v>
      </c>
      <c r="L12" s="8">
        <f>IF(OR(A12="",F12=""),"",IFERROR(F12-AVERAGE($F$5:$F$204),""))</f>
        <v>0</v>
      </c>
      <c r="M12" s="8">
        <f>IF(OR(A12="",F12=""),"",IF(F12&lt;=Weekly_Budget/21,"Within budget","Over budget"))</f>
        <v>0</v>
      </c>
      <c r="N12" s="8">
        <f>IF(A12="","",IFERROR(INDEX(Recipes!$H$5:$H$204,MATCH(A12,Recipes!$A$5:$A$204,0)),""))</f>
        <v>0</v>
      </c>
      <c r="O12" s="8">
        <f>IF(A12="","",IFERROR(INDEX(Recipes!$S$5:$S$204,MATCH(A12,Recipes!$A$5:$A$204,0)),""))</f>
        <v>0</v>
      </c>
      <c r="P12" s="8">
        <f>IF(A12="","",IFERROR(INDEX(Recipes!$T$5:$T$204,MATCH(A12,Recipes!$A$5:$A$204,0)),""))</f>
        <v>0</v>
      </c>
      <c r="Q12" s="8">
        <f>IF(OR(A12="",F12=""),"",F12*7*3)</f>
        <v>0</v>
      </c>
      <c r="R12" s="25"/>
    </row>
    <row r="13" spans="1:18">
      <c r="A13" s="7"/>
      <c r="B13" s="8">
        <f>IF(A13="","",IFERROR(INDEX(Recipes!$B$5:$B$204,MATCH(A13,Recipes!$A$5:$A$204,0)),""))</f>
        <v>0</v>
      </c>
      <c r="C13" s="8">
        <f>IF(A13="","",IFERROR(INDEX(Recipes!$D$5:$D$204,MATCH(A13,Recipes!$A$5:$A$204,0)),""))</f>
        <v>0</v>
      </c>
      <c r="D13" s="8">
        <f>IF(A13="","",COUNTIFS('Recipe Ingredients'!$A$5:$A$1204,A13))</f>
        <v>0</v>
      </c>
      <c r="E13" s="8">
        <f>IF(A13="","",SUMIFS('Recipe Ingredients'!$H$5:$H$1204,'Recipe Ingredients'!$A$5:$A$1204,A13))</f>
        <v>0</v>
      </c>
      <c r="F13" s="8">
        <f>IF(A13="","",IFERROR(INDEX(Recipes!$Q$5:$Q$204,MATCH(A13,Recipes!$A$5:$A$204,0)),""))</f>
        <v>0</v>
      </c>
      <c r="G13" s="8">
        <f>IF(OR(A13="",N13="",N13=0),"",IFERROR(F13/N13*100,""))</f>
        <v>0</v>
      </c>
      <c r="H13" s="8">
        <f>IF(OR(A13="",F13=""),"",COUNTIFS($F$5:$F$204,"&lt;"&amp;F13)+1)</f>
        <v>0</v>
      </c>
      <c r="I13" s="8">
        <f>IF(A13="","",IFERROR(INDEX('Recipe Ingredients'!$B$5:$B$1204,MATCH(1,INDEX(('Recipe Ingredients'!$A$5:$A$1204=A13)*('Recipe Ingredients'!$H$5:$H$1204=J13),0),0)),""))</f>
        <v>0</v>
      </c>
      <c r="J13" s="8">
        <f>IF(A13="","",SUMPRODUCT(MAX(('Recipe Ingredients'!$A$5:$A$1204=A13)*'Recipe Ingredients'!$H$5:$H$1204)))</f>
        <v>0</v>
      </c>
      <c r="K13" s="8">
        <f>IF(OR(A13="",E13="",E13=0),"",IFERROR(J13/E13,""))</f>
        <v>0</v>
      </c>
      <c r="L13" s="8">
        <f>IF(OR(A13="",F13=""),"",IFERROR(F13-AVERAGE($F$5:$F$204),""))</f>
        <v>0</v>
      </c>
      <c r="M13" s="8">
        <f>IF(OR(A13="",F13=""),"",IF(F13&lt;=Weekly_Budget/21,"Within budget","Over budget"))</f>
        <v>0</v>
      </c>
      <c r="N13" s="8">
        <f>IF(A13="","",IFERROR(INDEX(Recipes!$H$5:$H$204,MATCH(A13,Recipes!$A$5:$A$204,0)),""))</f>
        <v>0</v>
      </c>
      <c r="O13" s="8">
        <f>IF(A13="","",IFERROR(INDEX(Recipes!$S$5:$S$204,MATCH(A13,Recipes!$A$5:$A$204,0)),""))</f>
        <v>0</v>
      </c>
      <c r="P13" s="8">
        <f>IF(A13="","",IFERROR(INDEX(Recipes!$T$5:$T$204,MATCH(A13,Recipes!$A$5:$A$204,0)),""))</f>
        <v>0</v>
      </c>
      <c r="Q13" s="8">
        <f>IF(OR(A13="",F13=""),"",F13*7*3)</f>
        <v>0</v>
      </c>
      <c r="R13" s="25"/>
    </row>
    <row r="14" spans="1:18">
      <c r="A14" s="7"/>
      <c r="B14" s="8">
        <f>IF(A14="","",IFERROR(INDEX(Recipes!$B$5:$B$204,MATCH(A14,Recipes!$A$5:$A$204,0)),""))</f>
        <v>0</v>
      </c>
      <c r="C14" s="8">
        <f>IF(A14="","",IFERROR(INDEX(Recipes!$D$5:$D$204,MATCH(A14,Recipes!$A$5:$A$204,0)),""))</f>
        <v>0</v>
      </c>
      <c r="D14" s="8">
        <f>IF(A14="","",COUNTIFS('Recipe Ingredients'!$A$5:$A$1204,A14))</f>
        <v>0</v>
      </c>
      <c r="E14" s="8">
        <f>IF(A14="","",SUMIFS('Recipe Ingredients'!$H$5:$H$1204,'Recipe Ingredients'!$A$5:$A$1204,A14))</f>
        <v>0</v>
      </c>
      <c r="F14" s="8">
        <f>IF(A14="","",IFERROR(INDEX(Recipes!$Q$5:$Q$204,MATCH(A14,Recipes!$A$5:$A$204,0)),""))</f>
        <v>0</v>
      </c>
      <c r="G14" s="8">
        <f>IF(OR(A14="",N14="",N14=0),"",IFERROR(F14/N14*100,""))</f>
        <v>0</v>
      </c>
      <c r="H14" s="8">
        <f>IF(OR(A14="",F14=""),"",COUNTIFS($F$5:$F$204,"&lt;"&amp;F14)+1)</f>
        <v>0</v>
      </c>
      <c r="I14" s="8">
        <f>IF(A14="","",IFERROR(INDEX('Recipe Ingredients'!$B$5:$B$1204,MATCH(1,INDEX(('Recipe Ingredients'!$A$5:$A$1204=A14)*('Recipe Ingredients'!$H$5:$H$1204=J14),0),0)),""))</f>
        <v>0</v>
      </c>
      <c r="J14" s="8">
        <f>IF(A14="","",SUMPRODUCT(MAX(('Recipe Ingredients'!$A$5:$A$1204=A14)*'Recipe Ingredients'!$H$5:$H$1204)))</f>
        <v>0</v>
      </c>
      <c r="K14" s="8">
        <f>IF(OR(A14="",E14="",E14=0),"",IFERROR(J14/E14,""))</f>
        <v>0</v>
      </c>
      <c r="L14" s="8">
        <f>IF(OR(A14="",F14=""),"",IFERROR(F14-AVERAGE($F$5:$F$204),""))</f>
        <v>0</v>
      </c>
      <c r="M14" s="8">
        <f>IF(OR(A14="",F14=""),"",IF(F14&lt;=Weekly_Budget/21,"Within budget","Over budget"))</f>
        <v>0</v>
      </c>
      <c r="N14" s="8">
        <f>IF(A14="","",IFERROR(INDEX(Recipes!$H$5:$H$204,MATCH(A14,Recipes!$A$5:$A$204,0)),""))</f>
        <v>0</v>
      </c>
      <c r="O14" s="8">
        <f>IF(A14="","",IFERROR(INDEX(Recipes!$S$5:$S$204,MATCH(A14,Recipes!$A$5:$A$204,0)),""))</f>
        <v>0</v>
      </c>
      <c r="P14" s="8">
        <f>IF(A14="","",IFERROR(INDEX(Recipes!$T$5:$T$204,MATCH(A14,Recipes!$A$5:$A$204,0)),""))</f>
        <v>0</v>
      </c>
      <c r="Q14" s="8">
        <f>IF(OR(A14="",F14=""),"",F14*7*3)</f>
        <v>0</v>
      </c>
      <c r="R14" s="25"/>
    </row>
    <row r="15" spans="1:18">
      <c r="A15" s="7"/>
      <c r="B15" s="8">
        <f>IF(A15="","",IFERROR(INDEX(Recipes!$B$5:$B$204,MATCH(A15,Recipes!$A$5:$A$204,0)),""))</f>
        <v>0</v>
      </c>
      <c r="C15" s="8">
        <f>IF(A15="","",IFERROR(INDEX(Recipes!$D$5:$D$204,MATCH(A15,Recipes!$A$5:$A$204,0)),""))</f>
        <v>0</v>
      </c>
      <c r="D15" s="8">
        <f>IF(A15="","",COUNTIFS('Recipe Ingredients'!$A$5:$A$1204,A15))</f>
        <v>0</v>
      </c>
      <c r="E15" s="8">
        <f>IF(A15="","",SUMIFS('Recipe Ingredients'!$H$5:$H$1204,'Recipe Ingredients'!$A$5:$A$1204,A15))</f>
        <v>0</v>
      </c>
      <c r="F15" s="8">
        <f>IF(A15="","",IFERROR(INDEX(Recipes!$Q$5:$Q$204,MATCH(A15,Recipes!$A$5:$A$204,0)),""))</f>
        <v>0</v>
      </c>
      <c r="G15" s="8">
        <f>IF(OR(A15="",N15="",N15=0),"",IFERROR(F15/N15*100,""))</f>
        <v>0</v>
      </c>
      <c r="H15" s="8">
        <f>IF(OR(A15="",F15=""),"",COUNTIFS($F$5:$F$204,"&lt;"&amp;F15)+1)</f>
        <v>0</v>
      </c>
      <c r="I15" s="8">
        <f>IF(A15="","",IFERROR(INDEX('Recipe Ingredients'!$B$5:$B$1204,MATCH(1,INDEX(('Recipe Ingredients'!$A$5:$A$1204=A15)*('Recipe Ingredients'!$H$5:$H$1204=J15),0),0)),""))</f>
        <v>0</v>
      </c>
      <c r="J15" s="8">
        <f>IF(A15="","",SUMPRODUCT(MAX(('Recipe Ingredients'!$A$5:$A$1204=A15)*'Recipe Ingredients'!$H$5:$H$1204)))</f>
        <v>0</v>
      </c>
      <c r="K15" s="8">
        <f>IF(OR(A15="",E15="",E15=0),"",IFERROR(J15/E15,""))</f>
        <v>0</v>
      </c>
      <c r="L15" s="8">
        <f>IF(OR(A15="",F15=""),"",IFERROR(F15-AVERAGE($F$5:$F$204),""))</f>
        <v>0</v>
      </c>
      <c r="M15" s="8">
        <f>IF(OR(A15="",F15=""),"",IF(F15&lt;=Weekly_Budget/21,"Within budget","Over budget"))</f>
        <v>0</v>
      </c>
      <c r="N15" s="8">
        <f>IF(A15="","",IFERROR(INDEX(Recipes!$H$5:$H$204,MATCH(A15,Recipes!$A$5:$A$204,0)),""))</f>
        <v>0</v>
      </c>
      <c r="O15" s="8">
        <f>IF(A15="","",IFERROR(INDEX(Recipes!$S$5:$S$204,MATCH(A15,Recipes!$A$5:$A$204,0)),""))</f>
        <v>0</v>
      </c>
      <c r="P15" s="8">
        <f>IF(A15="","",IFERROR(INDEX(Recipes!$T$5:$T$204,MATCH(A15,Recipes!$A$5:$A$204,0)),""))</f>
        <v>0</v>
      </c>
      <c r="Q15" s="8">
        <f>IF(OR(A15="",F15=""),"",F15*7*3)</f>
        <v>0</v>
      </c>
      <c r="R15" s="25"/>
    </row>
    <row r="16" spans="1:18">
      <c r="A16" s="7"/>
      <c r="B16" s="8">
        <f>IF(A16="","",IFERROR(INDEX(Recipes!$B$5:$B$204,MATCH(A16,Recipes!$A$5:$A$204,0)),""))</f>
        <v>0</v>
      </c>
      <c r="C16" s="8">
        <f>IF(A16="","",IFERROR(INDEX(Recipes!$D$5:$D$204,MATCH(A16,Recipes!$A$5:$A$204,0)),""))</f>
        <v>0</v>
      </c>
      <c r="D16" s="8">
        <f>IF(A16="","",COUNTIFS('Recipe Ingredients'!$A$5:$A$1204,A16))</f>
        <v>0</v>
      </c>
      <c r="E16" s="8">
        <f>IF(A16="","",SUMIFS('Recipe Ingredients'!$H$5:$H$1204,'Recipe Ingredients'!$A$5:$A$1204,A16))</f>
        <v>0</v>
      </c>
      <c r="F16" s="8">
        <f>IF(A16="","",IFERROR(INDEX(Recipes!$Q$5:$Q$204,MATCH(A16,Recipes!$A$5:$A$204,0)),""))</f>
        <v>0</v>
      </c>
      <c r="G16" s="8">
        <f>IF(OR(A16="",N16="",N16=0),"",IFERROR(F16/N16*100,""))</f>
        <v>0</v>
      </c>
      <c r="H16" s="8">
        <f>IF(OR(A16="",F16=""),"",COUNTIFS($F$5:$F$204,"&lt;"&amp;F16)+1)</f>
        <v>0</v>
      </c>
      <c r="I16" s="8">
        <f>IF(A16="","",IFERROR(INDEX('Recipe Ingredients'!$B$5:$B$1204,MATCH(1,INDEX(('Recipe Ingredients'!$A$5:$A$1204=A16)*('Recipe Ingredients'!$H$5:$H$1204=J16),0),0)),""))</f>
        <v>0</v>
      </c>
      <c r="J16" s="8">
        <f>IF(A16="","",SUMPRODUCT(MAX(('Recipe Ingredients'!$A$5:$A$1204=A16)*'Recipe Ingredients'!$H$5:$H$1204)))</f>
        <v>0</v>
      </c>
      <c r="K16" s="8">
        <f>IF(OR(A16="",E16="",E16=0),"",IFERROR(J16/E16,""))</f>
        <v>0</v>
      </c>
      <c r="L16" s="8">
        <f>IF(OR(A16="",F16=""),"",IFERROR(F16-AVERAGE($F$5:$F$204),""))</f>
        <v>0</v>
      </c>
      <c r="M16" s="8">
        <f>IF(OR(A16="",F16=""),"",IF(F16&lt;=Weekly_Budget/21,"Within budget","Over budget"))</f>
        <v>0</v>
      </c>
      <c r="N16" s="8">
        <f>IF(A16="","",IFERROR(INDEX(Recipes!$H$5:$H$204,MATCH(A16,Recipes!$A$5:$A$204,0)),""))</f>
        <v>0</v>
      </c>
      <c r="O16" s="8">
        <f>IF(A16="","",IFERROR(INDEX(Recipes!$S$5:$S$204,MATCH(A16,Recipes!$A$5:$A$204,0)),""))</f>
        <v>0</v>
      </c>
      <c r="P16" s="8">
        <f>IF(A16="","",IFERROR(INDEX(Recipes!$T$5:$T$204,MATCH(A16,Recipes!$A$5:$A$204,0)),""))</f>
        <v>0</v>
      </c>
      <c r="Q16" s="8">
        <f>IF(OR(A16="",F16=""),"",F16*7*3)</f>
        <v>0</v>
      </c>
      <c r="R16" s="25"/>
    </row>
    <row r="17" spans="1:18">
      <c r="A17" s="7"/>
      <c r="B17" s="8">
        <f>IF(A17="","",IFERROR(INDEX(Recipes!$B$5:$B$204,MATCH(A17,Recipes!$A$5:$A$204,0)),""))</f>
        <v>0</v>
      </c>
      <c r="C17" s="8">
        <f>IF(A17="","",IFERROR(INDEX(Recipes!$D$5:$D$204,MATCH(A17,Recipes!$A$5:$A$204,0)),""))</f>
        <v>0</v>
      </c>
      <c r="D17" s="8">
        <f>IF(A17="","",COUNTIFS('Recipe Ingredients'!$A$5:$A$1204,A17))</f>
        <v>0</v>
      </c>
      <c r="E17" s="8">
        <f>IF(A17="","",SUMIFS('Recipe Ingredients'!$H$5:$H$1204,'Recipe Ingredients'!$A$5:$A$1204,A17))</f>
        <v>0</v>
      </c>
      <c r="F17" s="8">
        <f>IF(A17="","",IFERROR(INDEX(Recipes!$Q$5:$Q$204,MATCH(A17,Recipes!$A$5:$A$204,0)),""))</f>
        <v>0</v>
      </c>
      <c r="G17" s="8">
        <f>IF(OR(A17="",N17="",N17=0),"",IFERROR(F17/N17*100,""))</f>
        <v>0</v>
      </c>
      <c r="H17" s="8">
        <f>IF(OR(A17="",F17=""),"",COUNTIFS($F$5:$F$204,"&lt;"&amp;F17)+1)</f>
        <v>0</v>
      </c>
      <c r="I17" s="8">
        <f>IF(A17="","",IFERROR(INDEX('Recipe Ingredients'!$B$5:$B$1204,MATCH(1,INDEX(('Recipe Ingredients'!$A$5:$A$1204=A17)*('Recipe Ingredients'!$H$5:$H$1204=J17),0),0)),""))</f>
        <v>0</v>
      </c>
      <c r="J17" s="8">
        <f>IF(A17="","",SUMPRODUCT(MAX(('Recipe Ingredients'!$A$5:$A$1204=A17)*'Recipe Ingredients'!$H$5:$H$1204)))</f>
        <v>0</v>
      </c>
      <c r="K17" s="8">
        <f>IF(OR(A17="",E17="",E17=0),"",IFERROR(J17/E17,""))</f>
        <v>0</v>
      </c>
      <c r="L17" s="8">
        <f>IF(OR(A17="",F17=""),"",IFERROR(F17-AVERAGE($F$5:$F$204),""))</f>
        <v>0</v>
      </c>
      <c r="M17" s="8">
        <f>IF(OR(A17="",F17=""),"",IF(F17&lt;=Weekly_Budget/21,"Within budget","Over budget"))</f>
        <v>0</v>
      </c>
      <c r="N17" s="8">
        <f>IF(A17="","",IFERROR(INDEX(Recipes!$H$5:$H$204,MATCH(A17,Recipes!$A$5:$A$204,0)),""))</f>
        <v>0</v>
      </c>
      <c r="O17" s="8">
        <f>IF(A17="","",IFERROR(INDEX(Recipes!$S$5:$S$204,MATCH(A17,Recipes!$A$5:$A$204,0)),""))</f>
        <v>0</v>
      </c>
      <c r="P17" s="8">
        <f>IF(A17="","",IFERROR(INDEX(Recipes!$T$5:$T$204,MATCH(A17,Recipes!$A$5:$A$204,0)),""))</f>
        <v>0</v>
      </c>
      <c r="Q17" s="8">
        <f>IF(OR(A17="",F17=""),"",F17*7*3)</f>
        <v>0</v>
      </c>
      <c r="R17" s="25"/>
    </row>
    <row r="18" spans="1:18">
      <c r="A18" s="7"/>
      <c r="B18" s="8">
        <f>IF(A18="","",IFERROR(INDEX(Recipes!$B$5:$B$204,MATCH(A18,Recipes!$A$5:$A$204,0)),""))</f>
        <v>0</v>
      </c>
      <c r="C18" s="8">
        <f>IF(A18="","",IFERROR(INDEX(Recipes!$D$5:$D$204,MATCH(A18,Recipes!$A$5:$A$204,0)),""))</f>
        <v>0</v>
      </c>
      <c r="D18" s="8">
        <f>IF(A18="","",COUNTIFS('Recipe Ingredients'!$A$5:$A$1204,A18))</f>
        <v>0</v>
      </c>
      <c r="E18" s="8">
        <f>IF(A18="","",SUMIFS('Recipe Ingredients'!$H$5:$H$1204,'Recipe Ingredients'!$A$5:$A$1204,A18))</f>
        <v>0</v>
      </c>
      <c r="F18" s="8">
        <f>IF(A18="","",IFERROR(INDEX(Recipes!$Q$5:$Q$204,MATCH(A18,Recipes!$A$5:$A$204,0)),""))</f>
        <v>0</v>
      </c>
      <c r="G18" s="8">
        <f>IF(OR(A18="",N18="",N18=0),"",IFERROR(F18/N18*100,""))</f>
        <v>0</v>
      </c>
      <c r="H18" s="8">
        <f>IF(OR(A18="",F18=""),"",COUNTIFS($F$5:$F$204,"&lt;"&amp;F18)+1)</f>
        <v>0</v>
      </c>
      <c r="I18" s="8">
        <f>IF(A18="","",IFERROR(INDEX('Recipe Ingredients'!$B$5:$B$1204,MATCH(1,INDEX(('Recipe Ingredients'!$A$5:$A$1204=A18)*('Recipe Ingredients'!$H$5:$H$1204=J18),0),0)),""))</f>
        <v>0</v>
      </c>
      <c r="J18" s="8">
        <f>IF(A18="","",SUMPRODUCT(MAX(('Recipe Ingredients'!$A$5:$A$1204=A18)*'Recipe Ingredients'!$H$5:$H$1204)))</f>
        <v>0</v>
      </c>
      <c r="K18" s="8">
        <f>IF(OR(A18="",E18="",E18=0),"",IFERROR(J18/E18,""))</f>
        <v>0</v>
      </c>
      <c r="L18" s="8">
        <f>IF(OR(A18="",F18=""),"",IFERROR(F18-AVERAGE($F$5:$F$204),""))</f>
        <v>0</v>
      </c>
      <c r="M18" s="8">
        <f>IF(OR(A18="",F18=""),"",IF(F18&lt;=Weekly_Budget/21,"Within budget","Over budget"))</f>
        <v>0</v>
      </c>
      <c r="N18" s="8">
        <f>IF(A18="","",IFERROR(INDEX(Recipes!$H$5:$H$204,MATCH(A18,Recipes!$A$5:$A$204,0)),""))</f>
        <v>0</v>
      </c>
      <c r="O18" s="8">
        <f>IF(A18="","",IFERROR(INDEX(Recipes!$S$5:$S$204,MATCH(A18,Recipes!$A$5:$A$204,0)),""))</f>
        <v>0</v>
      </c>
      <c r="P18" s="8">
        <f>IF(A18="","",IFERROR(INDEX(Recipes!$T$5:$T$204,MATCH(A18,Recipes!$A$5:$A$204,0)),""))</f>
        <v>0</v>
      </c>
      <c r="Q18" s="8">
        <f>IF(OR(A18="",F18=""),"",F18*7*3)</f>
        <v>0</v>
      </c>
      <c r="R18" s="25"/>
    </row>
    <row r="19" spans="1:18">
      <c r="A19" s="7"/>
      <c r="B19" s="8">
        <f>IF(A19="","",IFERROR(INDEX(Recipes!$B$5:$B$204,MATCH(A19,Recipes!$A$5:$A$204,0)),""))</f>
        <v>0</v>
      </c>
      <c r="C19" s="8">
        <f>IF(A19="","",IFERROR(INDEX(Recipes!$D$5:$D$204,MATCH(A19,Recipes!$A$5:$A$204,0)),""))</f>
        <v>0</v>
      </c>
      <c r="D19" s="8">
        <f>IF(A19="","",COUNTIFS('Recipe Ingredients'!$A$5:$A$1204,A19))</f>
        <v>0</v>
      </c>
      <c r="E19" s="8">
        <f>IF(A19="","",SUMIFS('Recipe Ingredients'!$H$5:$H$1204,'Recipe Ingredients'!$A$5:$A$1204,A19))</f>
        <v>0</v>
      </c>
      <c r="F19" s="8">
        <f>IF(A19="","",IFERROR(INDEX(Recipes!$Q$5:$Q$204,MATCH(A19,Recipes!$A$5:$A$204,0)),""))</f>
        <v>0</v>
      </c>
      <c r="G19" s="8">
        <f>IF(OR(A19="",N19="",N19=0),"",IFERROR(F19/N19*100,""))</f>
        <v>0</v>
      </c>
      <c r="H19" s="8">
        <f>IF(OR(A19="",F19=""),"",COUNTIFS($F$5:$F$204,"&lt;"&amp;F19)+1)</f>
        <v>0</v>
      </c>
      <c r="I19" s="8">
        <f>IF(A19="","",IFERROR(INDEX('Recipe Ingredients'!$B$5:$B$1204,MATCH(1,INDEX(('Recipe Ingredients'!$A$5:$A$1204=A19)*('Recipe Ingredients'!$H$5:$H$1204=J19),0),0)),""))</f>
        <v>0</v>
      </c>
      <c r="J19" s="8">
        <f>IF(A19="","",SUMPRODUCT(MAX(('Recipe Ingredients'!$A$5:$A$1204=A19)*'Recipe Ingredients'!$H$5:$H$1204)))</f>
        <v>0</v>
      </c>
      <c r="K19" s="8">
        <f>IF(OR(A19="",E19="",E19=0),"",IFERROR(J19/E19,""))</f>
        <v>0</v>
      </c>
      <c r="L19" s="8">
        <f>IF(OR(A19="",F19=""),"",IFERROR(F19-AVERAGE($F$5:$F$204),""))</f>
        <v>0</v>
      </c>
      <c r="M19" s="8">
        <f>IF(OR(A19="",F19=""),"",IF(F19&lt;=Weekly_Budget/21,"Within budget","Over budget"))</f>
        <v>0</v>
      </c>
      <c r="N19" s="8">
        <f>IF(A19="","",IFERROR(INDEX(Recipes!$H$5:$H$204,MATCH(A19,Recipes!$A$5:$A$204,0)),""))</f>
        <v>0</v>
      </c>
      <c r="O19" s="8">
        <f>IF(A19="","",IFERROR(INDEX(Recipes!$S$5:$S$204,MATCH(A19,Recipes!$A$5:$A$204,0)),""))</f>
        <v>0</v>
      </c>
      <c r="P19" s="8">
        <f>IF(A19="","",IFERROR(INDEX(Recipes!$T$5:$T$204,MATCH(A19,Recipes!$A$5:$A$204,0)),""))</f>
        <v>0</v>
      </c>
      <c r="Q19" s="8">
        <f>IF(OR(A19="",F19=""),"",F19*7*3)</f>
        <v>0</v>
      </c>
      <c r="R19" s="25"/>
    </row>
    <row r="20" spans="1:18">
      <c r="A20" s="7"/>
      <c r="B20" s="8">
        <f>IF(A20="","",IFERROR(INDEX(Recipes!$B$5:$B$204,MATCH(A20,Recipes!$A$5:$A$204,0)),""))</f>
        <v>0</v>
      </c>
      <c r="C20" s="8">
        <f>IF(A20="","",IFERROR(INDEX(Recipes!$D$5:$D$204,MATCH(A20,Recipes!$A$5:$A$204,0)),""))</f>
        <v>0</v>
      </c>
      <c r="D20" s="8">
        <f>IF(A20="","",COUNTIFS('Recipe Ingredients'!$A$5:$A$1204,A20))</f>
        <v>0</v>
      </c>
      <c r="E20" s="8">
        <f>IF(A20="","",SUMIFS('Recipe Ingredients'!$H$5:$H$1204,'Recipe Ingredients'!$A$5:$A$1204,A20))</f>
        <v>0</v>
      </c>
      <c r="F20" s="8">
        <f>IF(A20="","",IFERROR(INDEX(Recipes!$Q$5:$Q$204,MATCH(A20,Recipes!$A$5:$A$204,0)),""))</f>
        <v>0</v>
      </c>
      <c r="G20" s="8">
        <f>IF(OR(A20="",N20="",N20=0),"",IFERROR(F20/N20*100,""))</f>
        <v>0</v>
      </c>
      <c r="H20" s="8">
        <f>IF(OR(A20="",F20=""),"",COUNTIFS($F$5:$F$204,"&lt;"&amp;F20)+1)</f>
        <v>0</v>
      </c>
      <c r="I20" s="8">
        <f>IF(A20="","",IFERROR(INDEX('Recipe Ingredients'!$B$5:$B$1204,MATCH(1,INDEX(('Recipe Ingredients'!$A$5:$A$1204=A20)*('Recipe Ingredients'!$H$5:$H$1204=J20),0),0)),""))</f>
        <v>0</v>
      </c>
      <c r="J20" s="8">
        <f>IF(A20="","",SUMPRODUCT(MAX(('Recipe Ingredients'!$A$5:$A$1204=A20)*'Recipe Ingredients'!$H$5:$H$1204)))</f>
        <v>0</v>
      </c>
      <c r="K20" s="8">
        <f>IF(OR(A20="",E20="",E20=0),"",IFERROR(J20/E20,""))</f>
        <v>0</v>
      </c>
      <c r="L20" s="8">
        <f>IF(OR(A20="",F20=""),"",IFERROR(F20-AVERAGE($F$5:$F$204),""))</f>
        <v>0</v>
      </c>
      <c r="M20" s="8">
        <f>IF(OR(A20="",F20=""),"",IF(F20&lt;=Weekly_Budget/21,"Within budget","Over budget"))</f>
        <v>0</v>
      </c>
      <c r="N20" s="8">
        <f>IF(A20="","",IFERROR(INDEX(Recipes!$H$5:$H$204,MATCH(A20,Recipes!$A$5:$A$204,0)),""))</f>
        <v>0</v>
      </c>
      <c r="O20" s="8">
        <f>IF(A20="","",IFERROR(INDEX(Recipes!$S$5:$S$204,MATCH(A20,Recipes!$A$5:$A$204,0)),""))</f>
        <v>0</v>
      </c>
      <c r="P20" s="8">
        <f>IF(A20="","",IFERROR(INDEX(Recipes!$T$5:$T$204,MATCH(A20,Recipes!$A$5:$A$204,0)),""))</f>
        <v>0</v>
      </c>
      <c r="Q20" s="8">
        <f>IF(OR(A20="",F20=""),"",F20*7*3)</f>
        <v>0</v>
      </c>
      <c r="R20" s="25"/>
    </row>
    <row r="21" spans="1:18">
      <c r="A21" s="7"/>
      <c r="B21" s="8">
        <f>IF(A21="","",IFERROR(INDEX(Recipes!$B$5:$B$204,MATCH(A21,Recipes!$A$5:$A$204,0)),""))</f>
        <v>0</v>
      </c>
      <c r="C21" s="8">
        <f>IF(A21="","",IFERROR(INDEX(Recipes!$D$5:$D$204,MATCH(A21,Recipes!$A$5:$A$204,0)),""))</f>
        <v>0</v>
      </c>
      <c r="D21" s="8">
        <f>IF(A21="","",COUNTIFS('Recipe Ingredients'!$A$5:$A$1204,A21))</f>
        <v>0</v>
      </c>
      <c r="E21" s="8">
        <f>IF(A21="","",SUMIFS('Recipe Ingredients'!$H$5:$H$1204,'Recipe Ingredients'!$A$5:$A$1204,A21))</f>
        <v>0</v>
      </c>
      <c r="F21" s="8">
        <f>IF(A21="","",IFERROR(INDEX(Recipes!$Q$5:$Q$204,MATCH(A21,Recipes!$A$5:$A$204,0)),""))</f>
        <v>0</v>
      </c>
      <c r="G21" s="8">
        <f>IF(OR(A21="",N21="",N21=0),"",IFERROR(F21/N21*100,""))</f>
        <v>0</v>
      </c>
      <c r="H21" s="8">
        <f>IF(OR(A21="",F21=""),"",COUNTIFS($F$5:$F$204,"&lt;"&amp;F21)+1)</f>
        <v>0</v>
      </c>
      <c r="I21" s="8">
        <f>IF(A21="","",IFERROR(INDEX('Recipe Ingredients'!$B$5:$B$1204,MATCH(1,INDEX(('Recipe Ingredients'!$A$5:$A$1204=A21)*('Recipe Ingredients'!$H$5:$H$1204=J21),0),0)),""))</f>
        <v>0</v>
      </c>
      <c r="J21" s="8">
        <f>IF(A21="","",SUMPRODUCT(MAX(('Recipe Ingredients'!$A$5:$A$1204=A21)*'Recipe Ingredients'!$H$5:$H$1204)))</f>
        <v>0</v>
      </c>
      <c r="K21" s="8">
        <f>IF(OR(A21="",E21="",E21=0),"",IFERROR(J21/E21,""))</f>
        <v>0</v>
      </c>
      <c r="L21" s="8">
        <f>IF(OR(A21="",F21=""),"",IFERROR(F21-AVERAGE($F$5:$F$204),""))</f>
        <v>0</v>
      </c>
      <c r="M21" s="8">
        <f>IF(OR(A21="",F21=""),"",IF(F21&lt;=Weekly_Budget/21,"Within budget","Over budget"))</f>
        <v>0</v>
      </c>
      <c r="N21" s="8">
        <f>IF(A21="","",IFERROR(INDEX(Recipes!$H$5:$H$204,MATCH(A21,Recipes!$A$5:$A$204,0)),""))</f>
        <v>0</v>
      </c>
      <c r="O21" s="8">
        <f>IF(A21="","",IFERROR(INDEX(Recipes!$S$5:$S$204,MATCH(A21,Recipes!$A$5:$A$204,0)),""))</f>
        <v>0</v>
      </c>
      <c r="P21" s="8">
        <f>IF(A21="","",IFERROR(INDEX(Recipes!$T$5:$T$204,MATCH(A21,Recipes!$A$5:$A$204,0)),""))</f>
        <v>0</v>
      </c>
      <c r="Q21" s="8">
        <f>IF(OR(A21="",F21=""),"",F21*7*3)</f>
        <v>0</v>
      </c>
      <c r="R21" s="25"/>
    </row>
    <row r="22" spans="1:18">
      <c r="A22" s="7"/>
      <c r="B22" s="8">
        <f>IF(A22="","",IFERROR(INDEX(Recipes!$B$5:$B$204,MATCH(A22,Recipes!$A$5:$A$204,0)),""))</f>
        <v>0</v>
      </c>
      <c r="C22" s="8">
        <f>IF(A22="","",IFERROR(INDEX(Recipes!$D$5:$D$204,MATCH(A22,Recipes!$A$5:$A$204,0)),""))</f>
        <v>0</v>
      </c>
      <c r="D22" s="8">
        <f>IF(A22="","",COUNTIFS('Recipe Ingredients'!$A$5:$A$1204,A22))</f>
        <v>0</v>
      </c>
      <c r="E22" s="8">
        <f>IF(A22="","",SUMIFS('Recipe Ingredients'!$H$5:$H$1204,'Recipe Ingredients'!$A$5:$A$1204,A22))</f>
        <v>0</v>
      </c>
      <c r="F22" s="8">
        <f>IF(A22="","",IFERROR(INDEX(Recipes!$Q$5:$Q$204,MATCH(A22,Recipes!$A$5:$A$204,0)),""))</f>
        <v>0</v>
      </c>
      <c r="G22" s="8">
        <f>IF(OR(A22="",N22="",N22=0),"",IFERROR(F22/N22*100,""))</f>
        <v>0</v>
      </c>
      <c r="H22" s="8">
        <f>IF(OR(A22="",F22=""),"",COUNTIFS($F$5:$F$204,"&lt;"&amp;F22)+1)</f>
        <v>0</v>
      </c>
      <c r="I22" s="8">
        <f>IF(A22="","",IFERROR(INDEX('Recipe Ingredients'!$B$5:$B$1204,MATCH(1,INDEX(('Recipe Ingredients'!$A$5:$A$1204=A22)*('Recipe Ingredients'!$H$5:$H$1204=J22),0),0)),""))</f>
        <v>0</v>
      </c>
      <c r="J22" s="8">
        <f>IF(A22="","",SUMPRODUCT(MAX(('Recipe Ingredients'!$A$5:$A$1204=A22)*'Recipe Ingredients'!$H$5:$H$1204)))</f>
        <v>0</v>
      </c>
      <c r="K22" s="8">
        <f>IF(OR(A22="",E22="",E22=0),"",IFERROR(J22/E22,""))</f>
        <v>0</v>
      </c>
      <c r="L22" s="8">
        <f>IF(OR(A22="",F22=""),"",IFERROR(F22-AVERAGE($F$5:$F$204),""))</f>
        <v>0</v>
      </c>
      <c r="M22" s="8">
        <f>IF(OR(A22="",F22=""),"",IF(F22&lt;=Weekly_Budget/21,"Within budget","Over budget"))</f>
        <v>0</v>
      </c>
      <c r="N22" s="8">
        <f>IF(A22="","",IFERROR(INDEX(Recipes!$H$5:$H$204,MATCH(A22,Recipes!$A$5:$A$204,0)),""))</f>
        <v>0</v>
      </c>
      <c r="O22" s="8">
        <f>IF(A22="","",IFERROR(INDEX(Recipes!$S$5:$S$204,MATCH(A22,Recipes!$A$5:$A$204,0)),""))</f>
        <v>0</v>
      </c>
      <c r="P22" s="8">
        <f>IF(A22="","",IFERROR(INDEX(Recipes!$T$5:$T$204,MATCH(A22,Recipes!$A$5:$A$204,0)),""))</f>
        <v>0</v>
      </c>
      <c r="Q22" s="8">
        <f>IF(OR(A22="",F22=""),"",F22*7*3)</f>
        <v>0</v>
      </c>
      <c r="R22" s="25"/>
    </row>
    <row r="23" spans="1:18">
      <c r="A23" s="7"/>
      <c r="B23" s="8">
        <f>IF(A23="","",IFERROR(INDEX(Recipes!$B$5:$B$204,MATCH(A23,Recipes!$A$5:$A$204,0)),""))</f>
        <v>0</v>
      </c>
      <c r="C23" s="8">
        <f>IF(A23="","",IFERROR(INDEX(Recipes!$D$5:$D$204,MATCH(A23,Recipes!$A$5:$A$204,0)),""))</f>
        <v>0</v>
      </c>
      <c r="D23" s="8">
        <f>IF(A23="","",COUNTIFS('Recipe Ingredients'!$A$5:$A$1204,A23))</f>
        <v>0</v>
      </c>
      <c r="E23" s="8">
        <f>IF(A23="","",SUMIFS('Recipe Ingredients'!$H$5:$H$1204,'Recipe Ingredients'!$A$5:$A$1204,A23))</f>
        <v>0</v>
      </c>
      <c r="F23" s="8">
        <f>IF(A23="","",IFERROR(INDEX(Recipes!$Q$5:$Q$204,MATCH(A23,Recipes!$A$5:$A$204,0)),""))</f>
        <v>0</v>
      </c>
      <c r="G23" s="8">
        <f>IF(OR(A23="",N23="",N23=0),"",IFERROR(F23/N23*100,""))</f>
        <v>0</v>
      </c>
      <c r="H23" s="8">
        <f>IF(OR(A23="",F23=""),"",COUNTIFS($F$5:$F$204,"&lt;"&amp;F23)+1)</f>
        <v>0</v>
      </c>
      <c r="I23" s="8">
        <f>IF(A23="","",IFERROR(INDEX('Recipe Ingredients'!$B$5:$B$1204,MATCH(1,INDEX(('Recipe Ingredients'!$A$5:$A$1204=A23)*('Recipe Ingredients'!$H$5:$H$1204=J23),0),0)),""))</f>
        <v>0</v>
      </c>
      <c r="J23" s="8">
        <f>IF(A23="","",SUMPRODUCT(MAX(('Recipe Ingredients'!$A$5:$A$1204=A23)*'Recipe Ingredients'!$H$5:$H$1204)))</f>
        <v>0</v>
      </c>
      <c r="K23" s="8">
        <f>IF(OR(A23="",E23="",E23=0),"",IFERROR(J23/E23,""))</f>
        <v>0</v>
      </c>
      <c r="L23" s="8">
        <f>IF(OR(A23="",F23=""),"",IFERROR(F23-AVERAGE($F$5:$F$204),""))</f>
        <v>0</v>
      </c>
      <c r="M23" s="8">
        <f>IF(OR(A23="",F23=""),"",IF(F23&lt;=Weekly_Budget/21,"Within budget","Over budget"))</f>
        <v>0</v>
      </c>
      <c r="N23" s="8">
        <f>IF(A23="","",IFERROR(INDEX(Recipes!$H$5:$H$204,MATCH(A23,Recipes!$A$5:$A$204,0)),""))</f>
        <v>0</v>
      </c>
      <c r="O23" s="8">
        <f>IF(A23="","",IFERROR(INDEX(Recipes!$S$5:$S$204,MATCH(A23,Recipes!$A$5:$A$204,0)),""))</f>
        <v>0</v>
      </c>
      <c r="P23" s="8">
        <f>IF(A23="","",IFERROR(INDEX(Recipes!$T$5:$T$204,MATCH(A23,Recipes!$A$5:$A$204,0)),""))</f>
        <v>0</v>
      </c>
      <c r="Q23" s="8">
        <f>IF(OR(A23="",F23=""),"",F23*7*3)</f>
        <v>0</v>
      </c>
      <c r="R23" s="25"/>
    </row>
    <row r="24" spans="1:18">
      <c r="A24" s="7"/>
      <c r="B24" s="8">
        <f>IF(A24="","",IFERROR(INDEX(Recipes!$B$5:$B$204,MATCH(A24,Recipes!$A$5:$A$204,0)),""))</f>
        <v>0</v>
      </c>
      <c r="C24" s="8">
        <f>IF(A24="","",IFERROR(INDEX(Recipes!$D$5:$D$204,MATCH(A24,Recipes!$A$5:$A$204,0)),""))</f>
        <v>0</v>
      </c>
      <c r="D24" s="8">
        <f>IF(A24="","",COUNTIFS('Recipe Ingredients'!$A$5:$A$1204,A24))</f>
        <v>0</v>
      </c>
      <c r="E24" s="8">
        <f>IF(A24="","",SUMIFS('Recipe Ingredients'!$H$5:$H$1204,'Recipe Ingredients'!$A$5:$A$1204,A24))</f>
        <v>0</v>
      </c>
      <c r="F24" s="8">
        <f>IF(A24="","",IFERROR(INDEX(Recipes!$Q$5:$Q$204,MATCH(A24,Recipes!$A$5:$A$204,0)),""))</f>
        <v>0</v>
      </c>
      <c r="G24" s="8">
        <f>IF(OR(A24="",N24="",N24=0),"",IFERROR(F24/N24*100,""))</f>
        <v>0</v>
      </c>
      <c r="H24" s="8">
        <f>IF(OR(A24="",F24=""),"",COUNTIFS($F$5:$F$204,"&lt;"&amp;F24)+1)</f>
        <v>0</v>
      </c>
      <c r="I24" s="8">
        <f>IF(A24="","",IFERROR(INDEX('Recipe Ingredients'!$B$5:$B$1204,MATCH(1,INDEX(('Recipe Ingredients'!$A$5:$A$1204=A24)*('Recipe Ingredients'!$H$5:$H$1204=J24),0),0)),""))</f>
        <v>0</v>
      </c>
      <c r="J24" s="8">
        <f>IF(A24="","",SUMPRODUCT(MAX(('Recipe Ingredients'!$A$5:$A$1204=A24)*'Recipe Ingredients'!$H$5:$H$1204)))</f>
        <v>0</v>
      </c>
      <c r="K24" s="8">
        <f>IF(OR(A24="",E24="",E24=0),"",IFERROR(J24/E24,""))</f>
        <v>0</v>
      </c>
      <c r="L24" s="8">
        <f>IF(OR(A24="",F24=""),"",IFERROR(F24-AVERAGE($F$5:$F$204),""))</f>
        <v>0</v>
      </c>
      <c r="M24" s="8">
        <f>IF(OR(A24="",F24=""),"",IF(F24&lt;=Weekly_Budget/21,"Within budget","Over budget"))</f>
        <v>0</v>
      </c>
      <c r="N24" s="8">
        <f>IF(A24="","",IFERROR(INDEX(Recipes!$H$5:$H$204,MATCH(A24,Recipes!$A$5:$A$204,0)),""))</f>
        <v>0</v>
      </c>
      <c r="O24" s="8">
        <f>IF(A24="","",IFERROR(INDEX(Recipes!$S$5:$S$204,MATCH(A24,Recipes!$A$5:$A$204,0)),""))</f>
        <v>0</v>
      </c>
      <c r="P24" s="8">
        <f>IF(A24="","",IFERROR(INDEX(Recipes!$T$5:$T$204,MATCH(A24,Recipes!$A$5:$A$204,0)),""))</f>
        <v>0</v>
      </c>
      <c r="Q24" s="8">
        <f>IF(OR(A24="",F24=""),"",F24*7*3)</f>
        <v>0</v>
      </c>
      <c r="R24" s="25"/>
    </row>
    <row r="25" spans="1:18">
      <c r="A25" s="7"/>
      <c r="B25" s="8">
        <f>IF(A25="","",IFERROR(INDEX(Recipes!$B$5:$B$204,MATCH(A25,Recipes!$A$5:$A$204,0)),""))</f>
        <v>0</v>
      </c>
      <c r="C25" s="8">
        <f>IF(A25="","",IFERROR(INDEX(Recipes!$D$5:$D$204,MATCH(A25,Recipes!$A$5:$A$204,0)),""))</f>
        <v>0</v>
      </c>
      <c r="D25" s="8">
        <f>IF(A25="","",COUNTIFS('Recipe Ingredients'!$A$5:$A$1204,A25))</f>
        <v>0</v>
      </c>
      <c r="E25" s="8">
        <f>IF(A25="","",SUMIFS('Recipe Ingredients'!$H$5:$H$1204,'Recipe Ingredients'!$A$5:$A$1204,A25))</f>
        <v>0</v>
      </c>
      <c r="F25" s="8">
        <f>IF(A25="","",IFERROR(INDEX(Recipes!$Q$5:$Q$204,MATCH(A25,Recipes!$A$5:$A$204,0)),""))</f>
        <v>0</v>
      </c>
      <c r="G25" s="8">
        <f>IF(OR(A25="",N25="",N25=0),"",IFERROR(F25/N25*100,""))</f>
        <v>0</v>
      </c>
      <c r="H25" s="8">
        <f>IF(OR(A25="",F25=""),"",COUNTIFS($F$5:$F$204,"&lt;"&amp;F25)+1)</f>
        <v>0</v>
      </c>
      <c r="I25" s="8">
        <f>IF(A25="","",IFERROR(INDEX('Recipe Ingredients'!$B$5:$B$1204,MATCH(1,INDEX(('Recipe Ingredients'!$A$5:$A$1204=A25)*('Recipe Ingredients'!$H$5:$H$1204=J25),0),0)),""))</f>
        <v>0</v>
      </c>
      <c r="J25" s="8">
        <f>IF(A25="","",SUMPRODUCT(MAX(('Recipe Ingredients'!$A$5:$A$1204=A25)*'Recipe Ingredients'!$H$5:$H$1204)))</f>
        <v>0</v>
      </c>
      <c r="K25" s="8">
        <f>IF(OR(A25="",E25="",E25=0),"",IFERROR(J25/E25,""))</f>
        <v>0</v>
      </c>
      <c r="L25" s="8">
        <f>IF(OR(A25="",F25=""),"",IFERROR(F25-AVERAGE($F$5:$F$204),""))</f>
        <v>0</v>
      </c>
      <c r="M25" s="8">
        <f>IF(OR(A25="",F25=""),"",IF(F25&lt;=Weekly_Budget/21,"Within budget","Over budget"))</f>
        <v>0</v>
      </c>
      <c r="N25" s="8">
        <f>IF(A25="","",IFERROR(INDEX(Recipes!$H$5:$H$204,MATCH(A25,Recipes!$A$5:$A$204,0)),""))</f>
        <v>0</v>
      </c>
      <c r="O25" s="8">
        <f>IF(A25="","",IFERROR(INDEX(Recipes!$S$5:$S$204,MATCH(A25,Recipes!$A$5:$A$204,0)),""))</f>
        <v>0</v>
      </c>
      <c r="P25" s="8">
        <f>IF(A25="","",IFERROR(INDEX(Recipes!$T$5:$T$204,MATCH(A25,Recipes!$A$5:$A$204,0)),""))</f>
        <v>0</v>
      </c>
      <c r="Q25" s="8">
        <f>IF(OR(A25="",F25=""),"",F25*7*3)</f>
        <v>0</v>
      </c>
      <c r="R25" s="25"/>
    </row>
    <row r="26" spans="1:18">
      <c r="A26" s="7"/>
      <c r="B26" s="8">
        <f>IF(A26="","",IFERROR(INDEX(Recipes!$B$5:$B$204,MATCH(A26,Recipes!$A$5:$A$204,0)),""))</f>
        <v>0</v>
      </c>
      <c r="C26" s="8">
        <f>IF(A26="","",IFERROR(INDEX(Recipes!$D$5:$D$204,MATCH(A26,Recipes!$A$5:$A$204,0)),""))</f>
        <v>0</v>
      </c>
      <c r="D26" s="8">
        <f>IF(A26="","",COUNTIFS('Recipe Ingredients'!$A$5:$A$1204,A26))</f>
        <v>0</v>
      </c>
      <c r="E26" s="8">
        <f>IF(A26="","",SUMIFS('Recipe Ingredients'!$H$5:$H$1204,'Recipe Ingredients'!$A$5:$A$1204,A26))</f>
        <v>0</v>
      </c>
      <c r="F26" s="8">
        <f>IF(A26="","",IFERROR(INDEX(Recipes!$Q$5:$Q$204,MATCH(A26,Recipes!$A$5:$A$204,0)),""))</f>
        <v>0</v>
      </c>
      <c r="G26" s="8">
        <f>IF(OR(A26="",N26="",N26=0),"",IFERROR(F26/N26*100,""))</f>
        <v>0</v>
      </c>
      <c r="H26" s="8">
        <f>IF(OR(A26="",F26=""),"",COUNTIFS($F$5:$F$204,"&lt;"&amp;F26)+1)</f>
        <v>0</v>
      </c>
      <c r="I26" s="8">
        <f>IF(A26="","",IFERROR(INDEX('Recipe Ingredients'!$B$5:$B$1204,MATCH(1,INDEX(('Recipe Ingredients'!$A$5:$A$1204=A26)*('Recipe Ingredients'!$H$5:$H$1204=J26),0),0)),""))</f>
        <v>0</v>
      </c>
      <c r="J26" s="8">
        <f>IF(A26="","",SUMPRODUCT(MAX(('Recipe Ingredients'!$A$5:$A$1204=A26)*'Recipe Ingredients'!$H$5:$H$1204)))</f>
        <v>0</v>
      </c>
      <c r="K26" s="8">
        <f>IF(OR(A26="",E26="",E26=0),"",IFERROR(J26/E26,""))</f>
        <v>0</v>
      </c>
      <c r="L26" s="8">
        <f>IF(OR(A26="",F26=""),"",IFERROR(F26-AVERAGE($F$5:$F$204),""))</f>
        <v>0</v>
      </c>
      <c r="M26" s="8">
        <f>IF(OR(A26="",F26=""),"",IF(F26&lt;=Weekly_Budget/21,"Within budget","Over budget"))</f>
        <v>0</v>
      </c>
      <c r="N26" s="8">
        <f>IF(A26="","",IFERROR(INDEX(Recipes!$H$5:$H$204,MATCH(A26,Recipes!$A$5:$A$204,0)),""))</f>
        <v>0</v>
      </c>
      <c r="O26" s="8">
        <f>IF(A26="","",IFERROR(INDEX(Recipes!$S$5:$S$204,MATCH(A26,Recipes!$A$5:$A$204,0)),""))</f>
        <v>0</v>
      </c>
      <c r="P26" s="8">
        <f>IF(A26="","",IFERROR(INDEX(Recipes!$T$5:$T$204,MATCH(A26,Recipes!$A$5:$A$204,0)),""))</f>
        <v>0</v>
      </c>
      <c r="Q26" s="8">
        <f>IF(OR(A26="",F26=""),"",F26*7*3)</f>
        <v>0</v>
      </c>
      <c r="R26" s="25"/>
    </row>
    <row r="27" spans="1:18">
      <c r="A27" s="7"/>
      <c r="B27" s="8">
        <f>IF(A27="","",IFERROR(INDEX(Recipes!$B$5:$B$204,MATCH(A27,Recipes!$A$5:$A$204,0)),""))</f>
        <v>0</v>
      </c>
      <c r="C27" s="8">
        <f>IF(A27="","",IFERROR(INDEX(Recipes!$D$5:$D$204,MATCH(A27,Recipes!$A$5:$A$204,0)),""))</f>
        <v>0</v>
      </c>
      <c r="D27" s="8">
        <f>IF(A27="","",COUNTIFS('Recipe Ingredients'!$A$5:$A$1204,A27))</f>
        <v>0</v>
      </c>
      <c r="E27" s="8">
        <f>IF(A27="","",SUMIFS('Recipe Ingredients'!$H$5:$H$1204,'Recipe Ingredients'!$A$5:$A$1204,A27))</f>
        <v>0</v>
      </c>
      <c r="F27" s="8">
        <f>IF(A27="","",IFERROR(INDEX(Recipes!$Q$5:$Q$204,MATCH(A27,Recipes!$A$5:$A$204,0)),""))</f>
        <v>0</v>
      </c>
      <c r="G27" s="8">
        <f>IF(OR(A27="",N27="",N27=0),"",IFERROR(F27/N27*100,""))</f>
        <v>0</v>
      </c>
      <c r="H27" s="8">
        <f>IF(OR(A27="",F27=""),"",COUNTIFS($F$5:$F$204,"&lt;"&amp;F27)+1)</f>
        <v>0</v>
      </c>
      <c r="I27" s="8">
        <f>IF(A27="","",IFERROR(INDEX('Recipe Ingredients'!$B$5:$B$1204,MATCH(1,INDEX(('Recipe Ingredients'!$A$5:$A$1204=A27)*('Recipe Ingredients'!$H$5:$H$1204=J27),0),0)),""))</f>
        <v>0</v>
      </c>
      <c r="J27" s="8">
        <f>IF(A27="","",SUMPRODUCT(MAX(('Recipe Ingredients'!$A$5:$A$1204=A27)*'Recipe Ingredients'!$H$5:$H$1204)))</f>
        <v>0</v>
      </c>
      <c r="K27" s="8">
        <f>IF(OR(A27="",E27="",E27=0),"",IFERROR(J27/E27,""))</f>
        <v>0</v>
      </c>
      <c r="L27" s="8">
        <f>IF(OR(A27="",F27=""),"",IFERROR(F27-AVERAGE($F$5:$F$204),""))</f>
        <v>0</v>
      </c>
      <c r="M27" s="8">
        <f>IF(OR(A27="",F27=""),"",IF(F27&lt;=Weekly_Budget/21,"Within budget","Over budget"))</f>
        <v>0</v>
      </c>
      <c r="N27" s="8">
        <f>IF(A27="","",IFERROR(INDEX(Recipes!$H$5:$H$204,MATCH(A27,Recipes!$A$5:$A$204,0)),""))</f>
        <v>0</v>
      </c>
      <c r="O27" s="8">
        <f>IF(A27="","",IFERROR(INDEX(Recipes!$S$5:$S$204,MATCH(A27,Recipes!$A$5:$A$204,0)),""))</f>
        <v>0</v>
      </c>
      <c r="P27" s="8">
        <f>IF(A27="","",IFERROR(INDEX(Recipes!$T$5:$T$204,MATCH(A27,Recipes!$A$5:$A$204,0)),""))</f>
        <v>0</v>
      </c>
      <c r="Q27" s="8">
        <f>IF(OR(A27="",F27=""),"",F27*7*3)</f>
        <v>0</v>
      </c>
      <c r="R27" s="25"/>
    </row>
    <row r="28" spans="1:18">
      <c r="A28" s="7"/>
      <c r="B28" s="8">
        <f>IF(A28="","",IFERROR(INDEX(Recipes!$B$5:$B$204,MATCH(A28,Recipes!$A$5:$A$204,0)),""))</f>
        <v>0</v>
      </c>
      <c r="C28" s="8">
        <f>IF(A28="","",IFERROR(INDEX(Recipes!$D$5:$D$204,MATCH(A28,Recipes!$A$5:$A$204,0)),""))</f>
        <v>0</v>
      </c>
      <c r="D28" s="8">
        <f>IF(A28="","",COUNTIFS('Recipe Ingredients'!$A$5:$A$1204,A28))</f>
        <v>0</v>
      </c>
      <c r="E28" s="8">
        <f>IF(A28="","",SUMIFS('Recipe Ingredients'!$H$5:$H$1204,'Recipe Ingredients'!$A$5:$A$1204,A28))</f>
        <v>0</v>
      </c>
      <c r="F28" s="8">
        <f>IF(A28="","",IFERROR(INDEX(Recipes!$Q$5:$Q$204,MATCH(A28,Recipes!$A$5:$A$204,0)),""))</f>
        <v>0</v>
      </c>
      <c r="G28" s="8">
        <f>IF(OR(A28="",N28="",N28=0),"",IFERROR(F28/N28*100,""))</f>
        <v>0</v>
      </c>
      <c r="H28" s="8">
        <f>IF(OR(A28="",F28=""),"",COUNTIFS($F$5:$F$204,"&lt;"&amp;F28)+1)</f>
        <v>0</v>
      </c>
      <c r="I28" s="8">
        <f>IF(A28="","",IFERROR(INDEX('Recipe Ingredients'!$B$5:$B$1204,MATCH(1,INDEX(('Recipe Ingredients'!$A$5:$A$1204=A28)*('Recipe Ingredients'!$H$5:$H$1204=J28),0),0)),""))</f>
        <v>0</v>
      </c>
      <c r="J28" s="8">
        <f>IF(A28="","",SUMPRODUCT(MAX(('Recipe Ingredients'!$A$5:$A$1204=A28)*'Recipe Ingredients'!$H$5:$H$1204)))</f>
        <v>0</v>
      </c>
      <c r="K28" s="8">
        <f>IF(OR(A28="",E28="",E28=0),"",IFERROR(J28/E28,""))</f>
        <v>0</v>
      </c>
      <c r="L28" s="8">
        <f>IF(OR(A28="",F28=""),"",IFERROR(F28-AVERAGE($F$5:$F$204),""))</f>
        <v>0</v>
      </c>
      <c r="M28" s="8">
        <f>IF(OR(A28="",F28=""),"",IF(F28&lt;=Weekly_Budget/21,"Within budget","Over budget"))</f>
        <v>0</v>
      </c>
      <c r="N28" s="8">
        <f>IF(A28="","",IFERROR(INDEX(Recipes!$H$5:$H$204,MATCH(A28,Recipes!$A$5:$A$204,0)),""))</f>
        <v>0</v>
      </c>
      <c r="O28" s="8">
        <f>IF(A28="","",IFERROR(INDEX(Recipes!$S$5:$S$204,MATCH(A28,Recipes!$A$5:$A$204,0)),""))</f>
        <v>0</v>
      </c>
      <c r="P28" s="8">
        <f>IF(A28="","",IFERROR(INDEX(Recipes!$T$5:$T$204,MATCH(A28,Recipes!$A$5:$A$204,0)),""))</f>
        <v>0</v>
      </c>
      <c r="Q28" s="8">
        <f>IF(OR(A28="",F28=""),"",F28*7*3)</f>
        <v>0</v>
      </c>
      <c r="R28" s="25"/>
    </row>
    <row r="29" spans="1:18">
      <c r="A29" s="7"/>
      <c r="B29" s="8">
        <f>IF(A29="","",IFERROR(INDEX(Recipes!$B$5:$B$204,MATCH(A29,Recipes!$A$5:$A$204,0)),""))</f>
        <v>0</v>
      </c>
      <c r="C29" s="8">
        <f>IF(A29="","",IFERROR(INDEX(Recipes!$D$5:$D$204,MATCH(A29,Recipes!$A$5:$A$204,0)),""))</f>
        <v>0</v>
      </c>
      <c r="D29" s="8">
        <f>IF(A29="","",COUNTIFS('Recipe Ingredients'!$A$5:$A$1204,A29))</f>
        <v>0</v>
      </c>
      <c r="E29" s="8">
        <f>IF(A29="","",SUMIFS('Recipe Ingredients'!$H$5:$H$1204,'Recipe Ingredients'!$A$5:$A$1204,A29))</f>
        <v>0</v>
      </c>
      <c r="F29" s="8">
        <f>IF(A29="","",IFERROR(INDEX(Recipes!$Q$5:$Q$204,MATCH(A29,Recipes!$A$5:$A$204,0)),""))</f>
        <v>0</v>
      </c>
      <c r="G29" s="8">
        <f>IF(OR(A29="",N29="",N29=0),"",IFERROR(F29/N29*100,""))</f>
        <v>0</v>
      </c>
      <c r="H29" s="8">
        <f>IF(OR(A29="",F29=""),"",COUNTIFS($F$5:$F$204,"&lt;"&amp;F29)+1)</f>
        <v>0</v>
      </c>
      <c r="I29" s="8">
        <f>IF(A29="","",IFERROR(INDEX('Recipe Ingredients'!$B$5:$B$1204,MATCH(1,INDEX(('Recipe Ingredients'!$A$5:$A$1204=A29)*('Recipe Ingredients'!$H$5:$H$1204=J29),0),0)),""))</f>
        <v>0</v>
      </c>
      <c r="J29" s="8">
        <f>IF(A29="","",SUMPRODUCT(MAX(('Recipe Ingredients'!$A$5:$A$1204=A29)*'Recipe Ingredients'!$H$5:$H$1204)))</f>
        <v>0</v>
      </c>
      <c r="K29" s="8">
        <f>IF(OR(A29="",E29="",E29=0),"",IFERROR(J29/E29,""))</f>
        <v>0</v>
      </c>
      <c r="L29" s="8">
        <f>IF(OR(A29="",F29=""),"",IFERROR(F29-AVERAGE($F$5:$F$204),""))</f>
        <v>0</v>
      </c>
      <c r="M29" s="8">
        <f>IF(OR(A29="",F29=""),"",IF(F29&lt;=Weekly_Budget/21,"Within budget","Over budget"))</f>
        <v>0</v>
      </c>
      <c r="N29" s="8">
        <f>IF(A29="","",IFERROR(INDEX(Recipes!$H$5:$H$204,MATCH(A29,Recipes!$A$5:$A$204,0)),""))</f>
        <v>0</v>
      </c>
      <c r="O29" s="8">
        <f>IF(A29="","",IFERROR(INDEX(Recipes!$S$5:$S$204,MATCH(A29,Recipes!$A$5:$A$204,0)),""))</f>
        <v>0</v>
      </c>
      <c r="P29" s="8">
        <f>IF(A29="","",IFERROR(INDEX(Recipes!$T$5:$T$204,MATCH(A29,Recipes!$A$5:$A$204,0)),""))</f>
        <v>0</v>
      </c>
      <c r="Q29" s="8">
        <f>IF(OR(A29="",F29=""),"",F29*7*3)</f>
        <v>0</v>
      </c>
      <c r="R29" s="25"/>
    </row>
    <row r="30" spans="1:18">
      <c r="A30" s="7"/>
      <c r="B30" s="8">
        <f>IF(A30="","",IFERROR(INDEX(Recipes!$B$5:$B$204,MATCH(A30,Recipes!$A$5:$A$204,0)),""))</f>
        <v>0</v>
      </c>
      <c r="C30" s="8">
        <f>IF(A30="","",IFERROR(INDEX(Recipes!$D$5:$D$204,MATCH(A30,Recipes!$A$5:$A$204,0)),""))</f>
        <v>0</v>
      </c>
      <c r="D30" s="8">
        <f>IF(A30="","",COUNTIFS('Recipe Ingredients'!$A$5:$A$1204,A30))</f>
        <v>0</v>
      </c>
      <c r="E30" s="8">
        <f>IF(A30="","",SUMIFS('Recipe Ingredients'!$H$5:$H$1204,'Recipe Ingredients'!$A$5:$A$1204,A30))</f>
        <v>0</v>
      </c>
      <c r="F30" s="8">
        <f>IF(A30="","",IFERROR(INDEX(Recipes!$Q$5:$Q$204,MATCH(A30,Recipes!$A$5:$A$204,0)),""))</f>
        <v>0</v>
      </c>
      <c r="G30" s="8">
        <f>IF(OR(A30="",N30="",N30=0),"",IFERROR(F30/N30*100,""))</f>
        <v>0</v>
      </c>
      <c r="H30" s="8">
        <f>IF(OR(A30="",F30=""),"",COUNTIFS($F$5:$F$204,"&lt;"&amp;F30)+1)</f>
        <v>0</v>
      </c>
      <c r="I30" s="8">
        <f>IF(A30="","",IFERROR(INDEX('Recipe Ingredients'!$B$5:$B$1204,MATCH(1,INDEX(('Recipe Ingredients'!$A$5:$A$1204=A30)*('Recipe Ingredients'!$H$5:$H$1204=J30),0),0)),""))</f>
        <v>0</v>
      </c>
      <c r="J30" s="8">
        <f>IF(A30="","",SUMPRODUCT(MAX(('Recipe Ingredients'!$A$5:$A$1204=A30)*'Recipe Ingredients'!$H$5:$H$1204)))</f>
        <v>0</v>
      </c>
      <c r="K30" s="8">
        <f>IF(OR(A30="",E30="",E30=0),"",IFERROR(J30/E30,""))</f>
        <v>0</v>
      </c>
      <c r="L30" s="8">
        <f>IF(OR(A30="",F30=""),"",IFERROR(F30-AVERAGE($F$5:$F$204),""))</f>
        <v>0</v>
      </c>
      <c r="M30" s="8">
        <f>IF(OR(A30="",F30=""),"",IF(F30&lt;=Weekly_Budget/21,"Within budget","Over budget"))</f>
        <v>0</v>
      </c>
      <c r="N30" s="8">
        <f>IF(A30="","",IFERROR(INDEX(Recipes!$H$5:$H$204,MATCH(A30,Recipes!$A$5:$A$204,0)),""))</f>
        <v>0</v>
      </c>
      <c r="O30" s="8">
        <f>IF(A30="","",IFERROR(INDEX(Recipes!$S$5:$S$204,MATCH(A30,Recipes!$A$5:$A$204,0)),""))</f>
        <v>0</v>
      </c>
      <c r="P30" s="8">
        <f>IF(A30="","",IFERROR(INDEX(Recipes!$T$5:$T$204,MATCH(A30,Recipes!$A$5:$A$204,0)),""))</f>
        <v>0</v>
      </c>
      <c r="Q30" s="8">
        <f>IF(OR(A30="",F30=""),"",F30*7*3)</f>
        <v>0</v>
      </c>
      <c r="R30" s="25"/>
    </row>
    <row r="31" spans="1:18">
      <c r="A31" s="7"/>
      <c r="B31" s="8">
        <f>IF(A31="","",IFERROR(INDEX(Recipes!$B$5:$B$204,MATCH(A31,Recipes!$A$5:$A$204,0)),""))</f>
        <v>0</v>
      </c>
      <c r="C31" s="8">
        <f>IF(A31="","",IFERROR(INDEX(Recipes!$D$5:$D$204,MATCH(A31,Recipes!$A$5:$A$204,0)),""))</f>
        <v>0</v>
      </c>
      <c r="D31" s="8">
        <f>IF(A31="","",COUNTIFS('Recipe Ingredients'!$A$5:$A$1204,A31))</f>
        <v>0</v>
      </c>
      <c r="E31" s="8">
        <f>IF(A31="","",SUMIFS('Recipe Ingredients'!$H$5:$H$1204,'Recipe Ingredients'!$A$5:$A$1204,A31))</f>
        <v>0</v>
      </c>
      <c r="F31" s="8">
        <f>IF(A31="","",IFERROR(INDEX(Recipes!$Q$5:$Q$204,MATCH(A31,Recipes!$A$5:$A$204,0)),""))</f>
        <v>0</v>
      </c>
      <c r="G31" s="8">
        <f>IF(OR(A31="",N31="",N31=0),"",IFERROR(F31/N31*100,""))</f>
        <v>0</v>
      </c>
      <c r="H31" s="8">
        <f>IF(OR(A31="",F31=""),"",COUNTIFS($F$5:$F$204,"&lt;"&amp;F31)+1)</f>
        <v>0</v>
      </c>
      <c r="I31" s="8">
        <f>IF(A31="","",IFERROR(INDEX('Recipe Ingredients'!$B$5:$B$1204,MATCH(1,INDEX(('Recipe Ingredients'!$A$5:$A$1204=A31)*('Recipe Ingredients'!$H$5:$H$1204=J31),0),0)),""))</f>
        <v>0</v>
      </c>
      <c r="J31" s="8">
        <f>IF(A31="","",SUMPRODUCT(MAX(('Recipe Ingredients'!$A$5:$A$1204=A31)*'Recipe Ingredients'!$H$5:$H$1204)))</f>
        <v>0</v>
      </c>
      <c r="K31" s="8">
        <f>IF(OR(A31="",E31="",E31=0),"",IFERROR(J31/E31,""))</f>
        <v>0</v>
      </c>
      <c r="L31" s="8">
        <f>IF(OR(A31="",F31=""),"",IFERROR(F31-AVERAGE($F$5:$F$204),""))</f>
        <v>0</v>
      </c>
      <c r="M31" s="8">
        <f>IF(OR(A31="",F31=""),"",IF(F31&lt;=Weekly_Budget/21,"Within budget","Over budget"))</f>
        <v>0</v>
      </c>
      <c r="N31" s="8">
        <f>IF(A31="","",IFERROR(INDEX(Recipes!$H$5:$H$204,MATCH(A31,Recipes!$A$5:$A$204,0)),""))</f>
        <v>0</v>
      </c>
      <c r="O31" s="8">
        <f>IF(A31="","",IFERROR(INDEX(Recipes!$S$5:$S$204,MATCH(A31,Recipes!$A$5:$A$204,0)),""))</f>
        <v>0</v>
      </c>
      <c r="P31" s="8">
        <f>IF(A31="","",IFERROR(INDEX(Recipes!$T$5:$T$204,MATCH(A31,Recipes!$A$5:$A$204,0)),""))</f>
        <v>0</v>
      </c>
      <c r="Q31" s="8">
        <f>IF(OR(A31="",F31=""),"",F31*7*3)</f>
        <v>0</v>
      </c>
      <c r="R31" s="25"/>
    </row>
    <row r="32" spans="1:18">
      <c r="A32" s="7"/>
      <c r="B32" s="8">
        <f>IF(A32="","",IFERROR(INDEX(Recipes!$B$5:$B$204,MATCH(A32,Recipes!$A$5:$A$204,0)),""))</f>
        <v>0</v>
      </c>
      <c r="C32" s="8">
        <f>IF(A32="","",IFERROR(INDEX(Recipes!$D$5:$D$204,MATCH(A32,Recipes!$A$5:$A$204,0)),""))</f>
        <v>0</v>
      </c>
      <c r="D32" s="8">
        <f>IF(A32="","",COUNTIFS('Recipe Ingredients'!$A$5:$A$1204,A32))</f>
        <v>0</v>
      </c>
      <c r="E32" s="8">
        <f>IF(A32="","",SUMIFS('Recipe Ingredients'!$H$5:$H$1204,'Recipe Ingredients'!$A$5:$A$1204,A32))</f>
        <v>0</v>
      </c>
      <c r="F32" s="8">
        <f>IF(A32="","",IFERROR(INDEX(Recipes!$Q$5:$Q$204,MATCH(A32,Recipes!$A$5:$A$204,0)),""))</f>
        <v>0</v>
      </c>
      <c r="G32" s="8">
        <f>IF(OR(A32="",N32="",N32=0),"",IFERROR(F32/N32*100,""))</f>
        <v>0</v>
      </c>
      <c r="H32" s="8">
        <f>IF(OR(A32="",F32=""),"",COUNTIFS($F$5:$F$204,"&lt;"&amp;F32)+1)</f>
        <v>0</v>
      </c>
      <c r="I32" s="8">
        <f>IF(A32="","",IFERROR(INDEX('Recipe Ingredients'!$B$5:$B$1204,MATCH(1,INDEX(('Recipe Ingredients'!$A$5:$A$1204=A32)*('Recipe Ingredients'!$H$5:$H$1204=J32),0),0)),""))</f>
        <v>0</v>
      </c>
      <c r="J32" s="8">
        <f>IF(A32="","",SUMPRODUCT(MAX(('Recipe Ingredients'!$A$5:$A$1204=A32)*'Recipe Ingredients'!$H$5:$H$1204)))</f>
        <v>0</v>
      </c>
      <c r="K32" s="8">
        <f>IF(OR(A32="",E32="",E32=0),"",IFERROR(J32/E32,""))</f>
        <v>0</v>
      </c>
      <c r="L32" s="8">
        <f>IF(OR(A32="",F32=""),"",IFERROR(F32-AVERAGE($F$5:$F$204),""))</f>
        <v>0</v>
      </c>
      <c r="M32" s="8">
        <f>IF(OR(A32="",F32=""),"",IF(F32&lt;=Weekly_Budget/21,"Within budget","Over budget"))</f>
        <v>0</v>
      </c>
      <c r="N32" s="8">
        <f>IF(A32="","",IFERROR(INDEX(Recipes!$H$5:$H$204,MATCH(A32,Recipes!$A$5:$A$204,0)),""))</f>
        <v>0</v>
      </c>
      <c r="O32" s="8">
        <f>IF(A32="","",IFERROR(INDEX(Recipes!$S$5:$S$204,MATCH(A32,Recipes!$A$5:$A$204,0)),""))</f>
        <v>0</v>
      </c>
      <c r="P32" s="8">
        <f>IF(A32="","",IFERROR(INDEX(Recipes!$T$5:$T$204,MATCH(A32,Recipes!$A$5:$A$204,0)),""))</f>
        <v>0</v>
      </c>
      <c r="Q32" s="8">
        <f>IF(OR(A32="",F32=""),"",F32*7*3)</f>
        <v>0</v>
      </c>
      <c r="R32" s="25"/>
    </row>
    <row r="33" spans="1:18">
      <c r="A33" s="7"/>
      <c r="B33" s="8">
        <f>IF(A33="","",IFERROR(INDEX(Recipes!$B$5:$B$204,MATCH(A33,Recipes!$A$5:$A$204,0)),""))</f>
        <v>0</v>
      </c>
      <c r="C33" s="8">
        <f>IF(A33="","",IFERROR(INDEX(Recipes!$D$5:$D$204,MATCH(A33,Recipes!$A$5:$A$204,0)),""))</f>
        <v>0</v>
      </c>
      <c r="D33" s="8">
        <f>IF(A33="","",COUNTIFS('Recipe Ingredients'!$A$5:$A$1204,A33))</f>
        <v>0</v>
      </c>
      <c r="E33" s="8">
        <f>IF(A33="","",SUMIFS('Recipe Ingredients'!$H$5:$H$1204,'Recipe Ingredients'!$A$5:$A$1204,A33))</f>
        <v>0</v>
      </c>
      <c r="F33" s="8">
        <f>IF(A33="","",IFERROR(INDEX(Recipes!$Q$5:$Q$204,MATCH(A33,Recipes!$A$5:$A$204,0)),""))</f>
        <v>0</v>
      </c>
      <c r="G33" s="8">
        <f>IF(OR(A33="",N33="",N33=0),"",IFERROR(F33/N33*100,""))</f>
        <v>0</v>
      </c>
      <c r="H33" s="8">
        <f>IF(OR(A33="",F33=""),"",COUNTIFS($F$5:$F$204,"&lt;"&amp;F33)+1)</f>
        <v>0</v>
      </c>
      <c r="I33" s="8">
        <f>IF(A33="","",IFERROR(INDEX('Recipe Ingredients'!$B$5:$B$1204,MATCH(1,INDEX(('Recipe Ingredients'!$A$5:$A$1204=A33)*('Recipe Ingredients'!$H$5:$H$1204=J33),0),0)),""))</f>
        <v>0</v>
      </c>
      <c r="J33" s="8">
        <f>IF(A33="","",SUMPRODUCT(MAX(('Recipe Ingredients'!$A$5:$A$1204=A33)*'Recipe Ingredients'!$H$5:$H$1204)))</f>
        <v>0</v>
      </c>
      <c r="K33" s="8">
        <f>IF(OR(A33="",E33="",E33=0),"",IFERROR(J33/E33,""))</f>
        <v>0</v>
      </c>
      <c r="L33" s="8">
        <f>IF(OR(A33="",F33=""),"",IFERROR(F33-AVERAGE($F$5:$F$204),""))</f>
        <v>0</v>
      </c>
      <c r="M33" s="8">
        <f>IF(OR(A33="",F33=""),"",IF(F33&lt;=Weekly_Budget/21,"Within budget","Over budget"))</f>
        <v>0</v>
      </c>
      <c r="N33" s="8">
        <f>IF(A33="","",IFERROR(INDEX(Recipes!$H$5:$H$204,MATCH(A33,Recipes!$A$5:$A$204,0)),""))</f>
        <v>0</v>
      </c>
      <c r="O33" s="8">
        <f>IF(A33="","",IFERROR(INDEX(Recipes!$S$5:$S$204,MATCH(A33,Recipes!$A$5:$A$204,0)),""))</f>
        <v>0</v>
      </c>
      <c r="P33" s="8">
        <f>IF(A33="","",IFERROR(INDEX(Recipes!$T$5:$T$204,MATCH(A33,Recipes!$A$5:$A$204,0)),""))</f>
        <v>0</v>
      </c>
      <c r="Q33" s="8">
        <f>IF(OR(A33="",F33=""),"",F33*7*3)</f>
        <v>0</v>
      </c>
      <c r="R33" s="25"/>
    </row>
    <row r="34" spans="1:18">
      <c r="A34" s="7"/>
      <c r="B34" s="8">
        <f>IF(A34="","",IFERROR(INDEX(Recipes!$B$5:$B$204,MATCH(A34,Recipes!$A$5:$A$204,0)),""))</f>
        <v>0</v>
      </c>
      <c r="C34" s="8">
        <f>IF(A34="","",IFERROR(INDEX(Recipes!$D$5:$D$204,MATCH(A34,Recipes!$A$5:$A$204,0)),""))</f>
        <v>0</v>
      </c>
      <c r="D34" s="8">
        <f>IF(A34="","",COUNTIFS('Recipe Ingredients'!$A$5:$A$1204,A34))</f>
        <v>0</v>
      </c>
      <c r="E34" s="8">
        <f>IF(A34="","",SUMIFS('Recipe Ingredients'!$H$5:$H$1204,'Recipe Ingredients'!$A$5:$A$1204,A34))</f>
        <v>0</v>
      </c>
      <c r="F34" s="8">
        <f>IF(A34="","",IFERROR(INDEX(Recipes!$Q$5:$Q$204,MATCH(A34,Recipes!$A$5:$A$204,0)),""))</f>
        <v>0</v>
      </c>
      <c r="G34" s="8">
        <f>IF(OR(A34="",N34="",N34=0),"",IFERROR(F34/N34*100,""))</f>
        <v>0</v>
      </c>
      <c r="H34" s="8">
        <f>IF(OR(A34="",F34=""),"",COUNTIFS($F$5:$F$204,"&lt;"&amp;F34)+1)</f>
        <v>0</v>
      </c>
      <c r="I34" s="8">
        <f>IF(A34="","",IFERROR(INDEX('Recipe Ingredients'!$B$5:$B$1204,MATCH(1,INDEX(('Recipe Ingredients'!$A$5:$A$1204=A34)*('Recipe Ingredients'!$H$5:$H$1204=J34),0),0)),""))</f>
        <v>0</v>
      </c>
      <c r="J34" s="8">
        <f>IF(A34="","",SUMPRODUCT(MAX(('Recipe Ingredients'!$A$5:$A$1204=A34)*'Recipe Ingredients'!$H$5:$H$1204)))</f>
        <v>0</v>
      </c>
      <c r="K34" s="8">
        <f>IF(OR(A34="",E34="",E34=0),"",IFERROR(J34/E34,""))</f>
        <v>0</v>
      </c>
      <c r="L34" s="8">
        <f>IF(OR(A34="",F34=""),"",IFERROR(F34-AVERAGE($F$5:$F$204),""))</f>
        <v>0</v>
      </c>
      <c r="M34" s="8">
        <f>IF(OR(A34="",F34=""),"",IF(F34&lt;=Weekly_Budget/21,"Within budget","Over budget"))</f>
        <v>0</v>
      </c>
      <c r="N34" s="8">
        <f>IF(A34="","",IFERROR(INDEX(Recipes!$H$5:$H$204,MATCH(A34,Recipes!$A$5:$A$204,0)),""))</f>
        <v>0</v>
      </c>
      <c r="O34" s="8">
        <f>IF(A34="","",IFERROR(INDEX(Recipes!$S$5:$S$204,MATCH(A34,Recipes!$A$5:$A$204,0)),""))</f>
        <v>0</v>
      </c>
      <c r="P34" s="8">
        <f>IF(A34="","",IFERROR(INDEX(Recipes!$T$5:$T$204,MATCH(A34,Recipes!$A$5:$A$204,0)),""))</f>
        <v>0</v>
      </c>
      <c r="Q34" s="8">
        <f>IF(OR(A34="",F34=""),"",F34*7*3)</f>
        <v>0</v>
      </c>
      <c r="R34" s="25"/>
    </row>
    <row r="35" spans="1:18">
      <c r="A35" s="7"/>
      <c r="B35" s="8">
        <f>IF(A35="","",IFERROR(INDEX(Recipes!$B$5:$B$204,MATCH(A35,Recipes!$A$5:$A$204,0)),""))</f>
        <v>0</v>
      </c>
      <c r="C35" s="8">
        <f>IF(A35="","",IFERROR(INDEX(Recipes!$D$5:$D$204,MATCH(A35,Recipes!$A$5:$A$204,0)),""))</f>
        <v>0</v>
      </c>
      <c r="D35" s="8">
        <f>IF(A35="","",COUNTIFS('Recipe Ingredients'!$A$5:$A$1204,A35))</f>
        <v>0</v>
      </c>
      <c r="E35" s="8">
        <f>IF(A35="","",SUMIFS('Recipe Ingredients'!$H$5:$H$1204,'Recipe Ingredients'!$A$5:$A$1204,A35))</f>
        <v>0</v>
      </c>
      <c r="F35" s="8">
        <f>IF(A35="","",IFERROR(INDEX(Recipes!$Q$5:$Q$204,MATCH(A35,Recipes!$A$5:$A$204,0)),""))</f>
        <v>0</v>
      </c>
      <c r="G35" s="8">
        <f>IF(OR(A35="",N35="",N35=0),"",IFERROR(F35/N35*100,""))</f>
        <v>0</v>
      </c>
      <c r="H35" s="8">
        <f>IF(OR(A35="",F35=""),"",COUNTIFS($F$5:$F$204,"&lt;"&amp;F35)+1)</f>
        <v>0</v>
      </c>
      <c r="I35" s="8">
        <f>IF(A35="","",IFERROR(INDEX('Recipe Ingredients'!$B$5:$B$1204,MATCH(1,INDEX(('Recipe Ingredients'!$A$5:$A$1204=A35)*('Recipe Ingredients'!$H$5:$H$1204=J35),0),0)),""))</f>
        <v>0</v>
      </c>
      <c r="J35" s="8">
        <f>IF(A35="","",SUMPRODUCT(MAX(('Recipe Ingredients'!$A$5:$A$1204=A35)*'Recipe Ingredients'!$H$5:$H$1204)))</f>
        <v>0</v>
      </c>
      <c r="K35" s="8">
        <f>IF(OR(A35="",E35="",E35=0),"",IFERROR(J35/E35,""))</f>
        <v>0</v>
      </c>
      <c r="L35" s="8">
        <f>IF(OR(A35="",F35=""),"",IFERROR(F35-AVERAGE($F$5:$F$204),""))</f>
        <v>0</v>
      </c>
      <c r="M35" s="8">
        <f>IF(OR(A35="",F35=""),"",IF(F35&lt;=Weekly_Budget/21,"Within budget","Over budget"))</f>
        <v>0</v>
      </c>
      <c r="N35" s="8">
        <f>IF(A35="","",IFERROR(INDEX(Recipes!$H$5:$H$204,MATCH(A35,Recipes!$A$5:$A$204,0)),""))</f>
        <v>0</v>
      </c>
      <c r="O35" s="8">
        <f>IF(A35="","",IFERROR(INDEX(Recipes!$S$5:$S$204,MATCH(A35,Recipes!$A$5:$A$204,0)),""))</f>
        <v>0</v>
      </c>
      <c r="P35" s="8">
        <f>IF(A35="","",IFERROR(INDEX(Recipes!$T$5:$T$204,MATCH(A35,Recipes!$A$5:$A$204,0)),""))</f>
        <v>0</v>
      </c>
      <c r="Q35" s="8">
        <f>IF(OR(A35="",F35=""),"",F35*7*3)</f>
        <v>0</v>
      </c>
      <c r="R35" s="25"/>
    </row>
    <row r="36" spans="1:18">
      <c r="A36" s="7"/>
      <c r="B36" s="8">
        <f>IF(A36="","",IFERROR(INDEX(Recipes!$B$5:$B$204,MATCH(A36,Recipes!$A$5:$A$204,0)),""))</f>
        <v>0</v>
      </c>
      <c r="C36" s="8">
        <f>IF(A36="","",IFERROR(INDEX(Recipes!$D$5:$D$204,MATCH(A36,Recipes!$A$5:$A$204,0)),""))</f>
        <v>0</v>
      </c>
      <c r="D36" s="8">
        <f>IF(A36="","",COUNTIFS('Recipe Ingredients'!$A$5:$A$1204,A36))</f>
        <v>0</v>
      </c>
      <c r="E36" s="8">
        <f>IF(A36="","",SUMIFS('Recipe Ingredients'!$H$5:$H$1204,'Recipe Ingredients'!$A$5:$A$1204,A36))</f>
        <v>0</v>
      </c>
      <c r="F36" s="8">
        <f>IF(A36="","",IFERROR(INDEX(Recipes!$Q$5:$Q$204,MATCH(A36,Recipes!$A$5:$A$204,0)),""))</f>
        <v>0</v>
      </c>
      <c r="G36" s="8">
        <f>IF(OR(A36="",N36="",N36=0),"",IFERROR(F36/N36*100,""))</f>
        <v>0</v>
      </c>
      <c r="H36" s="8">
        <f>IF(OR(A36="",F36=""),"",COUNTIFS($F$5:$F$204,"&lt;"&amp;F36)+1)</f>
        <v>0</v>
      </c>
      <c r="I36" s="8">
        <f>IF(A36="","",IFERROR(INDEX('Recipe Ingredients'!$B$5:$B$1204,MATCH(1,INDEX(('Recipe Ingredients'!$A$5:$A$1204=A36)*('Recipe Ingredients'!$H$5:$H$1204=J36),0),0)),""))</f>
        <v>0</v>
      </c>
      <c r="J36" s="8">
        <f>IF(A36="","",SUMPRODUCT(MAX(('Recipe Ingredients'!$A$5:$A$1204=A36)*'Recipe Ingredients'!$H$5:$H$1204)))</f>
        <v>0</v>
      </c>
      <c r="K36" s="8">
        <f>IF(OR(A36="",E36="",E36=0),"",IFERROR(J36/E36,""))</f>
        <v>0</v>
      </c>
      <c r="L36" s="8">
        <f>IF(OR(A36="",F36=""),"",IFERROR(F36-AVERAGE($F$5:$F$204),""))</f>
        <v>0</v>
      </c>
      <c r="M36" s="8">
        <f>IF(OR(A36="",F36=""),"",IF(F36&lt;=Weekly_Budget/21,"Within budget","Over budget"))</f>
        <v>0</v>
      </c>
      <c r="N36" s="8">
        <f>IF(A36="","",IFERROR(INDEX(Recipes!$H$5:$H$204,MATCH(A36,Recipes!$A$5:$A$204,0)),""))</f>
        <v>0</v>
      </c>
      <c r="O36" s="8">
        <f>IF(A36="","",IFERROR(INDEX(Recipes!$S$5:$S$204,MATCH(A36,Recipes!$A$5:$A$204,0)),""))</f>
        <v>0</v>
      </c>
      <c r="P36" s="8">
        <f>IF(A36="","",IFERROR(INDEX(Recipes!$T$5:$T$204,MATCH(A36,Recipes!$A$5:$A$204,0)),""))</f>
        <v>0</v>
      </c>
      <c r="Q36" s="8">
        <f>IF(OR(A36="",F36=""),"",F36*7*3)</f>
        <v>0</v>
      </c>
      <c r="R36" s="25"/>
    </row>
    <row r="37" spans="1:18">
      <c r="A37" s="7"/>
      <c r="B37" s="8">
        <f>IF(A37="","",IFERROR(INDEX(Recipes!$B$5:$B$204,MATCH(A37,Recipes!$A$5:$A$204,0)),""))</f>
        <v>0</v>
      </c>
      <c r="C37" s="8">
        <f>IF(A37="","",IFERROR(INDEX(Recipes!$D$5:$D$204,MATCH(A37,Recipes!$A$5:$A$204,0)),""))</f>
        <v>0</v>
      </c>
      <c r="D37" s="8">
        <f>IF(A37="","",COUNTIFS('Recipe Ingredients'!$A$5:$A$1204,A37))</f>
        <v>0</v>
      </c>
      <c r="E37" s="8">
        <f>IF(A37="","",SUMIFS('Recipe Ingredients'!$H$5:$H$1204,'Recipe Ingredients'!$A$5:$A$1204,A37))</f>
        <v>0</v>
      </c>
      <c r="F37" s="8">
        <f>IF(A37="","",IFERROR(INDEX(Recipes!$Q$5:$Q$204,MATCH(A37,Recipes!$A$5:$A$204,0)),""))</f>
        <v>0</v>
      </c>
      <c r="G37" s="8">
        <f>IF(OR(A37="",N37="",N37=0),"",IFERROR(F37/N37*100,""))</f>
        <v>0</v>
      </c>
      <c r="H37" s="8">
        <f>IF(OR(A37="",F37=""),"",COUNTIFS($F$5:$F$204,"&lt;"&amp;F37)+1)</f>
        <v>0</v>
      </c>
      <c r="I37" s="8">
        <f>IF(A37="","",IFERROR(INDEX('Recipe Ingredients'!$B$5:$B$1204,MATCH(1,INDEX(('Recipe Ingredients'!$A$5:$A$1204=A37)*('Recipe Ingredients'!$H$5:$H$1204=J37),0),0)),""))</f>
        <v>0</v>
      </c>
      <c r="J37" s="8">
        <f>IF(A37="","",SUMPRODUCT(MAX(('Recipe Ingredients'!$A$5:$A$1204=A37)*'Recipe Ingredients'!$H$5:$H$1204)))</f>
        <v>0</v>
      </c>
      <c r="K37" s="8">
        <f>IF(OR(A37="",E37="",E37=0),"",IFERROR(J37/E37,""))</f>
        <v>0</v>
      </c>
      <c r="L37" s="8">
        <f>IF(OR(A37="",F37=""),"",IFERROR(F37-AVERAGE($F$5:$F$204),""))</f>
        <v>0</v>
      </c>
      <c r="M37" s="8">
        <f>IF(OR(A37="",F37=""),"",IF(F37&lt;=Weekly_Budget/21,"Within budget","Over budget"))</f>
        <v>0</v>
      </c>
      <c r="N37" s="8">
        <f>IF(A37="","",IFERROR(INDEX(Recipes!$H$5:$H$204,MATCH(A37,Recipes!$A$5:$A$204,0)),""))</f>
        <v>0</v>
      </c>
      <c r="O37" s="8">
        <f>IF(A37="","",IFERROR(INDEX(Recipes!$S$5:$S$204,MATCH(A37,Recipes!$A$5:$A$204,0)),""))</f>
        <v>0</v>
      </c>
      <c r="P37" s="8">
        <f>IF(A37="","",IFERROR(INDEX(Recipes!$T$5:$T$204,MATCH(A37,Recipes!$A$5:$A$204,0)),""))</f>
        <v>0</v>
      </c>
      <c r="Q37" s="8">
        <f>IF(OR(A37="",F37=""),"",F37*7*3)</f>
        <v>0</v>
      </c>
      <c r="R37" s="25"/>
    </row>
    <row r="38" spans="1:18">
      <c r="A38" s="7"/>
      <c r="B38" s="8">
        <f>IF(A38="","",IFERROR(INDEX(Recipes!$B$5:$B$204,MATCH(A38,Recipes!$A$5:$A$204,0)),""))</f>
        <v>0</v>
      </c>
      <c r="C38" s="8">
        <f>IF(A38="","",IFERROR(INDEX(Recipes!$D$5:$D$204,MATCH(A38,Recipes!$A$5:$A$204,0)),""))</f>
        <v>0</v>
      </c>
      <c r="D38" s="8">
        <f>IF(A38="","",COUNTIFS('Recipe Ingredients'!$A$5:$A$1204,A38))</f>
        <v>0</v>
      </c>
      <c r="E38" s="8">
        <f>IF(A38="","",SUMIFS('Recipe Ingredients'!$H$5:$H$1204,'Recipe Ingredients'!$A$5:$A$1204,A38))</f>
        <v>0</v>
      </c>
      <c r="F38" s="8">
        <f>IF(A38="","",IFERROR(INDEX(Recipes!$Q$5:$Q$204,MATCH(A38,Recipes!$A$5:$A$204,0)),""))</f>
        <v>0</v>
      </c>
      <c r="G38" s="8">
        <f>IF(OR(A38="",N38="",N38=0),"",IFERROR(F38/N38*100,""))</f>
        <v>0</v>
      </c>
      <c r="H38" s="8">
        <f>IF(OR(A38="",F38=""),"",COUNTIFS($F$5:$F$204,"&lt;"&amp;F38)+1)</f>
        <v>0</v>
      </c>
      <c r="I38" s="8">
        <f>IF(A38="","",IFERROR(INDEX('Recipe Ingredients'!$B$5:$B$1204,MATCH(1,INDEX(('Recipe Ingredients'!$A$5:$A$1204=A38)*('Recipe Ingredients'!$H$5:$H$1204=J38),0),0)),""))</f>
        <v>0</v>
      </c>
      <c r="J38" s="8">
        <f>IF(A38="","",SUMPRODUCT(MAX(('Recipe Ingredients'!$A$5:$A$1204=A38)*'Recipe Ingredients'!$H$5:$H$1204)))</f>
        <v>0</v>
      </c>
      <c r="K38" s="8">
        <f>IF(OR(A38="",E38="",E38=0),"",IFERROR(J38/E38,""))</f>
        <v>0</v>
      </c>
      <c r="L38" s="8">
        <f>IF(OR(A38="",F38=""),"",IFERROR(F38-AVERAGE($F$5:$F$204),""))</f>
        <v>0</v>
      </c>
      <c r="M38" s="8">
        <f>IF(OR(A38="",F38=""),"",IF(F38&lt;=Weekly_Budget/21,"Within budget","Over budget"))</f>
        <v>0</v>
      </c>
      <c r="N38" s="8">
        <f>IF(A38="","",IFERROR(INDEX(Recipes!$H$5:$H$204,MATCH(A38,Recipes!$A$5:$A$204,0)),""))</f>
        <v>0</v>
      </c>
      <c r="O38" s="8">
        <f>IF(A38="","",IFERROR(INDEX(Recipes!$S$5:$S$204,MATCH(A38,Recipes!$A$5:$A$204,0)),""))</f>
        <v>0</v>
      </c>
      <c r="P38" s="8">
        <f>IF(A38="","",IFERROR(INDEX(Recipes!$T$5:$T$204,MATCH(A38,Recipes!$A$5:$A$204,0)),""))</f>
        <v>0</v>
      </c>
      <c r="Q38" s="8">
        <f>IF(OR(A38="",F38=""),"",F38*7*3)</f>
        <v>0</v>
      </c>
      <c r="R38" s="25"/>
    </row>
    <row r="39" spans="1:18">
      <c r="A39" s="7"/>
      <c r="B39" s="8">
        <f>IF(A39="","",IFERROR(INDEX(Recipes!$B$5:$B$204,MATCH(A39,Recipes!$A$5:$A$204,0)),""))</f>
        <v>0</v>
      </c>
      <c r="C39" s="8">
        <f>IF(A39="","",IFERROR(INDEX(Recipes!$D$5:$D$204,MATCH(A39,Recipes!$A$5:$A$204,0)),""))</f>
        <v>0</v>
      </c>
      <c r="D39" s="8">
        <f>IF(A39="","",COUNTIFS('Recipe Ingredients'!$A$5:$A$1204,A39))</f>
        <v>0</v>
      </c>
      <c r="E39" s="8">
        <f>IF(A39="","",SUMIFS('Recipe Ingredients'!$H$5:$H$1204,'Recipe Ingredients'!$A$5:$A$1204,A39))</f>
        <v>0</v>
      </c>
      <c r="F39" s="8">
        <f>IF(A39="","",IFERROR(INDEX(Recipes!$Q$5:$Q$204,MATCH(A39,Recipes!$A$5:$A$204,0)),""))</f>
        <v>0</v>
      </c>
      <c r="G39" s="8">
        <f>IF(OR(A39="",N39="",N39=0),"",IFERROR(F39/N39*100,""))</f>
        <v>0</v>
      </c>
      <c r="H39" s="8">
        <f>IF(OR(A39="",F39=""),"",COUNTIFS($F$5:$F$204,"&lt;"&amp;F39)+1)</f>
        <v>0</v>
      </c>
      <c r="I39" s="8">
        <f>IF(A39="","",IFERROR(INDEX('Recipe Ingredients'!$B$5:$B$1204,MATCH(1,INDEX(('Recipe Ingredients'!$A$5:$A$1204=A39)*('Recipe Ingredients'!$H$5:$H$1204=J39),0),0)),""))</f>
        <v>0</v>
      </c>
      <c r="J39" s="8">
        <f>IF(A39="","",SUMPRODUCT(MAX(('Recipe Ingredients'!$A$5:$A$1204=A39)*'Recipe Ingredients'!$H$5:$H$1204)))</f>
        <v>0</v>
      </c>
      <c r="K39" s="8">
        <f>IF(OR(A39="",E39="",E39=0),"",IFERROR(J39/E39,""))</f>
        <v>0</v>
      </c>
      <c r="L39" s="8">
        <f>IF(OR(A39="",F39=""),"",IFERROR(F39-AVERAGE($F$5:$F$204),""))</f>
        <v>0</v>
      </c>
      <c r="M39" s="8">
        <f>IF(OR(A39="",F39=""),"",IF(F39&lt;=Weekly_Budget/21,"Within budget","Over budget"))</f>
        <v>0</v>
      </c>
      <c r="N39" s="8">
        <f>IF(A39="","",IFERROR(INDEX(Recipes!$H$5:$H$204,MATCH(A39,Recipes!$A$5:$A$204,0)),""))</f>
        <v>0</v>
      </c>
      <c r="O39" s="8">
        <f>IF(A39="","",IFERROR(INDEX(Recipes!$S$5:$S$204,MATCH(A39,Recipes!$A$5:$A$204,0)),""))</f>
        <v>0</v>
      </c>
      <c r="P39" s="8">
        <f>IF(A39="","",IFERROR(INDEX(Recipes!$T$5:$T$204,MATCH(A39,Recipes!$A$5:$A$204,0)),""))</f>
        <v>0</v>
      </c>
      <c r="Q39" s="8">
        <f>IF(OR(A39="",F39=""),"",F39*7*3)</f>
        <v>0</v>
      </c>
      <c r="R39" s="25"/>
    </row>
    <row r="40" spans="1:18">
      <c r="A40" s="7"/>
      <c r="B40" s="8">
        <f>IF(A40="","",IFERROR(INDEX(Recipes!$B$5:$B$204,MATCH(A40,Recipes!$A$5:$A$204,0)),""))</f>
        <v>0</v>
      </c>
      <c r="C40" s="8">
        <f>IF(A40="","",IFERROR(INDEX(Recipes!$D$5:$D$204,MATCH(A40,Recipes!$A$5:$A$204,0)),""))</f>
        <v>0</v>
      </c>
      <c r="D40" s="8">
        <f>IF(A40="","",COUNTIFS('Recipe Ingredients'!$A$5:$A$1204,A40))</f>
        <v>0</v>
      </c>
      <c r="E40" s="8">
        <f>IF(A40="","",SUMIFS('Recipe Ingredients'!$H$5:$H$1204,'Recipe Ingredients'!$A$5:$A$1204,A40))</f>
        <v>0</v>
      </c>
      <c r="F40" s="8">
        <f>IF(A40="","",IFERROR(INDEX(Recipes!$Q$5:$Q$204,MATCH(A40,Recipes!$A$5:$A$204,0)),""))</f>
        <v>0</v>
      </c>
      <c r="G40" s="8">
        <f>IF(OR(A40="",N40="",N40=0),"",IFERROR(F40/N40*100,""))</f>
        <v>0</v>
      </c>
      <c r="H40" s="8">
        <f>IF(OR(A40="",F40=""),"",COUNTIFS($F$5:$F$204,"&lt;"&amp;F40)+1)</f>
        <v>0</v>
      </c>
      <c r="I40" s="8">
        <f>IF(A40="","",IFERROR(INDEX('Recipe Ingredients'!$B$5:$B$1204,MATCH(1,INDEX(('Recipe Ingredients'!$A$5:$A$1204=A40)*('Recipe Ingredients'!$H$5:$H$1204=J40),0),0)),""))</f>
        <v>0</v>
      </c>
      <c r="J40" s="8">
        <f>IF(A40="","",SUMPRODUCT(MAX(('Recipe Ingredients'!$A$5:$A$1204=A40)*'Recipe Ingredients'!$H$5:$H$1204)))</f>
        <v>0</v>
      </c>
      <c r="K40" s="8">
        <f>IF(OR(A40="",E40="",E40=0),"",IFERROR(J40/E40,""))</f>
        <v>0</v>
      </c>
      <c r="L40" s="8">
        <f>IF(OR(A40="",F40=""),"",IFERROR(F40-AVERAGE($F$5:$F$204),""))</f>
        <v>0</v>
      </c>
      <c r="M40" s="8">
        <f>IF(OR(A40="",F40=""),"",IF(F40&lt;=Weekly_Budget/21,"Within budget","Over budget"))</f>
        <v>0</v>
      </c>
      <c r="N40" s="8">
        <f>IF(A40="","",IFERROR(INDEX(Recipes!$H$5:$H$204,MATCH(A40,Recipes!$A$5:$A$204,0)),""))</f>
        <v>0</v>
      </c>
      <c r="O40" s="8">
        <f>IF(A40="","",IFERROR(INDEX(Recipes!$S$5:$S$204,MATCH(A40,Recipes!$A$5:$A$204,0)),""))</f>
        <v>0</v>
      </c>
      <c r="P40" s="8">
        <f>IF(A40="","",IFERROR(INDEX(Recipes!$T$5:$T$204,MATCH(A40,Recipes!$A$5:$A$204,0)),""))</f>
        <v>0</v>
      </c>
      <c r="Q40" s="8">
        <f>IF(OR(A40="",F40=""),"",F40*7*3)</f>
        <v>0</v>
      </c>
      <c r="R40" s="25"/>
    </row>
    <row r="41" spans="1:18">
      <c r="A41" s="7"/>
      <c r="B41" s="8">
        <f>IF(A41="","",IFERROR(INDEX(Recipes!$B$5:$B$204,MATCH(A41,Recipes!$A$5:$A$204,0)),""))</f>
        <v>0</v>
      </c>
      <c r="C41" s="8">
        <f>IF(A41="","",IFERROR(INDEX(Recipes!$D$5:$D$204,MATCH(A41,Recipes!$A$5:$A$204,0)),""))</f>
        <v>0</v>
      </c>
      <c r="D41" s="8">
        <f>IF(A41="","",COUNTIFS('Recipe Ingredients'!$A$5:$A$1204,A41))</f>
        <v>0</v>
      </c>
      <c r="E41" s="8">
        <f>IF(A41="","",SUMIFS('Recipe Ingredients'!$H$5:$H$1204,'Recipe Ingredients'!$A$5:$A$1204,A41))</f>
        <v>0</v>
      </c>
      <c r="F41" s="8">
        <f>IF(A41="","",IFERROR(INDEX(Recipes!$Q$5:$Q$204,MATCH(A41,Recipes!$A$5:$A$204,0)),""))</f>
        <v>0</v>
      </c>
      <c r="G41" s="8">
        <f>IF(OR(A41="",N41="",N41=0),"",IFERROR(F41/N41*100,""))</f>
        <v>0</v>
      </c>
      <c r="H41" s="8">
        <f>IF(OR(A41="",F41=""),"",COUNTIFS($F$5:$F$204,"&lt;"&amp;F41)+1)</f>
        <v>0</v>
      </c>
      <c r="I41" s="8">
        <f>IF(A41="","",IFERROR(INDEX('Recipe Ingredients'!$B$5:$B$1204,MATCH(1,INDEX(('Recipe Ingredients'!$A$5:$A$1204=A41)*('Recipe Ingredients'!$H$5:$H$1204=J41),0),0)),""))</f>
        <v>0</v>
      </c>
      <c r="J41" s="8">
        <f>IF(A41="","",SUMPRODUCT(MAX(('Recipe Ingredients'!$A$5:$A$1204=A41)*'Recipe Ingredients'!$H$5:$H$1204)))</f>
        <v>0</v>
      </c>
      <c r="K41" s="8">
        <f>IF(OR(A41="",E41="",E41=0),"",IFERROR(J41/E41,""))</f>
        <v>0</v>
      </c>
      <c r="L41" s="8">
        <f>IF(OR(A41="",F41=""),"",IFERROR(F41-AVERAGE($F$5:$F$204),""))</f>
        <v>0</v>
      </c>
      <c r="M41" s="8">
        <f>IF(OR(A41="",F41=""),"",IF(F41&lt;=Weekly_Budget/21,"Within budget","Over budget"))</f>
        <v>0</v>
      </c>
      <c r="N41" s="8">
        <f>IF(A41="","",IFERROR(INDEX(Recipes!$H$5:$H$204,MATCH(A41,Recipes!$A$5:$A$204,0)),""))</f>
        <v>0</v>
      </c>
      <c r="O41" s="8">
        <f>IF(A41="","",IFERROR(INDEX(Recipes!$S$5:$S$204,MATCH(A41,Recipes!$A$5:$A$204,0)),""))</f>
        <v>0</v>
      </c>
      <c r="P41" s="8">
        <f>IF(A41="","",IFERROR(INDEX(Recipes!$T$5:$T$204,MATCH(A41,Recipes!$A$5:$A$204,0)),""))</f>
        <v>0</v>
      </c>
      <c r="Q41" s="8">
        <f>IF(OR(A41="",F41=""),"",F41*7*3)</f>
        <v>0</v>
      </c>
      <c r="R41" s="25"/>
    </row>
    <row r="42" spans="1:18">
      <c r="A42" s="7"/>
      <c r="B42" s="8">
        <f>IF(A42="","",IFERROR(INDEX(Recipes!$B$5:$B$204,MATCH(A42,Recipes!$A$5:$A$204,0)),""))</f>
        <v>0</v>
      </c>
      <c r="C42" s="8">
        <f>IF(A42="","",IFERROR(INDEX(Recipes!$D$5:$D$204,MATCH(A42,Recipes!$A$5:$A$204,0)),""))</f>
        <v>0</v>
      </c>
      <c r="D42" s="8">
        <f>IF(A42="","",COUNTIFS('Recipe Ingredients'!$A$5:$A$1204,A42))</f>
        <v>0</v>
      </c>
      <c r="E42" s="8">
        <f>IF(A42="","",SUMIFS('Recipe Ingredients'!$H$5:$H$1204,'Recipe Ingredients'!$A$5:$A$1204,A42))</f>
        <v>0</v>
      </c>
      <c r="F42" s="8">
        <f>IF(A42="","",IFERROR(INDEX(Recipes!$Q$5:$Q$204,MATCH(A42,Recipes!$A$5:$A$204,0)),""))</f>
        <v>0</v>
      </c>
      <c r="G42" s="8">
        <f>IF(OR(A42="",N42="",N42=0),"",IFERROR(F42/N42*100,""))</f>
        <v>0</v>
      </c>
      <c r="H42" s="8">
        <f>IF(OR(A42="",F42=""),"",COUNTIFS($F$5:$F$204,"&lt;"&amp;F42)+1)</f>
        <v>0</v>
      </c>
      <c r="I42" s="8">
        <f>IF(A42="","",IFERROR(INDEX('Recipe Ingredients'!$B$5:$B$1204,MATCH(1,INDEX(('Recipe Ingredients'!$A$5:$A$1204=A42)*('Recipe Ingredients'!$H$5:$H$1204=J42),0),0)),""))</f>
        <v>0</v>
      </c>
      <c r="J42" s="8">
        <f>IF(A42="","",SUMPRODUCT(MAX(('Recipe Ingredients'!$A$5:$A$1204=A42)*'Recipe Ingredients'!$H$5:$H$1204)))</f>
        <v>0</v>
      </c>
      <c r="K42" s="8">
        <f>IF(OR(A42="",E42="",E42=0),"",IFERROR(J42/E42,""))</f>
        <v>0</v>
      </c>
      <c r="L42" s="8">
        <f>IF(OR(A42="",F42=""),"",IFERROR(F42-AVERAGE($F$5:$F$204),""))</f>
        <v>0</v>
      </c>
      <c r="M42" s="8">
        <f>IF(OR(A42="",F42=""),"",IF(F42&lt;=Weekly_Budget/21,"Within budget","Over budget"))</f>
        <v>0</v>
      </c>
      <c r="N42" s="8">
        <f>IF(A42="","",IFERROR(INDEX(Recipes!$H$5:$H$204,MATCH(A42,Recipes!$A$5:$A$204,0)),""))</f>
        <v>0</v>
      </c>
      <c r="O42" s="8">
        <f>IF(A42="","",IFERROR(INDEX(Recipes!$S$5:$S$204,MATCH(A42,Recipes!$A$5:$A$204,0)),""))</f>
        <v>0</v>
      </c>
      <c r="P42" s="8">
        <f>IF(A42="","",IFERROR(INDEX(Recipes!$T$5:$T$204,MATCH(A42,Recipes!$A$5:$A$204,0)),""))</f>
        <v>0</v>
      </c>
      <c r="Q42" s="8">
        <f>IF(OR(A42="",F42=""),"",F42*7*3)</f>
        <v>0</v>
      </c>
      <c r="R42" s="25"/>
    </row>
    <row r="43" spans="1:18">
      <c r="A43" s="7"/>
      <c r="B43" s="8">
        <f>IF(A43="","",IFERROR(INDEX(Recipes!$B$5:$B$204,MATCH(A43,Recipes!$A$5:$A$204,0)),""))</f>
        <v>0</v>
      </c>
      <c r="C43" s="8">
        <f>IF(A43="","",IFERROR(INDEX(Recipes!$D$5:$D$204,MATCH(A43,Recipes!$A$5:$A$204,0)),""))</f>
        <v>0</v>
      </c>
      <c r="D43" s="8">
        <f>IF(A43="","",COUNTIFS('Recipe Ingredients'!$A$5:$A$1204,A43))</f>
        <v>0</v>
      </c>
      <c r="E43" s="8">
        <f>IF(A43="","",SUMIFS('Recipe Ingredients'!$H$5:$H$1204,'Recipe Ingredients'!$A$5:$A$1204,A43))</f>
        <v>0</v>
      </c>
      <c r="F43" s="8">
        <f>IF(A43="","",IFERROR(INDEX(Recipes!$Q$5:$Q$204,MATCH(A43,Recipes!$A$5:$A$204,0)),""))</f>
        <v>0</v>
      </c>
      <c r="G43" s="8">
        <f>IF(OR(A43="",N43="",N43=0),"",IFERROR(F43/N43*100,""))</f>
        <v>0</v>
      </c>
      <c r="H43" s="8">
        <f>IF(OR(A43="",F43=""),"",COUNTIFS($F$5:$F$204,"&lt;"&amp;F43)+1)</f>
        <v>0</v>
      </c>
      <c r="I43" s="8">
        <f>IF(A43="","",IFERROR(INDEX('Recipe Ingredients'!$B$5:$B$1204,MATCH(1,INDEX(('Recipe Ingredients'!$A$5:$A$1204=A43)*('Recipe Ingredients'!$H$5:$H$1204=J43),0),0)),""))</f>
        <v>0</v>
      </c>
      <c r="J43" s="8">
        <f>IF(A43="","",SUMPRODUCT(MAX(('Recipe Ingredients'!$A$5:$A$1204=A43)*'Recipe Ingredients'!$H$5:$H$1204)))</f>
        <v>0</v>
      </c>
      <c r="K43" s="8">
        <f>IF(OR(A43="",E43="",E43=0),"",IFERROR(J43/E43,""))</f>
        <v>0</v>
      </c>
      <c r="L43" s="8">
        <f>IF(OR(A43="",F43=""),"",IFERROR(F43-AVERAGE($F$5:$F$204),""))</f>
        <v>0</v>
      </c>
      <c r="M43" s="8">
        <f>IF(OR(A43="",F43=""),"",IF(F43&lt;=Weekly_Budget/21,"Within budget","Over budget"))</f>
        <v>0</v>
      </c>
      <c r="N43" s="8">
        <f>IF(A43="","",IFERROR(INDEX(Recipes!$H$5:$H$204,MATCH(A43,Recipes!$A$5:$A$204,0)),""))</f>
        <v>0</v>
      </c>
      <c r="O43" s="8">
        <f>IF(A43="","",IFERROR(INDEX(Recipes!$S$5:$S$204,MATCH(A43,Recipes!$A$5:$A$204,0)),""))</f>
        <v>0</v>
      </c>
      <c r="P43" s="8">
        <f>IF(A43="","",IFERROR(INDEX(Recipes!$T$5:$T$204,MATCH(A43,Recipes!$A$5:$A$204,0)),""))</f>
        <v>0</v>
      </c>
      <c r="Q43" s="8">
        <f>IF(OR(A43="",F43=""),"",F43*7*3)</f>
        <v>0</v>
      </c>
      <c r="R43" s="25"/>
    </row>
    <row r="44" spans="1:18">
      <c r="A44" s="7"/>
      <c r="B44" s="8">
        <f>IF(A44="","",IFERROR(INDEX(Recipes!$B$5:$B$204,MATCH(A44,Recipes!$A$5:$A$204,0)),""))</f>
        <v>0</v>
      </c>
      <c r="C44" s="8">
        <f>IF(A44="","",IFERROR(INDEX(Recipes!$D$5:$D$204,MATCH(A44,Recipes!$A$5:$A$204,0)),""))</f>
        <v>0</v>
      </c>
      <c r="D44" s="8">
        <f>IF(A44="","",COUNTIFS('Recipe Ingredients'!$A$5:$A$1204,A44))</f>
        <v>0</v>
      </c>
      <c r="E44" s="8">
        <f>IF(A44="","",SUMIFS('Recipe Ingredients'!$H$5:$H$1204,'Recipe Ingredients'!$A$5:$A$1204,A44))</f>
        <v>0</v>
      </c>
      <c r="F44" s="8">
        <f>IF(A44="","",IFERROR(INDEX(Recipes!$Q$5:$Q$204,MATCH(A44,Recipes!$A$5:$A$204,0)),""))</f>
        <v>0</v>
      </c>
      <c r="G44" s="8">
        <f>IF(OR(A44="",N44="",N44=0),"",IFERROR(F44/N44*100,""))</f>
        <v>0</v>
      </c>
      <c r="H44" s="8">
        <f>IF(OR(A44="",F44=""),"",COUNTIFS($F$5:$F$204,"&lt;"&amp;F44)+1)</f>
        <v>0</v>
      </c>
      <c r="I44" s="8">
        <f>IF(A44="","",IFERROR(INDEX('Recipe Ingredients'!$B$5:$B$1204,MATCH(1,INDEX(('Recipe Ingredients'!$A$5:$A$1204=A44)*('Recipe Ingredients'!$H$5:$H$1204=J44),0),0)),""))</f>
        <v>0</v>
      </c>
      <c r="J44" s="8">
        <f>IF(A44="","",SUMPRODUCT(MAX(('Recipe Ingredients'!$A$5:$A$1204=A44)*'Recipe Ingredients'!$H$5:$H$1204)))</f>
        <v>0</v>
      </c>
      <c r="K44" s="8">
        <f>IF(OR(A44="",E44="",E44=0),"",IFERROR(J44/E44,""))</f>
        <v>0</v>
      </c>
      <c r="L44" s="8">
        <f>IF(OR(A44="",F44=""),"",IFERROR(F44-AVERAGE($F$5:$F$204),""))</f>
        <v>0</v>
      </c>
      <c r="M44" s="8">
        <f>IF(OR(A44="",F44=""),"",IF(F44&lt;=Weekly_Budget/21,"Within budget","Over budget"))</f>
        <v>0</v>
      </c>
      <c r="N44" s="8">
        <f>IF(A44="","",IFERROR(INDEX(Recipes!$H$5:$H$204,MATCH(A44,Recipes!$A$5:$A$204,0)),""))</f>
        <v>0</v>
      </c>
      <c r="O44" s="8">
        <f>IF(A44="","",IFERROR(INDEX(Recipes!$S$5:$S$204,MATCH(A44,Recipes!$A$5:$A$204,0)),""))</f>
        <v>0</v>
      </c>
      <c r="P44" s="8">
        <f>IF(A44="","",IFERROR(INDEX(Recipes!$T$5:$T$204,MATCH(A44,Recipes!$A$5:$A$204,0)),""))</f>
        <v>0</v>
      </c>
      <c r="Q44" s="8">
        <f>IF(OR(A44="",F44=""),"",F44*7*3)</f>
        <v>0</v>
      </c>
      <c r="R44" s="25"/>
    </row>
    <row r="45" spans="1:18">
      <c r="A45" s="7"/>
      <c r="B45" s="8">
        <f>IF(A45="","",IFERROR(INDEX(Recipes!$B$5:$B$204,MATCH(A45,Recipes!$A$5:$A$204,0)),""))</f>
        <v>0</v>
      </c>
      <c r="C45" s="8">
        <f>IF(A45="","",IFERROR(INDEX(Recipes!$D$5:$D$204,MATCH(A45,Recipes!$A$5:$A$204,0)),""))</f>
        <v>0</v>
      </c>
      <c r="D45" s="8">
        <f>IF(A45="","",COUNTIFS('Recipe Ingredients'!$A$5:$A$1204,A45))</f>
        <v>0</v>
      </c>
      <c r="E45" s="8">
        <f>IF(A45="","",SUMIFS('Recipe Ingredients'!$H$5:$H$1204,'Recipe Ingredients'!$A$5:$A$1204,A45))</f>
        <v>0</v>
      </c>
      <c r="F45" s="8">
        <f>IF(A45="","",IFERROR(INDEX(Recipes!$Q$5:$Q$204,MATCH(A45,Recipes!$A$5:$A$204,0)),""))</f>
        <v>0</v>
      </c>
      <c r="G45" s="8">
        <f>IF(OR(A45="",N45="",N45=0),"",IFERROR(F45/N45*100,""))</f>
        <v>0</v>
      </c>
      <c r="H45" s="8">
        <f>IF(OR(A45="",F45=""),"",COUNTIFS($F$5:$F$204,"&lt;"&amp;F45)+1)</f>
        <v>0</v>
      </c>
      <c r="I45" s="8">
        <f>IF(A45="","",IFERROR(INDEX('Recipe Ingredients'!$B$5:$B$1204,MATCH(1,INDEX(('Recipe Ingredients'!$A$5:$A$1204=A45)*('Recipe Ingredients'!$H$5:$H$1204=J45),0),0)),""))</f>
        <v>0</v>
      </c>
      <c r="J45" s="8">
        <f>IF(A45="","",SUMPRODUCT(MAX(('Recipe Ingredients'!$A$5:$A$1204=A45)*'Recipe Ingredients'!$H$5:$H$1204)))</f>
        <v>0</v>
      </c>
      <c r="K45" s="8">
        <f>IF(OR(A45="",E45="",E45=0),"",IFERROR(J45/E45,""))</f>
        <v>0</v>
      </c>
      <c r="L45" s="8">
        <f>IF(OR(A45="",F45=""),"",IFERROR(F45-AVERAGE($F$5:$F$204),""))</f>
        <v>0</v>
      </c>
      <c r="M45" s="8">
        <f>IF(OR(A45="",F45=""),"",IF(F45&lt;=Weekly_Budget/21,"Within budget","Over budget"))</f>
        <v>0</v>
      </c>
      <c r="N45" s="8">
        <f>IF(A45="","",IFERROR(INDEX(Recipes!$H$5:$H$204,MATCH(A45,Recipes!$A$5:$A$204,0)),""))</f>
        <v>0</v>
      </c>
      <c r="O45" s="8">
        <f>IF(A45="","",IFERROR(INDEX(Recipes!$S$5:$S$204,MATCH(A45,Recipes!$A$5:$A$204,0)),""))</f>
        <v>0</v>
      </c>
      <c r="P45" s="8">
        <f>IF(A45="","",IFERROR(INDEX(Recipes!$T$5:$T$204,MATCH(A45,Recipes!$A$5:$A$204,0)),""))</f>
        <v>0</v>
      </c>
      <c r="Q45" s="8">
        <f>IF(OR(A45="",F45=""),"",F45*7*3)</f>
        <v>0</v>
      </c>
      <c r="R45" s="25"/>
    </row>
    <row r="46" spans="1:18">
      <c r="A46" s="7"/>
      <c r="B46" s="8">
        <f>IF(A46="","",IFERROR(INDEX(Recipes!$B$5:$B$204,MATCH(A46,Recipes!$A$5:$A$204,0)),""))</f>
        <v>0</v>
      </c>
      <c r="C46" s="8">
        <f>IF(A46="","",IFERROR(INDEX(Recipes!$D$5:$D$204,MATCH(A46,Recipes!$A$5:$A$204,0)),""))</f>
        <v>0</v>
      </c>
      <c r="D46" s="8">
        <f>IF(A46="","",COUNTIFS('Recipe Ingredients'!$A$5:$A$1204,A46))</f>
        <v>0</v>
      </c>
      <c r="E46" s="8">
        <f>IF(A46="","",SUMIFS('Recipe Ingredients'!$H$5:$H$1204,'Recipe Ingredients'!$A$5:$A$1204,A46))</f>
        <v>0</v>
      </c>
      <c r="F46" s="8">
        <f>IF(A46="","",IFERROR(INDEX(Recipes!$Q$5:$Q$204,MATCH(A46,Recipes!$A$5:$A$204,0)),""))</f>
        <v>0</v>
      </c>
      <c r="G46" s="8">
        <f>IF(OR(A46="",N46="",N46=0),"",IFERROR(F46/N46*100,""))</f>
        <v>0</v>
      </c>
      <c r="H46" s="8">
        <f>IF(OR(A46="",F46=""),"",COUNTIFS($F$5:$F$204,"&lt;"&amp;F46)+1)</f>
        <v>0</v>
      </c>
      <c r="I46" s="8">
        <f>IF(A46="","",IFERROR(INDEX('Recipe Ingredients'!$B$5:$B$1204,MATCH(1,INDEX(('Recipe Ingredients'!$A$5:$A$1204=A46)*('Recipe Ingredients'!$H$5:$H$1204=J46),0),0)),""))</f>
        <v>0</v>
      </c>
      <c r="J46" s="8">
        <f>IF(A46="","",SUMPRODUCT(MAX(('Recipe Ingredients'!$A$5:$A$1204=A46)*'Recipe Ingredients'!$H$5:$H$1204)))</f>
        <v>0</v>
      </c>
      <c r="K46" s="8">
        <f>IF(OR(A46="",E46="",E46=0),"",IFERROR(J46/E46,""))</f>
        <v>0</v>
      </c>
      <c r="L46" s="8">
        <f>IF(OR(A46="",F46=""),"",IFERROR(F46-AVERAGE($F$5:$F$204),""))</f>
        <v>0</v>
      </c>
      <c r="M46" s="8">
        <f>IF(OR(A46="",F46=""),"",IF(F46&lt;=Weekly_Budget/21,"Within budget","Over budget"))</f>
        <v>0</v>
      </c>
      <c r="N46" s="8">
        <f>IF(A46="","",IFERROR(INDEX(Recipes!$H$5:$H$204,MATCH(A46,Recipes!$A$5:$A$204,0)),""))</f>
        <v>0</v>
      </c>
      <c r="O46" s="8">
        <f>IF(A46="","",IFERROR(INDEX(Recipes!$S$5:$S$204,MATCH(A46,Recipes!$A$5:$A$204,0)),""))</f>
        <v>0</v>
      </c>
      <c r="P46" s="8">
        <f>IF(A46="","",IFERROR(INDEX(Recipes!$T$5:$T$204,MATCH(A46,Recipes!$A$5:$A$204,0)),""))</f>
        <v>0</v>
      </c>
      <c r="Q46" s="8">
        <f>IF(OR(A46="",F46=""),"",F46*7*3)</f>
        <v>0</v>
      </c>
      <c r="R46" s="25"/>
    </row>
    <row r="47" spans="1:18">
      <c r="A47" s="7"/>
      <c r="B47" s="8">
        <f>IF(A47="","",IFERROR(INDEX(Recipes!$B$5:$B$204,MATCH(A47,Recipes!$A$5:$A$204,0)),""))</f>
        <v>0</v>
      </c>
      <c r="C47" s="8">
        <f>IF(A47="","",IFERROR(INDEX(Recipes!$D$5:$D$204,MATCH(A47,Recipes!$A$5:$A$204,0)),""))</f>
        <v>0</v>
      </c>
      <c r="D47" s="8">
        <f>IF(A47="","",COUNTIFS('Recipe Ingredients'!$A$5:$A$1204,A47))</f>
        <v>0</v>
      </c>
      <c r="E47" s="8">
        <f>IF(A47="","",SUMIFS('Recipe Ingredients'!$H$5:$H$1204,'Recipe Ingredients'!$A$5:$A$1204,A47))</f>
        <v>0</v>
      </c>
      <c r="F47" s="8">
        <f>IF(A47="","",IFERROR(INDEX(Recipes!$Q$5:$Q$204,MATCH(A47,Recipes!$A$5:$A$204,0)),""))</f>
        <v>0</v>
      </c>
      <c r="G47" s="8">
        <f>IF(OR(A47="",N47="",N47=0),"",IFERROR(F47/N47*100,""))</f>
        <v>0</v>
      </c>
      <c r="H47" s="8">
        <f>IF(OR(A47="",F47=""),"",COUNTIFS($F$5:$F$204,"&lt;"&amp;F47)+1)</f>
        <v>0</v>
      </c>
      <c r="I47" s="8">
        <f>IF(A47="","",IFERROR(INDEX('Recipe Ingredients'!$B$5:$B$1204,MATCH(1,INDEX(('Recipe Ingredients'!$A$5:$A$1204=A47)*('Recipe Ingredients'!$H$5:$H$1204=J47),0),0)),""))</f>
        <v>0</v>
      </c>
      <c r="J47" s="8">
        <f>IF(A47="","",SUMPRODUCT(MAX(('Recipe Ingredients'!$A$5:$A$1204=A47)*'Recipe Ingredients'!$H$5:$H$1204)))</f>
        <v>0</v>
      </c>
      <c r="K47" s="8">
        <f>IF(OR(A47="",E47="",E47=0),"",IFERROR(J47/E47,""))</f>
        <v>0</v>
      </c>
      <c r="L47" s="8">
        <f>IF(OR(A47="",F47=""),"",IFERROR(F47-AVERAGE($F$5:$F$204),""))</f>
        <v>0</v>
      </c>
      <c r="M47" s="8">
        <f>IF(OR(A47="",F47=""),"",IF(F47&lt;=Weekly_Budget/21,"Within budget","Over budget"))</f>
        <v>0</v>
      </c>
      <c r="N47" s="8">
        <f>IF(A47="","",IFERROR(INDEX(Recipes!$H$5:$H$204,MATCH(A47,Recipes!$A$5:$A$204,0)),""))</f>
        <v>0</v>
      </c>
      <c r="O47" s="8">
        <f>IF(A47="","",IFERROR(INDEX(Recipes!$S$5:$S$204,MATCH(A47,Recipes!$A$5:$A$204,0)),""))</f>
        <v>0</v>
      </c>
      <c r="P47" s="8">
        <f>IF(A47="","",IFERROR(INDEX(Recipes!$T$5:$T$204,MATCH(A47,Recipes!$A$5:$A$204,0)),""))</f>
        <v>0</v>
      </c>
      <c r="Q47" s="8">
        <f>IF(OR(A47="",F47=""),"",F47*7*3)</f>
        <v>0</v>
      </c>
      <c r="R47" s="25"/>
    </row>
    <row r="48" spans="1:18">
      <c r="A48" s="7"/>
      <c r="B48" s="8">
        <f>IF(A48="","",IFERROR(INDEX(Recipes!$B$5:$B$204,MATCH(A48,Recipes!$A$5:$A$204,0)),""))</f>
        <v>0</v>
      </c>
      <c r="C48" s="8">
        <f>IF(A48="","",IFERROR(INDEX(Recipes!$D$5:$D$204,MATCH(A48,Recipes!$A$5:$A$204,0)),""))</f>
        <v>0</v>
      </c>
      <c r="D48" s="8">
        <f>IF(A48="","",COUNTIFS('Recipe Ingredients'!$A$5:$A$1204,A48))</f>
        <v>0</v>
      </c>
      <c r="E48" s="8">
        <f>IF(A48="","",SUMIFS('Recipe Ingredients'!$H$5:$H$1204,'Recipe Ingredients'!$A$5:$A$1204,A48))</f>
        <v>0</v>
      </c>
      <c r="F48" s="8">
        <f>IF(A48="","",IFERROR(INDEX(Recipes!$Q$5:$Q$204,MATCH(A48,Recipes!$A$5:$A$204,0)),""))</f>
        <v>0</v>
      </c>
      <c r="G48" s="8">
        <f>IF(OR(A48="",N48="",N48=0),"",IFERROR(F48/N48*100,""))</f>
        <v>0</v>
      </c>
      <c r="H48" s="8">
        <f>IF(OR(A48="",F48=""),"",COUNTIFS($F$5:$F$204,"&lt;"&amp;F48)+1)</f>
        <v>0</v>
      </c>
      <c r="I48" s="8">
        <f>IF(A48="","",IFERROR(INDEX('Recipe Ingredients'!$B$5:$B$1204,MATCH(1,INDEX(('Recipe Ingredients'!$A$5:$A$1204=A48)*('Recipe Ingredients'!$H$5:$H$1204=J48),0),0)),""))</f>
        <v>0</v>
      </c>
      <c r="J48" s="8">
        <f>IF(A48="","",SUMPRODUCT(MAX(('Recipe Ingredients'!$A$5:$A$1204=A48)*'Recipe Ingredients'!$H$5:$H$1204)))</f>
        <v>0</v>
      </c>
      <c r="K48" s="8">
        <f>IF(OR(A48="",E48="",E48=0),"",IFERROR(J48/E48,""))</f>
        <v>0</v>
      </c>
      <c r="L48" s="8">
        <f>IF(OR(A48="",F48=""),"",IFERROR(F48-AVERAGE($F$5:$F$204),""))</f>
        <v>0</v>
      </c>
      <c r="M48" s="8">
        <f>IF(OR(A48="",F48=""),"",IF(F48&lt;=Weekly_Budget/21,"Within budget","Over budget"))</f>
        <v>0</v>
      </c>
      <c r="N48" s="8">
        <f>IF(A48="","",IFERROR(INDEX(Recipes!$H$5:$H$204,MATCH(A48,Recipes!$A$5:$A$204,0)),""))</f>
        <v>0</v>
      </c>
      <c r="O48" s="8">
        <f>IF(A48="","",IFERROR(INDEX(Recipes!$S$5:$S$204,MATCH(A48,Recipes!$A$5:$A$204,0)),""))</f>
        <v>0</v>
      </c>
      <c r="P48" s="8">
        <f>IF(A48="","",IFERROR(INDEX(Recipes!$T$5:$T$204,MATCH(A48,Recipes!$A$5:$A$204,0)),""))</f>
        <v>0</v>
      </c>
      <c r="Q48" s="8">
        <f>IF(OR(A48="",F48=""),"",F48*7*3)</f>
        <v>0</v>
      </c>
      <c r="R48" s="25"/>
    </row>
    <row r="49" spans="1:18">
      <c r="A49" s="7"/>
      <c r="B49" s="8">
        <f>IF(A49="","",IFERROR(INDEX(Recipes!$B$5:$B$204,MATCH(A49,Recipes!$A$5:$A$204,0)),""))</f>
        <v>0</v>
      </c>
      <c r="C49" s="8">
        <f>IF(A49="","",IFERROR(INDEX(Recipes!$D$5:$D$204,MATCH(A49,Recipes!$A$5:$A$204,0)),""))</f>
        <v>0</v>
      </c>
      <c r="D49" s="8">
        <f>IF(A49="","",COUNTIFS('Recipe Ingredients'!$A$5:$A$1204,A49))</f>
        <v>0</v>
      </c>
      <c r="E49" s="8">
        <f>IF(A49="","",SUMIFS('Recipe Ingredients'!$H$5:$H$1204,'Recipe Ingredients'!$A$5:$A$1204,A49))</f>
        <v>0</v>
      </c>
      <c r="F49" s="8">
        <f>IF(A49="","",IFERROR(INDEX(Recipes!$Q$5:$Q$204,MATCH(A49,Recipes!$A$5:$A$204,0)),""))</f>
        <v>0</v>
      </c>
      <c r="G49" s="8">
        <f>IF(OR(A49="",N49="",N49=0),"",IFERROR(F49/N49*100,""))</f>
        <v>0</v>
      </c>
      <c r="H49" s="8">
        <f>IF(OR(A49="",F49=""),"",COUNTIFS($F$5:$F$204,"&lt;"&amp;F49)+1)</f>
        <v>0</v>
      </c>
      <c r="I49" s="8">
        <f>IF(A49="","",IFERROR(INDEX('Recipe Ingredients'!$B$5:$B$1204,MATCH(1,INDEX(('Recipe Ingredients'!$A$5:$A$1204=A49)*('Recipe Ingredients'!$H$5:$H$1204=J49),0),0)),""))</f>
        <v>0</v>
      </c>
      <c r="J49" s="8">
        <f>IF(A49="","",SUMPRODUCT(MAX(('Recipe Ingredients'!$A$5:$A$1204=A49)*'Recipe Ingredients'!$H$5:$H$1204)))</f>
        <v>0</v>
      </c>
      <c r="K49" s="8">
        <f>IF(OR(A49="",E49="",E49=0),"",IFERROR(J49/E49,""))</f>
        <v>0</v>
      </c>
      <c r="L49" s="8">
        <f>IF(OR(A49="",F49=""),"",IFERROR(F49-AVERAGE($F$5:$F$204),""))</f>
        <v>0</v>
      </c>
      <c r="M49" s="8">
        <f>IF(OR(A49="",F49=""),"",IF(F49&lt;=Weekly_Budget/21,"Within budget","Over budget"))</f>
        <v>0</v>
      </c>
      <c r="N49" s="8">
        <f>IF(A49="","",IFERROR(INDEX(Recipes!$H$5:$H$204,MATCH(A49,Recipes!$A$5:$A$204,0)),""))</f>
        <v>0</v>
      </c>
      <c r="O49" s="8">
        <f>IF(A49="","",IFERROR(INDEX(Recipes!$S$5:$S$204,MATCH(A49,Recipes!$A$5:$A$204,0)),""))</f>
        <v>0</v>
      </c>
      <c r="P49" s="8">
        <f>IF(A49="","",IFERROR(INDEX(Recipes!$T$5:$T$204,MATCH(A49,Recipes!$A$5:$A$204,0)),""))</f>
        <v>0</v>
      </c>
      <c r="Q49" s="8">
        <f>IF(OR(A49="",F49=""),"",F49*7*3)</f>
        <v>0</v>
      </c>
      <c r="R49" s="25"/>
    </row>
    <row r="50" spans="1:18">
      <c r="A50" s="7"/>
      <c r="B50" s="8">
        <f>IF(A50="","",IFERROR(INDEX(Recipes!$B$5:$B$204,MATCH(A50,Recipes!$A$5:$A$204,0)),""))</f>
        <v>0</v>
      </c>
      <c r="C50" s="8">
        <f>IF(A50="","",IFERROR(INDEX(Recipes!$D$5:$D$204,MATCH(A50,Recipes!$A$5:$A$204,0)),""))</f>
        <v>0</v>
      </c>
      <c r="D50" s="8">
        <f>IF(A50="","",COUNTIFS('Recipe Ingredients'!$A$5:$A$1204,A50))</f>
        <v>0</v>
      </c>
      <c r="E50" s="8">
        <f>IF(A50="","",SUMIFS('Recipe Ingredients'!$H$5:$H$1204,'Recipe Ingredients'!$A$5:$A$1204,A50))</f>
        <v>0</v>
      </c>
      <c r="F50" s="8">
        <f>IF(A50="","",IFERROR(INDEX(Recipes!$Q$5:$Q$204,MATCH(A50,Recipes!$A$5:$A$204,0)),""))</f>
        <v>0</v>
      </c>
      <c r="G50" s="8">
        <f>IF(OR(A50="",N50="",N50=0),"",IFERROR(F50/N50*100,""))</f>
        <v>0</v>
      </c>
      <c r="H50" s="8">
        <f>IF(OR(A50="",F50=""),"",COUNTIFS($F$5:$F$204,"&lt;"&amp;F50)+1)</f>
        <v>0</v>
      </c>
      <c r="I50" s="8">
        <f>IF(A50="","",IFERROR(INDEX('Recipe Ingredients'!$B$5:$B$1204,MATCH(1,INDEX(('Recipe Ingredients'!$A$5:$A$1204=A50)*('Recipe Ingredients'!$H$5:$H$1204=J50),0),0)),""))</f>
        <v>0</v>
      </c>
      <c r="J50" s="8">
        <f>IF(A50="","",SUMPRODUCT(MAX(('Recipe Ingredients'!$A$5:$A$1204=A50)*'Recipe Ingredients'!$H$5:$H$1204)))</f>
        <v>0</v>
      </c>
      <c r="K50" s="8">
        <f>IF(OR(A50="",E50="",E50=0),"",IFERROR(J50/E50,""))</f>
        <v>0</v>
      </c>
      <c r="L50" s="8">
        <f>IF(OR(A50="",F50=""),"",IFERROR(F50-AVERAGE($F$5:$F$204),""))</f>
        <v>0</v>
      </c>
      <c r="M50" s="8">
        <f>IF(OR(A50="",F50=""),"",IF(F50&lt;=Weekly_Budget/21,"Within budget","Over budget"))</f>
        <v>0</v>
      </c>
      <c r="N50" s="8">
        <f>IF(A50="","",IFERROR(INDEX(Recipes!$H$5:$H$204,MATCH(A50,Recipes!$A$5:$A$204,0)),""))</f>
        <v>0</v>
      </c>
      <c r="O50" s="8">
        <f>IF(A50="","",IFERROR(INDEX(Recipes!$S$5:$S$204,MATCH(A50,Recipes!$A$5:$A$204,0)),""))</f>
        <v>0</v>
      </c>
      <c r="P50" s="8">
        <f>IF(A50="","",IFERROR(INDEX(Recipes!$T$5:$T$204,MATCH(A50,Recipes!$A$5:$A$204,0)),""))</f>
        <v>0</v>
      </c>
      <c r="Q50" s="8">
        <f>IF(OR(A50="",F50=""),"",F50*7*3)</f>
        <v>0</v>
      </c>
      <c r="R50" s="25"/>
    </row>
    <row r="51" spans="1:18">
      <c r="A51" s="7"/>
      <c r="B51" s="8">
        <f>IF(A51="","",IFERROR(INDEX(Recipes!$B$5:$B$204,MATCH(A51,Recipes!$A$5:$A$204,0)),""))</f>
        <v>0</v>
      </c>
      <c r="C51" s="8">
        <f>IF(A51="","",IFERROR(INDEX(Recipes!$D$5:$D$204,MATCH(A51,Recipes!$A$5:$A$204,0)),""))</f>
        <v>0</v>
      </c>
      <c r="D51" s="8">
        <f>IF(A51="","",COUNTIFS('Recipe Ingredients'!$A$5:$A$1204,A51))</f>
        <v>0</v>
      </c>
      <c r="E51" s="8">
        <f>IF(A51="","",SUMIFS('Recipe Ingredients'!$H$5:$H$1204,'Recipe Ingredients'!$A$5:$A$1204,A51))</f>
        <v>0</v>
      </c>
      <c r="F51" s="8">
        <f>IF(A51="","",IFERROR(INDEX(Recipes!$Q$5:$Q$204,MATCH(A51,Recipes!$A$5:$A$204,0)),""))</f>
        <v>0</v>
      </c>
      <c r="G51" s="8">
        <f>IF(OR(A51="",N51="",N51=0),"",IFERROR(F51/N51*100,""))</f>
        <v>0</v>
      </c>
      <c r="H51" s="8">
        <f>IF(OR(A51="",F51=""),"",COUNTIFS($F$5:$F$204,"&lt;"&amp;F51)+1)</f>
        <v>0</v>
      </c>
      <c r="I51" s="8">
        <f>IF(A51="","",IFERROR(INDEX('Recipe Ingredients'!$B$5:$B$1204,MATCH(1,INDEX(('Recipe Ingredients'!$A$5:$A$1204=A51)*('Recipe Ingredients'!$H$5:$H$1204=J51),0),0)),""))</f>
        <v>0</v>
      </c>
      <c r="J51" s="8">
        <f>IF(A51="","",SUMPRODUCT(MAX(('Recipe Ingredients'!$A$5:$A$1204=A51)*'Recipe Ingredients'!$H$5:$H$1204)))</f>
        <v>0</v>
      </c>
      <c r="K51" s="8">
        <f>IF(OR(A51="",E51="",E51=0),"",IFERROR(J51/E51,""))</f>
        <v>0</v>
      </c>
      <c r="L51" s="8">
        <f>IF(OR(A51="",F51=""),"",IFERROR(F51-AVERAGE($F$5:$F$204),""))</f>
        <v>0</v>
      </c>
      <c r="M51" s="8">
        <f>IF(OR(A51="",F51=""),"",IF(F51&lt;=Weekly_Budget/21,"Within budget","Over budget"))</f>
        <v>0</v>
      </c>
      <c r="N51" s="8">
        <f>IF(A51="","",IFERROR(INDEX(Recipes!$H$5:$H$204,MATCH(A51,Recipes!$A$5:$A$204,0)),""))</f>
        <v>0</v>
      </c>
      <c r="O51" s="8">
        <f>IF(A51="","",IFERROR(INDEX(Recipes!$S$5:$S$204,MATCH(A51,Recipes!$A$5:$A$204,0)),""))</f>
        <v>0</v>
      </c>
      <c r="P51" s="8">
        <f>IF(A51="","",IFERROR(INDEX(Recipes!$T$5:$T$204,MATCH(A51,Recipes!$A$5:$A$204,0)),""))</f>
        <v>0</v>
      </c>
      <c r="Q51" s="8">
        <f>IF(OR(A51="",F51=""),"",F51*7*3)</f>
        <v>0</v>
      </c>
      <c r="R51" s="25"/>
    </row>
    <row r="52" spans="1:18">
      <c r="A52" s="7"/>
      <c r="B52" s="8">
        <f>IF(A52="","",IFERROR(INDEX(Recipes!$B$5:$B$204,MATCH(A52,Recipes!$A$5:$A$204,0)),""))</f>
        <v>0</v>
      </c>
      <c r="C52" s="8">
        <f>IF(A52="","",IFERROR(INDEX(Recipes!$D$5:$D$204,MATCH(A52,Recipes!$A$5:$A$204,0)),""))</f>
        <v>0</v>
      </c>
      <c r="D52" s="8">
        <f>IF(A52="","",COUNTIFS('Recipe Ingredients'!$A$5:$A$1204,A52))</f>
        <v>0</v>
      </c>
      <c r="E52" s="8">
        <f>IF(A52="","",SUMIFS('Recipe Ingredients'!$H$5:$H$1204,'Recipe Ingredients'!$A$5:$A$1204,A52))</f>
        <v>0</v>
      </c>
      <c r="F52" s="8">
        <f>IF(A52="","",IFERROR(INDEX(Recipes!$Q$5:$Q$204,MATCH(A52,Recipes!$A$5:$A$204,0)),""))</f>
        <v>0</v>
      </c>
      <c r="G52" s="8">
        <f>IF(OR(A52="",N52="",N52=0),"",IFERROR(F52/N52*100,""))</f>
        <v>0</v>
      </c>
      <c r="H52" s="8">
        <f>IF(OR(A52="",F52=""),"",COUNTIFS($F$5:$F$204,"&lt;"&amp;F52)+1)</f>
        <v>0</v>
      </c>
      <c r="I52" s="8">
        <f>IF(A52="","",IFERROR(INDEX('Recipe Ingredients'!$B$5:$B$1204,MATCH(1,INDEX(('Recipe Ingredients'!$A$5:$A$1204=A52)*('Recipe Ingredients'!$H$5:$H$1204=J52),0),0)),""))</f>
        <v>0</v>
      </c>
      <c r="J52" s="8">
        <f>IF(A52="","",SUMPRODUCT(MAX(('Recipe Ingredients'!$A$5:$A$1204=A52)*'Recipe Ingredients'!$H$5:$H$1204)))</f>
        <v>0</v>
      </c>
      <c r="K52" s="8">
        <f>IF(OR(A52="",E52="",E52=0),"",IFERROR(J52/E52,""))</f>
        <v>0</v>
      </c>
      <c r="L52" s="8">
        <f>IF(OR(A52="",F52=""),"",IFERROR(F52-AVERAGE($F$5:$F$204),""))</f>
        <v>0</v>
      </c>
      <c r="M52" s="8">
        <f>IF(OR(A52="",F52=""),"",IF(F52&lt;=Weekly_Budget/21,"Within budget","Over budget"))</f>
        <v>0</v>
      </c>
      <c r="N52" s="8">
        <f>IF(A52="","",IFERROR(INDEX(Recipes!$H$5:$H$204,MATCH(A52,Recipes!$A$5:$A$204,0)),""))</f>
        <v>0</v>
      </c>
      <c r="O52" s="8">
        <f>IF(A52="","",IFERROR(INDEX(Recipes!$S$5:$S$204,MATCH(A52,Recipes!$A$5:$A$204,0)),""))</f>
        <v>0</v>
      </c>
      <c r="P52" s="8">
        <f>IF(A52="","",IFERROR(INDEX(Recipes!$T$5:$T$204,MATCH(A52,Recipes!$A$5:$A$204,0)),""))</f>
        <v>0</v>
      </c>
      <c r="Q52" s="8">
        <f>IF(OR(A52="",F52=""),"",F52*7*3)</f>
        <v>0</v>
      </c>
      <c r="R52" s="25"/>
    </row>
    <row r="53" spans="1:18">
      <c r="A53" s="7"/>
      <c r="B53" s="8">
        <f>IF(A53="","",IFERROR(INDEX(Recipes!$B$5:$B$204,MATCH(A53,Recipes!$A$5:$A$204,0)),""))</f>
        <v>0</v>
      </c>
      <c r="C53" s="8">
        <f>IF(A53="","",IFERROR(INDEX(Recipes!$D$5:$D$204,MATCH(A53,Recipes!$A$5:$A$204,0)),""))</f>
        <v>0</v>
      </c>
      <c r="D53" s="8">
        <f>IF(A53="","",COUNTIFS('Recipe Ingredients'!$A$5:$A$1204,A53))</f>
        <v>0</v>
      </c>
      <c r="E53" s="8">
        <f>IF(A53="","",SUMIFS('Recipe Ingredients'!$H$5:$H$1204,'Recipe Ingredients'!$A$5:$A$1204,A53))</f>
        <v>0</v>
      </c>
      <c r="F53" s="8">
        <f>IF(A53="","",IFERROR(INDEX(Recipes!$Q$5:$Q$204,MATCH(A53,Recipes!$A$5:$A$204,0)),""))</f>
        <v>0</v>
      </c>
      <c r="G53" s="8">
        <f>IF(OR(A53="",N53="",N53=0),"",IFERROR(F53/N53*100,""))</f>
        <v>0</v>
      </c>
      <c r="H53" s="8">
        <f>IF(OR(A53="",F53=""),"",COUNTIFS($F$5:$F$204,"&lt;"&amp;F53)+1)</f>
        <v>0</v>
      </c>
      <c r="I53" s="8">
        <f>IF(A53="","",IFERROR(INDEX('Recipe Ingredients'!$B$5:$B$1204,MATCH(1,INDEX(('Recipe Ingredients'!$A$5:$A$1204=A53)*('Recipe Ingredients'!$H$5:$H$1204=J53),0),0)),""))</f>
        <v>0</v>
      </c>
      <c r="J53" s="8">
        <f>IF(A53="","",SUMPRODUCT(MAX(('Recipe Ingredients'!$A$5:$A$1204=A53)*'Recipe Ingredients'!$H$5:$H$1204)))</f>
        <v>0</v>
      </c>
      <c r="K53" s="8">
        <f>IF(OR(A53="",E53="",E53=0),"",IFERROR(J53/E53,""))</f>
        <v>0</v>
      </c>
      <c r="L53" s="8">
        <f>IF(OR(A53="",F53=""),"",IFERROR(F53-AVERAGE($F$5:$F$204),""))</f>
        <v>0</v>
      </c>
      <c r="M53" s="8">
        <f>IF(OR(A53="",F53=""),"",IF(F53&lt;=Weekly_Budget/21,"Within budget","Over budget"))</f>
        <v>0</v>
      </c>
      <c r="N53" s="8">
        <f>IF(A53="","",IFERROR(INDEX(Recipes!$H$5:$H$204,MATCH(A53,Recipes!$A$5:$A$204,0)),""))</f>
        <v>0</v>
      </c>
      <c r="O53" s="8">
        <f>IF(A53="","",IFERROR(INDEX(Recipes!$S$5:$S$204,MATCH(A53,Recipes!$A$5:$A$204,0)),""))</f>
        <v>0</v>
      </c>
      <c r="P53" s="8">
        <f>IF(A53="","",IFERROR(INDEX(Recipes!$T$5:$T$204,MATCH(A53,Recipes!$A$5:$A$204,0)),""))</f>
        <v>0</v>
      </c>
      <c r="Q53" s="8">
        <f>IF(OR(A53="",F53=""),"",F53*7*3)</f>
        <v>0</v>
      </c>
      <c r="R53" s="25"/>
    </row>
    <row r="54" spans="1:18">
      <c r="A54" s="7"/>
      <c r="B54" s="8">
        <f>IF(A54="","",IFERROR(INDEX(Recipes!$B$5:$B$204,MATCH(A54,Recipes!$A$5:$A$204,0)),""))</f>
        <v>0</v>
      </c>
      <c r="C54" s="8">
        <f>IF(A54="","",IFERROR(INDEX(Recipes!$D$5:$D$204,MATCH(A54,Recipes!$A$5:$A$204,0)),""))</f>
        <v>0</v>
      </c>
      <c r="D54" s="8">
        <f>IF(A54="","",COUNTIFS('Recipe Ingredients'!$A$5:$A$1204,A54))</f>
        <v>0</v>
      </c>
      <c r="E54" s="8">
        <f>IF(A54="","",SUMIFS('Recipe Ingredients'!$H$5:$H$1204,'Recipe Ingredients'!$A$5:$A$1204,A54))</f>
        <v>0</v>
      </c>
      <c r="F54" s="8">
        <f>IF(A54="","",IFERROR(INDEX(Recipes!$Q$5:$Q$204,MATCH(A54,Recipes!$A$5:$A$204,0)),""))</f>
        <v>0</v>
      </c>
      <c r="G54" s="8">
        <f>IF(OR(A54="",N54="",N54=0),"",IFERROR(F54/N54*100,""))</f>
        <v>0</v>
      </c>
      <c r="H54" s="8">
        <f>IF(OR(A54="",F54=""),"",COUNTIFS($F$5:$F$204,"&lt;"&amp;F54)+1)</f>
        <v>0</v>
      </c>
      <c r="I54" s="8">
        <f>IF(A54="","",IFERROR(INDEX('Recipe Ingredients'!$B$5:$B$1204,MATCH(1,INDEX(('Recipe Ingredients'!$A$5:$A$1204=A54)*('Recipe Ingredients'!$H$5:$H$1204=J54),0),0)),""))</f>
        <v>0</v>
      </c>
      <c r="J54" s="8">
        <f>IF(A54="","",SUMPRODUCT(MAX(('Recipe Ingredients'!$A$5:$A$1204=A54)*'Recipe Ingredients'!$H$5:$H$1204)))</f>
        <v>0</v>
      </c>
      <c r="K54" s="8">
        <f>IF(OR(A54="",E54="",E54=0),"",IFERROR(J54/E54,""))</f>
        <v>0</v>
      </c>
      <c r="L54" s="8">
        <f>IF(OR(A54="",F54=""),"",IFERROR(F54-AVERAGE($F$5:$F$204),""))</f>
        <v>0</v>
      </c>
      <c r="M54" s="8">
        <f>IF(OR(A54="",F54=""),"",IF(F54&lt;=Weekly_Budget/21,"Within budget","Over budget"))</f>
        <v>0</v>
      </c>
      <c r="N54" s="8">
        <f>IF(A54="","",IFERROR(INDEX(Recipes!$H$5:$H$204,MATCH(A54,Recipes!$A$5:$A$204,0)),""))</f>
        <v>0</v>
      </c>
      <c r="O54" s="8">
        <f>IF(A54="","",IFERROR(INDEX(Recipes!$S$5:$S$204,MATCH(A54,Recipes!$A$5:$A$204,0)),""))</f>
        <v>0</v>
      </c>
      <c r="P54" s="8">
        <f>IF(A54="","",IFERROR(INDEX(Recipes!$T$5:$T$204,MATCH(A54,Recipes!$A$5:$A$204,0)),""))</f>
        <v>0</v>
      </c>
      <c r="Q54" s="8">
        <f>IF(OR(A54="",F54=""),"",F54*7*3)</f>
        <v>0</v>
      </c>
      <c r="R54" s="25"/>
    </row>
    <row r="55" spans="1:18">
      <c r="A55" s="7"/>
      <c r="B55" s="8">
        <f>IF(A55="","",IFERROR(INDEX(Recipes!$B$5:$B$204,MATCH(A55,Recipes!$A$5:$A$204,0)),""))</f>
        <v>0</v>
      </c>
      <c r="C55" s="8">
        <f>IF(A55="","",IFERROR(INDEX(Recipes!$D$5:$D$204,MATCH(A55,Recipes!$A$5:$A$204,0)),""))</f>
        <v>0</v>
      </c>
      <c r="D55" s="8">
        <f>IF(A55="","",COUNTIFS('Recipe Ingredients'!$A$5:$A$1204,A55))</f>
        <v>0</v>
      </c>
      <c r="E55" s="8">
        <f>IF(A55="","",SUMIFS('Recipe Ingredients'!$H$5:$H$1204,'Recipe Ingredients'!$A$5:$A$1204,A55))</f>
        <v>0</v>
      </c>
      <c r="F55" s="8">
        <f>IF(A55="","",IFERROR(INDEX(Recipes!$Q$5:$Q$204,MATCH(A55,Recipes!$A$5:$A$204,0)),""))</f>
        <v>0</v>
      </c>
      <c r="G55" s="8">
        <f>IF(OR(A55="",N55="",N55=0),"",IFERROR(F55/N55*100,""))</f>
        <v>0</v>
      </c>
      <c r="H55" s="8">
        <f>IF(OR(A55="",F55=""),"",COUNTIFS($F$5:$F$204,"&lt;"&amp;F55)+1)</f>
        <v>0</v>
      </c>
      <c r="I55" s="8">
        <f>IF(A55="","",IFERROR(INDEX('Recipe Ingredients'!$B$5:$B$1204,MATCH(1,INDEX(('Recipe Ingredients'!$A$5:$A$1204=A55)*('Recipe Ingredients'!$H$5:$H$1204=J55),0),0)),""))</f>
        <v>0</v>
      </c>
      <c r="J55" s="8">
        <f>IF(A55="","",SUMPRODUCT(MAX(('Recipe Ingredients'!$A$5:$A$1204=A55)*'Recipe Ingredients'!$H$5:$H$1204)))</f>
        <v>0</v>
      </c>
      <c r="K55" s="8">
        <f>IF(OR(A55="",E55="",E55=0),"",IFERROR(J55/E55,""))</f>
        <v>0</v>
      </c>
      <c r="L55" s="8">
        <f>IF(OR(A55="",F55=""),"",IFERROR(F55-AVERAGE($F$5:$F$204),""))</f>
        <v>0</v>
      </c>
      <c r="M55" s="8">
        <f>IF(OR(A55="",F55=""),"",IF(F55&lt;=Weekly_Budget/21,"Within budget","Over budget"))</f>
        <v>0</v>
      </c>
      <c r="N55" s="8">
        <f>IF(A55="","",IFERROR(INDEX(Recipes!$H$5:$H$204,MATCH(A55,Recipes!$A$5:$A$204,0)),""))</f>
        <v>0</v>
      </c>
      <c r="O55" s="8">
        <f>IF(A55="","",IFERROR(INDEX(Recipes!$S$5:$S$204,MATCH(A55,Recipes!$A$5:$A$204,0)),""))</f>
        <v>0</v>
      </c>
      <c r="P55" s="8">
        <f>IF(A55="","",IFERROR(INDEX(Recipes!$T$5:$T$204,MATCH(A55,Recipes!$A$5:$A$204,0)),""))</f>
        <v>0</v>
      </c>
      <c r="Q55" s="8">
        <f>IF(OR(A55="",F55=""),"",F55*7*3)</f>
        <v>0</v>
      </c>
      <c r="R55" s="25"/>
    </row>
    <row r="56" spans="1:18">
      <c r="A56" s="7"/>
      <c r="B56" s="8">
        <f>IF(A56="","",IFERROR(INDEX(Recipes!$B$5:$B$204,MATCH(A56,Recipes!$A$5:$A$204,0)),""))</f>
        <v>0</v>
      </c>
      <c r="C56" s="8">
        <f>IF(A56="","",IFERROR(INDEX(Recipes!$D$5:$D$204,MATCH(A56,Recipes!$A$5:$A$204,0)),""))</f>
        <v>0</v>
      </c>
      <c r="D56" s="8">
        <f>IF(A56="","",COUNTIFS('Recipe Ingredients'!$A$5:$A$1204,A56))</f>
        <v>0</v>
      </c>
      <c r="E56" s="8">
        <f>IF(A56="","",SUMIFS('Recipe Ingredients'!$H$5:$H$1204,'Recipe Ingredients'!$A$5:$A$1204,A56))</f>
        <v>0</v>
      </c>
      <c r="F56" s="8">
        <f>IF(A56="","",IFERROR(INDEX(Recipes!$Q$5:$Q$204,MATCH(A56,Recipes!$A$5:$A$204,0)),""))</f>
        <v>0</v>
      </c>
      <c r="G56" s="8">
        <f>IF(OR(A56="",N56="",N56=0),"",IFERROR(F56/N56*100,""))</f>
        <v>0</v>
      </c>
      <c r="H56" s="8">
        <f>IF(OR(A56="",F56=""),"",COUNTIFS($F$5:$F$204,"&lt;"&amp;F56)+1)</f>
        <v>0</v>
      </c>
      <c r="I56" s="8">
        <f>IF(A56="","",IFERROR(INDEX('Recipe Ingredients'!$B$5:$B$1204,MATCH(1,INDEX(('Recipe Ingredients'!$A$5:$A$1204=A56)*('Recipe Ingredients'!$H$5:$H$1204=J56),0),0)),""))</f>
        <v>0</v>
      </c>
      <c r="J56" s="8">
        <f>IF(A56="","",SUMPRODUCT(MAX(('Recipe Ingredients'!$A$5:$A$1204=A56)*'Recipe Ingredients'!$H$5:$H$1204)))</f>
        <v>0</v>
      </c>
      <c r="K56" s="8">
        <f>IF(OR(A56="",E56="",E56=0),"",IFERROR(J56/E56,""))</f>
        <v>0</v>
      </c>
      <c r="L56" s="8">
        <f>IF(OR(A56="",F56=""),"",IFERROR(F56-AVERAGE($F$5:$F$204),""))</f>
        <v>0</v>
      </c>
      <c r="M56" s="8">
        <f>IF(OR(A56="",F56=""),"",IF(F56&lt;=Weekly_Budget/21,"Within budget","Over budget"))</f>
        <v>0</v>
      </c>
      <c r="N56" s="8">
        <f>IF(A56="","",IFERROR(INDEX(Recipes!$H$5:$H$204,MATCH(A56,Recipes!$A$5:$A$204,0)),""))</f>
        <v>0</v>
      </c>
      <c r="O56" s="8">
        <f>IF(A56="","",IFERROR(INDEX(Recipes!$S$5:$S$204,MATCH(A56,Recipes!$A$5:$A$204,0)),""))</f>
        <v>0</v>
      </c>
      <c r="P56" s="8">
        <f>IF(A56="","",IFERROR(INDEX(Recipes!$T$5:$T$204,MATCH(A56,Recipes!$A$5:$A$204,0)),""))</f>
        <v>0</v>
      </c>
      <c r="Q56" s="8">
        <f>IF(OR(A56="",F56=""),"",F56*7*3)</f>
        <v>0</v>
      </c>
      <c r="R56" s="25"/>
    </row>
    <row r="57" spans="1:18">
      <c r="A57" s="7"/>
      <c r="B57" s="8">
        <f>IF(A57="","",IFERROR(INDEX(Recipes!$B$5:$B$204,MATCH(A57,Recipes!$A$5:$A$204,0)),""))</f>
        <v>0</v>
      </c>
      <c r="C57" s="8">
        <f>IF(A57="","",IFERROR(INDEX(Recipes!$D$5:$D$204,MATCH(A57,Recipes!$A$5:$A$204,0)),""))</f>
        <v>0</v>
      </c>
      <c r="D57" s="8">
        <f>IF(A57="","",COUNTIFS('Recipe Ingredients'!$A$5:$A$1204,A57))</f>
        <v>0</v>
      </c>
      <c r="E57" s="8">
        <f>IF(A57="","",SUMIFS('Recipe Ingredients'!$H$5:$H$1204,'Recipe Ingredients'!$A$5:$A$1204,A57))</f>
        <v>0</v>
      </c>
      <c r="F57" s="8">
        <f>IF(A57="","",IFERROR(INDEX(Recipes!$Q$5:$Q$204,MATCH(A57,Recipes!$A$5:$A$204,0)),""))</f>
        <v>0</v>
      </c>
      <c r="G57" s="8">
        <f>IF(OR(A57="",N57="",N57=0),"",IFERROR(F57/N57*100,""))</f>
        <v>0</v>
      </c>
      <c r="H57" s="8">
        <f>IF(OR(A57="",F57=""),"",COUNTIFS($F$5:$F$204,"&lt;"&amp;F57)+1)</f>
        <v>0</v>
      </c>
      <c r="I57" s="8">
        <f>IF(A57="","",IFERROR(INDEX('Recipe Ingredients'!$B$5:$B$1204,MATCH(1,INDEX(('Recipe Ingredients'!$A$5:$A$1204=A57)*('Recipe Ingredients'!$H$5:$H$1204=J57),0),0)),""))</f>
        <v>0</v>
      </c>
      <c r="J57" s="8">
        <f>IF(A57="","",SUMPRODUCT(MAX(('Recipe Ingredients'!$A$5:$A$1204=A57)*'Recipe Ingredients'!$H$5:$H$1204)))</f>
        <v>0</v>
      </c>
      <c r="K57" s="8">
        <f>IF(OR(A57="",E57="",E57=0),"",IFERROR(J57/E57,""))</f>
        <v>0</v>
      </c>
      <c r="L57" s="8">
        <f>IF(OR(A57="",F57=""),"",IFERROR(F57-AVERAGE($F$5:$F$204),""))</f>
        <v>0</v>
      </c>
      <c r="M57" s="8">
        <f>IF(OR(A57="",F57=""),"",IF(F57&lt;=Weekly_Budget/21,"Within budget","Over budget"))</f>
        <v>0</v>
      </c>
      <c r="N57" s="8">
        <f>IF(A57="","",IFERROR(INDEX(Recipes!$H$5:$H$204,MATCH(A57,Recipes!$A$5:$A$204,0)),""))</f>
        <v>0</v>
      </c>
      <c r="O57" s="8">
        <f>IF(A57="","",IFERROR(INDEX(Recipes!$S$5:$S$204,MATCH(A57,Recipes!$A$5:$A$204,0)),""))</f>
        <v>0</v>
      </c>
      <c r="P57" s="8">
        <f>IF(A57="","",IFERROR(INDEX(Recipes!$T$5:$T$204,MATCH(A57,Recipes!$A$5:$A$204,0)),""))</f>
        <v>0</v>
      </c>
      <c r="Q57" s="8">
        <f>IF(OR(A57="",F57=""),"",F57*7*3)</f>
        <v>0</v>
      </c>
      <c r="R57" s="25"/>
    </row>
    <row r="58" spans="1:18">
      <c r="A58" s="7"/>
      <c r="B58" s="8">
        <f>IF(A58="","",IFERROR(INDEX(Recipes!$B$5:$B$204,MATCH(A58,Recipes!$A$5:$A$204,0)),""))</f>
        <v>0</v>
      </c>
      <c r="C58" s="8">
        <f>IF(A58="","",IFERROR(INDEX(Recipes!$D$5:$D$204,MATCH(A58,Recipes!$A$5:$A$204,0)),""))</f>
        <v>0</v>
      </c>
      <c r="D58" s="8">
        <f>IF(A58="","",COUNTIFS('Recipe Ingredients'!$A$5:$A$1204,A58))</f>
        <v>0</v>
      </c>
      <c r="E58" s="8">
        <f>IF(A58="","",SUMIFS('Recipe Ingredients'!$H$5:$H$1204,'Recipe Ingredients'!$A$5:$A$1204,A58))</f>
        <v>0</v>
      </c>
      <c r="F58" s="8">
        <f>IF(A58="","",IFERROR(INDEX(Recipes!$Q$5:$Q$204,MATCH(A58,Recipes!$A$5:$A$204,0)),""))</f>
        <v>0</v>
      </c>
      <c r="G58" s="8">
        <f>IF(OR(A58="",N58="",N58=0),"",IFERROR(F58/N58*100,""))</f>
        <v>0</v>
      </c>
      <c r="H58" s="8">
        <f>IF(OR(A58="",F58=""),"",COUNTIFS($F$5:$F$204,"&lt;"&amp;F58)+1)</f>
        <v>0</v>
      </c>
      <c r="I58" s="8">
        <f>IF(A58="","",IFERROR(INDEX('Recipe Ingredients'!$B$5:$B$1204,MATCH(1,INDEX(('Recipe Ingredients'!$A$5:$A$1204=A58)*('Recipe Ingredients'!$H$5:$H$1204=J58),0),0)),""))</f>
        <v>0</v>
      </c>
      <c r="J58" s="8">
        <f>IF(A58="","",SUMPRODUCT(MAX(('Recipe Ingredients'!$A$5:$A$1204=A58)*'Recipe Ingredients'!$H$5:$H$1204)))</f>
        <v>0</v>
      </c>
      <c r="K58" s="8">
        <f>IF(OR(A58="",E58="",E58=0),"",IFERROR(J58/E58,""))</f>
        <v>0</v>
      </c>
      <c r="L58" s="8">
        <f>IF(OR(A58="",F58=""),"",IFERROR(F58-AVERAGE($F$5:$F$204),""))</f>
        <v>0</v>
      </c>
      <c r="M58" s="8">
        <f>IF(OR(A58="",F58=""),"",IF(F58&lt;=Weekly_Budget/21,"Within budget","Over budget"))</f>
        <v>0</v>
      </c>
      <c r="N58" s="8">
        <f>IF(A58="","",IFERROR(INDEX(Recipes!$H$5:$H$204,MATCH(A58,Recipes!$A$5:$A$204,0)),""))</f>
        <v>0</v>
      </c>
      <c r="O58" s="8">
        <f>IF(A58="","",IFERROR(INDEX(Recipes!$S$5:$S$204,MATCH(A58,Recipes!$A$5:$A$204,0)),""))</f>
        <v>0</v>
      </c>
      <c r="P58" s="8">
        <f>IF(A58="","",IFERROR(INDEX(Recipes!$T$5:$T$204,MATCH(A58,Recipes!$A$5:$A$204,0)),""))</f>
        <v>0</v>
      </c>
      <c r="Q58" s="8">
        <f>IF(OR(A58="",F58=""),"",F58*7*3)</f>
        <v>0</v>
      </c>
      <c r="R58" s="25"/>
    </row>
    <row r="59" spans="1:18">
      <c r="A59" s="7"/>
      <c r="B59" s="8">
        <f>IF(A59="","",IFERROR(INDEX(Recipes!$B$5:$B$204,MATCH(A59,Recipes!$A$5:$A$204,0)),""))</f>
        <v>0</v>
      </c>
      <c r="C59" s="8">
        <f>IF(A59="","",IFERROR(INDEX(Recipes!$D$5:$D$204,MATCH(A59,Recipes!$A$5:$A$204,0)),""))</f>
        <v>0</v>
      </c>
      <c r="D59" s="8">
        <f>IF(A59="","",COUNTIFS('Recipe Ingredients'!$A$5:$A$1204,A59))</f>
        <v>0</v>
      </c>
      <c r="E59" s="8">
        <f>IF(A59="","",SUMIFS('Recipe Ingredients'!$H$5:$H$1204,'Recipe Ingredients'!$A$5:$A$1204,A59))</f>
        <v>0</v>
      </c>
      <c r="F59" s="8">
        <f>IF(A59="","",IFERROR(INDEX(Recipes!$Q$5:$Q$204,MATCH(A59,Recipes!$A$5:$A$204,0)),""))</f>
        <v>0</v>
      </c>
      <c r="G59" s="8">
        <f>IF(OR(A59="",N59="",N59=0),"",IFERROR(F59/N59*100,""))</f>
        <v>0</v>
      </c>
      <c r="H59" s="8">
        <f>IF(OR(A59="",F59=""),"",COUNTIFS($F$5:$F$204,"&lt;"&amp;F59)+1)</f>
        <v>0</v>
      </c>
      <c r="I59" s="8">
        <f>IF(A59="","",IFERROR(INDEX('Recipe Ingredients'!$B$5:$B$1204,MATCH(1,INDEX(('Recipe Ingredients'!$A$5:$A$1204=A59)*('Recipe Ingredients'!$H$5:$H$1204=J59),0),0)),""))</f>
        <v>0</v>
      </c>
      <c r="J59" s="8">
        <f>IF(A59="","",SUMPRODUCT(MAX(('Recipe Ingredients'!$A$5:$A$1204=A59)*'Recipe Ingredients'!$H$5:$H$1204)))</f>
        <v>0</v>
      </c>
      <c r="K59" s="8">
        <f>IF(OR(A59="",E59="",E59=0),"",IFERROR(J59/E59,""))</f>
        <v>0</v>
      </c>
      <c r="L59" s="8">
        <f>IF(OR(A59="",F59=""),"",IFERROR(F59-AVERAGE($F$5:$F$204),""))</f>
        <v>0</v>
      </c>
      <c r="M59" s="8">
        <f>IF(OR(A59="",F59=""),"",IF(F59&lt;=Weekly_Budget/21,"Within budget","Over budget"))</f>
        <v>0</v>
      </c>
      <c r="N59" s="8">
        <f>IF(A59="","",IFERROR(INDEX(Recipes!$H$5:$H$204,MATCH(A59,Recipes!$A$5:$A$204,0)),""))</f>
        <v>0</v>
      </c>
      <c r="O59" s="8">
        <f>IF(A59="","",IFERROR(INDEX(Recipes!$S$5:$S$204,MATCH(A59,Recipes!$A$5:$A$204,0)),""))</f>
        <v>0</v>
      </c>
      <c r="P59" s="8">
        <f>IF(A59="","",IFERROR(INDEX(Recipes!$T$5:$T$204,MATCH(A59,Recipes!$A$5:$A$204,0)),""))</f>
        <v>0</v>
      </c>
      <c r="Q59" s="8">
        <f>IF(OR(A59="",F59=""),"",F59*7*3)</f>
        <v>0</v>
      </c>
      <c r="R59" s="25"/>
    </row>
    <row r="60" spans="1:18">
      <c r="A60" s="7"/>
      <c r="B60" s="8">
        <f>IF(A60="","",IFERROR(INDEX(Recipes!$B$5:$B$204,MATCH(A60,Recipes!$A$5:$A$204,0)),""))</f>
        <v>0</v>
      </c>
      <c r="C60" s="8">
        <f>IF(A60="","",IFERROR(INDEX(Recipes!$D$5:$D$204,MATCH(A60,Recipes!$A$5:$A$204,0)),""))</f>
        <v>0</v>
      </c>
      <c r="D60" s="8">
        <f>IF(A60="","",COUNTIFS('Recipe Ingredients'!$A$5:$A$1204,A60))</f>
        <v>0</v>
      </c>
      <c r="E60" s="8">
        <f>IF(A60="","",SUMIFS('Recipe Ingredients'!$H$5:$H$1204,'Recipe Ingredients'!$A$5:$A$1204,A60))</f>
        <v>0</v>
      </c>
      <c r="F60" s="8">
        <f>IF(A60="","",IFERROR(INDEX(Recipes!$Q$5:$Q$204,MATCH(A60,Recipes!$A$5:$A$204,0)),""))</f>
        <v>0</v>
      </c>
      <c r="G60" s="8">
        <f>IF(OR(A60="",N60="",N60=0),"",IFERROR(F60/N60*100,""))</f>
        <v>0</v>
      </c>
      <c r="H60" s="8">
        <f>IF(OR(A60="",F60=""),"",COUNTIFS($F$5:$F$204,"&lt;"&amp;F60)+1)</f>
        <v>0</v>
      </c>
      <c r="I60" s="8">
        <f>IF(A60="","",IFERROR(INDEX('Recipe Ingredients'!$B$5:$B$1204,MATCH(1,INDEX(('Recipe Ingredients'!$A$5:$A$1204=A60)*('Recipe Ingredients'!$H$5:$H$1204=J60),0),0)),""))</f>
        <v>0</v>
      </c>
      <c r="J60" s="8">
        <f>IF(A60="","",SUMPRODUCT(MAX(('Recipe Ingredients'!$A$5:$A$1204=A60)*'Recipe Ingredients'!$H$5:$H$1204)))</f>
        <v>0</v>
      </c>
      <c r="K60" s="8">
        <f>IF(OR(A60="",E60="",E60=0),"",IFERROR(J60/E60,""))</f>
        <v>0</v>
      </c>
      <c r="L60" s="8">
        <f>IF(OR(A60="",F60=""),"",IFERROR(F60-AVERAGE($F$5:$F$204),""))</f>
        <v>0</v>
      </c>
      <c r="M60" s="8">
        <f>IF(OR(A60="",F60=""),"",IF(F60&lt;=Weekly_Budget/21,"Within budget","Over budget"))</f>
        <v>0</v>
      </c>
      <c r="N60" s="8">
        <f>IF(A60="","",IFERROR(INDEX(Recipes!$H$5:$H$204,MATCH(A60,Recipes!$A$5:$A$204,0)),""))</f>
        <v>0</v>
      </c>
      <c r="O60" s="8">
        <f>IF(A60="","",IFERROR(INDEX(Recipes!$S$5:$S$204,MATCH(A60,Recipes!$A$5:$A$204,0)),""))</f>
        <v>0</v>
      </c>
      <c r="P60" s="8">
        <f>IF(A60="","",IFERROR(INDEX(Recipes!$T$5:$T$204,MATCH(A60,Recipes!$A$5:$A$204,0)),""))</f>
        <v>0</v>
      </c>
      <c r="Q60" s="8">
        <f>IF(OR(A60="",F60=""),"",F60*7*3)</f>
        <v>0</v>
      </c>
      <c r="R60" s="25"/>
    </row>
    <row r="61" spans="1:18">
      <c r="A61" s="7"/>
      <c r="B61" s="8">
        <f>IF(A61="","",IFERROR(INDEX(Recipes!$B$5:$B$204,MATCH(A61,Recipes!$A$5:$A$204,0)),""))</f>
        <v>0</v>
      </c>
      <c r="C61" s="8">
        <f>IF(A61="","",IFERROR(INDEX(Recipes!$D$5:$D$204,MATCH(A61,Recipes!$A$5:$A$204,0)),""))</f>
        <v>0</v>
      </c>
      <c r="D61" s="8">
        <f>IF(A61="","",COUNTIFS('Recipe Ingredients'!$A$5:$A$1204,A61))</f>
        <v>0</v>
      </c>
      <c r="E61" s="8">
        <f>IF(A61="","",SUMIFS('Recipe Ingredients'!$H$5:$H$1204,'Recipe Ingredients'!$A$5:$A$1204,A61))</f>
        <v>0</v>
      </c>
      <c r="F61" s="8">
        <f>IF(A61="","",IFERROR(INDEX(Recipes!$Q$5:$Q$204,MATCH(A61,Recipes!$A$5:$A$204,0)),""))</f>
        <v>0</v>
      </c>
      <c r="G61" s="8">
        <f>IF(OR(A61="",N61="",N61=0),"",IFERROR(F61/N61*100,""))</f>
        <v>0</v>
      </c>
      <c r="H61" s="8">
        <f>IF(OR(A61="",F61=""),"",COUNTIFS($F$5:$F$204,"&lt;"&amp;F61)+1)</f>
        <v>0</v>
      </c>
      <c r="I61" s="8">
        <f>IF(A61="","",IFERROR(INDEX('Recipe Ingredients'!$B$5:$B$1204,MATCH(1,INDEX(('Recipe Ingredients'!$A$5:$A$1204=A61)*('Recipe Ingredients'!$H$5:$H$1204=J61),0),0)),""))</f>
        <v>0</v>
      </c>
      <c r="J61" s="8">
        <f>IF(A61="","",SUMPRODUCT(MAX(('Recipe Ingredients'!$A$5:$A$1204=A61)*'Recipe Ingredients'!$H$5:$H$1204)))</f>
        <v>0</v>
      </c>
      <c r="K61" s="8">
        <f>IF(OR(A61="",E61="",E61=0),"",IFERROR(J61/E61,""))</f>
        <v>0</v>
      </c>
      <c r="L61" s="8">
        <f>IF(OR(A61="",F61=""),"",IFERROR(F61-AVERAGE($F$5:$F$204),""))</f>
        <v>0</v>
      </c>
      <c r="M61" s="8">
        <f>IF(OR(A61="",F61=""),"",IF(F61&lt;=Weekly_Budget/21,"Within budget","Over budget"))</f>
        <v>0</v>
      </c>
      <c r="N61" s="8">
        <f>IF(A61="","",IFERROR(INDEX(Recipes!$H$5:$H$204,MATCH(A61,Recipes!$A$5:$A$204,0)),""))</f>
        <v>0</v>
      </c>
      <c r="O61" s="8">
        <f>IF(A61="","",IFERROR(INDEX(Recipes!$S$5:$S$204,MATCH(A61,Recipes!$A$5:$A$204,0)),""))</f>
        <v>0</v>
      </c>
      <c r="P61" s="8">
        <f>IF(A61="","",IFERROR(INDEX(Recipes!$T$5:$T$204,MATCH(A61,Recipes!$A$5:$A$204,0)),""))</f>
        <v>0</v>
      </c>
      <c r="Q61" s="8">
        <f>IF(OR(A61="",F61=""),"",F61*7*3)</f>
        <v>0</v>
      </c>
      <c r="R61" s="25"/>
    </row>
    <row r="62" spans="1:18">
      <c r="A62" s="7"/>
      <c r="B62" s="8">
        <f>IF(A62="","",IFERROR(INDEX(Recipes!$B$5:$B$204,MATCH(A62,Recipes!$A$5:$A$204,0)),""))</f>
        <v>0</v>
      </c>
      <c r="C62" s="8">
        <f>IF(A62="","",IFERROR(INDEX(Recipes!$D$5:$D$204,MATCH(A62,Recipes!$A$5:$A$204,0)),""))</f>
        <v>0</v>
      </c>
      <c r="D62" s="8">
        <f>IF(A62="","",COUNTIFS('Recipe Ingredients'!$A$5:$A$1204,A62))</f>
        <v>0</v>
      </c>
      <c r="E62" s="8">
        <f>IF(A62="","",SUMIFS('Recipe Ingredients'!$H$5:$H$1204,'Recipe Ingredients'!$A$5:$A$1204,A62))</f>
        <v>0</v>
      </c>
      <c r="F62" s="8">
        <f>IF(A62="","",IFERROR(INDEX(Recipes!$Q$5:$Q$204,MATCH(A62,Recipes!$A$5:$A$204,0)),""))</f>
        <v>0</v>
      </c>
      <c r="G62" s="8">
        <f>IF(OR(A62="",N62="",N62=0),"",IFERROR(F62/N62*100,""))</f>
        <v>0</v>
      </c>
      <c r="H62" s="8">
        <f>IF(OR(A62="",F62=""),"",COUNTIFS($F$5:$F$204,"&lt;"&amp;F62)+1)</f>
        <v>0</v>
      </c>
      <c r="I62" s="8">
        <f>IF(A62="","",IFERROR(INDEX('Recipe Ingredients'!$B$5:$B$1204,MATCH(1,INDEX(('Recipe Ingredients'!$A$5:$A$1204=A62)*('Recipe Ingredients'!$H$5:$H$1204=J62),0),0)),""))</f>
        <v>0</v>
      </c>
      <c r="J62" s="8">
        <f>IF(A62="","",SUMPRODUCT(MAX(('Recipe Ingredients'!$A$5:$A$1204=A62)*'Recipe Ingredients'!$H$5:$H$1204)))</f>
        <v>0</v>
      </c>
      <c r="K62" s="8">
        <f>IF(OR(A62="",E62="",E62=0),"",IFERROR(J62/E62,""))</f>
        <v>0</v>
      </c>
      <c r="L62" s="8">
        <f>IF(OR(A62="",F62=""),"",IFERROR(F62-AVERAGE($F$5:$F$204),""))</f>
        <v>0</v>
      </c>
      <c r="M62" s="8">
        <f>IF(OR(A62="",F62=""),"",IF(F62&lt;=Weekly_Budget/21,"Within budget","Over budget"))</f>
        <v>0</v>
      </c>
      <c r="N62" s="8">
        <f>IF(A62="","",IFERROR(INDEX(Recipes!$H$5:$H$204,MATCH(A62,Recipes!$A$5:$A$204,0)),""))</f>
        <v>0</v>
      </c>
      <c r="O62" s="8">
        <f>IF(A62="","",IFERROR(INDEX(Recipes!$S$5:$S$204,MATCH(A62,Recipes!$A$5:$A$204,0)),""))</f>
        <v>0</v>
      </c>
      <c r="P62" s="8">
        <f>IF(A62="","",IFERROR(INDEX(Recipes!$T$5:$T$204,MATCH(A62,Recipes!$A$5:$A$204,0)),""))</f>
        <v>0</v>
      </c>
      <c r="Q62" s="8">
        <f>IF(OR(A62="",F62=""),"",F62*7*3)</f>
        <v>0</v>
      </c>
      <c r="R62" s="25"/>
    </row>
    <row r="63" spans="1:18">
      <c r="A63" s="7"/>
      <c r="B63" s="8">
        <f>IF(A63="","",IFERROR(INDEX(Recipes!$B$5:$B$204,MATCH(A63,Recipes!$A$5:$A$204,0)),""))</f>
        <v>0</v>
      </c>
      <c r="C63" s="8">
        <f>IF(A63="","",IFERROR(INDEX(Recipes!$D$5:$D$204,MATCH(A63,Recipes!$A$5:$A$204,0)),""))</f>
        <v>0</v>
      </c>
      <c r="D63" s="8">
        <f>IF(A63="","",COUNTIFS('Recipe Ingredients'!$A$5:$A$1204,A63))</f>
        <v>0</v>
      </c>
      <c r="E63" s="8">
        <f>IF(A63="","",SUMIFS('Recipe Ingredients'!$H$5:$H$1204,'Recipe Ingredients'!$A$5:$A$1204,A63))</f>
        <v>0</v>
      </c>
      <c r="F63" s="8">
        <f>IF(A63="","",IFERROR(INDEX(Recipes!$Q$5:$Q$204,MATCH(A63,Recipes!$A$5:$A$204,0)),""))</f>
        <v>0</v>
      </c>
      <c r="G63" s="8">
        <f>IF(OR(A63="",N63="",N63=0),"",IFERROR(F63/N63*100,""))</f>
        <v>0</v>
      </c>
      <c r="H63" s="8">
        <f>IF(OR(A63="",F63=""),"",COUNTIFS($F$5:$F$204,"&lt;"&amp;F63)+1)</f>
        <v>0</v>
      </c>
      <c r="I63" s="8">
        <f>IF(A63="","",IFERROR(INDEX('Recipe Ingredients'!$B$5:$B$1204,MATCH(1,INDEX(('Recipe Ingredients'!$A$5:$A$1204=A63)*('Recipe Ingredients'!$H$5:$H$1204=J63),0),0)),""))</f>
        <v>0</v>
      </c>
      <c r="J63" s="8">
        <f>IF(A63="","",SUMPRODUCT(MAX(('Recipe Ingredients'!$A$5:$A$1204=A63)*'Recipe Ingredients'!$H$5:$H$1204)))</f>
        <v>0</v>
      </c>
      <c r="K63" s="8">
        <f>IF(OR(A63="",E63="",E63=0),"",IFERROR(J63/E63,""))</f>
        <v>0</v>
      </c>
      <c r="L63" s="8">
        <f>IF(OR(A63="",F63=""),"",IFERROR(F63-AVERAGE($F$5:$F$204),""))</f>
        <v>0</v>
      </c>
      <c r="M63" s="8">
        <f>IF(OR(A63="",F63=""),"",IF(F63&lt;=Weekly_Budget/21,"Within budget","Over budget"))</f>
        <v>0</v>
      </c>
      <c r="N63" s="8">
        <f>IF(A63="","",IFERROR(INDEX(Recipes!$H$5:$H$204,MATCH(A63,Recipes!$A$5:$A$204,0)),""))</f>
        <v>0</v>
      </c>
      <c r="O63" s="8">
        <f>IF(A63="","",IFERROR(INDEX(Recipes!$S$5:$S$204,MATCH(A63,Recipes!$A$5:$A$204,0)),""))</f>
        <v>0</v>
      </c>
      <c r="P63" s="8">
        <f>IF(A63="","",IFERROR(INDEX(Recipes!$T$5:$T$204,MATCH(A63,Recipes!$A$5:$A$204,0)),""))</f>
        <v>0</v>
      </c>
      <c r="Q63" s="8">
        <f>IF(OR(A63="",F63=""),"",F63*7*3)</f>
        <v>0</v>
      </c>
      <c r="R63" s="25"/>
    </row>
    <row r="64" spans="1:18">
      <c r="A64" s="7"/>
      <c r="B64" s="8">
        <f>IF(A64="","",IFERROR(INDEX(Recipes!$B$5:$B$204,MATCH(A64,Recipes!$A$5:$A$204,0)),""))</f>
        <v>0</v>
      </c>
      <c r="C64" s="8">
        <f>IF(A64="","",IFERROR(INDEX(Recipes!$D$5:$D$204,MATCH(A64,Recipes!$A$5:$A$204,0)),""))</f>
        <v>0</v>
      </c>
      <c r="D64" s="8">
        <f>IF(A64="","",COUNTIFS('Recipe Ingredients'!$A$5:$A$1204,A64))</f>
        <v>0</v>
      </c>
      <c r="E64" s="8">
        <f>IF(A64="","",SUMIFS('Recipe Ingredients'!$H$5:$H$1204,'Recipe Ingredients'!$A$5:$A$1204,A64))</f>
        <v>0</v>
      </c>
      <c r="F64" s="8">
        <f>IF(A64="","",IFERROR(INDEX(Recipes!$Q$5:$Q$204,MATCH(A64,Recipes!$A$5:$A$204,0)),""))</f>
        <v>0</v>
      </c>
      <c r="G64" s="8">
        <f>IF(OR(A64="",N64="",N64=0),"",IFERROR(F64/N64*100,""))</f>
        <v>0</v>
      </c>
      <c r="H64" s="8">
        <f>IF(OR(A64="",F64=""),"",COUNTIFS($F$5:$F$204,"&lt;"&amp;F64)+1)</f>
        <v>0</v>
      </c>
      <c r="I64" s="8">
        <f>IF(A64="","",IFERROR(INDEX('Recipe Ingredients'!$B$5:$B$1204,MATCH(1,INDEX(('Recipe Ingredients'!$A$5:$A$1204=A64)*('Recipe Ingredients'!$H$5:$H$1204=J64),0),0)),""))</f>
        <v>0</v>
      </c>
      <c r="J64" s="8">
        <f>IF(A64="","",SUMPRODUCT(MAX(('Recipe Ingredients'!$A$5:$A$1204=A64)*'Recipe Ingredients'!$H$5:$H$1204)))</f>
        <v>0</v>
      </c>
      <c r="K64" s="8">
        <f>IF(OR(A64="",E64="",E64=0),"",IFERROR(J64/E64,""))</f>
        <v>0</v>
      </c>
      <c r="L64" s="8">
        <f>IF(OR(A64="",F64=""),"",IFERROR(F64-AVERAGE($F$5:$F$204),""))</f>
        <v>0</v>
      </c>
      <c r="M64" s="8">
        <f>IF(OR(A64="",F64=""),"",IF(F64&lt;=Weekly_Budget/21,"Within budget","Over budget"))</f>
        <v>0</v>
      </c>
      <c r="N64" s="8">
        <f>IF(A64="","",IFERROR(INDEX(Recipes!$H$5:$H$204,MATCH(A64,Recipes!$A$5:$A$204,0)),""))</f>
        <v>0</v>
      </c>
      <c r="O64" s="8">
        <f>IF(A64="","",IFERROR(INDEX(Recipes!$S$5:$S$204,MATCH(A64,Recipes!$A$5:$A$204,0)),""))</f>
        <v>0</v>
      </c>
      <c r="P64" s="8">
        <f>IF(A64="","",IFERROR(INDEX(Recipes!$T$5:$T$204,MATCH(A64,Recipes!$A$5:$A$204,0)),""))</f>
        <v>0</v>
      </c>
      <c r="Q64" s="8">
        <f>IF(OR(A64="",F64=""),"",F64*7*3)</f>
        <v>0</v>
      </c>
      <c r="R64" s="25"/>
    </row>
    <row r="65" spans="1:18">
      <c r="A65" s="7"/>
      <c r="B65" s="8">
        <f>IF(A65="","",IFERROR(INDEX(Recipes!$B$5:$B$204,MATCH(A65,Recipes!$A$5:$A$204,0)),""))</f>
        <v>0</v>
      </c>
      <c r="C65" s="8">
        <f>IF(A65="","",IFERROR(INDEX(Recipes!$D$5:$D$204,MATCH(A65,Recipes!$A$5:$A$204,0)),""))</f>
        <v>0</v>
      </c>
      <c r="D65" s="8">
        <f>IF(A65="","",COUNTIFS('Recipe Ingredients'!$A$5:$A$1204,A65))</f>
        <v>0</v>
      </c>
      <c r="E65" s="8">
        <f>IF(A65="","",SUMIFS('Recipe Ingredients'!$H$5:$H$1204,'Recipe Ingredients'!$A$5:$A$1204,A65))</f>
        <v>0</v>
      </c>
      <c r="F65" s="8">
        <f>IF(A65="","",IFERROR(INDEX(Recipes!$Q$5:$Q$204,MATCH(A65,Recipes!$A$5:$A$204,0)),""))</f>
        <v>0</v>
      </c>
      <c r="G65" s="8">
        <f>IF(OR(A65="",N65="",N65=0),"",IFERROR(F65/N65*100,""))</f>
        <v>0</v>
      </c>
      <c r="H65" s="8">
        <f>IF(OR(A65="",F65=""),"",COUNTIFS($F$5:$F$204,"&lt;"&amp;F65)+1)</f>
        <v>0</v>
      </c>
      <c r="I65" s="8">
        <f>IF(A65="","",IFERROR(INDEX('Recipe Ingredients'!$B$5:$B$1204,MATCH(1,INDEX(('Recipe Ingredients'!$A$5:$A$1204=A65)*('Recipe Ingredients'!$H$5:$H$1204=J65),0),0)),""))</f>
        <v>0</v>
      </c>
      <c r="J65" s="8">
        <f>IF(A65="","",SUMPRODUCT(MAX(('Recipe Ingredients'!$A$5:$A$1204=A65)*'Recipe Ingredients'!$H$5:$H$1204)))</f>
        <v>0</v>
      </c>
      <c r="K65" s="8">
        <f>IF(OR(A65="",E65="",E65=0),"",IFERROR(J65/E65,""))</f>
        <v>0</v>
      </c>
      <c r="L65" s="8">
        <f>IF(OR(A65="",F65=""),"",IFERROR(F65-AVERAGE($F$5:$F$204),""))</f>
        <v>0</v>
      </c>
      <c r="M65" s="8">
        <f>IF(OR(A65="",F65=""),"",IF(F65&lt;=Weekly_Budget/21,"Within budget","Over budget"))</f>
        <v>0</v>
      </c>
      <c r="N65" s="8">
        <f>IF(A65="","",IFERROR(INDEX(Recipes!$H$5:$H$204,MATCH(A65,Recipes!$A$5:$A$204,0)),""))</f>
        <v>0</v>
      </c>
      <c r="O65" s="8">
        <f>IF(A65="","",IFERROR(INDEX(Recipes!$S$5:$S$204,MATCH(A65,Recipes!$A$5:$A$204,0)),""))</f>
        <v>0</v>
      </c>
      <c r="P65" s="8">
        <f>IF(A65="","",IFERROR(INDEX(Recipes!$T$5:$T$204,MATCH(A65,Recipes!$A$5:$A$204,0)),""))</f>
        <v>0</v>
      </c>
      <c r="Q65" s="8">
        <f>IF(OR(A65="",F65=""),"",F65*7*3)</f>
        <v>0</v>
      </c>
      <c r="R65" s="25"/>
    </row>
    <row r="66" spans="1:18">
      <c r="A66" s="7"/>
      <c r="B66" s="8">
        <f>IF(A66="","",IFERROR(INDEX(Recipes!$B$5:$B$204,MATCH(A66,Recipes!$A$5:$A$204,0)),""))</f>
        <v>0</v>
      </c>
      <c r="C66" s="8">
        <f>IF(A66="","",IFERROR(INDEX(Recipes!$D$5:$D$204,MATCH(A66,Recipes!$A$5:$A$204,0)),""))</f>
        <v>0</v>
      </c>
      <c r="D66" s="8">
        <f>IF(A66="","",COUNTIFS('Recipe Ingredients'!$A$5:$A$1204,A66))</f>
        <v>0</v>
      </c>
      <c r="E66" s="8">
        <f>IF(A66="","",SUMIFS('Recipe Ingredients'!$H$5:$H$1204,'Recipe Ingredients'!$A$5:$A$1204,A66))</f>
        <v>0</v>
      </c>
      <c r="F66" s="8">
        <f>IF(A66="","",IFERROR(INDEX(Recipes!$Q$5:$Q$204,MATCH(A66,Recipes!$A$5:$A$204,0)),""))</f>
        <v>0</v>
      </c>
      <c r="G66" s="8">
        <f>IF(OR(A66="",N66="",N66=0),"",IFERROR(F66/N66*100,""))</f>
        <v>0</v>
      </c>
      <c r="H66" s="8">
        <f>IF(OR(A66="",F66=""),"",COUNTIFS($F$5:$F$204,"&lt;"&amp;F66)+1)</f>
        <v>0</v>
      </c>
      <c r="I66" s="8">
        <f>IF(A66="","",IFERROR(INDEX('Recipe Ingredients'!$B$5:$B$1204,MATCH(1,INDEX(('Recipe Ingredients'!$A$5:$A$1204=A66)*('Recipe Ingredients'!$H$5:$H$1204=J66),0),0)),""))</f>
        <v>0</v>
      </c>
      <c r="J66" s="8">
        <f>IF(A66="","",SUMPRODUCT(MAX(('Recipe Ingredients'!$A$5:$A$1204=A66)*'Recipe Ingredients'!$H$5:$H$1204)))</f>
        <v>0</v>
      </c>
      <c r="K66" s="8">
        <f>IF(OR(A66="",E66="",E66=0),"",IFERROR(J66/E66,""))</f>
        <v>0</v>
      </c>
      <c r="L66" s="8">
        <f>IF(OR(A66="",F66=""),"",IFERROR(F66-AVERAGE($F$5:$F$204),""))</f>
        <v>0</v>
      </c>
      <c r="M66" s="8">
        <f>IF(OR(A66="",F66=""),"",IF(F66&lt;=Weekly_Budget/21,"Within budget","Over budget"))</f>
        <v>0</v>
      </c>
      <c r="N66" s="8">
        <f>IF(A66="","",IFERROR(INDEX(Recipes!$H$5:$H$204,MATCH(A66,Recipes!$A$5:$A$204,0)),""))</f>
        <v>0</v>
      </c>
      <c r="O66" s="8">
        <f>IF(A66="","",IFERROR(INDEX(Recipes!$S$5:$S$204,MATCH(A66,Recipes!$A$5:$A$204,0)),""))</f>
        <v>0</v>
      </c>
      <c r="P66" s="8">
        <f>IF(A66="","",IFERROR(INDEX(Recipes!$T$5:$T$204,MATCH(A66,Recipes!$A$5:$A$204,0)),""))</f>
        <v>0</v>
      </c>
      <c r="Q66" s="8">
        <f>IF(OR(A66="",F66=""),"",F66*7*3)</f>
        <v>0</v>
      </c>
      <c r="R66" s="25"/>
    </row>
    <row r="67" spans="1:18">
      <c r="A67" s="7"/>
      <c r="B67" s="8">
        <f>IF(A67="","",IFERROR(INDEX(Recipes!$B$5:$B$204,MATCH(A67,Recipes!$A$5:$A$204,0)),""))</f>
        <v>0</v>
      </c>
      <c r="C67" s="8">
        <f>IF(A67="","",IFERROR(INDEX(Recipes!$D$5:$D$204,MATCH(A67,Recipes!$A$5:$A$204,0)),""))</f>
        <v>0</v>
      </c>
      <c r="D67" s="8">
        <f>IF(A67="","",COUNTIFS('Recipe Ingredients'!$A$5:$A$1204,A67))</f>
        <v>0</v>
      </c>
      <c r="E67" s="8">
        <f>IF(A67="","",SUMIFS('Recipe Ingredients'!$H$5:$H$1204,'Recipe Ingredients'!$A$5:$A$1204,A67))</f>
        <v>0</v>
      </c>
      <c r="F67" s="8">
        <f>IF(A67="","",IFERROR(INDEX(Recipes!$Q$5:$Q$204,MATCH(A67,Recipes!$A$5:$A$204,0)),""))</f>
        <v>0</v>
      </c>
      <c r="G67" s="8">
        <f>IF(OR(A67="",N67="",N67=0),"",IFERROR(F67/N67*100,""))</f>
        <v>0</v>
      </c>
      <c r="H67" s="8">
        <f>IF(OR(A67="",F67=""),"",COUNTIFS($F$5:$F$204,"&lt;"&amp;F67)+1)</f>
        <v>0</v>
      </c>
      <c r="I67" s="8">
        <f>IF(A67="","",IFERROR(INDEX('Recipe Ingredients'!$B$5:$B$1204,MATCH(1,INDEX(('Recipe Ingredients'!$A$5:$A$1204=A67)*('Recipe Ingredients'!$H$5:$H$1204=J67),0),0)),""))</f>
        <v>0</v>
      </c>
      <c r="J67" s="8">
        <f>IF(A67="","",SUMPRODUCT(MAX(('Recipe Ingredients'!$A$5:$A$1204=A67)*'Recipe Ingredients'!$H$5:$H$1204)))</f>
        <v>0</v>
      </c>
      <c r="K67" s="8">
        <f>IF(OR(A67="",E67="",E67=0),"",IFERROR(J67/E67,""))</f>
        <v>0</v>
      </c>
      <c r="L67" s="8">
        <f>IF(OR(A67="",F67=""),"",IFERROR(F67-AVERAGE($F$5:$F$204),""))</f>
        <v>0</v>
      </c>
      <c r="M67" s="8">
        <f>IF(OR(A67="",F67=""),"",IF(F67&lt;=Weekly_Budget/21,"Within budget","Over budget"))</f>
        <v>0</v>
      </c>
      <c r="N67" s="8">
        <f>IF(A67="","",IFERROR(INDEX(Recipes!$H$5:$H$204,MATCH(A67,Recipes!$A$5:$A$204,0)),""))</f>
        <v>0</v>
      </c>
      <c r="O67" s="8">
        <f>IF(A67="","",IFERROR(INDEX(Recipes!$S$5:$S$204,MATCH(A67,Recipes!$A$5:$A$204,0)),""))</f>
        <v>0</v>
      </c>
      <c r="P67" s="8">
        <f>IF(A67="","",IFERROR(INDEX(Recipes!$T$5:$T$204,MATCH(A67,Recipes!$A$5:$A$204,0)),""))</f>
        <v>0</v>
      </c>
      <c r="Q67" s="8">
        <f>IF(OR(A67="",F67=""),"",F67*7*3)</f>
        <v>0</v>
      </c>
      <c r="R67" s="25"/>
    </row>
    <row r="68" spans="1:18">
      <c r="A68" s="7"/>
      <c r="B68" s="8">
        <f>IF(A68="","",IFERROR(INDEX(Recipes!$B$5:$B$204,MATCH(A68,Recipes!$A$5:$A$204,0)),""))</f>
        <v>0</v>
      </c>
      <c r="C68" s="8">
        <f>IF(A68="","",IFERROR(INDEX(Recipes!$D$5:$D$204,MATCH(A68,Recipes!$A$5:$A$204,0)),""))</f>
        <v>0</v>
      </c>
      <c r="D68" s="8">
        <f>IF(A68="","",COUNTIFS('Recipe Ingredients'!$A$5:$A$1204,A68))</f>
        <v>0</v>
      </c>
      <c r="E68" s="8">
        <f>IF(A68="","",SUMIFS('Recipe Ingredients'!$H$5:$H$1204,'Recipe Ingredients'!$A$5:$A$1204,A68))</f>
        <v>0</v>
      </c>
      <c r="F68" s="8">
        <f>IF(A68="","",IFERROR(INDEX(Recipes!$Q$5:$Q$204,MATCH(A68,Recipes!$A$5:$A$204,0)),""))</f>
        <v>0</v>
      </c>
      <c r="G68" s="8">
        <f>IF(OR(A68="",N68="",N68=0),"",IFERROR(F68/N68*100,""))</f>
        <v>0</v>
      </c>
      <c r="H68" s="8">
        <f>IF(OR(A68="",F68=""),"",COUNTIFS($F$5:$F$204,"&lt;"&amp;F68)+1)</f>
        <v>0</v>
      </c>
      <c r="I68" s="8">
        <f>IF(A68="","",IFERROR(INDEX('Recipe Ingredients'!$B$5:$B$1204,MATCH(1,INDEX(('Recipe Ingredients'!$A$5:$A$1204=A68)*('Recipe Ingredients'!$H$5:$H$1204=J68),0),0)),""))</f>
        <v>0</v>
      </c>
      <c r="J68" s="8">
        <f>IF(A68="","",SUMPRODUCT(MAX(('Recipe Ingredients'!$A$5:$A$1204=A68)*'Recipe Ingredients'!$H$5:$H$1204)))</f>
        <v>0</v>
      </c>
      <c r="K68" s="8">
        <f>IF(OR(A68="",E68="",E68=0),"",IFERROR(J68/E68,""))</f>
        <v>0</v>
      </c>
      <c r="L68" s="8">
        <f>IF(OR(A68="",F68=""),"",IFERROR(F68-AVERAGE($F$5:$F$204),""))</f>
        <v>0</v>
      </c>
      <c r="M68" s="8">
        <f>IF(OR(A68="",F68=""),"",IF(F68&lt;=Weekly_Budget/21,"Within budget","Over budget"))</f>
        <v>0</v>
      </c>
      <c r="N68" s="8">
        <f>IF(A68="","",IFERROR(INDEX(Recipes!$H$5:$H$204,MATCH(A68,Recipes!$A$5:$A$204,0)),""))</f>
        <v>0</v>
      </c>
      <c r="O68" s="8">
        <f>IF(A68="","",IFERROR(INDEX(Recipes!$S$5:$S$204,MATCH(A68,Recipes!$A$5:$A$204,0)),""))</f>
        <v>0</v>
      </c>
      <c r="P68" s="8">
        <f>IF(A68="","",IFERROR(INDEX(Recipes!$T$5:$T$204,MATCH(A68,Recipes!$A$5:$A$204,0)),""))</f>
        <v>0</v>
      </c>
      <c r="Q68" s="8">
        <f>IF(OR(A68="",F68=""),"",F68*7*3)</f>
        <v>0</v>
      </c>
      <c r="R68" s="25"/>
    </row>
    <row r="69" spans="1:18">
      <c r="A69" s="7"/>
      <c r="B69" s="8">
        <f>IF(A69="","",IFERROR(INDEX(Recipes!$B$5:$B$204,MATCH(A69,Recipes!$A$5:$A$204,0)),""))</f>
        <v>0</v>
      </c>
      <c r="C69" s="8">
        <f>IF(A69="","",IFERROR(INDEX(Recipes!$D$5:$D$204,MATCH(A69,Recipes!$A$5:$A$204,0)),""))</f>
        <v>0</v>
      </c>
      <c r="D69" s="8">
        <f>IF(A69="","",COUNTIFS('Recipe Ingredients'!$A$5:$A$1204,A69))</f>
        <v>0</v>
      </c>
      <c r="E69" s="8">
        <f>IF(A69="","",SUMIFS('Recipe Ingredients'!$H$5:$H$1204,'Recipe Ingredients'!$A$5:$A$1204,A69))</f>
        <v>0</v>
      </c>
      <c r="F69" s="8">
        <f>IF(A69="","",IFERROR(INDEX(Recipes!$Q$5:$Q$204,MATCH(A69,Recipes!$A$5:$A$204,0)),""))</f>
        <v>0</v>
      </c>
      <c r="G69" s="8">
        <f>IF(OR(A69="",N69="",N69=0),"",IFERROR(F69/N69*100,""))</f>
        <v>0</v>
      </c>
      <c r="H69" s="8">
        <f>IF(OR(A69="",F69=""),"",COUNTIFS($F$5:$F$204,"&lt;"&amp;F69)+1)</f>
        <v>0</v>
      </c>
      <c r="I69" s="8">
        <f>IF(A69="","",IFERROR(INDEX('Recipe Ingredients'!$B$5:$B$1204,MATCH(1,INDEX(('Recipe Ingredients'!$A$5:$A$1204=A69)*('Recipe Ingredients'!$H$5:$H$1204=J69),0),0)),""))</f>
        <v>0</v>
      </c>
      <c r="J69" s="8">
        <f>IF(A69="","",SUMPRODUCT(MAX(('Recipe Ingredients'!$A$5:$A$1204=A69)*'Recipe Ingredients'!$H$5:$H$1204)))</f>
        <v>0</v>
      </c>
      <c r="K69" s="8">
        <f>IF(OR(A69="",E69="",E69=0),"",IFERROR(J69/E69,""))</f>
        <v>0</v>
      </c>
      <c r="L69" s="8">
        <f>IF(OR(A69="",F69=""),"",IFERROR(F69-AVERAGE($F$5:$F$204),""))</f>
        <v>0</v>
      </c>
      <c r="M69" s="8">
        <f>IF(OR(A69="",F69=""),"",IF(F69&lt;=Weekly_Budget/21,"Within budget","Over budget"))</f>
        <v>0</v>
      </c>
      <c r="N69" s="8">
        <f>IF(A69="","",IFERROR(INDEX(Recipes!$H$5:$H$204,MATCH(A69,Recipes!$A$5:$A$204,0)),""))</f>
        <v>0</v>
      </c>
      <c r="O69" s="8">
        <f>IF(A69="","",IFERROR(INDEX(Recipes!$S$5:$S$204,MATCH(A69,Recipes!$A$5:$A$204,0)),""))</f>
        <v>0</v>
      </c>
      <c r="P69" s="8">
        <f>IF(A69="","",IFERROR(INDEX(Recipes!$T$5:$T$204,MATCH(A69,Recipes!$A$5:$A$204,0)),""))</f>
        <v>0</v>
      </c>
      <c r="Q69" s="8">
        <f>IF(OR(A69="",F69=""),"",F69*7*3)</f>
        <v>0</v>
      </c>
      <c r="R69" s="25"/>
    </row>
    <row r="70" spans="1:18">
      <c r="A70" s="7"/>
      <c r="B70" s="8">
        <f>IF(A70="","",IFERROR(INDEX(Recipes!$B$5:$B$204,MATCH(A70,Recipes!$A$5:$A$204,0)),""))</f>
        <v>0</v>
      </c>
      <c r="C70" s="8">
        <f>IF(A70="","",IFERROR(INDEX(Recipes!$D$5:$D$204,MATCH(A70,Recipes!$A$5:$A$204,0)),""))</f>
        <v>0</v>
      </c>
      <c r="D70" s="8">
        <f>IF(A70="","",COUNTIFS('Recipe Ingredients'!$A$5:$A$1204,A70))</f>
        <v>0</v>
      </c>
      <c r="E70" s="8">
        <f>IF(A70="","",SUMIFS('Recipe Ingredients'!$H$5:$H$1204,'Recipe Ingredients'!$A$5:$A$1204,A70))</f>
        <v>0</v>
      </c>
      <c r="F70" s="8">
        <f>IF(A70="","",IFERROR(INDEX(Recipes!$Q$5:$Q$204,MATCH(A70,Recipes!$A$5:$A$204,0)),""))</f>
        <v>0</v>
      </c>
      <c r="G70" s="8">
        <f>IF(OR(A70="",N70="",N70=0),"",IFERROR(F70/N70*100,""))</f>
        <v>0</v>
      </c>
      <c r="H70" s="8">
        <f>IF(OR(A70="",F70=""),"",COUNTIFS($F$5:$F$204,"&lt;"&amp;F70)+1)</f>
        <v>0</v>
      </c>
      <c r="I70" s="8">
        <f>IF(A70="","",IFERROR(INDEX('Recipe Ingredients'!$B$5:$B$1204,MATCH(1,INDEX(('Recipe Ingredients'!$A$5:$A$1204=A70)*('Recipe Ingredients'!$H$5:$H$1204=J70),0),0)),""))</f>
        <v>0</v>
      </c>
      <c r="J70" s="8">
        <f>IF(A70="","",SUMPRODUCT(MAX(('Recipe Ingredients'!$A$5:$A$1204=A70)*'Recipe Ingredients'!$H$5:$H$1204)))</f>
        <v>0</v>
      </c>
      <c r="K70" s="8">
        <f>IF(OR(A70="",E70="",E70=0),"",IFERROR(J70/E70,""))</f>
        <v>0</v>
      </c>
      <c r="L70" s="8">
        <f>IF(OR(A70="",F70=""),"",IFERROR(F70-AVERAGE($F$5:$F$204),""))</f>
        <v>0</v>
      </c>
      <c r="M70" s="8">
        <f>IF(OR(A70="",F70=""),"",IF(F70&lt;=Weekly_Budget/21,"Within budget","Over budget"))</f>
        <v>0</v>
      </c>
      <c r="N70" s="8">
        <f>IF(A70="","",IFERROR(INDEX(Recipes!$H$5:$H$204,MATCH(A70,Recipes!$A$5:$A$204,0)),""))</f>
        <v>0</v>
      </c>
      <c r="O70" s="8">
        <f>IF(A70="","",IFERROR(INDEX(Recipes!$S$5:$S$204,MATCH(A70,Recipes!$A$5:$A$204,0)),""))</f>
        <v>0</v>
      </c>
      <c r="P70" s="8">
        <f>IF(A70="","",IFERROR(INDEX(Recipes!$T$5:$T$204,MATCH(A70,Recipes!$A$5:$A$204,0)),""))</f>
        <v>0</v>
      </c>
      <c r="Q70" s="8">
        <f>IF(OR(A70="",F70=""),"",F70*7*3)</f>
        <v>0</v>
      </c>
      <c r="R70" s="25"/>
    </row>
    <row r="71" spans="1:18">
      <c r="A71" s="7"/>
      <c r="B71" s="8">
        <f>IF(A71="","",IFERROR(INDEX(Recipes!$B$5:$B$204,MATCH(A71,Recipes!$A$5:$A$204,0)),""))</f>
        <v>0</v>
      </c>
      <c r="C71" s="8">
        <f>IF(A71="","",IFERROR(INDEX(Recipes!$D$5:$D$204,MATCH(A71,Recipes!$A$5:$A$204,0)),""))</f>
        <v>0</v>
      </c>
      <c r="D71" s="8">
        <f>IF(A71="","",COUNTIFS('Recipe Ingredients'!$A$5:$A$1204,A71))</f>
        <v>0</v>
      </c>
      <c r="E71" s="8">
        <f>IF(A71="","",SUMIFS('Recipe Ingredients'!$H$5:$H$1204,'Recipe Ingredients'!$A$5:$A$1204,A71))</f>
        <v>0</v>
      </c>
      <c r="F71" s="8">
        <f>IF(A71="","",IFERROR(INDEX(Recipes!$Q$5:$Q$204,MATCH(A71,Recipes!$A$5:$A$204,0)),""))</f>
        <v>0</v>
      </c>
      <c r="G71" s="8">
        <f>IF(OR(A71="",N71="",N71=0),"",IFERROR(F71/N71*100,""))</f>
        <v>0</v>
      </c>
      <c r="H71" s="8">
        <f>IF(OR(A71="",F71=""),"",COUNTIFS($F$5:$F$204,"&lt;"&amp;F71)+1)</f>
        <v>0</v>
      </c>
      <c r="I71" s="8">
        <f>IF(A71="","",IFERROR(INDEX('Recipe Ingredients'!$B$5:$B$1204,MATCH(1,INDEX(('Recipe Ingredients'!$A$5:$A$1204=A71)*('Recipe Ingredients'!$H$5:$H$1204=J71),0),0)),""))</f>
        <v>0</v>
      </c>
      <c r="J71" s="8">
        <f>IF(A71="","",SUMPRODUCT(MAX(('Recipe Ingredients'!$A$5:$A$1204=A71)*'Recipe Ingredients'!$H$5:$H$1204)))</f>
        <v>0</v>
      </c>
      <c r="K71" s="8">
        <f>IF(OR(A71="",E71="",E71=0),"",IFERROR(J71/E71,""))</f>
        <v>0</v>
      </c>
      <c r="L71" s="8">
        <f>IF(OR(A71="",F71=""),"",IFERROR(F71-AVERAGE($F$5:$F$204),""))</f>
        <v>0</v>
      </c>
      <c r="M71" s="8">
        <f>IF(OR(A71="",F71=""),"",IF(F71&lt;=Weekly_Budget/21,"Within budget","Over budget"))</f>
        <v>0</v>
      </c>
      <c r="N71" s="8">
        <f>IF(A71="","",IFERROR(INDEX(Recipes!$H$5:$H$204,MATCH(A71,Recipes!$A$5:$A$204,0)),""))</f>
        <v>0</v>
      </c>
      <c r="O71" s="8">
        <f>IF(A71="","",IFERROR(INDEX(Recipes!$S$5:$S$204,MATCH(A71,Recipes!$A$5:$A$204,0)),""))</f>
        <v>0</v>
      </c>
      <c r="P71" s="8">
        <f>IF(A71="","",IFERROR(INDEX(Recipes!$T$5:$T$204,MATCH(A71,Recipes!$A$5:$A$204,0)),""))</f>
        <v>0</v>
      </c>
      <c r="Q71" s="8">
        <f>IF(OR(A71="",F71=""),"",F71*7*3)</f>
        <v>0</v>
      </c>
      <c r="R71" s="25"/>
    </row>
    <row r="72" spans="1:18">
      <c r="A72" s="7"/>
      <c r="B72" s="8">
        <f>IF(A72="","",IFERROR(INDEX(Recipes!$B$5:$B$204,MATCH(A72,Recipes!$A$5:$A$204,0)),""))</f>
        <v>0</v>
      </c>
      <c r="C72" s="8">
        <f>IF(A72="","",IFERROR(INDEX(Recipes!$D$5:$D$204,MATCH(A72,Recipes!$A$5:$A$204,0)),""))</f>
        <v>0</v>
      </c>
      <c r="D72" s="8">
        <f>IF(A72="","",COUNTIFS('Recipe Ingredients'!$A$5:$A$1204,A72))</f>
        <v>0</v>
      </c>
      <c r="E72" s="8">
        <f>IF(A72="","",SUMIFS('Recipe Ingredients'!$H$5:$H$1204,'Recipe Ingredients'!$A$5:$A$1204,A72))</f>
        <v>0</v>
      </c>
      <c r="F72" s="8">
        <f>IF(A72="","",IFERROR(INDEX(Recipes!$Q$5:$Q$204,MATCH(A72,Recipes!$A$5:$A$204,0)),""))</f>
        <v>0</v>
      </c>
      <c r="G72" s="8">
        <f>IF(OR(A72="",N72="",N72=0),"",IFERROR(F72/N72*100,""))</f>
        <v>0</v>
      </c>
      <c r="H72" s="8">
        <f>IF(OR(A72="",F72=""),"",COUNTIFS($F$5:$F$204,"&lt;"&amp;F72)+1)</f>
        <v>0</v>
      </c>
      <c r="I72" s="8">
        <f>IF(A72="","",IFERROR(INDEX('Recipe Ingredients'!$B$5:$B$1204,MATCH(1,INDEX(('Recipe Ingredients'!$A$5:$A$1204=A72)*('Recipe Ingredients'!$H$5:$H$1204=J72),0),0)),""))</f>
        <v>0</v>
      </c>
      <c r="J72" s="8">
        <f>IF(A72="","",SUMPRODUCT(MAX(('Recipe Ingredients'!$A$5:$A$1204=A72)*'Recipe Ingredients'!$H$5:$H$1204)))</f>
        <v>0</v>
      </c>
      <c r="K72" s="8">
        <f>IF(OR(A72="",E72="",E72=0),"",IFERROR(J72/E72,""))</f>
        <v>0</v>
      </c>
      <c r="L72" s="8">
        <f>IF(OR(A72="",F72=""),"",IFERROR(F72-AVERAGE($F$5:$F$204),""))</f>
        <v>0</v>
      </c>
      <c r="M72" s="8">
        <f>IF(OR(A72="",F72=""),"",IF(F72&lt;=Weekly_Budget/21,"Within budget","Over budget"))</f>
        <v>0</v>
      </c>
      <c r="N72" s="8">
        <f>IF(A72="","",IFERROR(INDEX(Recipes!$H$5:$H$204,MATCH(A72,Recipes!$A$5:$A$204,0)),""))</f>
        <v>0</v>
      </c>
      <c r="O72" s="8">
        <f>IF(A72="","",IFERROR(INDEX(Recipes!$S$5:$S$204,MATCH(A72,Recipes!$A$5:$A$204,0)),""))</f>
        <v>0</v>
      </c>
      <c r="P72" s="8">
        <f>IF(A72="","",IFERROR(INDEX(Recipes!$T$5:$T$204,MATCH(A72,Recipes!$A$5:$A$204,0)),""))</f>
        <v>0</v>
      </c>
      <c r="Q72" s="8">
        <f>IF(OR(A72="",F72=""),"",F72*7*3)</f>
        <v>0</v>
      </c>
      <c r="R72" s="25"/>
    </row>
    <row r="73" spans="1:18">
      <c r="A73" s="7"/>
      <c r="B73" s="8">
        <f>IF(A73="","",IFERROR(INDEX(Recipes!$B$5:$B$204,MATCH(A73,Recipes!$A$5:$A$204,0)),""))</f>
        <v>0</v>
      </c>
      <c r="C73" s="8">
        <f>IF(A73="","",IFERROR(INDEX(Recipes!$D$5:$D$204,MATCH(A73,Recipes!$A$5:$A$204,0)),""))</f>
        <v>0</v>
      </c>
      <c r="D73" s="8">
        <f>IF(A73="","",COUNTIFS('Recipe Ingredients'!$A$5:$A$1204,A73))</f>
        <v>0</v>
      </c>
      <c r="E73" s="8">
        <f>IF(A73="","",SUMIFS('Recipe Ingredients'!$H$5:$H$1204,'Recipe Ingredients'!$A$5:$A$1204,A73))</f>
        <v>0</v>
      </c>
      <c r="F73" s="8">
        <f>IF(A73="","",IFERROR(INDEX(Recipes!$Q$5:$Q$204,MATCH(A73,Recipes!$A$5:$A$204,0)),""))</f>
        <v>0</v>
      </c>
      <c r="G73" s="8">
        <f>IF(OR(A73="",N73="",N73=0),"",IFERROR(F73/N73*100,""))</f>
        <v>0</v>
      </c>
      <c r="H73" s="8">
        <f>IF(OR(A73="",F73=""),"",COUNTIFS($F$5:$F$204,"&lt;"&amp;F73)+1)</f>
        <v>0</v>
      </c>
      <c r="I73" s="8">
        <f>IF(A73="","",IFERROR(INDEX('Recipe Ingredients'!$B$5:$B$1204,MATCH(1,INDEX(('Recipe Ingredients'!$A$5:$A$1204=A73)*('Recipe Ingredients'!$H$5:$H$1204=J73),0),0)),""))</f>
        <v>0</v>
      </c>
      <c r="J73" s="8">
        <f>IF(A73="","",SUMPRODUCT(MAX(('Recipe Ingredients'!$A$5:$A$1204=A73)*'Recipe Ingredients'!$H$5:$H$1204)))</f>
        <v>0</v>
      </c>
      <c r="K73" s="8">
        <f>IF(OR(A73="",E73="",E73=0),"",IFERROR(J73/E73,""))</f>
        <v>0</v>
      </c>
      <c r="L73" s="8">
        <f>IF(OR(A73="",F73=""),"",IFERROR(F73-AVERAGE($F$5:$F$204),""))</f>
        <v>0</v>
      </c>
      <c r="M73" s="8">
        <f>IF(OR(A73="",F73=""),"",IF(F73&lt;=Weekly_Budget/21,"Within budget","Over budget"))</f>
        <v>0</v>
      </c>
      <c r="N73" s="8">
        <f>IF(A73="","",IFERROR(INDEX(Recipes!$H$5:$H$204,MATCH(A73,Recipes!$A$5:$A$204,0)),""))</f>
        <v>0</v>
      </c>
      <c r="O73" s="8">
        <f>IF(A73="","",IFERROR(INDEX(Recipes!$S$5:$S$204,MATCH(A73,Recipes!$A$5:$A$204,0)),""))</f>
        <v>0</v>
      </c>
      <c r="P73" s="8">
        <f>IF(A73="","",IFERROR(INDEX(Recipes!$T$5:$T$204,MATCH(A73,Recipes!$A$5:$A$204,0)),""))</f>
        <v>0</v>
      </c>
      <c r="Q73" s="8">
        <f>IF(OR(A73="",F73=""),"",F73*7*3)</f>
        <v>0</v>
      </c>
      <c r="R73" s="25"/>
    </row>
    <row r="74" spans="1:18">
      <c r="A74" s="7"/>
      <c r="B74" s="8">
        <f>IF(A74="","",IFERROR(INDEX(Recipes!$B$5:$B$204,MATCH(A74,Recipes!$A$5:$A$204,0)),""))</f>
        <v>0</v>
      </c>
      <c r="C74" s="8">
        <f>IF(A74="","",IFERROR(INDEX(Recipes!$D$5:$D$204,MATCH(A74,Recipes!$A$5:$A$204,0)),""))</f>
        <v>0</v>
      </c>
      <c r="D74" s="8">
        <f>IF(A74="","",COUNTIFS('Recipe Ingredients'!$A$5:$A$1204,A74))</f>
        <v>0</v>
      </c>
      <c r="E74" s="8">
        <f>IF(A74="","",SUMIFS('Recipe Ingredients'!$H$5:$H$1204,'Recipe Ingredients'!$A$5:$A$1204,A74))</f>
        <v>0</v>
      </c>
      <c r="F74" s="8">
        <f>IF(A74="","",IFERROR(INDEX(Recipes!$Q$5:$Q$204,MATCH(A74,Recipes!$A$5:$A$204,0)),""))</f>
        <v>0</v>
      </c>
      <c r="G74" s="8">
        <f>IF(OR(A74="",N74="",N74=0),"",IFERROR(F74/N74*100,""))</f>
        <v>0</v>
      </c>
      <c r="H74" s="8">
        <f>IF(OR(A74="",F74=""),"",COUNTIFS($F$5:$F$204,"&lt;"&amp;F74)+1)</f>
        <v>0</v>
      </c>
      <c r="I74" s="8">
        <f>IF(A74="","",IFERROR(INDEX('Recipe Ingredients'!$B$5:$B$1204,MATCH(1,INDEX(('Recipe Ingredients'!$A$5:$A$1204=A74)*('Recipe Ingredients'!$H$5:$H$1204=J74),0),0)),""))</f>
        <v>0</v>
      </c>
      <c r="J74" s="8">
        <f>IF(A74="","",SUMPRODUCT(MAX(('Recipe Ingredients'!$A$5:$A$1204=A74)*'Recipe Ingredients'!$H$5:$H$1204)))</f>
        <v>0</v>
      </c>
      <c r="K74" s="8">
        <f>IF(OR(A74="",E74="",E74=0),"",IFERROR(J74/E74,""))</f>
        <v>0</v>
      </c>
      <c r="L74" s="8">
        <f>IF(OR(A74="",F74=""),"",IFERROR(F74-AVERAGE($F$5:$F$204),""))</f>
        <v>0</v>
      </c>
      <c r="M74" s="8">
        <f>IF(OR(A74="",F74=""),"",IF(F74&lt;=Weekly_Budget/21,"Within budget","Over budget"))</f>
        <v>0</v>
      </c>
      <c r="N74" s="8">
        <f>IF(A74="","",IFERROR(INDEX(Recipes!$H$5:$H$204,MATCH(A74,Recipes!$A$5:$A$204,0)),""))</f>
        <v>0</v>
      </c>
      <c r="O74" s="8">
        <f>IF(A74="","",IFERROR(INDEX(Recipes!$S$5:$S$204,MATCH(A74,Recipes!$A$5:$A$204,0)),""))</f>
        <v>0</v>
      </c>
      <c r="P74" s="8">
        <f>IF(A74="","",IFERROR(INDEX(Recipes!$T$5:$T$204,MATCH(A74,Recipes!$A$5:$A$204,0)),""))</f>
        <v>0</v>
      </c>
      <c r="Q74" s="8">
        <f>IF(OR(A74="",F74=""),"",F74*7*3)</f>
        <v>0</v>
      </c>
      <c r="R74" s="25"/>
    </row>
    <row r="75" spans="1:18">
      <c r="A75" s="7"/>
      <c r="B75" s="8">
        <f>IF(A75="","",IFERROR(INDEX(Recipes!$B$5:$B$204,MATCH(A75,Recipes!$A$5:$A$204,0)),""))</f>
        <v>0</v>
      </c>
      <c r="C75" s="8">
        <f>IF(A75="","",IFERROR(INDEX(Recipes!$D$5:$D$204,MATCH(A75,Recipes!$A$5:$A$204,0)),""))</f>
        <v>0</v>
      </c>
      <c r="D75" s="8">
        <f>IF(A75="","",COUNTIFS('Recipe Ingredients'!$A$5:$A$1204,A75))</f>
        <v>0</v>
      </c>
      <c r="E75" s="8">
        <f>IF(A75="","",SUMIFS('Recipe Ingredients'!$H$5:$H$1204,'Recipe Ingredients'!$A$5:$A$1204,A75))</f>
        <v>0</v>
      </c>
      <c r="F75" s="8">
        <f>IF(A75="","",IFERROR(INDEX(Recipes!$Q$5:$Q$204,MATCH(A75,Recipes!$A$5:$A$204,0)),""))</f>
        <v>0</v>
      </c>
      <c r="G75" s="8">
        <f>IF(OR(A75="",N75="",N75=0),"",IFERROR(F75/N75*100,""))</f>
        <v>0</v>
      </c>
      <c r="H75" s="8">
        <f>IF(OR(A75="",F75=""),"",COUNTIFS($F$5:$F$204,"&lt;"&amp;F75)+1)</f>
        <v>0</v>
      </c>
      <c r="I75" s="8">
        <f>IF(A75="","",IFERROR(INDEX('Recipe Ingredients'!$B$5:$B$1204,MATCH(1,INDEX(('Recipe Ingredients'!$A$5:$A$1204=A75)*('Recipe Ingredients'!$H$5:$H$1204=J75),0),0)),""))</f>
        <v>0</v>
      </c>
      <c r="J75" s="8">
        <f>IF(A75="","",SUMPRODUCT(MAX(('Recipe Ingredients'!$A$5:$A$1204=A75)*'Recipe Ingredients'!$H$5:$H$1204)))</f>
        <v>0</v>
      </c>
      <c r="K75" s="8">
        <f>IF(OR(A75="",E75="",E75=0),"",IFERROR(J75/E75,""))</f>
        <v>0</v>
      </c>
      <c r="L75" s="8">
        <f>IF(OR(A75="",F75=""),"",IFERROR(F75-AVERAGE($F$5:$F$204),""))</f>
        <v>0</v>
      </c>
      <c r="M75" s="8">
        <f>IF(OR(A75="",F75=""),"",IF(F75&lt;=Weekly_Budget/21,"Within budget","Over budget"))</f>
        <v>0</v>
      </c>
      <c r="N75" s="8">
        <f>IF(A75="","",IFERROR(INDEX(Recipes!$H$5:$H$204,MATCH(A75,Recipes!$A$5:$A$204,0)),""))</f>
        <v>0</v>
      </c>
      <c r="O75" s="8">
        <f>IF(A75="","",IFERROR(INDEX(Recipes!$S$5:$S$204,MATCH(A75,Recipes!$A$5:$A$204,0)),""))</f>
        <v>0</v>
      </c>
      <c r="P75" s="8">
        <f>IF(A75="","",IFERROR(INDEX(Recipes!$T$5:$T$204,MATCH(A75,Recipes!$A$5:$A$204,0)),""))</f>
        <v>0</v>
      </c>
      <c r="Q75" s="8">
        <f>IF(OR(A75="",F75=""),"",F75*7*3)</f>
        <v>0</v>
      </c>
      <c r="R75" s="25"/>
    </row>
    <row r="76" spans="1:18">
      <c r="A76" s="7"/>
      <c r="B76" s="8">
        <f>IF(A76="","",IFERROR(INDEX(Recipes!$B$5:$B$204,MATCH(A76,Recipes!$A$5:$A$204,0)),""))</f>
        <v>0</v>
      </c>
      <c r="C76" s="8">
        <f>IF(A76="","",IFERROR(INDEX(Recipes!$D$5:$D$204,MATCH(A76,Recipes!$A$5:$A$204,0)),""))</f>
        <v>0</v>
      </c>
      <c r="D76" s="8">
        <f>IF(A76="","",COUNTIFS('Recipe Ingredients'!$A$5:$A$1204,A76))</f>
        <v>0</v>
      </c>
      <c r="E76" s="8">
        <f>IF(A76="","",SUMIFS('Recipe Ingredients'!$H$5:$H$1204,'Recipe Ingredients'!$A$5:$A$1204,A76))</f>
        <v>0</v>
      </c>
      <c r="F76" s="8">
        <f>IF(A76="","",IFERROR(INDEX(Recipes!$Q$5:$Q$204,MATCH(A76,Recipes!$A$5:$A$204,0)),""))</f>
        <v>0</v>
      </c>
      <c r="G76" s="8">
        <f>IF(OR(A76="",N76="",N76=0),"",IFERROR(F76/N76*100,""))</f>
        <v>0</v>
      </c>
      <c r="H76" s="8">
        <f>IF(OR(A76="",F76=""),"",COUNTIFS($F$5:$F$204,"&lt;"&amp;F76)+1)</f>
        <v>0</v>
      </c>
      <c r="I76" s="8">
        <f>IF(A76="","",IFERROR(INDEX('Recipe Ingredients'!$B$5:$B$1204,MATCH(1,INDEX(('Recipe Ingredients'!$A$5:$A$1204=A76)*('Recipe Ingredients'!$H$5:$H$1204=J76),0),0)),""))</f>
        <v>0</v>
      </c>
      <c r="J76" s="8">
        <f>IF(A76="","",SUMPRODUCT(MAX(('Recipe Ingredients'!$A$5:$A$1204=A76)*'Recipe Ingredients'!$H$5:$H$1204)))</f>
        <v>0</v>
      </c>
      <c r="K76" s="8">
        <f>IF(OR(A76="",E76="",E76=0),"",IFERROR(J76/E76,""))</f>
        <v>0</v>
      </c>
      <c r="L76" s="8">
        <f>IF(OR(A76="",F76=""),"",IFERROR(F76-AVERAGE($F$5:$F$204),""))</f>
        <v>0</v>
      </c>
      <c r="M76" s="8">
        <f>IF(OR(A76="",F76=""),"",IF(F76&lt;=Weekly_Budget/21,"Within budget","Over budget"))</f>
        <v>0</v>
      </c>
      <c r="N76" s="8">
        <f>IF(A76="","",IFERROR(INDEX(Recipes!$H$5:$H$204,MATCH(A76,Recipes!$A$5:$A$204,0)),""))</f>
        <v>0</v>
      </c>
      <c r="O76" s="8">
        <f>IF(A76="","",IFERROR(INDEX(Recipes!$S$5:$S$204,MATCH(A76,Recipes!$A$5:$A$204,0)),""))</f>
        <v>0</v>
      </c>
      <c r="P76" s="8">
        <f>IF(A76="","",IFERROR(INDEX(Recipes!$T$5:$T$204,MATCH(A76,Recipes!$A$5:$A$204,0)),""))</f>
        <v>0</v>
      </c>
      <c r="Q76" s="8">
        <f>IF(OR(A76="",F76=""),"",F76*7*3)</f>
        <v>0</v>
      </c>
      <c r="R76" s="25"/>
    </row>
    <row r="77" spans="1:18">
      <c r="A77" s="7"/>
      <c r="B77" s="8">
        <f>IF(A77="","",IFERROR(INDEX(Recipes!$B$5:$B$204,MATCH(A77,Recipes!$A$5:$A$204,0)),""))</f>
        <v>0</v>
      </c>
      <c r="C77" s="8">
        <f>IF(A77="","",IFERROR(INDEX(Recipes!$D$5:$D$204,MATCH(A77,Recipes!$A$5:$A$204,0)),""))</f>
        <v>0</v>
      </c>
      <c r="D77" s="8">
        <f>IF(A77="","",COUNTIFS('Recipe Ingredients'!$A$5:$A$1204,A77))</f>
        <v>0</v>
      </c>
      <c r="E77" s="8">
        <f>IF(A77="","",SUMIFS('Recipe Ingredients'!$H$5:$H$1204,'Recipe Ingredients'!$A$5:$A$1204,A77))</f>
        <v>0</v>
      </c>
      <c r="F77" s="8">
        <f>IF(A77="","",IFERROR(INDEX(Recipes!$Q$5:$Q$204,MATCH(A77,Recipes!$A$5:$A$204,0)),""))</f>
        <v>0</v>
      </c>
      <c r="G77" s="8">
        <f>IF(OR(A77="",N77="",N77=0),"",IFERROR(F77/N77*100,""))</f>
        <v>0</v>
      </c>
      <c r="H77" s="8">
        <f>IF(OR(A77="",F77=""),"",COUNTIFS($F$5:$F$204,"&lt;"&amp;F77)+1)</f>
        <v>0</v>
      </c>
      <c r="I77" s="8">
        <f>IF(A77="","",IFERROR(INDEX('Recipe Ingredients'!$B$5:$B$1204,MATCH(1,INDEX(('Recipe Ingredients'!$A$5:$A$1204=A77)*('Recipe Ingredients'!$H$5:$H$1204=J77),0),0)),""))</f>
        <v>0</v>
      </c>
      <c r="J77" s="8">
        <f>IF(A77="","",SUMPRODUCT(MAX(('Recipe Ingredients'!$A$5:$A$1204=A77)*'Recipe Ingredients'!$H$5:$H$1204)))</f>
        <v>0</v>
      </c>
      <c r="K77" s="8">
        <f>IF(OR(A77="",E77="",E77=0),"",IFERROR(J77/E77,""))</f>
        <v>0</v>
      </c>
      <c r="L77" s="8">
        <f>IF(OR(A77="",F77=""),"",IFERROR(F77-AVERAGE($F$5:$F$204),""))</f>
        <v>0</v>
      </c>
      <c r="M77" s="8">
        <f>IF(OR(A77="",F77=""),"",IF(F77&lt;=Weekly_Budget/21,"Within budget","Over budget"))</f>
        <v>0</v>
      </c>
      <c r="N77" s="8">
        <f>IF(A77="","",IFERROR(INDEX(Recipes!$H$5:$H$204,MATCH(A77,Recipes!$A$5:$A$204,0)),""))</f>
        <v>0</v>
      </c>
      <c r="O77" s="8">
        <f>IF(A77="","",IFERROR(INDEX(Recipes!$S$5:$S$204,MATCH(A77,Recipes!$A$5:$A$204,0)),""))</f>
        <v>0</v>
      </c>
      <c r="P77" s="8">
        <f>IF(A77="","",IFERROR(INDEX(Recipes!$T$5:$T$204,MATCH(A77,Recipes!$A$5:$A$204,0)),""))</f>
        <v>0</v>
      </c>
      <c r="Q77" s="8">
        <f>IF(OR(A77="",F77=""),"",F77*7*3)</f>
        <v>0</v>
      </c>
      <c r="R77" s="25"/>
    </row>
    <row r="78" spans="1:18">
      <c r="A78" s="7"/>
      <c r="B78" s="8">
        <f>IF(A78="","",IFERROR(INDEX(Recipes!$B$5:$B$204,MATCH(A78,Recipes!$A$5:$A$204,0)),""))</f>
        <v>0</v>
      </c>
      <c r="C78" s="8">
        <f>IF(A78="","",IFERROR(INDEX(Recipes!$D$5:$D$204,MATCH(A78,Recipes!$A$5:$A$204,0)),""))</f>
        <v>0</v>
      </c>
      <c r="D78" s="8">
        <f>IF(A78="","",COUNTIFS('Recipe Ingredients'!$A$5:$A$1204,A78))</f>
        <v>0</v>
      </c>
      <c r="E78" s="8">
        <f>IF(A78="","",SUMIFS('Recipe Ingredients'!$H$5:$H$1204,'Recipe Ingredients'!$A$5:$A$1204,A78))</f>
        <v>0</v>
      </c>
      <c r="F78" s="8">
        <f>IF(A78="","",IFERROR(INDEX(Recipes!$Q$5:$Q$204,MATCH(A78,Recipes!$A$5:$A$204,0)),""))</f>
        <v>0</v>
      </c>
      <c r="G78" s="8">
        <f>IF(OR(A78="",N78="",N78=0),"",IFERROR(F78/N78*100,""))</f>
        <v>0</v>
      </c>
      <c r="H78" s="8">
        <f>IF(OR(A78="",F78=""),"",COUNTIFS($F$5:$F$204,"&lt;"&amp;F78)+1)</f>
        <v>0</v>
      </c>
      <c r="I78" s="8">
        <f>IF(A78="","",IFERROR(INDEX('Recipe Ingredients'!$B$5:$B$1204,MATCH(1,INDEX(('Recipe Ingredients'!$A$5:$A$1204=A78)*('Recipe Ingredients'!$H$5:$H$1204=J78),0),0)),""))</f>
        <v>0</v>
      </c>
      <c r="J78" s="8">
        <f>IF(A78="","",SUMPRODUCT(MAX(('Recipe Ingredients'!$A$5:$A$1204=A78)*'Recipe Ingredients'!$H$5:$H$1204)))</f>
        <v>0</v>
      </c>
      <c r="K78" s="8">
        <f>IF(OR(A78="",E78="",E78=0),"",IFERROR(J78/E78,""))</f>
        <v>0</v>
      </c>
      <c r="L78" s="8">
        <f>IF(OR(A78="",F78=""),"",IFERROR(F78-AVERAGE($F$5:$F$204),""))</f>
        <v>0</v>
      </c>
      <c r="M78" s="8">
        <f>IF(OR(A78="",F78=""),"",IF(F78&lt;=Weekly_Budget/21,"Within budget","Over budget"))</f>
        <v>0</v>
      </c>
      <c r="N78" s="8">
        <f>IF(A78="","",IFERROR(INDEX(Recipes!$H$5:$H$204,MATCH(A78,Recipes!$A$5:$A$204,0)),""))</f>
        <v>0</v>
      </c>
      <c r="O78" s="8">
        <f>IF(A78="","",IFERROR(INDEX(Recipes!$S$5:$S$204,MATCH(A78,Recipes!$A$5:$A$204,0)),""))</f>
        <v>0</v>
      </c>
      <c r="P78" s="8">
        <f>IF(A78="","",IFERROR(INDEX(Recipes!$T$5:$T$204,MATCH(A78,Recipes!$A$5:$A$204,0)),""))</f>
        <v>0</v>
      </c>
      <c r="Q78" s="8">
        <f>IF(OR(A78="",F78=""),"",F78*7*3)</f>
        <v>0</v>
      </c>
      <c r="R78" s="25"/>
    </row>
    <row r="79" spans="1:18">
      <c r="A79" s="7"/>
      <c r="B79" s="8">
        <f>IF(A79="","",IFERROR(INDEX(Recipes!$B$5:$B$204,MATCH(A79,Recipes!$A$5:$A$204,0)),""))</f>
        <v>0</v>
      </c>
      <c r="C79" s="8">
        <f>IF(A79="","",IFERROR(INDEX(Recipes!$D$5:$D$204,MATCH(A79,Recipes!$A$5:$A$204,0)),""))</f>
        <v>0</v>
      </c>
      <c r="D79" s="8">
        <f>IF(A79="","",COUNTIFS('Recipe Ingredients'!$A$5:$A$1204,A79))</f>
        <v>0</v>
      </c>
      <c r="E79" s="8">
        <f>IF(A79="","",SUMIFS('Recipe Ingredients'!$H$5:$H$1204,'Recipe Ingredients'!$A$5:$A$1204,A79))</f>
        <v>0</v>
      </c>
      <c r="F79" s="8">
        <f>IF(A79="","",IFERROR(INDEX(Recipes!$Q$5:$Q$204,MATCH(A79,Recipes!$A$5:$A$204,0)),""))</f>
        <v>0</v>
      </c>
      <c r="G79" s="8">
        <f>IF(OR(A79="",N79="",N79=0),"",IFERROR(F79/N79*100,""))</f>
        <v>0</v>
      </c>
      <c r="H79" s="8">
        <f>IF(OR(A79="",F79=""),"",COUNTIFS($F$5:$F$204,"&lt;"&amp;F79)+1)</f>
        <v>0</v>
      </c>
      <c r="I79" s="8">
        <f>IF(A79="","",IFERROR(INDEX('Recipe Ingredients'!$B$5:$B$1204,MATCH(1,INDEX(('Recipe Ingredients'!$A$5:$A$1204=A79)*('Recipe Ingredients'!$H$5:$H$1204=J79),0),0)),""))</f>
        <v>0</v>
      </c>
      <c r="J79" s="8">
        <f>IF(A79="","",SUMPRODUCT(MAX(('Recipe Ingredients'!$A$5:$A$1204=A79)*'Recipe Ingredients'!$H$5:$H$1204)))</f>
        <v>0</v>
      </c>
      <c r="K79" s="8">
        <f>IF(OR(A79="",E79="",E79=0),"",IFERROR(J79/E79,""))</f>
        <v>0</v>
      </c>
      <c r="L79" s="8">
        <f>IF(OR(A79="",F79=""),"",IFERROR(F79-AVERAGE($F$5:$F$204),""))</f>
        <v>0</v>
      </c>
      <c r="M79" s="8">
        <f>IF(OR(A79="",F79=""),"",IF(F79&lt;=Weekly_Budget/21,"Within budget","Over budget"))</f>
        <v>0</v>
      </c>
      <c r="N79" s="8">
        <f>IF(A79="","",IFERROR(INDEX(Recipes!$H$5:$H$204,MATCH(A79,Recipes!$A$5:$A$204,0)),""))</f>
        <v>0</v>
      </c>
      <c r="O79" s="8">
        <f>IF(A79="","",IFERROR(INDEX(Recipes!$S$5:$S$204,MATCH(A79,Recipes!$A$5:$A$204,0)),""))</f>
        <v>0</v>
      </c>
      <c r="P79" s="8">
        <f>IF(A79="","",IFERROR(INDEX(Recipes!$T$5:$T$204,MATCH(A79,Recipes!$A$5:$A$204,0)),""))</f>
        <v>0</v>
      </c>
      <c r="Q79" s="8">
        <f>IF(OR(A79="",F79=""),"",F79*7*3)</f>
        <v>0</v>
      </c>
      <c r="R79" s="25"/>
    </row>
    <row r="80" spans="1:18">
      <c r="A80" s="7"/>
      <c r="B80" s="8">
        <f>IF(A80="","",IFERROR(INDEX(Recipes!$B$5:$B$204,MATCH(A80,Recipes!$A$5:$A$204,0)),""))</f>
        <v>0</v>
      </c>
      <c r="C80" s="8">
        <f>IF(A80="","",IFERROR(INDEX(Recipes!$D$5:$D$204,MATCH(A80,Recipes!$A$5:$A$204,0)),""))</f>
        <v>0</v>
      </c>
      <c r="D80" s="8">
        <f>IF(A80="","",COUNTIFS('Recipe Ingredients'!$A$5:$A$1204,A80))</f>
        <v>0</v>
      </c>
      <c r="E80" s="8">
        <f>IF(A80="","",SUMIFS('Recipe Ingredients'!$H$5:$H$1204,'Recipe Ingredients'!$A$5:$A$1204,A80))</f>
        <v>0</v>
      </c>
      <c r="F80" s="8">
        <f>IF(A80="","",IFERROR(INDEX(Recipes!$Q$5:$Q$204,MATCH(A80,Recipes!$A$5:$A$204,0)),""))</f>
        <v>0</v>
      </c>
      <c r="G80" s="8">
        <f>IF(OR(A80="",N80="",N80=0),"",IFERROR(F80/N80*100,""))</f>
        <v>0</v>
      </c>
      <c r="H80" s="8">
        <f>IF(OR(A80="",F80=""),"",COUNTIFS($F$5:$F$204,"&lt;"&amp;F80)+1)</f>
        <v>0</v>
      </c>
      <c r="I80" s="8">
        <f>IF(A80="","",IFERROR(INDEX('Recipe Ingredients'!$B$5:$B$1204,MATCH(1,INDEX(('Recipe Ingredients'!$A$5:$A$1204=A80)*('Recipe Ingredients'!$H$5:$H$1204=J80),0),0)),""))</f>
        <v>0</v>
      </c>
      <c r="J80" s="8">
        <f>IF(A80="","",SUMPRODUCT(MAX(('Recipe Ingredients'!$A$5:$A$1204=A80)*'Recipe Ingredients'!$H$5:$H$1204)))</f>
        <v>0</v>
      </c>
      <c r="K80" s="8">
        <f>IF(OR(A80="",E80="",E80=0),"",IFERROR(J80/E80,""))</f>
        <v>0</v>
      </c>
      <c r="L80" s="8">
        <f>IF(OR(A80="",F80=""),"",IFERROR(F80-AVERAGE($F$5:$F$204),""))</f>
        <v>0</v>
      </c>
      <c r="M80" s="8">
        <f>IF(OR(A80="",F80=""),"",IF(F80&lt;=Weekly_Budget/21,"Within budget","Over budget"))</f>
        <v>0</v>
      </c>
      <c r="N80" s="8">
        <f>IF(A80="","",IFERROR(INDEX(Recipes!$H$5:$H$204,MATCH(A80,Recipes!$A$5:$A$204,0)),""))</f>
        <v>0</v>
      </c>
      <c r="O80" s="8">
        <f>IF(A80="","",IFERROR(INDEX(Recipes!$S$5:$S$204,MATCH(A80,Recipes!$A$5:$A$204,0)),""))</f>
        <v>0</v>
      </c>
      <c r="P80" s="8">
        <f>IF(A80="","",IFERROR(INDEX(Recipes!$T$5:$T$204,MATCH(A80,Recipes!$A$5:$A$204,0)),""))</f>
        <v>0</v>
      </c>
      <c r="Q80" s="8">
        <f>IF(OR(A80="",F80=""),"",F80*7*3)</f>
        <v>0</v>
      </c>
      <c r="R80" s="25"/>
    </row>
    <row r="81" spans="1:18">
      <c r="A81" s="7"/>
      <c r="B81" s="8">
        <f>IF(A81="","",IFERROR(INDEX(Recipes!$B$5:$B$204,MATCH(A81,Recipes!$A$5:$A$204,0)),""))</f>
        <v>0</v>
      </c>
      <c r="C81" s="8">
        <f>IF(A81="","",IFERROR(INDEX(Recipes!$D$5:$D$204,MATCH(A81,Recipes!$A$5:$A$204,0)),""))</f>
        <v>0</v>
      </c>
      <c r="D81" s="8">
        <f>IF(A81="","",COUNTIFS('Recipe Ingredients'!$A$5:$A$1204,A81))</f>
        <v>0</v>
      </c>
      <c r="E81" s="8">
        <f>IF(A81="","",SUMIFS('Recipe Ingredients'!$H$5:$H$1204,'Recipe Ingredients'!$A$5:$A$1204,A81))</f>
        <v>0</v>
      </c>
      <c r="F81" s="8">
        <f>IF(A81="","",IFERROR(INDEX(Recipes!$Q$5:$Q$204,MATCH(A81,Recipes!$A$5:$A$204,0)),""))</f>
        <v>0</v>
      </c>
      <c r="G81" s="8">
        <f>IF(OR(A81="",N81="",N81=0),"",IFERROR(F81/N81*100,""))</f>
        <v>0</v>
      </c>
      <c r="H81" s="8">
        <f>IF(OR(A81="",F81=""),"",COUNTIFS($F$5:$F$204,"&lt;"&amp;F81)+1)</f>
        <v>0</v>
      </c>
      <c r="I81" s="8">
        <f>IF(A81="","",IFERROR(INDEX('Recipe Ingredients'!$B$5:$B$1204,MATCH(1,INDEX(('Recipe Ingredients'!$A$5:$A$1204=A81)*('Recipe Ingredients'!$H$5:$H$1204=J81),0),0)),""))</f>
        <v>0</v>
      </c>
      <c r="J81" s="8">
        <f>IF(A81="","",SUMPRODUCT(MAX(('Recipe Ingredients'!$A$5:$A$1204=A81)*'Recipe Ingredients'!$H$5:$H$1204)))</f>
        <v>0</v>
      </c>
      <c r="K81" s="8">
        <f>IF(OR(A81="",E81="",E81=0),"",IFERROR(J81/E81,""))</f>
        <v>0</v>
      </c>
      <c r="L81" s="8">
        <f>IF(OR(A81="",F81=""),"",IFERROR(F81-AVERAGE($F$5:$F$204),""))</f>
        <v>0</v>
      </c>
      <c r="M81" s="8">
        <f>IF(OR(A81="",F81=""),"",IF(F81&lt;=Weekly_Budget/21,"Within budget","Over budget"))</f>
        <v>0</v>
      </c>
      <c r="N81" s="8">
        <f>IF(A81="","",IFERROR(INDEX(Recipes!$H$5:$H$204,MATCH(A81,Recipes!$A$5:$A$204,0)),""))</f>
        <v>0</v>
      </c>
      <c r="O81" s="8">
        <f>IF(A81="","",IFERROR(INDEX(Recipes!$S$5:$S$204,MATCH(A81,Recipes!$A$5:$A$204,0)),""))</f>
        <v>0</v>
      </c>
      <c r="P81" s="8">
        <f>IF(A81="","",IFERROR(INDEX(Recipes!$T$5:$T$204,MATCH(A81,Recipes!$A$5:$A$204,0)),""))</f>
        <v>0</v>
      </c>
      <c r="Q81" s="8">
        <f>IF(OR(A81="",F81=""),"",F81*7*3)</f>
        <v>0</v>
      </c>
      <c r="R81" s="25"/>
    </row>
    <row r="82" spans="1:18">
      <c r="A82" s="7"/>
      <c r="B82" s="8">
        <f>IF(A82="","",IFERROR(INDEX(Recipes!$B$5:$B$204,MATCH(A82,Recipes!$A$5:$A$204,0)),""))</f>
        <v>0</v>
      </c>
      <c r="C82" s="8">
        <f>IF(A82="","",IFERROR(INDEX(Recipes!$D$5:$D$204,MATCH(A82,Recipes!$A$5:$A$204,0)),""))</f>
        <v>0</v>
      </c>
      <c r="D82" s="8">
        <f>IF(A82="","",COUNTIFS('Recipe Ingredients'!$A$5:$A$1204,A82))</f>
        <v>0</v>
      </c>
      <c r="E82" s="8">
        <f>IF(A82="","",SUMIFS('Recipe Ingredients'!$H$5:$H$1204,'Recipe Ingredients'!$A$5:$A$1204,A82))</f>
        <v>0</v>
      </c>
      <c r="F82" s="8">
        <f>IF(A82="","",IFERROR(INDEX(Recipes!$Q$5:$Q$204,MATCH(A82,Recipes!$A$5:$A$204,0)),""))</f>
        <v>0</v>
      </c>
      <c r="G82" s="8">
        <f>IF(OR(A82="",N82="",N82=0),"",IFERROR(F82/N82*100,""))</f>
        <v>0</v>
      </c>
      <c r="H82" s="8">
        <f>IF(OR(A82="",F82=""),"",COUNTIFS($F$5:$F$204,"&lt;"&amp;F82)+1)</f>
        <v>0</v>
      </c>
      <c r="I82" s="8">
        <f>IF(A82="","",IFERROR(INDEX('Recipe Ingredients'!$B$5:$B$1204,MATCH(1,INDEX(('Recipe Ingredients'!$A$5:$A$1204=A82)*('Recipe Ingredients'!$H$5:$H$1204=J82),0),0)),""))</f>
        <v>0</v>
      </c>
      <c r="J82" s="8">
        <f>IF(A82="","",SUMPRODUCT(MAX(('Recipe Ingredients'!$A$5:$A$1204=A82)*'Recipe Ingredients'!$H$5:$H$1204)))</f>
        <v>0</v>
      </c>
      <c r="K82" s="8">
        <f>IF(OR(A82="",E82="",E82=0),"",IFERROR(J82/E82,""))</f>
        <v>0</v>
      </c>
      <c r="L82" s="8">
        <f>IF(OR(A82="",F82=""),"",IFERROR(F82-AVERAGE($F$5:$F$204),""))</f>
        <v>0</v>
      </c>
      <c r="M82" s="8">
        <f>IF(OR(A82="",F82=""),"",IF(F82&lt;=Weekly_Budget/21,"Within budget","Over budget"))</f>
        <v>0</v>
      </c>
      <c r="N82" s="8">
        <f>IF(A82="","",IFERROR(INDEX(Recipes!$H$5:$H$204,MATCH(A82,Recipes!$A$5:$A$204,0)),""))</f>
        <v>0</v>
      </c>
      <c r="O82" s="8">
        <f>IF(A82="","",IFERROR(INDEX(Recipes!$S$5:$S$204,MATCH(A82,Recipes!$A$5:$A$204,0)),""))</f>
        <v>0</v>
      </c>
      <c r="P82" s="8">
        <f>IF(A82="","",IFERROR(INDEX(Recipes!$T$5:$T$204,MATCH(A82,Recipes!$A$5:$A$204,0)),""))</f>
        <v>0</v>
      </c>
      <c r="Q82" s="8">
        <f>IF(OR(A82="",F82=""),"",F82*7*3)</f>
        <v>0</v>
      </c>
      <c r="R82" s="25"/>
    </row>
    <row r="83" spans="1:18">
      <c r="A83" s="7"/>
      <c r="B83" s="8">
        <f>IF(A83="","",IFERROR(INDEX(Recipes!$B$5:$B$204,MATCH(A83,Recipes!$A$5:$A$204,0)),""))</f>
        <v>0</v>
      </c>
      <c r="C83" s="8">
        <f>IF(A83="","",IFERROR(INDEX(Recipes!$D$5:$D$204,MATCH(A83,Recipes!$A$5:$A$204,0)),""))</f>
        <v>0</v>
      </c>
      <c r="D83" s="8">
        <f>IF(A83="","",COUNTIFS('Recipe Ingredients'!$A$5:$A$1204,A83))</f>
        <v>0</v>
      </c>
      <c r="E83" s="8">
        <f>IF(A83="","",SUMIFS('Recipe Ingredients'!$H$5:$H$1204,'Recipe Ingredients'!$A$5:$A$1204,A83))</f>
        <v>0</v>
      </c>
      <c r="F83" s="8">
        <f>IF(A83="","",IFERROR(INDEX(Recipes!$Q$5:$Q$204,MATCH(A83,Recipes!$A$5:$A$204,0)),""))</f>
        <v>0</v>
      </c>
      <c r="G83" s="8">
        <f>IF(OR(A83="",N83="",N83=0),"",IFERROR(F83/N83*100,""))</f>
        <v>0</v>
      </c>
      <c r="H83" s="8">
        <f>IF(OR(A83="",F83=""),"",COUNTIFS($F$5:$F$204,"&lt;"&amp;F83)+1)</f>
        <v>0</v>
      </c>
      <c r="I83" s="8">
        <f>IF(A83="","",IFERROR(INDEX('Recipe Ingredients'!$B$5:$B$1204,MATCH(1,INDEX(('Recipe Ingredients'!$A$5:$A$1204=A83)*('Recipe Ingredients'!$H$5:$H$1204=J83),0),0)),""))</f>
        <v>0</v>
      </c>
      <c r="J83" s="8">
        <f>IF(A83="","",SUMPRODUCT(MAX(('Recipe Ingredients'!$A$5:$A$1204=A83)*'Recipe Ingredients'!$H$5:$H$1204)))</f>
        <v>0</v>
      </c>
      <c r="K83" s="8">
        <f>IF(OR(A83="",E83="",E83=0),"",IFERROR(J83/E83,""))</f>
        <v>0</v>
      </c>
      <c r="L83" s="8">
        <f>IF(OR(A83="",F83=""),"",IFERROR(F83-AVERAGE($F$5:$F$204),""))</f>
        <v>0</v>
      </c>
      <c r="M83" s="8">
        <f>IF(OR(A83="",F83=""),"",IF(F83&lt;=Weekly_Budget/21,"Within budget","Over budget"))</f>
        <v>0</v>
      </c>
      <c r="N83" s="8">
        <f>IF(A83="","",IFERROR(INDEX(Recipes!$H$5:$H$204,MATCH(A83,Recipes!$A$5:$A$204,0)),""))</f>
        <v>0</v>
      </c>
      <c r="O83" s="8">
        <f>IF(A83="","",IFERROR(INDEX(Recipes!$S$5:$S$204,MATCH(A83,Recipes!$A$5:$A$204,0)),""))</f>
        <v>0</v>
      </c>
      <c r="P83" s="8">
        <f>IF(A83="","",IFERROR(INDEX(Recipes!$T$5:$T$204,MATCH(A83,Recipes!$A$5:$A$204,0)),""))</f>
        <v>0</v>
      </c>
      <c r="Q83" s="8">
        <f>IF(OR(A83="",F83=""),"",F83*7*3)</f>
        <v>0</v>
      </c>
      <c r="R83" s="25"/>
    </row>
    <row r="84" spans="1:18">
      <c r="A84" s="7"/>
      <c r="B84" s="8">
        <f>IF(A84="","",IFERROR(INDEX(Recipes!$B$5:$B$204,MATCH(A84,Recipes!$A$5:$A$204,0)),""))</f>
        <v>0</v>
      </c>
      <c r="C84" s="8">
        <f>IF(A84="","",IFERROR(INDEX(Recipes!$D$5:$D$204,MATCH(A84,Recipes!$A$5:$A$204,0)),""))</f>
        <v>0</v>
      </c>
      <c r="D84" s="8">
        <f>IF(A84="","",COUNTIFS('Recipe Ingredients'!$A$5:$A$1204,A84))</f>
        <v>0</v>
      </c>
      <c r="E84" s="8">
        <f>IF(A84="","",SUMIFS('Recipe Ingredients'!$H$5:$H$1204,'Recipe Ingredients'!$A$5:$A$1204,A84))</f>
        <v>0</v>
      </c>
      <c r="F84" s="8">
        <f>IF(A84="","",IFERROR(INDEX(Recipes!$Q$5:$Q$204,MATCH(A84,Recipes!$A$5:$A$204,0)),""))</f>
        <v>0</v>
      </c>
      <c r="G84" s="8">
        <f>IF(OR(A84="",N84="",N84=0),"",IFERROR(F84/N84*100,""))</f>
        <v>0</v>
      </c>
      <c r="H84" s="8">
        <f>IF(OR(A84="",F84=""),"",COUNTIFS($F$5:$F$204,"&lt;"&amp;F84)+1)</f>
        <v>0</v>
      </c>
      <c r="I84" s="8">
        <f>IF(A84="","",IFERROR(INDEX('Recipe Ingredients'!$B$5:$B$1204,MATCH(1,INDEX(('Recipe Ingredients'!$A$5:$A$1204=A84)*('Recipe Ingredients'!$H$5:$H$1204=J84),0),0)),""))</f>
        <v>0</v>
      </c>
      <c r="J84" s="8">
        <f>IF(A84="","",SUMPRODUCT(MAX(('Recipe Ingredients'!$A$5:$A$1204=A84)*'Recipe Ingredients'!$H$5:$H$1204)))</f>
        <v>0</v>
      </c>
      <c r="K84" s="8">
        <f>IF(OR(A84="",E84="",E84=0),"",IFERROR(J84/E84,""))</f>
        <v>0</v>
      </c>
      <c r="L84" s="8">
        <f>IF(OR(A84="",F84=""),"",IFERROR(F84-AVERAGE($F$5:$F$204),""))</f>
        <v>0</v>
      </c>
      <c r="M84" s="8">
        <f>IF(OR(A84="",F84=""),"",IF(F84&lt;=Weekly_Budget/21,"Within budget","Over budget"))</f>
        <v>0</v>
      </c>
      <c r="N84" s="8">
        <f>IF(A84="","",IFERROR(INDEX(Recipes!$H$5:$H$204,MATCH(A84,Recipes!$A$5:$A$204,0)),""))</f>
        <v>0</v>
      </c>
      <c r="O84" s="8">
        <f>IF(A84="","",IFERROR(INDEX(Recipes!$S$5:$S$204,MATCH(A84,Recipes!$A$5:$A$204,0)),""))</f>
        <v>0</v>
      </c>
      <c r="P84" s="8">
        <f>IF(A84="","",IFERROR(INDEX(Recipes!$T$5:$T$204,MATCH(A84,Recipes!$A$5:$A$204,0)),""))</f>
        <v>0</v>
      </c>
      <c r="Q84" s="8">
        <f>IF(OR(A84="",F84=""),"",F84*7*3)</f>
        <v>0</v>
      </c>
      <c r="R84" s="25"/>
    </row>
    <row r="85" spans="1:18">
      <c r="A85" s="7"/>
      <c r="B85" s="8">
        <f>IF(A85="","",IFERROR(INDEX(Recipes!$B$5:$B$204,MATCH(A85,Recipes!$A$5:$A$204,0)),""))</f>
        <v>0</v>
      </c>
      <c r="C85" s="8">
        <f>IF(A85="","",IFERROR(INDEX(Recipes!$D$5:$D$204,MATCH(A85,Recipes!$A$5:$A$204,0)),""))</f>
        <v>0</v>
      </c>
      <c r="D85" s="8">
        <f>IF(A85="","",COUNTIFS('Recipe Ingredients'!$A$5:$A$1204,A85))</f>
        <v>0</v>
      </c>
      <c r="E85" s="8">
        <f>IF(A85="","",SUMIFS('Recipe Ingredients'!$H$5:$H$1204,'Recipe Ingredients'!$A$5:$A$1204,A85))</f>
        <v>0</v>
      </c>
      <c r="F85" s="8">
        <f>IF(A85="","",IFERROR(INDEX(Recipes!$Q$5:$Q$204,MATCH(A85,Recipes!$A$5:$A$204,0)),""))</f>
        <v>0</v>
      </c>
      <c r="G85" s="8">
        <f>IF(OR(A85="",N85="",N85=0),"",IFERROR(F85/N85*100,""))</f>
        <v>0</v>
      </c>
      <c r="H85" s="8">
        <f>IF(OR(A85="",F85=""),"",COUNTIFS($F$5:$F$204,"&lt;"&amp;F85)+1)</f>
        <v>0</v>
      </c>
      <c r="I85" s="8">
        <f>IF(A85="","",IFERROR(INDEX('Recipe Ingredients'!$B$5:$B$1204,MATCH(1,INDEX(('Recipe Ingredients'!$A$5:$A$1204=A85)*('Recipe Ingredients'!$H$5:$H$1204=J85),0),0)),""))</f>
        <v>0</v>
      </c>
      <c r="J85" s="8">
        <f>IF(A85="","",SUMPRODUCT(MAX(('Recipe Ingredients'!$A$5:$A$1204=A85)*'Recipe Ingredients'!$H$5:$H$1204)))</f>
        <v>0</v>
      </c>
      <c r="K85" s="8">
        <f>IF(OR(A85="",E85="",E85=0),"",IFERROR(J85/E85,""))</f>
        <v>0</v>
      </c>
      <c r="L85" s="8">
        <f>IF(OR(A85="",F85=""),"",IFERROR(F85-AVERAGE($F$5:$F$204),""))</f>
        <v>0</v>
      </c>
      <c r="M85" s="8">
        <f>IF(OR(A85="",F85=""),"",IF(F85&lt;=Weekly_Budget/21,"Within budget","Over budget"))</f>
        <v>0</v>
      </c>
      <c r="N85" s="8">
        <f>IF(A85="","",IFERROR(INDEX(Recipes!$H$5:$H$204,MATCH(A85,Recipes!$A$5:$A$204,0)),""))</f>
        <v>0</v>
      </c>
      <c r="O85" s="8">
        <f>IF(A85="","",IFERROR(INDEX(Recipes!$S$5:$S$204,MATCH(A85,Recipes!$A$5:$A$204,0)),""))</f>
        <v>0</v>
      </c>
      <c r="P85" s="8">
        <f>IF(A85="","",IFERROR(INDEX(Recipes!$T$5:$T$204,MATCH(A85,Recipes!$A$5:$A$204,0)),""))</f>
        <v>0</v>
      </c>
      <c r="Q85" s="8">
        <f>IF(OR(A85="",F85=""),"",F85*7*3)</f>
        <v>0</v>
      </c>
      <c r="R85" s="25"/>
    </row>
    <row r="86" spans="1:18">
      <c r="A86" s="7"/>
      <c r="B86" s="8">
        <f>IF(A86="","",IFERROR(INDEX(Recipes!$B$5:$B$204,MATCH(A86,Recipes!$A$5:$A$204,0)),""))</f>
        <v>0</v>
      </c>
      <c r="C86" s="8">
        <f>IF(A86="","",IFERROR(INDEX(Recipes!$D$5:$D$204,MATCH(A86,Recipes!$A$5:$A$204,0)),""))</f>
        <v>0</v>
      </c>
      <c r="D86" s="8">
        <f>IF(A86="","",COUNTIFS('Recipe Ingredients'!$A$5:$A$1204,A86))</f>
        <v>0</v>
      </c>
      <c r="E86" s="8">
        <f>IF(A86="","",SUMIFS('Recipe Ingredients'!$H$5:$H$1204,'Recipe Ingredients'!$A$5:$A$1204,A86))</f>
        <v>0</v>
      </c>
      <c r="F86" s="8">
        <f>IF(A86="","",IFERROR(INDEX(Recipes!$Q$5:$Q$204,MATCH(A86,Recipes!$A$5:$A$204,0)),""))</f>
        <v>0</v>
      </c>
      <c r="G86" s="8">
        <f>IF(OR(A86="",N86="",N86=0),"",IFERROR(F86/N86*100,""))</f>
        <v>0</v>
      </c>
      <c r="H86" s="8">
        <f>IF(OR(A86="",F86=""),"",COUNTIFS($F$5:$F$204,"&lt;"&amp;F86)+1)</f>
        <v>0</v>
      </c>
      <c r="I86" s="8">
        <f>IF(A86="","",IFERROR(INDEX('Recipe Ingredients'!$B$5:$B$1204,MATCH(1,INDEX(('Recipe Ingredients'!$A$5:$A$1204=A86)*('Recipe Ingredients'!$H$5:$H$1204=J86),0),0)),""))</f>
        <v>0</v>
      </c>
      <c r="J86" s="8">
        <f>IF(A86="","",SUMPRODUCT(MAX(('Recipe Ingredients'!$A$5:$A$1204=A86)*'Recipe Ingredients'!$H$5:$H$1204)))</f>
        <v>0</v>
      </c>
      <c r="K86" s="8">
        <f>IF(OR(A86="",E86="",E86=0),"",IFERROR(J86/E86,""))</f>
        <v>0</v>
      </c>
      <c r="L86" s="8">
        <f>IF(OR(A86="",F86=""),"",IFERROR(F86-AVERAGE($F$5:$F$204),""))</f>
        <v>0</v>
      </c>
      <c r="M86" s="8">
        <f>IF(OR(A86="",F86=""),"",IF(F86&lt;=Weekly_Budget/21,"Within budget","Over budget"))</f>
        <v>0</v>
      </c>
      <c r="N86" s="8">
        <f>IF(A86="","",IFERROR(INDEX(Recipes!$H$5:$H$204,MATCH(A86,Recipes!$A$5:$A$204,0)),""))</f>
        <v>0</v>
      </c>
      <c r="O86" s="8">
        <f>IF(A86="","",IFERROR(INDEX(Recipes!$S$5:$S$204,MATCH(A86,Recipes!$A$5:$A$204,0)),""))</f>
        <v>0</v>
      </c>
      <c r="P86" s="8">
        <f>IF(A86="","",IFERROR(INDEX(Recipes!$T$5:$T$204,MATCH(A86,Recipes!$A$5:$A$204,0)),""))</f>
        <v>0</v>
      </c>
      <c r="Q86" s="8">
        <f>IF(OR(A86="",F86=""),"",F86*7*3)</f>
        <v>0</v>
      </c>
      <c r="R86" s="25"/>
    </row>
    <row r="87" spans="1:18">
      <c r="A87" s="7"/>
      <c r="B87" s="8">
        <f>IF(A87="","",IFERROR(INDEX(Recipes!$B$5:$B$204,MATCH(A87,Recipes!$A$5:$A$204,0)),""))</f>
        <v>0</v>
      </c>
      <c r="C87" s="8">
        <f>IF(A87="","",IFERROR(INDEX(Recipes!$D$5:$D$204,MATCH(A87,Recipes!$A$5:$A$204,0)),""))</f>
        <v>0</v>
      </c>
      <c r="D87" s="8">
        <f>IF(A87="","",COUNTIFS('Recipe Ingredients'!$A$5:$A$1204,A87))</f>
        <v>0</v>
      </c>
      <c r="E87" s="8">
        <f>IF(A87="","",SUMIFS('Recipe Ingredients'!$H$5:$H$1204,'Recipe Ingredients'!$A$5:$A$1204,A87))</f>
        <v>0</v>
      </c>
      <c r="F87" s="8">
        <f>IF(A87="","",IFERROR(INDEX(Recipes!$Q$5:$Q$204,MATCH(A87,Recipes!$A$5:$A$204,0)),""))</f>
        <v>0</v>
      </c>
      <c r="G87" s="8">
        <f>IF(OR(A87="",N87="",N87=0),"",IFERROR(F87/N87*100,""))</f>
        <v>0</v>
      </c>
      <c r="H87" s="8">
        <f>IF(OR(A87="",F87=""),"",COUNTIFS($F$5:$F$204,"&lt;"&amp;F87)+1)</f>
        <v>0</v>
      </c>
      <c r="I87" s="8">
        <f>IF(A87="","",IFERROR(INDEX('Recipe Ingredients'!$B$5:$B$1204,MATCH(1,INDEX(('Recipe Ingredients'!$A$5:$A$1204=A87)*('Recipe Ingredients'!$H$5:$H$1204=J87),0),0)),""))</f>
        <v>0</v>
      </c>
      <c r="J87" s="8">
        <f>IF(A87="","",SUMPRODUCT(MAX(('Recipe Ingredients'!$A$5:$A$1204=A87)*'Recipe Ingredients'!$H$5:$H$1204)))</f>
        <v>0</v>
      </c>
      <c r="K87" s="8">
        <f>IF(OR(A87="",E87="",E87=0),"",IFERROR(J87/E87,""))</f>
        <v>0</v>
      </c>
      <c r="L87" s="8">
        <f>IF(OR(A87="",F87=""),"",IFERROR(F87-AVERAGE($F$5:$F$204),""))</f>
        <v>0</v>
      </c>
      <c r="M87" s="8">
        <f>IF(OR(A87="",F87=""),"",IF(F87&lt;=Weekly_Budget/21,"Within budget","Over budget"))</f>
        <v>0</v>
      </c>
      <c r="N87" s="8">
        <f>IF(A87="","",IFERROR(INDEX(Recipes!$H$5:$H$204,MATCH(A87,Recipes!$A$5:$A$204,0)),""))</f>
        <v>0</v>
      </c>
      <c r="O87" s="8">
        <f>IF(A87="","",IFERROR(INDEX(Recipes!$S$5:$S$204,MATCH(A87,Recipes!$A$5:$A$204,0)),""))</f>
        <v>0</v>
      </c>
      <c r="P87" s="8">
        <f>IF(A87="","",IFERROR(INDEX(Recipes!$T$5:$T$204,MATCH(A87,Recipes!$A$5:$A$204,0)),""))</f>
        <v>0</v>
      </c>
      <c r="Q87" s="8">
        <f>IF(OR(A87="",F87=""),"",F87*7*3)</f>
        <v>0</v>
      </c>
      <c r="R87" s="25"/>
    </row>
    <row r="88" spans="1:18">
      <c r="A88" s="7"/>
      <c r="B88" s="8">
        <f>IF(A88="","",IFERROR(INDEX(Recipes!$B$5:$B$204,MATCH(A88,Recipes!$A$5:$A$204,0)),""))</f>
        <v>0</v>
      </c>
      <c r="C88" s="8">
        <f>IF(A88="","",IFERROR(INDEX(Recipes!$D$5:$D$204,MATCH(A88,Recipes!$A$5:$A$204,0)),""))</f>
        <v>0</v>
      </c>
      <c r="D88" s="8">
        <f>IF(A88="","",COUNTIFS('Recipe Ingredients'!$A$5:$A$1204,A88))</f>
        <v>0</v>
      </c>
      <c r="E88" s="8">
        <f>IF(A88="","",SUMIFS('Recipe Ingredients'!$H$5:$H$1204,'Recipe Ingredients'!$A$5:$A$1204,A88))</f>
        <v>0</v>
      </c>
      <c r="F88" s="8">
        <f>IF(A88="","",IFERROR(INDEX(Recipes!$Q$5:$Q$204,MATCH(A88,Recipes!$A$5:$A$204,0)),""))</f>
        <v>0</v>
      </c>
      <c r="G88" s="8">
        <f>IF(OR(A88="",N88="",N88=0),"",IFERROR(F88/N88*100,""))</f>
        <v>0</v>
      </c>
      <c r="H88" s="8">
        <f>IF(OR(A88="",F88=""),"",COUNTIFS($F$5:$F$204,"&lt;"&amp;F88)+1)</f>
        <v>0</v>
      </c>
      <c r="I88" s="8">
        <f>IF(A88="","",IFERROR(INDEX('Recipe Ingredients'!$B$5:$B$1204,MATCH(1,INDEX(('Recipe Ingredients'!$A$5:$A$1204=A88)*('Recipe Ingredients'!$H$5:$H$1204=J88),0),0)),""))</f>
        <v>0</v>
      </c>
      <c r="J88" s="8">
        <f>IF(A88="","",SUMPRODUCT(MAX(('Recipe Ingredients'!$A$5:$A$1204=A88)*'Recipe Ingredients'!$H$5:$H$1204)))</f>
        <v>0</v>
      </c>
      <c r="K88" s="8">
        <f>IF(OR(A88="",E88="",E88=0),"",IFERROR(J88/E88,""))</f>
        <v>0</v>
      </c>
      <c r="L88" s="8">
        <f>IF(OR(A88="",F88=""),"",IFERROR(F88-AVERAGE($F$5:$F$204),""))</f>
        <v>0</v>
      </c>
      <c r="M88" s="8">
        <f>IF(OR(A88="",F88=""),"",IF(F88&lt;=Weekly_Budget/21,"Within budget","Over budget"))</f>
        <v>0</v>
      </c>
      <c r="N88" s="8">
        <f>IF(A88="","",IFERROR(INDEX(Recipes!$H$5:$H$204,MATCH(A88,Recipes!$A$5:$A$204,0)),""))</f>
        <v>0</v>
      </c>
      <c r="O88" s="8">
        <f>IF(A88="","",IFERROR(INDEX(Recipes!$S$5:$S$204,MATCH(A88,Recipes!$A$5:$A$204,0)),""))</f>
        <v>0</v>
      </c>
      <c r="P88" s="8">
        <f>IF(A88="","",IFERROR(INDEX(Recipes!$T$5:$T$204,MATCH(A88,Recipes!$A$5:$A$204,0)),""))</f>
        <v>0</v>
      </c>
      <c r="Q88" s="8">
        <f>IF(OR(A88="",F88=""),"",F88*7*3)</f>
        <v>0</v>
      </c>
      <c r="R88" s="25"/>
    </row>
    <row r="89" spans="1:18">
      <c r="A89" s="7"/>
      <c r="B89" s="8">
        <f>IF(A89="","",IFERROR(INDEX(Recipes!$B$5:$B$204,MATCH(A89,Recipes!$A$5:$A$204,0)),""))</f>
        <v>0</v>
      </c>
      <c r="C89" s="8">
        <f>IF(A89="","",IFERROR(INDEX(Recipes!$D$5:$D$204,MATCH(A89,Recipes!$A$5:$A$204,0)),""))</f>
        <v>0</v>
      </c>
      <c r="D89" s="8">
        <f>IF(A89="","",COUNTIFS('Recipe Ingredients'!$A$5:$A$1204,A89))</f>
        <v>0</v>
      </c>
      <c r="E89" s="8">
        <f>IF(A89="","",SUMIFS('Recipe Ingredients'!$H$5:$H$1204,'Recipe Ingredients'!$A$5:$A$1204,A89))</f>
        <v>0</v>
      </c>
      <c r="F89" s="8">
        <f>IF(A89="","",IFERROR(INDEX(Recipes!$Q$5:$Q$204,MATCH(A89,Recipes!$A$5:$A$204,0)),""))</f>
        <v>0</v>
      </c>
      <c r="G89" s="8">
        <f>IF(OR(A89="",N89="",N89=0),"",IFERROR(F89/N89*100,""))</f>
        <v>0</v>
      </c>
      <c r="H89" s="8">
        <f>IF(OR(A89="",F89=""),"",COUNTIFS($F$5:$F$204,"&lt;"&amp;F89)+1)</f>
        <v>0</v>
      </c>
      <c r="I89" s="8">
        <f>IF(A89="","",IFERROR(INDEX('Recipe Ingredients'!$B$5:$B$1204,MATCH(1,INDEX(('Recipe Ingredients'!$A$5:$A$1204=A89)*('Recipe Ingredients'!$H$5:$H$1204=J89),0),0)),""))</f>
        <v>0</v>
      </c>
      <c r="J89" s="8">
        <f>IF(A89="","",SUMPRODUCT(MAX(('Recipe Ingredients'!$A$5:$A$1204=A89)*'Recipe Ingredients'!$H$5:$H$1204)))</f>
        <v>0</v>
      </c>
      <c r="K89" s="8">
        <f>IF(OR(A89="",E89="",E89=0),"",IFERROR(J89/E89,""))</f>
        <v>0</v>
      </c>
      <c r="L89" s="8">
        <f>IF(OR(A89="",F89=""),"",IFERROR(F89-AVERAGE($F$5:$F$204),""))</f>
        <v>0</v>
      </c>
      <c r="M89" s="8">
        <f>IF(OR(A89="",F89=""),"",IF(F89&lt;=Weekly_Budget/21,"Within budget","Over budget"))</f>
        <v>0</v>
      </c>
      <c r="N89" s="8">
        <f>IF(A89="","",IFERROR(INDEX(Recipes!$H$5:$H$204,MATCH(A89,Recipes!$A$5:$A$204,0)),""))</f>
        <v>0</v>
      </c>
      <c r="O89" s="8">
        <f>IF(A89="","",IFERROR(INDEX(Recipes!$S$5:$S$204,MATCH(A89,Recipes!$A$5:$A$204,0)),""))</f>
        <v>0</v>
      </c>
      <c r="P89" s="8">
        <f>IF(A89="","",IFERROR(INDEX(Recipes!$T$5:$T$204,MATCH(A89,Recipes!$A$5:$A$204,0)),""))</f>
        <v>0</v>
      </c>
      <c r="Q89" s="8">
        <f>IF(OR(A89="",F89=""),"",F89*7*3)</f>
        <v>0</v>
      </c>
      <c r="R89" s="25"/>
    </row>
    <row r="90" spans="1:18">
      <c r="A90" s="7"/>
      <c r="B90" s="8">
        <f>IF(A90="","",IFERROR(INDEX(Recipes!$B$5:$B$204,MATCH(A90,Recipes!$A$5:$A$204,0)),""))</f>
        <v>0</v>
      </c>
      <c r="C90" s="8">
        <f>IF(A90="","",IFERROR(INDEX(Recipes!$D$5:$D$204,MATCH(A90,Recipes!$A$5:$A$204,0)),""))</f>
        <v>0</v>
      </c>
      <c r="D90" s="8">
        <f>IF(A90="","",COUNTIFS('Recipe Ingredients'!$A$5:$A$1204,A90))</f>
        <v>0</v>
      </c>
      <c r="E90" s="8">
        <f>IF(A90="","",SUMIFS('Recipe Ingredients'!$H$5:$H$1204,'Recipe Ingredients'!$A$5:$A$1204,A90))</f>
        <v>0</v>
      </c>
      <c r="F90" s="8">
        <f>IF(A90="","",IFERROR(INDEX(Recipes!$Q$5:$Q$204,MATCH(A90,Recipes!$A$5:$A$204,0)),""))</f>
        <v>0</v>
      </c>
      <c r="G90" s="8">
        <f>IF(OR(A90="",N90="",N90=0),"",IFERROR(F90/N90*100,""))</f>
        <v>0</v>
      </c>
      <c r="H90" s="8">
        <f>IF(OR(A90="",F90=""),"",COUNTIFS($F$5:$F$204,"&lt;"&amp;F90)+1)</f>
        <v>0</v>
      </c>
      <c r="I90" s="8">
        <f>IF(A90="","",IFERROR(INDEX('Recipe Ingredients'!$B$5:$B$1204,MATCH(1,INDEX(('Recipe Ingredients'!$A$5:$A$1204=A90)*('Recipe Ingredients'!$H$5:$H$1204=J90),0),0)),""))</f>
        <v>0</v>
      </c>
      <c r="J90" s="8">
        <f>IF(A90="","",SUMPRODUCT(MAX(('Recipe Ingredients'!$A$5:$A$1204=A90)*'Recipe Ingredients'!$H$5:$H$1204)))</f>
        <v>0</v>
      </c>
      <c r="K90" s="8">
        <f>IF(OR(A90="",E90="",E90=0),"",IFERROR(J90/E90,""))</f>
        <v>0</v>
      </c>
      <c r="L90" s="8">
        <f>IF(OR(A90="",F90=""),"",IFERROR(F90-AVERAGE($F$5:$F$204),""))</f>
        <v>0</v>
      </c>
      <c r="M90" s="8">
        <f>IF(OR(A90="",F90=""),"",IF(F90&lt;=Weekly_Budget/21,"Within budget","Over budget"))</f>
        <v>0</v>
      </c>
      <c r="N90" s="8">
        <f>IF(A90="","",IFERROR(INDEX(Recipes!$H$5:$H$204,MATCH(A90,Recipes!$A$5:$A$204,0)),""))</f>
        <v>0</v>
      </c>
      <c r="O90" s="8">
        <f>IF(A90="","",IFERROR(INDEX(Recipes!$S$5:$S$204,MATCH(A90,Recipes!$A$5:$A$204,0)),""))</f>
        <v>0</v>
      </c>
      <c r="P90" s="8">
        <f>IF(A90="","",IFERROR(INDEX(Recipes!$T$5:$T$204,MATCH(A90,Recipes!$A$5:$A$204,0)),""))</f>
        <v>0</v>
      </c>
      <c r="Q90" s="8">
        <f>IF(OR(A90="",F90=""),"",F90*7*3)</f>
        <v>0</v>
      </c>
      <c r="R90" s="25"/>
    </row>
    <row r="91" spans="1:18">
      <c r="A91" s="7"/>
      <c r="B91" s="8">
        <f>IF(A91="","",IFERROR(INDEX(Recipes!$B$5:$B$204,MATCH(A91,Recipes!$A$5:$A$204,0)),""))</f>
        <v>0</v>
      </c>
      <c r="C91" s="8">
        <f>IF(A91="","",IFERROR(INDEX(Recipes!$D$5:$D$204,MATCH(A91,Recipes!$A$5:$A$204,0)),""))</f>
        <v>0</v>
      </c>
      <c r="D91" s="8">
        <f>IF(A91="","",COUNTIFS('Recipe Ingredients'!$A$5:$A$1204,A91))</f>
        <v>0</v>
      </c>
      <c r="E91" s="8">
        <f>IF(A91="","",SUMIFS('Recipe Ingredients'!$H$5:$H$1204,'Recipe Ingredients'!$A$5:$A$1204,A91))</f>
        <v>0</v>
      </c>
      <c r="F91" s="8">
        <f>IF(A91="","",IFERROR(INDEX(Recipes!$Q$5:$Q$204,MATCH(A91,Recipes!$A$5:$A$204,0)),""))</f>
        <v>0</v>
      </c>
      <c r="G91" s="8">
        <f>IF(OR(A91="",N91="",N91=0),"",IFERROR(F91/N91*100,""))</f>
        <v>0</v>
      </c>
      <c r="H91" s="8">
        <f>IF(OR(A91="",F91=""),"",COUNTIFS($F$5:$F$204,"&lt;"&amp;F91)+1)</f>
        <v>0</v>
      </c>
      <c r="I91" s="8">
        <f>IF(A91="","",IFERROR(INDEX('Recipe Ingredients'!$B$5:$B$1204,MATCH(1,INDEX(('Recipe Ingredients'!$A$5:$A$1204=A91)*('Recipe Ingredients'!$H$5:$H$1204=J91),0),0)),""))</f>
        <v>0</v>
      </c>
      <c r="J91" s="8">
        <f>IF(A91="","",SUMPRODUCT(MAX(('Recipe Ingredients'!$A$5:$A$1204=A91)*'Recipe Ingredients'!$H$5:$H$1204)))</f>
        <v>0</v>
      </c>
      <c r="K91" s="8">
        <f>IF(OR(A91="",E91="",E91=0),"",IFERROR(J91/E91,""))</f>
        <v>0</v>
      </c>
      <c r="L91" s="8">
        <f>IF(OR(A91="",F91=""),"",IFERROR(F91-AVERAGE($F$5:$F$204),""))</f>
        <v>0</v>
      </c>
      <c r="M91" s="8">
        <f>IF(OR(A91="",F91=""),"",IF(F91&lt;=Weekly_Budget/21,"Within budget","Over budget"))</f>
        <v>0</v>
      </c>
      <c r="N91" s="8">
        <f>IF(A91="","",IFERROR(INDEX(Recipes!$H$5:$H$204,MATCH(A91,Recipes!$A$5:$A$204,0)),""))</f>
        <v>0</v>
      </c>
      <c r="O91" s="8">
        <f>IF(A91="","",IFERROR(INDEX(Recipes!$S$5:$S$204,MATCH(A91,Recipes!$A$5:$A$204,0)),""))</f>
        <v>0</v>
      </c>
      <c r="P91" s="8">
        <f>IF(A91="","",IFERROR(INDEX(Recipes!$T$5:$T$204,MATCH(A91,Recipes!$A$5:$A$204,0)),""))</f>
        <v>0</v>
      </c>
      <c r="Q91" s="8">
        <f>IF(OR(A91="",F91=""),"",F91*7*3)</f>
        <v>0</v>
      </c>
      <c r="R91" s="25"/>
    </row>
    <row r="92" spans="1:18">
      <c r="A92" s="7"/>
      <c r="B92" s="8">
        <f>IF(A92="","",IFERROR(INDEX(Recipes!$B$5:$B$204,MATCH(A92,Recipes!$A$5:$A$204,0)),""))</f>
        <v>0</v>
      </c>
      <c r="C92" s="8">
        <f>IF(A92="","",IFERROR(INDEX(Recipes!$D$5:$D$204,MATCH(A92,Recipes!$A$5:$A$204,0)),""))</f>
        <v>0</v>
      </c>
      <c r="D92" s="8">
        <f>IF(A92="","",COUNTIFS('Recipe Ingredients'!$A$5:$A$1204,A92))</f>
        <v>0</v>
      </c>
      <c r="E92" s="8">
        <f>IF(A92="","",SUMIFS('Recipe Ingredients'!$H$5:$H$1204,'Recipe Ingredients'!$A$5:$A$1204,A92))</f>
        <v>0</v>
      </c>
      <c r="F92" s="8">
        <f>IF(A92="","",IFERROR(INDEX(Recipes!$Q$5:$Q$204,MATCH(A92,Recipes!$A$5:$A$204,0)),""))</f>
        <v>0</v>
      </c>
      <c r="G92" s="8">
        <f>IF(OR(A92="",N92="",N92=0),"",IFERROR(F92/N92*100,""))</f>
        <v>0</v>
      </c>
      <c r="H92" s="8">
        <f>IF(OR(A92="",F92=""),"",COUNTIFS($F$5:$F$204,"&lt;"&amp;F92)+1)</f>
        <v>0</v>
      </c>
      <c r="I92" s="8">
        <f>IF(A92="","",IFERROR(INDEX('Recipe Ingredients'!$B$5:$B$1204,MATCH(1,INDEX(('Recipe Ingredients'!$A$5:$A$1204=A92)*('Recipe Ingredients'!$H$5:$H$1204=J92),0),0)),""))</f>
        <v>0</v>
      </c>
      <c r="J92" s="8">
        <f>IF(A92="","",SUMPRODUCT(MAX(('Recipe Ingredients'!$A$5:$A$1204=A92)*'Recipe Ingredients'!$H$5:$H$1204)))</f>
        <v>0</v>
      </c>
      <c r="K92" s="8">
        <f>IF(OR(A92="",E92="",E92=0),"",IFERROR(J92/E92,""))</f>
        <v>0</v>
      </c>
      <c r="L92" s="8">
        <f>IF(OR(A92="",F92=""),"",IFERROR(F92-AVERAGE($F$5:$F$204),""))</f>
        <v>0</v>
      </c>
      <c r="M92" s="8">
        <f>IF(OR(A92="",F92=""),"",IF(F92&lt;=Weekly_Budget/21,"Within budget","Over budget"))</f>
        <v>0</v>
      </c>
      <c r="N92" s="8">
        <f>IF(A92="","",IFERROR(INDEX(Recipes!$H$5:$H$204,MATCH(A92,Recipes!$A$5:$A$204,0)),""))</f>
        <v>0</v>
      </c>
      <c r="O92" s="8">
        <f>IF(A92="","",IFERROR(INDEX(Recipes!$S$5:$S$204,MATCH(A92,Recipes!$A$5:$A$204,0)),""))</f>
        <v>0</v>
      </c>
      <c r="P92" s="8">
        <f>IF(A92="","",IFERROR(INDEX(Recipes!$T$5:$T$204,MATCH(A92,Recipes!$A$5:$A$204,0)),""))</f>
        <v>0</v>
      </c>
      <c r="Q92" s="8">
        <f>IF(OR(A92="",F92=""),"",F92*7*3)</f>
        <v>0</v>
      </c>
      <c r="R92" s="25"/>
    </row>
    <row r="93" spans="1:18">
      <c r="A93" s="7"/>
      <c r="B93" s="8">
        <f>IF(A93="","",IFERROR(INDEX(Recipes!$B$5:$B$204,MATCH(A93,Recipes!$A$5:$A$204,0)),""))</f>
        <v>0</v>
      </c>
      <c r="C93" s="8">
        <f>IF(A93="","",IFERROR(INDEX(Recipes!$D$5:$D$204,MATCH(A93,Recipes!$A$5:$A$204,0)),""))</f>
        <v>0</v>
      </c>
      <c r="D93" s="8">
        <f>IF(A93="","",COUNTIFS('Recipe Ingredients'!$A$5:$A$1204,A93))</f>
        <v>0</v>
      </c>
      <c r="E93" s="8">
        <f>IF(A93="","",SUMIFS('Recipe Ingredients'!$H$5:$H$1204,'Recipe Ingredients'!$A$5:$A$1204,A93))</f>
        <v>0</v>
      </c>
      <c r="F93" s="8">
        <f>IF(A93="","",IFERROR(INDEX(Recipes!$Q$5:$Q$204,MATCH(A93,Recipes!$A$5:$A$204,0)),""))</f>
        <v>0</v>
      </c>
      <c r="G93" s="8">
        <f>IF(OR(A93="",N93="",N93=0),"",IFERROR(F93/N93*100,""))</f>
        <v>0</v>
      </c>
      <c r="H93" s="8">
        <f>IF(OR(A93="",F93=""),"",COUNTIFS($F$5:$F$204,"&lt;"&amp;F93)+1)</f>
        <v>0</v>
      </c>
      <c r="I93" s="8">
        <f>IF(A93="","",IFERROR(INDEX('Recipe Ingredients'!$B$5:$B$1204,MATCH(1,INDEX(('Recipe Ingredients'!$A$5:$A$1204=A93)*('Recipe Ingredients'!$H$5:$H$1204=J93),0),0)),""))</f>
        <v>0</v>
      </c>
      <c r="J93" s="8">
        <f>IF(A93="","",SUMPRODUCT(MAX(('Recipe Ingredients'!$A$5:$A$1204=A93)*'Recipe Ingredients'!$H$5:$H$1204)))</f>
        <v>0</v>
      </c>
      <c r="K93" s="8">
        <f>IF(OR(A93="",E93="",E93=0),"",IFERROR(J93/E93,""))</f>
        <v>0</v>
      </c>
      <c r="L93" s="8">
        <f>IF(OR(A93="",F93=""),"",IFERROR(F93-AVERAGE($F$5:$F$204),""))</f>
        <v>0</v>
      </c>
      <c r="M93" s="8">
        <f>IF(OR(A93="",F93=""),"",IF(F93&lt;=Weekly_Budget/21,"Within budget","Over budget"))</f>
        <v>0</v>
      </c>
      <c r="N93" s="8">
        <f>IF(A93="","",IFERROR(INDEX(Recipes!$H$5:$H$204,MATCH(A93,Recipes!$A$5:$A$204,0)),""))</f>
        <v>0</v>
      </c>
      <c r="O93" s="8">
        <f>IF(A93="","",IFERROR(INDEX(Recipes!$S$5:$S$204,MATCH(A93,Recipes!$A$5:$A$204,0)),""))</f>
        <v>0</v>
      </c>
      <c r="P93" s="8">
        <f>IF(A93="","",IFERROR(INDEX(Recipes!$T$5:$T$204,MATCH(A93,Recipes!$A$5:$A$204,0)),""))</f>
        <v>0</v>
      </c>
      <c r="Q93" s="8">
        <f>IF(OR(A93="",F93=""),"",F93*7*3)</f>
        <v>0</v>
      </c>
      <c r="R93" s="25"/>
    </row>
    <row r="94" spans="1:18">
      <c r="A94" s="7"/>
      <c r="B94" s="8">
        <f>IF(A94="","",IFERROR(INDEX(Recipes!$B$5:$B$204,MATCH(A94,Recipes!$A$5:$A$204,0)),""))</f>
        <v>0</v>
      </c>
      <c r="C94" s="8">
        <f>IF(A94="","",IFERROR(INDEX(Recipes!$D$5:$D$204,MATCH(A94,Recipes!$A$5:$A$204,0)),""))</f>
        <v>0</v>
      </c>
      <c r="D94" s="8">
        <f>IF(A94="","",COUNTIFS('Recipe Ingredients'!$A$5:$A$1204,A94))</f>
        <v>0</v>
      </c>
      <c r="E94" s="8">
        <f>IF(A94="","",SUMIFS('Recipe Ingredients'!$H$5:$H$1204,'Recipe Ingredients'!$A$5:$A$1204,A94))</f>
        <v>0</v>
      </c>
      <c r="F94" s="8">
        <f>IF(A94="","",IFERROR(INDEX(Recipes!$Q$5:$Q$204,MATCH(A94,Recipes!$A$5:$A$204,0)),""))</f>
        <v>0</v>
      </c>
      <c r="G94" s="8">
        <f>IF(OR(A94="",N94="",N94=0),"",IFERROR(F94/N94*100,""))</f>
        <v>0</v>
      </c>
      <c r="H94" s="8">
        <f>IF(OR(A94="",F94=""),"",COUNTIFS($F$5:$F$204,"&lt;"&amp;F94)+1)</f>
        <v>0</v>
      </c>
      <c r="I94" s="8">
        <f>IF(A94="","",IFERROR(INDEX('Recipe Ingredients'!$B$5:$B$1204,MATCH(1,INDEX(('Recipe Ingredients'!$A$5:$A$1204=A94)*('Recipe Ingredients'!$H$5:$H$1204=J94),0),0)),""))</f>
        <v>0</v>
      </c>
      <c r="J94" s="8">
        <f>IF(A94="","",SUMPRODUCT(MAX(('Recipe Ingredients'!$A$5:$A$1204=A94)*'Recipe Ingredients'!$H$5:$H$1204)))</f>
        <v>0</v>
      </c>
      <c r="K94" s="8">
        <f>IF(OR(A94="",E94="",E94=0),"",IFERROR(J94/E94,""))</f>
        <v>0</v>
      </c>
      <c r="L94" s="8">
        <f>IF(OR(A94="",F94=""),"",IFERROR(F94-AVERAGE($F$5:$F$204),""))</f>
        <v>0</v>
      </c>
      <c r="M94" s="8">
        <f>IF(OR(A94="",F94=""),"",IF(F94&lt;=Weekly_Budget/21,"Within budget","Over budget"))</f>
        <v>0</v>
      </c>
      <c r="N94" s="8">
        <f>IF(A94="","",IFERROR(INDEX(Recipes!$H$5:$H$204,MATCH(A94,Recipes!$A$5:$A$204,0)),""))</f>
        <v>0</v>
      </c>
      <c r="O94" s="8">
        <f>IF(A94="","",IFERROR(INDEX(Recipes!$S$5:$S$204,MATCH(A94,Recipes!$A$5:$A$204,0)),""))</f>
        <v>0</v>
      </c>
      <c r="P94" s="8">
        <f>IF(A94="","",IFERROR(INDEX(Recipes!$T$5:$T$204,MATCH(A94,Recipes!$A$5:$A$204,0)),""))</f>
        <v>0</v>
      </c>
      <c r="Q94" s="8">
        <f>IF(OR(A94="",F94=""),"",F94*7*3)</f>
        <v>0</v>
      </c>
      <c r="R94" s="25"/>
    </row>
    <row r="95" spans="1:18">
      <c r="A95" s="7"/>
      <c r="B95" s="8">
        <f>IF(A95="","",IFERROR(INDEX(Recipes!$B$5:$B$204,MATCH(A95,Recipes!$A$5:$A$204,0)),""))</f>
        <v>0</v>
      </c>
      <c r="C95" s="8">
        <f>IF(A95="","",IFERROR(INDEX(Recipes!$D$5:$D$204,MATCH(A95,Recipes!$A$5:$A$204,0)),""))</f>
        <v>0</v>
      </c>
      <c r="D95" s="8">
        <f>IF(A95="","",COUNTIFS('Recipe Ingredients'!$A$5:$A$1204,A95))</f>
        <v>0</v>
      </c>
      <c r="E95" s="8">
        <f>IF(A95="","",SUMIFS('Recipe Ingredients'!$H$5:$H$1204,'Recipe Ingredients'!$A$5:$A$1204,A95))</f>
        <v>0</v>
      </c>
      <c r="F95" s="8">
        <f>IF(A95="","",IFERROR(INDEX(Recipes!$Q$5:$Q$204,MATCH(A95,Recipes!$A$5:$A$204,0)),""))</f>
        <v>0</v>
      </c>
      <c r="G95" s="8">
        <f>IF(OR(A95="",N95="",N95=0),"",IFERROR(F95/N95*100,""))</f>
        <v>0</v>
      </c>
      <c r="H95" s="8">
        <f>IF(OR(A95="",F95=""),"",COUNTIFS($F$5:$F$204,"&lt;"&amp;F95)+1)</f>
        <v>0</v>
      </c>
      <c r="I95" s="8">
        <f>IF(A95="","",IFERROR(INDEX('Recipe Ingredients'!$B$5:$B$1204,MATCH(1,INDEX(('Recipe Ingredients'!$A$5:$A$1204=A95)*('Recipe Ingredients'!$H$5:$H$1204=J95),0),0)),""))</f>
        <v>0</v>
      </c>
      <c r="J95" s="8">
        <f>IF(A95="","",SUMPRODUCT(MAX(('Recipe Ingredients'!$A$5:$A$1204=A95)*'Recipe Ingredients'!$H$5:$H$1204)))</f>
        <v>0</v>
      </c>
      <c r="K95" s="8">
        <f>IF(OR(A95="",E95="",E95=0),"",IFERROR(J95/E95,""))</f>
        <v>0</v>
      </c>
      <c r="L95" s="8">
        <f>IF(OR(A95="",F95=""),"",IFERROR(F95-AVERAGE($F$5:$F$204),""))</f>
        <v>0</v>
      </c>
      <c r="M95" s="8">
        <f>IF(OR(A95="",F95=""),"",IF(F95&lt;=Weekly_Budget/21,"Within budget","Over budget"))</f>
        <v>0</v>
      </c>
      <c r="N95" s="8">
        <f>IF(A95="","",IFERROR(INDEX(Recipes!$H$5:$H$204,MATCH(A95,Recipes!$A$5:$A$204,0)),""))</f>
        <v>0</v>
      </c>
      <c r="O95" s="8">
        <f>IF(A95="","",IFERROR(INDEX(Recipes!$S$5:$S$204,MATCH(A95,Recipes!$A$5:$A$204,0)),""))</f>
        <v>0</v>
      </c>
      <c r="P95" s="8">
        <f>IF(A95="","",IFERROR(INDEX(Recipes!$T$5:$T$204,MATCH(A95,Recipes!$A$5:$A$204,0)),""))</f>
        <v>0</v>
      </c>
      <c r="Q95" s="8">
        <f>IF(OR(A95="",F95=""),"",F95*7*3)</f>
        <v>0</v>
      </c>
      <c r="R95" s="25"/>
    </row>
    <row r="96" spans="1:18">
      <c r="A96" s="7"/>
      <c r="B96" s="8">
        <f>IF(A96="","",IFERROR(INDEX(Recipes!$B$5:$B$204,MATCH(A96,Recipes!$A$5:$A$204,0)),""))</f>
        <v>0</v>
      </c>
      <c r="C96" s="8">
        <f>IF(A96="","",IFERROR(INDEX(Recipes!$D$5:$D$204,MATCH(A96,Recipes!$A$5:$A$204,0)),""))</f>
        <v>0</v>
      </c>
      <c r="D96" s="8">
        <f>IF(A96="","",COUNTIFS('Recipe Ingredients'!$A$5:$A$1204,A96))</f>
        <v>0</v>
      </c>
      <c r="E96" s="8">
        <f>IF(A96="","",SUMIFS('Recipe Ingredients'!$H$5:$H$1204,'Recipe Ingredients'!$A$5:$A$1204,A96))</f>
        <v>0</v>
      </c>
      <c r="F96" s="8">
        <f>IF(A96="","",IFERROR(INDEX(Recipes!$Q$5:$Q$204,MATCH(A96,Recipes!$A$5:$A$204,0)),""))</f>
        <v>0</v>
      </c>
      <c r="G96" s="8">
        <f>IF(OR(A96="",N96="",N96=0),"",IFERROR(F96/N96*100,""))</f>
        <v>0</v>
      </c>
      <c r="H96" s="8">
        <f>IF(OR(A96="",F96=""),"",COUNTIFS($F$5:$F$204,"&lt;"&amp;F96)+1)</f>
        <v>0</v>
      </c>
      <c r="I96" s="8">
        <f>IF(A96="","",IFERROR(INDEX('Recipe Ingredients'!$B$5:$B$1204,MATCH(1,INDEX(('Recipe Ingredients'!$A$5:$A$1204=A96)*('Recipe Ingredients'!$H$5:$H$1204=J96),0),0)),""))</f>
        <v>0</v>
      </c>
      <c r="J96" s="8">
        <f>IF(A96="","",SUMPRODUCT(MAX(('Recipe Ingredients'!$A$5:$A$1204=A96)*'Recipe Ingredients'!$H$5:$H$1204)))</f>
        <v>0</v>
      </c>
      <c r="K96" s="8">
        <f>IF(OR(A96="",E96="",E96=0),"",IFERROR(J96/E96,""))</f>
        <v>0</v>
      </c>
      <c r="L96" s="8">
        <f>IF(OR(A96="",F96=""),"",IFERROR(F96-AVERAGE($F$5:$F$204),""))</f>
        <v>0</v>
      </c>
      <c r="M96" s="8">
        <f>IF(OR(A96="",F96=""),"",IF(F96&lt;=Weekly_Budget/21,"Within budget","Over budget"))</f>
        <v>0</v>
      </c>
      <c r="N96" s="8">
        <f>IF(A96="","",IFERROR(INDEX(Recipes!$H$5:$H$204,MATCH(A96,Recipes!$A$5:$A$204,0)),""))</f>
        <v>0</v>
      </c>
      <c r="O96" s="8">
        <f>IF(A96="","",IFERROR(INDEX(Recipes!$S$5:$S$204,MATCH(A96,Recipes!$A$5:$A$204,0)),""))</f>
        <v>0</v>
      </c>
      <c r="P96" s="8">
        <f>IF(A96="","",IFERROR(INDEX(Recipes!$T$5:$T$204,MATCH(A96,Recipes!$A$5:$A$204,0)),""))</f>
        <v>0</v>
      </c>
      <c r="Q96" s="8">
        <f>IF(OR(A96="",F96=""),"",F96*7*3)</f>
        <v>0</v>
      </c>
      <c r="R96" s="25"/>
    </row>
    <row r="97" spans="1:18">
      <c r="A97" s="7"/>
      <c r="B97" s="8">
        <f>IF(A97="","",IFERROR(INDEX(Recipes!$B$5:$B$204,MATCH(A97,Recipes!$A$5:$A$204,0)),""))</f>
        <v>0</v>
      </c>
      <c r="C97" s="8">
        <f>IF(A97="","",IFERROR(INDEX(Recipes!$D$5:$D$204,MATCH(A97,Recipes!$A$5:$A$204,0)),""))</f>
        <v>0</v>
      </c>
      <c r="D97" s="8">
        <f>IF(A97="","",COUNTIFS('Recipe Ingredients'!$A$5:$A$1204,A97))</f>
        <v>0</v>
      </c>
      <c r="E97" s="8">
        <f>IF(A97="","",SUMIFS('Recipe Ingredients'!$H$5:$H$1204,'Recipe Ingredients'!$A$5:$A$1204,A97))</f>
        <v>0</v>
      </c>
      <c r="F97" s="8">
        <f>IF(A97="","",IFERROR(INDEX(Recipes!$Q$5:$Q$204,MATCH(A97,Recipes!$A$5:$A$204,0)),""))</f>
        <v>0</v>
      </c>
      <c r="G97" s="8">
        <f>IF(OR(A97="",N97="",N97=0),"",IFERROR(F97/N97*100,""))</f>
        <v>0</v>
      </c>
      <c r="H97" s="8">
        <f>IF(OR(A97="",F97=""),"",COUNTIFS($F$5:$F$204,"&lt;"&amp;F97)+1)</f>
        <v>0</v>
      </c>
      <c r="I97" s="8">
        <f>IF(A97="","",IFERROR(INDEX('Recipe Ingredients'!$B$5:$B$1204,MATCH(1,INDEX(('Recipe Ingredients'!$A$5:$A$1204=A97)*('Recipe Ingredients'!$H$5:$H$1204=J97),0),0)),""))</f>
        <v>0</v>
      </c>
      <c r="J97" s="8">
        <f>IF(A97="","",SUMPRODUCT(MAX(('Recipe Ingredients'!$A$5:$A$1204=A97)*'Recipe Ingredients'!$H$5:$H$1204)))</f>
        <v>0</v>
      </c>
      <c r="K97" s="8">
        <f>IF(OR(A97="",E97="",E97=0),"",IFERROR(J97/E97,""))</f>
        <v>0</v>
      </c>
      <c r="L97" s="8">
        <f>IF(OR(A97="",F97=""),"",IFERROR(F97-AVERAGE($F$5:$F$204),""))</f>
        <v>0</v>
      </c>
      <c r="M97" s="8">
        <f>IF(OR(A97="",F97=""),"",IF(F97&lt;=Weekly_Budget/21,"Within budget","Over budget"))</f>
        <v>0</v>
      </c>
      <c r="N97" s="8">
        <f>IF(A97="","",IFERROR(INDEX(Recipes!$H$5:$H$204,MATCH(A97,Recipes!$A$5:$A$204,0)),""))</f>
        <v>0</v>
      </c>
      <c r="O97" s="8">
        <f>IF(A97="","",IFERROR(INDEX(Recipes!$S$5:$S$204,MATCH(A97,Recipes!$A$5:$A$204,0)),""))</f>
        <v>0</v>
      </c>
      <c r="P97" s="8">
        <f>IF(A97="","",IFERROR(INDEX(Recipes!$T$5:$T$204,MATCH(A97,Recipes!$A$5:$A$204,0)),""))</f>
        <v>0</v>
      </c>
      <c r="Q97" s="8">
        <f>IF(OR(A97="",F97=""),"",F97*7*3)</f>
        <v>0</v>
      </c>
      <c r="R97" s="25"/>
    </row>
    <row r="98" spans="1:18">
      <c r="A98" s="7"/>
      <c r="B98" s="8">
        <f>IF(A98="","",IFERROR(INDEX(Recipes!$B$5:$B$204,MATCH(A98,Recipes!$A$5:$A$204,0)),""))</f>
        <v>0</v>
      </c>
      <c r="C98" s="8">
        <f>IF(A98="","",IFERROR(INDEX(Recipes!$D$5:$D$204,MATCH(A98,Recipes!$A$5:$A$204,0)),""))</f>
        <v>0</v>
      </c>
      <c r="D98" s="8">
        <f>IF(A98="","",COUNTIFS('Recipe Ingredients'!$A$5:$A$1204,A98))</f>
        <v>0</v>
      </c>
      <c r="E98" s="8">
        <f>IF(A98="","",SUMIFS('Recipe Ingredients'!$H$5:$H$1204,'Recipe Ingredients'!$A$5:$A$1204,A98))</f>
        <v>0</v>
      </c>
      <c r="F98" s="8">
        <f>IF(A98="","",IFERROR(INDEX(Recipes!$Q$5:$Q$204,MATCH(A98,Recipes!$A$5:$A$204,0)),""))</f>
        <v>0</v>
      </c>
      <c r="G98" s="8">
        <f>IF(OR(A98="",N98="",N98=0),"",IFERROR(F98/N98*100,""))</f>
        <v>0</v>
      </c>
      <c r="H98" s="8">
        <f>IF(OR(A98="",F98=""),"",COUNTIFS($F$5:$F$204,"&lt;"&amp;F98)+1)</f>
        <v>0</v>
      </c>
      <c r="I98" s="8">
        <f>IF(A98="","",IFERROR(INDEX('Recipe Ingredients'!$B$5:$B$1204,MATCH(1,INDEX(('Recipe Ingredients'!$A$5:$A$1204=A98)*('Recipe Ingredients'!$H$5:$H$1204=J98),0),0)),""))</f>
        <v>0</v>
      </c>
      <c r="J98" s="8">
        <f>IF(A98="","",SUMPRODUCT(MAX(('Recipe Ingredients'!$A$5:$A$1204=A98)*'Recipe Ingredients'!$H$5:$H$1204)))</f>
        <v>0</v>
      </c>
      <c r="K98" s="8">
        <f>IF(OR(A98="",E98="",E98=0),"",IFERROR(J98/E98,""))</f>
        <v>0</v>
      </c>
      <c r="L98" s="8">
        <f>IF(OR(A98="",F98=""),"",IFERROR(F98-AVERAGE($F$5:$F$204),""))</f>
        <v>0</v>
      </c>
      <c r="M98" s="8">
        <f>IF(OR(A98="",F98=""),"",IF(F98&lt;=Weekly_Budget/21,"Within budget","Over budget"))</f>
        <v>0</v>
      </c>
      <c r="N98" s="8">
        <f>IF(A98="","",IFERROR(INDEX(Recipes!$H$5:$H$204,MATCH(A98,Recipes!$A$5:$A$204,0)),""))</f>
        <v>0</v>
      </c>
      <c r="O98" s="8">
        <f>IF(A98="","",IFERROR(INDEX(Recipes!$S$5:$S$204,MATCH(A98,Recipes!$A$5:$A$204,0)),""))</f>
        <v>0</v>
      </c>
      <c r="P98" s="8">
        <f>IF(A98="","",IFERROR(INDEX(Recipes!$T$5:$T$204,MATCH(A98,Recipes!$A$5:$A$204,0)),""))</f>
        <v>0</v>
      </c>
      <c r="Q98" s="8">
        <f>IF(OR(A98="",F98=""),"",F98*7*3)</f>
        <v>0</v>
      </c>
      <c r="R98" s="25"/>
    </row>
    <row r="99" spans="1:18">
      <c r="A99" s="7"/>
      <c r="B99" s="8">
        <f>IF(A99="","",IFERROR(INDEX(Recipes!$B$5:$B$204,MATCH(A99,Recipes!$A$5:$A$204,0)),""))</f>
        <v>0</v>
      </c>
      <c r="C99" s="8">
        <f>IF(A99="","",IFERROR(INDEX(Recipes!$D$5:$D$204,MATCH(A99,Recipes!$A$5:$A$204,0)),""))</f>
        <v>0</v>
      </c>
      <c r="D99" s="8">
        <f>IF(A99="","",COUNTIFS('Recipe Ingredients'!$A$5:$A$1204,A99))</f>
        <v>0</v>
      </c>
      <c r="E99" s="8">
        <f>IF(A99="","",SUMIFS('Recipe Ingredients'!$H$5:$H$1204,'Recipe Ingredients'!$A$5:$A$1204,A99))</f>
        <v>0</v>
      </c>
      <c r="F99" s="8">
        <f>IF(A99="","",IFERROR(INDEX(Recipes!$Q$5:$Q$204,MATCH(A99,Recipes!$A$5:$A$204,0)),""))</f>
        <v>0</v>
      </c>
      <c r="G99" s="8">
        <f>IF(OR(A99="",N99="",N99=0),"",IFERROR(F99/N99*100,""))</f>
        <v>0</v>
      </c>
      <c r="H99" s="8">
        <f>IF(OR(A99="",F99=""),"",COUNTIFS($F$5:$F$204,"&lt;"&amp;F99)+1)</f>
        <v>0</v>
      </c>
      <c r="I99" s="8">
        <f>IF(A99="","",IFERROR(INDEX('Recipe Ingredients'!$B$5:$B$1204,MATCH(1,INDEX(('Recipe Ingredients'!$A$5:$A$1204=A99)*('Recipe Ingredients'!$H$5:$H$1204=J99),0),0)),""))</f>
        <v>0</v>
      </c>
      <c r="J99" s="8">
        <f>IF(A99="","",SUMPRODUCT(MAX(('Recipe Ingredients'!$A$5:$A$1204=A99)*'Recipe Ingredients'!$H$5:$H$1204)))</f>
        <v>0</v>
      </c>
      <c r="K99" s="8">
        <f>IF(OR(A99="",E99="",E99=0),"",IFERROR(J99/E99,""))</f>
        <v>0</v>
      </c>
      <c r="L99" s="8">
        <f>IF(OR(A99="",F99=""),"",IFERROR(F99-AVERAGE($F$5:$F$204),""))</f>
        <v>0</v>
      </c>
      <c r="M99" s="8">
        <f>IF(OR(A99="",F99=""),"",IF(F99&lt;=Weekly_Budget/21,"Within budget","Over budget"))</f>
        <v>0</v>
      </c>
      <c r="N99" s="8">
        <f>IF(A99="","",IFERROR(INDEX(Recipes!$H$5:$H$204,MATCH(A99,Recipes!$A$5:$A$204,0)),""))</f>
        <v>0</v>
      </c>
      <c r="O99" s="8">
        <f>IF(A99="","",IFERROR(INDEX(Recipes!$S$5:$S$204,MATCH(A99,Recipes!$A$5:$A$204,0)),""))</f>
        <v>0</v>
      </c>
      <c r="P99" s="8">
        <f>IF(A99="","",IFERROR(INDEX(Recipes!$T$5:$T$204,MATCH(A99,Recipes!$A$5:$A$204,0)),""))</f>
        <v>0</v>
      </c>
      <c r="Q99" s="8">
        <f>IF(OR(A99="",F99=""),"",F99*7*3)</f>
        <v>0</v>
      </c>
      <c r="R99" s="25"/>
    </row>
    <row r="100" spans="1:18">
      <c r="A100" s="7"/>
      <c r="B100" s="8">
        <f>IF(A100="","",IFERROR(INDEX(Recipes!$B$5:$B$204,MATCH(A100,Recipes!$A$5:$A$204,0)),""))</f>
        <v>0</v>
      </c>
      <c r="C100" s="8">
        <f>IF(A100="","",IFERROR(INDEX(Recipes!$D$5:$D$204,MATCH(A100,Recipes!$A$5:$A$204,0)),""))</f>
        <v>0</v>
      </c>
      <c r="D100" s="8">
        <f>IF(A100="","",COUNTIFS('Recipe Ingredients'!$A$5:$A$1204,A100))</f>
        <v>0</v>
      </c>
      <c r="E100" s="8">
        <f>IF(A100="","",SUMIFS('Recipe Ingredients'!$H$5:$H$1204,'Recipe Ingredients'!$A$5:$A$1204,A100))</f>
        <v>0</v>
      </c>
      <c r="F100" s="8">
        <f>IF(A100="","",IFERROR(INDEX(Recipes!$Q$5:$Q$204,MATCH(A100,Recipes!$A$5:$A$204,0)),""))</f>
        <v>0</v>
      </c>
      <c r="G100" s="8">
        <f>IF(OR(A100="",N100="",N100=0),"",IFERROR(F100/N100*100,""))</f>
        <v>0</v>
      </c>
      <c r="H100" s="8">
        <f>IF(OR(A100="",F100=""),"",COUNTIFS($F$5:$F$204,"&lt;"&amp;F100)+1)</f>
        <v>0</v>
      </c>
      <c r="I100" s="8">
        <f>IF(A100="","",IFERROR(INDEX('Recipe Ingredients'!$B$5:$B$1204,MATCH(1,INDEX(('Recipe Ingredients'!$A$5:$A$1204=A100)*('Recipe Ingredients'!$H$5:$H$1204=J100),0),0)),""))</f>
        <v>0</v>
      </c>
      <c r="J100" s="8">
        <f>IF(A100="","",SUMPRODUCT(MAX(('Recipe Ingredients'!$A$5:$A$1204=A100)*'Recipe Ingredients'!$H$5:$H$1204)))</f>
        <v>0</v>
      </c>
      <c r="K100" s="8">
        <f>IF(OR(A100="",E100="",E100=0),"",IFERROR(J100/E100,""))</f>
        <v>0</v>
      </c>
      <c r="L100" s="8">
        <f>IF(OR(A100="",F100=""),"",IFERROR(F100-AVERAGE($F$5:$F$204),""))</f>
        <v>0</v>
      </c>
      <c r="M100" s="8">
        <f>IF(OR(A100="",F100=""),"",IF(F100&lt;=Weekly_Budget/21,"Within budget","Over budget"))</f>
        <v>0</v>
      </c>
      <c r="N100" s="8">
        <f>IF(A100="","",IFERROR(INDEX(Recipes!$H$5:$H$204,MATCH(A100,Recipes!$A$5:$A$204,0)),""))</f>
        <v>0</v>
      </c>
      <c r="O100" s="8">
        <f>IF(A100="","",IFERROR(INDEX(Recipes!$S$5:$S$204,MATCH(A100,Recipes!$A$5:$A$204,0)),""))</f>
        <v>0</v>
      </c>
      <c r="P100" s="8">
        <f>IF(A100="","",IFERROR(INDEX(Recipes!$T$5:$T$204,MATCH(A100,Recipes!$A$5:$A$204,0)),""))</f>
        <v>0</v>
      </c>
      <c r="Q100" s="8">
        <f>IF(OR(A100="",F100=""),"",F100*7*3)</f>
        <v>0</v>
      </c>
      <c r="R100" s="25"/>
    </row>
    <row r="101" spans="1:18">
      <c r="A101" s="7"/>
      <c r="B101" s="8">
        <f>IF(A101="","",IFERROR(INDEX(Recipes!$B$5:$B$204,MATCH(A101,Recipes!$A$5:$A$204,0)),""))</f>
        <v>0</v>
      </c>
      <c r="C101" s="8">
        <f>IF(A101="","",IFERROR(INDEX(Recipes!$D$5:$D$204,MATCH(A101,Recipes!$A$5:$A$204,0)),""))</f>
        <v>0</v>
      </c>
      <c r="D101" s="8">
        <f>IF(A101="","",COUNTIFS('Recipe Ingredients'!$A$5:$A$1204,A101))</f>
        <v>0</v>
      </c>
      <c r="E101" s="8">
        <f>IF(A101="","",SUMIFS('Recipe Ingredients'!$H$5:$H$1204,'Recipe Ingredients'!$A$5:$A$1204,A101))</f>
        <v>0</v>
      </c>
      <c r="F101" s="8">
        <f>IF(A101="","",IFERROR(INDEX(Recipes!$Q$5:$Q$204,MATCH(A101,Recipes!$A$5:$A$204,0)),""))</f>
        <v>0</v>
      </c>
      <c r="G101" s="8">
        <f>IF(OR(A101="",N101="",N101=0),"",IFERROR(F101/N101*100,""))</f>
        <v>0</v>
      </c>
      <c r="H101" s="8">
        <f>IF(OR(A101="",F101=""),"",COUNTIFS($F$5:$F$204,"&lt;"&amp;F101)+1)</f>
        <v>0</v>
      </c>
      <c r="I101" s="8">
        <f>IF(A101="","",IFERROR(INDEX('Recipe Ingredients'!$B$5:$B$1204,MATCH(1,INDEX(('Recipe Ingredients'!$A$5:$A$1204=A101)*('Recipe Ingredients'!$H$5:$H$1204=J101),0),0)),""))</f>
        <v>0</v>
      </c>
      <c r="J101" s="8">
        <f>IF(A101="","",SUMPRODUCT(MAX(('Recipe Ingredients'!$A$5:$A$1204=A101)*'Recipe Ingredients'!$H$5:$H$1204)))</f>
        <v>0</v>
      </c>
      <c r="K101" s="8">
        <f>IF(OR(A101="",E101="",E101=0),"",IFERROR(J101/E101,""))</f>
        <v>0</v>
      </c>
      <c r="L101" s="8">
        <f>IF(OR(A101="",F101=""),"",IFERROR(F101-AVERAGE($F$5:$F$204),""))</f>
        <v>0</v>
      </c>
      <c r="M101" s="8">
        <f>IF(OR(A101="",F101=""),"",IF(F101&lt;=Weekly_Budget/21,"Within budget","Over budget"))</f>
        <v>0</v>
      </c>
      <c r="N101" s="8">
        <f>IF(A101="","",IFERROR(INDEX(Recipes!$H$5:$H$204,MATCH(A101,Recipes!$A$5:$A$204,0)),""))</f>
        <v>0</v>
      </c>
      <c r="O101" s="8">
        <f>IF(A101="","",IFERROR(INDEX(Recipes!$S$5:$S$204,MATCH(A101,Recipes!$A$5:$A$204,0)),""))</f>
        <v>0</v>
      </c>
      <c r="P101" s="8">
        <f>IF(A101="","",IFERROR(INDEX(Recipes!$T$5:$T$204,MATCH(A101,Recipes!$A$5:$A$204,0)),""))</f>
        <v>0</v>
      </c>
      <c r="Q101" s="8">
        <f>IF(OR(A101="",F101=""),"",F101*7*3)</f>
        <v>0</v>
      </c>
      <c r="R101" s="25"/>
    </row>
    <row r="102" spans="1:18">
      <c r="A102" s="7"/>
      <c r="B102" s="8">
        <f>IF(A102="","",IFERROR(INDEX(Recipes!$B$5:$B$204,MATCH(A102,Recipes!$A$5:$A$204,0)),""))</f>
        <v>0</v>
      </c>
      <c r="C102" s="8">
        <f>IF(A102="","",IFERROR(INDEX(Recipes!$D$5:$D$204,MATCH(A102,Recipes!$A$5:$A$204,0)),""))</f>
        <v>0</v>
      </c>
      <c r="D102" s="8">
        <f>IF(A102="","",COUNTIFS('Recipe Ingredients'!$A$5:$A$1204,A102))</f>
        <v>0</v>
      </c>
      <c r="E102" s="8">
        <f>IF(A102="","",SUMIFS('Recipe Ingredients'!$H$5:$H$1204,'Recipe Ingredients'!$A$5:$A$1204,A102))</f>
        <v>0</v>
      </c>
      <c r="F102" s="8">
        <f>IF(A102="","",IFERROR(INDEX(Recipes!$Q$5:$Q$204,MATCH(A102,Recipes!$A$5:$A$204,0)),""))</f>
        <v>0</v>
      </c>
      <c r="G102" s="8">
        <f>IF(OR(A102="",N102="",N102=0),"",IFERROR(F102/N102*100,""))</f>
        <v>0</v>
      </c>
      <c r="H102" s="8">
        <f>IF(OR(A102="",F102=""),"",COUNTIFS($F$5:$F$204,"&lt;"&amp;F102)+1)</f>
        <v>0</v>
      </c>
      <c r="I102" s="8">
        <f>IF(A102="","",IFERROR(INDEX('Recipe Ingredients'!$B$5:$B$1204,MATCH(1,INDEX(('Recipe Ingredients'!$A$5:$A$1204=A102)*('Recipe Ingredients'!$H$5:$H$1204=J102),0),0)),""))</f>
        <v>0</v>
      </c>
      <c r="J102" s="8">
        <f>IF(A102="","",SUMPRODUCT(MAX(('Recipe Ingredients'!$A$5:$A$1204=A102)*'Recipe Ingredients'!$H$5:$H$1204)))</f>
        <v>0</v>
      </c>
      <c r="K102" s="8">
        <f>IF(OR(A102="",E102="",E102=0),"",IFERROR(J102/E102,""))</f>
        <v>0</v>
      </c>
      <c r="L102" s="8">
        <f>IF(OR(A102="",F102=""),"",IFERROR(F102-AVERAGE($F$5:$F$204),""))</f>
        <v>0</v>
      </c>
      <c r="M102" s="8">
        <f>IF(OR(A102="",F102=""),"",IF(F102&lt;=Weekly_Budget/21,"Within budget","Over budget"))</f>
        <v>0</v>
      </c>
      <c r="N102" s="8">
        <f>IF(A102="","",IFERROR(INDEX(Recipes!$H$5:$H$204,MATCH(A102,Recipes!$A$5:$A$204,0)),""))</f>
        <v>0</v>
      </c>
      <c r="O102" s="8">
        <f>IF(A102="","",IFERROR(INDEX(Recipes!$S$5:$S$204,MATCH(A102,Recipes!$A$5:$A$204,0)),""))</f>
        <v>0</v>
      </c>
      <c r="P102" s="8">
        <f>IF(A102="","",IFERROR(INDEX(Recipes!$T$5:$T$204,MATCH(A102,Recipes!$A$5:$A$204,0)),""))</f>
        <v>0</v>
      </c>
      <c r="Q102" s="8">
        <f>IF(OR(A102="",F102=""),"",F102*7*3)</f>
        <v>0</v>
      </c>
      <c r="R102" s="25"/>
    </row>
    <row r="103" spans="1:18">
      <c r="A103" s="7"/>
      <c r="B103" s="8">
        <f>IF(A103="","",IFERROR(INDEX(Recipes!$B$5:$B$204,MATCH(A103,Recipes!$A$5:$A$204,0)),""))</f>
        <v>0</v>
      </c>
      <c r="C103" s="8">
        <f>IF(A103="","",IFERROR(INDEX(Recipes!$D$5:$D$204,MATCH(A103,Recipes!$A$5:$A$204,0)),""))</f>
        <v>0</v>
      </c>
      <c r="D103" s="8">
        <f>IF(A103="","",COUNTIFS('Recipe Ingredients'!$A$5:$A$1204,A103))</f>
        <v>0</v>
      </c>
      <c r="E103" s="8">
        <f>IF(A103="","",SUMIFS('Recipe Ingredients'!$H$5:$H$1204,'Recipe Ingredients'!$A$5:$A$1204,A103))</f>
        <v>0</v>
      </c>
      <c r="F103" s="8">
        <f>IF(A103="","",IFERROR(INDEX(Recipes!$Q$5:$Q$204,MATCH(A103,Recipes!$A$5:$A$204,0)),""))</f>
        <v>0</v>
      </c>
      <c r="G103" s="8">
        <f>IF(OR(A103="",N103="",N103=0),"",IFERROR(F103/N103*100,""))</f>
        <v>0</v>
      </c>
      <c r="H103" s="8">
        <f>IF(OR(A103="",F103=""),"",COUNTIFS($F$5:$F$204,"&lt;"&amp;F103)+1)</f>
        <v>0</v>
      </c>
      <c r="I103" s="8">
        <f>IF(A103="","",IFERROR(INDEX('Recipe Ingredients'!$B$5:$B$1204,MATCH(1,INDEX(('Recipe Ingredients'!$A$5:$A$1204=A103)*('Recipe Ingredients'!$H$5:$H$1204=J103),0),0)),""))</f>
        <v>0</v>
      </c>
      <c r="J103" s="8">
        <f>IF(A103="","",SUMPRODUCT(MAX(('Recipe Ingredients'!$A$5:$A$1204=A103)*'Recipe Ingredients'!$H$5:$H$1204)))</f>
        <v>0</v>
      </c>
      <c r="K103" s="8">
        <f>IF(OR(A103="",E103="",E103=0),"",IFERROR(J103/E103,""))</f>
        <v>0</v>
      </c>
      <c r="L103" s="8">
        <f>IF(OR(A103="",F103=""),"",IFERROR(F103-AVERAGE($F$5:$F$204),""))</f>
        <v>0</v>
      </c>
      <c r="M103" s="8">
        <f>IF(OR(A103="",F103=""),"",IF(F103&lt;=Weekly_Budget/21,"Within budget","Over budget"))</f>
        <v>0</v>
      </c>
      <c r="N103" s="8">
        <f>IF(A103="","",IFERROR(INDEX(Recipes!$H$5:$H$204,MATCH(A103,Recipes!$A$5:$A$204,0)),""))</f>
        <v>0</v>
      </c>
      <c r="O103" s="8">
        <f>IF(A103="","",IFERROR(INDEX(Recipes!$S$5:$S$204,MATCH(A103,Recipes!$A$5:$A$204,0)),""))</f>
        <v>0</v>
      </c>
      <c r="P103" s="8">
        <f>IF(A103="","",IFERROR(INDEX(Recipes!$T$5:$T$204,MATCH(A103,Recipes!$A$5:$A$204,0)),""))</f>
        <v>0</v>
      </c>
      <c r="Q103" s="8">
        <f>IF(OR(A103="",F103=""),"",F103*7*3)</f>
        <v>0</v>
      </c>
      <c r="R103" s="25"/>
    </row>
    <row r="104" spans="1:18">
      <c r="A104" s="7"/>
      <c r="B104" s="8">
        <f>IF(A104="","",IFERROR(INDEX(Recipes!$B$5:$B$204,MATCH(A104,Recipes!$A$5:$A$204,0)),""))</f>
        <v>0</v>
      </c>
      <c r="C104" s="8">
        <f>IF(A104="","",IFERROR(INDEX(Recipes!$D$5:$D$204,MATCH(A104,Recipes!$A$5:$A$204,0)),""))</f>
        <v>0</v>
      </c>
      <c r="D104" s="8">
        <f>IF(A104="","",COUNTIFS('Recipe Ingredients'!$A$5:$A$1204,A104))</f>
        <v>0</v>
      </c>
      <c r="E104" s="8">
        <f>IF(A104="","",SUMIFS('Recipe Ingredients'!$H$5:$H$1204,'Recipe Ingredients'!$A$5:$A$1204,A104))</f>
        <v>0</v>
      </c>
      <c r="F104" s="8">
        <f>IF(A104="","",IFERROR(INDEX(Recipes!$Q$5:$Q$204,MATCH(A104,Recipes!$A$5:$A$204,0)),""))</f>
        <v>0</v>
      </c>
      <c r="G104" s="8">
        <f>IF(OR(A104="",N104="",N104=0),"",IFERROR(F104/N104*100,""))</f>
        <v>0</v>
      </c>
      <c r="H104" s="8">
        <f>IF(OR(A104="",F104=""),"",COUNTIFS($F$5:$F$204,"&lt;"&amp;F104)+1)</f>
        <v>0</v>
      </c>
      <c r="I104" s="8">
        <f>IF(A104="","",IFERROR(INDEX('Recipe Ingredients'!$B$5:$B$1204,MATCH(1,INDEX(('Recipe Ingredients'!$A$5:$A$1204=A104)*('Recipe Ingredients'!$H$5:$H$1204=J104),0),0)),""))</f>
        <v>0</v>
      </c>
      <c r="J104" s="8">
        <f>IF(A104="","",SUMPRODUCT(MAX(('Recipe Ingredients'!$A$5:$A$1204=A104)*'Recipe Ingredients'!$H$5:$H$1204)))</f>
        <v>0</v>
      </c>
      <c r="K104" s="8">
        <f>IF(OR(A104="",E104="",E104=0),"",IFERROR(J104/E104,""))</f>
        <v>0</v>
      </c>
      <c r="L104" s="8">
        <f>IF(OR(A104="",F104=""),"",IFERROR(F104-AVERAGE($F$5:$F$204),""))</f>
        <v>0</v>
      </c>
      <c r="M104" s="8">
        <f>IF(OR(A104="",F104=""),"",IF(F104&lt;=Weekly_Budget/21,"Within budget","Over budget"))</f>
        <v>0</v>
      </c>
      <c r="N104" s="8">
        <f>IF(A104="","",IFERROR(INDEX(Recipes!$H$5:$H$204,MATCH(A104,Recipes!$A$5:$A$204,0)),""))</f>
        <v>0</v>
      </c>
      <c r="O104" s="8">
        <f>IF(A104="","",IFERROR(INDEX(Recipes!$S$5:$S$204,MATCH(A104,Recipes!$A$5:$A$204,0)),""))</f>
        <v>0</v>
      </c>
      <c r="P104" s="8">
        <f>IF(A104="","",IFERROR(INDEX(Recipes!$T$5:$T$204,MATCH(A104,Recipes!$A$5:$A$204,0)),""))</f>
        <v>0</v>
      </c>
      <c r="Q104" s="8">
        <f>IF(OR(A104="",F104=""),"",F104*7*3)</f>
        <v>0</v>
      </c>
      <c r="R104" s="25"/>
    </row>
    <row r="105" spans="1:18">
      <c r="A105" s="7"/>
      <c r="B105" s="8">
        <f>IF(A105="","",IFERROR(INDEX(Recipes!$B$5:$B$204,MATCH(A105,Recipes!$A$5:$A$204,0)),""))</f>
        <v>0</v>
      </c>
      <c r="C105" s="8">
        <f>IF(A105="","",IFERROR(INDEX(Recipes!$D$5:$D$204,MATCH(A105,Recipes!$A$5:$A$204,0)),""))</f>
        <v>0</v>
      </c>
      <c r="D105" s="8">
        <f>IF(A105="","",COUNTIFS('Recipe Ingredients'!$A$5:$A$1204,A105))</f>
        <v>0</v>
      </c>
      <c r="E105" s="8">
        <f>IF(A105="","",SUMIFS('Recipe Ingredients'!$H$5:$H$1204,'Recipe Ingredients'!$A$5:$A$1204,A105))</f>
        <v>0</v>
      </c>
      <c r="F105" s="8">
        <f>IF(A105="","",IFERROR(INDEX(Recipes!$Q$5:$Q$204,MATCH(A105,Recipes!$A$5:$A$204,0)),""))</f>
        <v>0</v>
      </c>
      <c r="G105" s="8">
        <f>IF(OR(A105="",N105="",N105=0),"",IFERROR(F105/N105*100,""))</f>
        <v>0</v>
      </c>
      <c r="H105" s="8">
        <f>IF(OR(A105="",F105=""),"",COUNTIFS($F$5:$F$204,"&lt;"&amp;F105)+1)</f>
        <v>0</v>
      </c>
      <c r="I105" s="8">
        <f>IF(A105="","",IFERROR(INDEX('Recipe Ingredients'!$B$5:$B$1204,MATCH(1,INDEX(('Recipe Ingredients'!$A$5:$A$1204=A105)*('Recipe Ingredients'!$H$5:$H$1204=J105),0),0)),""))</f>
        <v>0</v>
      </c>
      <c r="J105" s="8">
        <f>IF(A105="","",SUMPRODUCT(MAX(('Recipe Ingredients'!$A$5:$A$1204=A105)*'Recipe Ingredients'!$H$5:$H$1204)))</f>
        <v>0</v>
      </c>
      <c r="K105" s="8">
        <f>IF(OR(A105="",E105="",E105=0),"",IFERROR(J105/E105,""))</f>
        <v>0</v>
      </c>
      <c r="L105" s="8">
        <f>IF(OR(A105="",F105=""),"",IFERROR(F105-AVERAGE($F$5:$F$204),""))</f>
        <v>0</v>
      </c>
      <c r="M105" s="8">
        <f>IF(OR(A105="",F105=""),"",IF(F105&lt;=Weekly_Budget/21,"Within budget","Over budget"))</f>
        <v>0</v>
      </c>
      <c r="N105" s="8">
        <f>IF(A105="","",IFERROR(INDEX(Recipes!$H$5:$H$204,MATCH(A105,Recipes!$A$5:$A$204,0)),""))</f>
        <v>0</v>
      </c>
      <c r="O105" s="8">
        <f>IF(A105="","",IFERROR(INDEX(Recipes!$S$5:$S$204,MATCH(A105,Recipes!$A$5:$A$204,0)),""))</f>
        <v>0</v>
      </c>
      <c r="P105" s="8">
        <f>IF(A105="","",IFERROR(INDEX(Recipes!$T$5:$T$204,MATCH(A105,Recipes!$A$5:$A$204,0)),""))</f>
        <v>0</v>
      </c>
      <c r="Q105" s="8">
        <f>IF(OR(A105="",F105=""),"",F105*7*3)</f>
        <v>0</v>
      </c>
      <c r="R105" s="25"/>
    </row>
    <row r="106" spans="1:18">
      <c r="A106" s="7"/>
      <c r="B106" s="8">
        <f>IF(A106="","",IFERROR(INDEX(Recipes!$B$5:$B$204,MATCH(A106,Recipes!$A$5:$A$204,0)),""))</f>
        <v>0</v>
      </c>
      <c r="C106" s="8">
        <f>IF(A106="","",IFERROR(INDEX(Recipes!$D$5:$D$204,MATCH(A106,Recipes!$A$5:$A$204,0)),""))</f>
        <v>0</v>
      </c>
      <c r="D106" s="8">
        <f>IF(A106="","",COUNTIFS('Recipe Ingredients'!$A$5:$A$1204,A106))</f>
        <v>0</v>
      </c>
      <c r="E106" s="8">
        <f>IF(A106="","",SUMIFS('Recipe Ingredients'!$H$5:$H$1204,'Recipe Ingredients'!$A$5:$A$1204,A106))</f>
        <v>0</v>
      </c>
      <c r="F106" s="8">
        <f>IF(A106="","",IFERROR(INDEX(Recipes!$Q$5:$Q$204,MATCH(A106,Recipes!$A$5:$A$204,0)),""))</f>
        <v>0</v>
      </c>
      <c r="G106" s="8">
        <f>IF(OR(A106="",N106="",N106=0),"",IFERROR(F106/N106*100,""))</f>
        <v>0</v>
      </c>
      <c r="H106" s="8">
        <f>IF(OR(A106="",F106=""),"",COUNTIFS($F$5:$F$204,"&lt;"&amp;F106)+1)</f>
        <v>0</v>
      </c>
      <c r="I106" s="8">
        <f>IF(A106="","",IFERROR(INDEX('Recipe Ingredients'!$B$5:$B$1204,MATCH(1,INDEX(('Recipe Ingredients'!$A$5:$A$1204=A106)*('Recipe Ingredients'!$H$5:$H$1204=J106),0),0)),""))</f>
        <v>0</v>
      </c>
      <c r="J106" s="8">
        <f>IF(A106="","",SUMPRODUCT(MAX(('Recipe Ingredients'!$A$5:$A$1204=A106)*'Recipe Ingredients'!$H$5:$H$1204)))</f>
        <v>0</v>
      </c>
      <c r="K106" s="8">
        <f>IF(OR(A106="",E106="",E106=0),"",IFERROR(J106/E106,""))</f>
        <v>0</v>
      </c>
      <c r="L106" s="8">
        <f>IF(OR(A106="",F106=""),"",IFERROR(F106-AVERAGE($F$5:$F$204),""))</f>
        <v>0</v>
      </c>
      <c r="M106" s="8">
        <f>IF(OR(A106="",F106=""),"",IF(F106&lt;=Weekly_Budget/21,"Within budget","Over budget"))</f>
        <v>0</v>
      </c>
      <c r="N106" s="8">
        <f>IF(A106="","",IFERROR(INDEX(Recipes!$H$5:$H$204,MATCH(A106,Recipes!$A$5:$A$204,0)),""))</f>
        <v>0</v>
      </c>
      <c r="O106" s="8">
        <f>IF(A106="","",IFERROR(INDEX(Recipes!$S$5:$S$204,MATCH(A106,Recipes!$A$5:$A$204,0)),""))</f>
        <v>0</v>
      </c>
      <c r="P106" s="8">
        <f>IF(A106="","",IFERROR(INDEX(Recipes!$T$5:$T$204,MATCH(A106,Recipes!$A$5:$A$204,0)),""))</f>
        <v>0</v>
      </c>
      <c r="Q106" s="8">
        <f>IF(OR(A106="",F106=""),"",F106*7*3)</f>
        <v>0</v>
      </c>
      <c r="R106" s="25"/>
    </row>
    <row r="107" spans="1:18">
      <c r="A107" s="7"/>
      <c r="B107" s="8">
        <f>IF(A107="","",IFERROR(INDEX(Recipes!$B$5:$B$204,MATCH(A107,Recipes!$A$5:$A$204,0)),""))</f>
        <v>0</v>
      </c>
      <c r="C107" s="8">
        <f>IF(A107="","",IFERROR(INDEX(Recipes!$D$5:$D$204,MATCH(A107,Recipes!$A$5:$A$204,0)),""))</f>
        <v>0</v>
      </c>
      <c r="D107" s="8">
        <f>IF(A107="","",COUNTIFS('Recipe Ingredients'!$A$5:$A$1204,A107))</f>
        <v>0</v>
      </c>
      <c r="E107" s="8">
        <f>IF(A107="","",SUMIFS('Recipe Ingredients'!$H$5:$H$1204,'Recipe Ingredients'!$A$5:$A$1204,A107))</f>
        <v>0</v>
      </c>
      <c r="F107" s="8">
        <f>IF(A107="","",IFERROR(INDEX(Recipes!$Q$5:$Q$204,MATCH(A107,Recipes!$A$5:$A$204,0)),""))</f>
        <v>0</v>
      </c>
      <c r="G107" s="8">
        <f>IF(OR(A107="",N107="",N107=0),"",IFERROR(F107/N107*100,""))</f>
        <v>0</v>
      </c>
      <c r="H107" s="8">
        <f>IF(OR(A107="",F107=""),"",COUNTIFS($F$5:$F$204,"&lt;"&amp;F107)+1)</f>
        <v>0</v>
      </c>
      <c r="I107" s="8">
        <f>IF(A107="","",IFERROR(INDEX('Recipe Ingredients'!$B$5:$B$1204,MATCH(1,INDEX(('Recipe Ingredients'!$A$5:$A$1204=A107)*('Recipe Ingredients'!$H$5:$H$1204=J107),0),0)),""))</f>
        <v>0</v>
      </c>
      <c r="J107" s="8">
        <f>IF(A107="","",SUMPRODUCT(MAX(('Recipe Ingredients'!$A$5:$A$1204=A107)*'Recipe Ingredients'!$H$5:$H$1204)))</f>
        <v>0</v>
      </c>
      <c r="K107" s="8">
        <f>IF(OR(A107="",E107="",E107=0),"",IFERROR(J107/E107,""))</f>
        <v>0</v>
      </c>
      <c r="L107" s="8">
        <f>IF(OR(A107="",F107=""),"",IFERROR(F107-AVERAGE($F$5:$F$204),""))</f>
        <v>0</v>
      </c>
      <c r="M107" s="8">
        <f>IF(OR(A107="",F107=""),"",IF(F107&lt;=Weekly_Budget/21,"Within budget","Over budget"))</f>
        <v>0</v>
      </c>
      <c r="N107" s="8">
        <f>IF(A107="","",IFERROR(INDEX(Recipes!$H$5:$H$204,MATCH(A107,Recipes!$A$5:$A$204,0)),""))</f>
        <v>0</v>
      </c>
      <c r="O107" s="8">
        <f>IF(A107="","",IFERROR(INDEX(Recipes!$S$5:$S$204,MATCH(A107,Recipes!$A$5:$A$204,0)),""))</f>
        <v>0</v>
      </c>
      <c r="P107" s="8">
        <f>IF(A107="","",IFERROR(INDEX(Recipes!$T$5:$T$204,MATCH(A107,Recipes!$A$5:$A$204,0)),""))</f>
        <v>0</v>
      </c>
      <c r="Q107" s="8">
        <f>IF(OR(A107="",F107=""),"",F107*7*3)</f>
        <v>0</v>
      </c>
      <c r="R107" s="25"/>
    </row>
    <row r="108" spans="1:18">
      <c r="A108" s="7"/>
      <c r="B108" s="8">
        <f>IF(A108="","",IFERROR(INDEX(Recipes!$B$5:$B$204,MATCH(A108,Recipes!$A$5:$A$204,0)),""))</f>
        <v>0</v>
      </c>
      <c r="C108" s="8">
        <f>IF(A108="","",IFERROR(INDEX(Recipes!$D$5:$D$204,MATCH(A108,Recipes!$A$5:$A$204,0)),""))</f>
        <v>0</v>
      </c>
      <c r="D108" s="8">
        <f>IF(A108="","",COUNTIFS('Recipe Ingredients'!$A$5:$A$1204,A108))</f>
        <v>0</v>
      </c>
      <c r="E108" s="8">
        <f>IF(A108="","",SUMIFS('Recipe Ingredients'!$H$5:$H$1204,'Recipe Ingredients'!$A$5:$A$1204,A108))</f>
        <v>0</v>
      </c>
      <c r="F108" s="8">
        <f>IF(A108="","",IFERROR(INDEX(Recipes!$Q$5:$Q$204,MATCH(A108,Recipes!$A$5:$A$204,0)),""))</f>
        <v>0</v>
      </c>
      <c r="G108" s="8">
        <f>IF(OR(A108="",N108="",N108=0),"",IFERROR(F108/N108*100,""))</f>
        <v>0</v>
      </c>
      <c r="H108" s="8">
        <f>IF(OR(A108="",F108=""),"",COUNTIFS($F$5:$F$204,"&lt;"&amp;F108)+1)</f>
        <v>0</v>
      </c>
      <c r="I108" s="8">
        <f>IF(A108="","",IFERROR(INDEX('Recipe Ingredients'!$B$5:$B$1204,MATCH(1,INDEX(('Recipe Ingredients'!$A$5:$A$1204=A108)*('Recipe Ingredients'!$H$5:$H$1204=J108),0),0)),""))</f>
        <v>0</v>
      </c>
      <c r="J108" s="8">
        <f>IF(A108="","",SUMPRODUCT(MAX(('Recipe Ingredients'!$A$5:$A$1204=A108)*'Recipe Ingredients'!$H$5:$H$1204)))</f>
        <v>0</v>
      </c>
      <c r="K108" s="8">
        <f>IF(OR(A108="",E108="",E108=0),"",IFERROR(J108/E108,""))</f>
        <v>0</v>
      </c>
      <c r="L108" s="8">
        <f>IF(OR(A108="",F108=""),"",IFERROR(F108-AVERAGE($F$5:$F$204),""))</f>
        <v>0</v>
      </c>
      <c r="M108" s="8">
        <f>IF(OR(A108="",F108=""),"",IF(F108&lt;=Weekly_Budget/21,"Within budget","Over budget"))</f>
        <v>0</v>
      </c>
      <c r="N108" s="8">
        <f>IF(A108="","",IFERROR(INDEX(Recipes!$H$5:$H$204,MATCH(A108,Recipes!$A$5:$A$204,0)),""))</f>
        <v>0</v>
      </c>
      <c r="O108" s="8">
        <f>IF(A108="","",IFERROR(INDEX(Recipes!$S$5:$S$204,MATCH(A108,Recipes!$A$5:$A$204,0)),""))</f>
        <v>0</v>
      </c>
      <c r="P108" s="8">
        <f>IF(A108="","",IFERROR(INDEX(Recipes!$T$5:$T$204,MATCH(A108,Recipes!$A$5:$A$204,0)),""))</f>
        <v>0</v>
      </c>
      <c r="Q108" s="8">
        <f>IF(OR(A108="",F108=""),"",F108*7*3)</f>
        <v>0</v>
      </c>
      <c r="R108" s="25"/>
    </row>
    <row r="109" spans="1:18">
      <c r="A109" s="7"/>
      <c r="B109" s="8">
        <f>IF(A109="","",IFERROR(INDEX(Recipes!$B$5:$B$204,MATCH(A109,Recipes!$A$5:$A$204,0)),""))</f>
        <v>0</v>
      </c>
      <c r="C109" s="8">
        <f>IF(A109="","",IFERROR(INDEX(Recipes!$D$5:$D$204,MATCH(A109,Recipes!$A$5:$A$204,0)),""))</f>
        <v>0</v>
      </c>
      <c r="D109" s="8">
        <f>IF(A109="","",COUNTIFS('Recipe Ingredients'!$A$5:$A$1204,A109))</f>
        <v>0</v>
      </c>
      <c r="E109" s="8">
        <f>IF(A109="","",SUMIFS('Recipe Ingredients'!$H$5:$H$1204,'Recipe Ingredients'!$A$5:$A$1204,A109))</f>
        <v>0</v>
      </c>
      <c r="F109" s="8">
        <f>IF(A109="","",IFERROR(INDEX(Recipes!$Q$5:$Q$204,MATCH(A109,Recipes!$A$5:$A$204,0)),""))</f>
        <v>0</v>
      </c>
      <c r="G109" s="8">
        <f>IF(OR(A109="",N109="",N109=0),"",IFERROR(F109/N109*100,""))</f>
        <v>0</v>
      </c>
      <c r="H109" s="8">
        <f>IF(OR(A109="",F109=""),"",COUNTIFS($F$5:$F$204,"&lt;"&amp;F109)+1)</f>
        <v>0</v>
      </c>
      <c r="I109" s="8">
        <f>IF(A109="","",IFERROR(INDEX('Recipe Ingredients'!$B$5:$B$1204,MATCH(1,INDEX(('Recipe Ingredients'!$A$5:$A$1204=A109)*('Recipe Ingredients'!$H$5:$H$1204=J109),0),0)),""))</f>
        <v>0</v>
      </c>
      <c r="J109" s="8">
        <f>IF(A109="","",SUMPRODUCT(MAX(('Recipe Ingredients'!$A$5:$A$1204=A109)*'Recipe Ingredients'!$H$5:$H$1204)))</f>
        <v>0</v>
      </c>
      <c r="K109" s="8">
        <f>IF(OR(A109="",E109="",E109=0),"",IFERROR(J109/E109,""))</f>
        <v>0</v>
      </c>
      <c r="L109" s="8">
        <f>IF(OR(A109="",F109=""),"",IFERROR(F109-AVERAGE($F$5:$F$204),""))</f>
        <v>0</v>
      </c>
      <c r="M109" s="8">
        <f>IF(OR(A109="",F109=""),"",IF(F109&lt;=Weekly_Budget/21,"Within budget","Over budget"))</f>
        <v>0</v>
      </c>
      <c r="N109" s="8">
        <f>IF(A109="","",IFERROR(INDEX(Recipes!$H$5:$H$204,MATCH(A109,Recipes!$A$5:$A$204,0)),""))</f>
        <v>0</v>
      </c>
      <c r="O109" s="8">
        <f>IF(A109="","",IFERROR(INDEX(Recipes!$S$5:$S$204,MATCH(A109,Recipes!$A$5:$A$204,0)),""))</f>
        <v>0</v>
      </c>
      <c r="P109" s="8">
        <f>IF(A109="","",IFERROR(INDEX(Recipes!$T$5:$T$204,MATCH(A109,Recipes!$A$5:$A$204,0)),""))</f>
        <v>0</v>
      </c>
      <c r="Q109" s="8">
        <f>IF(OR(A109="",F109=""),"",F109*7*3)</f>
        <v>0</v>
      </c>
      <c r="R109" s="25"/>
    </row>
    <row r="110" spans="1:18">
      <c r="A110" s="7"/>
      <c r="B110" s="8">
        <f>IF(A110="","",IFERROR(INDEX(Recipes!$B$5:$B$204,MATCH(A110,Recipes!$A$5:$A$204,0)),""))</f>
        <v>0</v>
      </c>
      <c r="C110" s="8">
        <f>IF(A110="","",IFERROR(INDEX(Recipes!$D$5:$D$204,MATCH(A110,Recipes!$A$5:$A$204,0)),""))</f>
        <v>0</v>
      </c>
      <c r="D110" s="8">
        <f>IF(A110="","",COUNTIFS('Recipe Ingredients'!$A$5:$A$1204,A110))</f>
        <v>0</v>
      </c>
      <c r="E110" s="8">
        <f>IF(A110="","",SUMIFS('Recipe Ingredients'!$H$5:$H$1204,'Recipe Ingredients'!$A$5:$A$1204,A110))</f>
        <v>0</v>
      </c>
      <c r="F110" s="8">
        <f>IF(A110="","",IFERROR(INDEX(Recipes!$Q$5:$Q$204,MATCH(A110,Recipes!$A$5:$A$204,0)),""))</f>
        <v>0</v>
      </c>
      <c r="G110" s="8">
        <f>IF(OR(A110="",N110="",N110=0),"",IFERROR(F110/N110*100,""))</f>
        <v>0</v>
      </c>
      <c r="H110" s="8">
        <f>IF(OR(A110="",F110=""),"",COUNTIFS($F$5:$F$204,"&lt;"&amp;F110)+1)</f>
        <v>0</v>
      </c>
      <c r="I110" s="8">
        <f>IF(A110="","",IFERROR(INDEX('Recipe Ingredients'!$B$5:$B$1204,MATCH(1,INDEX(('Recipe Ingredients'!$A$5:$A$1204=A110)*('Recipe Ingredients'!$H$5:$H$1204=J110),0),0)),""))</f>
        <v>0</v>
      </c>
      <c r="J110" s="8">
        <f>IF(A110="","",SUMPRODUCT(MAX(('Recipe Ingredients'!$A$5:$A$1204=A110)*'Recipe Ingredients'!$H$5:$H$1204)))</f>
        <v>0</v>
      </c>
      <c r="K110" s="8">
        <f>IF(OR(A110="",E110="",E110=0),"",IFERROR(J110/E110,""))</f>
        <v>0</v>
      </c>
      <c r="L110" s="8">
        <f>IF(OR(A110="",F110=""),"",IFERROR(F110-AVERAGE($F$5:$F$204),""))</f>
        <v>0</v>
      </c>
      <c r="M110" s="8">
        <f>IF(OR(A110="",F110=""),"",IF(F110&lt;=Weekly_Budget/21,"Within budget","Over budget"))</f>
        <v>0</v>
      </c>
      <c r="N110" s="8">
        <f>IF(A110="","",IFERROR(INDEX(Recipes!$H$5:$H$204,MATCH(A110,Recipes!$A$5:$A$204,0)),""))</f>
        <v>0</v>
      </c>
      <c r="O110" s="8">
        <f>IF(A110="","",IFERROR(INDEX(Recipes!$S$5:$S$204,MATCH(A110,Recipes!$A$5:$A$204,0)),""))</f>
        <v>0</v>
      </c>
      <c r="P110" s="8">
        <f>IF(A110="","",IFERROR(INDEX(Recipes!$T$5:$T$204,MATCH(A110,Recipes!$A$5:$A$204,0)),""))</f>
        <v>0</v>
      </c>
      <c r="Q110" s="8">
        <f>IF(OR(A110="",F110=""),"",F110*7*3)</f>
        <v>0</v>
      </c>
      <c r="R110" s="25"/>
    </row>
    <row r="111" spans="1:18">
      <c r="A111" s="7"/>
      <c r="B111" s="8">
        <f>IF(A111="","",IFERROR(INDEX(Recipes!$B$5:$B$204,MATCH(A111,Recipes!$A$5:$A$204,0)),""))</f>
        <v>0</v>
      </c>
      <c r="C111" s="8">
        <f>IF(A111="","",IFERROR(INDEX(Recipes!$D$5:$D$204,MATCH(A111,Recipes!$A$5:$A$204,0)),""))</f>
        <v>0</v>
      </c>
      <c r="D111" s="8">
        <f>IF(A111="","",COUNTIFS('Recipe Ingredients'!$A$5:$A$1204,A111))</f>
        <v>0</v>
      </c>
      <c r="E111" s="8">
        <f>IF(A111="","",SUMIFS('Recipe Ingredients'!$H$5:$H$1204,'Recipe Ingredients'!$A$5:$A$1204,A111))</f>
        <v>0</v>
      </c>
      <c r="F111" s="8">
        <f>IF(A111="","",IFERROR(INDEX(Recipes!$Q$5:$Q$204,MATCH(A111,Recipes!$A$5:$A$204,0)),""))</f>
        <v>0</v>
      </c>
      <c r="G111" s="8">
        <f>IF(OR(A111="",N111="",N111=0),"",IFERROR(F111/N111*100,""))</f>
        <v>0</v>
      </c>
      <c r="H111" s="8">
        <f>IF(OR(A111="",F111=""),"",COUNTIFS($F$5:$F$204,"&lt;"&amp;F111)+1)</f>
        <v>0</v>
      </c>
      <c r="I111" s="8">
        <f>IF(A111="","",IFERROR(INDEX('Recipe Ingredients'!$B$5:$B$1204,MATCH(1,INDEX(('Recipe Ingredients'!$A$5:$A$1204=A111)*('Recipe Ingredients'!$H$5:$H$1204=J111),0),0)),""))</f>
        <v>0</v>
      </c>
      <c r="J111" s="8">
        <f>IF(A111="","",SUMPRODUCT(MAX(('Recipe Ingredients'!$A$5:$A$1204=A111)*'Recipe Ingredients'!$H$5:$H$1204)))</f>
        <v>0</v>
      </c>
      <c r="K111" s="8">
        <f>IF(OR(A111="",E111="",E111=0),"",IFERROR(J111/E111,""))</f>
        <v>0</v>
      </c>
      <c r="L111" s="8">
        <f>IF(OR(A111="",F111=""),"",IFERROR(F111-AVERAGE($F$5:$F$204),""))</f>
        <v>0</v>
      </c>
      <c r="M111" s="8">
        <f>IF(OR(A111="",F111=""),"",IF(F111&lt;=Weekly_Budget/21,"Within budget","Over budget"))</f>
        <v>0</v>
      </c>
      <c r="N111" s="8">
        <f>IF(A111="","",IFERROR(INDEX(Recipes!$H$5:$H$204,MATCH(A111,Recipes!$A$5:$A$204,0)),""))</f>
        <v>0</v>
      </c>
      <c r="O111" s="8">
        <f>IF(A111="","",IFERROR(INDEX(Recipes!$S$5:$S$204,MATCH(A111,Recipes!$A$5:$A$204,0)),""))</f>
        <v>0</v>
      </c>
      <c r="P111" s="8">
        <f>IF(A111="","",IFERROR(INDEX(Recipes!$T$5:$T$204,MATCH(A111,Recipes!$A$5:$A$204,0)),""))</f>
        <v>0</v>
      </c>
      <c r="Q111" s="8">
        <f>IF(OR(A111="",F111=""),"",F111*7*3)</f>
        <v>0</v>
      </c>
      <c r="R111" s="25"/>
    </row>
    <row r="112" spans="1:18">
      <c r="A112" s="7"/>
      <c r="B112" s="8">
        <f>IF(A112="","",IFERROR(INDEX(Recipes!$B$5:$B$204,MATCH(A112,Recipes!$A$5:$A$204,0)),""))</f>
        <v>0</v>
      </c>
      <c r="C112" s="8">
        <f>IF(A112="","",IFERROR(INDEX(Recipes!$D$5:$D$204,MATCH(A112,Recipes!$A$5:$A$204,0)),""))</f>
        <v>0</v>
      </c>
      <c r="D112" s="8">
        <f>IF(A112="","",COUNTIFS('Recipe Ingredients'!$A$5:$A$1204,A112))</f>
        <v>0</v>
      </c>
      <c r="E112" s="8">
        <f>IF(A112="","",SUMIFS('Recipe Ingredients'!$H$5:$H$1204,'Recipe Ingredients'!$A$5:$A$1204,A112))</f>
        <v>0</v>
      </c>
      <c r="F112" s="8">
        <f>IF(A112="","",IFERROR(INDEX(Recipes!$Q$5:$Q$204,MATCH(A112,Recipes!$A$5:$A$204,0)),""))</f>
        <v>0</v>
      </c>
      <c r="G112" s="8">
        <f>IF(OR(A112="",N112="",N112=0),"",IFERROR(F112/N112*100,""))</f>
        <v>0</v>
      </c>
      <c r="H112" s="8">
        <f>IF(OR(A112="",F112=""),"",COUNTIFS($F$5:$F$204,"&lt;"&amp;F112)+1)</f>
        <v>0</v>
      </c>
      <c r="I112" s="8">
        <f>IF(A112="","",IFERROR(INDEX('Recipe Ingredients'!$B$5:$B$1204,MATCH(1,INDEX(('Recipe Ingredients'!$A$5:$A$1204=A112)*('Recipe Ingredients'!$H$5:$H$1204=J112),0),0)),""))</f>
        <v>0</v>
      </c>
      <c r="J112" s="8">
        <f>IF(A112="","",SUMPRODUCT(MAX(('Recipe Ingredients'!$A$5:$A$1204=A112)*'Recipe Ingredients'!$H$5:$H$1204)))</f>
        <v>0</v>
      </c>
      <c r="K112" s="8">
        <f>IF(OR(A112="",E112="",E112=0),"",IFERROR(J112/E112,""))</f>
        <v>0</v>
      </c>
      <c r="L112" s="8">
        <f>IF(OR(A112="",F112=""),"",IFERROR(F112-AVERAGE($F$5:$F$204),""))</f>
        <v>0</v>
      </c>
      <c r="M112" s="8">
        <f>IF(OR(A112="",F112=""),"",IF(F112&lt;=Weekly_Budget/21,"Within budget","Over budget"))</f>
        <v>0</v>
      </c>
      <c r="N112" s="8">
        <f>IF(A112="","",IFERROR(INDEX(Recipes!$H$5:$H$204,MATCH(A112,Recipes!$A$5:$A$204,0)),""))</f>
        <v>0</v>
      </c>
      <c r="O112" s="8">
        <f>IF(A112="","",IFERROR(INDEX(Recipes!$S$5:$S$204,MATCH(A112,Recipes!$A$5:$A$204,0)),""))</f>
        <v>0</v>
      </c>
      <c r="P112" s="8">
        <f>IF(A112="","",IFERROR(INDEX(Recipes!$T$5:$T$204,MATCH(A112,Recipes!$A$5:$A$204,0)),""))</f>
        <v>0</v>
      </c>
      <c r="Q112" s="8">
        <f>IF(OR(A112="",F112=""),"",F112*7*3)</f>
        <v>0</v>
      </c>
      <c r="R112" s="25"/>
    </row>
    <row r="113" spans="1:18">
      <c r="A113" s="7"/>
      <c r="B113" s="8">
        <f>IF(A113="","",IFERROR(INDEX(Recipes!$B$5:$B$204,MATCH(A113,Recipes!$A$5:$A$204,0)),""))</f>
        <v>0</v>
      </c>
      <c r="C113" s="8">
        <f>IF(A113="","",IFERROR(INDEX(Recipes!$D$5:$D$204,MATCH(A113,Recipes!$A$5:$A$204,0)),""))</f>
        <v>0</v>
      </c>
      <c r="D113" s="8">
        <f>IF(A113="","",COUNTIFS('Recipe Ingredients'!$A$5:$A$1204,A113))</f>
        <v>0</v>
      </c>
      <c r="E113" s="8">
        <f>IF(A113="","",SUMIFS('Recipe Ingredients'!$H$5:$H$1204,'Recipe Ingredients'!$A$5:$A$1204,A113))</f>
        <v>0</v>
      </c>
      <c r="F113" s="8">
        <f>IF(A113="","",IFERROR(INDEX(Recipes!$Q$5:$Q$204,MATCH(A113,Recipes!$A$5:$A$204,0)),""))</f>
        <v>0</v>
      </c>
      <c r="G113" s="8">
        <f>IF(OR(A113="",N113="",N113=0),"",IFERROR(F113/N113*100,""))</f>
        <v>0</v>
      </c>
      <c r="H113" s="8">
        <f>IF(OR(A113="",F113=""),"",COUNTIFS($F$5:$F$204,"&lt;"&amp;F113)+1)</f>
        <v>0</v>
      </c>
      <c r="I113" s="8">
        <f>IF(A113="","",IFERROR(INDEX('Recipe Ingredients'!$B$5:$B$1204,MATCH(1,INDEX(('Recipe Ingredients'!$A$5:$A$1204=A113)*('Recipe Ingredients'!$H$5:$H$1204=J113),0),0)),""))</f>
        <v>0</v>
      </c>
      <c r="J113" s="8">
        <f>IF(A113="","",SUMPRODUCT(MAX(('Recipe Ingredients'!$A$5:$A$1204=A113)*'Recipe Ingredients'!$H$5:$H$1204)))</f>
        <v>0</v>
      </c>
      <c r="K113" s="8">
        <f>IF(OR(A113="",E113="",E113=0),"",IFERROR(J113/E113,""))</f>
        <v>0</v>
      </c>
      <c r="L113" s="8">
        <f>IF(OR(A113="",F113=""),"",IFERROR(F113-AVERAGE($F$5:$F$204),""))</f>
        <v>0</v>
      </c>
      <c r="M113" s="8">
        <f>IF(OR(A113="",F113=""),"",IF(F113&lt;=Weekly_Budget/21,"Within budget","Over budget"))</f>
        <v>0</v>
      </c>
      <c r="N113" s="8">
        <f>IF(A113="","",IFERROR(INDEX(Recipes!$H$5:$H$204,MATCH(A113,Recipes!$A$5:$A$204,0)),""))</f>
        <v>0</v>
      </c>
      <c r="O113" s="8">
        <f>IF(A113="","",IFERROR(INDEX(Recipes!$S$5:$S$204,MATCH(A113,Recipes!$A$5:$A$204,0)),""))</f>
        <v>0</v>
      </c>
      <c r="P113" s="8">
        <f>IF(A113="","",IFERROR(INDEX(Recipes!$T$5:$T$204,MATCH(A113,Recipes!$A$5:$A$204,0)),""))</f>
        <v>0</v>
      </c>
      <c r="Q113" s="8">
        <f>IF(OR(A113="",F113=""),"",F113*7*3)</f>
        <v>0</v>
      </c>
      <c r="R113" s="25"/>
    </row>
    <row r="114" spans="1:18">
      <c r="A114" s="7"/>
      <c r="B114" s="8">
        <f>IF(A114="","",IFERROR(INDEX(Recipes!$B$5:$B$204,MATCH(A114,Recipes!$A$5:$A$204,0)),""))</f>
        <v>0</v>
      </c>
      <c r="C114" s="8">
        <f>IF(A114="","",IFERROR(INDEX(Recipes!$D$5:$D$204,MATCH(A114,Recipes!$A$5:$A$204,0)),""))</f>
        <v>0</v>
      </c>
      <c r="D114" s="8">
        <f>IF(A114="","",COUNTIFS('Recipe Ingredients'!$A$5:$A$1204,A114))</f>
        <v>0</v>
      </c>
      <c r="E114" s="8">
        <f>IF(A114="","",SUMIFS('Recipe Ingredients'!$H$5:$H$1204,'Recipe Ingredients'!$A$5:$A$1204,A114))</f>
        <v>0</v>
      </c>
      <c r="F114" s="8">
        <f>IF(A114="","",IFERROR(INDEX(Recipes!$Q$5:$Q$204,MATCH(A114,Recipes!$A$5:$A$204,0)),""))</f>
        <v>0</v>
      </c>
      <c r="G114" s="8">
        <f>IF(OR(A114="",N114="",N114=0),"",IFERROR(F114/N114*100,""))</f>
        <v>0</v>
      </c>
      <c r="H114" s="8">
        <f>IF(OR(A114="",F114=""),"",COUNTIFS($F$5:$F$204,"&lt;"&amp;F114)+1)</f>
        <v>0</v>
      </c>
      <c r="I114" s="8">
        <f>IF(A114="","",IFERROR(INDEX('Recipe Ingredients'!$B$5:$B$1204,MATCH(1,INDEX(('Recipe Ingredients'!$A$5:$A$1204=A114)*('Recipe Ingredients'!$H$5:$H$1204=J114),0),0)),""))</f>
        <v>0</v>
      </c>
      <c r="J114" s="8">
        <f>IF(A114="","",SUMPRODUCT(MAX(('Recipe Ingredients'!$A$5:$A$1204=A114)*'Recipe Ingredients'!$H$5:$H$1204)))</f>
        <v>0</v>
      </c>
      <c r="K114" s="8">
        <f>IF(OR(A114="",E114="",E114=0),"",IFERROR(J114/E114,""))</f>
        <v>0</v>
      </c>
      <c r="L114" s="8">
        <f>IF(OR(A114="",F114=""),"",IFERROR(F114-AVERAGE($F$5:$F$204),""))</f>
        <v>0</v>
      </c>
      <c r="M114" s="8">
        <f>IF(OR(A114="",F114=""),"",IF(F114&lt;=Weekly_Budget/21,"Within budget","Over budget"))</f>
        <v>0</v>
      </c>
      <c r="N114" s="8">
        <f>IF(A114="","",IFERROR(INDEX(Recipes!$H$5:$H$204,MATCH(A114,Recipes!$A$5:$A$204,0)),""))</f>
        <v>0</v>
      </c>
      <c r="O114" s="8">
        <f>IF(A114="","",IFERROR(INDEX(Recipes!$S$5:$S$204,MATCH(A114,Recipes!$A$5:$A$204,0)),""))</f>
        <v>0</v>
      </c>
      <c r="P114" s="8">
        <f>IF(A114="","",IFERROR(INDEX(Recipes!$T$5:$T$204,MATCH(A114,Recipes!$A$5:$A$204,0)),""))</f>
        <v>0</v>
      </c>
      <c r="Q114" s="8">
        <f>IF(OR(A114="",F114=""),"",F114*7*3)</f>
        <v>0</v>
      </c>
      <c r="R114" s="25"/>
    </row>
    <row r="115" spans="1:18">
      <c r="A115" s="7"/>
      <c r="B115" s="8">
        <f>IF(A115="","",IFERROR(INDEX(Recipes!$B$5:$B$204,MATCH(A115,Recipes!$A$5:$A$204,0)),""))</f>
        <v>0</v>
      </c>
      <c r="C115" s="8">
        <f>IF(A115="","",IFERROR(INDEX(Recipes!$D$5:$D$204,MATCH(A115,Recipes!$A$5:$A$204,0)),""))</f>
        <v>0</v>
      </c>
      <c r="D115" s="8">
        <f>IF(A115="","",COUNTIFS('Recipe Ingredients'!$A$5:$A$1204,A115))</f>
        <v>0</v>
      </c>
      <c r="E115" s="8">
        <f>IF(A115="","",SUMIFS('Recipe Ingredients'!$H$5:$H$1204,'Recipe Ingredients'!$A$5:$A$1204,A115))</f>
        <v>0</v>
      </c>
      <c r="F115" s="8">
        <f>IF(A115="","",IFERROR(INDEX(Recipes!$Q$5:$Q$204,MATCH(A115,Recipes!$A$5:$A$204,0)),""))</f>
        <v>0</v>
      </c>
      <c r="G115" s="8">
        <f>IF(OR(A115="",N115="",N115=0),"",IFERROR(F115/N115*100,""))</f>
        <v>0</v>
      </c>
      <c r="H115" s="8">
        <f>IF(OR(A115="",F115=""),"",COUNTIFS($F$5:$F$204,"&lt;"&amp;F115)+1)</f>
        <v>0</v>
      </c>
      <c r="I115" s="8">
        <f>IF(A115="","",IFERROR(INDEX('Recipe Ingredients'!$B$5:$B$1204,MATCH(1,INDEX(('Recipe Ingredients'!$A$5:$A$1204=A115)*('Recipe Ingredients'!$H$5:$H$1204=J115),0),0)),""))</f>
        <v>0</v>
      </c>
      <c r="J115" s="8">
        <f>IF(A115="","",SUMPRODUCT(MAX(('Recipe Ingredients'!$A$5:$A$1204=A115)*'Recipe Ingredients'!$H$5:$H$1204)))</f>
        <v>0</v>
      </c>
      <c r="K115" s="8">
        <f>IF(OR(A115="",E115="",E115=0),"",IFERROR(J115/E115,""))</f>
        <v>0</v>
      </c>
      <c r="L115" s="8">
        <f>IF(OR(A115="",F115=""),"",IFERROR(F115-AVERAGE($F$5:$F$204),""))</f>
        <v>0</v>
      </c>
      <c r="M115" s="8">
        <f>IF(OR(A115="",F115=""),"",IF(F115&lt;=Weekly_Budget/21,"Within budget","Over budget"))</f>
        <v>0</v>
      </c>
      <c r="N115" s="8">
        <f>IF(A115="","",IFERROR(INDEX(Recipes!$H$5:$H$204,MATCH(A115,Recipes!$A$5:$A$204,0)),""))</f>
        <v>0</v>
      </c>
      <c r="O115" s="8">
        <f>IF(A115="","",IFERROR(INDEX(Recipes!$S$5:$S$204,MATCH(A115,Recipes!$A$5:$A$204,0)),""))</f>
        <v>0</v>
      </c>
      <c r="P115" s="8">
        <f>IF(A115="","",IFERROR(INDEX(Recipes!$T$5:$T$204,MATCH(A115,Recipes!$A$5:$A$204,0)),""))</f>
        <v>0</v>
      </c>
      <c r="Q115" s="8">
        <f>IF(OR(A115="",F115=""),"",F115*7*3)</f>
        <v>0</v>
      </c>
      <c r="R115" s="25"/>
    </row>
    <row r="116" spans="1:18">
      <c r="A116" s="7"/>
      <c r="B116" s="8">
        <f>IF(A116="","",IFERROR(INDEX(Recipes!$B$5:$B$204,MATCH(A116,Recipes!$A$5:$A$204,0)),""))</f>
        <v>0</v>
      </c>
      <c r="C116" s="8">
        <f>IF(A116="","",IFERROR(INDEX(Recipes!$D$5:$D$204,MATCH(A116,Recipes!$A$5:$A$204,0)),""))</f>
        <v>0</v>
      </c>
      <c r="D116" s="8">
        <f>IF(A116="","",COUNTIFS('Recipe Ingredients'!$A$5:$A$1204,A116))</f>
        <v>0</v>
      </c>
      <c r="E116" s="8">
        <f>IF(A116="","",SUMIFS('Recipe Ingredients'!$H$5:$H$1204,'Recipe Ingredients'!$A$5:$A$1204,A116))</f>
        <v>0</v>
      </c>
      <c r="F116" s="8">
        <f>IF(A116="","",IFERROR(INDEX(Recipes!$Q$5:$Q$204,MATCH(A116,Recipes!$A$5:$A$204,0)),""))</f>
        <v>0</v>
      </c>
      <c r="G116" s="8">
        <f>IF(OR(A116="",N116="",N116=0),"",IFERROR(F116/N116*100,""))</f>
        <v>0</v>
      </c>
      <c r="H116" s="8">
        <f>IF(OR(A116="",F116=""),"",COUNTIFS($F$5:$F$204,"&lt;"&amp;F116)+1)</f>
        <v>0</v>
      </c>
      <c r="I116" s="8">
        <f>IF(A116="","",IFERROR(INDEX('Recipe Ingredients'!$B$5:$B$1204,MATCH(1,INDEX(('Recipe Ingredients'!$A$5:$A$1204=A116)*('Recipe Ingredients'!$H$5:$H$1204=J116),0),0)),""))</f>
        <v>0</v>
      </c>
      <c r="J116" s="8">
        <f>IF(A116="","",SUMPRODUCT(MAX(('Recipe Ingredients'!$A$5:$A$1204=A116)*'Recipe Ingredients'!$H$5:$H$1204)))</f>
        <v>0</v>
      </c>
      <c r="K116" s="8">
        <f>IF(OR(A116="",E116="",E116=0),"",IFERROR(J116/E116,""))</f>
        <v>0</v>
      </c>
      <c r="L116" s="8">
        <f>IF(OR(A116="",F116=""),"",IFERROR(F116-AVERAGE($F$5:$F$204),""))</f>
        <v>0</v>
      </c>
      <c r="M116" s="8">
        <f>IF(OR(A116="",F116=""),"",IF(F116&lt;=Weekly_Budget/21,"Within budget","Over budget"))</f>
        <v>0</v>
      </c>
      <c r="N116" s="8">
        <f>IF(A116="","",IFERROR(INDEX(Recipes!$H$5:$H$204,MATCH(A116,Recipes!$A$5:$A$204,0)),""))</f>
        <v>0</v>
      </c>
      <c r="O116" s="8">
        <f>IF(A116="","",IFERROR(INDEX(Recipes!$S$5:$S$204,MATCH(A116,Recipes!$A$5:$A$204,0)),""))</f>
        <v>0</v>
      </c>
      <c r="P116" s="8">
        <f>IF(A116="","",IFERROR(INDEX(Recipes!$T$5:$T$204,MATCH(A116,Recipes!$A$5:$A$204,0)),""))</f>
        <v>0</v>
      </c>
      <c r="Q116" s="8">
        <f>IF(OR(A116="",F116=""),"",F116*7*3)</f>
        <v>0</v>
      </c>
      <c r="R116" s="25"/>
    </row>
    <row r="117" spans="1:18">
      <c r="A117" s="7"/>
      <c r="B117" s="8">
        <f>IF(A117="","",IFERROR(INDEX(Recipes!$B$5:$B$204,MATCH(A117,Recipes!$A$5:$A$204,0)),""))</f>
        <v>0</v>
      </c>
      <c r="C117" s="8">
        <f>IF(A117="","",IFERROR(INDEX(Recipes!$D$5:$D$204,MATCH(A117,Recipes!$A$5:$A$204,0)),""))</f>
        <v>0</v>
      </c>
      <c r="D117" s="8">
        <f>IF(A117="","",COUNTIFS('Recipe Ingredients'!$A$5:$A$1204,A117))</f>
        <v>0</v>
      </c>
      <c r="E117" s="8">
        <f>IF(A117="","",SUMIFS('Recipe Ingredients'!$H$5:$H$1204,'Recipe Ingredients'!$A$5:$A$1204,A117))</f>
        <v>0</v>
      </c>
      <c r="F117" s="8">
        <f>IF(A117="","",IFERROR(INDEX(Recipes!$Q$5:$Q$204,MATCH(A117,Recipes!$A$5:$A$204,0)),""))</f>
        <v>0</v>
      </c>
      <c r="G117" s="8">
        <f>IF(OR(A117="",N117="",N117=0),"",IFERROR(F117/N117*100,""))</f>
        <v>0</v>
      </c>
      <c r="H117" s="8">
        <f>IF(OR(A117="",F117=""),"",COUNTIFS($F$5:$F$204,"&lt;"&amp;F117)+1)</f>
        <v>0</v>
      </c>
      <c r="I117" s="8">
        <f>IF(A117="","",IFERROR(INDEX('Recipe Ingredients'!$B$5:$B$1204,MATCH(1,INDEX(('Recipe Ingredients'!$A$5:$A$1204=A117)*('Recipe Ingredients'!$H$5:$H$1204=J117),0),0)),""))</f>
        <v>0</v>
      </c>
      <c r="J117" s="8">
        <f>IF(A117="","",SUMPRODUCT(MAX(('Recipe Ingredients'!$A$5:$A$1204=A117)*'Recipe Ingredients'!$H$5:$H$1204)))</f>
        <v>0</v>
      </c>
      <c r="K117" s="8">
        <f>IF(OR(A117="",E117="",E117=0),"",IFERROR(J117/E117,""))</f>
        <v>0</v>
      </c>
      <c r="L117" s="8">
        <f>IF(OR(A117="",F117=""),"",IFERROR(F117-AVERAGE($F$5:$F$204),""))</f>
        <v>0</v>
      </c>
      <c r="M117" s="8">
        <f>IF(OR(A117="",F117=""),"",IF(F117&lt;=Weekly_Budget/21,"Within budget","Over budget"))</f>
        <v>0</v>
      </c>
      <c r="N117" s="8">
        <f>IF(A117="","",IFERROR(INDEX(Recipes!$H$5:$H$204,MATCH(A117,Recipes!$A$5:$A$204,0)),""))</f>
        <v>0</v>
      </c>
      <c r="O117" s="8">
        <f>IF(A117="","",IFERROR(INDEX(Recipes!$S$5:$S$204,MATCH(A117,Recipes!$A$5:$A$204,0)),""))</f>
        <v>0</v>
      </c>
      <c r="P117" s="8">
        <f>IF(A117="","",IFERROR(INDEX(Recipes!$T$5:$T$204,MATCH(A117,Recipes!$A$5:$A$204,0)),""))</f>
        <v>0</v>
      </c>
      <c r="Q117" s="8">
        <f>IF(OR(A117="",F117=""),"",F117*7*3)</f>
        <v>0</v>
      </c>
      <c r="R117" s="25"/>
    </row>
    <row r="118" spans="1:18">
      <c r="A118" s="7"/>
      <c r="B118" s="8">
        <f>IF(A118="","",IFERROR(INDEX(Recipes!$B$5:$B$204,MATCH(A118,Recipes!$A$5:$A$204,0)),""))</f>
        <v>0</v>
      </c>
      <c r="C118" s="8">
        <f>IF(A118="","",IFERROR(INDEX(Recipes!$D$5:$D$204,MATCH(A118,Recipes!$A$5:$A$204,0)),""))</f>
        <v>0</v>
      </c>
      <c r="D118" s="8">
        <f>IF(A118="","",COUNTIFS('Recipe Ingredients'!$A$5:$A$1204,A118))</f>
        <v>0</v>
      </c>
      <c r="E118" s="8">
        <f>IF(A118="","",SUMIFS('Recipe Ingredients'!$H$5:$H$1204,'Recipe Ingredients'!$A$5:$A$1204,A118))</f>
        <v>0</v>
      </c>
      <c r="F118" s="8">
        <f>IF(A118="","",IFERROR(INDEX(Recipes!$Q$5:$Q$204,MATCH(A118,Recipes!$A$5:$A$204,0)),""))</f>
        <v>0</v>
      </c>
      <c r="G118" s="8">
        <f>IF(OR(A118="",N118="",N118=0),"",IFERROR(F118/N118*100,""))</f>
        <v>0</v>
      </c>
      <c r="H118" s="8">
        <f>IF(OR(A118="",F118=""),"",COUNTIFS($F$5:$F$204,"&lt;"&amp;F118)+1)</f>
        <v>0</v>
      </c>
      <c r="I118" s="8">
        <f>IF(A118="","",IFERROR(INDEX('Recipe Ingredients'!$B$5:$B$1204,MATCH(1,INDEX(('Recipe Ingredients'!$A$5:$A$1204=A118)*('Recipe Ingredients'!$H$5:$H$1204=J118),0),0)),""))</f>
        <v>0</v>
      </c>
      <c r="J118" s="8">
        <f>IF(A118="","",SUMPRODUCT(MAX(('Recipe Ingredients'!$A$5:$A$1204=A118)*'Recipe Ingredients'!$H$5:$H$1204)))</f>
        <v>0</v>
      </c>
      <c r="K118" s="8">
        <f>IF(OR(A118="",E118="",E118=0),"",IFERROR(J118/E118,""))</f>
        <v>0</v>
      </c>
      <c r="L118" s="8">
        <f>IF(OR(A118="",F118=""),"",IFERROR(F118-AVERAGE($F$5:$F$204),""))</f>
        <v>0</v>
      </c>
      <c r="M118" s="8">
        <f>IF(OR(A118="",F118=""),"",IF(F118&lt;=Weekly_Budget/21,"Within budget","Over budget"))</f>
        <v>0</v>
      </c>
      <c r="N118" s="8">
        <f>IF(A118="","",IFERROR(INDEX(Recipes!$H$5:$H$204,MATCH(A118,Recipes!$A$5:$A$204,0)),""))</f>
        <v>0</v>
      </c>
      <c r="O118" s="8">
        <f>IF(A118="","",IFERROR(INDEX(Recipes!$S$5:$S$204,MATCH(A118,Recipes!$A$5:$A$204,0)),""))</f>
        <v>0</v>
      </c>
      <c r="P118" s="8">
        <f>IF(A118="","",IFERROR(INDEX(Recipes!$T$5:$T$204,MATCH(A118,Recipes!$A$5:$A$204,0)),""))</f>
        <v>0</v>
      </c>
      <c r="Q118" s="8">
        <f>IF(OR(A118="",F118=""),"",F118*7*3)</f>
        <v>0</v>
      </c>
      <c r="R118" s="25"/>
    </row>
    <row r="119" spans="1:18">
      <c r="A119" s="7"/>
      <c r="B119" s="8">
        <f>IF(A119="","",IFERROR(INDEX(Recipes!$B$5:$B$204,MATCH(A119,Recipes!$A$5:$A$204,0)),""))</f>
        <v>0</v>
      </c>
      <c r="C119" s="8">
        <f>IF(A119="","",IFERROR(INDEX(Recipes!$D$5:$D$204,MATCH(A119,Recipes!$A$5:$A$204,0)),""))</f>
        <v>0</v>
      </c>
      <c r="D119" s="8">
        <f>IF(A119="","",COUNTIFS('Recipe Ingredients'!$A$5:$A$1204,A119))</f>
        <v>0</v>
      </c>
      <c r="E119" s="8">
        <f>IF(A119="","",SUMIFS('Recipe Ingredients'!$H$5:$H$1204,'Recipe Ingredients'!$A$5:$A$1204,A119))</f>
        <v>0</v>
      </c>
      <c r="F119" s="8">
        <f>IF(A119="","",IFERROR(INDEX(Recipes!$Q$5:$Q$204,MATCH(A119,Recipes!$A$5:$A$204,0)),""))</f>
        <v>0</v>
      </c>
      <c r="G119" s="8">
        <f>IF(OR(A119="",N119="",N119=0),"",IFERROR(F119/N119*100,""))</f>
        <v>0</v>
      </c>
      <c r="H119" s="8">
        <f>IF(OR(A119="",F119=""),"",COUNTIFS($F$5:$F$204,"&lt;"&amp;F119)+1)</f>
        <v>0</v>
      </c>
      <c r="I119" s="8">
        <f>IF(A119="","",IFERROR(INDEX('Recipe Ingredients'!$B$5:$B$1204,MATCH(1,INDEX(('Recipe Ingredients'!$A$5:$A$1204=A119)*('Recipe Ingredients'!$H$5:$H$1204=J119),0),0)),""))</f>
        <v>0</v>
      </c>
      <c r="J119" s="8">
        <f>IF(A119="","",SUMPRODUCT(MAX(('Recipe Ingredients'!$A$5:$A$1204=A119)*'Recipe Ingredients'!$H$5:$H$1204)))</f>
        <v>0</v>
      </c>
      <c r="K119" s="8">
        <f>IF(OR(A119="",E119="",E119=0),"",IFERROR(J119/E119,""))</f>
        <v>0</v>
      </c>
      <c r="L119" s="8">
        <f>IF(OR(A119="",F119=""),"",IFERROR(F119-AVERAGE($F$5:$F$204),""))</f>
        <v>0</v>
      </c>
      <c r="M119" s="8">
        <f>IF(OR(A119="",F119=""),"",IF(F119&lt;=Weekly_Budget/21,"Within budget","Over budget"))</f>
        <v>0</v>
      </c>
      <c r="N119" s="8">
        <f>IF(A119="","",IFERROR(INDEX(Recipes!$H$5:$H$204,MATCH(A119,Recipes!$A$5:$A$204,0)),""))</f>
        <v>0</v>
      </c>
      <c r="O119" s="8">
        <f>IF(A119="","",IFERROR(INDEX(Recipes!$S$5:$S$204,MATCH(A119,Recipes!$A$5:$A$204,0)),""))</f>
        <v>0</v>
      </c>
      <c r="P119" s="8">
        <f>IF(A119="","",IFERROR(INDEX(Recipes!$T$5:$T$204,MATCH(A119,Recipes!$A$5:$A$204,0)),""))</f>
        <v>0</v>
      </c>
      <c r="Q119" s="8">
        <f>IF(OR(A119="",F119=""),"",F119*7*3)</f>
        <v>0</v>
      </c>
      <c r="R119" s="25"/>
    </row>
    <row r="120" spans="1:18">
      <c r="A120" s="7"/>
      <c r="B120" s="8">
        <f>IF(A120="","",IFERROR(INDEX(Recipes!$B$5:$B$204,MATCH(A120,Recipes!$A$5:$A$204,0)),""))</f>
        <v>0</v>
      </c>
      <c r="C120" s="8">
        <f>IF(A120="","",IFERROR(INDEX(Recipes!$D$5:$D$204,MATCH(A120,Recipes!$A$5:$A$204,0)),""))</f>
        <v>0</v>
      </c>
      <c r="D120" s="8">
        <f>IF(A120="","",COUNTIFS('Recipe Ingredients'!$A$5:$A$1204,A120))</f>
        <v>0</v>
      </c>
      <c r="E120" s="8">
        <f>IF(A120="","",SUMIFS('Recipe Ingredients'!$H$5:$H$1204,'Recipe Ingredients'!$A$5:$A$1204,A120))</f>
        <v>0</v>
      </c>
      <c r="F120" s="8">
        <f>IF(A120="","",IFERROR(INDEX(Recipes!$Q$5:$Q$204,MATCH(A120,Recipes!$A$5:$A$204,0)),""))</f>
        <v>0</v>
      </c>
      <c r="G120" s="8">
        <f>IF(OR(A120="",N120="",N120=0),"",IFERROR(F120/N120*100,""))</f>
        <v>0</v>
      </c>
      <c r="H120" s="8">
        <f>IF(OR(A120="",F120=""),"",COUNTIFS($F$5:$F$204,"&lt;"&amp;F120)+1)</f>
        <v>0</v>
      </c>
      <c r="I120" s="8">
        <f>IF(A120="","",IFERROR(INDEX('Recipe Ingredients'!$B$5:$B$1204,MATCH(1,INDEX(('Recipe Ingredients'!$A$5:$A$1204=A120)*('Recipe Ingredients'!$H$5:$H$1204=J120),0),0)),""))</f>
        <v>0</v>
      </c>
      <c r="J120" s="8">
        <f>IF(A120="","",SUMPRODUCT(MAX(('Recipe Ingredients'!$A$5:$A$1204=A120)*'Recipe Ingredients'!$H$5:$H$1204)))</f>
        <v>0</v>
      </c>
      <c r="K120" s="8">
        <f>IF(OR(A120="",E120="",E120=0),"",IFERROR(J120/E120,""))</f>
        <v>0</v>
      </c>
      <c r="L120" s="8">
        <f>IF(OR(A120="",F120=""),"",IFERROR(F120-AVERAGE($F$5:$F$204),""))</f>
        <v>0</v>
      </c>
      <c r="M120" s="8">
        <f>IF(OR(A120="",F120=""),"",IF(F120&lt;=Weekly_Budget/21,"Within budget","Over budget"))</f>
        <v>0</v>
      </c>
      <c r="N120" s="8">
        <f>IF(A120="","",IFERROR(INDEX(Recipes!$H$5:$H$204,MATCH(A120,Recipes!$A$5:$A$204,0)),""))</f>
        <v>0</v>
      </c>
      <c r="O120" s="8">
        <f>IF(A120="","",IFERROR(INDEX(Recipes!$S$5:$S$204,MATCH(A120,Recipes!$A$5:$A$204,0)),""))</f>
        <v>0</v>
      </c>
      <c r="P120" s="8">
        <f>IF(A120="","",IFERROR(INDEX(Recipes!$T$5:$T$204,MATCH(A120,Recipes!$A$5:$A$204,0)),""))</f>
        <v>0</v>
      </c>
      <c r="Q120" s="8">
        <f>IF(OR(A120="",F120=""),"",F120*7*3)</f>
        <v>0</v>
      </c>
      <c r="R120" s="25"/>
    </row>
    <row r="121" spans="1:18">
      <c r="A121" s="7"/>
      <c r="B121" s="8">
        <f>IF(A121="","",IFERROR(INDEX(Recipes!$B$5:$B$204,MATCH(A121,Recipes!$A$5:$A$204,0)),""))</f>
        <v>0</v>
      </c>
      <c r="C121" s="8">
        <f>IF(A121="","",IFERROR(INDEX(Recipes!$D$5:$D$204,MATCH(A121,Recipes!$A$5:$A$204,0)),""))</f>
        <v>0</v>
      </c>
      <c r="D121" s="8">
        <f>IF(A121="","",COUNTIFS('Recipe Ingredients'!$A$5:$A$1204,A121))</f>
        <v>0</v>
      </c>
      <c r="E121" s="8">
        <f>IF(A121="","",SUMIFS('Recipe Ingredients'!$H$5:$H$1204,'Recipe Ingredients'!$A$5:$A$1204,A121))</f>
        <v>0</v>
      </c>
      <c r="F121" s="8">
        <f>IF(A121="","",IFERROR(INDEX(Recipes!$Q$5:$Q$204,MATCH(A121,Recipes!$A$5:$A$204,0)),""))</f>
        <v>0</v>
      </c>
      <c r="G121" s="8">
        <f>IF(OR(A121="",N121="",N121=0),"",IFERROR(F121/N121*100,""))</f>
        <v>0</v>
      </c>
      <c r="H121" s="8">
        <f>IF(OR(A121="",F121=""),"",COUNTIFS($F$5:$F$204,"&lt;"&amp;F121)+1)</f>
        <v>0</v>
      </c>
      <c r="I121" s="8">
        <f>IF(A121="","",IFERROR(INDEX('Recipe Ingredients'!$B$5:$B$1204,MATCH(1,INDEX(('Recipe Ingredients'!$A$5:$A$1204=A121)*('Recipe Ingredients'!$H$5:$H$1204=J121),0),0)),""))</f>
        <v>0</v>
      </c>
      <c r="J121" s="8">
        <f>IF(A121="","",SUMPRODUCT(MAX(('Recipe Ingredients'!$A$5:$A$1204=A121)*'Recipe Ingredients'!$H$5:$H$1204)))</f>
        <v>0</v>
      </c>
      <c r="K121" s="8">
        <f>IF(OR(A121="",E121="",E121=0),"",IFERROR(J121/E121,""))</f>
        <v>0</v>
      </c>
      <c r="L121" s="8">
        <f>IF(OR(A121="",F121=""),"",IFERROR(F121-AVERAGE($F$5:$F$204),""))</f>
        <v>0</v>
      </c>
      <c r="M121" s="8">
        <f>IF(OR(A121="",F121=""),"",IF(F121&lt;=Weekly_Budget/21,"Within budget","Over budget"))</f>
        <v>0</v>
      </c>
      <c r="N121" s="8">
        <f>IF(A121="","",IFERROR(INDEX(Recipes!$H$5:$H$204,MATCH(A121,Recipes!$A$5:$A$204,0)),""))</f>
        <v>0</v>
      </c>
      <c r="O121" s="8">
        <f>IF(A121="","",IFERROR(INDEX(Recipes!$S$5:$S$204,MATCH(A121,Recipes!$A$5:$A$204,0)),""))</f>
        <v>0</v>
      </c>
      <c r="P121" s="8">
        <f>IF(A121="","",IFERROR(INDEX(Recipes!$T$5:$T$204,MATCH(A121,Recipes!$A$5:$A$204,0)),""))</f>
        <v>0</v>
      </c>
      <c r="Q121" s="8">
        <f>IF(OR(A121="",F121=""),"",F121*7*3)</f>
        <v>0</v>
      </c>
      <c r="R121" s="25"/>
    </row>
    <row r="122" spans="1:18">
      <c r="A122" s="7"/>
      <c r="B122" s="8">
        <f>IF(A122="","",IFERROR(INDEX(Recipes!$B$5:$B$204,MATCH(A122,Recipes!$A$5:$A$204,0)),""))</f>
        <v>0</v>
      </c>
      <c r="C122" s="8">
        <f>IF(A122="","",IFERROR(INDEX(Recipes!$D$5:$D$204,MATCH(A122,Recipes!$A$5:$A$204,0)),""))</f>
        <v>0</v>
      </c>
      <c r="D122" s="8">
        <f>IF(A122="","",COUNTIFS('Recipe Ingredients'!$A$5:$A$1204,A122))</f>
        <v>0</v>
      </c>
      <c r="E122" s="8">
        <f>IF(A122="","",SUMIFS('Recipe Ingredients'!$H$5:$H$1204,'Recipe Ingredients'!$A$5:$A$1204,A122))</f>
        <v>0</v>
      </c>
      <c r="F122" s="8">
        <f>IF(A122="","",IFERROR(INDEX(Recipes!$Q$5:$Q$204,MATCH(A122,Recipes!$A$5:$A$204,0)),""))</f>
        <v>0</v>
      </c>
      <c r="G122" s="8">
        <f>IF(OR(A122="",N122="",N122=0),"",IFERROR(F122/N122*100,""))</f>
        <v>0</v>
      </c>
      <c r="H122" s="8">
        <f>IF(OR(A122="",F122=""),"",COUNTIFS($F$5:$F$204,"&lt;"&amp;F122)+1)</f>
        <v>0</v>
      </c>
      <c r="I122" s="8">
        <f>IF(A122="","",IFERROR(INDEX('Recipe Ingredients'!$B$5:$B$1204,MATCH(1,INDEX(('Recipe Ingredients'!$A$5:$A$1204=A122)*('Recipe Ingredients'!$H$5:$H$1204=J122),0),0)),""))</f>
        <v>0</v>
      </c>
      <c r="J122" s="8">
        <f>IF(A122="","",SUMPRODUCT(MAX(('Recipe Ingredients'!$A$5:$A$1204=A122)*'Recipe Ingredients'!$H$5:$H$1204)))</f>
        <v>0</v>
      </c>
      <c r="K122" s="8">
        <f>IF(OR(A122="",E122="",E122=0),"",IFERROR(J122/E122,""))</f>
        <v>0</v>
      </c>
      <c r="L122" s="8">
        <f>IF(OR(A122="",F122=""),"",IFERROR(F122-AVERAGE($F$5:$F$204),""))</f>
        <v>0</v>
      </c>
      <c r="M122" s="8">
        <f>IF(OR(A122="",F122=""),"",IF(F122&lt;=Weekly_Budget/21,"Within budget","Over budget"))</f>
        <v>0</v>
      </c>
      <c r="N122" s="8">
        <f>IF(A122="","",IFERROR(INDEX(Recipes!$H$5:$H$204,MATCH(A122,Recipes!$A$5:$A$204,0)),""))</f>
        <v>0</v>
      </c>
      <c r="O122" s="8">
        <f>IF(A122="","",IFERROR(INDEX(Recipes!$S$5:$S$204,MATCH(A122,Recipes!$A$5:$A$204,0)),""))</f>
        <v>0</v>
      </c>
      <c r="P122" s="8">
        <f>IF(A122="","",IFERROR(INDEX(Recipes!$T$5:$T$204,MATCH(A122,Recipes!$A$5:$A$204,0)),""))</f>
        <v>0</v>
      </c>
      <c r="Q122" s="8">
        <f>IF(OR(A122="",F122=""),"",F122*7*3)</f>
        <v>0</v>
      </c>
      <c r="R122" s="25"/>
    </row>
    <row r="123" spans="1:18">
      <c r="A123" s="7"/>
      <c r="B123" s="8">
        <f>IF(A123="","",IFERROR(INDEX(Recipes!$B$5:$B$204,MATCH(A123,Recipes!$A$5:$A$204,0)),""))</f>
        <v>0</v>
      </c>
      <c r="C123" s="8">
        <f>IF(A123="","",IFERROR(INDEX(Recipes!$D$5:$D$204,MATCH(A123,Recipes!$A$5:$A$204,0)),""))</f>
        <v>0</v>
      </c>
      <c r="D123" s="8">
        <f>IF(A123="","",COUNTIFS('Recipe Ingredients'!$A$5:$A$1204,A123))</f>
        <v>0</v>
      </c>
      <c r="E123" s="8">
        <f>IF(A123="","",SUMIFS('Recipe Ingredients'!$H$5:$H$1204,'Recipe Ingredients'!$A$5:$A$1204,A123))</f>
        <v>0</v>
      </c>
      <c r="F123" s="8">
        <f>IF(A123="","",IFERROR(INDEX(Recipes!$Q$5:$Q$204,MATCH(A123,Recipes!$A$5:$A$204,0)),""))</f>
        <v>0</v>
      </c>
      <c r="G123" s="8">
        <f>IF(OR(A123="",N123="",N123=0),"",IFERROR(F123/N123*100,""))</f>
        <v>0</v>
      </c>
      <c r="H123" s="8">
        <f>IF(OR(A123="",F123=""),"",COUNTIFS($F$5:$F$204,"&lt;"&amp;F123)+1)</f>
        <v>0</v>
      </c>
      <c r="I123" s="8">
        <f>IF(A123="","",IFERROR(INDEX('Recipe Ingredients'!$B$5:$B$1204,MATCH(1,INDEX(('Recipe Ingredients'!$A$5:$A$1204=A123)*('Recipe Ingredients'!$H$5:$H$1204=J123),0),0)),""))</f>
        <v>0</v>
      </c>
      <c r="J123" s="8">
        <f>IF(A123="","",SUMPRODUCT(MAX(('Recipe Ingredients'!$A$5:$A$1204=A123)*'Recipe Ingredients'!$H$5:$H$1204)))</f>
        <v>0</v>
      </c>
      <c r="K123" s="8">
        <f>IF(OR(A123="",E123="",E123=0),"",IFERROR(J123/E123,""))</f>
        <v>0</v>
      </c>
      <c r="L123" s="8">
        <f>IF(OR(A123="",F123=""),"",IFERROR(F123-AVERAGE($F$5:$F$204),""))</f>
        <v>0</v>
      </c>
      <c r="M123" s="8">
        <f>IF(OR(A123="",F123=""),"",IF(F123&lt;=Weekly_Budget/21,"Within budget","Over budget"))</f>
        <v>0</v>
      </c>
      <c r="N123" s="8">
        <f>IF(A123="","",IFERROR(INDEX(Recipes!$H$5:$H$204,MATCH(A123,Recipes!$A$5:$A$204,0)),""))</f>
        <v>0</v>
      </c>
      <c r="O123" s="8">
        <f>IF(A123="","",IFERROR(INDEX(Recipes!$S$5:$S$204,MATCH(A123,Recipes!$A$5:$A$204,0)),""))</f>
        <v>0</v>
      </c>
      <c r="P123" s="8">
        <f>IF(A123="","",IFERROR(INDEX(Recipes!$T$5:$T$204,MATCH(A123,Recipes!$A$5:$A$204,0)),""))</f>
        <v>0</v>
      </c>
      <c r="Q123" s="8">
        <f>IF(OR(A123="",F123=""),"",F123*7*3)</f>
        <v>0</v>
      </c>
      <c r="R123" s="25"/>
    </row>
    <row r="124" spans="1:18">
      <c r="A124" s="7"/>
      <c r="B124" s="8">
        <f>IF(A124="","",IFERROR(INDEX(Recipes!$B$5:$B$204,MATCH(A124,Recipes!$A$5:$A$204,0)),""))</f>
        <v>0</v>
      </c>
      <c r="C124" s="8">
        <f>IF(A124="","",IFERROR(INDEX(Recipes!$D$5:$D$204,MATCH(A124,Recipes!$A$5:$A$204,0)),""))</f>
        <v>0</v>
      </c>
      <c r="D124" s="8">
        <f>IF(A124="","",COUNTIFS('Recipe Ingredients'!$A$5:$A$1204,A124))</f>
        <v>0</v>
      </c>
      <c r="E124" s="8">
        <f>IF(A124="","",SUMIFS('Recipe Ingredients'!$H$5:$H$1204,'Recipe Ingredients'!$A$5:$A$1204,A124))</f>
        <v>0</v>
      </c>
      <c r="F124" s="8">
        <f>IF(A124="","",IFERROR(INDEX(Recipes!$Q$5:$Q$204,MATCH(A124,Recipes!$A$5:$A$204,0)),""))</f>
        <v>0</v>
      </c>
      <c r="G124" s="8">
        <f>IF(OR(A124="",N124="",N124=0),"",IFERROR(F124/N124*100,""))</f>
        <v>0</v>
      </c>
      <c r="H124" s="8">
        <f>IF(OR(A124="",F124=""),"",COUNTIFS($F$5:$F$204,"&lt;"&amp;F124)+1)</f>
        <v>0</v>
      </c>
      <c r="I124" s="8">
        <f>IF(A124="","",IFERROR(INDEX('Recipe Ingredients'!$B$5:$B$1204,MATCH(1,INDEX(('Recipe Ingredients'!$A$5:$A$1204=A124)*('Recipe Ingredients'!$H$5:$H$1204=J124),0),0)),""))</f>
        <v>0</v>
      </c>
      <c r="J124" s="8">
        <f>IF(A124="","",SUMPRODUCT(MAX(('Recipe Ingredients'!$A$5:$A$1204=A124)*'Recipe Ingredients'!$H$5:$H$1204)))</f>
        <v>0</v>
      </c>
      <c r="K124" s="8">
        <f>IF(OR(A124="",E124="",E124=0),"",IFERROR(J124/E124,""))</f>
        <v>0</v>
      </c>
      <c r="L124" s="8">
        <f>IF(OR(A124="",F124=""),"",IFERROR(F124-AVERAGE($F$5:$F$204),""))</f>
        <v>0</v>
      </c>
      <c r="M124" s="8">
        <f>IF(OR(A124="",F124=""),"",IF(F124&lt;=Weekly_Budget/21,"Within budget","Over budget"))</f>
        <v>0</v>
      </c>
      <c r="N124" s="8">
        <f>IF(A124="","",IFERROR(INDEX(Recipes!$H$5:$H$204,MATCH(A124,Recipes!$A$5:$A$204,0)),""))</f>
        <v>0</v>
      </c>
      <c r="O124" s="8">
        <f>IF(A124="","",IFERROR(INDEX(Recipes!$S$5:$S$204,MATCH(A124,Recipes!$A$5:$A$204,0)),""))</f>
        <v>0</v>
      </c>
      <c r="P124" s="8">
        <f>IF(A124="","",IFERROR(INDEX(Recipes!$T$5:$T$204,MATCH(A124,Recipes!$A$5:$A$204,0)),""))</f>
        <v>0</v>
      </c>
      <c r="Q124" s="8">
        <f>IF(OR(A124="",F124=""),"",F124*7*3)</f>
        <v>0</v>
      </c>
      <c r="R124" s="25"/>
    </row>
    <row r="125" spans="1:18">
      <c r="A125" s="7"/>
      <c r="B125" s="8">
        <f>IF(A125="","",IFERROR(INDEX(Recipes!$B$5:$B$204,MATCH(A125,Recipes!$A$5:$A$204,0)),""))</f>
        <v>0</v>
      </c>
      <c r="C125" s="8">
        <f>IF(A125="","",IFERROR(INDEX(Recipes!$D$5:$D$204,MATCH(A125,Recipes!$A$5:$A$204,0)),""))</f>
        <v>0</v>
      </c>
      <c r="D125" s="8">
        <f>IF(A125="","",COUNTIFS('Recipe Ingredients'!$A$5:$A$1204,A125))</f>
        <v>0</v>
      </c>
      <c r="E125" s="8">
        <f>IF(A125="","",SUMIFS('Recipe Ingredients'!$H$5:$H$1204,'Recipe Ingredients'!$A$5:$A$1204,A125))</f>
        <v>0</v>
      </c>
      <c r="F125" s="8">
        <f>IF(A125="","",IFERROR(INDEX(Recipes!$Q$5:$Q$204,MATCH(A125,Recipes!$A$5:$A$204,0)),""))</f>
        <v>0</v>
      </c>
      <c r="G125" s="8">
        <f>IF(OR(A125="",N125="",N125=0),"",IFERROR(F125/N125*100,""))</f>
        <v>0</v>
      </c>
      <c r="H125" s="8">
        <f>IF(OR(A125="",F125=""),"",COUNTIFS($F$5:$F$204,"&lt;"&amp;F125)+1)</f>
        <v>0</v>
      </c>
      <c r="I125" s="8">
        <f>IF(A125="","",IFERROR(INDEX('Recipe Ingredients'!$B$5:$B$1204,MATCH(1,INDEX(('Recipe Ingredients'!$A$5:$A$1204=A125)*('Recipe Ingredients'!$H$5:$H$1204=J125),0),0)),""))</f>
        <v>0</v>
      </c>
      <c r="J125" s="8">
        <f>IF(A125="","",SUMPRODUCT(MAX(('Recipe Ingredients'!$A$5:$A$1204=A125)*'Recipe Ingredients'!$H$5:$H$1204)))</f>
        <v>0</v>
      </c>
      <c r="K125" s="8">
        <f>IF(OR(A125="",E125="",E125=0),"",IFERROR(J125/E125,""))</f>
        <v>0</v>
      </c>
      <c r="L125" s="8">
        <f>IF(OR(A125="",F125=""),"",IFERROR(F125-AVERAGE($F$5:$F$204),""))</f>
        <v>0</v>
      </c>
      <c r="M125" s="8">
        <f>IF(OR(A125="",F125=""),"",IF(F125&lt;=Weekly_Budget/21,"Within budget","Over budget"))</f>
        <v>0</v>
      </c>
      <c r="N125" s="8">
        <f>IF(A125="","",IFERROR(INDEX(Recipes!$H$5:$H$204,MATCH(A125,Recipes!$A$5:$A$204,0)),""))</f>
        <v>0</v>
      </c>
      <c r="O125" s="8">
        <f>IF(A125="","",IFERROR(INDEX(Recipes!$S$5:$S$204,MATCH(A125,Recipes!$A$5:$A$204,0)),""))</f>
        <v>0</v>
      </c>
      <c r="P125" s="8">
        <f>IF(A125="","",IFERROR(INDEX(Recipes!$T$5:$T$204,MATCH(A125,Recipes!$A$5:$A$204,0)),""))</f>
        <v>0</v>
      </c>
      <c r="Q125" s="8">
        <f>IF(OR(A125="",F125=""),"",F125*7*3)</f>
        <v>0</v>
      </c>
      <c r="R125" s="25"/>
    </row>
    <row r="126" spans="1:18">
      <c r="A126" s="7"/>
      <c r="B126" s="8">
        <f>IF(A126="","",IFERROR(INDEX(Recipes!$B$5:$B$204,MATCH(A126,Recipes!$A$5:$A$204,0)),""))</f>
        <v>0</v>
      </c>
      <c r="C126" s="8">
        <f>IF(A126="","",IFERROR(INDEX(Recipes!$D$5:$D$204,MATCH(A126,Recipes!$A$5:$A$204,0)),""))</f>
        <v>0</v>
      </c>
      <c r="D126" s="8">
        <f>IF(A126="","",COUNTIFS('Recipe Ingredients'!$A$5:$A$1204,A126))</f>
        <v>0</v>
      </c>
      <c r="E126" s="8">
        <f>IF(A126="","",SUMIFS('Recipe Ingredients'!$H$5:$H$1204,'Recipe Ingredients'!$A$5:$A$1204,A126))</f>
        <v>0</v>
      </c>
      <c r="F126" s="8">
        <f>IF(A126="","",IFERROR(INDEX(Recipes!$Q$5:$Q$204,MATCH(A126,Recipes!$A$5:$A$204,0)),""))</f>
        <v>0</v>
      </c>
      <c r="G126" s="8">
        <f>IF(OR(A126="",N126="",N126=0),"",IFERROR(F126/N126*100,""))</f>
        <v>0</v>
      </c>
      <c r="H126" s="8">
        <f>IF(OR(A126="",F126=""),"",COUNTIFS($F$5:$F$204,"&lt;"&amp;F126)+1)</f>
        <v>0</v>
      </c>
      <c r="I126" s="8">
        <f>IF(A126="","",IFERROR(INDEX('Recipe Ingredients'!$B$5:$B$1204,MATCH(1,INDEX(('Recipe Ingredients'!$A$5:$A$1204=A126)*('Recipe Ingredients'!$H$5:$H$1204=J126),0),0)),""))</f>
        <v>0</v>
      </c>
      <c r="J126" s="8">
        <f>IF(A126="","",SUMPRODUCT(MAX(('Recipe Ingredients'!$A$5:$A$1204=A126)*'Recipe Ingredients'!$H$5:$H$1204)))</f>
        <v>0</v>
      </c>
      <c r="K126" s="8">
        <f>IF(OR(A126="",E126="",E126=0),"",IFERROR(J126/E126,""))</f>
        <v>0</v>
      </c>
      <c r="L126" s="8">
        <f>IF(OR(A126="",F126=""),"",IFERROR(F126-AVERAGE($F$5:$F$204),""))</f>
        <v>0</v>
      </c>
      <c r="M126" s="8">
        <f>IF(OR(A126="",F126=""),"",IF(F126&lt;=Weekly_Budget/21,"Within budget","Over budget"))</f>
        <v>0</v>
      </c>
      <c r="N126" s="8">
        <f>IF(A126="","",IFERROR(INDEX(Recipes!$H$5:$H$204,MATCH(A126,Recipes!$A$5:$A$204,0)),""))</f>
        <v>0</v>
      </c>
      <c r="O126" s="8">
        <f>IF(A126="","",IFERROR(INDEX(Recipes!$S$5:$S$204,MATCH(A126,Recipes!$A$5:$A$204,0)),""))</f>
        <v>0</v>
      </c>
      <c r="P126" s="8">
        <f>IF(A126="","",IFERROR(INDEX(Recipes!$T$5:$T$204,MATCH(A126,Recipes!$A$5:$A$204,0)),""))</f>
        <v>0</v>
      </c>
      <c r="Q126" s="8">
        <f>IF(OR(A126="",F126=""),"",F126*7*3)</f>
        <v>0</v>
      </c>
      <c r="R126" s="25"/>
    </row>
    <row r="127" spans="1:18">
      <c r="A127" s="7"/>
      <c r="B127" s="8">
        <f>IF(A127="","",IFERROR(INDEX(Recipes!$B$5:$B$204,MATCH(A127,Recipes!$A$5:$A$204,0)),""))</f>
        <v>0</v>
      </c>
      <c r="C127" s="8">
        <f>IF(A127="","",IFERROR(INDEX(Recipes!$D$5:$D$204,MATCH(A127,Recipes!$A$5:$A$204,0)),""))</f>
        <v>0</v>
      </c>
      <c r="D127" s="8">
        <f>IF(A127="","",COUNTIFS('Recipe Ingredients'!$A$5:$A$1204,A127))</f>
        <v>0</v>
      </c>
      <c r="E127" s="8">
        <f>IF(A127="","",SUMIFS('Recipe Ingredients'!$H$5:$H$1204,'Recipe Ingredients'!$A$5:$A$1204,A127))</f>
        <v>0</v>
      </c>
      <c r="F127" s="8">
        <f>IF(A127="","",IFERROR(INDEX(Recipes!$Q$5:$Q$204,MATCH(A127,Recipes!$A$5:$A$204,0)),""))</f>
        <v>0</v>
      </c>
      <c r="G127" s="8">
        <f>IF(OR(A127="",N127="",N127=0),"",IFERROR(F127/N127*100,""))</f>
        <v>0</v>
      </c>
      <c r="H127" s="8">
        <f>IF(OR(A127="",F127=""),"",COUNTIFS($F$5:$F$204,"&lt;"&amp;F127)+1)</f>
        <v>0</v>
      </c>
      <c r="I127" s="8">
        <f>IF(A127="","",IFERROR(INDEX('Recipe Ingredients'!$B$5:$B$1204,MATCH(1,INDEX(('Recipe Ingredients'!$A$5:$A$1204=A127)*('Recipe Ingredients'!$H$5:$H$1204=J127),0),0)),""))</f>
        <v>0</v>
      </c>
      <c r="J127" s="8">
        <f>IF(A127="","",SUMPRODUCT(MAX(('Recipe Ingredients'!$A$5:$A$1204=A127)*'Recipe Ingredients'!$H$5:$H$1204)))</f>
        <v>0</v>
      </c>
      <c r="K127" s="8">
        <f>IF(OR(A127="",E127="",E127=0),"",IFERROR(J127/E127,""))</f>
        <v>0</v>
      </c>
      <c r="L127" s="8">
        <f>IF(OR(A127="",F127=""),"",IFERROR(F127-AVERAGE($F$5:$F$204),""))</f>
        <v>0</v>
      </c>
      <c r="M127" s="8">
        <f>IF(OR(A127="",F127=""),"",IF(F127&lt;=Weekly_Budget/21,"Within budget","Over budget"))</f>
        <v>0</v>
      </c>
      <c r="N127" s="8">
        <f>IF(A127="","",IFERROR(INDEX(Recipes!$H$5:$H$204,MATCH(A127,Recipes!$A$5:$A$204,0)),""))</f>
        <v>0</v>
      </c>
      <c r="O127" s="8">
        <f>IF(A127="","",IFERROR(INDEX(Recipes!$S$5:$S$204,MATCH(A127,Recipes!$A$5:$A$204,0)),""))</f>
        <v>0</v>
      </c>
      <c r="P127" s="8">
        <f>IF(A127="","",IFERROR(INDEX(Recipes!$T$5:$T$204,MATCH(A127,Recipes!$A$5:$A$204,0)),""))</f>
        <v>0</v>
      </c>
      <c r="Q127" s="8">
        <f>IF(OR(A127="",F127=""),"",F127*7*3)</f>
        <v>0</v>
      </c>
      <c r="R127" s="25"/>
    </row>
    <row r="128" spans="1:18">
      <c r="A128" s="7"/>
      <c r="B128" s="8">
        <f>IF(A128="","",IFERROR(INDEX(Recipes!$B$5:$B$204,MATCH(A128,Recipes!$A$5:$A$204,0)),""))</f>
        <v>0</v>
      </c>
      <c r="C128" s="8">
        <f>IF(A128="","",IFERROR(INDEX(Recipes!$D$5:$D$204,MATCH(A128,Recipes!$A$5:$A$204,0)),""))</f>
        <v>0</v>
      </c>
      <c r="D128" s="8">
        <f>IF(A128="","",COUNTIFS('Recipe Ingredients'!$A$5:$A$1204,A128))</f>
        <v>0</v>
      </c>
      <c r="E128" s="8">
        <f>IF(A128="","",SUMIFS('Recipe Ingredients'!$H$5:$H$1204,'Recipe Ingredients'!$A$5:$A$1204,A128))</f>
        <v>0</v>
      </c>
      <c r="F128" s="8">
        <f>IF(A128="","",IFERROR(INDEX(Recipes!$Q$5:$Q$204,MATCH(A128,Recipes!$A$5:$A$204,0)),""))</f>
        <v>0</v>
      </c>
      <c r="G128" s="8">
        <f>IF(OR(A128="",N128="",N128=0),"",IFERROR(F128/N128*100,""))</f>
        <v>0</v>
      </c>
      <c r="H128" s="8">
        <f>IF(OR(A128="",F128=""),"",COUNTIFS($F$5:$F$204,"&lt;"&amp;F128)+1)</f>
        <v>0</v>
      </c>
      <c r="I128" s="8">
        <f>IF(A128="","",IFERROR(INDEX('Recipe Ingredients'!$B$5:$B$1204,MATCH(1,INDEX(('Recipe Ingredients'!$A$5:$A$1204=A128)*('Recipe Ingredients'!$H$5:$H$1204=J128),0),0)),""))</f>
        <v>0</v>
      </c>
      <c r="J128" s="8">
        <f>IF(A128="","",SUMPRODUCT(MAX(('Recipe Ingredients'!$A$5:$A$1204=A128)*'Recipe Ingredients'!$H$5:$H$1204)))</f>
        <v>0</v>
      </c>
      <c r="K128" s="8">
        <f>IF(OR(A128="",E128="",E128=0),"",IFERROR(J128/E128,""))</f>
        <v>0</v>
      </c>
      <c r="L128" s="8">
        <f>IF(OR(A128="",F128=""),"",IFERROR(F128-AVERAGE($F$5:$F$204),""))</f>
        <v>0</v>
      </c>
      <c r="M128" s="8">
        <f>IF(OR(A128="",F128=""),"",IF(F128&lt;=Weekly_Budget/21,"Within budget","Over budget"))</f>
        <v>0</v>
      </c>
      <c r="N128" s="8">
        <f>IF(A128="","",IFERROR(INDEX(Recipes!$H$5:$H$204,MATCH(A128,Recipes!$A$5:$A$204,0)),""))</f>
        <v>0</v>
      </c>
      <c r="O128" s="8">
        <f>IF(A128="","",IFERROR(INDEX(Recipes!$S$5:$S$204,MATCH(A128,Recipes!$A$5:$A$204,0)),""))</f>
        <v>0</v>
      </c>
      <c r="P128" s="8">
        <f>IF(A128="","",IFERROR(INDEX(Recipes!$T$5:$T$204,MATCH(A128,Recipes!$A$5:$A$204,0)),""))</f>
        <v>0</v>
      </c>
      <c r="Q128" s="8">
        <f>IF(OR(A128="",F128=""),"",F128*7*3)</f>
        <v>0</v>
      </c>
      <c r="R128" s="25"/>
    </row>
    <row r="129" spans="1:18">
      <c r="A129" s="7"/>
      <c r="B129" s="8">
        <f>IF(A129="","",IFERROR(INDEX(Recipes!$B$5:$B$204,MATCH(A129,Recipes!$A$5:$A$204,0)),""))</f>
        <v>0</v>
      </c>
      <c r="C129" s="8">
        <f>IF(A129="","",IFERROR(INDEX(Recipes!$D$5:$D$204,MATCH(A129,Recipes!$A$5:$A$204,0)),""))</f>
        <v>0</v>
      </c>
      <c r="D129" s="8">
        <f>IF(A129="","",COUNTIFS('Recipe Ingredients'!$A$5:$A$1204,A129))</f>
        <v>0</v>
      </c>
      <c r="E129" s="8">
        <f>IF(A129="","",SUMIFS('Recipe Ingredients'!$H$5:$H$1204,'Recipe Ingredients'!$A$5:$A$1204,A129))</f>
        <v>0</v>
      </c>
      <c r="F129" s="8">
        <f>IF(A129="","",IFERROR(INDEX(Recipes!$Q$5:$Q$204,MATCH(A129,Recipes!$A$5:$A$204,0)),""))</f>
        <v>0</v>
      </c>
      <c r="G129" s="8">
        <f>IF(OR(A129="",N129="",N129=0),"",IFERROR(F129/N129*100,""))</f>
        <v>0</v>
      </c>
      <c r="H129" s="8">
        <f>IF(OR(A129="",F129=""),"",COUNTIFS($F$5:$F$204,"&lt;"&amp;F129)+1)</f>
        <v>0</v>
      </c>
      <c r="I129" s="8">
        <f>IF(A129="","",IFERROR(INDEX('Recipe Ingredients'!$B$5:$B$1204,MATCH(1,INDEX(('Recipe Ingredients'!$A$5:$A$1204=A129)*('Recipe Ingredients'!$H$5:$H$1204=J129),0),0)),""))</f>
        <v>0</v>
      </c>
      <c r="J129" s="8">
        <f>IF(A129="","",SUMPRODUCT(MAX(('Recipe Ingredients'!$A$5:$A$1204=A129)*'Recipe Ingredients'!$H$5:$H$1204)))</f>
        <v>0</v>
      </c>
      <c r="K129" s="8">
        <f>IF(OR(A129="",E129="",E129=0),"",IFERROR(J129/E129,""))</f>
        <v>0</v>
      </c>
      <c r="L129" s="8">
        <f>IF(OR(A129="",F129=""),"",IFERROR(F129-AVERAGE($F$5:$F$204),""))</f>
        <v>0</v>
      </c>
      <c r="M129" s="8">
        <f>IF(OR(A129="",F129=""),"",IF(F129&lt;=Weekly_Budget/21,"Within budget","Over budget"))</f>
        <v>0</v>
      </c>
      <c r="N129" s="8">
        <f>IF(A129="","",IFERROR(INDEX(Recipes!$H$5:$H$204,MATCH(A129,Recipes!$A$5:$A$204,0)),""))</f>
        <v>0</v>
      </c>
      <c r="O129" s="8">
        <f>IF(A129="","",IFERROR(INDEX(Recipes!$S$5:$S$204,MATCH(A129,Recipes!$A$5:$A$204,0)),""))</f>
        <v>0</v>
      </c>
      <c r="P129" s="8">
        <f>IF(A129="","",IFERROR(INDEX(Recipes!$T$5:$T$204,MATCH(A129,Recipes!$A$5:$A$204,0)),""))</f>
        <v>0</v>
      </c>
      <c r="Q129" s="8">
        <f>IF(OR(A129="",F129=""),"",F129*7*3)</f>
        <v>0</v>
      </c>
      <c r="R129" s="25"/>
    </row>
    <row r="130" spans="1:18">
      <c r="A130" s="7"/>
      <c r="B130" s="8">
        <f>IF(A130="","",IFERROR(INDEX(Recipes!$B$5:$B$204,MATCH(A130,Recipes!$A$5:$A$204,0)),""))</f>
        <v>0</v>
      </c>
      <c r="C130" s="8">
        <f>IF(A130="","",IFERROR(INDEX(Recipes!$D$5:$D$204,MATCH(A130,Recipes!$A$5:$A$204,0)),""))</f>
        <v>0</v>
      </c>
      <c r="D130" s="8">
        <f>IF(A130="","",COUNTIFS('Recipe Ingredients'!$A$5:$A$1204,A130))</f>
        <v>0</v>
      </c>
      <c r="E130" s="8">
        <f>IF(A130="","",SUMIFS('Recipe Ingredients'!$H$5:$H$1204,'Recipe Ingredients'!$A$5:$A$1204,A130))</f>
        <v>0</v>
      </c>
      <c r="F130" s="8">
        <f>IF(A130="","",IFERROR(INDEX(Recipes!$Q$5:$Q$204,MATCH(A130,Recipes!$A$5:$A$204,0)),""))</f>
        <v>0</v>
      </c>
      <c r="G130" s="8">
        <f>IF(OR(A130="",N130="",N130=0),"",IFERROR(F130/N130*100,""))</f>
        <v>0</v>
      </c>
      <c r="H130" s="8">
        <f>IF(OR(A130="",F130=""),"",COUNTIFS($F$5:$F$204,"&lt;"&amp;F130)+1)</f>
        <v>0</v>
      </c>
      <c r="I130" s="8">
        <f>IF(A130="","",IFERROR(INDEX('Recipe Ingredients'!$B$5:$B$1204,MATCH(1,INDEX(('Recipe Ingredients'!$A$5:$A$1204=A130)*('Recipe Ingredients'!$H$5:$H$1204=J130),0),0)),""))</f>
        <v>0</v>
      </c>
      <c r="J130" s="8">
        <f>IF(A130="","",SUMPRODUCT(MAX(('Recipe Ingredients'!$A$5:$A$1204=A130)*'Recipe Ingredients'!$H$5:$H$1204)))</f>
        <v>0</v>
      </c>
      <c r="K130" s="8">
        <f>IF(OR(A130="",E130="",E130=0),"",IFERROR(J130/E130,""))</f>
        <v>0</v>
      </c>
      <c r="L130" s="8">
        <f>IF(OR(A130="",F130=""),"",IFERROR(F130-AVERAGE($F$5:$F$204),""))</f>
        <v>0</v>
      </c>
      <c r="M130" s="8">
        <f>IF(OR(A130="",F130=""),"",IF(F130&lt;=Weekly_Budget/21,"Within budget","Over budget"))</f>
        <v>0</v>
      </c>
      <c r="N130" s="8">
        <f>IF(A130="","",IFERROR(INDEX(Recipes!$H$5:$H$204,MATCH(A130,Recipes!$A$5:$A$204,0)),""))</f>
        <v>0</v>
      </c>
      <c r="O130" s="8">
        <f>IF(A130="","",IFERROR(INDEX(Recipes!$S$5:$S$204,MATCH(A130,Recipes!$A$5:$A$204,0)),""))</f>
        <v>0</v>
      </c>
      <c r="P130" s="8">
        <f>IF(A130="","",IFERROR(INDEX(Recipes!$T$5:$T$204,MATCH(A130,Recipes!$A$5:$A$204,0)),""))</f>
        <v>0</v>
      </c>
      <c r="Q130" s="8">
        <f>IF(OR(A130="",F130=""),"",F130*7*3)</f>
        <v>0</v>
      </c>
      <c r="R130" s="25"/>
    </row>
    <row r="131" spans="1:18">
      <c r="A131" s="7"/>
      <c r="B131" s="8">
        <f>IF(A131="","",IFERROR(INDEX(Recipes!$B$5:$B$204,MATCH(A131,Recipes!$A$5:$A$204,0)),""))</f>
        <v>0</v>
      </c>
      <c r="C131" s="8">
        <f>IF(A131="","",IFERROR(INDEX(Recipes!$D$5:$D$204,MATCH(A131,Recipes!$A$5:$A$204,0)),""))</f>
        <v>0</v>
      </c>
      <c r="D131" s="8">
        <f>IF(A131="","",COUNTIFS('Recipe Ingredients'!$A$5:$A$1204,A131))</f>
        <v>0</v>
      </c>
      <c r="E131" s="8">
        <f>IF(A131="","",SUMIFS('Recipe Ingredients'!$H$5:$H$1204,'Recipe Ingredients'!$A$5:$A$1204,A131))</f>
        <v>0</v>
      </c>
      <c r="F131" s="8">
        <f>IF(A131="","",IFERROR(INDEX(Recipes!$Q$5:$Q$204,MATCH(A131,Recipes!$A$5:$A$204,0)),""))</f>
        <v>0</v>
      </c>
      <c r="G131" s="8">
        <f>IF(OR(A131="",N131="",N131=0),"",IFERROR(F131/N131*100,""))</f>
        <v>0</v>
      </c>
      <c r="H131" s="8">
        <f>IF(OR(A131="",F131=""),"",COUNTIFS($F$5:$F$204,"&lt;"&amp;F131)+1)</f>
        <v>0</v>
      </c>
      <c r="I131" s="8">
        <f>IF(A131="","",IFERROR(INDEX('Recipe Ingredients'!$B$5:$B$1204,MATCH(1,INDEX(('Recipe Ingredients'!$A$5:$A$1204=A131)*('Recipe Ingredients'!$H$5:$H$1204=J131),0),0)),""))</f>
        <v>0</v>
      </c>
      <c r="J131" s="8">
        <f>IF(A131="","",SUMPRODUCT(MAX(('Recipe Ingredients'!$A$5:$A$1204=A131)*'Recipe Ingredients'!$H$5:$H$1204)))</f>
        <v>0</v>
      </c>
      <c r="K131" s="8">
        <f>IF(OR(A131="",E131="",E131=0),"",IFERROR(J131/E131,""))</f>
        <v>0</v>
      </c>
      <c r="L131" s="8">
        <f>IF(OR(A131="",F131=""),"",IFERROR(F131-AVERAGE($F$5:$F$204),""))</f>
        <v>0</v>
      </c>
      <c r="M131" s="8">
        <f>IF(OR(A131="",F131=""),"",IF(F131&lt;=Weekly_Budget/21,"Within budget","Over budget"))</f>
        <v>0</v>
      </c>
      <c r="N131" s="8">
        <f>IF(A131="","",IFERROR(INDEX(Recipes!$H$5:$H$204,MATCH(A131,Recipes!$A$5:$A$204,0)),""))</f>
        <v>0</v>
      </c>
      <c r="O131" s="8">
        <f>IF(A131="","",IFERROR(INDEX(Recipes!$S$5:$S$204,MATCH(A131,Recipes!$A$5:$A$204,0)),""))</f>
        <v>0</v>
      </c>
      <c r="P131" s="8">
        <f>IF(A131="","",IFERROR(INDEX(Recipes!$T$5:$T$204,MATCH(A131,Recipes!$A$5:$A$204,0)),""))</f>
        <v>0</v>
      </c>
      <c r="Q131" s="8">
        <f>IF(OR(A131="",F131=""),"",F131*7*3)</f>
        <v>0</v>
      </c>
      <c r="R131" s="25"/>
    </row>
    <row r="132" spans="1:18">
      <c r="A132" s="7"/>
      <c r="B132" s="8">
        <f>IF(A132="","",IFERROR(INDEX(Recipes!$B$5:$B$204,MATCH(A132,Recipes!$A$5:$A$204,0)),""))</f>
        <v>0</v>
      </c>
      <c r="C132" s="8">
        <f>IF(A132="","",IFERROR(INDEX(Recipes!$D$5:$D$204,MATCH(A132,Recipes!$A$5:$A$204,0)),""))</f>
        <v>0</v>
      </c>
      <c r="D132" s="8">
        <f>IF(A132="","",COUNTIFS('Recipe Ingredients'!$A$5:$A$1204,A132))</f>
        <v>0</v>
      </c>
      <c r="E132" s="8">
        <f>IF(A132="","",SUMIFS('Recipe Ingredients'!$H$5:$H$1204,'Recipe Ingredients'!$A$5:$A$1204,A132))</f>
        <v>0</v>
      </c>
      <c r="F132" s="8">
        <f>IF(A132="","",IFERROR(INDEX(Recipes!$Q$5:$Q$204,MATCH(A132,Recipes!$A$5:$A$204,0)),""))</f>
        <v>0</v>
      </c>
      <c r="G132" s="8">
        <f>IF(OR(A132="",N132="",N132=0),"",IFERROR(F132/N132*100,""))</f>
        <v>0</v>
      </c>
      <c r="H132" s="8">
        <f>IF(OR(A132="",F132=""),"",COUNTIFS($F$5:$F$204,"&lt;"&amp;F132)+1)</f>
        <v>0</v>
      </c>
      <c r="I132" s="8">
        <f>IF(A132="","",IFERROR(INDEX('Recipe Ingredients'!$B$5:$B$1204,MATCH(1,INDEX(('Recipe Ingredients'!$A$5:$A$1204=A132)*('Recipe Ingredients'!$H$5:$H$1204=J132),0),0)),""))</f>
        <v>0</v>
      </c>
      <c r="J132" s="8">
        <f>IF(A132="","",SUMPRODUCT(MAX(('Recipe Ingredients'!$A$5:$A$1204=A132)*'Recipe Ingredients'!$H$5:$H$1204)))</f>
        <v>0</v>
      </c>
      <c r="K132" s="8">
        <f>IF(OR(A132="",E132="",E132=0),"",IFERROR(J132/E132,""))</f>
        <v>0</v>
      </c>
      <c r="L132" s="8">
        <f>IF(OR(A132="",F132=""),"",IFERROR(F132-AVERAGE($F$5:$F$204),""))</f>
        <v>0</v>
      </c>
      <c r="M132" s="8">
        <f>IF(OR(A132="",F132=""),"",IF(F132&lt;=Weekly_Budget/21,"Within budget","Over budget"))</f>
        <v>0</v>
      </c>
      <c r="N132" s="8">
        <f>IF(A132="","",IFERROR(INDEX(Recipes!$H$5:$H$204,MATCH(A132,Recipes!$A$5:$A$204,0)),""))</f>
        <v>0</v>
      </c>
      <c r="O132" s="8">
        <f>IF(A132="","",IFERROR(INDEX(Recipes!$S$5:$S$204,MATCH(A132,Recipes!$A$5:$A$204,0)),""))</f>
        <v>0</v>
      </c>
      <c r="P132" s="8">
        <f>IF(A132="","",IFERROR(INDEX(Recipes!$T$5:$T$204,MATCH(A132,Recipes!$A$5:$A$204,0)),""))</f>
        <v>0</v>
      </c>
      <c r="Q132" s="8">
        <f>IF(OR(A132="",F132=""),"",F132*7*3)</f>
        <v>0</v>
      </c>
      <c r="R132" s="25"/>
    </row>
    <row r="133" spans="1:18">
      <c r="A133" s="7"/>
      <c r="B133" s="8">
        <f>IF(A133="","",IFERROR(INDEX(Recipes!$B$5:$B$204,MATCH(A133,Recipes!$A$5:$A$204,0)),""))</f>
        <v>0</v>
      </c>
      <c r="C133" s="8">
        <f>IF(A133="","",IFERROR(INDEX(Recipes!$D$5:$D$204,MATCH(A133,Recipes!$A$5:$A$204,0)),""))</f>
        <v>0</v>
      </c>
      <c r="D133" s="8">
        <f>IF(A133="","",COUNTIFS('Recipe Ingredients'!$A$5:$A$1204,A133))</f>
        <v>0</v>
      </c>
      <c r="E133" s="8">
        <f>IF(A133="","",SUMIFS('Recipe Ingredients'!$H$5:$H$1204,'Recipe Ingredients'!$A$5:$A$1204,A133))</f>
        <v>0</v>
      </c>
      <c r="F133" s="8">
        <f>IF(A133="","",IFERROR(INDEX(Recipes!$Q$5:$Q$204,MATCH(A133,Recipes!$A$5:$A$204,0)),""))</f>
        <v>0</v>
      </c>
      <c r="G133" s="8">
        <f>IF(OR(A133="",N133="",N133=0),"",IFERROR(F133/N133*100,""))</f>
        <v>0</v>
      </c>
      <c r="H133" s="8">
        <f>IF(OR(A133="",F133=""),"",COUNTIFS($F$5:$F$204,"&lt;"&amp;F133)+1)</f>
        <v>0</v>
      </c>
      <c r="I133" s="8">
        <f>IF(A133="","",IFERROR(INDEX('Recipe Ingredients'!$B$5:$B$1204,MATCH(1,INDEX(('Recipe Ingredients'!$A$5:$A$1204=A133)*('Recipe Ingredients'!$H$5:$H$1204=J133),0),0)),""))</f>
        <v>0</v>
      </c>
      <c r="J133" s="8">
        <f>IF(A133="","",SUMPRODUCT(MAX(('Recipe Ingredients'!$A$5:$A$1204=A133)*'Recipe Ingredients'!$H$5:$H$1204)))</f>
        <v>0</v>
      </c>
      <c r="K133" s="8">
        <f>IF(OR(A133="",E133="",E133=0),"",IFERROR(J133/E133,""))</f>
        <v>0</v>
      </c>
      <c r="L133" s="8">
        <f>IF(OR(A133="",F133=""),"",IFERROR(F133-AVERAGE($F$5:$F$204),""))</f>
        <v>0</v>
      </c>
      <c r="M133" s="8">
        <f>IF(OR(A133="",F133=""),"",IF(F133&lt;=Weekly_Budget/21,"Within budget","Over budget"))</f>
        <v>0</v>
      </c>
      <c r="N133" s="8">
        <f>IF(A133="","",IFERROR(INDEX(Recipes!$H$5:$H$204,MATCH(A133,Recipes!$A$5:$A$204,0)),""))</f>
        <v>0</v>
      </c>
      <c r="O133" s="8">
        <f>IF(A133="","",IFERROR(INDEX(Recipes!$S$5:$S$204,MATCH(A133,Recipes!$A$5:$A$204,0)),""))</f>
        <v>0</v>
      </c>
      <c r="P133" s="8">
        <f>IF(A133="","",IFERROR(INDEX(Recipes!$T$5:$T$204,MATCH(A133,Recipes!$A$5:$A$204,0)),""))</f>
        <v>0</v>
      </c>
      <c r="Q133" s="8">
        <f>IF(OR(A133="",F133=""),"",F133*7*3)</f>
        <v>0</v>
      </c>
      <c r="R133" s="25"/>
    </row>
    <row r="134" spans="1:18">
      <c r="A134" s="7"/>
      <c r="B134" s="8">
        <f>IF(A134="","",IFERROR(INDEX(Recipes!$B$5:$B$204,MATCH(A134,Recipes!$A$5:$A$204,0)),""))</f>
        <v>0</v>
      </c>
      <c r="C134" s="8">
        <f>IF(A134="","",IFERROR(INDEX(Recipes!$D$5:$D$204,MATCH(A134,Recipes!$A$5:$A$204,0)),""))</f>
        <v>0</v>
      </c>
      <c r="D134" s="8">
        <f>IF(A134="","",COUNTIFS('Recipe Ingredients'!$A$5:$A$1204,A134))</f>
        <v>0</v>
      </c>
      <c r="E134" s="8">
        <f>IF(A134="","",SUMIFS('Recipe Ingredients'!$H$5:$H$1204,'Recipe Ingredients'!$A$5:$A$1204,A134))</f>
        <v>0</v>
      </c>
      <c r="F134" s="8">
        <f>IF(A134="","",IFERROR(INDEX(Recipes!$Q$5:$Q$204,MATCH(A134,Recipes!$A$5:$A$204,0)),""))</f>
        <v>0</v>
      </c>
      <c r="G134" s="8">
        <f>IF(OR(A134="",N134="",N134=0),"",IFERROR(F134/N134*100,""))</f>
        <v>0</v>
      </c>
      <c r="H134" s="8">
        <f>IF(OR(A134="",F134=""),"",COUNTIFS($F$5:$F$204,"&lt;"&amp;F134)+1)</f>
        <v>0</v>
      </c>
      <c r="I134" s="8">
        <f>IF(A134="","",IFERROR(INDEX('Recipe Ingredients'!$B$5:$B$1204,MATCH(1,INDEX(('Recipe Ingredients'!$A$5:$A$1204=A134)*('Recipe Ingredients'!$H$5:$H$1204=J134),0),0)),""))</f>
        <v>0</v>
      </c>
      <c r="J134" s="8">
        <f>IF(A134="","",SUMPRODUCT(MAX(('Recipe Ingredients'!$A$5:$A$1204=A134)*'Recipe Ingredients'!$H$5:$H$1204)))</f>
        <v>0</v>
      </c>
      <c r="K134" s="8">
        <f>IF(OR(A134="",E134="",E134=0),"",IFERROR(J134/E134,""))</f>
        <v>0</v>
      </c>
      <c r="L134" s="8">
        <f>IF(OR(A134="",F134=""),"",IFERROR(F134-AVERAGE($F$5:$F$204),""))</f>
        <v>0</v>
      </c>
      <c r="M134" s="8">
        <f>IF(OR(A134="",F134=""),"",IF(F134&lt;=Weekly_Budget/21,"Within budget","Over budget"))</f>
        <v>0</v>
      </c>
      <c r="N134" s="8">
        <f>IF(A134="","",IFERROR(INDEX(Recipes!$H$5:$H$204,MATCH(A134,Recipes!$A$5:$A$204,0)),""))</f>
        <v>0</v>
      </c>
      <c r="O134" s="8">
        <f>IF(A134="","",IFERROR(INDEX(Recipes!$S$5:$S$204,MATCH(A134,Recipes!$A$5:$A$204,0)),""))</f>
        <v>0</v>
      </c>
      <c r="P134" s="8">
        <f>IF(A134="","",IFERROR(INDEX(Recipes!$T$5:$T$204,MATCH(A134,Recipes!$A$5:$A$204,0)),""))</f>
        <v>0</v>
      </c>
      <c r="Q134" s="8">
        <f>IF(OR(A134="",F134=""),"",F134*7*3)</f>
        <v>0</v>
      </c>
      <c r="R134" s="25"/>
    </row>
    <row r="135" spans="1:18">
      <c r="A135" s="7"/>
      <c r="B135" s="8">
        <f>IF(A135="","",IFERROR(INDEX(Recipes!$B$5:$B$204,MATCH(A135,Recipes!$A$5:$A$204,0)),""))</f>
        <v>0</v>
      </c>
      <c r="C135" s="8">
        <f>IF(A135="","",IFERROR(INDEX(Recipes!$D$5:$D$204,MATCH(A135,Recipes!$A$5:$A$204,0)),""))</f>
        <v>0</v>
      </c>
      <c r="D135" s="8">
        <f>IF(A135="","",COUNTIFS('Recipe Ingredients'!$A$5:$A$1204,A135))</f>
        <v>0</v>
      </c>
      <c r="E135" s="8">
        <f>IF(A135="","",SUMIFS('Recipe Ingredients'!$H$5:$H$1204,'Recipe Ingredients'!$A$5:$A$1204,A135))</f>
        <v>0</v>
      </c>
      <c r="F135" s="8">
        <f>IF(A135="","",IFERROR(INDEX(Recipes!$Q$5:$Q$204,MATCH(A135,Recipes!$A$5:$A$204,0)),""))</f>
        <v>0</v>
      </c>
      <c r="G135" s="8">
        <f>IF(OR(A135="",N135="",N135=0),"",IFERROR(F135/N135*100,""))</f>
        <v>0</v>
      </c>
      <c r="H135" s="8">
        <f>IF(OR(A135="",F135=""),"",COUNTIFS($F$5:$F$204,"&lt;"&amp;F135)+1)</f>
        <v>0</v>
      </c>
      <c r="I135" s="8">
        <f>IF(A135="","",IFERROR(INDEX('Recipe Ingredients'!$B$5:$B$1204,MATCH(1,INDEX(('Recipe Ingredients'!$A$5:$A$1204=A135)*('Recipe Ingredients'!$H$5:$H$1204=J135),0),0)),""))</f>
        <v>0</v>
      </c>
      <c r="J135" s="8">
        <f>IF(A135="","",SUMPRODUCT(MAX(('Recipe Ingredients'!$A$5:$A$1204=A135)*'Recipe Ingredients'!$H$5:$H$1204)))</f>
        <v>0</v>
      </c>
      <c r="K135" s="8">
        <f>IF(OR(A135="",E135="",E135=0),"",IFERROR(J135/E135,""))</f>
        <v>0</v>
      </c>
      <c r="L135" s="8">
        <f>IF(OR(A135="",F135=""),"",IFERROR(F135-AVERAGE($F$5:$F$204),""))</f>
        <v>0</v>
      </c>
      <c r="M135" s="8">
        <f>IF(OR(A135="",F135=""),"",IF(F135&lt;=Weekly_Budget/21,"Within budget","Over budget"))</f>
        <v>0</v>
      </c>
      <c r="N135" s="8">
        <f>IF(A135="","",IFERROR(INDEX(Recipes!$H$5:$H$204,MATCH(A135,Recipes!$A$5:$A$204,0)),""))</f>
        <v>0</v>
      </c>
      <c r="O135" s="8">
        <f>IF(A135="","",IFERROR(INDEX(Recipes!$S$5:$S$204,MATCH(A135,Recipes!$A$5:$A$204,0)),""))</f>
        <v>0</v>
      </c>
      <c r="P135" s="8">
        <f>IF(A135="","",IFERROR(INDEX(Recipes!$T$5:$T$204,MATCH(A135,Recipes!$A$5:$A$204,0)),""))</f>
        <v>0</v>
      </c>
      <c r="Q135" s="8">
        <f>IF(OR(A135="",F135=""),"",F135*7*3)</f>
        <v>0</v>
      </c>
      <c r="R135" s="25"/>
    </row>
    <row r="136" spans="1:18">
      <c r="A136" s="7"/>
      <c r="B136" s="8">
        <f>IF(A136="","",IFERROR(INDEX(Recipes!$B$5:$B$204,MATCH(A136,Recipes!$A$5:$A$204,0)),""))</f>
        <v>0</v>
      </c>
      <c r="C136" s="8">
        <f>IF(A136="","",IFERROR(INDEX(Recipes!$D$5:$D$204,MATCH(A136,Recipes!$A$5:$A$204,0)),""))</f>
        <v>0</v>
      </c>
      <c r="D136" s="8">
        <f>IF(A136="","",COUNTIFS('Recipe Ingredients'!$A$5:$A$1204,A136))</f>
        <v>0</v>
      </c>
      <c r="E136" s="8">
        <f>IF(A136="","",SUMIFS('Recipe Ingredients'!$H$5:$H$1204,'Recipe Ingredients'!$A$5:$A$1204,A136))</f>
        <v>0</v>
      </c>
      <c r="F136" s="8">
        <f>IF(A136="","",IFERROR(INDEX(Recipes!$Q$5:$Q$204,MATCH(A136,Recipes!$A$5:$A$204,0)),""))</f>
        <v>0</v>
      </c>
      <c r="G136" s="8">
        <f>IF(OR(A136="",N136="",N136=0),"",IFERROR(F136/N136*100,""))</f>
        <v>0</v>
      </c>
      <c r="H136" s="8">
        <f>IF(OR(A136="",F136=""),"",COUNTIFS($F$5:$F$204,"&lt;"&amp;F136)+1)</f>
        <v>0</v>
      </c>
      <c r="I136" s="8">
        <f>IF(A136="","",IFERROR(INDEX('Recipe Ingredients'!$B$5:$B$1204,MATCH(1,INDEX(('Recipe Ingredients'!$A$5:$A$1204=A136)*('Recipe Ingredients'!$H$5:$H$1204=J136),0),0)),""))</f>
        <v>0</v>
      </c>
      <c r="J136" s="8">
        <f>IF(A136="","",SUMPRODUCT(MAX(('Recipe Ingredients'!$A$5:$A$1204=A136)*'Recipe Ingredients'!$H$5:$H$1204)))</f>
        <v>0</v>
      </c>
      <c r="K136" s="8">
        <f>IF(OR(A136="",E136="",E136=0),"",IFERROR(J136/E136,""))</f>
        <v>0</v>
      </c>
      <c r="L136" s="8">
        <f>IF(OR(A136="",F136=""),"",IFERROR(F136-AVERAGE($F$5:$F$204),""))</f>
        <v>0</v>
      </c>
      <c r="M136" s="8">
        <f>IF(OR(A136="",F136=""),"",IF(F136&lt;=Weekly_Budget/21,"Within budget","Over budget"))</f>
        <v>0</v>
      </c>
      <c r="N136" s="8">
        <f>IF(A136="","",IFERROR(INDEX(Recipes!$H$5:$H$204,MATCH(A136,Recipes!$A$5:$A$204,0)),""))</f>
        <v>0</v>
      </c>
      <c r="O136" s="8">
        <f>IF(A136="","",IFERROR(INDEX(Recipes!$S$5:$S$204,MATCH(A136,Recipes!$A$5:$A$204,0)),""))</f>
        <v>0</v>
      </c>
      <c r="P136" s="8">
        <f>IF(A136="","",IFERROR(INDEX(Recipes!$T$5:$T$204,MATCH(A136,Recipes!$A$5:$A$204,0)),""))</f>
        <v>0</v>
      </c>
      <c r="Q136" s="8">
        <f>IF(OR(A136="",F136=""),"",F136*7*3)</f>
        <v>0</v>
      </c>
      <c r="R136" s="25"/>
    </row>
    <row r="137" spans="1:18">
      <c r="A137" s="7"/>
      <c r="B137" s="8">
        <f>IF(A137="","",IFERROR(INDEX(Recipes!$B$5:$B$204,MATCH(A137,Recipes!$A$5:$A$204,0)),""))</f>
        <v>0</v>
      </c>
      <c r="C137" s="8">
        <f>IF(A137="","",IFERROR(INDEX(Recipes!$D$5:$D$204,MATCH(A137,Recipes!$A$5:$A$204,0)),""))</f>
        <v>0</v>
      </c>
      <c r="D137" s="8">
        <f>IF(A137="","",COUNTIFS('Recipe Ingredients'!$A$5:$A$1204,A137))</f>
        <v>0</v>
      </c>
      <c r="E137" s="8">
        <f>IF(A137="","",SUMIFS('Recipe Ingredients'!$H$5:$H$1204,'Recipe Ingredients'!$A$5:$A$1204,A137))</f>
        <v>0</v>
      </c>
      <c r="F137" s="8">
        <f>IF(A137="","",IFERROR(INDEX(Recipes!$Q$5:$Q$204,MATCH(A137,Recipes!$A$5:$A$204,0)),""))</f>
        <v>0</v>
      </c>
      <c r="G137" s="8">
        <f>IF(OR(A137="",N137="",N137=0),"",IFERROR(F137/N137*100,""))</f>
        <v>0</v>
      </c>
      <c r="H137" s="8">
        <f>IF(OR(A137="",F137=""),"",COUNTIFS($F$5:$F$204,"&lt;"&amp;F137)+1)</f>
        <v>0</v>
      </c>
      <c r="I137" s="8">
        <f>IF(A137="","",IFERROR(INDEX('Recipe Ingredients'!$B$5:$B$1204,MATCH(1,INDEX(('Recipe Ingredients'!$A$5:$A$1204=A137)*('Recipe Ingredients'!$H$5:$H$1204=J137),0),0)),""))</f>
        <v>0</v>
      </c>
      <c r="J137" s="8">
        <f>IF(A137="","",SUMPRODUCT(MAX(('Recipe Ingredients'!$A$5:$A$1204=A137)*'Recipe Ingredients'!$H$5:$H$1204)))</f>
        <v>0</v>
      </c>
      <c r="K137" s="8">
        <f>IF(OR(A137="",E137="",E137=0),"",IFERROR(J137/E137,""))</f>
        <v>0</v>
      </c>
      <c r="L137" s="8">
        <f>IF(OR(A137="",F137=""),"",IFERROR(F137-AVERAGE($F$5:$F$204),""))</f>
        <v>0</v>
      </c>
      <c r="M137" s="8">
        <f>IF(OR(A137="",F137=""),"",IF(F137&lt;=Weekly_Budget/21,"Within budget","Over budget"))</f>
        <v>0</v>
      </c>
      <c r="N137" s="8">
        <f>IF(A137="","",IFERROR(INDEX(Recipes!$H$5:$H$204,MATCH(A137,Recipes!$A$5:$A$204,0)),""))</f>
        <v>0</v>
      </c>
      <c r="O137" s="8">
        <f>IF(A137="","",IFERROR(INDEX(Recipes!$S$5:$S$204,MATCH(A137,Recipes!$A$5:$A$204,0)),""))</f>
        <v>0</v>
      </c>
      <c r="P137" s="8">
        <f>IF(A137="","",IFERROR(INDEX(Recipes!$T$5:$T$204,MATCH(A137,Recipes!$A$5:$A$204,0)),""))</f>
        <v>0</v>
      </c>
      <c r="Q137" s="8">
        <f>IF(OR(A137="",F137=""),"",F137*7*3)</f>
        <v>0</v>
      </c>
      <c r="R137" s="25"/>
    </row>
    <row r="138" spans="1:18">
      <c r="A138" s="7"/>
      <c r="B138" s="8">
        <f>IF(A138="","",IFERROR(INDEX(Recipes!$B$5:$B$204,MATCH(A138,Recipes!$A$5:$A$204,0)),""))</f>
        <v>0</v>
      </c>
      <c r="C138" s="8">
        <f>IF(A138="","",IFERROR(INDEX(Recipes!$D$5:$D$204,MATCH(A138,Recipes!$A$5:$A$204,0)),""))</f>
        <v>0</v>
      </c>
      <c r="D138" s="8">
        <f>IF(A138="","",COUNTIFS('Recipe Ingredients'!$A$5:$A$1204,A138))</f>
        <v>0</v>
      </c>
      <c r="E138" s="8">
        <f>IF(A138="","",SUMIFS('Recipe Ingredients'!$H$5:$H$1204,'Recipe Ingredients'!$A$5:$A$1204,A138))</f>
        <v>0</v>
      </c>
      <c r="F138" s="8">
        <f>IF(A138="","",IFERROR(INDEX(Recipes!$Q$5:$Q$204,MATCH(A138,Recipes!$A$5:$A$204,0)),""))</f>
        <v>0</v>
      </c>
      <c r="G138" s="8">
        <f>IF(OR(A138="",N138="",N138=0),"",IFERROR(F138/N138*100,""))</f>
        <v>0</v>
      </c>
      <c r="H138" s="8">
        <f>IF(OR(A138="",F138=""),"",COUNTIFS($F$5:$F$204,"&lt;"&amp;F138)+1)</f>
        <v>0</v>
      </c>
      <c r="I138" s="8">
        <f>IF(A138="","",IFERROR(INDEX('Recipe Ingredients'!$B$5:$B$1204,MATCH(1,INDEX(('Recipe Ingredients'!$A$5:$A$1204=A138)*('Recipe Ingredients'!$H$5:$H$1204=J138),0),0)),""))</f>
        <v>0</v>
      </c>
      <c r="J138" s="8">
        <f>IF(A138="","",SUMPRODUCT(MAX(('Recipe Ingredients'!$A$5:$A$1204=A138)*'Recipe Ingredients'!$H$5:$H$1204)))</f>
        <v>0</v>
      </c>
      <c r="K138" s="8">
        <f>IF(OR(A138="",E138="",E138=0),"",IFERROR(J138/E138,""))</f>
        <v>0</v>
      </c>
      <c r="L138" s="8">
        <f>IF(OR(A138="",F138=""),"",IFERROR(F138-AVERAGE($F$5:$F$204),""))</f>
        <v>0</v>
      </c>
      <c r="M138" s="8">
        <f>IF(OR(A138="",F138=""),"",IF(F138&lt;=Weekly_Budget/21,"Within budget","Over budget"))</f>
        <v>0</v>
      </c>
      <c r="N138" s="8">
        <f>IF(A138="","",IFERROR(INDEX(Recipes!$H$5:$H$204,MATCH(A138,Recipes!$A$5:$A$204,0)),""))</f>
        <v>0</v>
      </c>
      <c r="O138" s="8">
        <f>IF(A138="","",IFERROR(INDEX(Recipes!$S$5:$S$204,MATCH(A138,Recipes!$A$5:$A$204,0)),""))</f>
        <v>0</v>
      </c>
      <c r="P138" s="8">
        <f>IF(A138="","",IFERROR(INDEX(Recipes!$T$5:$T$204,MATCH(A138,Recipes!$A$5:$A$204,0)),""))</f>
        <v>0</v>
      </c>
      <c r="Q138" s="8">
        <f>IF(OR(A138="",F138=""),"",F138*7*3)</f>
        <v>0</v>
      </c>
      <c r="R138" s="25"/>
    </row>
    <row r="139" spans="1:18">
      <c r="A139" s="7"/>
      <c r="B139" s="8">
        <f>IF(A139="","",IFERROR(INDEX(Recipes!$B$5:$B$204,MATCH(A139,Recipes!$A$5:$A$204,0)),""))</f>
        <v>0</v>
      </c>
      <c r="C139" s="8">
        <f>IF(A139="","",IFERROR(INDEX(Recipes!$D$5:$D$204,MATCH(A139,Recipes!$A$5:$A$204,0)),""))</f>
        <v>0</v>
      </c>
      <c r="D139" s="8">
        <f>IF(A139="","",COUNTIFS('Recipe Ingredients'!$A$5:$A$1204,A139))</f>
        <v>0</v>
      </c>
      <c r="E139" s="8">
        <f>IF(A139="","",SUMIFS('Recipe Ingredients'!$H$5:$H$1204,'Recipe Ingredients'!$A$5:$A$1204,A139))</f>
        <v>0</v>
      </c>
      <c r="F139" s="8">
        <f>IF(A139="","",IFERROR(INDEX(Recipes!$Q$5:$Q$204,MATCH(A139,Recipes!$A$5:$A$204,0)),""))</f>
        <v>0</v>
      </c>
      <c r="G139" s="8">
        <f>IF(OR(A139="",N139="",N139=0),"",IFERROR(F139/N139*100,""))</f>
        <v>0</v>
      </c>
      <c r="H139" s="8">
        <f>IF(OR(A139="",F139=""),"",COUNTIFS($F$5:$F$204,"&lt;"&amp;F139)+1)</f>
        <v>0</v>
      </c>
      <c r="I139" s="8">
        <f>IF(A139="","",IFERROR(INDEX('Recipe Ingredients'!$B$5:$B$1204,MATCH(1,INDEX(('Recipe Ingredients'!$A$5:$A$1204=A139)*('Recipe Ingredients'!$H$5:$H$1204=J139),0),0)),""))</f>
        <v>0</v>
      </c>
      <c r="J139" s="8">
        <f>IF(A139="","",SUMPRODUCT(MAX(('Recipe Ingredients'!$A$5:$A$1204=A139)*'Recipe Ingredients'!$H$5:$H$1204)))</f>
        <v>0</v>
      </c>
      <c r="K139" s="8">
        <f>IF(OR(A139="",E139="",E139=0),"",IFERROR(J139/E139,""))</f>
        <v>0</v>
      </c>
      <c r="L139" s="8">
        <f>IF(OR(A139="",F139=""),"",IFERROR(F139-AVERAGE($F$5:$F$204),""))</f>
        <v>0</v>
      </c>
      <c r="M139" s="8">
        <f>IF(OR(A139="",F139=""),"",IF(F139&lt;=Weekly_Budget/21,"Within budget","Over budget"))</f>
        <v>0</v>
      </c>
      <c r="N139" s="8">
        <f>IF(A139="","",IFERROR(INDEX(Recipes!$H$5:$H$204,MATCH(A139,Recipes!$A$5:$A$204,0)),""))</f>
        <v>0</v>
      </c>
      <c r="O139" s="8">
        <f>IF(A139="","",IFERROR(INDEX(Recipes!$S$5:$S$204,MATCH(A139,Recipes!$A$5:$A$204,0)),""))</f>
        <v>0</v>
      </c>
      <c r="P139" s="8">
        <f>IF(A139="","",IFERROR(INDEX(Recipes!$T$5:$T$204,MATCH(A139,Recipes!$A$5:$A$204,0)),""))</f>
        <v>0</v>
      </c>
      <c r="Q139" s="8">
        <f>IF(OR(A139="",F139=""),"",F139*7*3)</f>
        <v>0</v>
      </c>
      <c r="R139" s="25"/>
    </row>
    <row r="140" spans="1:18">
      <c r="A140" s="7"/>
      <c r="B140" s="8">
        <f>IF(A140="","",IFERROR(INDEX(Recipes!$B$5:$B$204,MATCH(A140,Recipes!$A$5:$A$204,0)),""))</f>
        <v>0</v>
      </c>
      <c r="C140" s="8">
        <f>IF(A140="","",IFERROR(INDEX(Recipes!$D$5:$D$204,MATCH(A140,Recipes!$A$5:$A$204,0)),""))</f>
        <v>0</v>
      </c>
      <c r="D140" s="8">
        <f>IF(A140="","",COUNTIFS('Recipe Ingredients'!$A$5:$A$1204,A140))</f>
        <v>0</v>
      </c>
      <c r="E140" s="8">
        <f>IF(A140="","",SUMIFS('Recipe Ingredients'!$H$5:$H$1204,'Recipe Ingredients'!$A$5:$A$1204,A140))</f>
        <v>0</v>
      </c>
      <c r="F140" s="8">
        <f>IF(A140="","",IFERROR(INDEX(Recipes!$Q$5:$Q$204,MATCH(A140,Recipes!$A$5:$A$204,0)),""))</f>
        <v>0</v>
      </c>
      <c r="G140" s="8">
        <f>IF(OR(A140="",N140="",N140=0),"",IFERROR(F140/N140*100,""))</f>
        <v>0</v>
      </c>
      <c r="H140" s="8">
        <f>IF(OR(A140="",F140=""),"",COUNTIFS($F$5:$F$204,"&lt;"&amp;F140)+1)</f>
        <v>0</v>
      </c>
      <c r="I140" s="8">
        <f>IF(A140="","",IFERROR(INDEX('Recipe Ingredients'!$B$5:$B$1204,MATCH(1,INDEX(('Recipe Ingredients'!$A$5:$A$1204=A140)*('Recipe Ingredients'!$H$5:$H$1204=J140),0),0)),""))</f>
        <v>0</v>
      </c>
      <c r="J140" s="8">
        <f>IF(A140="","",SUMPRODUCT(MAX(('Recipe Ingredients'!$A$5:$A$1204=A140)*'Recipe Ingredients'!$H$5:$H$1204)))</f>
        <v>0</v>
      </c>
      <c r="K140" s="8">
        <f>IF(OR(A140="",E140="",E140=0),"",IFERROR(J140/E140,""))</f>
        <v>0</v>
      </c>
      <c r="L140" s="8">
        <f>IF(OR(A140="",F140=""),"",IFERROR(F140-AVERAGE($F$5:$F$204),""))</f>
        <v>0</v>
      </c>
      <c r="M140" s="8">
        <f>IF(OR(A140="",F140=""),"",IF(F140&lt;=Weekly_Budget/21,"Within budget","Over budget"))</f>
        <v>0</v>
      </c>
      <c r="N140" s="8">
        <f>IF(A140="","",IFERROR(INDEX(Recipes!$H$5:$H$204,MATCH(A140,Recipes!$A$5:$A$204,0)),""))</f>
        <v>0</v>
      </c>
      <c r="O140" s="8">
        <f>IF(A140="","",IFERROR(INDEX(Recipes!$S$5:$S$204,MATCH(A140,Recipes!$A$5:$A$204,0)),""))</f>
        <v>0</v>
      </c>
      <c r="P140" s="8">
        <f>IF(A140="","",IFERROR(INDEX(Recipes!$T$5:$T$204,MATCH(A140,Recipes!$A$5:$A$204,0)),""))</f>
        <v>0</v>
      </c>
      <c r="Q140" s="8">
        <f>IF(OR(A140="",F140=""),"",F140*7*3)</f>
        <v>0</v>
      </c>
      <c r="R140" s="25"/>
    </row>
    <row r="141" spans="1:18">
      <c r="A141" s="7"/>
      <c r="B141" s="8">
        <f>IF(A141="","",IFERROR(INDEX(Recipes!$B$5:$B$204,MATCH(A141,Recipes!$A$5:$A$204,0)),""))</f>
        <v>0</v>
      </c>
      <c r="C141" s="8">
        <f>IF(A141="","",IFERROR(INDEX(Recipes!$D$5:$D$204,MATCH(A141,Recipes!$A$5:$A$204,0)),""))</f>
        <v>0</v>
      </c>
      <c r="D141" s="8">
        <f>IF(A141="","",COUNTIFS('Recipe Ingredients'!$A$5:$A$1204,A141))</f>
        <v>0</v>
      </c>
      <c r="E141" s="8">
        <f>IF(A141="","",SUMIFS('Recipe Ingredients'!$H$5:$H$1204,'Recipe Ingredients'!$A$5:$A$1204,A141))</f>
        <v>0</v>
      </c>
      <c r="F141" s="8">
        <f>IF(A141="","",IFERROR(INDEX(Recipes!$Q$5:$Q$204,MATCH(A141,Recipes!$A$5:$A$204,0)),""))</f>
        <v>0</v>
      </c>
      <c r="G141" s="8">
        <f>IF(OR(A141="",N141="",N141=0),"",IFERROR(F141/N141*100,""))</f>
        <v>0</v>
      </c>
      <c r="H141" s="8">
        <f>IF(OR(A141="",F141=""),"",COUNTIFS($F$5:$F$204,"&lt;"&amp;F141)+1)</f>
        <v>0</v>
      </c>
      <c r="I141" s="8">
        <f>IF(A141="","",IFERROR(INDEX('Recipe Ingredients'!$B$5:$B$1204,MATCH(1,INDEX(('Recipe Ingredients'!$A$5:$A$1204=A141)*('Recipe Ingredients'!$H$5:$H$1204=J141),0),0)),""))</f>
        <v>0</v>
      </c>
      <c r="J141" s="8">
        <f>IF(A141="","",SUMPRODUCT(MAX(('Recipe Ingredients'!$A$5:$A$1204=A141)*'Recipe Ingredients'!$H$5:$H$1204)))</f>
        <v>0</v>
      </c>
      <c r="K141" s="8">
        <f>IF(OR(A141="",E141="",E141=0),"",IFERROR(J141/E141,""))</f>
        <v>0</v>
      </c>
      <c r="L141" s="8">
        <f>IF(OR(A141="",F141=""),"",IFERROR(F141-AVERAGE($F$5:$F$204),""))</f>
        <v>0</v>
      </c>
      <c r="M141" s="8">
        <f>IF(OR(A141="",F141=""),"",IF(F141&lt;=Weekly_Budget/21,"Within budget","Over budget"))</f>
        <v>0</v>
      </c>
      <c r="N141" s="8">
        <f>IF(A141="","",IFERROR(INDEX(Recipes!$H$5:$H$204,MATCH(A141,Recipes!$A$5:$A$204,0)),""))</f>
        <v>0</v>
      </c>
      <c r="O141" s="8">
        <f>IF(A141="","",IFERROR(INDEX(Recipes!$S$5:$S$204,MATCH(A141,Recipes!$A$5:$A$204,0)),""))</f>
        <v>0</v>
      </c>
      <c r="P141" s="8">
        <f>IF(A141="","",IFERROR(INDEX(Recipes!$T$5:$T$204,MATCH(A141,Recipes!$A$5:$A$204,0)),""))</f>
        <v>0</v>
      </c>
      <c r="Q141" s="8">
        <f>IF(OR(A141="",F141=""),"",F141*7*3)</f>
        <v>0</v>
      </c>
      <c r="R141" s="25"/>
    </row>
    <row r="142" spans="1:18">
      <c r="A142" s="7"/>
      <c r="B142" s="8">
        <f>IF(A142="","",IFERROR(INDEX(Recipes!$B$5:$B$204,MATCH(A142,Recipes!$A$5:$A$204,0)),""))</f>
        <v>0</v>
      </c>
      <c r="C142" s="8">
        <f>IF(A142="","",IFERROR(INDEX(Recipes!$D$5:$D$204,MATCH(A142,Recipes!$A$5:$A$204,0)),""))</f>
        <v>0</v>
      </c>
      <c r="D142" s="8">
        <f>IF(A142="","",COUNTIFS('Recipe Ingredients'!$A$5:$A$1204,A142))</f>
        <v>0</v>
      </c>
      <c r="E142" s="8">
        <f>IF(A142="","",SUMIFS('Recipe Ingredients'!$H$5:$H$1204,'Recipe Ingredients'!$A$5:$A$1204,A142))</f>
        <v>0</v>
      </c>
      <c r="F142" s="8">
        <f>IF(A142="","",IFERROR(INDEX(Recipes!$Q$5:$Q$204,MATCH(A142,Recipes!$A$5:$A$204,0)),""))</f>
        <v>0</v>
      </c>
      <c r="G142" s="8">
        <f>IF(OR(A142="",N142="",N142=0),"",IFERROR(F142/N142*100,""))</f>
        <v>0</v>
      </c>
      <c r="H142" s="8">
        <f>IF(OR(A142="",F142=""),"",COUNTIFS($F$5:$F$204,"&lt;"&amp;F142)+1)</f>
        <v>0</v>
      </c>
      <c r="I142" s="8">
        <f>IF(A142="","",IFERROR(INDEX('Recipe Ingredients'!$B$5:$B$1204,MATCH(1,INDEX(('Recipe Ingredients'!$A$5:$A$1204=A142)*('Recipe Ingredients'!$H$5:$H$1204=J142),0),0)),""))</f>
        <v>0</v>
      </c>
      <c r="J142" s="8">
        <f>IF(A142="","",SUMPRODUCT(MAX(('Recipe Ingredients'!$A$5:$A$1204=A142)*'Recipe Ingredients'!$H$5:$H$1204)))</f>
        <v>0</v>
      </c>
      <c r="K142" s="8">
        <f>IF(OR(A142="",E142="",E142=0),"",IFERROR(J142/E142,""))</f>
        <v>0</v>
      </c>
      <c r="L142" s="8">
        <f>IF(OR(A142="",F142=""),"",IFERROR(F142-AVERAGE($F$5:$F$204),""))</f>
        <v>0</v>
      </c>
      <c r="M142" s="8">
        <f>IF(OR(A142="",F142=""),"",IF(F142&lt;=Weekly_Budget/21,"Within budget","Over budget"))</f>
        <v>0</v>
      </c>
      <c r="N142" s="8">
        <f>IF(A142="","",IFERROR(INDEX(Recipes!$H$5:$H$204,MATCH(A142,Recipes!$A$5:$A$204,0)),""))</f>
        <v>0</v>
      </c>
      <c r="O142" s="8">
        <f>IF(A142="","",IFERROR(INDEX(Recipes!$S$5:$S$204,MATCH(A142,Recipes!$A$5:$A$204,0)),""))</f>
        <v>0</v>
      </c>
      <c r="P142" s="8">
        <f>IF(A142="","",IFERROR(INDEX(Recipes!$T$5:$T$204,MATCH(A142,Recipes!$A$5:$A$204,0)),""))</f>
        <v>0</v>
      </c>
      <c r="Q142" s="8">
        <f>IF(OR(A142="",F142=""),"",F142*7*3)</f>
        <v>0</v>
      </c>
      <c r="R142" s="25"/>
    </row>
    <row r="143" spans="1:18">
      <c r="A143" s="7"/>
      <c r="B143" s="8">
        <f>IF(A143="","",IFERROR(INDEX(Recipes!$B$5:$B$204,MATCH(A143,Recipes!$A$5:$A$204,0)),""))</f>
        <v>0</v>
      </c>
      <c r="C143" s="8">
        <f>IF(A143="","",IFERROR(INDEX(Recipes!$D$5:$D$204,MATCH(A143,Recipes!$A$5:$A$204,0)),""))</f>
        <v>0</v>
      </c>
      <c r="D143" s="8">
        <f>IF(A143="","",COUNTIFS('Recipe Ingredients'!$A$5:$A$1204,A143))</f>
        <v>0</v>
      </c>
      <c r="E143" s="8">
        <f>IF(A143="","",SUMIFS('Recipe Ingredients'!$H$5:$H$1204,'Recipe Ingredients'!$A$5:$A$1204,A143))</f>
        <v>0</v>
      </c>
      <c r="F143" s="8">
        <f>IF(A143="","",IFERROR(INDEX(Recipes!$Q$5:$Q$204,MATCH(A143,Recipes!$A$5:$A$204,0)),""))</f>
        <v>0</v>
      </c>
      <c r="G143" s="8">
        <f>IF(OR(A143="",N143="",N143=0),"",IFERROR(F143/N143*100,""))</f>
        <v>0</v>
      </c>
      <c r="H143" s="8">
        <f>IF(OR(A143="",F143=""),"",COUNTIFS($F$5:$F$204,"&lt;"&amp;F143)+1)</f>
        <v>0</v>
      </c>
      <c r="I143" s="8">
        <f>IF(A143="","",IFERROR(INDEX('Recipe Ingredients'!$B$5:$B$1204,MATCH(1,INDEX(('Recipe Ingredients'!$A$5:$A$1204=A143)*('Recipe Ingredients'!$H$5:$H$1204=J143),0),0)),""))</f>
        <v>0</v>
      </c>
      <c r="J143" s="8">
        <f>IF(A143="","",SUMPRODUCT(MAX(('Recipe Ingredients'!$A$5:$A$1204=A143)*'Recipe Ingredients'!$H$5:$H$1204)))</f>
        <v>0</v>
      </c>
      <c r="K143" s="8">
        <f>IF(OR(A143="",E143="",E143=0),"",IFERROR(J143/E143,""))</f>
        <v>0</v>
      </c>
      <c r="L143" s="8">
        <f>IF(OR(A143="",F143=""),"",IFERROR(F143-AVERAGE($F$5:$F$204),""))</f>
        <v>0</v>
      </c>
      <c r="M143" s="8">
        <f>IF(OR(A143="",F143=""),"",IF(F143&lt;=Weekly_Budget/21,"Within budget","Over budget"))</f>
        <v>0</v>
      </c>
      <c r="N143" s="8">
        <f>IF(A143="","",IFERROR(INDEX(Recipes!$H$5:$H$204,MATCH(A143,Recipes!$A$5:$A$204,0)),""))</f>
        <v>0</v>
      </c>
      <c r="O143" s="8">
        <f>IF(A143="","",IFERROR(INDEX(Recipes!$S$5:$S$204,MATCH(A143,Recipes!$A$5:$A$204,0)),""))</f>
        <v>0</v>
      </c>
      <c r="P143" s="8">
        <f>IF(A143="","",IFERROR(INDEX(Recipes!$T$5:$T$204,MATCH(A143,Recipes!$A$5:$A$204,0)),""))</f>
        <v>0</v>
      </c>
      <c r="Q143" s="8">
        <f>IF(OR(A143="",F143=""),"",F143*7*3)</f>
        <v>0</v>
      </c>
      <c r="R143" s="25"/>
    </row>
    <row r="144" spans="1:18">
      <c r="A144" s="7"/>
      <c r="B144" s="8">
        <f>IF(A144="","",IFERROR(INDEX(Recipes!$B$5:$B$204,MATCH(A144,Recipes!$A$5:$A$204,0)),""))</f>
        <v>0</v>
      </c>
      <c r="C144" s="8">
        <f>IF(A144="","",IFERROR(INDEX(Recipes!$D$5:$D$204,MATCH(A144,Recipes!$A$5:$A$204,0)),""))</f>
        <v>0</v>
      </c>
      <c r="D144" s="8">
        <f>IF(A144="","",COUNTIFS('Recipe Ingredients'!$A$5:$A$1204,A144))</f>
        <v>0</v>
      </c>
      <c r="E144" s="8">
        <f>IF(A144="","",SUMIFS('Recipe Ingredients'!$H$5:$H$1204,'Recipe Ingredients'!$A$5:$A$1204,A144))</f>
        <v>0</v>
      </c>
      <c r="F144" s="8">
        <f>IF(A144="","",IFERROR(INDEX(Recipes!$Q$5:$Q$204,MATCH(A144,Recipes!$A$5:$A$204,0)),""))</f>
        <v>0</v>
      </c>
      <c r="G144" s="8">
        <f>IF(OR(A144="",N144="",N144=0),"",IFERROR(F144/N144*100,""))</f>
        <v>0</v>
      </c>
      <c r="H144" s="8">
        <f>IF(OR(A144="",F144=""),"",COUNTIFS($F$5:$F$204,"&lt;"&amp;F144)+1)</f>
        <v>0</v>
      </c>
      <c r="I144" s="8">
        <f>IF(A144="","",IFERROR(INDEX('Recipe Ingredients'!$B$5:$B$1204,MATCH(1,INDEX(('Recipe Ingredients'!$A$5:$A$1204=A144)*('Recipe Ingredients'!$H$5:$H$1204=J144),0),0)),""))</f>
        <v>0</v>
      </c>
      <c r="J144" s="8">
        <f>IF(A144="","",SUMPRODUCT(MAX(('Recipe Ingredients'!$A$5:$A$1204=A144)*'Recipe Ingredients'!$H$5:$H$1204)))</f>
        <v>0</v>
      </c>
      <c r="K144" s="8">
        <f>IF(OR(A144="",E144="",E144=0),"",IFERROR(J144/E144,""))</f>
        <v>0</v>
      </c>
      <c r="L144" s="8">
        <f>IF(OR(A144="",F144=""),"",IFERROR(F144-AVERAGE($F$5:$F$204),""))</f>
        <v>0</v>
      </c>
      <c r="M144" s="8">
        <f>IF(OR(A144="",F144=""),"",IF(F144&lt;=Weekly_Budget/21,"Within budget","Over budget"))</f>
        <v>0</v>
      </c>
      <c r="N144" s="8">
        <f>IF(A144="","",IFERROR(INDEX(Recipes!$H$5:$H$204,MATCH(A144,Recipes!$A$5:$A$204,0)),""))</f>
        <v>0</v>
      </c>
      <c r="O144" s="8">
        <f>IF(A144="","",IFERROR(INDEX(Recipes!$S$5:$S$204,MATCH(A144,Recipes!$A$5:$A$204,0)),""))</f>
        <v>0</v>
      </c>
      <c r="P144" s="8">
        <f>IF(A144="","",IFERROR(INDEX(Recipes!$T$5:$T$204,MATCH(A144,Recipes!$A$5:$A$204,0)),""))</f>
        <v>0</v>
      </c>
      <c r="Q144" s="8">
        <f>IF(OR(A144="",F144=""),"",F144*7*3)</f>
        <v>0</v>
      </c>
      <c r="R144" s="25"/>
    </row>
    <row r="145" spans="1:18">
      <c r="A145" s="7"/>
      <c r="B145" s="8">
        <f>IF(A145="","",IFERROR(INDEX(Recipes!$B$5:$B$204,MATCH(A145,Recipes!$A$5:$A$204,0)),""))</f>
        <v>0</v>
      </c>
      <c r="C145" s="8">
        <f>IF(A145="","",IFERROR(INDEX(Recipes!$D$5:$D$204,MATCH(A145,Recipes!$A$5:$A$204,0)),""))</f>
        <v>0</v>
      </c>
      <c r="D145" s="8">
        <f>IF(A145="","",COUNTIFS('Recipe Ingredients'!$A$5:$A$1204,A145))</f>
        <v>0</v>
      </c>
      <c r="E145" s="8">
        <f>IF(A145="","",SUMIFS('Recipe Ingredients'!$H$5:$H$1204,'Recipe Ingredients'!$A$5:$A$1204,A145))</f>
        <v>0</v>
      </c>
      <c r="F145" s="8">
        <f>IF(A145="","",IFERROR(INDEX(Recipes!$Q$5:$Q$204,MATCH(A145,Recipes!$A$5:$A$204,0)),""))</f>
        <v>0</v>
      </c>
      <c r="G145" s="8">
        <f>IF(OR(A145="",N145="",N145=0),"",IFERROR(F145/N145*100,""))</f>
        <v>0</v>
      </c>
      <c r="H145" s="8">
        <f>IF(OR(A145="",F145=""),"",COUNTIFS($F$5:$F$204,"&lt;"&amp;F145)+1)</f>
        <v>0</v>
      </c>
      <c r="I145" s="8">
        <f>IF(A145="","",IFERROR(INDEX('Recipe Ingredients'!$B$5:$B$1204,MATCH(1,INDEX(('Recipe Ingredients'!$A$5:$A$1204=A145)*('Recipe Ingredients'!$H$5:$H$1204=J145),0),0)),""))</f>
        <v>0</v>
      </c>
      <c r="J145" s="8">
        <f>IF(A145="","",SUMPRODUCT(MAX(('Recipe Ingredients'!$A$5:$A$1204=A145)*'Recipe Ingredients'!$H$5:$H$1204)))</f>
        <v>0</v>
      </c>
      <c r="K145" s="8">
        <f>IF(OR(A145="",E145="",E145=0),"",IFERROR(J145/E145,""))</f>
        <v>0</v>
      </c>
      <c r="L145" s="8">
        <f>IF(OR(A145="",F145=""),"",IFERROR(F145-AVERAGE($F$5:$F$204),""))</f>
        <v>0</v>
      </c>
      <c r="M145" s="8">
        <f>IF(OR(A145="",F145=""),"",IF(F145&lt;=Weekly_Budget/21,"Within budget","Over budget"))</f>
        <v>0</v>
      </c>
      <c r="N145" s="8">
        <f>IF(A145="","",IFERROR(INDEX(Recipes!$H$5:$H$204,MATCH(A145,Recipes!$A$5:$A$204,0)),""))</f>
        <v>0</v>
      </c>
      <c r="O145" s="8">
        <f>IF(A145="","",IFERROR(INDEX(Recipes!$S$5:$S$204,MATCH(A145,Recipes!$A$5:$A$204,0)),""))</f>
        <v>0</v>
      </c>
      <c r="P145" s="8">
        <f>IF(A145="","",IFERROR(INDEX(Recipes!$T$5:$T$204,MATCH(A145,Recipes!$A$5:$A$204,0)),""))</f>
        <v>0</v>
      </c>
      <c r="Q145" s="8">
        <f>IF(OR(A145="",F145=""),"",F145*7*3)</f>
        <v>0</v>
      </c>
      <c r="R145" s="25"/>
    </row>
    <row r="146" spans="1:18">
      <c r="A146" s="7"/>
      <c r="B146" s="8">
        <f>IF(A146="","",IFERROR(INDEX(Recipes!$B$5:$B$204,MATCH(A146,Recipes!$A$5:$A$204,0)),""))</f>
        <v>0</v>
      </c>
      <c r="C146" s="8">
        <f>IF(A146="","",IFERROR(INDEX(Recipes!$D$5:$D$204,MATCH(A146,Recipes!$A$5:$A$204,0)),""))</f>
        <v>0</v>
      </c>
      <c r="D146" s="8">
        <f>IF(A146="","",COUNTIFS('Recipe Ingredients'!$A$5:$A$1204,A146))</f>
        <v>0</v>
      </c>
      <c r="E146" s="8">
        <f>IF(A146="","",SUMIFS('Recipe Ingredients'!$H$5:$H$1204,'Recipe Ingredients'!$A$5:$A$1204,A146))</f>
        <v>0</v>
      </c>
      <c r="F146" s="8">
        <f>IF(A146="","",IFERROR(INDEX(Recipes!$Q$5:$Q$204,MATCH(A146,Recipes!$A$5:$A$204,0)),""))</f>
        <v>0</v>
      </c>
      <c r="G146" s="8">
        <f>IF(OR(A146="",N146="",N146=0),"",IFERROR(F146/N146*100,""))</f>
        <v>0</v>
      </c>
      <c r="H146" s="8">
        <f>IF(OR(A146="",F146=""),"",COUNTIFS($F$5:$F$204,"&lt;"&amp;F146)+1)</f>
        <v>0</v>
      </c>
      <c r="I146" s="8">
        <f>IF(A146="","",IFERROR(INDEX('Recipe Ingredients'!$B$5:$B$1204,MATCH(1,INDEX(('Recipe Ingredients'!$A$5:$A$1204=A146)*('Recipe Ingredients'!$H$5:$H$1204=J146),0),0)),""))</f>
        <v>0</v>
      </c>
      <c r="J146" s="8">
        <f>IF(A146="","",SUMPRODUCT(MAX(('Recipe Ingredients'!$A$5:$A$1204=A146)*'Recipe Ingredients'!$H$5:$H$1204)))</f>
        <v>0</v>
      </c>
      <c r="K146" s="8">
        <f>IF(OR(A146="",E146="",E146=0),"",IFERROR(J146/E146,""))</f>
        <v>0</v>
      </c>
      <c r="L146" s="8">
        <f>IF(OR(A146="",F146=""),"",IFERROR(F146-AVERAGE($F$5:$F$204),""))</f>
        <v>0</v>
      </c>
      <c r="M146" s="8">
        <f>IF(OR(A146="",F146=""),"",IF(F146&lt;=Weekly_Budget/21,"Within budget","Over budget"))</f>
        <v>0</v>
      </c>
      <c r="N146" s="8">
        <f>IF(A146="","",IFERROR(INDEX(Recipes!$H$5:$H$204,MATCH(A146,Recipes!$A$5:$A$204,0)),""))</f>
        <v>0</v>
      </c>
      <c r="O146" s="8">
        <f>IF(A146="","",IFERROR(INDEX(Recipes!$S$5:$S$204,MATCH(A146,Recipes!$A$5:$A$204,0)),""))</f>
        <v>0</v>
      </c>
      <c r="P146" s="8">
        <f>IF(A146="","",IFERROR(INDEX(Recipes!$T$5:$T$204,MATCH(A146,Recipes!$A$5:$A$204,0)),""))</f>
        <v>0</v>
      </c>
      <c r="Q146" s="8">
        <f>IF(OR(A146="",F146=""),"",F146*7*3)</f>
        <v>0</v>
      </c>
      <c r="R146" s="25"/>
    </row>
    <row r="147" spans="1:18">
      <c r="A147" s="7"/>
      <c r="B147" s="8">
        <f>IF(A147="","",IFERROR(INDEX(Recipes!$B$5:$B$204,MATCH(A147,Recipes!$A$5:$A$204,0)),""))</f>
        <v>0</v>
      </c>
      <c r="C147" s="8">
        <f>IF(A147="","",IFERROR(INDEX(Recipes!$D$5:$D$204,MATCH(A147,Recipes!$A$5:$A$204,0)),""))</f>
        <v>0</v>
      </c>
      <c r="D147" s="8">
        <f>IF(A147="","",COUNTIFS('Recipe Ingredients'!$A$5:$A$1204,A147))</f>
        <v>0</v>
      </c>
      <c r="E147" s="8">
        <f>IF(A147="","",SUMIFS('Recipe Ingredients'!$H$5:$H$1204,'Recipe Ingredients'!$A$5:$A$1204,A147))</f>
        <v>0</v>
      </c>
      <c r="F147" s="8">
        <f>IF(A147="","",IFERROR(INDEX(Recipes!$Q$5:$Q$204,MATCH(A147,Recipes!$A$5:$A$204,0)),""))</f>
        <v>0</v>
      </c>
      <c r="G147" s="8">
        <f>IF(OR(A147="",N147="",N147=0),"",IFERROR(F147/N147*100,""))</f>
        <v>0</v>
      </c>
      <c r="H147" s="8">
        <f>IF(OR(A147="",F147=""),"",COUNTIFS($F$5:$F$204,"&lt;"&amp;F147)+1)</f>
        <v>0</v>
      </c>
      <c r="I147" s="8">
        <f>IF(A147="","",IFERROR(INDEX('Recipe Ingredients'!$B$5:$B$1204,MATCH(1,INDEX(('Recipe Ingredients'!$A$5:$A$1204=A147)*('Recipe Ingredients'!$H$5:$H$1204=J147),0),0)),""))</f>
        <v>0</v>
      </c>
      <c r="J147" s="8">
        <f>IF(A147="","",SUMPRODUCT(MAX(('Recipe Ingredients'!$A$5:$A$1204=A147)*'Recipe Ingredients'!$H$5:$H$1204)))</f>
        <v>0</v>
      </c>
      <c r="K147" s="8">
        <f>IF(OR(A147="",E147="",E147=0),"",IFERROR(J147/E147,""))</f>
        <v>0</v>
      </c>
      <c r="L147" s="8">
        <f>IF(OR(A147="",F147=""),"",IFERROR(F147-AVERAGE($F$5:$F$204),""))</f>
        <v>0</v>
      </c>
      <c r="M147" s="8">
        <f>IF(OR(A147="",F147=""),"",IF(F147&lt;=Weekly_Budget/21,"Within budget","Over budget"))</f>
        <v>0</v>
      </c>
      <c r="N147" s="8">
        <f>IF(A147="","",IFERROR(INDEX(Recipes!$H$5:$H$204,MATCH(A147,Recipes!$A$5:$A$204,0)),""))</f>
        <v>0</v>
      </c>
      <c r="O147" s="8">
        <f>IF(A147="","",IFERROR(INDEX(Recipes!$S$5:$S$204,MATCH(A147,Recipes!$A$5:$A$204,0)),""))</f>
        <v>0</v>
      </c>
      <c r="P147" s="8">
        <f>IF(A147="","",IFERROR(INDEX(Recipes!$T$5:$T$204,MATCH(A147,Recipes!$A$5:$A$204,0)),""))</f>
        <v>0</v>
      </c>
      <c r="Q147" s="8">
        <f>IF(OR(A147="",F147=""),"",F147*7*3)</f>
        <v>0</v>
      </c>
      <c r="R147" s="25"/>
    </row>
    <row r="148" spans="1:18">
      <c r="A148" s="7"/>
      <c r="B148" s="8">
        <f>IF(A148="","",IFERROR(INDEX(Recipes!$B$5:$B$204,MATCH(A148,Recipes!$A$5:$A$204,0)),""))</f>
        <v>0</v>
      </c>
      <c r="C148" s="8">
        <f>IF(A148="","",IFERROR(INDEX(Recipes!$D$5:$D$204,MATCH(A148,Recipes!$A$5:$A$204,0)),""))</f>
        <v>0</v>
      </c>
      <c r="D148" s="8">
        <f>IF(A148="","",COUNTIFS('Recipe Ingredients'!$A$5:$A$1204,A148))</f>
        <v>0</v>
      </c>
      <c r="E148" s="8">
        <f>IF(A148="","",SUMIFS('Recipe Ingredients'!$H$5:$H$1204,'Recipe Ingredients'!$A$5:$A$1204,A148))</f>
        <v>0</v>
      </c>
      <c r="F148" s="8">
        <f>IF(A148="","",IFERROR(INDEX(Recipes!$Q$5:$Q$204,MATCH(A148,Recipes!$A$5:$A$204,0)),""))</f>
        <v>0</v>
      </c>
      <c r="G148" s="8">
        <f>IF(OR(A148="",N148="",N148=0),"",IFERROR(F148/N148*100,""))</f>
        <v>0</v>
      </c>
      <c r="H148" s="8">
        <f>IF(OR(A148="",F148=""),"",COUNTIFS($F$5:$F$204,"&lt;"&amp;F148)+1)</f>
        <v>0</v>
      </c>
      <c r="I148" s="8">
        <f>IF(A148="","",IFERROR(INDEX('Recipe Ingredients'!$B$5:$B$1204,MATCH(1,INDEX(('Recipe Ingredients'!$A$5:$A$1204=A148)*('Recipe Ingredients'!$H$5:$H$1204=J148),0),0)),""))</f>
        <v>0</v>
      </c>
      <c r="J148" s="8">
        <f>IF(A148="","",SUMPRODUCT(MAX(('Recipe Ingredients'!$A$5:$A$1204=A148)*'Recipe Ingredients'!$H$5:$H$1204)))</f>
        <v>0</v>
      </c>
      <c r="K148" s="8">
        <f>IF(OR(A148="",E148="",E148=0),"",IFERROR(J148/E148,""))</f>
        <v>0</v>
      </c>
      <c r="L148" s="8">
        <f>IF(OR(A148="",F148=""),"",IFERROR(F148-AVERAGE($F$5:$F$204),""))</f>
        <v>0</v>
      </c>
      <c r="M148" s="8">
        <f>IF(OR(A148="",F148=""),"",IF(F148&lt;=Weekly_Budget/21,"Within budget","Over budget"))</f>
        <v>0</v>
      </c>
      <c r="N148" s="8">
        <f>IF(A148="","",IFERROR(INDEX(Recipes!$H$5:$H$204,MATCH(A148,Recipes!$A$5:$A$204,0)),""))</f>
        <v>0</v>
      </c>
      <c r="O148" s="8">
        <f>IF(A148="","",IFERROR(INDEX(Recipes!$S$5:$S$204,MATCH(A148,Recipes!$A$5:$A$204,0)),""))</f>
        <v>0</v>
      </c>
      <c r="P148" s="8">
        <f>IF(A148="","",IFERROR(INDEX(Recipes!$T$5:$T$204,MATCH(A148,Recipes!$A$5:$A$204,0)),""))</f>
        <v>0</v>
      </c>
      <c r="Q148" s="8">
        <f>IF(OR(A148="",F148=""),"",F148*7*3)</f>
        <v>0</v>
      </c>
      <c r="R148" s="25"/>
    </row>
    <row r="149" spans="1:18">
      <c r="A149" s="7"/>
      <c r="B149" s="8">
        <f>IF(A149="","",IFERROR(INDEX(Recipes!$B$5:$B$204,MATCH(A149,Recipes!$A$5:$A$204,0)),""))</f>
        <v>0</v>
      </c>
      <c r="C149" s="8">
        <f>IF(A149="","",IFERROR(INDEX(Recipes!$D$5:$D$204,MATCH(A149,Recipes!$A$5:$A$204,0)),""))</f>
        <v>0</v>
      </c>
      <c r="D149" s="8">
        <f>IF(A149="","",COUNTIFS('Recipe Ingredients'!$A$5:$A$1204,A149))</f>
        <v>0</v>
      </c>
      <c r="E149" s="8">
        <f>IF(A149="","",SUMIFS('Recipe Ingredients'!$H$5:$H$1204,'Recipe Ingredients'!$A$5:$A$1204,A149))</f>
        <v>0</v>
      </c>
      <c r="F149" s="8">
        <f>IF(A149="","",IFERROR(INDEX(Recipes!$Q$5:$Q$204,MATCH(A149,Recipes!$A$5:$A$204,0)),""))</f>
        <v>0</v>
      </c>
      <c r="G149" s="8">
        <f>IF(OR(A149="",N149="",N149=0),"",IFERROR(F149/N149*100,""))</f>
        <v>0</v>
      </c>
      <c r="H149" s="8">
        <f>IF(OR(A149="",F149=""),"",COUNTIFS($F$5:$F$204,"&lt;"&amp;F149)+1)</f>
        <v>0</v>
      </c>
      <c r="I149" s="8">
        <f>IF(A149="","",IFERROR(INDEX('Recipe Ingredients'!$B$5:$B$1204,MATCH(1,INDEX(('Recipe Ingredients'!$A$5:$A$1204=A149)*('Recipe Ingredients'!$H$5:$H$1204=J149),0),0)),""))</f>
        <v>0</v>
      </c>
      <c r="J149" s="8">
        <f>IF(A149="","",SUMPRODUCT(MAX(('Recipe Ingredients'!$A$5:$A$1204=A149)*'Recipe Ingredients'!$H$5:$H$1204)))</f>
        <v>0</v>
      </c>
      <c r="K149" s="8">
        <f>IF(OR(A149="",E149="",E149=0),"",IFERROR(J149/E149,""))</f>
        <v>0</v>
      </c>
      <c r="L149" s="8">
        <f>IF(OR(A149="",F149=""),"",IFERROR(F149-AVERAGE($F$5:$F$204),""))</f>
        <v>0</v>
      </c>
      <c r="M149" s="8">
        <f>IF(OR(A149="",F149=""),"",IF(F149&lt;=Weekly_Budget/21,"Within budget","Over budget"))</f>
        <v>0</v>
      </c>
      <c r="N149" s="8">
        <f>IF(A149="","",IFERROR(INDEX(Recipes!$H$5:$H$204,MATCH(A149,Recipes!$A$5:$A$204,0)),""))</f>
        <v>0</v>
      </c>
      <c r="O149" s="8">
        <f>IF(A149="","",IFERROR(INDEX(Recipes!$S$5:$S$204,MATCH(A149,Recipes!$A$5:$A$204,0)),""))</f>
        <v>0</v>
      </c>
      <c r="P149" s="8">
        <f>IF(A149="","",IFERROR(INDEX(Recipes!$T$5:$T$204,MATCH(A149,Recipes!$A$5:$A$204,0)),""))</f>
        <v>0</v>
      </c>
      <c r="Q149" s="8">
        <f>IF(OR(A149="",F149=""),"",F149*7*3)</f>
        <v>0</v>
      </c>
      <c r="R149" s="25"/>
    </row>
    <row r="150" spans="1:18">
      <c r="A150" s="7"/>
      <c r="B150" s="8">
        <f>IF(A150="","",IFERROR(INDEX(Recipes!$B$5:$B$204,MATCH(A150,Recipes!$A$5:$A$204,0)),""))</f>
        <v>0</v>
      </c>
      <c r="C150" s="8">
        <f>IF(A150="","",IFERROR(INDEX(Recipes!$D$5:$D$204,MATCH(A150,Recipes!$A$5:$A$204,0)),""))</f>
        <v>0</v>
      </c>
      <c r="D150" s="8">
        <f>IF(A150="","",COUNTIFS('Recipe Ingredients'!$A$5:$A$1204,A150))</f>
        <v>0</v>
      </c>
      <c r="E150" s="8">
        <f>IF(A150="","",SUMIFS('Recipe Ingredients'!$H$5:$H$1204,'Recipe Ingredients'!$A$5:$A$1204,A150))</f>
        <v>0</v>
      </c>
      <c r="F150" s="8">
        <f>IF(A150="","",IFERROR(INDEX(Recipes!$Q$5:$Q$204,MATCH(A150,Recipes!$A$5:$A$204,0)),""))</f>
        <v>0</v>
      </c>
      <c r="G150" s="8">
        <f>IF(OR(A150="",N150="",N150=0),"",IFERROR(F150/N150*100,""))</f>
        <v>0</v>
      </c>
      <c r="H150" s="8">
        <f>IF(OR(A150="",F150=""),"",COUNTIFS($F$5:$F$204,"&lt;"&amp;F150)+1)</f>
        <v>0</v>
      </c>
      <c r="I150" s="8">
        <f>IF(A150="","",IFERROR(INDEX('Recipe Ingredients'!$B$5:$B$1204,MATCH(1,INDEX(('Recipe Ingredients'!$A$5:$A$1204=A150)*('Recipe Ingredients'!$H$5:$H$1204=J150),0),0)),""))</f>
        <v>0</v>
      </c>
      <c r="J150" s="8">
        <f>IF(A150="","",SUMPRODUCT(MAX(('Recipe Ingredients'!$A$5:$A$1204=A150)*'Recipe Ingredients'!$H$5:$H$1204)))</f>
        <v>0</v>
      </c>
      <c r="K150" s="8">
        <f>IF(OR(A150="",E150="",E150=0),"",IFERROR(J150/E150,""))</f>
        <v>0</v>
      </c>
      <c r="L150" s="8">
        <f>IF(OR(A150="",F150=""),"",IFERROR(F150-AVERAGE($F$5:$F$204),""))</f>
        <v>0</v>
      </c>
      <c r="M150" s="8">
        <f>IF(OR(A150="",F150=""),"",IF(F150&lt;=Weekly_Budget/21,"Within budget","Over budget"))</f>
        <v>0</v>
      </c>
      <c r="N150" s="8">
        <f>IF(A150="","",IFERROR(INDEX(Recipes!$H$5:$H$204,MATCH(A150,Recipes!$A$5:$A$204,0)),""))</f>
        <v>0</v>
      </c>
      <c r="O150" s="8">
        <f>IF(A150="","",IFERROR(INDEX(Recipes!$S$5:$S$204,MATCH(A150,Recipes!$A$5:$A$204,0)),""))</f>
        <v>0</v>
      </c>
      <c r="P150" s="8">
        <f>IF(A150="","",IFERROR(INDEX(Recipes!$T$5:$T$204,MATCH(A150,Recipes!$A$5:$A$204,0)),""))</f>
        <v>0</v>
      </c>
      <c r="Q150" s="8">
        <f>IF(OR(A150="",F150=""),"",F150*7*3)</f>
        <v>0</v>
      </c>
      <c r="R150" s="25"/>
    </row>
    <row r="151" spans="1:18">
      <c r="A151" s="7"/>
      <c r="B151" s="8">
        <f>IF(A151="","",IFERROR(INDEX(Recipes!$B$5:$B$204,MATCH(A151,Recipes!$A$5:$A$204,0)),""))</f>
        <v>0</v>
      </c>
      <c r="C151" s="8">
        <f>IF(A151="","",IFERROR(INDEX(Recipes!$D$5:$D$204,MATCH(A151,Recipes!$A$5:$A$204,0)),""))</f>
        <v>0</v>
      </c>
      <c r="D151" s="8">
        <f>IF(A151="","",COUNTIFS('Recipe Ingredients'!$A$5:$A$1204,A151))</f>
        <v>0</v>
      </c>
      <c r="E151" s="8">
        <f>IF(A151="","",SUMIFS('Recipe Ingredients'!$H$5:$H$1204,'Recipe Ingredients'!$A$5:$A$1204,A151))</f>
        <v>0</v>
      </c>
      <c r="F151" s="8">
        <f>IF(A151="","",IFERROR(INDEX(Recipes!$Q$5:$Q$204,MATCH(A151,Recipes!$A$5:$A$204,0)),""))</f>
        <v>0</v>
      </c>
      <c r="G151" s="8">
        <f>IF(OR(A151="",N151="",N151=0),"",IFERROR(F151/N151*100,""))</f>
        <v>0</v>
      </c>
      <c r="H151" s="8">
        <f>IF(OR(A151="",F151=""),"",COUNTIFS($F$5:$F$204,"&lt;"&amp;F151)+1)</f>
        <v>0</v>
      </c>
      <c r="I151" s="8">
        <f>IF(A151="","",IFERROR(INDEX('Recipe Ingredients'!$B$5:$B$1204,MATCH(1,INDEX(('Recipe Ingredients'!$A$5:$A$1204=A151)*('Recipe Ingredients'!$H$5:$H$1204=J151),0),0)),""))</f>
        <v>0</v>
      </c>
      <c r="J151" s="8">
        <f>IF(A151="","",SUMPRODUCT(MAX(('Recipe Ingredients'!$A$5:$A$1204=A151)*'Recipe Ingredients'!$H$5:$H$1204)))</f>
        <v>0</v>
      </c>
      <c r="K151" s="8">
        <f>IF(OR(A151="",E151="",E151=0),"",IFERROR(J151/E151,""))</f>
        <v>0</v>
      </c>
      <c r="L151" s="8">
        <f>IF(OR(A151="",F151=""),"",IFERROR(F151-AVERAGE($F$5:$F$204),""))</f>
        <v>0</v>
      </c>
      <c r="M151" s="8">
        <f>IF(OR(A151="",F151=""),"",IF(F151&lt;=Weekly_Budget/21,"Within budget","Over budget"))</f>
        <v>0</v>
      </c>
      <c r="N151" s="8">
        <f>IF(A151="","",IFERROR(INDEX(Recipes!$H$5:$H$204,MATCH(A151,Recipes!$A$5:$A$204,0)),""))</f>
        <v>0</v>
      </c>
      <c r="O151" s="8">
        <f>IF(A151="","",IFERROR(INDEX(Recipes!$S$5:$S$204,MATCH(A151,Recipes!$A$5:$A$204,0)),""))</f>
        <v>0</v>
      </c>
      <c r="P151" s="8">
        <f>IF(A151="","",IFERROR(INDEX(Recipes!$T$5:$T$204,MATCH(A151,Recipes!$A$5:$A$204,0)),""))</f>
        <v>0</v>
      </c>
      <c r="Q151" s="8">
        <f>IF(OR(A151="",F151=""),"",F151*7*3)</f>
        <v>0</v>
      </c>
      <c r="R151" s="25"/>
    </row>
    <row r="152" spans="1:18">
      <c r="A152" s="7"/>
      <c r="B152" s="8">
        <f>IF(A152="","",IFERROR(INDEX(Recipes!$B$5:$B$204,MATCH(A152,Recipes!$A$5:$A$204,0)),""))</f>
        <v>0</v>
      </c>
      <c r="C152" s="8">
        <f>IF(A152="","",IFERROR(INDEX(Recipes!$D$5:$D$204,MATCH(A152,Recipes!$A$5:$A$204,0)),""))</f>
        <v>0</v>
      </c>
      <c r="D152" s="8">
        <f>IF(A152="","",COUNTIFS('Recipe Ingredients'!$A$5:$A$1204,A152))</f>
        <v>0</v>
      </c>
      <c r="E152" s="8">
        <f>IF(A152="","",SUMIFS('Recipe Ingredients'!$H$5:$H$1204,'Recipe Ingredients'!$A$5:$A$1204,A152))</f>
        <v>0</v>
      </c>
      <c r="F152" s="8">
        <f>IF(A152="","",IFERROR(INDEX(Recipes!$Q$5:$Q$204,MATCH(A152,Recipes!$A$5:$A$204,0)),""))</f>
        <v>0</v>
      </c>
      <c r="G152" s="8">
        <f>IF(OR(A152="",N152="",N152=0),"",IFERROR(F152/N152*100,""))</f>
        <v>0</v>
      </c>
      <c r="H152" s="8">
        <f>IF(OR(A152="",F152=""),"",COUNTIFS($F$5:$F$204,"&lt;"&amp;F152)+1)</f>
        <v>0</v>
      </c>
      <c r="I152" s="8">
        <f>IF(A152="","",IFERROR(INDEX('Recipe Ingredients'!$B$5:$B$1204,MATCH(1,INDEX(('Recipe Ingredients'!$A$5:$A$1204=A152)*('Recipe Ingredients'!$H$5:$H$1204=J152),0),0)),""))</f>
        <v>0</v>
      </c>
      <c r="J152" s="8">
        <f>IF(A152="","",SUMPRODUCT(MAX(('Recipe Ingredients'!$A$5:$A$1204=A152)*'Recipe Ingredients'!$H$5:$H$1204)))</f>
        <v>0</v>
      </c>
      <c r="K152" s="8">
        <f>IF(OR(A152="",E152="",E152=0),"",IFERROR(J152/E152,""))</f>
        <v>0</v>
      </c>
      <c r="L152" s="8">
        <f>IF(OR(A152="",F152=""),"",IFERROR(F152-AVERAGE($F$5:$F$204),""))</f>
        <v>0</v>
      </c>
      <c r="M152" s="8">
        <f>IF(OR(A152="",F152=""),"",IF(F152&lt;=Weekly_Budget/21,"Within budget","Over budget"))</f>
        <v>0</v>
      </c>
      <c r="N152" s="8">
        <f>IF(A152="","",IFERROR(INDEX(Recipes!$H$5:$H$204,MATCH(A152,Recipes!$A$5:$A$204,0)),""))</f>
        <v>0</v>
      </c>
      <c r="O152" s="8">
        <f>IF(A152="","",IFERROR(INDEX(Recipes!$S$5:$S$204,MATCH(A152,Recipes!$A$5:$A$204,0)),""))</f>
        <v>0</v>
      </c>
      <c r="P152" s="8">
        <f>IF(A152="","",IFERROR(INDEX(Recipes!$T$5:$T$204,MATCH(A152,Recipes!$A$5:$A$204,0)),""))</f>
        <v>0</v>
      </c>
      <c r="Q152" s="8">
        <f>IF(OR(A152="",F152=""),"",F152*7*3)</f>
        <v>0</v>
      </c>
      <c r="R152" s="25"/>
    </row>
    <row r="153" spans="1:18">
      <c r="A153" s="7"/>
      <c r="B153" s="8">
        <f>IF(A153="","",IFERROR(INDEX(Recipes!$B$5:$B$204,MATCH(A153,Recipes!$A$5:$A$204,0)),""))</f>
        <v>0</v>
      </c>
      <c r="C153" s="8">
        <f>IF(A153="","",IFERROR(INDEX(Recipes!$D$5:$D$204,MATCH(A153,Recipes!$A$5:$A$204,0)),""))</f>
        <v>0</v>
      </c>
      <c r="D153" s="8">
        <f>IF(A153="","",COUNTIFS('Recipe Ingredients'!$A$5:$A$1204,A153))</f>
        <v>0</v>
      </c>
      <c r="E153" s="8">
        <f>IF(A153="","",SUMIFS('Recipe Ingredients'!$H$5:$H$1204,'Recipe Ingredients'!$A$5:$A$1204,A153))</f>
        <v>0</v>
      </c>
      <c r="F153" s="8">
        <f>IF(A153="","",IFERROR(INDEX(Recipes!$Q$5:$Q$204,MATCH(A153,Recipes!$A$5:$A$204,0)),""))</f>
        <v>0</v>
      </c>
      <c r="G153" s="8">
        <f>IF(OR(A153="",N153="",N153=0),"",IFERROR(F153/N153*100,""))</f>
        <v>0</v>
      </c>
      <c r="H153" s="8">
        <f>IF(OR(A153="",F153=""),"",COUNTIFS($F$5:$F$204,"&lt;"&amp;F153)+1)</f>
        <v>0</v>
      </c>
      <c r="I153" s="8">
        <f>IF(A153="","",IFERROR(INDEX('Recipe Ingredients'!$B$5:$B$1204,MATCH(1,INDEX(('Recipe Ingredients'!$A$5:$A$1204=A153)*('Recipe Ingredients'!$H$5:$H$1204=J153),0),0)),""))</f>
        <v>0</v>
      </c>
      <c r="J153" s="8">
        <f>IF(A153="","",SUMPRODUCT(MAX(('Recipe Ingredients'!$A$5:$A$1204=A153)*'Recipe Ingredients'!$H$5:$H$1204)))</f>
        <v>0</v>
      </c>
      <c r="K153" s="8">
        <f>IF(OR(A153="",E153="",E153=0),"",IFERROR(J153/E153,""))</f>
        <v>0</v>
      </c>
      <c r="L153" s="8">
        <f>IF(OR(A153="",F153=""),"",IFERROR(F153-AVERAGE($F$5:$F$204),""))</f>
        <v>0</v>
      </c>
      <c r="M153" s="8">
        <f>IF(OR(A153="",F153=""),"",IF(F153&lt;=Weekly_Budget/21,"Within budget","Over budget"))</f>
        <v>0</v>
      </c>
      <c r="N153" s="8">
        <f>IF(A153="","",IFERROR(INDEX(Recipes!$H$5:$H$204,MATCH(A153,Recipes!$A$5:$A$204,0)),""))</f>
        <v>0</v>
      </c>
      <c r="O153" s="8">
        <f>IF(A153="","",IFERROR(INDEX(Recipes!$S$5:$S$204,MATCH(A153,Recipes!$A$5:$A$204,0)),""))</f>
        <v>0</v>
      </c>
      <c r="P153" s="8">
        <f>IF(A153="","",IFERROR(INDEX(Recipes!$T$5:$T$204,MATCH(A153,Recipes!$A$5:$A$204,0)),""))</f>
        <v>0</v>
      </c>
      <c r="Q153" s="8">
        <f>IF(OR(A153="",F153=""),"",F153*7*3)</f>
        <v>0</v>
      </c>
      <c r="R153" s="25"/>
    </row>
    <row r="154" spans="1:18">
      <c r="A154" s="7"/>
      <c r="B154" s="8">
        <f>IF(A154="","",IFERROR(INDEX(Recipes!$B$5:$B$204,MATCH(A154,Recipes!$A$5:$A$204,0)),""))</f>
        <v>0</v>
      </c>
      <c r="C154" s="8">
        <f>IF(A154="","",IFERROR(INDEX(Recipes!$D$5:$D$204,MATCH(A154,Recipes!$A$5:$A$204,0)),""))</f>
        <v>0</v>
      </c>
      <c r="D154" s="8">
        <f>IF(A154="","",COUNTIFS('Recipe Ingredients'!$A$5:$A$1204,A154))</f>
        <v>0</v>
      </c>
      <c r="E154" s="8">
        <f>IF(A154="","",SUMIFS('Recipe Ingredients'!$H$5:$H$1204,'Recipe Ingredients'!$A$5:$A$1204,A154))</f>
        <v>0</v>
      </c>
      <c r="F154" s="8">
        <f>IF(A154="","",IFERROR(INDEX(Recipes!$Q$5:$Q$204,MATCH(A154,Recipes!$A$5:$A$204,0)),""))</f>
        <v>0</v>
      </c>
      <c r="G154" s="8">
        <f>IF(OR(A154="",N154="",N154=0),"",IFERROR(F154/N154*100,""))</f>
        <v>0</v>
      </c>
      <c r="H154" s="8">
        <f>IF(OR(A154="",F154=""),"",COUNTIFS($F$5:$F$204,"&lt;"&amp;F154)+1)</f>
        <v>0</v>
      </c>
      <c r="I154" s="8">
        <f>IF(A154="","",IFERROR(INDEX('Recipe Ingredients'!$B$5:$B$1204,MATCH(1,INDEX(('Recipe Ingredients'!$A$5:$A$1204=A154)*('Recipe Ingredients'!$H$5:$H$1204=J154),0),0)),""))</f>
        <v>0</v>
      </c>
      <c r="J154" s="8">
        <f>IF(A154="","",SUMPRODUCT(MAX(('Recipe Ingredients'!$A$5:$A$1204=A154)*'Recipe Ingredients'!$H$5:$H$1204)))</f>
        <v>0</v>
      </c>
      <c r="K154" s="8">
        <f>IF(OR(A154="",E154="",E154=0),"",IFERROR(J154/E154,""))</f>
        <v>0</v>
      </c>
      <c r="L154" s="8">
        <f>IF(OR(A154="",F154=""),"",IFERROR(F154-AVERAGE($F$5:$F$204),""))</f>
        <v>0</v>
      </c>
      <c r="M154" s="8">
        <f>IF(OR(A154="",F154=""),"",IF(F154&lt;=Weekly_Budget/21,"Within budget","Over budget"))</f>
        <v>0</v>
      </c>
      <c r="N154" s="8">
        <f>IF(A154="","",IFERROR(INDEX(Recipes!$H$5:$H$204,MATCH(A154,Recipes!$A$5:$A$204,0)),""))</f>
        <v>0</v>
      </c>
      <c r="O154" s="8">
        <f>IF(A154="","",IFERROR(INDEX(Recipes!$S$5:$S$204,MATCH(A154,Recipes!$A$5:$A$204,0)),""))</f>
        <v>0</v>
      </c>
      <c r="P154" s="8">
        <f>IF(A154="","",IFERROR(INDEX(Recipes!$T$5:$T$204,MATCH(A154,Recipes!$A$5:$A$204,0)),""))</f>
        <v>0</v>
      </c>
      <c r="Q154" s="8">
        <f>IF(OR(A154="",F154=""),"",F154*7*3)</f>
        <v>0</v>
      </c>
      <c r="R154" s="25"/>
    </row>
    <row r="155" spans="1:18">
      <c r="A155" s="7"/>
      <c r="B155" s="8">
        <f>IF(A155="","",IFERROR(INDEX(Recipes!$B$5:$B$204,MATCH(A155,Recipes!$A$5:$A$204,0)),""))</f>
        <v>0</v>
      </c>
      <c r="C155" s="8">
        <f>IF(A155="","",IFERROR(INDEX(Recipes!$D$5:$D$204,MATCH(A155,Recipes!$A$5:$A$204,0)),""))</f>
        <v>0</v>
      </c>
      <c r="D155" s="8">
        <f>IF(A155="","",COUNTIFS('Recipe Ingredients'!$A$5:$A$1204,A155))</f>
        <v>0</v>
      </c>
      <c r="E155" s="8">
        <f>IF(A155="","",SUMIFS('Recipe Ingredients'!$H$5:$H$1204,'Recipe Ingredients'!$A$5:$A$1204,A155))</f>
        <v>0</v>
      </c>
      <c r="F155" s="8">
        <f>IF(A155="","",IFERROR(INDEX(Recipes!$Q$5:$Q$204,MATCH(A155,Recipes!$A$5:$A$204,0)),""))</f>
        <v>0</v>
      </c>
      <c r="G155" s="8">
        <f>IF(OR(A155="",N155="",N155=0),"",IFERROR(F155/N155*100,""))</f>
        <v>0</v>
      </c>
      <c r="H155" s="8">
        <f>IF(OR(A155="",F155=""),"",COUNTIFS($F$5:$F$204,"&lt;"&amp;F155)+1)</f>
        <v>0</v>
      </c>
      <c r="I155" s="8">
        <f>IF(A155="","",IFERROR(INDEX('Recipe Ingredients'!$B$5:$B$1204,MATCH(1,INDEX(('Recipe Ingredients'!$A$5:$A$1204=A155)*('Recipe Ingredients'!$H$5:$H$1204=J155),0),0)),""))</f>
        <v>0</v>
      </c>
      <c r="J155" s="8">
        <f>IF(A155="","",SUMPRODUCT(MAX(('Recipe Ingredients'!$A$5:$A$1204=A155)*'Recipe Ingredients'!$H$5:$H$1204)))</f>
        <v>0</v>
      </c>
      <c r="K155" s="8">
        <f>IF(OR(A155="",E155="",E155=0),"",IFERROR(J155/E155,""))</f>
        <v>0</v>
      </c>
      <c r="L155" s="8">
        <f>IF(OR(A155="",F155=""),"",IFERROR(F155-AVERAGE($F$5:$F$204),""))</f>
        <v>0</v>
      </c>
      <c r="M155" s="8">
        <f>IF(OR(A155="",F155=""),"",IF(F155&lt;=Weekly_Budget/21,"Within budget","Over budget"))</f>
        <v>0</v>
      </c>
      <c r="N155" s="8">
        <f>IF(A155="","",IFERROR(INDEX(Recipes!$H$5:$H$204,MATCH(A155,Recipes!$A$5:$A$204,0)),""))</f>
        <v>0</v>
      </c>
      <c r="O155" s="8">
        <f>IF(A155="","",IFERROR(INDEX(Recipes!$S$5:$S$204,MATCH(A155,Recipes!$A$5:$A$204,0)),""))</f>
        <v>0</v>
      </c>
      <c r="P155" s="8">
        <f>IF(A155="","",IFERROR(INDEX(Recipes!$T$5:$T$204,MATCH(A155,Recipes!$A$5:$A$204,0)),""))</f>
        <v>0</v>
      </c>
      <c r="Q155" s="8">
        <f>IF(OR(A155="",F155=""),"",F155*7*3)</f>
        <v>0</v>
      </c>
      <c r="R155" s="25"/>
    </row>
    <row r="156" spans="1:18">
      <c r="A156" s="7"/>
      <c r="B156" s="8">
        <f>IF(A156="","",IFERROR(INDEX(Recipes!$B$5:$B$204,MATCH(A156,Recipes!$A$5:$A$204,0)),""))</f>
        <v>0</v>
      </c>
      <c r="C156" s="8">
        <f>IF(A156="","",IFERROR(INDEX(Recipes!$D$5:$D$204,MATCH(A156,Recipes!$A$5:$A$204,0)),""))</f>
        <v>0</v>
      </c>
      <c r="D156" s="8">
        <f>IF(A156="","",COUNTIFS('Recipe Ingredients'!$A$5:$A$1204,A156))</f>
        <v>0</v>
      </c>
      <c r="E156" s="8">
        <f>IF(A156="","",SUMIFS('Recipe Ingredients'!$H$5:$H$1204,'Recipe Ingredients'!$A$5:$A$1204,A156))</f>
        <v>0</v>
      </c>
      <c r="F156" s="8">
        <f>IF(A156="","",IFERROR(INDEX(Recipes!$Q$5:$Q$204,MATCH(A156,Recipes!$A$5:$A$204,0)),""))</f>
        <v>0</v>
      </c>
      <c r="G156" s="8">
        <f>IF(OR(A156="",N156="",N156=0),"",IFERROR(F156/N156*100,""))</f>
        <v>0</v>
      </c>
      <c r="H156" s="8">
        <f>IF(OR(A156="",F156=""),"",COUNTIFS($F$5:$F$204,"&lt;"&amp;F156)+1)</f>
        <v>0</v>
      </c>
      <c r="I156" s="8">
        <f>IF(A156="","",IFERROR(INDEX('Recipe Ingredients'!$B$5:$B$1204,MATCH(1,INDEX(('Recipe Ingredients'!$A$5:$A$1204=A156)*('Recipe Ingredients'!$H$5:$H$1204=J156),0),0)),""))</f>
        <v>0</v>
      </c>
      <c r="J156" s="8">
        <f>IF(A156="","",SUMPRODUCT(MAX(('Recipe Ingredients'!$A$5:$A$1204=A156)*'Recipe Ingredients'!$H$5:$H$1204)))</f>
        <v>0</v>
      </c>
      <c r="K156" s="8">
        <f>IF(OR(A156="",E156="",E156=0),"",IFERROR(J156/E156,""))</f>
        <v>0</v>
      </c>
      <c r="L156" s="8">
        <f>IF(OR(A156="",F156=""),"",IFERROR(F156-AVERAGE($F$5:$F$204),""))</f>
        <v>0</v>
      </c>
      <c r="M156" s="8">
        <f>IF(OR(A156="",F156=""),"",IF(F156&lt;=Weekly_Budget/21,"Within budget","Over budget"))</f>
        <v>0</v>
      </c>
      <c r="N156" s="8">
        <f>IF(A156="","",IFERROR(INDEX(Recipes!$H$5:$H$204,MATCH(A156,Recipes!$A$5:$A$204,0)),""))</f>
        <v>0</v>
      </c>
      <c r="O156" s="8">
        <f>IF(A156="","",IFERROR(INDEX(Recipes!$S$5:$S$204,MATCH(A156,Recipes!$A$5:$A$204,0)),""))</f>
        <v>0</v>
      </c>
      <c r="P156" s="8">
        <f>IF(A156="","",IFERROR(INDEX(Recipes!$T$5:$T$204,MATCH(A156,Recipes!$A$5:$A$204,0)),""))</f>
        <v>0</v>
      </c>
      <c r="Q156" s="8">
        <f>IF(OR(A156="",F156=""),"",F156*7*3)</f>
        <v>0</v>
      </c>
      <c r="R156" s="25"/>
    </row>
    <row r="157" spans="1:18">
      <c r="A157" s="7"/>
      <c r="B157" s="8">
        <f>IF(A157="","",IFERROR(INDEX(Recipes!$B$5:$B$204,MATCH(A157,Recipes!$A$5:$A$204,0)),""))</f>
        <v>0</v>
      </c>
      <c r="C157" s="8">
        <f>IF(A157="","",IFERROR(INDEX(Recipes!$D$5:$D$204,MATCH(A157,Recipes!$A$5:$A$204,0)),""))</f>
        <v>0</v>
      </c>
      <c r="D157" s="8">
        <f>IF(A157="","",COUNTIFS('Recipe Ingredients'!$A$5:$A$1204,A157))</f>
        <v>0</v>
      </c>
      <c r="E157" s="8">
        <f>IF(A157="","",SUMIFS('Recipe Ingredients'!$H$5:$H$1204,'Recipe Ingredients'!$A$5:$A$1204,A157))</f>
        <v>0</v>
      </c>
      <c r="F157" s="8">
        <f>IF(A157="","",IFERROR(INDEX(Recipes!$Q$5:$Q$204,MATCH(A157,Recipes!$A$5:$A$204,0)),""))</f>
        <v>0</v>
      </c>
      <c r="G157" s="8">
        <f>IF(OR(A157="",N157="",N157=0),"",IFERROR(F157/N157*100,""))</f>
        <v>0</v>
      </c>
      <c r="H157" s="8">
        <f>IF(OR(A157="",F157=""),"",COUNTIFS($F$5:$F$204,"&lt;"&amp;F157)+1)</f>
        <v>0</v>
      </c>
      <c r="I157" s="8">
        <f>IF(A157="","",IFERROR(INDEX('Recipe Ingredients'!$B$5:$B$1204,MATCH(1,INDEX(('Recipe Ingredients'!$A$5:$A$1204=A157)*('Recipe Ingredients'!$H$5:$H$1204=J157),0),0)),""))</f>
        <v>0</v>
      </c>
      <c r="J157" s="8">
        <f>IF(A157="","",SUMPRODUCT(MAX(('Recipe Ingredients'!$A$5:$A$1204=A157)*'Recipe Ingredients'!$H$5:$H$1204)))</f>
        <v>0</v>
      </c>
      <c r="K157" s="8">
        <f>IF(OR(A157="",E157="",E157=0),"",IFERROR(J157/E157,""))</f>
        <v>0</v>
      </c>
      <c r="L157" s="8">
        <f>IF(OR(A157="",F157=""),"",IFERROR(F157-AVERAGE($F$5:$F$204),""))</f>
        <v>0</v>
      </c>
      <c r="M157" s="8">
        <f>IF(OR(A157="",F157=""),"",IF(F157&lt;=Weekly_Budget/21,"Within budget","Over budget"))</f>
        <v>0</v>
      </c>
      <c r="N157" s="8">
        <f>IF(A157="","",IFERROR(INDEX(Recipes!$H$5:$H$204,MATCH(A157,Recipes!$A$5:$A$204,0)),""))</f>
        <v>0</v>
      </c>
      <c r="O157" s="8">
        <f>IF(A157="","",IFERROR(INDEX(Recipes!$S$5:$S$204,MATCH(A157,Recipes!$A$5:$A$204,0)),""))</f>
        <v>0</v>
      </c>
      <c r="P157" s="8">
        <f>IF(A157="","",IFERROR(INDEX(Recipes!$T$5:$T$204,MATCH(A157,Recipes!$A$5:$A$204,0)),""))</f>
        <v>0</v>
      </c>
      <c r="Q157" s="8">
        <f>IF(OR(A157="",F157=""),"",F157*7*3)</f>
        <v>0</v>
      </c>
      <c r="R157" s="25"/>
    </row>
    <row r="158" spans="1:18">
      <c r="A158" s="7"/>
      <c r="B158" s="8">
        <f>IF(A158="","",IFERROR(INDEX(Recipes!$B$5:$B$204,MATCH(A158,Recipes!$A$5:$A$204,0)),""))</f>
        <v>0</v>
      </c>
      <c r="C158" s="8">
        <f>IF(A158="","",IFERROR(INDEX(Recipes!$D$5:$D$204,MATCH(A158,Recipes!$A$5:$A$204,0)),""))</f>
        <v>0</v>
      </c>
      <c r="D158" s="8">
        <f>IF(A158="","",COUNTIFS('Recipe Ingredients'!$A$5:$A$1204,A158))</f>
        <v>0</v>
      </c>
      <c r="E158" s="8">
        <f>IF(A158="","",SUMIFS('Recipe Ingredients'!$H$5:$H$1204,'Recipe Ingredients'!$A$5:$A$1204,A158))</f>
        <v>0</v>
      </c>
      <c r="F158" s="8">
        <f>IF(A158="","",IFERROR(INDEX(Recipes!$Q$5:$Q$204,MATCH(A158,Recipes!$A$5:$A$204,0)),""))</f>
        <v>0</v>
      </c>
      <c r="G158" s="8">
        <f>IF(OR(A158="",N158="",N158=0),"",IFERROR(F158/N158*100,""))</f>
        <v>0</v>
      </c>
      <c r="H158" s="8">
        <f>IF(OR(A158="",F158=""),"",COUNTIFS($F$5:$F$204,"&lt;"&amp;F158)+1)</f>
        <v>0</v>
      </c>
      <c r="I158" s="8">
        <f>IF(A158="","",IFERROR(INDEX('Recipe Ingredients'!$B$5:$B$1204,MATCH(1,INDEX(('Recipe Ingredients'!$A$5:$A$1204=A158)*('Recipe Ingredients'!$H$5:$H$1204=J158),0),0)),""))</f>
        <v>0</v>
      </c>
      <c r="J158" s="8">
        <f>IF(A158="","",SUMPRODUCT(MAX(('Recipe Ingredients'!$A$5:$A$1204=A158)*'Recipe Ingredients'!$H$5:$H$1204)))</f>
        <v>0</v>
      </c>
      <c r="K158" s="8">
        <f>IF(OR(A158="",E158="",E158=0),"",IFERROR(J158/E158,""))</f>
        <v>0</v>
      </c>
      <c r="L158" s="8">
        <f>IF(OR(A158="",F158=""),"",IFERROR(F158-AVERAGE($F$5:$F$204),""))</f>
        <v>0</v>
      </c>
      <c r="M158" s="8">
        <f>IF(OR(A158="",F158=""),"",IF(F158&lt;=Weekly_Budget/21,"Within budget","Over budget"))</f>
        <v>0</v>
      </c>
      <c r="N158" s="8">
        <f>IF(A158="","",IFERROR(INDEX(Recipes!$H$5:$H$204,MATCH(A158,Recipes!$A$5:$A$204,0)),""))</f>
        <v>0</v>
      </c>
      <c r="O158" s="8">
        <f>IF(A158="","",IFERROR(INDEX(Recipes!$S$5:$S$204,MATCH(A158,Recipes!$A$5:$A$204,0)),""))</f>
        <v>0</v>
      </c>
      <c r="P158" s="8">
        <f>IF(A158="","",IFERROR(INDEX(Recipes!$T$5:$T$204,MATCH(A158,Recipes!$A$5:$A$204,0)),""))</f>
        <v>0</v>
      </c>
      <c r="Q158" s="8">
        <f>IF(OR(A158="",F158=""),"",F158*7*3)</f>
        <v>0</v>
      </c>
      <c r="R158" s="25"/>
    </row>
    <row r="159" spans="1:18">
      <c r="A159" s="7"/>
      <c r="B159" s="8">
        <f>IF(A159="","",IFERROR(INDEX(Recipes!$B$5:$B$204,MATCH(A159,Recipes!$A$5:$A$204,0)),""))</f>
        <v>0</v>
      </c>
      <c r="C159" s="8">
        <f>IF(A159="","",IFERROR(INDEX(Recipes!$D$5:$D$204,MATCH(A159,Recipes!$A$5:$A$204,0)),""))</f>
        <v>0</v>
      </c>
      <c r="D159" s="8">
        <f>IF(A159="","",COUNTIFS('Recipe Ingredients'!$A$5:$A$1204,A159))</f>
        <v>0</v>
      </c>
      <c r="E159" s="8">
        <f>IF(A159="","",SUMIFS('Recipe Ingredients'!$H$5:$H$1204,'Recipe Ingredients'!$A$5:$A$1204,A159))</f>
        <v>0</v>
      </c>
      <c r="F159" s="8">
        <f>IF(A159="","",IFERROR(INDEX(Recipes!$Q$5:$Q$204,MATCH(A159,Recipes!$A$5:$A$204,0)),""))</f>
        <v>0</v>
      </c>
      <c r="G159" s="8">
        <f>IF(OR(A159="",N159="",N159=0),"",IFERROR(F159/N159*100,""))</f>
        <v>0</v>
      </c>
      <c r="H159" s="8">
        <f>IF(OR(A159="",F159=""),"",COUNTIFS($F$5:$F$204,"&lt;"&amp;F159)+1)</f>
        <v>0</v>
      </c>
      <c r="I159" s="8">
        <f>IF(A159="","",IFERROR(INDEX('Recipe Ingredients'!$B$5:$B$1204,MATCH(1,INDEX(('Recipe Ingredients'!$A$5:$A$1204=A159)*('Recipe Ingredients'!$H$5:$H$1204=J159),0),0)),""))</f>
        <v>0</v>
      </c>
      <c r="J159" s="8">
        <f>IF(A159="","",SUMPRODUCT(MAX(('Recipe Ingredients'!$A$5:$A$1204=A159)*'Recipe Ingredients'!$H$5:$H$1204)))</f>
        <v>0</v>
      </c>
      <c r="K159" s="8">
        <f>IF(OR(A159="",E159="",E159=0),"",IFERROR(J159/E159,""))</f>
        <v>0</v>
      </c>
      <c r="L159" s="8">
        <f>IF(OR(A159="",F159=""),"",IFERROR(F159-AVERAGE($F$5:$F$204),""))</f>
        <v>0</v>
      </c>
      <c r="M159" s="8">
        <f>IF(OR(A159="",F159=""),"",IF(F159&lt;=Weekly_Budget/21,"Within budget","Over budget"))</f>
        <v>0</v>
      </c>
      <c r="N159" s="8">
        <f>IF(A159="","",IFERROR(INDEX(Recipes!$H$5:$H$204,MATCH(A159,Recipes!$A$5:$A$204,0)),""))</f>
        <v>0</v>
      </c>
      <c r="O159" s="8">
        <f>IF(A159="","",IFERROR(INDEX(Recipes!$S$5:$S$204,MATCH(A159,Recipes!$A$5:$A$204,0)),""))</f>
        <v>0</v>
      </c>
      <c r="P159" s="8">
        <f>IF(A159="","",IFERROR(INDEX(Recipes!$T$5:$T$204,MATCH(A159,Recipes!$A$5:$A$204,0)),""))</f>
        <v>0</v>
      </c>
      <c r="Q159" s="8">
        <f>IF(OR(A159="",F159=""),"",F159*7*3)</f>
        <v>0</v>
      </c>
      <c r="R159" s="25"/>
    </row>
    <row r="160" spans="1:18">
      <c r="A160" s="7"/>
      <c r="B160" s="8">
        <f>IF(A160="","",IFERROR(INDEX(Recipes!$B$5:$B$204,MATCH(A160,Recipes!$A$5:$A$204,0)),""))</f>
        <v>0</v>
      </c>
      <c r="C160" s="8">
        <f>IF(A160="","",IFERROR(INDEX(Recipes!$D$5:$D$204,MATCH(A160,Recipes!$A$5:$A$204,0)),""))</f>
        <v>0</v>
      </c>
      <c r="D160" s="8">
        <f>IF(A160="","",COUNTIFS('Recipe Ingredients'!$A$5:$A$1204,A160))</f>
        <v>0</v>
      </c>
      <c r="E160" s="8">
        <f>IF(A160="","",SUMIFS('Recipe Ingredients'!$H$5:$H$1204,'Recipe Ingredients'!$A$5:$A$1204,A160))</f>
        <v>0</v>
      </c>
      <c r="F160" s="8">
        <f>IF(A160="","",IFERROR(INDEX(Recipes!$Q$5:$Q$204,MATCH(A160,Recipes!$A$5:$A$204,0)),""))</f>
        <v>0</v>
      </c>
      <c r="G160" s="8">
        <f>IF(OR(A160="",N160="",N160=0),"",IFERROR(F160/N160*100,""))</f>
        <v>0</v>
      </c>
      <c r="H160" s="8">
        <f>IF(OR(A160="",F160=""),"",COUNTIFS($F$5:$F$204,"&lt;"&amp;F160)+1)</f>
        <v>0</v>
      </c>
      <c r="I160" s="8">
        <f>IF(A160="","",IFERROR(INDEX('Recipe Ingredients'!$B$5:$B$1204,MATCH(1,INDEX(('Recipe Ingredients'!$A$5:$A$1204=A160)*('Recipe Ingredients'!$H$5:$H$1204=J160),0),0)),""))</f>
        <v>0</v>
      </c>
      <c r="J160" s="8">
        <f>IF(A160="","",SUMPRODUCT(MAX(('Recipe Ingredients'!$A$5:$A$1204=A160)*'Recipe Ingredients'!$H$5:$H$1204)))</f>
        <v>0</v>
      </c>
      <c r="K160" s="8">
        <f>IF(OR(A160="",E160="",E160=0),"",IFERROR(J160/E160,""))</f>
        <v>0</v>
      </c>
      <c r="L160" s="8">
        <f>IF(OR(A160="",F160=""),"",IFERROR(F160-AVERAGE($F$5:$F$204),""))</f>
        <v>0</v>
      </c>
      <c r="M160" s="8">
        <f>IF(OR(A160="",F160=""),"",IF(F160&lt;=Weekly_Budget/21,"Within budget","Over budget"))</f>
        <v>0</v>
      </c>
      <c r="N160" s="8">
        <f>IF(A160="","",IFERROR(INDEX(Recipes!$H$5:$H$204,MATCH(A160,Recipes!$A$5:$A$204,0)),""))</f>
        <v>0</v>
      </c>
      <c r="O160" s="8">
        <f>IF(A160="","",IFERROR(INDEX(Recipes!$S$5:$S$204,MATCH(A160,Recipes!$A$5:$A$204,0)),""))</f>
        <v>0</v>
      </c>
      <c r="P160" s="8">
        <f>IF(A160="","",IFERROR(INDEX(Recipes!$T$5:$T$204,MATCH(A160,Recipes!$A$5:$A$204,0)),""))</f>
        <v>0</v>
      </c>
      <c r="Q160" s="8">
        <f>IF(OR(A160="",F160=""),"",F160*7*3)</f>
        <v>0</v>
      </c>
      <c r="R160" s="25"/>
    </row>
    <row r="161" spans="1:18">
      <c r="A161" s="7"/>
      <c r="B161" s="8">
        <f>IF(A161="","",IFERROR(INDEX(Recipes!$B$5:$B$204,MATCH(A161,Recipes!$A$5:$A$204,0)),""))</f>
        <v>0</v>
      </c>
      <c r="C161" s="8">
        <f>IF(A161="","",IFERROR(INDEX(Recipes!$D$5:$D$204,MATCH(A161,Recipes!$A$5:$A$204,0)),""))</f>
        <v>0</v>
      </c>
      <c r="D161" s="8">
        <f>IF(A161="","",COUNTIFS('Recipe Ingredients'!$A$5:$A$1204,A161))</f>
        <v>0</v>
      </c>
      <c r="E161" s="8">
        <f>IF(A161="","",SUMIFS('Recipe Ingredients'!$H$5:$H$1204,'Recipe Ingredients'!$A$5:$A$1204,A161))</f>
        <v>0</v>
      </c>
      <c r="F161" s="8">
        <f>IF(A161="","",IFERROR(INDEX(Recipes!$Q$5:$Q$204,MATCH(A161,Recipes!$A$5:$A$204,0)),""))</f>
        <v>0</v>
      </c>
      <c r="G161" s="8">
        <f>IF(OR(A161="",N161="",N161=0),"",IFERROR(F161/N161*100,""))</f>
        <v>0</v>
      </c>
      <c r="H161" s="8">
        <f>IF(OR(A161="",F161=""),"",COUNTIFS($F$5:$F$204,"&lt;"&amp;F161)+1)</f>
        <v>0</v>
      </c>
      <c r="I161" s="8">
        <f>IF(A161="","",IFERROR(INDEX('Recipe Ingredients'!$B$5:$B$1204,MATCH(1,INDEX(('Recipe Ingredients'!$A$5:$A$1204=A161)*('Recipe Ingredients'!$H$5:$H$1204=J161),0),0)),""))</f>
        <v>0</v>
      </c>
      <c r="J161" s="8">
        <f>IF(A161="","",SUMPRODUCT(MAX(('Recipe Ingredients'!$A$5:$A$1204=A161)*'Recipe Ingredients'!$H$5:$H$1204)))</f>
        <v>0</v>
      </c>
      <c r="K161" s="8">
        <f>IF(OR(A161="",E161="",E161=0),"",IFERROR(J161/E161,""))</f>
        <v>0</v>
      </c>
      <c r="L161" s="8">
        <f>IF(OR(A161="",F161=""),"",IFERROR(F161-AVERAGE($F$5:$F$204),""))</f>
        <v>0</v>
      </c>
      <c r="M161" s="8">
        <f>IF(OR(A161="",F161=""),"",IF(F161&lt;=Weekly_Budget/21,"Within budget","Over budget"))</f>
        <v>0</v>
      </c>
      <c r="N161" s="8">
        <f>IF(A161="","",IFERROR(INDEX(Recipes!$H$5:$H$204,MATCH(A161,Recipes!$A$5:$A$204,0)),""))</f>
        <v>0</v>
      </c>
      <c r="O161" s="8">
        <f>IF(A161="","",IFERROR(INDEX(Recipes!$S$5:$S$204,MATCH(A161,Recipes!$A$5:$A$204,0)),""))</f>
        <v>0</v>
      </c>
      <c r="P161" s="8">
        <f>IF(A161="","",IFERROR(INDEX(Recipes!$T$5:$T$204,MATCH(A161,Recipes!$A$5:$A$204,0)),""))</f>
        <v>0</v>
      </c>
      <c r="Q161" s="8">
        <f>IF(OR(A161="",F161=""),"",F161*7*3)</f>
        <v>0</v>
      </c>
      <c r="R161" s="25"/>
    </row>
    <row r="162" spans="1:18">
      <c r="A162" s="7"/>
      <c r="B162" s="8">
        <f>IF(A162="","",IFERROR(INDEX(Recipes!$B$5:$B$204,MATCH(A162,Recipes!$A$5:$A$204,0)),""))</f>
        <v>0</v>
      </c>
      <c r="C162" s="8">
        <f>IF(A162="","",IFERROR(INDEX(Recipes!$D$5:$D$204,MATCH(A162,Recipes!$A$5:$A$204,0)),""))</f>
        <v>0</v>
      </c>
      <c r="D162" s="8">
        <f>IF(A162="","",COUNTIFS('Recipe Ingredients'!$A$5:$A$1204,A162))</f>
        <v>0</v>
      </c>
      <c r="E162" s="8">
        <f>IF(A162="","",SUMIFS('Recipe Ingredients'!$H$5:$H$1204,'Recipe Ingredients'!$A$5:$A$1204,A162))</f>
        <v>0</v>
      </c>
      <c r="F162" s="8">
        <f>IF(A162="","",IFERROR(INDEX(Recipes!$Q$5:$Q$204,MATCH(A162,Recipes!$A$5:$A$204,0)),""))</f>
        <v>0</v>
      </c>
      <c r="G162" s="8">
        <f>IF(OR(A162="",N162="",N162=0),"",IFERROR(F162/N162*100,""))</f>
        <v>0</v>
      </c>
      <c r="H162" s="8">
        <f>IF(OR(A162="",F162=""),"",COUNTIFS($F$5:$F$204,"&lt;"&amp;F162)+1)</f>
        <v>0</v>
      </c>
      <c r="I162" s="8">
        <f>IF(A162="","",IFERROR(INDEX('Recipe Ingredients'!$B$5:$B$1204,MATCH(1,INDEX(('Recipe Ingredients'!$A$5:$A$1204=A162)*('Recipe Ingredients'!$H$5:$H$1204=J162),0),0)),""))</f>
        <v>0</v>
      </c>
      <c r="J162" s="8">
        <f>IF(A162="","",SUMPRODUCT(MAX(('Recipe Ingredients'!$A$5:$A$1204=A162)*'Recipe Ingredients'!$H$5:$H$1204)))</f>
        <v>0</v>
      </c>
      <c r="K162" s="8">
        <f>IF(OR(A162="",E162="",E162=0),"",IFERROR(J162/E162,""))</f>
        <v>0</v>
      </c>
      <c r="L162" s="8">
        <f>IF(OR(A162="",F162=""),"",IFERROR(F162-AVERAGE($F$5:$F$204),""))</f>
        <v>0</v>
      </c>
      <c r="M162" s="8">
        <f>IF(OR(A162="",F162=""),"",IF(F162&lt;=Weekly_Budget/21,"Within budget","Over budget"))</f>
        <v>0</v>
      </c>
      <c r="N162" s="8">
        <f>IF(A162="","",IFERROR(INDEX(Recipes!$H$5:$H$204,MATCH(A162,Recipes!$A$5:$A$204,0)),""))</f>
        <v>0</v>
      </c>
      <c r="O162" s="8">
        <f>IF(A162="","",IFERROR(INDEX(Recipes!$S$5:$S$204,MATCH(A162,Recipes!$A$5:$A$204,0)),""))</f>
        <v>0</v>
      </c>
      <c r="P162" s="8">
        <f>IF(A162="","",IFERROR(INDEX(Recipes!$T$5:$T$204,MATCH(A162,Recipes!$A$5:$A$204,0)),""))</f>
        <v>0</v>
      </c>
      <c r="Q162" s="8">
        <f>IF(OR(A162="",F162=""),"",F162*7*3)</f>
        <v>0</v>
      </c>
      <c r="R162" s="25"/>
    </row>
    <row r="163" spans="1:18">
      <c r="A163" s="7"/>
      <c r="B163" s="8">
        <f>IF(A163="","",IFERROR(INDEX(Recipes!$B$5:$B$204,MATCH(A163,Recipes!$A$5:$A$204,0)),""))</f>
        <v>0</v>
      </c>
      <c r="C163" s="8">
        <f>IF(A163="","",IFERROR(INDEX(Recipes!$D$5:$D$204,MATCH(A163,Recipes!$A$5:$A$204,0)),""))</f>
        <v>0</v>
      </c>
      <c r="D163" s="8">
        <f>IF(A163="","",COUNTIFS('Recipe Ingredients'!$A$5:$A$1204,A163))</f>
        <v>0</v>
      </c>
      <c r="E163" s="8">
        <f>IF(A163="","",SUMIFS('Recipe Ingredients'!$H$5:$H$1204,'Recipe Ingredients'!$A$5:$A$1204,A163))</f>
        <v>0</v>
      </c>
      <c r="F163" s="8">
        <f>IF(A163="","",IFERROR(INDEX(Recipes!$Q$5:$Q$204,MATCH(A163,Recipes!$A$5:$A$204,0)),""))</f>
        <v>0</v>
      </c>
      <c r="G163" s="8">
        <f>IF(OR(A163="",N163="",N163=0),"",IFERROR(F163/N163*100,""))</f>
        <v>0</v>
      </c>
      <c r="H163" s="8">
        <f>IF(OR(A163="",F163=""),"",COUNTIFS($F$5:$F$204,"&lt;"&amp;F163)+1)</f>
        <v>0</v>
      </c>
      <c r="I163" s="8">
        <f>IF(A163="","",IFERROR(INDEX('Recipe Ingredients'!$B$5:$B$1204,MATCH(1,INDEX(('Recipe Ingredients'!$A$5:$A$1204=A163)*('Recipe Ingredients'!$H$5:$H$1204=J163),0),0)),""))</f>
        <v>0</v>
      </c>
      <c r="J163" s="8">
        <f>IF(A163="","",SUMPRODUCT(MAX(('Recipe Ingredients'!$A$5:$A$1204=A163)*'Recipe Ingredients'!$H$5:$H$1204)))</f>
        <v>0</v>
      </c>
      <c r="K163" s="8">
        <f>IF(OR(A163="",E163="",E163=0),"",IFERROR(J163/E163,""))</f>
        <v>0</v>
      </c>
      <c r="L163" s="8">
        <f>IF(OR(A163="",F163=""),"",IFERROR(F163-AVERAGE($F$5:$F$204),""))</f>
        <v>0</v>
      </c>
      <c r="M163" s="8">
        <f>IF(OR(A163="",F163=""),"",IF(F163&lt;=Weekly_Budget/21,"Within budget","Over budget"))</f>
        <v>0</v>
      </c>
      <c r="N163" s="8">
        <f>IF(A163="","",IFERROR(INDEX(Recipes!$H$5:$H$204,MATCH(A163,Recipes!$A$5:$A$204,0)),""))</f>
        <v>0</v>
      </c>
      <c r="O163" s="8">
        <f>IF(A163="","",IFERROR(INDEX(Recipes!$S$5:$S$204,MATCH(A163,Recipes!$A$5:$A$204,0)),""))</f>
        <v>0</v>
      </c>
      <c r="P163" s="8">
        <f>IF(A163="","",IFERROR(INDEX(Recipes!$T$5:$T$204,MATCH(A163,Recipes!$A$5:$A$204,0)),""))</f>
        <v>0</v>
      </c>
      <c r="Q163" s="8">
        <f>IF(OR(A163="",F163=""),"",F163*7*3)</f>
        <v>0</v>
      </c>
      <c r="R163" s="25"/>
    </row>
    <row r="164" spans="1:18">
      <c r="A164" s="7"/>
      <c r="B164" s="8">
        <f>IF(A164="","",IFERROR(INDEX(Recipes!$B$5:$B$204,MATCH(A164,Recipes!$A$5:$A$204,0)),""))</f>
        <v>0</v>
      </c>
      <c r="C164" s="8">
        <f>IF(A164="","",IFERROR(INDEX(Recipes!$D$5:$D$204,MATCH(A164,Recipes!$A$5:$A$204,0)),""))</f>
        <v>0</v>
      </c>
      <c r="D164" s="8">
        <f>IF(A164="","",COUNTIFS('Recipe Ingredients'!$A$5:$A$1204,A164))</f>
        <v>0</v>
      </c>
      <c r="E164" s="8">
        <f>IF(A164="","",SUMIFS('Recipe Ingredients'!$H$5:$H$1204,'Recipe Ingredients'!$A$5:$A$1204,A164))</f>
        <v>0</v>
      </c>
      <c r="F164" s="8">
        <f>IF(A164="","",IFERROR(INDEX(Recipes!$Q$5:$Q$204,MATCH(A164,Recipes!$A$5:$A$204,0)),""))</f>
        <v>0</v>
      </c>
      <c r="G164" s="8">
        <f>IF(OR(A164="",N164="",N164=0),"",IFERROR(F164/N164*100,""))</f>
        <v>0</v>
      </c>
      <c r="H164" s="8">
        <f>IF(OR(A164="",F164=""),"",COUNTIFS($F$5:$F$204,"&lt;"&amp;F164)+1)</f>
        <v>0</v>
      </c>
      <c r="I164" s="8">
        <f>IF(A164="","",IFERROR(INDEX('Recipe Ingredients'!$B$5:$B$1204,MATCH(1,INDEX(('Recipe Ingredients'!$A$5:$A$1204=A164)*('Recipe Ingredients'!$H$5:$H$1204=J164),0),0)),""))</f>
        <v>0</v>
      </c>
      <c r="J164" s="8">
        <f>IF(A164="","",SUMPRODUCT(MAX(('Recipe Ingredients'!$A$5:$A$1204=A164)*'Recipe Ingredients'!$H$5:$H$1204)))</f>
        <v>0</v>
      </c>
      <c r="K164" s="8">
        <f>IF(OR(A164="",E164="",E164=0),"",IFERROR(J164/E164,""))</f>
        <v>0</v>
      </c>
      <c r="L164" s="8">
        <f>IF(OR(A164="",F164=""),"",IFERROR(F164-AVERAGE($F$5:$F$204),""))</f>
        <v>0</v>
      </c>
      <c r="M164" s="8">
        <f>IF(OR(A164="",F164=""),"",IF(F164&lt;=Weekly_Budget/21,"Within budget","Over budget"))</f>
        <v>0</v>
      </c>
      <c r="N164" s="8">
        <f>IF(A164="","",IFERROR(INDEX(Recipes!$H$5:$H$204,MATCH(A164,Recipes!$A$5:$A$204,0)),""))</f>
        <v>0</v>
      </c>
      <c r="O164" s="8">
        <f>IF(A164="","",IFERROR(INDEX(Recipes!$S$5:$S$204,MATCH(A164,Recipes!$A$5:$A$204,0)),""))</f>
        <v>0</v>
      </c>
      <c r="P164" s="8">
        <f>IF(A164="","",IFERROR(INDEX(Recipes!$T$5:$T$204,MATCH(A164,Recipes!$A$5:$A$204,0)),""))</f>
        <v>0</v>
      </c>
      <c r="Q164" s="8">
        <f>IF(OR(A164="",F164=""),"",F164*7*3)</f>
        <v>0</v>
      </c>
      <c r="R164" s="25"/>
    </row>
    <row r="165" spans="1:18">
      <c r="A165" s="7"/>
      <c r="B165" s="8">
        <f>IF(A165="","",IFERROR(INDEX(Recipes!$B$5:$B$204,MATCH(A165,Recipes!$A$5:$A$204,0)),""))</f>
        <v>0</v>
      </c>
      <c r="C165" s="8">
        <f>IF(A165="","",IFERROR(INDEX(Recipes!$D$5:$D$204,MATCH(A165,Recipes!$A$5:$A$204,0)),""))</f>
        <v>0</v>
      </c>
      <c r="D165" s="8">
        <f>IF(A165="","",COUNTIFS('Recipe Ingredients'!$A$5:$A$1204,A165))</f>
        <v>0</v>
      </c>
      <c r="E165" s="8">
        <f>IF(A165="","",SUMIFS('Recipe Ingredients'!$H$5:$H$1204,'Recipe Ingredients'!$A$5:$A$1204,A165))</f>
        <v>0</v>
      </c>
      <c r="F165" s="8">
        <f>IF(A165="","",IFERROR(INDEX(Recipes!$Q$5:$Q$204,MATCH(A165,Recipes!$A$5:$A$204,0)),""))</f>
        <v>0</v>
      </c>
      <c r="G165" s="8">
        <f>IF(OR(A165="",N165="",N165=0),"",IFERROR(F165/N165*100,""))</f>
        <v>0</v>
      </c>
      <c r="H165" s="8">
        <f>IF(OR(A165="",F165=""),"",COUNTIFS($F$5:$F$204,"&lt;"&amp;F165)+1)</f>
        <v>0</v>
      </c>
      <c r="I165" s="8">
        <f>IF(A165="","",IFERROR(INDEX('Recipe Ingredients'!$B$5:$B$1204,MATCH(1,INDEX(('Recipe Ingredients'!$A$5:$A$1204=A165)*('Recipe Ingredients'!$H$5:$H$1204=J165),0),0)),""))</f>
        <v>0</v>
      </c>
      <c r="J165" s="8">
        <f>IF(A165="","",SUMPRODUCT(MAX(('Recipe Ingredients'!$A$5:$A$1204=A165)*'Recipe Ingredients'!$H$5:$H$1204)))</f>
        <v>0</v>
      </c>
      <c r="K165" s="8">
        <f>IF(OR(A165="",E165="",E165=0),"",IFERROR(J165/E165,""))</f>
        <v>0</v>
      </c>
      <c r="L165" s="8">
        <f>IF(OR(A165="",F165=""),"",IFERROR(F165-AVERAGE($F$5:$F$204),""))</f>
        <v>0</v>
      </c>
      <c r="M165" s="8">
        <f>IF(OR(A165="",F165=""),"",IF(F165&lt;=Weekly_Budget/21,"Within budget","Over budget"))</f>
        <v>0</v>
      </c>
      <c r="N165" s="8">
        <f>IF(A165="","",IFERROR(INDEX(Recipes!$H$5:$H$204,MATCH(A165,Recipes!$A$5:$A$204,0)),""))</f>
        <v>0</v>
      </c>
      <c r="O165" s="8">
        <f>IF(A165="","",IFERROR(INDEX(Recipes!$S$5:$S$204,MATCH(A165,Recipes!$A$5:$A$204,0)),""))</f>
        <v>0</v>
      </c>
      <c r="P165" s="8">
        <f>IF(A165="","",IFERROR(INDEX(Recipes!$T$5:$T$204,MATCH(A165,Recipes!$A$5:$A$204,0)),""))</f>
        <v>0</v>
      </c>
      <c r="Q165" s="8">
        <f>IF(OR(A165="",F165=""),"",F165*7*3)</f>
        <v>0</v>
      </c>
      <c r="R165" s="25"/>
    </row>
    <row r="166" spans="1:18">
      <c r="A166" s="7"/>
      <c r="B166" s="8">
        <f>IF(A166="","",IFERROR(INDEX(Recipes!$B$5:$B$204,MATCH(A166,Recipes!$A$5:$A$204,0)),""))</f>
        <v>0</v>
      </c>
      <c r="C166" s="8">
        <f>IF(A166="","",IFERROR(INDEX(Recipes!$D$5:$D$204,MATCH(A166,Recipes!$A$5:$A$204,0)),""))</f>
        <v>0</v>
      </c>
      <c r="D166" s="8">
        <f>IF(A166="","",COUNTIFS('Recipe Ingredients'!$A$5:$A$1204,A166))</f>
        <v>0</v>
      </c>
      <c r="E166" s="8">
        <f>IF(A166="","",SUMIFS('Recipe Ingredients'!$H$5:$H$1204,'Recipe Ingredients'!$A$5:$A$1204,A166))</f>
        <v>0</v>
      </c>
      <c r="F166" s="8">
        <f>IF(A166="","",IFERROR(INDEX(Recipes!$Q$5:$Q$204,MATCH(A166,Recipes!$A$5:$A$204,0)),""))</f>
        <v>0</v>
      </c>
      <c r="G166" s="8">
        <f>IF(OR(A166="",N166="",N166=0),"",IFERROR(F166/N166*100,""))</f>
        <v>0</v>
      </c>
      <c r="H166" s="8">
        <f>IF(OR(A166="",F166=""),"",COUNTIFS($F$5:$F$204,"&lt;"&amp;F166)+1)</f>
        <v>0</v>
      </c>
      <c r="I166" s="8">
        <f>IF(A166="","",IFERROR(INDEX('Recipe Ingredients'!$B$5:$B$1204,MATCH(1,INDEX(('Recipe Ingredients'!$A$5:$A$1204=A166)*('Recipe Ingredients'!$H$5:$H$1204=J166),0),0)),""))</f>
        <v>0</v>
      </c>
      <c r="J166" s="8">
        <f>IF(A166="","",SUMPRODUCT(MAX(('Recipe Ingredients'!$A$5:$A$1204=A166)*'Recipe Ingredients'!$H$5:$H$1204)))</f>
        <v>0</v>
      </c>
      <c r="K166" s="8">
        <f>IF(OR(A166="",E166="",E166=0),"",IFERROR(J166/E166,""))</f>
        <v>0</v>
      </c>
      <c r="L166" s="8">
        <f>IF(OR(A166="",F166=""),"",IFERROR(F166-AVERAGE($F$5:$F$204),""))</f>
        <v>0</v>
      </c>
      <c r="M166" s="8">
        <f>IF(OR(A166="",F166=""),"",IF(F166&lt;=Weekly_Budget/21,"Within budget","Over budget"))</f>
        <v>0</v>
      </c>
      <c r="N166" s="8">
        <f>IF(A166="","",IFERROR(INDEX(Recipes!$H$5:$H$204,MATCH(A166,Recipes!$A$5:$A$204,0)),""))</f>
        <v>0</v>
      </c>
      <c r="O166" s="8">
        <f>IF(A166="","",IFERROR(INDEX(Recipes!$S$5:$S$204,MATCH(A166,Recipes!$A$5:$A$204,0)),""))</f>
        <v>0</v>
      </c>
      <c r="P166" s="8">
        <f>IF(A166="","",IFERROR(INDEX(Recipes!$T$5:$T$204,MATCH(A166,Recipes!$A$5:$A$204,0)),""))</f>
        <v>0</v>
      </c>
      <c r="Q166" s="8">
        <f>IF(OR(A166="",F166=""),"",F166*7*3)</f>
        <v>0</v>
      </c>
      <c r="R166" s="25"/>
    </row>
    <row r="167" spans="1:18">
      <c r="A167" s="7"/>
      <c r="B167" s="8">
        <f>IF(A167="","",IFERROR(INDEX(Recipes!$B$5:$B$204,MATCH(A167,Recipes!$A$5:$A$204,0)),""))</f>
        <v>0</v>
      </c>
      <c r="C167" s="8">
        <f>IF(A167="","",IFERROR(INDEX(Recipes!$D$5:$D$204,MATCH(A167,Recipes!$A$5:$A$204,0)),""))</f>
        <v>0</v>
      </c>
      <c r="D167" s="8">
        <f>IF(A167="","",COUNTIFS('Recipe Ingredients'!$A$5:$A$1204,A167))</f>
        <v>0</v>
      </c>
      <c r="E167" s="8">
        <f>IF(A167="","",SUMIFS('Recipe Ingredients'!$H$5:$H$1204,'Recipe Ingredients'!$A$5:$A$1204,A167))</f>
        <v>0</v>
      </c>
      <c r="F167" s="8">
        <f>IF(A167="","",IFERROR(INDEX(Recipes!$Q$5:$Q$204,MATCH(A167,Recipes!$A$5:$A$204,0)),""))</f>
        <v>0</v>
      </c>
      <c r="G167" s="8">
        <f>IF(OR(A167="",N167="",N167=0),"",IFERROR(F167/N167*100,""))</f>
        <v>0</v>
      </c>
      <c r="H167" s="8">
        <f>IF(OR(A167="",F167=""),"",COUNTIFS($F$5:$F$204,"&lt;"&amp;F167)+1)</f>
        <v>0</v>
      </c>
      <c r="I167" s="8">
        <f>IF(A167="","",IFERROR(INDEX('Recipe Ingredients'!$B$5:$B$1204,MATCH(1,INDEX(('Recipe Ingredients'!$A$5:$A$1204=A167)*('Recipe Ingredients'!$H$5:$H$1204=J167),0),0)),""))</f>
        <v>0</v>
      </c>
      <c r="J167" s="8">
        <f>IF(A167="","",SUMPRODUCT(MAX(('Recipe Ingredients'!$A$5:$A$1204=A167)*'Recipe Ingredients'!$H$5:$H$1204)))</f>
        <v>0</v>
      </c>
      <c r="K167" s="8">
        <f>IF(OR(A167="",E167="",E167=0),"",IFERROR(J167/E167,""))</f>
        <v>0</v>
      </c>
      <c r="L167" s="8">
        <f>IF(OR(A167="",F167=""),"",IFERROR(F167-AVERAGE($F$5:$F$204),""))</f>
        <v>0</v>
      </c>
      <c r="M167" s="8">
        <f>IF(OR(A167="",F167=""),"",IF(F167&lt;=Weekly_Budget/21,"Within budget","Over budget"))</f>
        <v>0</v>
      </c>
      <c r="N167" s="8">
        <f>IF(A167="","",IFERROR(INDEX(Recipes!$H$5:$H$204,MATCH(A167,Recipes!$A$5:$A$204,0)),""))</f>
        <v>0</v>
      </c>
      <c r="O167" s="8">
        <f>IF(A167="","",IFERROR(INDEX(Recipes!$S$5:$S$204,MATCH(A167,Recipes!$A$5:$A$204,0)),""))</f>
        <v>0</v>
      </c>
      <c r="P167" s="8">
        <f>IF(A167="","",IFERROR(INDEX(Recipes!$T$5:$T$204,MATCH(A167,Recipes!$A$5:$A$204,0)),""))</f>
        <v>0</v>
      </c>
      <c r="Q167" s="8">
        <f>IF(OR(A167="",F167=""),"",F167*7*3)</f>
        <v>0</v>
      </c>
      <c r="R167" s="25"/>
    </row>
    <row r="168" spans="1:18">
      <c r="A168" s="7"/>
      <c r="B168" s="8">
        <f>IF(A168="","",IFERROR(INDEX(Recipes!$B$5:$B$204,MATCH(A168,Recipes!$A$5:$A$204,0)),""))</f>
        <v>0</v>
      </c>
      <c r="C168" s="8">
        <f>IF(A168="","",IFERROR(INDEX(Recipes!$D$5:$D$204,MATCH(A168,Recipes!$A$5:$A$204,0)),""))</f>
        <v>0</v>
      </c>
      <c r="D168" s="8">
        <f>IF(A168="","",COUNTIFS('Recipe Ingredients'!$A$5:$A$1204,A168))</f>
        <v>0</v>
      </c>
      <c r="E168" s="8">
        <f>IF(A168="","",SUMIFS('Recipe Ingredients'!$H$5:$H$1204,'Recipe Ingredients'!$A$5:$A$1204,A168))</f>
        <v>0</v>
      </c>
      <c r="F168" s="8">
        <f>IF(A168="","",IFERROR(INDEX(Recipes!$Q$5:$Q$204,MATCH(A168,Recipes!$A$5:$A$204,0)),""))</f>
        <v>0</v>
      </c>
      <c r="G168" s="8">
        <f>IF(OR(A168="",N168="",N168=0),"",IFERROR(F168/N168*100,""))</f>
        <v>0</v>
      </c>
      <c r="H168" s="8">
        <f>IF(OR(A168="",F168=""),"",COUNTIFS($F$5:$F$204,"&lt;"&amp;F168)+1)</f>
        <v>0</v>
      </c>
      <c r="I168" s="8">
        <f>IF(A168="","",IFERROR(INDEX('Recipe Ingredients'!$B$5:$B$1204,MATCH(1,INDEX(('Recipe Ingredients'!$A$5:$A$1204=A168)*('Recipe Ingredients'!$H$5:$H$1204=J168),0),0)),""))</f>
        <v>0</v>
      </c>
      <c r="J168" s="8">
        <f>IF(A168="","",SUMPRODUCT(MAX(('Recipe Ingredients'!$A$5:$A$1204=A168)*'Recipe Ingredients'!$H$5:$H$1204)))</f>
        <v>0</v>
      </c>
      <c r="K168" s="8">
        <f>IF(OR(A168="",E168="",E168=0),"",IFERROR(J168/E168,""))</f>
        <v>0</v>
      </c>
      <c r="L168" s="8">
        <f>IF(OR(A168="",F168=""),"",IFERROR(F168-AVERAGE($F$5:$F$204),""))</f>
        <v>0</v>
      </c>
      <c r="M168" s="8">
        <f>IF(OR(A168="",F168=""),"",IF(F168&lt;=Weekly_Budget/21,"Within budget","Over budget"))</f>
        <v>0</v>
      </c>
      <c r="N168" s="8">
        <f>IF(A168="","",IFERROR(INDEX(Recipes!$H$5:$H$204,MATCH(A168,Recipes!$A$5:$A$204,0)),""))</f>
        <v>0</v>
      </c>
      <c r="O168" s="8">
        <f>IF(A168="","",IFERROR(INDEX(Recipes!$S$5:$S$204,MATCH(A168,Recipes!$A$5:$A$204,0)),""))</f>
        <v>0</v>
      </c>
      <c r="P168" s="8">
        <f>IF(A168="","",IFERROR(INDEX(Recipes!$T$5:$T$204,MATCH(A168,Recipes!$A$5:$A$204,0)),""))</f>
        <v>0</v>
      </c>
      <c r="Q168" s="8">
        <f>IF(OR(A168="",F168=""),"",F168*7*3)</f>
        <v>0</v>
      </c>
      <c r="R168" s="25"/>
    </row>
    <row r="169" spans="1:18">
      <c r="A169" s="7"/>
      <c r="B169" s="8">
        <f>IF(A169="","",IFERROR(INDEX(Recipes!$B$5:$B$204,MATCH(A169,Recipes!$A$5:$A$204,0)),""))</f>
        <v>0</v>
      </c>
      <c r="C169" s="8">
        <f>IF(A169="","",IFERROR(INDEX(Recipes!$D$5:$D$204,MATCH(A169,Recipes!$A$5:$A$204,0)),""))</f>
        <v>0</v>
      </c>
      <c r="D169" s="8">
        <f>IF(A169="","",COUNTIFS('Recipe Ingredients'!$A$5:$A$1204,A169))</f>
        <v>0</v>
      </c>
      <c r="E169" s="8">
        <f>IF(A169="","",SUMIFS('Recipe Ingredients'!$H$5:$H$1204,'Recipe Ingredients'!$A$5:$A$1204,A169))</f>
        <v>0</v>
      </c>
      <c r="F169" s="8">
        <f>IF(A169="","",IFERROR(INDEX(Recipes!$Q$5:$Q$204,MATCH(A169,Recipes!$A$5:$A$204,0)),""))</f>
        <v>0</v>
      </c>
      <c r="G169" s="8">
        <f>IF(OR(A169="",N169="",N169=0),"",IFERROR(F169/N169*100,""))</f>
        <v>0</v>
      </c>
      <c r="H169" s="8">
        <f>IF(OR(A169="",F169=""),"",COUNTIFS($F$5:$F$204,"&lt;"&amp;F169)+1)</f>
        <v>0</v>
      </c>
      <c r="I169" s="8">
        <f>IF(A169="","",IFERROR(INDEX('Recipe Ingredients'!$B$5:$B$1204,MATCH(1,INDEX(('Recipe Ingredients'!$A$5:$A$1204=A169)*('Recipe Ingredients'!$H$5:$H$1204=J169),0),0)),""))</f>
        <v>0</v>
      </c>
      <c r="J169" s="8">
        <f>IF(A169="","",SUMPRODUCT(MAX(('Recipe Ingredients'!$A$5:$A$1204=A169)*'Recipe Ingredients'!$H$5:$H$1204)))</f>
        <v>0</v>
      </c>
      <c r="K169" s="8">
        <f>IF(OR(A169="",E169="",E169=0),"",IFERROR(J169/E169,""))</f>
        <v>0</v>
      </c>
      <c r="L169" s="8">
        <f>IF(OR(A169="",F169=""),"",IFERROR(F169-AVERAGE($F$5:$F$204),""))</f>
        <v>0</v>
      </c>
      <c r="M169" s="8">
        <f>IF(OR(A169="",F169=""),"",IF(F169&lt;=Weekly_Budget/21,"Within budget","Over budget"))</f>
        <v>0</v>
      </c>
      <c r="N169" s="8">
        <f>IF(A169="","",IFERROR(INDEX(Recipes!$H$5:$H$204,MATCH(A169,Recipes!$A$5:$A$204,0)),""))</f>
        <v>0</v>
      </c>
      <c r="O169" s="8">
        <f>IF(A169="","",IFERROR(INDEX(Recipes!$S$5:$S$204,MATCH(A169,Recipes!$A$5:$A$204,0)),""))</f>
        <v>0</v>
      </c>
      <c r="P169" s="8">
        <f>IF(A169="","",IFERROR(INDEX(Recipes!$T$5:$T$204,MATCH(A169,Recipes!$A$5:$A$204,0)),""))</f>
        <v>0</v>
      </c>
      <c r="Q169" s="8">
        <f>IF(OR(A169="",F169=""),"",F169*7*3)</f>
        <v>0</v>
      </c>
      <c r="R169" s="25"/>
    </row>
    <row r="170" spans="1:18">
      <c r="A170" s="7"/>
      <c r="B170" s="8">
        <f>IF(A170="","",IFERROR(INDEX(Recipes!$B$5:$B$204,MATCH(A170,Recipes!$A$5:$A$204,0)),""))</f>
        <v>0</v>
      </c>
      <c r="C170" s="8">
        <f>IF(A170="","",IFERROR(INDEX(Recipes!$D$5:$D$204,MATCH(A170,Recipes!$A$5:$A$204,0)),""))</f>
        <v>0</v>
      </c>
      <c r="D170" s="8">
        <f>IF(A170="","",COUNTIFS('Recipe Ingredients'!$A$5:$A$1204,A170))</f>
        <v>0</v>
      </c>
      <c r="E170" s="8">
        <f>IF(A170="","",SUMIFS('Recipe Ingredients'!$H$5:$H$1204,'Recipe Ingredients'!$A$5:$A$1204,A170))</f>
        <v>0</v>
      </c>
      <c r="F170" s="8">
        <f>IF(A170="","",IFERROR(INDEX(Recipes!$Q$5:$Q$204,MATCH(A170,Recipes!$A$5:$A$204,0)),""))</f>
        <v>0</v>
      </c>
      <c r="G170" s="8">
        <f>IF(OR(A170="",N170="",N170=0),"",IFERROR(F170/N170*100,""))</f>
        <v>0</v>
      </c>
      <c r="H170" s="8">
        <f>IF(OR(A170="",F170=""),"",COUNTIFS($F$5:$F$204,"&lt;"&amp;F170)+1)</f>
        <v>0</v>
      </c>
      <c r="I170" s="8">
        <f>IF(A170="","",IFERROR(INDEX('Recipe Ingredients'!$B$5:$B$1204,MATCH(1,INDEX(('Recipe Ingredients'!$A$5:$A$1204=A170)*('Recipe Ingredients'!$H$5:$H$1204=J170),0),0)),""))</f>
        <v>0</v>
      </c>
      <c r="J170" s="8">
        <f>IF(A170="","",SUMPRODUCT(MAX(('Recipe Ingredients'!$A$5:$A$1204=A170)*'Recipe Ingredients'!$H$5:$H$1204)))</f>
        <v>0</v>
      </c>
      <c r="K170" s="8">
        <f>IF(OR(A170="",E170="",E170=0),"",IFERROR(J170/E170,""))</f>
        <v>0</v>
      </c>
      <c r="L170" s="8">
        <f>IF(OR(A170="",F170=""),"",IFERROR(F170-AVERAGE($F$5:$F$204),""))</f>
        <v>0</v>
      </c>
      <c r="M170" s="8">
        <f>IF(OR(A170="",F170=""),"",IF(F170&lt;=Weekly_Budget/21,"Within budget","Over budget"))</f>
        <v>0</v>
      </c>
      <c r="N170" s="8">
        <f>IF(A170="","",IFERROR(INDEX(Recipes!$H$5:$H$204,MATCH(A170,Recipes!$A$5:$A$204,0)),""))</f>
        <v>0</v>
      </c>
      <c r="O170" s="8">
        <f>IF(A170="","",IFERROR(INDEX(Recipes!$S$5:$S$204,MATCH(A170,Recipes!$A$5:$A$204,0)),""))</f>
        <v>0</v>
      </c>
      <c r="P170" s="8">
        <f>IF(A170="","",IFERROR(INDEX(Recipes!$T$5:$T$204,MATCH(A170,Recipes!$A$5:$A$204,0)),""))</f>
        <v>0</v>
      </c>
      <c r="Q170" s="8">
        <f>IF(OR(A170="",F170=""),"",F170*7*3)</f>
        <v>0</v>
      </c>
      <c r="R170" s="25"/>
    </row>
    <row r="171" spans="1:18">
      <c r="A171" s="7"/>
      <c r="B171" s="8">
        <f>IF(A171="","",IFERROR(INDEX(Recipes!$B$5:$B$204,MATCH(A171,Recipes!$A$5:$A$204,0)),""))</f>
        <v>0</v>
      </c>
      <c r="C171" s="8">
        <f>IF(A171="","",IFERROR(INDEX(Recipes!$D$5:$D$204,MATCH(A171,Recipes!$A$5:$A$204,0)),""))</f>
        <v>0</v>
      </c>
      <c r="D171" s="8">
        <f>IF(A171="","",COUNTIFS('Recipe Ingredients'!$A$5:$A$1204,A171))</f>
        <v>0</v>
      </c>
      <c r="E171" s="8">
        <f>IF(A171="","",SUMIFS('Recipe Ingredients'!$H$5:$H$1204,'Recipe Ingredients'!$A$5:$A$1204,A171))</f>
        <v>0</v>
      </c>
      <c r="F171" s="8">
        <f>IF(A171="","",IFERROR(INDEX(Recipes!$Q$5:$Q$204,MATCH(A171,Recipes!$A$5:$A$204,0)),""))</f>
        <v>0</v>
      </c>
      <c r="G171" s="8">
        <f>IF(OR(A171="",N171="",N171=0),"",IFERROR(F171/N171*100,""))</f>
        <v>0</v>
      </c>
      <c r="H171" s="8">
        <f>IF(OR(A171="",F171=""),"",COUNTIFS($F$5:$F$204,"&lt;"&amp;F171)+1)</f>
        <v>0</v>
      </c>
      <c r="I171" s="8">
        <f>IF(A171="","",IFERROR(INDEX('Recipe Ingredients'!$B$5:$B$1204,MATCH(1,INDEX(('Recipe Ingredients'!$A$5:$A$1204=A171)*('Recipe Ingredients'!$H$5:$H$1204=J171),0),0)),""))</f>
        <v>0</v>
      </c>
      <c r="J171" s="8">
        <f>IF(A171="","",SUMPRODUCT(MAX(('Recipe Ingredients'!$A$5:$A$1204=A171)*'Recipe Ingredients'!$H$5:$H$1204)))</f>
        <v>0</v>
      </c>
      <c r="K171" s="8">
        <f>IF(OR(A171="",E171="",E171=0),"",IFERROR(J171/E171,""))</f>
        <v>0</v>
      </c>
      <c r="L171" s="8">
        <f>IF(OR(A171="",F171=""),"",IFERROR(F171-AVERAGE($F$5:$F$204),""))</f>
        <v>0</v>
      </c>
      <c r="M171" s="8">
        <f>IF(OR(A171="",F171=""),"",IF(F171&lt;=Weekly_Budget/21,"Within budget","Over budget"))</f>
        <v>0</v>
      </c>
      <c r="N171" s="8">
        <f>IF(A171="","",IFERROR(INDEX(Recipes!$H$5:$H$204,MATCH(A171,Recipes!$A$5:$A$204,0)),""))</f>
        <v>0</v>
      </c>
      <c r="O171" s="8">
        <f>IF(A171="","",IFERROR(INDEX(Recipes!$S$5:$S$204,MATCH(A171,Recipes!$A$5:$A$204,0)),""))</f>
        <v>0</v>
      </c>
      <c r="P171" s="8">
        <f>IF(A171="","",IFERROR(INDEX(Recipes!$T$5:$T$204,MATCH(A171,Recipes!$A$5:$A$204,0)),""))</f>
        <v>0</v>
      </c>
      <c r="Q171" s="8">
        <f>IF(OR(A171="",F171=""),"",F171*7*3)</f>
        <v>0</v>
      </c>
      <c r="R171" s="25"/>
    </row>
    <row r="172" spans="1:18">
      <c r="A172" s="7"/>
      <c r="B172" s="8">
        <f>IF(A172="","",IFERROR(INDEX(Recipes!$B$5:$B$204,MATCH(A172,Recipes!$A$5:$A$204,0)),""))</f>
        <v>0</v>
      </c>
      <c r="C172" s="8">
        <f>IF(A172="","",IFERROR(INDEX(Recipes!$D$5:$D$204,MATCH(A172,Recipes!$A$5:$A$204,0)),""))</f>
        <v>0</v>
      </c>
      <c r="D172" s="8">
        <f>IF(A172="","",COUNTIFS('Recipe Ingredients'!$A$5:$A$1204,A172))</f>
        <v>0</v>
      </c>
      <c r="E172" s="8">
        <f>IF(A172="","",SUMIFS('Recipe Ingredients'!$H$5:$H$1204,'Recipe Ingredients'!$A$5:$A$1204,A172))</f>
        <v>0</v>
      </c>
      <c r="F172" s="8">
        <f>IF(A172="","",IFERROR(INDEX(Recipes!$Q$5:$Q$204,MATCH(A172,Recipes!$A$5:$A$204,0)),""))</f>
        <v>0</v>
      </c>
      <c r="G172" s="8">
        <f>IF(OR(A172="",N172="",N172=0),"",IFERROR(F172/N172*100,""))</f>
        <v>0</v>
      </c>
      <c r="H172" s="8">
        <f>IF(OR(A172="",F172=""),"",COUNTIFS($F$5:$F$204,"&lt;"&amp;F172)+1)</f>
        <v>0</v>
      </c>
      <c r="I172" s="8">
        <f>IF(A172="","",IFERROR(INDEX('Recipe Ingredients'!$B$5:$B$1204,MATCH(1,INDEX(('Recipe Ingredients'!$A$5:$A$1204=A172)*('Recipe Ingredients'!$H$5:$H$1204=J172),0),0)),""))</f>
        <v>0</v>
      </c>
      <c r="J172" s="8">
        <f>IF(A172="","",SUMPRODUCT(MAX(('Recipe Ingredients'!$A$5:$A$1204=A172)*'Recipe Ingredients'!$H$5:$H$1204)))</f>
        <v>0</v>
      </c>
      <c r="K172" s="8">
        <f>IF(OR(A172="",E172="",E172=0),"",IFERROR(J172/E172,""))</f>
        <v>0</v>
      </c>
      <c r="L172" s="8">
        <f>IF(OR(A172="",F172=""),"",IFERROR(F172-AVERAGE($F$5:$F$204),""))</f>
        <v>0</v>
      </c>
      <c r="M172" s="8">
        <f>IF(OR(A172="",F172=""),"",IF(F172&lt;=Weekly_Budget/21,"Within budget","Over budget"))</f>
        <v>0</v>
      </c>
      <c r="N172" s="8">
        <f>IF(A172="","",IFERROR(INDEX(Recipes!$H$5:$H$204,MATCH(A172,Recipes!$A$5:$A$204,0)),""))</f>
        <v>0</v>
      </c>
      <c r="O172" s="8">
        <f>IF(A172="","",IFERROR(INDEX(Recipes!$S$5:$S$204,MATCH(A172,Recipes!$A$5:$A$204,0)),""))</f>
        <v>0</v>
      </c>
      <c r="P172" s="8">
        <f>IF(A172="","",IFERROR(INDEX(Recipes!$T$5:$T$204,MATCH(A172,Recipes!$A$5:$A$204,0)),""))</f>
        <v>0</v>
      </c>
      <c r="Q172" s="8">
        <f>IF(OR(A172="",F172=""),"",F172*7*3)</f>
        <v>0</v>
      </c>
      <c r="R172" s="25"/>
    </row>
    <row r="173" spans="1:18">
      <c r="A173" s="7"/>
      <c r="B173" s="8">
        <f>IF(A173="","",IFERROR(INDEX(Recipes!$B$5:$B$204,MATCH(A173,Recipes!$A$5:$A$204,0)),""))</f>
        <v>0</v>
      </c>
      <c r="C173" s="8">
        <f>IF(A173="","",IFERROR(INDEX(Recipes!$D$5:$D$204,MATCH(A173,Recipes!$A$5:$A$204,0)),""))</f>
        <v>0</v>
      </c>
      <c r="D173" s="8">
        <f>IF(A173="","",COUNTIFS('Recipe Ingredients'!$A$5:$A$1204,A173))</f>
        <v>0</v>
      </c>
      <c r="E173" s="8">
        <f>IF(A173="","",SUMIFS('Recipe Ingredients'!$H$5:$H$1204,'Recipe Ingredients'!$A$5:$A$1204,A173))</f>
        <v>0</v>
      </c>
      <c r="F173" s="8">
        <f>IF(A173="","",IFERROR(INDEX(Recipes!$Q$5:$Q$204,MATCH(A173,Recipes!$A$5:$A$204,0)),""))</f>
        <v>0</v>
      </c>
      <c r="G173" s="8">
        <f>IF(OR(A173="",N173="",N173=0),"",IFERROR(F173/N173*100,""))</f>
        <v>0</v>
      </c>
      <c r="H173" s="8">
        <f>IF(OR(A173="",F173=""),"",COUNTIFS($F$5:$F$204,"&lt;"&amp;F173)+1)</f>
        <v>0</v>
      </c>
      <c r="I173" s="8">
        <f>IF(A173="","",IFERROR(INDEX('Recipe Ingredients'!$B$5:$B$1204,MATCH(1,INDEX(('Recipe Ingredients'!$A$5:$A$1204=A173)*('Recipe Ingredients'!$H$5:$H$1204=J173),0),0)),""))</f>
        <v>0</v>
      </c>
      <c r="J173" s="8">
        <f>IF(A173="","",SUMPRODUCT(MAX(('Recipe Ingredients'!$A$5:$A$1204=A173)*'Recipe Ingredients'!$H$5:$H$1204)))</f>
        <v>0</v>
      </c>
      <c r="K173" s="8">
        <f>IF(OR(A173="",E173="",E173=0),"",IFERROR(J173/E173,""))</f>
        <v>0</v>
      </c>
      <c r="L173" s="8">
        <f>IF(OR(A173="",F173=""),"",IFERROR(F173-AVERAGE($F$5:$F$204),""))</f>
        <v>0</v>
      </c>
      <c r="M173" s="8">
        <f>IF(OR(A173="",F173=""),"",IF(F173&lt;=Weekly_Budget/21,"Within budget","Over budget"))</f>
        <v>0</v>
      </c>
      <c r="N173" s="8">
        <f>IF(A173="","",IFERROR(INDEX(Recipes!$H$5:$H$204,MATCH(A173,Recipes!$A$5:$A$204,0)),""))</f>
        <v>0</v>
      </c>
      <c r="O173" s="8">
        <f>IF(A173="","",IFERROR(INDEX(Recipes!$S$5:$S$204,MATCH(A173,Recipes!$A$5:$A$204,0)),""))</f>
        <v>0</v>
      </c>
      <c r="P173" s="8">
        <f>IF(A173="","",IFERROR(INDEX(Recipes!$T$5:$T$204,MATCH(A173,Recipes!$A$5:$A$204,0)),""))</f>
        <v>0</v>
      </c>
      <c r="Q173" s="8">
        <f>IF(OR(A173="",F173=""),"",F173*7*3)</f>
        <v>0</v>
      </c>
      <c r="R173" s="25"/>
    </row>
    <row r="174" spans="1:18">
      <c r="A174" s="7"/>
      <c r="B174" s="8">
        <f>IF(A174="","",IFERROR(INDEX(Recipes!$B$5:$B$204,MATCH(A174,Recipes!$A$5:$A$204,0)),""))</f>
        <v>0</v>
      </c>
      <c r="C174" s="8">
        <f>IF(A174="","",IFERROR(INDEX(Recipes!$D$5:$D$204,MATCH(A174,Recipes!$A$5:$A$204,0)),""))</f>
        <v>0</v>
      </c>
      <c r="D174" s="8">
        <f>IF(A174="","",COUNTIFS('Recipe Ingredients'!$A$5:$A$1204,A174))</f>
        <v>0</v>
      </c>
      <c r="E174" s="8">
        <f>IF(A174="","",SUMIFS('Recipe Ingredients'!$H$5:$H$1204,'Recipe Ingredients'!$A$5:$A$1204,A174))</f>
        <v>0</v>
      </c>
      <c r="F174" s="8">
        <f>IF(A174="","",IFERROR(INDEX(Recipes!$Q$5:$Q$204,MATCH(A174,Recipes!$A$5:$A$204,0)),""))</f>
        <v>0</v>
      </c>
      <c r="G174" s="8">
        <f>IF(OR(A174="",N174="",N174=0),"",IFERROR(F174/N174*100,""))</f>
        <v>0</v>
      </c>
      <c r="H174" s="8">
        <f>IF(OR(A174="",F174=""),"",COUNTIFS($F$5:$F$204,"&lt;"&amp;F174)+1)</f>
        <v>0</v>
      </c>
      <c r="I174" s="8">
        <f>IF(A174="","",IFERROR(INDEX('Recipe Ingredients'!$B$5:$B$1204,MATCH(1,INDEX(('Recipe Ingredients'!$A$5:$A$1204=A174)*('Recipe Ingredients'!$H$5:$H$1204=J174),0),0)),""))</f>
        <v>0</v>
      </c>
      <c r="J174" s="8">
        <f>IF(A174="","",SUMPRODUCT(MAX(('Recipe Ingredients'!$A$5:$A$1204=A174)*'Recipe Ingredients'!$H$5:$H$1204)))</f>
        <v>0</v>
      </c>
      <c r="K174" s="8">
        <f>IF(OR(A174="",E174="",E174=0),"",IFERROR(J174/E174,""))</f>
        <v>0</v>
      </c>
      <c r="L174" s="8">
        <f>IF(OR(A174="",F174=""),"",IFERROR(F174-AVERAGE($F$5:$F$204),""))</f>
        <v>0</v>
      </c>
      <c r="M174" s="8">
        <f>IF(OR(A174="",F174=""),"",IF(F174&lt;=Weekly_Budget/21,"Within budget","Over budget"))</f>
        <v>0</v>
      </c>
      <c r="N174" s="8">
        <f>IF(A174="","",IFERROR(INDEX(Recipes!$H$5:$H$204,MATCH(A174,Recipes!$A$5:$A$204,0)),""))</f>
        <v>0</v>
      </c>
      <c r="O174" s="8">
        <f>IF(A174="","",IFERROR(INDEX(Recipes!$S$5:$S$204,MATCH(A174,Recipes!$A$5:$A$204,0)),""))</f>
        <v>0</v>
      </c>
      <c r="P174" s="8">
        <f>IF(A174="","",IFERROR(INDEX(Recipes!$T$5:$T$204,MATCH(A174,Recipes!$A$5:$A$204,0)),""))</f>
        <v>0</v>
      </c>
      <c r="Q174" s="8">
        <f>IF(OR(A174="",F174=""),"",F174*7*3)</f>
        <v>0</v>
      </c>
      <c r="R174" s="25"/>
    </row>
    <row r="175" spans="1:18">
      <c r="A175" s="7"/>
      <c r="B175" s="8">
        <f>IF(A175="","",IFERROR(INDEX(Recipes!$B$5:$B$204,MATCH(A175,Recipes!$A$5:$A$204,0)),""))</f>
        <v>0</v>
      </c>
      <c r="C175" s="8">
        <f>IF(A175="","",IFERROR(INDEX(Recipes!$D$5:$D$204,MATCH(A175,Recipes!$A$5:$A$204,0)),""))</f>
        <v>0</v>
      </c>
      <c r="D175" s="8">
        <f>IF(A175="","",COUNTIFS('Recipe Ingredients'!$A$5:$A$1204,A175))</f>
        <v>0</v>
      </c>
      <c r="E175" s="8">
        <f>IF(A175="","",SUMIFS('Recipe Ingredients'!$H$5:$H$1204,'Recipe Ingredients'!$A$5:$A$1204,A175))</f>
        <v>0</v>
      </c>
      <c r="F175" s="8">
        <f>IF(A175="","",IFERROR(INDEX(Recipes!$Q$5:$Q$204,MATCH(A175,Recipes!$A$5:$A$204,0)),""))</f>
        <v>0</v>
      </c>
      <c r="G175" s="8">
        <f>IF(OR(A175="",N175="",N175=0),"",IFERROR(F175/N175*100,""))</f>
        <v>0</v>
      </c>
      <c r="H175" s="8">
        <f>IF(OR(A175="",F175=""),"",COUNTIFS($F$5:$F$204,"&lt;"&amp;F175)+1)</f>
        <v>0</v>
      </c>
      <c r="I175" s="8">
        <f>IF(A175="","",IFERROR(INDEX('Recipe Ingredients'!$B$5:$B$1204,MATCH(1,INDEX(('Recipe Ingredients'!$A$5:$A$1204=A175)*('Recipe Ingredients'!$H$5:$H$1204=J175),0),0)),""))</f>
        <v>0</v>
      </c>
      <c r="J175" s="8">
        <f>IF(A175="","",SUMPRODUCT(MAX(('Recipe Ingredients'!$A$5:$A$1204=A175)*'Recipe Ingredients'!$H$5:$H$1204)))</f>
        <v>0</v>
      </c>
      <c r="K175" s="8">
        <f>IF(OR(A175="",E175="",E175=0),"",IFERROR(J175/E175,""))</f>
        <v>0</v>
      </c>
      <c r="L175" s="8">
        <f>IF(OR(A175="",F175=""),"",IFERROR(F175-AVERAGE($F$5:$F$204),""))</f>
        <v>0</v>
      </c>
      <c r="M175" s="8">
        <f>IF(OR(A175="",F175=""),"",IF(F175&lt;=Weekly_Budget/21,"Within budget","Over budget"))</f>
        <v>0</v>
      </c>
      <c r="N175" s="8">
        <f>IF(A175="","",IFERROR(INDEX(Recipes!$H$5:$H$204,MATCH(A175,Recipes!$A$5:$A$204,0)),""))</f>
        <v>0</v>
      </c>
      <c r="O175" s="8">
        <f>IF(A175="","",IFERROR(INDEX(Recipes!$S$5:$S$204,MATCH(A175,Recipes!$A$5:$A$204,0)),""))</f>
        <v>0</v>
      </c>
      <c r="P175" s="8">
        <f>IF(A175="","",IFERROR(INDEX(Recipes!$T$5:$T$204,MATCH(A175,Recipes!$A$5:$A$204,0)),""))</f>
        <v>0</v>
      </c>
      <c r="Q175" s="8">
        <f>IF(OR(A175="",F175=""),"",F175*7*3)</f>
        <v>0</v>
      </c>
      <c r="R175" s="25"/>
    </row>
    <row r="176" spans="1:18">
      <c r="A176" s="7"/>
      <c r="B176" s="8">
        <f>IF(A176="","",IFERROR(INDEX(Recipes!$B$5:$B$204,MATCH(A176,Recipes!$A$5:$A$204,0)),""))</f>
        <v>0</v>
      </c>
      <c r="C176" s="8">
        <f>IF(A176="","",IFERROR(INDEX(Recipes!$D$5:$D$204,MATCH(A176,Recipes!$A$5:$A$204,0)),""))</f>
        <v>0</v>
      </c>
      <c r="D176" s="8">
        <f>IF(A176="","",COUNTIFS('Recipe Ingredients'!$A$5:$A$1204,A176))</f>
        <v>0</v>
      </c>
      <c r="E176" s="8">
        <f>IF(A176="","",SUMIFS('Recipe Ingredients'!$H$5:$H$1204,'Recipe Ingredients'!$A$5:$A$1204,A176))</f>
        <v>0</v>
      </c>
      <c r="F176" s="8">
        <f>IF(A176="","",IFERROR(INDEX(Recipes!$Q$5:$Q$204,MATCH(A176,Recipes!$A$5:$A$204,0)),""))</f>
        <v>0</v>
      </c>
      <c r="G176" s="8">
        <f>IF(OR(A176="",N176="",N176=0),"",IFERROR(F176/N176*100,""))</f>
        <v>0</v>
      </c>
      <c r="H176" s="8">
        <f>IF(OR(A176="",F176=""),"",COUNTIFS($F$5:$F$204,"&lt;"&amp;F176)+1)</f>
        <v>0</v>
      </c>
      <c r="I176" s="8">
        <f>IF(A176="","",IFERROR(INDEX('Recipe Ingredients'!$B$5:$B$1204,MATCH(1,INDEX(('Recipe Ingredients'!$A$5:$A$1204=A176)*('Recipe Ingredients'!$H$5:$H$1204=J176),0),0)),""))</f>
        <v>0</v>
      </c>
      <c r="J176" s="8">
        <f>IF(A176="","",SUMPRODUCT(MAX(('Recipe Ingredients'!$A$5:$A$1204=A176)*'Recipe Ingredients'!$H$5:$H$1204)))</f>
        <v>0</v>
      </c>
      <c r="K176" s="8">
        <f>IF(OR(A176="",E176="",E176=0),"",IFERROR(J176/E176,""))</f>
        <v>0</v>
      </c>
      <c r="L176" s="8">
        <f>IF(OR(A176="",F176=""),"",IFERROR(F176-AVERAGE($F$5:$F$204),""))</f>
        <v>0</v>
      </c>
      <c r="M176" s="8">
        <f>IF(OR(A176="",F176=""),"",IF(F176&lt;=Weekly_Budget/21,"Within budget","Over budget"))</f>
        <v>0</v>
      </c>
      <c r="N176" s="8">
        <f>IF(A176="","",IFERROR(INDEX(Recipes!$H$5:$H$204,MATCH(A176,Recipes!$A$5:$A$204,0)),""))</f>
        <v>0</v>
      </c>
      <c r="O176" s="8">
        <f>IF(A176="","",IFERROR(INDEX(Recipes!$S$5:$S$204,MATCH(A176,Recipes!$A$5:$A$204,0)),""))</f>
        <v>0</v>
      </c>
      <c r="P176" s="8">
        <f>IF(A176="","",IFERROR(INDEX(Recipes!$T$5:$T$204,MATCH(A176,Recipes!$A$5:$A$204,0)),""))</f>
        <v>0</v>
      </c>
      <c r="Q176" s="8">
        <f>IF(OR(A176="",F176=""),"",F176*7*3)</f>
        <v>0</v>
      </c>
      <c r="R176" s="25"/>
    </row>
    <row r="177" spans="1:18">
      <c r="A177" s="7"/>
      <c r="B177" s="8">
        <f>IF(A177="","",IFERROR(INDEX(Recipes!$B$5:$B$204,MATCH(A177,Recipes!$A$5:$A$204,0)),""))</f>
        <v>0</v>
      </c>
      <c r="C177" s="8">
        <f>IF(A177="","",IFERROR(INDEX(Recipes!$D$5:$D$204,MATCH(A177,Recipes!$A$5:$A$204,0)),""))</f>
        <v>0</v>
      </c>
      <c r="D177" s="8">
        <f>IF(A177="","",COUNTIFS('Recipe Ingredients'!$A$5:$A$1204,A177))</f>
        <v>0</v>
      </c>
      <c r="E177" s="8">
        <f>IF(A177="","",SUMIFS('Recipe Ingredients'!$H$5:$H$1204,'Recipe Ingredients'!$A$5:$A$1204,A177))</f>
        <v>0</v>
      </c>
      <c r="F177" s="8">
        <f>IF(A177="","",IFERROR(INDEX(Recipes!$Q$5:$Q$204,MATCH(A177,Recipes!$A$5:$A$204,0)),""))</f>
        <v>0</v>
      </c>
      <c r="G177" s="8">
        <f>IF(OR(A177="",N177="",N177=0),"",IFERROR(F177/N177*100,""))</f>
        <v>0</v>
      </c>
      <c r="H177" s="8">
        <f>IF(OR(A177="",F177=""),"",COUNTIFS($F$5:$F$204,"&lt;"&amp;F177)+1)</f>
        <v>0</v>
      </c>
      <c r="I177" s="8">
        <f>IF(A177="","",IFERROR(INDEX('Recipe Ingredients'!$B$5:$B$1204,MATCH(1,INDEX(('Recipe Ingredients'!$A$5:$A$1204=A177)*('Recipe Ingredients'!$H$5:$H$1204=J177),0),0)),""))</f>
        <v>0</v>
      </c>
      <c r="J177" s="8">
        <f>IF(A177="","",SUMPRODUCT(MAX(('Recipe Ingredients'!$A$5:$A$1204=A177)*'Recipe Ingredients'!$H$5:$H$1204)))</f>
        <v>0</v>
      </c>
      <c r="K177" s="8">
        <f>IF(OR(A177="",E177="",E177=0),"",IFERROR(J177/E177,""))</f>
        <v>0</v>
      </c>
      <c r="L177" s="8">
        <f>IF(OR(A177="",F177=""),"",IFERROR(F177-AVERAGE($F$5:$F$204),""))</f>
        <v>0</v>
      </c>
      <c r="M177" s="8">
        <f>IF(OR(A177="",F177=""),"",IF(F177&lt;=Weekly_Budget/21,"Within budget","Over budget"))</f>
        <v>0</v>
      </c>
      <c r="N177" s="8">
        <f>IF(A177="","",IFERROR(INDEX(Recipes!$H$5:$H$204,MATCH(A177,Recipes!$A$5:$A$204,0)),""))</f>
        <v>0</v>
      </c>
      <c r="O177" s="8">
        <f>IF(A177="","",IFERROR(INDEX(Recipes!$S$5:$S$204,MATCH(A177,Recipes!$A$5:$A$204,0)),""))</f>
        <v>0</v>
      </c>
      <c r="P177" s="8">
        <f>IF(A177="","",IFERROR(INDEX(Recipes!$T$5:$T$204,MATCH(A177,Recipes!$A$5:$A$204,0)),""))</f>
        <v>0</v>
      </c>
      <c r="Q177" s="8">
        <f>IF(OR(A177="",F177=""),"",F177*7*3)</f>
        <v>0</v>
      </c>
      <c r="R177" s="25"/>
    </row>
    <row r="178" spans="1:18">
      <c r="A178" s="7"/>
      <c r="B178" s="8">
        <f>IF(A178="","",IFERROR(INDEX(Recipes!$B$5:$B$204,MATCH(A178,Recipes!$A$5:$A$204,0)),""))</f>
        <v>0</v>
      </c>
      <c r="C178" s="8">
        <f>IF(A178="","",IFERROR(INDEX(Recipes!$D$5:$D$204,MATCH(A178,Recipes!$A$5:$A$204,0)),""))</f>
        <v>0</v>
      </c>
      <c r="D178" s="8">
        <f>IF(A178="","",COUNTIFS('Recipe Ingredients'!$A$5:$A$1204,A178))</f>
        <v>0</v>
      </c>
      <c r="E178" s="8">
        <f>IF(A178="","",SUMIFS('Recipe Ingredients'!$H$5:$H$1204,'Recipe Ingredients'!$A$5:$A$1204,A178))</f>
        <v>0</v>
      </c>
      <c r="F178" s="8">
        <f>IF(A178="","",IFERROR(INDEX(Recipes!$Q$5:$Q$204,MATCH(A178,Recipes!$A$5:$A$204,0)),""))</f>
        <v>0</v>
      </c>
      <c r="G178" s="8">
        <f>IF(OR(A178="",N178="",N178=0),"",IFERROR(F178/N178*100,""))</f>
        <v>0</v>
      </c>
      <c r="H178" s="8">
        <f>IF(OR(A178="",F178=""),"",COUNTIFS($F$5:$F$204,"&lt;"&amp;F178)+1)</f>
        <v>0</v>
      </c>
      <c r="I178" s="8">
        <f>IF(A178="","",IFERROR(INDEX('Recipe Ingredients'!$B$5:$B$1204,MATCH(1,INDEX(('Recipe Ingredients'!$A$5:$A$1204=A178)*('Recipe Ingredients'!$H$5:$H$1204=J178),0),0)),""))</f>
        <v>0</v>
      </c>
      <c r="J178" s="8">
        <f>IF(A178="","",SUMPRODUCT(MAX(('Recipe Ingredients'!$A$5:$A$1204=A178)*'Recipe Ingredients'!$H$5:$H$1204)))</f>
        <v>0</v>
      </c>
      <c r="K178" s="8">
        <f>IF(OR(A178="",E178="",E178=0),"",IFERROR(J178/E178,""))</f>
        <v>0</v>
      </c>
      <c r="L178" s="8">
        <f>IF(OR(A178="",F178=""),"",IFERROR(F178-AVERAGE($F$5:$F$204),""))</f>
        <v>0</v>
      </c>
      <c r="M178" s="8">
        <f>IF(OR(A178="",F178=""),"",IF(F178&lt;=Weekly_Budget/21,"Within budget","Over budget"))</f>
        <v>0</v>
      </c>
      <c r="N178" s="8">
        <f>IF(A178="","",IFERROR(INDEX(Recipes!$H$5:$H$204,MATCH(A178,Recipes!$A$5:$A$204,0)),""))</f>
        <v>0</v>
      </c>
      <c r="O178" s="8">
        <f>IF(A178="","",IFERROR(INDEX(Recipes!$S$5:$S$204,MATCH(A178,Recipes!$A$5:$A$204,0)),""))</f>
        <v>0</v>
      </c>
      <c r="P178" s="8">
        <f>IF(A178="","",IFERROR(INDEX(Recipes!$T$5:$T$204,MATCH(A178,Recipes!$A$5:$A$204,0)),""))</f>
        <v>0</v>
      </c>
      <c r="Q178" s="8">
        <f>IF(OR(A178="",F178=""),"",F178*7*3)</f>
        <v>0</v>
      </c>
      <c r="R178" s="25"/>
    </row>
    <row r="179" spans="1:18">
      <c r="A179" s="7"/>
      <c r="B179" s="8">
        <f>IF(A179="","",IFERROR(INDEX(Recipes!$B$5:$B$204,MATCH(A179,Recipes!$A$5:$A$204,0)),""))</f>
        <v>0</v>
      </c>
      <c r="C179" s="8">
        <f>IF(A179="","",IFERROR(INDEX(Recipes!$D$5:$D$204,MATCH(A179,Recipes!$A$5:$A$204,0)),""))</f>
        <v>0</v>
      </c>
      <c r="D179" s="8">
        <f>IF(A179="","",COUNTIFS('Recipe Ingredients'!$A$5:$A$1204,A179))</f>
        <v>0</v>
      </c>
      <c r="E179" s="8">
        <f>IF(A179="","",SUMIFS('Recipe Ingredients'!$H$5:$H$1204,'Recipe Ingredients'!$A$5:$A$1204,A179))</f>
        <v>0</v>
      </c>
      <c r="F179" s="8">
        <f>IF(A179="","",IFERROR(INDEX(Recipes!$Q$5:$Q$204,MATCH(A179,Recipes!$A$5:$A$204,0)),""))</f>
        <v>0</v>
      </c>
      <c r="G179" s="8">
        <f>IF(OR(A179="",N179="",N179=0),"",IFERROR(F179/N179*100,""))</f>
        <v>0</v>
      </c>
      <c r="H179" s="8">
        <f>IF(OR(A179="",F179=""),"",COUNTIFS($F$5:$F$204,"&lt;"&amp;F179)+1)</f>
        <v>0</v>
      </c>
      <c r="I179" s="8">
        <f>IF(A179="","",IFERROR(INDEX('Recipe Ingredients'!$B$5:$B$1204,MATCH(1,INDEX(('Recipe Ingredients'!$A$5:$A$1204=A179)*('Recipe Ingredients'!$H$5:$H$1204=J179),0),0)),""))</f>
        <v>0</v>
      </c>
      <c r="J179" s="8">
        <f>IF(A179="","",SUMPRODUCT(MAX(('Recipe Ingredients'!$A$5:$A$1204=A179)*'Recipe Ingredients'!$H$5:$H$1204)))</f>
        <v>0</v>
      </c>
      <c r="K179" s="8">
        <f>IF(OR(A179="",E179="",E179=0),"",IFERROR(J179/E179,""))</f>
        <v>0</v>
      </c>
      <c r="L179" s="8">
        <f>IF(OR(A179="",F179=""),"",IFERROR(F179-AVERAGE($F$5:$F$204),""))</f>
        <v>0</v>
      </c>
      <c r="M179" s="8">
        <f>IF(OR(A179="",F179=""),"",IF(F179&lt;=Weekly_Budget/21,"Within budget","Over budget"))</f>
        <v>0</v>
      </c>
      <c r="N179" s="8">
        <f>IF(A179="","",IFERROR(INDEX(Recipes!$H$5:$H$204,MATCH(A179,Recipes!$A$5:$A$204,0)),""))</f>
        <v>0</v>
      </c>
      <c r="O179" s="8">
        <f>IF(A179="","",IFERROR(INDEX(Recipes!$S$5:$S$204,MATCH(A179,Recipes!$A$5:$A$204,0)),""))</f>
        <v>0</v>
      </c>
      <c r="P179" s="8">
        <f>IF(A179="","",IFERROR(INDEX(Recipes!$T$5:$T$204,MATCH(A179,Recipes!$A$5:$A$204,0)),""))</f>
        <v>0</v>
      </c>
      <c r="Q179" s="8">
        <f>IF(OR(A179="",F179=""),"",F179*7*3)</f>
        <v>0</v>
      </c>
      <c r="R179" s="25"/>
    </row>
    <row r="180" spans="1:18">
      <c r="A180" s="7"/>
      <c r="B180" s="8">
        <f>IF(A180="","",IFERROR(INDEX(Recipes!$B$5:$B$204,MATCH(A180,Recipes!$A$5:$A$204,0)),""))</f>
        <v>0</v>
      </c>
      <c r="C180" s="8">
        <f>IF(A180="","",IFERROR(INDEX(Recipes!$D$5:$D$204,MATCH(A180,Recipes!$A$5:$A$204,0)),""))</f>
        <v>0</v>
      </c>
      <c r="D180" s="8">
        <f>IF(A180="","",COUNTIFS('Recipe Ingredients'!$A$5:$A$1204,A180))</f>
        <v>0</v>
      </c>
      <c r="E180" s="8">
        <f>IF(A180="","",SUMIFS('Recipe Ingredients'!$H$5:$H$1204,'Recipe Ingredients'!$A$5:$A$1204,A180))</f>
        <v>0</v>
      </c>
      <c r="F180" s="8">
        <f>IF(A180="","",IFERROR(INDEX(Recipes!$Q$5:$Q$204,MATCH(A180,Recipes!$A$5:$A$204,0)),""))</f>
        <v>0</v>
      </c>
      <c r="G180" s="8">
        <f>IF(OR(A180="",N180="",N180=0),"",IFERROR(F180/N180*100,""))</f>
        <v>0</v>
      </c>
      <c r="H180" s="8">
        <f>IF(OR(A180="",F180=""),"",COUNTIFS($F$5:$F$204,"&lt;"&amp;F180)+1)</f>
        <v>0</v>
      </c>
      <c r="I180" s="8">
        <f>IF(A180="","",IFERROR(INDEX('Recipe Ingredients'!$B$5:$B$1204,MATCH(1,INDEX(('Recipe Ingredients'!$A$5:$A$1204=A180)*('Recipe Ingredients'!$H$5:$H$1204=J180),0),0)),""))</f>
        <v>0</v>
      </c>
      <c r="J180" s="8">
        <f>IF(A180="","",SUMPRODUCT(MAX(('Recipe Ingredients'!$A$5:$A$1204=A180)*'Recipe Ingredients'!$H$5:$H$1204)))</f>
        <v>0</v>
      </c>
      <c r="K180" s="8">
        <f>IF(OR(A180="",E180="",E180=0),"",IFERROR(J180/E180,""))</f>
        <v>0</v>
      </c>
      <c r="L180" s="8">
        <f>IF(OR(A180="",F180=""),"",IFERROR(F180-AVERAGE($F$5:$F$204),""))</f>
        <v>0</v>
      </c>
      <c r="M180" s="8">
        <f>IF(OR(A180="",F180=""),"",IF(F180&lt;=Weekly_Budget/21,"Within budget","Over budget"))</f>
        <v>0</v>
      </c>
      <c r="N180" s="8">
        <f>IF(A180="","",IFERROR(INDEX(Recipes!$H$5:$H$204,MATCH(A180,Recipes!$A$5:$A$204,0)),""))</f>
        <v>0</v>
      </c>
      <c r="O180" s="8">
        <f>IF(A180="","",IFERROR(INDEX(Recipes!$S$5:$S$204,MATCH(A180,Recipes!$A$5:$A$204,0)),""))</f>
        <v>0</v>
      </c>
      <c r="P180" s="8">
        <f>IF(A180="","",IFERROR(INDEX(Recipes!$T$5:$T$204,MATCH(A180,Recipes!$A$5:$A$204,0)),""))</f>
        <v>0</v>
      </c>
      <c r="Q180" s="8">
        <f>IF(OR(A180="",F180=""),"",F180*7*3)</f>
        <v>0</v>
      </c>
      <c r="R180" s="25"/>
    </row>
    <row r="181" spans="1:18">
      <c r="A181" s="7"/>
      <c r="B181" s="8">
        <f>IF(A181="","",IFERROR(INDEX(Recipes!$B$5:$B$204,MATCH(A181,Recipes!$A$5:$A$204,0)),""))</f>
        <v>0</v>
      </c>
      <c r="C181" s="8">
        <f>IF(A181="","",IFERROR(INDEX(Recipes!$D$5:$D$204,MATCH(A181,Recipes!$A$5:$A$204,0)),""))</f>
        <v>0</v>
      </c>
      <c r="D181" s="8">
        <f>IF(A181="","",COUNTIFS('Recipe Ingredients'!$A$5:$A$1204,A181))</f>
        <v>0</v>
      </c>
      <c r="E181" s="8">
        <f>IF(A181="","",SUMIFS('Recipe Ingredients'!$H$5:$H$1204,'Recipe Ingredients'!$A$5:$A$1204,A181))</f>
        <v>0</v>
      </c>
      <c r="F181" s="8">
        <f>IF(A181="","",IFERROR(INDEX(Recipes!$Q$5:$Q$204,MATCH(A181,Recipes!$A$5:$A$204,0)),""))</f>
        <v>0</v>
      </c>
      <c r="G181" s="8">
        <f>IF(OR(A181="",N181="",N181=0),"",IFERROR(F181/N181*100,""))</f>
        <v>0</v>
      </c>
      <c r="H181" s="8">
        <f>IF(OR(A181="",F181=""),"",COUNTIFS($F$5:$F$204,"&lt;"&amp;F181)+1)</f>
        <v>0</v>
      </c>
      <c r="I181" s="8">
        <f>IF(A181="","",IFERROR(INDEX('Recipe Ingredients'!$B$5:$B$1204,MATCH(1,INDEX(('Recipe Ingredients'!$A$5:$A$1204=A181)*('Recipe Ingredients'!$H$5:$H$1204=J181),0),0)),""))</f>
        <v>0</v>
      </c>
      <c r="J181" s="8">
        <f>IF(A181="","",SUMPRODUCT(MAX(('Recipe Ingredients'!$A$5:$A$1204=A181)*'Recipe Ingredients'!$H$5:$H$1204)))</f>
        <v>0</v>
      </c>
      <c r="K181" s="8">
        <f>IF(OR(A181="",E181="",E181=0),"",IFERROR(J181/E181,""))</f>
        <v>0</v>
      </c>
      <c r="L181" s="8">
        <f>IF(OR(A181="",F181=""),"",IFERROR(F181-AVERAGE($F$5:$F$204),""))</f>
        <v>0</v>
      </c>
      <c r="M181" s="8">
        <f>IF(OR(A181="",F181=""),"",IF(F181&lt;=Weekly_Budget/21,"Within budget","Over budget"))</f>
        <v>0</v>
      </c>
      <c r="N181" s="8">
        <f>IF(A181="","",IFERROR(INDEX(Recipes!$H$5:$H$204,MATCH(A181,Recipes!$A$5:$A$204,0)),""))</f>
        <v>0</v>
      </c>
      <c r="O181" s="8">
        <f>IF(A181="","",IFERROR(INDEX(Recipes!$S$5:$S$204,MATCH(A181,Recipes!$A$5:$A$204,0)),""))</f>
        <v>0</v>
      </c>
      <c r="P181" s="8">
        <f>IF(A181="","",IFERROR(INDEX(Recipes!$T$5:$T$204,MATCH(A181,Recipes!$A$5:$A$204,0)),""))</f>
        <v>0</v>
      </c>
      <c r="Q181" s="8">
        <f>IF(OR(A181="",F181=""),"",F181*7*3)</f>
        <v>0</v>
      </c>
      <c r="R181" s="25"/>
    </row>
    <row r="182" spans="1:18">
      <c r="A182" s="7"/>
      <c r="B182" s="8">
        <f>IF(A182="","",IFERROR(INDEX(Recipes!$B$5:$B$204,MATCH(A182,Recipes!$A$5:$A$204,0)),""))</f>
        <v>0</v>
      </c>
      <c r="C182" s="8">
        <f>IF(A182="","",IFERROR(INDEX(Recipes!$D$5:$D$204,MATCH(A182,Recipes!$A$5:$A$204,0)),""))</f>
        <v>0</v>
      </c>
      <c r="D182" s="8">
        <f>IF(A182="","",COUNTIFS('Recipe Ingredients'!$A$5:$A$1204,A182))</f>
        <v>0</v>
      </c>
      <c r="E182" s="8">
        <f>IF(A182="","",SUMIFS('Recipe Ingredients'!$H$5:$H$1204,'Recipe Ingredients'!$A$5:$A$1204,A182))</f>
        <v>0</v>
      </c>
      <c r="F182" s="8">
        <f>IF(A182="","",IFERROR(INDEX(Recipes!$Q$5:$Q$204,MATCH(A182,Recipes!$A$5:$A$204,0)),""))</f>
        <v>0</v>
      </c>
      <c r="G182" s="8">
        <f>IF(OR(A182="",N182="",N182=0),"",IFERROR(F182/N182*100,""))</f>
        <v>0</v>
      </c>
      <c r="H182" s="8">
        <f>IF(OR(A182="",F182=""),"",COUNTIFS($F$5:$F$204,"&lt;"&amp;F182)+1)</f>
        <v>0</v>
      </c>
      <c r="I182" s="8">
        <f>IF(A182="","",IFERROR(INDEX('Recipe Ingredients'!$B$5:$B$1204,MATCH(1,INDEX(('Recipe Ingredients'!$A$5:$A$1204=A182)*('Recipe Ingredients'!$H$5:$H$1204=J182),0),0)),""))</f>
        <v>0</v>
      </c>
      <c r="J182" s="8">
        <f>IF(A182="","",SUMPRODUCT(MAX(('Recipe Ingredients'!$A$5:$A$1204=A182)*'Recipe Ingredients'!$H$5:$H$1204)))</f>
        <v>0</v>
      </c>
      <c r="K182" s="8">
        <f>IF(OR(A182="",E182="",E182=0),"",IFERROR(J182/E182,""))</f>
        <v>0</v>
      </c>
      <c r="L182" s="8">
        <f>IF(OR(A182="",F182=""),"",IFERROR(F182-AVERAGE($F$5:$F$204),""))</f>
        <v>0</v>
      </c>
      <c r="M182" s="8">
        <f>IF(OR(A182="",F182=""),"",IF(F182&lt;=Weekly_Budget/21,"Within budget","Over budget"))</f>
        <v>0</v>
      </c>
      <c r="N182" s="8">
        <f>IF(A182="","",IFERROR(INDEX(Recipes!$H$5:$H$204,MATCH(A182,Recipes!$A$5:$A$204,0)),""))</f>
        <v>0</v>
      </c>
      <c r="O182" s="8">
        <f>IF(A182="","",IFERROR(INDEX(Recipes!$S$5:$S$204,MATCH(A182,Recipes!$A$5:$A$204,0)),""))</f>
        <v>0</v>
      </c>
      <c r="P182" s="8">
        <f>IF(A182="","",IFERROR(INDEX(Recipes!$T$5:$T$204,MATCH(A182,Recipes!$A$5:$A$204,0)),""))</f>
        <v>0</v>
      </c>
      <c r="Q182" s="8">
        <f>IF(OR(A182="",F182=""),"",F182*7*3)</f>
        <v>0</v>
      </c>
      <c r="R182" s="25"/>
    </row>
    <row r="183" spans="1:18">
      <c r="A183" s="7"/>
      <c r="B183" s="8">
        <f>IF(A183="","",IFERROR(INDEX(Recipes!$B$5:$B$204,MATCH(A183,Recipes!$A$5:$A$204,0)),""))</f>
        <v>0</v>
      </c>
      <c r="C183" s="8">
        <f>IF(A183="","",IFERROR(INDEX(Recipes!$D$5:$D$204,MATCH(A183,Recipes!$A$5:$A$204,0)),""))</f>
        <v>0</v>
      </c>
      <c r="D183" s="8">
        <f>IF(A183="","",COUNTIFS('Recipe Ingredients'!$A$5:$A$1204,A183))</f>
        <v>0</v>
      </c>
      <c r="E183" s="8">
        <f>IF(A183="","",SUMIFS('Recipe Ingredients'!$H$5:$H$1204,'Recipe Ingredients'!$A$5:$A$1204,A183))</f>
        <v>0</v>
      </c>
      <c r="F183" s="8">
        <f>IF(A183="","",IFERROR(INDEX(Recipes!$Q$5:$Q$204,MATCH(A183,Recipes!$A$5:$A$204,0)),""))</f>
        <v>0</v>
      </c>
      <c r="G183" s="8">
        <f>IF(OR(A183="",N183="",N183=0),"",IFERROR(F183/N183*100,""))</f>
        <v>0</v>
      </c>
      <c r="H183" s="8">
        <f>IF(OR(A183="",F183=""),"",COUNTIFS($F$5:$F$204,"&lt;"&amp;F183)+1)</f>
        <v>0</v>
      </c>
      <c r="I183" s="8">
        <f>IF(A183="","",IFERROR(INDEX('Recipe Ingredients'!$B$5:$B$1204,MATCH(1,INDEX(('Recipe Ingredients'!$A$5:$A$1204=A183)*('Recipe Ingredients'!$H$5:$H$1204=J183),0),0)),""))</f>
        <v>0</v>
      </c>
      <c r="J183" s="8">
        <f>IF(A183="","",SUMPRODUCT(MAX(('Recipe Ingredients'!$A$5:$A$1204=A183)*'Recipe Ingredients'!$H$5:$H$1204)))</f>
        <v>0</v>
      </c>
      <c r="K183" s="8">
        <f>IF(OR(A183="",E183="",E183=0),"",IFERROR(J183/E183,""))</f>
        <v>0</v>
      </c>
      <c r="L183" s="8">
        <f>IF(OR(A183="",F183=""),"",IFERROR(F183-AVERAGE($F$5:$F$204),""))</f>
        <v>0</v>
      </c>
      <c r="M183" s="8">
        <f>IF(OR(A183="",F183=""),"",IF(F183&lt;=Weekly_Budget/21,"Within budget","Over budget"))</f>
        <v>0</v>
      </c>
      <c r="N183" s="8">
        <f>IF(A183="","",IFERROR(INDEX(Recipes!$H$5:$H$204,MATCH(A183,Recipes!$A$5:$A$204,0)),""))</f>
        <v>0</v>
      </c>
      <c r="O183" s="8">
        <f>IF(A183="","",IFERROR(INDEX(Recipes!$S$5:$S$204,MATCH(A183,Recipes!$A$5:$A$204,0)),""))</f>
        <v>0</v>
      </c>
      <c r="P183" s="8">
        <f>IF(A183="","",IFERROR(INDEX(Recipes!$T$5:$T$204,MATCH(A183,Recipes!$A$5:$A$204,0)),""))</f>
        <v>0</v>
      </c>
      <c r="Q183" s="8">
        <f>IF(OR(A183="",F183=""),"",F183*7*3)</f>
        <v>0</v>
      </c>
      <c r="R183" s="25"/>
    </row>
    <row r="184" spans="1:18">
      <c r="A184" s="7"/>
      <c r="B184" s="8">
        <f>IF(A184="","",IFERROR(INDEX(Recipes!$B$5:$B$204,MATCH(A184,Recipes!$A$5:$A$204,0)),""))</f>
        <v>0</v>
      </c>
      <c r="C184" s="8">
        <f>IF(A184="","",IFERROR(INDEX(Recipes!$D$5:$D$204,MATCH(A184,Recipes!$A$5:$A$204,0)),""))</f>
        <v>0</v>
      </c>
      <c r="D184" s="8">
        <f>IF(A184="","",COUNTIFS('Recipe Ingredients'!$A$5:$A$1204,A184))</f>
        <v>0</v>
      </c>
      <c r="E184" s="8">
        <f>IF(A184="","",SUMIFS('Recipe Ingredients'!$H$5:$H$1204,'Recipe Ingredients'!$A$5:$A$1204,A184))</f>
        <v>0</v>
      </c>
      <c r="F184" s="8">
        <f>IF(A184="","",IFERROR(INDEX(Recipes!$Q$5:$Q$204,MATCH(A184,Recipes!$A$5:$A$204,0)),""))</f>
        <v>0</v>
      </c>
      <c r="G184" s="8">
        <f>IF(OR(A184="",N184="",N184=0),"",IFERROR(F184/N184*100,""))</f>
        <v>0</v>
      </c>
      <c r="H184" s="8">
        <f>IF(OR(A184="",F184=""),"",COUNTIFS($F$5:$F$204,"&lt;"&amp;F184)+1)</f>
        <v>0</v>
      </c>
      <c r="I184" s="8">
        <f>IF(A184="","",IFERROR(INDEX('Recipe Ingredients'!$B$5:$B$1204,MATCH(1,INDEX(('Recipe Ingredients'!$A$5:$A$1204=A184)*('Recipe Ingredients'!$H$5:$H$1204=J184),0),0)),""))</f>
        <v>0</v>
      </c>
      <c r="J184" s="8">
        <f>IF(A184="","",SUMPRODUCT(MAX(('Recipe Ingredients'!$A$5:$A$1204=A184)*'Recipe Ingredients'!$H$5:$H$1204)))</f>
        <v>0</v>
      </c>
      <c r="K184" s="8">
        <f>IF(OR(A184="",E184="",E184=0),"",IFERROR(J184/E184,""))</f>
        <v>0</v>
      </c>
      <c r="L184" s="8">
        <f>IF(OR(A184="",F184=""),"",IFERROR(F184-AVERAGE($F$5:$F$204),""))</f>
        <v>0</v>
      </c>
      <c r="M184" s="8">
        <f>IF(OR(A184="",F184=""),"",IF(F184&lt;=Weekly_Budget/21,"Within budget","Over budget"))</f>
        <v>0</v>
      </c>
      <c r="N184" s="8">
        <f>IF(A184="","",IFERROR(INDEX(Recipes!$H$5:$H$204,MATCH(A184,Recipes!$A$5:$A$204,0)),""))</f>
        <v>0</v>
      </c>
      <c r="O184" s="8">
        <f>IF(A184="","",IFERROR(INDEX(Recipes!$S$5:$S$204,MATCH(A184,Recipes!$A$5:$A$204,0)),""))</f>
        <v>0</v>
      </c>
      <c r="P184" s="8">
        <f>IF(A184="","",IFERROR(INDEX(Recipes!$T$5:$T$204,MATCH(A184,Recipes!$A$5:$A$204,0)),""))</f>
        <v>0</v>
      </c>
      <c r="Q184" s="8">
        <f>IF(OR(A184="",F184=""),"",F184*7*3)</f>
        <v>0</v>
      </c>
      <c r="R184" s="25"/>
    </row>
    <row r="185" spans="1:18">
      <c r="A185" s="7"/>
      <c r="B185" s="8">
        <f>IF(A185="","",IFERROR(INDEX(Recipes!$B$5:$B$204,MATCH(A185,Recipes!$A$5:$A$204,0)),""))</f>
        <v>0</v>
      </c>
      <c r="C185" s="8">
        <f>IF(A185="","",IFERROR(INDEX(Recipes!$D$5:$D$204,MATCH(A185,Recipes!$A$5:$A$204,0)),""))</f>
        <v>0</v>
      </c>
      <c r="D185" s="8">
        <f>IF(A185="","",COUNTIFS('Recipe Ingredients'!$A$5:$A$1204,A185))</f>
        <v>0</v>
      </c>
      <c r="E185" s="8">
        <f>IF(A185="","",SUMIFS('Recipe Ingredients'!$H$5:$H$1204,'Recipe Ingredients'!$A$5:$A$1204,A185))</f>
        <v>0</v>
      </c>
      <c r="F185" s="8">
        <f>IF(A185="","",IFERROR(INDEX(Recipes!$Q$5:$Q$204,MATCH(A185,Recipes!$A$5:$A$204,0)),""))</f>
        <v>0</v>
      </c>
      <c r="G185" s="8">
        <f>IF(OR(A185="",N185="",N185=0),"",IFERROR(F185/N185*100,""))</f>
        <v>0</v>
      </c>
      <c r="H185" s="8">
        <f>IF(OR(A185="",F185=""),"",COUNTIFS($F$5:$F$204,"&lt;"&amp;F185)+1)</f>
        <v>0</v>
      </c>
      <c r="I185" s="8">
        <f>IF(A185="","",IFERROR(INDEX('Recipe Ingredients'!$B$5:$B$1204,MATCH(1,INDEX(('Recipe Ingredients'!$A$5:$A$1204=A185)*('Recipe Ingredients'!$H$5:$H$1204=J185),0),0)),""))</f>
        <v>0</v>
      </c>
      <c r="J185" s="8">
        <f>IF(A185="","",SUMPRODUCT(MAX(('Recipe Ingredients'!$A$5:$A$1204=A185)*'Recipe Ingredients'!$H$5:$H$1204)))</f>
        <v>0</v>
      </c>
      <c r="K185" s="8">
        <f>IF(OR(A185="",E185="",E185=0),"",IFERROR(J185/E185,""))</f>
        <v>0</v>
      </c>
      <c r="L185" s="8">
        <f>IF(OR(A185="",F185=""),"",IFERROR(F185-AVERAGE($F$5:$F$204),""))</f>
        <v>0</v>
      </c>
      <c r="M185" s="8">
        <f>IF(OR(A185="",F185=""),"",IF(F185&lt;=Weekly_Budget/21,"Within budget","Over budget"))</f>
        <v>0</v>
      </c>
      <c r="N185" s="8">
        <f>IF(A185="","",IFERROR(INDEX(Recipes!$H$5:$H$204,MATCH(A185,Recipes!$A$5:$A$204,0)),""))</f>
        <v>0</v>
      </c>
      <c r="O185" s="8">
        <f>IF(A185="","",IFERROR(INDEX(Recipes!$S$5:$S$204,MATCH(A185,Recipes!$A$5:$A$204,0)),""))</f>
        <v>0</v>
      </c>
      <c r="P185" s="8">
        <f>IF(A185="","",IFERROR(INDEX(Recipes!$T$5:$T$204,MATCH(A185,Recipes!$A$5:$A$204,0)),""))</f>
        <v>0</v>
      </c>
      <c r="Q185" s="8">
        <f>IF(OR(A185="",F185=""),"",F185*7*3)</f>
        <v>0</v>
      </c>
      <c r="R185" s="25"/>
    </row>
    <row r="186" spans="1:18">
      <c r="A186" s="7"/>
      <c r="B186" s="8">
        <f>IF(A186="","",IFERROR(INDEX(Recipes!$B$5:$B$204,MATCH(A186,Recipes!$A$5:$A$204,0)),""))</f>
        <v>0</v>
      </c>
      <c r="C186" s="8">
        <f>IF(A186="","",IFERROR(INDEX(Recipes!$D$5:$D$204,MATCH(A186,Recipes!$A$5:$A$204,0)),""))</f>
        <v>0</v>
      </c>
      <c r="D186" s="8">
        <f>IF(A186="","",COUNTIFS('Recipe Ingredients'!$A$5:$A$1204,A186))</f>
        <v>0</v>
      </c>
      <c r="E186" s="8">
        <f>IF(A186="","",SUMIFS('Recipe Ingredients'!$H$5:$H$1204,'Recipe Ingredients'!$A$5:$A$1204,A186))</f>
        <v>0</v>
      </c>
      <c r="F186" s="8">
        <f>IF(A186="","",IFERROR(INDEX(Recipes!$Q$5:$Q$204,MATCH(A186,Recipes!$A$5:$A$204,0)),""))</f>
        <v>0</v>
      </c>
      <c r="G186" s="8">
        <f>IF(OR(A186="",N186="",N186=0),"",IFERROR(F186/N186*100,""))</f>
        <v>0</v>
      </c>
      <c r="H186" s="8">
        <f>IF(OR(A186="",F186=""),"",COUNTIFS($F$5:$F$204,"&lt;"&amp;F186)+1)</f>
        <v>0</v>
      </c>
      <c r="I186" s="8">
        <f>IF(A186="","",IFERROR(INDEX('Recipe Ingredients'!$B$5:$B$1204,MATCH(1,INDEX(('Recipe Ingredients'!$A$5:$A$1204=A186)*('Recipe Ingredients'!$H$5:$H$1204=J186),0),0)),""))</f>
        <v>0</v>
      </c>
      <c r="J186" s="8">
        <f>IF(A186="","",SUMPRODUCT(MAX(('Recipe Ingredients'!$A$5:$A$1204=A186)*'Recipe Ingredients'!$H$5:$H$1204)))</f>
        <v>0</v>
      </c>
      <c r="K186" s="8">
        <f>IF(OR(A186="",E186="",E186=0),"",IFERROR(J186/E186,""))</f>
        <v>0</v>
      </c>
      <c r="L186" s="8">
        <f>IF(OR(A186="",F186=""),"",IFERROR(F186-AVERAGE($F$5:$F$204),""))</f>
        <v>0</v>
      </c>
      <c r="M186" s="8">
        <f>IF(OR(A186="",F186=""),"",IF(F186&lt;=Weekly_Budget/21,"Within budget","Over budget"))</f>
        <v>0</v>
      </c>
      <c r="N186" s="8">
        <f>IF(A186="","",IFERROR(INDEX(Recipes!$H$5:$H$204,MATCH(A186,Recipes!$A$5:$A$204,0)),""))</f>
        <v>0</v>
      </c>
      <c r="O186" s="8">
        <f>IF(A186="","",IFERROR(INDEX(Recipes!$S$5:$S$204,MATCH(A186,Recipes!$A$5:$A$204,0)),""))</f>
        <v>0</v>
      </c>
      <c r="P186" s="8">
        <f>IF(A186="","",IFERROR(INDEX(Recipes!$T$5:$T$204,MATCH(A186,Recipes!$A$5:$A$204,0)),""))</f>
        <v>0</v>
      </c>
      <c r="Q186" s="8">
        <f>IF(OR(A186="",F186=""),"",F186*7*3)</f>
        <v>0</v>
      </c>
      <c r="R186" s="25"/>
    </row>
    <row r="187" spans="1:18">
      <c r="A187" s="7"/>
      <c r="B187" s="8">
        <f>IF(A187="","",IFERROR(INDEX(Recipes!$B$5:$B$204,MATCH(A187,Recipes!$A$5:$A$204,0)),""))</f>
        <v>0</v>
      </c>
      <c r="C187" s="8">
        <f>IF(A187="","",IFERROR(INDEX(Recipes!$D$5:$D$204,MATCH(A187,Recipes!$A$5:$A$204,0)),""))</f>
        <v>0</v>
      </c>
      <c r="D187" s="8">
        <f>IF(A187="","",COUNTIFS('Recipe Ingredients'!$A$5:$A$1204,A187))</f>
        <v>0</v>
      </c>
      <c r="E187" s="8">
        <f>IF(A187="","",SUMIFS('Recipe Ingredients'!$H$5:$H$1204,'Recipe Ingredients'!$A$5:$A$1204,A187))</f>
        <v>0</v>
      </c>
      <c r="F187" s="8">
        <f>IF(A187="","",IFERROR(INDEX(Recipes!$Q$5:$Q$204,MATCH(A187,Recipes!$A$5:$A$204,0)),""))</f>
        <v>0</v>
      </c>
      <c r="G187" s="8">
        <f>IF(OR(A187="",N187="",N187=0),"",IFERROR(F187/N187*100,""))</f>
        <v>0</v>
      </c>
      <c r="H187" s="8">
        <f>IF(OR(A187="",F187=""),"",COUNTIFS($F$5:$F$204,"&lt;"&amp;F187)+1)</f>
        <v>0</v>
      </c>
      <c r="I187" s="8">
        <f>IF(A187="","",IFERROR(INDEX('Recipe Ingredients'!$B$5:$B$1204,MATCH(1,INDEX(('Recipe Ingredients'!$A$5:$A$1204=A187)*('Recipe Ingredients'!$H$5:$H$1204=J187),0),0)),""))</f>
        <v>0</v>
      </c>
      <c r="J187" s="8">
        <f>IF(A187="","",SUMPRODUCT(MAX(('Recipe Ingredients'!$A$5:$A$1204=A187)*'Recipe Ingredients'!$H$5:$H$1204)))</f>
        <v>0</v>
      </c>
      <c r="K187" s="8">
        <f>IF(OR(A187="",E187="",E187=0),"",IFERROR(J187/E187,""))</f>
        <v>0</v>
      </c>
      <c r="L187" s="8">
        <f>IF(OR(A187="",F187=""),"",IFERROR(F187-AVERAGE($F$5:$F$204),""))</f>
        <v>0</v>
      </c>
      <c r="M187" s="8">
        <f>IF(OR(A187="",F187=""),"",IF(F187&lt;=Weekly_Budget/21,"Within budget","Over budget"))</f>
        <v>0</v>
      </c>
      <c r="N187" s="8">
        <f>IF(A187="","",IFERROR(INDEX(Recipes!$H$5:$H$204,MATCH(A187,Recipes!$A$5:$A$204,0)),""))</f>
        <v>0</v>
      </c>
      <c r="O187" s="8">
        <f>IF(A187="","",IFERROR(INDEX(Recipes!$S$5:$S$204,MATCH(A187,Recipes!$A$5:$A$204,0)),""))</f>
        <v>0</v>
      </c>
      <c r="P187" s="8">
        <f>IF(A187="","",IFERROR(INDEX(Recipes!$T$5:$T$204,MATCH(A187,Recipes!$A$5:$A$204,0)),""))</f>
        <v>0</v>
      </c>
      <c r="Q187" s="8">
        <f>IF(OR(A187="",F187=""),"",F187*7*3)</f>
        <v>0</v>
      </c>
      <c r="R187" s="25"/>
    </row>
    <row r="188" spans="1:18">
      <c r="A188" s="7"/>
      <c r="B188" s="8">
        <f>IF(A188="","",IFERROR(INDEX(Recipes!$B$5:$B$204,MATCH(A188,Recipes!$A$5:$A$204,0)),""))</f>
        <v>0</v>
      </c>
      <c r="C188" s="8">
        <f>IF(A188="","",IFERROR(INDEX(Recipes!$D$5:$D$204,MATCH(A188,Recipes!$A$5:$A$204,0)),""))</f>
        <v>0</v>
      </c>
      <c r="D188" s="8">
        <f>IF(A188="","",COUNTIFS('Recipe Ingredients'!$A$5:$A$1204,A188))</f>
        <v>0</v>
      </c>
      <c r="E188" s="8">
        <f>IF(A188="","",SUMIFS('Recipe Ingredients'!$H$5:$H$1204,'Recipe Ingredients'!$A$5:$A$1204,A188))</f>
        <v>0</v>
      </c>
      <c r="F188" s="8">
        <f>IF(A188="","",IFERROR(INDEX(Recipes!$Q$5:$Q$204,MATCH(A188,Recipes!$A$5:$A$204,0)),""))</f>
        <v>0</v>
      </c>
      <c r="G188" s="8">
        <f>IF(OR(A188="",N188="",N188=0),"",IFERROR(F188/N188*100,""))</f>
        <v>0</v>
      </c>
      <c r="H188" s="8">
        <f>IF(OR(A188="",F188=""),"",COUNTIFS($F$5:$F$204,"&lt;"&amp;F188)+1)</f>
        <v>0</v>
      </c>
      <c r="I188" s="8">
        <f>IF(A188="","",IFERROR(INDEX('Recipe Ingredients'!$B$5:$B$1204,MATCH(1,INDEX(('Recipe Ingredients'!$A$5:$A$1204=A188)*('Recipe Ingredients'!$H$5:$H$1204=J188),0),0)),""))</f>
        <v>0</v>
      </c>
      <c r="J188" s="8">
        <f>IF(A188="","",SUMPRODUCT(MAX(('Recipe Ingredients'!$A$5:$A$1204=A188)*'Recipe Ingredients'!$H$5:$H$1204)))</f>
        <v>0</v>
      </c>
      <c r="K188" s="8">
        <f>IF(OR(A188="",E188="",E188=0),"",IFERROR(J188/E188,""))</f>
        <v>0</v>
      </c>
      <c r="L188" s="8">
        <f>IF(OR(A188="",F188=""),"",IFERROR(F188-AVERAGE($F$5:$F$204),""))</f>
        <v>0</v>
      </c>
      <c r="M188" s="8">
        <f>IF(OR(A188="",F188=""),"",IF(F188&lt;=Weekly_Budget/21,"Within budget","Over budget"))</f>
        <v>0</v>
      </c>
      <c r="N188" s="8">
        <f>IF(A188="","",IFERROR(INDEX(Recipes!$H$5:$H$204,MATCH(A188,Recipes!$A$5:$A$204,0)),""))</f>
        <v>0</v>
      </c>
      <c r="O188" s="8">
        <f>IF(A188="","",IFERROR(INDEX(Recipes!$S$5:$S$204,MATCH(A188,Recipes!$A$5:$A$204,0)),""))</f>
        <v>0</v>
      </c>
      <c r="P188" s="8">
        <f>IF(A188="","",IFERROR(INDEX(Recipes!$T$5:$T$204,MATCH(A188,Recipes!$A$5:$A$204,0)),""))</f>
        <v>0</v>
      </c>
      <c r="Q188" s="8">
        <f>IF(OR(A188="",F188=""),"",F188*7*3)</f>
        <v>0</v>
      </c>
      <c r="R188" s="25"/>
    </row>
    <row r="189" spans="1:18">
      <c r="A189" s="7"/>
      <c r="B189" s="8">
        <f>IF(A189="","",IFERROR(INDEX(Recipes!$B$5:$B$204,MATCH(A189,Recipes!$A$5:$A$204,0)),""))</f>
        <v>0</v>
      </c>
      <c r="C189" s="8">
        <f>IF(A189="","",IFERROR(INDEX(Recipes!$D$5:$D$204,MATCH(A189,Recipes!$A$5:$A$204,0)),""))</f>
        <v>0</v>
      </c>
      <c r="D189" s="8">
        <f>IF(A189="","",COUNTIFS('Recipe Ingredients'!$A$5:$A$1204,A189))</f>
        <v>0</v>
      </c>
      <c r="E189" s="8">
        <f>IF(A189="","",SUMIFS('Recipe Ingredients'!$H$5:$H$1204,'Recipe Ingredients'!$A$5:$A$1204,A189))</f>
        <v>0</v>
      </c>
      <c r="F189" s="8">
        <f>IF(A189="","",IFERROR(INDEX(Recipes!$Q$5:$Q$204,MATCH(A189,Recipes!$A$5:$A$204,0)),""))</f>
        <v>0</v>
      </c>
      <c r="G189" s="8">
        <f>IF(OR(A189="",N189="",N189=0),"",IFERROR(F189/N189*100,""))</f>
        <v>0</v>
      </c>
      <c r="H189" s="8">
        <f>IF(OR(A189="",F189=""),"",COUNTIFS($F$5:$F$204,"&lt;"&amp;F189)+1)</f>
        <v>0</v>
      </c>
      <c r="I189" s="8">
        <f>IF(A189="","",IFERROR(INDEX('Recipe Ingredients'!$B$5:$B$1204,MATCH(1,INDEX(('Recipe Ingredients'!$A$5:$A$1204=A189)*('Recipe Ingredients'!$H$5:$H$1204=J189),0),0)),""))</f>
        <v>0</v>
      </c>
      <c r="J189" s="8">
        <f>IF(A189="","",SUMPRODUCT(MAX(('Recipe Ingredients'!$A$5:$A$1204=A189)*'Recipe Ingredients'!$H$5:$H$1204)))</f>
        <v>0</v>
      </c>
      <c r="K189" s="8">
        <f>IF(OR(A189="",E189="",E189=0),"",IFERROR(J189/E189,""))</f>
        <v>0</v>
      </c>
      <c r="L189" s="8">
        <f>IF(OR(A189="",F189=""),"",IFERROR(F189-AVERAGE($F$5:$F$204),""))</f>
        <v>0</v>
      </c>
      <c r="M189" s="8">
        <f>IF(OR(A189="",F189=""),"",IF(F189&lt;=Weekly_Budget/21,"Within budget","Over budget"))</f>
        <v>0</v>
      </c>
      <c r="N189" s="8">
        <f>IF(A189="","",IFERROR(INDEX(Recipes!$H$5:$H$204,MATCH(A189,Recipes!$A$5:$A$204,0)),""))</f>
        <v>0</v>
      </c>
      <c r="O189" s="8">
        <f>IF(A189="","",IFERROR(INDEX(Recipes!$S$5:$S$204,MATCH(A189,Recipes!$A$5:$A$204,0)),""))</f>
        <v>0</v>
      </c>
      <c r="P189" s="8">
        <f>IF(A189="","",IFERROR(INDEX(Recipes!$T$5:$T$204,MATCH(A189,Recipes!$A$5:$A$204,0)),""))</f>
        <v>0</v>
      </c>
      <c r="Q189" s="8">
        <f>IF(OR(A189="",F189=""),"",F189*7*3)</f>
        <v>0</v>
      </c>
      <c r="R189" s="25"/>
    </row>
    <row r="190" spans="1:18">
      <c r="A190" s="7"/>
      <c r="B190" s="8">
        <f>IF(A190="","",IFERROR(INDEX(Recipes!$B$5:$B$204,MATCH(A190,Recipes!$A$5:$A$204,0)),""))</f>
        <v>0</v>
      </c>
      <c r="C190" s="8">
        <f>IF(A190="","",IFERROR(INDEX(Recipes!$D$5:$D$204,MATCH(A190,Recipes!$A$5:$A$204,0)),""))</f>
        <v>0</v>
      </c>
      <c r="D190" s="8">
        <f>IF(A190="","",COUNTIFS('Recipe Ingredients'!$A$5:$A$1204,A190))</f>
        <v>0</v>
      </c>
      <c r="E190" s="8">
        <f>IF(A190="","",SUMIFS('Recipe Ingredients'!$H$5:$H$1204,'Recipe Ingredients'!$A$5:$A$1204,A190))</f>
        <v>0</v>
      </c>
      <c r="F190" s="8">
        <f>IF(A190="","",IFERROR(INDEX(Recipes!$Q$5:$Q$204,MATCH(A190,Recipes!$A$5:$A$204,0)),""))</f>
        <v>0</v>
      </c>
      <c r="G190" s="8">
        <f>IF(OR(A190="",N190="",N190=0),"",IFERROR(F190/N190*100,""))</f>
        <v>0</v>
      </c>
      <c r="H190" s="8">
        <f>IF(OR(A190="",F190=""),"",COUNTIFS($F$5:$F$204,"&lt;"&amp;F190)+1)</f>
        <v>0</v>
      </c>
      <c r="I190" s="8">
        <f>IF(A190="","",IFERROR(INDEX('Recipe Ingredients'!$B$5:$B$1204,MATCH(1,INDEX(('Recipe Ingredients'!$A$5:$A$1204=A190)*('Recipe Ingredients'!$H$5:$H$1204=J190),0),0)),""))</f>
        <v>0</v>
      </c>
      <c r="J190" s="8">
        <f>IF(A190="","",SUMPRODUCT(MAX(('Recipe Ingredients'!$A$5:$A$1204=A190)*'Recipe Ingredients'!$H$5:$H$1204)))</f>
        <v>0</v>
      </c>
      <c r="K190" s="8">
        <f>IF(OR(A190="",E190="",E190=0),"",IFERROR(J190/E190,""))</f>
        <v>0</v>
      </c>
      <c r="L190" s="8">
        <f>IF(OR(A190="",F190=""),"",IFERROR(F190-AVERAGE($F$5:$F$204),""))</f>
        <v>0</v>
      </c>
      <c r="M190" s="8">
        <f>IF(OR(A190="",F190=""),"",IF(F190&lt;=Weekly_Budget/21,"Within budget","Over budget"))</f>
        <v>0</v>
      </c>
      <c r="N190" s="8">
        <f>IF(A190="","",IFERROR(INDEX(Recipes!$H$5:$H$204,MATCH(A190,Recipes!$A$5:$A$204,0)),""))</f>
        <v>0</v>
      </c>
      <c r="O190" s="8">
        <f>IF(A190="","",IFERROR(INDEX(Recipes!$S$5:$S$204,MATCH(A190,Recipes!$A$5:$A$204,0)),""))</f>
        <v>0</v>
      </c>
      <c r="P190" s="8">
        <f>IF(A190="","",IFERROR(INDEX(Recipes!$T$5:$T$204,MATCH(A190,Recipes!$A$5:$A$204,0)),""))</f>
        <v>0</v>
      </c>
      <c r="Q190" s="8">
        <f>IF(OR(A190="",F190=""),"",F190*7*3)</f>
        <v>0</v>
      </c>
      <c r="R190" s="25"/>
    </row>
    <row r="191" spans="1:18">
      <c r="A191" s="7"/>
      <c r="B191" s="8">
        <f>IF(A191="","",IFERROR(INDEX(Recipes!$B$5:$B$204,MATCH(A191,Recipes!$A$5:$A$204,0)),""))</f>
        <v>0</v>
      </c>
      <c r="C191" s="8">
        <f>IF(A191="","",IFERROR(INDEX(Recipes!$D$5:$D$204,MATCH(A191,Recipes!$A$5:$A$204,0)),""))</f>
        <v>0</v>
      </c>
      <c r="D191" s="8">
        <f>IF(A191="","",COUNTIFS('Recipe Ingredients'!$A$5:$A$1204,A191))</f>
        <v>0</v>
      </c>
      <c r="E191" s="8">
        <f>IF(A191="","",SUMIFS('Recipe Ingredients'!$H$5:$H$1204,'Recipe Ingredients'!$A$5:$A$1204,A191))</f>
        <v>0</v>
      </c>
      <c r="F191" s="8">
        <f>IF(A191="","",IFERROR(INDEX(Recipes!$Q$5:$Q$204,MATCH(A191,Recipes!$A$5:$A$204,0)),""))</f>
        <v>0</v>
      </c>
      <c r="G191" s="8">
        <f>IF(OR(A191="",N191="",N191=0),"",IFERROR(F191/N191*100,""))</f>
        <v>0</v>
      </c>
      <c r="H191" s="8">
        <f>IF(OR(A191="",F191=""),"",COUNTIFS($F$5:$F$204,"&lt;"&amp;F191)+1)</f>
        <v>0</v>
      </c>
      <c r="I191" s="8">
        <f>IF(A191="","",IFERROR(INDEX('Recipe Ingredients'!$B$5:$B$1204,MATCH(1,INDEX(('Recipe Ingredients'!$A$5:$A$1204=A191)*('Recipe Ingredients'!$H$5:$H$1204=J191),0),0)),""))</f>
        <v>0</v>
      </c>
      <c r="J191" s="8">
        <f>IF(A191="","",SUMPRODUCT(MAX(('Recipe Ingredients'!$A$5:$A$1204=A191)*'Recipe Ingredients'!$H$5:$H$1204)))</f>
        <v>0</v>
      </c>
      <c r="K191" s="8">
        <f>IF(OR(A191="",E191="",E191=0),"",IFERROR(J191/E191,""))</f>
        <v>0</v>
      </c>
      <c r="L191" s="8">
        <f>IF(OR(A191="",F191=""),"",IFERROR(F191-AVERAGE($F$5:$F$204),""))</f>
        <v>0</v>
      </c>
      <c r="M191" s="8">
        <f>IF(OR(A191="",F191=""),"",IF(F191&lt;=Weekly_Budget/21,"Within budget","Over budget"))</f>
        <v>0</v>
      </c>
      <c r="N191" s="8">
        <f>IF(A191="","",IFERROR(INDEX(Recipes!$H$5:$H$204,MATCH(A191,Recipes!$A$5:$A$204,0)),""))</f>
        <v>0</v>
      </c>
      <c r="O191" s="8">
        <f>IF(A191="","",IFERROR(INDEX(Recipes!$S$5:$S$204,MATCH(A191,Recipes!$A$5:$A$204,0)),""))</f>
        <v>0</v>
      </c>
      <c r="P191" s="8">
        <f>IF(A191="","",IFERROR(INDEX(Recipes!$T$5:$T$204,MATCH(A191,Recipes!$A$5:$A$204,0)),""))</f>
        <v>0</v>
      </c>
      <c r="Q191" s="8">
        <f>IF(OR(A191="",F191=""),"",F191*7*3)</f>
        <v>0</v>
      </c>
      <c r="R191" s="25"/>
    </row>
    <row r="192" spans="1:18">
      <c r="A192" s="7"/>
      <c r="B192" s="8">
        <f>IF(A192="","",IFERROR(INDEX(Recipes!$B$5:$B$204,MATCH(A192,Recipes!$A$5:$A$204,0)),""))</f>
        <v>0</v>
      </c>
      <c r="C192" s="8">
        <f>IF(A192="","",IFERROR(INDEX(Recipes!$D$5:$D$204,MATCH(A192,Recipes!$A$5:$A$204,0)),""))</f>
        <v>0</v>
      </c>
      <c r="D192" s="8">
        <f>IF(A192="","",COUNTIFS('Recipe Ingredients'!$A$5:$A$1204,A192))</f>
        <v>0</v>
      </c>
      <c r="E192" s="8">
        <f>IF(A192="","",SUMIFS('Recipe Ingredients'!$H$5:$H$1204,'Recipe Ingredients'!$A$5:$A$1204,A192))</f>
        <v>0</v>
      </c>
      <c r="F192" s="8">
        <f>IF(A192="","",IFERROR(INDEX(Recipes!$Q$5:$Q$204,MATCH(A192,Recipes!$A$5:$A$204,0)),""))</f>
        <v>0</v>
      </c>
      <c r="G192" s="8">
        <f>IF(OR(A192="",N192="",N192=0),"",IFERROR(F192/N192*100,""))</f>
        <v>0</v>
      </c>
      <c r="H192" s="8">
        <f>IF(OR(A192="",F192=""),"",COUNTIFS($F$5:$F$204,"&lt;"&amp;F192)+1)</f>
        <v>0</v>
      </c>
      <c r="I192" s="8">
        <f>IF(A192="","",IFERROR(INDEX('Recipe Ingredients'!$B$5:$B$1204,MATCH(1,INDEX(('Recipe Ingredients'!$A$5:$A$1204=A192)*('Recipe Ingredients'!$H$5:$H$1204=J192),0),0)),""))</f>
        <v>0</v>
      </c>
      <c r="J192" s="8">
        <f>IF(A192="","",SUMPRODUCT(MAX(('Recipe Ingredients'!$A$5:$A$1204=A192)*'Recipe Ingredients'!$H$5:$H$1204)))</f>
        <v>0</v>
      </c>
      <c r="K192" s="8">
        <f>IF(OR(A192="",E192="",E192=0),"",IFERROR(J192/E192,""))</f>
        <v>0</v>
      </c>
      <c r="L192" s="8">
        <f>IF(OR(A192="",F192=""),"",IFERROR(F192-AVERAGE($F$5:$F$204),""))</f>
        <v>0</v>
      </c>
      <c r="M192" s="8">
        <f>IF(OR(A192="",F192=""),"",IF(F192&lt;=Weekly_Budget/21,"Within budget","Over budget"))</f>
        <v>0</v>
      </c>
      <c r="N192" s="8">
        <f>IF(A192="","",IFERROR(INDEX(Recipes!$H$5:$H$204,MATCH(A192,Recipes!$A$5:$A$204,0)),""))</f>
        <v>0</v>
      </c>
      <c r="O192" s="8">
        <f>IF(A192="","",IFERROR(INDEX(Recipes!$S$5:$S$204,MATCH(A192,Recipes!$A$5:$A$204,0)),""))</f>
        <v>0</v>
      </c>
      <c r="P192" s="8">
        <f>IF(A192="","",IFERROR(INDEX(Recipes!$T$5:$T$204,MATCH(A192,Recipes!$A$5:$A$204,0)),""))</f>
        <v>0</v>
      </c>
      <c r="Q192" s="8">
        <f>IF(OR(A192="",F192=""),"",F192*7*3)</f>
        <v>0</v>
      </c>
      <c r="R192" s="25"/>
    </row>
    <row r="193" spans="1:18">
      <c r="A193" s="7"/>
      <c r="B193" s="8">
        <f>IF(A193="","",IFERROR(INDEX(Recipes!$B$5:$B$204,MATCH(A193,Recipes!$A$5:$A$204,0)),""))</f>
        <v>0</v>
      </c>
      <c r="C193" s="8">
        <f>IF(A193="","",IFERROR(INDEX(Recipes!$D$5:$D$204,MATCH(A193,Recipes!$A$5:$A$204,0)),""))</f>
        <v>0</v>
      </c>
      <c r="D193" s="8">
        <f>IF(A193="","",COUNTIFS('Recipe Ingredients'!$A$5:$A$1204,A193))</f>
        <v>0</v>
      </c>
      <c r="E193" s="8">
        <f>IF(A193="","",SUMIFS('Recipe Ingredients'!$H$5:$H$1204,'Recipe Ingredients'!$A$5:$A$1204,A193))</f>
        <v>0</v>
      </c>
      <c r="F193" s="8">
        <f>IF(A193="","",IFERROR(INDEX(Recipes!$Q$5:$Q$204,MATCH(A193,Recipes!$A$5:$A$204,0)),""))</f>
        <v>0</v>
      </c>
      <c r="G193" s="8">
        <f>IF(OR(A193="",N193="",N193=0),"",IFERROR(F193/N193*100,""))</f>
        <v>0</v>
      </c>
      <c r="H193" s="8">
        <f>IF(OR(A193="",F193=""),"",COUNTIFS($F$5:$F$204,"&lt;"&amp;F193)+1)</f>
        <v>0</v>
      </c>
      <c r="I193" s="8">
        <f>IF(A193="","",IFERROR(INDEX('Recipe Ingredients'!$B$5:$B$1204,MATCH(1,INDEX(('Recipe Ingredients'!$A$5:$A$1204=A193)*('Recipe Ingredients'!$H$5:$H$1204=J193),0),0)),""))</f>
        <v>0</v>
      </c>
      <c r="J193" s="8">
        <f>IF(A193="","",SUMPRODUCT(MAX(('Recipe Ingredients'!$A$5:$A$1204=A193)*'Recipe Ingredients'!$H$5:$H$1204)))</f>
        <v>0</v>
      </c>
      <c r="K193" s="8">
        <f>IF(OR(A193="",E193="",E193=0),"",IFERROR(J193/E193,""))</f>
        <v>0</v>
      </c>
      <c r="L193" s="8">
        <f>IF(OR(A193="",F193=""),"",IFERROR(F193-AVERAGE($F$5:$F$204),""))</f>
        <v>0</v>
      </c>
      <c r="M193" s="8">
        <f>IF(OR(A193="",F193=""),"",IF(F193&lt;=Weekly_Budget/21,"Within budget","Over budget"))</f>
        <v>0</v>
      </c>
      <c r="N193" s="8">
        <f>IF(A193="","",IFERROR(INDEX(Recipes!$H$5:$H$204,MATCH(A193,Recipes!$A$5:$A$204,0)),""))</f>
        <v>0</v>
      </c>
      <c r="O193" s="8">
        <f>IF(A193="","",IFERROR(INDEX(Recipes!$S$5:$S$204,MATCH(A193,Recipes!$A$5:$A$204,0)),""))</f>
        <v>0</v>
      </c>
      <c r="P193" s="8">
        <f>IF(A193="","",IFERROR(INDEX(Recipes!$T$5:$T$204,MATCH(A193,Recipes!$A$5:$A$204,0)),""))</f>
        <v>0</v>
      </c>
      <c r="Q193" s="8">
        <f>IF(OR(A193="",F193=""),"",F193*7*3)</f>
        <v>0</v>
      </c>
      <c r="R193" s="25"/>
    </row>
    <row r="194" spans="1:18">
      <c r="A194" s="7"/>
      <c r="B194" s="8">
        <f>IF(A194="","",IFERROR(INDEX(Recipes!$B$5:$B$204,MATCH(A194,Recipes!$A$5:$A$204,0)),""))</f>
        <v>0</v>
      </c>
      <c r="C194" s="8">
        <f>IF(A194="","",IFERROR(INDEX(Recipes!$D$5:$D$204,MATCH(A194,Recipes!$A$5:$A$204,0)),""))</f>
        <v>0</v>
      </c>
      <c r="D194" s="8">
        <f>IF(A194="","",COUNTIFS('Recipe Ingredients'!$A$5:$A$1204,A194))</f>
        <v>0</v>
      </c>
      <c r="E194" s="8">
        <f>IF(A194="","",SUMIFS('Recipe Ingredients'!$H$5:$H$1204,'Recipe Ingredients'!$A$5:$A$1204,A194))</f>
        <v>0</v>
      </c>
      <c r="F194" s="8">
        <f>IF(A194="","",IFERROR(INDEX(Recipes!$Q$5:$Q$204,MATCH(A194,Recipes!$A$5:$A$204,0)),""))</f>
        <v>0</v>
      </c>
      <c r="G194" s="8">
        <f>IF(OR(A194="",N194="",N194=0),"",IFERROR(F194/N194*100,""))</f>
        <v>0</v>
      </c>
      <c r="H194" s="8">
        <f>IF(OR(A194="",F194=""),"",COUNTIFS($F$5:$F$204,"&lt;"&amp;F194)+1)</f>
        <v>0</v>
      </c>
      <c r="I194" s="8">
        <f>IF(A194="","",IFERROR(INDEX('Recipe Ingredients'!$B$5:$B$1204,MATCH(1,INDEX(('Recipe Ingredients'!$A$5:$A$1204=A194)*('Recipe Ingredients'!$H$5:$H$1204=J194),0),0)),""))</f>
        <v>0</v>
      </c>
      <c r="J194" s="8">
        <f>IF(A194="","",SUMPRODUCT(MAX(('Recipe Ingredients'!$A$5:$A$1204=A194)*'Recipe Ingredients'!$H$5:$H$1204)))</f>
        <v>0</v>
      </c>
      <c r="K194" s="8">
        <f>IF(OR(A194="",E194="",E194=0),"",IFERROR(J194/E194,""))</f>
        <v>0</v>
      </c>
      <c r="L194" s="8">
        <f>IF(OR(A194="",F194=""),"",IFERROR(F194-AVERAGE($F$5:$F$204),""))</f>
        <v>0</v>
      </c>
      <c r="M194" s="8">
        <f>IF(OR(A194="",F194=""),"",IF(F194&lt;=Weekly_Budget/21,"Within budget","Over budget"))</f>
        <v>0</v>
      </c>
      <c r="N194" s="8">
        <f>IF(A194="","",IFERROR(INDEX(Recipes!$H$5:$H$204,MATCH(A194,Recipes!$A$5:$A$204,0)),""))</f>
        <v>0</v>
      </c>
      <c r="O194" s="8">
        <f>IF(A194="","",IFERROR(INDEX(Recipes!$S$5:$S$204,MATCH(A194,Recipes!$A$5:$A$204,0)),""))</f>
        <v>0</v>
      </c>
      <c r="P194" s="8">
        <f>IF(A194="","",IFERROR(INDEX(Recipes!$T$5:$T$204,MATCH(A194,Recipes!$A$5:$A$204,0)),""))</f>
        <v>0</v>
      </c>
      <c r="Q194" s="8">
        <f>IF(OR(A194="",F194=""),"",F194*7*3)</f>
        <v>0</v>
      </c>
      <c r="R194" s="25"/>
    </row>
    <row r="195" spans="1:18">
      <c r="A195" s="7"/>
      <c r="B195" s="8">
        <f>IF(A195="","",IFERROR(INDEX(Recipes!$B$5:$B$204,MATCH(A195,Recipes!$A$5:$A$204,0)),""))</f>
        <v>0</v>
      </c>
      <c r="C195" s="8">
        <f>IF(A195="","",IFERROR(INDEX(Recipes!$D$5:$D$204,MATCH(A195,Recipes!$A$5:$A$204,0)),""))</f>
        <v>0</v>
      </c>
      <c r="D195" s="8">
        <f>IF(A195="","",COUNTIFS('Recipe Ingredients'!$A$5:$A$1204,A195))</f>
        <v>0</v>
      </c>
      <c r="E195" s="8">
        <f>IF(A195="","",SUMIFS('Recipe Ingredients'!$H$5:$H$1204,'Recipe Ingredients'!$A$5:$A$1204,A195))</f>
        <v>0</v>
      </c>
      <c r="F195" s="8">
        <f>IF(A195="","",IFERROR(INDEX(Recipes!$Q$5:$Q$204,MATCH(A195,Recipes!$A$5:$A$204,0)),""))</f>
        <v>0</v>
      </c>
      <c r="G195" s="8">
        <f>IF(OR(A195="",N195="",N195=0),"",IFERROR(F195/N195*100,""))</f>
        <v>0</v>
      </c>
      <c r="H195" s="8">
        <f>IF(OR(A195="",F195=""),"",COUNTIFS($F$5:$F$204,"&lt;"&amp;F195)+1)</f>
        <v>0</v>
      </c>
      <c r="I195" s="8">
        <f>IF(A195="","",IFERROR(INDEX('Recipe Ingredients'!$B$5:$B$1204,MATCH(1,INDEX(('Recipe Ingredients'!$A$5:$A$1204=A195)*('Recipe Ingredients'!$H$5:$H$1204=J195),0),0)),""))</f>
        <v>0</v>
      </c>
      <c r="J195" s="8">
        <f>IF(A195="","",SUMPRODUCT(MAX(('Recipe Ingredients'!$A$5:$A$1204=A195)*'Recipe Ingredients'!$H$5:$H$1204)))</f>
        <v>0</v>
      </c>
      <c r="K195" s="8">
        <f>IF(OR(A195="",E195="",E195=0),"",IFERROR(J195/E195,""))</f>
        <v>0</v>
      </c>
      <c r="L195" s="8">
        <f>IF(OR(A195="",F195=""),"",IFERROR(F195-AVERAGE($F$5:$F$204),""))</f>
        <v>0</v>
      </c>
      <c r="M195" s="8">
        <f>IF(OR(A195="",F195=""),"",IF(F195&lt;=Weekly_Budget/21,"Within budget","Over budget"))</f>
        <v>0</v>
      </c>
      <c r="N195" s="8">
        <f>IF(A195="","",IFERROR(INDEX(Recipes!$H$5:$H$204,MATCH(A195,Recipes!$A$5:$A$204,0)),""))</f>
        <v>0</v>
      </c>
      <c r="O195" s="8">
        <f>IF(A195="","",IFERROR(INDEX(Recipes!$S$5:$S$204,MATCH(A195,Recipes!$A$5:$A$204,0)),""))</f>
        <v>0</v>
      </c>
      <c r="P195" s="8">
        <f>IF(A195="","",IFERROR(INDEX(Recipes!$T$5:$T$204,MATCH(A195,Recipes!$A$5:$A$204,0)),""))</f>
        <v>0</v>
      </c>
      <c r="Q195" s="8">
        <f>IF(OR(A195="",F195=""),"",F195*7*3)</f>
        <v>0</v>
      </c>
      <c r="R195" s="25"/>
    </row>
    <row r="196" spans="1:18">
      <c r="A196" s="7"/>
      <c r="B196" s="8">
        <f>IF(A196="","",IFERROR(INDEX(Recipes!$B$5:$B$204,MATCH(A196,Recipes!$A$5:$A$204,0)),""))</f>
        <v>0</v>
      </c>
      <c r="C196" s="8">
        <f>IF(A196="","",IFERROR(INDEX(Recipes!$D$5:$D$204,MATCH(A196,Recipes!$A$5:$A$204,0)),""))</f>
        <v>0</v>
      </c>
      <c r="D196" s="8">
        <f>IF(A196="","",COUNTIFS('Recipe Ingredients'!$A$5:$A$1204,A196))</f>
        <v>0</v>
      </c>
      <c r="E196" s="8">
        <f>IF(A196="","",SUMIFS('Recipe Ingredients'!$H$5:$H$1204,'Recipe Ingredients'!$A$5:$A$1204,A196))</f>
        <v>0</v>
      </c>
      <c r="F196" s="8">
        <f>IF(A196="","",IFERROR(INDEX(Recipes!$Q$5:$Q$204,MATCH(A196,Recipes!$A$5:$A$204,0)),""))</f>
        <v>0</v>
      </c>
      <c r="G196" s="8">
        <f>IF(OR(A196="",N196="",N196=0),"",IFERROR(F196/N196*100,""))</f>
        <v>0</v>
      </c>
      <c r="H196" s="8">
        <f>IF(OR(A196="",F196=""),"",COUNTIFS($F$5:$F$204,"&lt;"&amp;F196)+1)</f>
        <v>0</v>
      </c>
      <c r="I196" s="8">
        <f>IF(A196="","",IFERROR(INDEX('Recipe Ingredients'!$B$5:$B$1204,MATCH(1,INDEX(('Recipe Ingredients'!$A$5:$A$1204=A196)*('Recipe Ingredients'!$H$5:$H$1204=J196),0),0)),""))</f>
        <v>0</v>
      </c>
      <c r="J196" s="8">
        <f>IF(A196="","",SUMPRODUCT(MAX(('Recipe Ingredients'!$A$5:$A$1204=A196)*'Recipe Ingredients'!$H$5:$H$1204)))</f>
        <v>0</v>
      </c>
      <c r="K196" s="8">
        <f>IF(OR(A196="",E196="",E196=0),"",IFERROR(J196/E196,""))</f>
        <v>0</v>
      </c>
      <c r="L196" s="8">
        <f>IF(OR(A196="",F196=""),"",IFERROR(F196-AVERAGE($F$5:$F$204),""))</f>
        <v>0</v>
      </c>
      <c r="M196" s="8">
        <f>IF(OR(A196="",F196=""),"",IF(F196&lt;=Weekly_Budget/21,"Within budget","Over budget"))</f>
        <v>0</v>
      </c>
      <c r="N196" s="8">
        <f>IF(A196="","",IFERROR(INDEX(Recipes!$H$5:$H$204,MATCH(A196,Recipes!$A$5:$A$204,0)),""))</f>
        <v>0</v>
      </c>
      <c r="O196" s="8">
        <f>IF(A196="","",IFERROR(INDEX(Recipes!$S$5:$S$204,MATCH(A196,Recipes!$A$5:$A$204,0)),""))</f>
        <v>0</v>
      </c>
      <c r="P196" s="8">
        <f>IF(A196="","",IFERROR(INDEX(Recipes!$T$5:$T$204,MATCH(A196,Recipes!$A$5:$A$204,0)),""))</f>
        <v>0</v>
      </c>
      <c r="Q196" s="8">
        <f>IF(OR(A196="",F196=""),"",F196*7*3)</f>
        <v>0</v>
      </c>
      <c r="R196" s="25"/>
    </row>
    <row r="197" spans="1:18">
      <c r="A197" s="7"/>
      <c r="B197" s="8">
        <f>IF(A197="","",IFERROR(INDEX(Recipes!$B$5:$B$204,MATCH(A197,Recipes!$A$5:$A$204,0)),""))</f>
        <v>0</v>
      </c>
      <c r="C197" s="8">
        <f>IF(A197="","",IFERROR(INDEX(Recipes!$D$5:$D$204,MATCH(A197,Recipes!$A$5:$A$204,0)),""))</f>
        <v>0</v>
      </c>
      <c r="D197" s="8">
        <f>IF(A197="","",COUNTIFS('Recipe Ingredients'!$A$5:$A$1204,A197))</f>
        <v>0</v>
      </c>
      <c r="E197" s="8">
        <f>IF(A197="","",SUMIFS('Recipe Ingredients'!$H$5:$H$1204,'Recipe Ingredients'!$A$5:$A$1204,A197))</f>
        <v>0</v>
      </c>
      <c r="F197" s="8">
        <f>IF(A197="","",IFERROR(INDEX(Recipes!$Q$5:$Q$204,MATCH(A197,Recipes!$A$5:$A$204,0)),""))</f>
        <v>0</v>
      </c>
      <c r="G197" s="8">
        <f>IF(OR(A197="",N197="",N197=0),"",IFERROR(F197/N197*100,""))</f>
        <v>0</v>
      </c>
      <c r="H197" s="8">
        <f>IF(OR(A197="",F197=""),"",COUNTIFS($F$5:$F$204,"&lt;"&amp;F197)+1)</f>
        <v>0</v>
      </c>
      <c r="I197" s="8">
        <f>IF(A197="","",IFERROR(INDEX('Recipe Ingredients'!$B$5:$B$1204,MATCH(1,INDEX(('Recipe Ingredients'!$A$5:$A$1204=A197)*('Recipe Ingredients'!$H$5:$H$1204=J197),0),0)),""))</f>
        <v>0</v>
      </c>
      <c r="J197" s="8">
        <f>IF(A197="","",SUMPRODUCT(MAX(('Recipe Ingredients'!$A$5:$A$1204=A197)*'Recipe Ingredients'!$H$5:$H$1204)))</f>
        <v>0</v>
      </c>
      <c r="K197" s="8">
        <f>IF(OR(A197="",E197="",E197=0),"",IFERROR(J197/E197,""))</f>
        <v>0</v>
      </c>
      <c r="L197" s="8">
        <f>IF(OR(A197="",F197=""),"",IFERROR(F197-AVERAGE($F$5:$F$204),""))</f>
        <v>0</v>
      </c>
      <c r="M197" s="8">
        <f>IF(OR(A197="",F197=""),"",IF(F197&lt;=Weekly_Budget/21,"Within budget","Over budget"))</f>
        <v>0</v>
      </c>
      <c r="N197" s="8">
        <f>IF(A197="","",IFERROR(INDEX(Recipes!$H$5:$H$204,MATCH(A197,Recipes!$A$5:$A$204,0)),""))</f>
        <v>0</v>
      </c>
      <c r="O197" s="8">
        <f>IF(A197="","",IFERROR(INDEX(Recipes!$S$5:$S$204,MATCH(A197,Recipes!$A$5:$A$204,0)),""))</f>
        <v>0</v>
      </c>
      <c r="P197" s="8">
        <f>IF(A197="","",IFERROR(INDEX(Recipes!$T$5:$T$204,MATCH(A197,Recipes!$A$5:$A$204,0)),""))</f>
        <v>0</v>
      </c>
      <c r="Q197" s="8">
        <f>IF(OR(A197="",F197=""),"",F197*7*3)</f>
        <v>0</v>
      </c>
      <c r="R197" s="25"/>
    </row>
    <row r="198" spans="1:18">
      <c r="A198" s="7"/>
      <c r="B198" s="8">
        <f>IF(A198="","",IFERROR(INDEX(Recipes!$B$5:$B$204,MATCH(A198,Recipes!$A$5:$A$204,0)),""))</f>
        <v>0</v>
      </c>
      <c r="C198" s="8">
        <f>IF(A198="","",IFERROR(INDEX(Recipes!$D$5:$D$204,MATCH(A198,Recipes!$A$5:$A$204,0)),""))</f>
        <v>0</v>
      </c>
      <c r="D198" s="8">
        <f>IF(A198="","",COUNTIFS('Recipe Ingredients'!$A$5:$A$1204,A198))</f>
        <v>0</v>
      </c>
      <c r="E198" s="8">
        <f>IF(A198="","",SUMIFS('Recipe Ingredients'!$H$5:$H$1204,'Recipe Ingredients'!$A$5:$A$1204,A198))</f>
        <v>0</v>
      </c>
      <c r="F198" s="8">
        <f>IF(A198="","",IFERROR(INDEX(Recipes!$Q$5:$Q$204,MATCH(A198,Recipes!$A$5:$A$204,0)),""))</f>
        <v>0</v>
      </c>
      <c r="G198" s="8">
        <f>IF(OR(A198="",N198="",N198=0),"",IFERROR(F198/N198*100,""))</f>
        <v>0</v>
      </c>
      <c r="H198" s="8">
        <f>IF(OR(A198="",F198=""),"",COUNTIFS($F$5:$F$204,"&lt;"&amp;F198)+1)</f>
        <v>0</v>
      </c>
      <c r="I198" s="8">
        <f>IF(A198="","",IFERROR(INDEX('Recipe Ingredients'!$B$5:$B$1204,MATCH(1,INDEX(('Recipe Ingredients'!$A$5:$A$1204=A198)*('Recipe Ingredients'!$H$5:$H$1204=J198),0),0)),""))</f>
        <v>0</v>
      </c>
      <c r="J198" s="8">
        <f>IF(A198="","",SUMPRODUCT(MAX(('Recipe Ingredients'!$A$5:$A$1204=A198)*'Recipe Ingredients'!$H$5:$H$1204)))</f>
        <v>0</v>
      </c>
      <c r="K198" s="8">
        <f>IF(OR(A198="",E198="",E198=0),"",IFERROR(J198/E198,""))</f>
        <v>0</v>
      </c>
      <c r="L198" s="8">
        <f>IF(OR(A198="",F198=""),"",IFERROR(F198-AVERAGE($F$5:$F$204),""))</f>
        <v>0</v>
      </c>
      <c r="M198" s="8">
        <f>IF(OR(A198="",F198=""),"",IF(F198&lt;=Weekly_Budget/21,"Within budget","Over budget"))</f>
        <v>0</v>
      </c>
      <c r="N198" s="8">
        <f>IF(A198="","",IFERROR(INDEX(Recipes!$H$5:$H$204,MATCH(A198,Recipes!$A$5:$A$204,0)),""))</f>
        <v>0</v>
      </c>
      <c r="O198" s="8">
        <f>IF(A198="","",IFERROR(INDEX(Recipes!$S$5:$S$204,MATCH(A198,Recipes!$A$5:$A$204,0)),""))</f>
        <v>0</v>
      </c>
      <c r="P198" s="8">
        <f>IF(A198="","",IFERROR(INDEX(Recipes!$T$5:$T$204,MATCH(A198,Recipes!$A$5:$A$204,0)),""))</f>
        <v>0</v>
      </c>
      <c r="Q198" s="8">
        <f>IF(OR(A198="",F198=""),"",F198*7*3)</f>
        <v>0</v>
      </c>
      <c r="R198" s="25"/>
    </row>
    <row r="199" spans="1:18">
      <c r="A199" s="7"/>
      <c r="B199" s="8">
        <f>IF(A199="","",IFERROR(INDEX(Recipes!$B$5:$B$204,MATCH(A199,Recipes!$A$5:$A$204,0)),""))</f>
        <v>0</v>
      </c>
      <c r="C199" s="8">
        <f>IF(A199="","",IFERROR(INDEX(Recipes!$D$5:$D$204,MATCH(A199,Recipes!$A$5:$A$204,0)),""))</f>
        <v>0</v>
      </c>
      <c r="D199" s="8">
        <f>IF(A199="","",COUNTIFS('Recipe Ingredients'!$A$5:$A$1204,A199))</f>
        <v>0</v>
      </c>
      <c r="E199" s="8">
        <f>IF(A199="","",SUMIFS('Recipe Ingredients'!$H$5:$H$1204,'Recipe Ingredients'!$A$5:$A$1204,A199))</f>
        <v>0</v>
      </c>
      <c r="F199" s="8">
        <f>IF(A199="","",IFERROR(INDEX(Recipes!$Q$5:$Q$204,MATCH(A199,Recipes!$A$5:$A$204,0)),""))</f>
        <v>0</v>
      </c>
      <c r="G199" s="8">
        <f>IF(OR(A199="",N199="",N199=0),"",IFERROR(F199/N199*100,""))</f>
        <v>0</v>
      </c>
      <c r="H199" s="8">
        <f>IF(OR(A199="",F199=""),"",COUNTIFS($F$5:$F$204,"&lt;"&amp;F199)+1)</f>
        <v>0</v>
      </c>
      <c r="I199" s="8">
        <f>IF(A199="","",IFERROR(INDEX('Recipe Ingredients'!$B$5:$B$1204,MATCH(1,INDEX(('Recipe Ingredients'!$A$5:$A$1204=A199)*('Recipe Ingredients'!$H$5:$H$1204=J199),0),0)),""))</f>
        <v>0</v>
      </c>
      <c r="J199" s="8">
        <f>IF(A199="","",SUMPRODUCT(MAX(('Recipe Ingredients'!$A$5:$A$1204=A199)*'Recipe Ingredients'!$H$5:$H$1204)))</f>
        <v>0</v>
      </c>
      <c r="K199" s="8">
        <f>IF(OR(A199="",E199="",E199=0),"",IFERROR(J199/E199,""))</f>
        <v>0</v>
      </c>
      <c r="L199" s="8">
        <f>IF(OR(A199="",F199=""),"",IFERROR(F199-AVERAGE($F$5:$F$204),""))</f>
        <v>0</v>
      </c>
      <c r="M199" s="8">
        <f>IF(OR(A199="",F199=""),"",IF(F199&lt;=Weekly_Budget/21,"Within budget","Over budget"))</f>
        <v>0</v>
      </c>
      <c r="N199" s="8">
        <f>IF(A199="","",IFERROR(INDEX(Recipes!$H$5:$H$204,MATCH(A199,Recipes!$A$5:$A$204,0)),""))</f>
        <v>0</v>
      </c>
      <c r="O199" s="8">
        <f>IF(A199="","",IFERROR(INDEX(Recipes!$S$5:$S$204,MATCH(A199,Recipes!$A$5:$A$204,0)),""))</f>
        <v>0</v>
      </c>
      <c r="P199" s="8">
        <f>IF(A199="","",IFERROR(INDEX(Recipes!$T$5:$T$204,MATCH(A199,Recipes!$A$5:$A$204,0)),""))</f>
        <v>0</v>
      </c>
      <c r="Q199" s="8">
        <f>IF(OR(A199="",F199=""),"",F199*7*3)</f>
        <v>0</v>
      </c>
      <c r="R199" s="25"/>
    </row>
    <row r="200" spans="1:18">
      <c r="A200" s="7"/>
      <c r="B200" s="8">
        <f>IF(A200="","",IFERROR(INDEX(Recipes!$B$5:$B$204,MATCH(A200,Recipes!$A$5:$A$204,0)),""))</f>
        <v>0</v>
      </c>
      <c r="C200" s="8">
        <f>IF(A200="","",IFERROR(INDEX(Recipes!$D$5:$D$204,MATCH(A200,Recipes!$A$5:$A$204,0)),""))</f>
        <v>0</v>
      </c>
      <c r="D200" s="8">
        <f>IF(A200="","",COUNTIFS('Recipe Ingredients'!$A$5:$A$1204,A200))</f>
        <v>0</v>
      </c>
      <c r="E200" s="8">
        <f>IF(A200="","",SUMIFS('Recipe Ingredients'!$H$5:$H$1204,'Recipe Ingredients'!$A$5:$A$1204,A200))</f>
        <v>0</v>
      </c>
      <c r="F200" s="8">
        <f>IF(A200="","",IFERROR(INDEX(Recipes!$Q$5:$Q$204,MATCH(A200,Recipes!$A$5:$A$204,0)),""))</f>
        <v>0</v>
      </c>
      <c r="G200" s="8">
        <f>IF(OR(A200="",N200="",N200=0),"",IFERROR(F200/N200*100,""))</f>
        <v>0</v>
      </c>
      <c r="H200" s="8">
        <f>IF(OR(A200="",F200=""),"",COUNTIFS($F$5:$F$204,"&lt;"&amp;F200)+1)</f>
        <v>0</v>
      </c>
      <c r="I200" s="8">
        <f>IF(A200="","",IFERROR(INDEX('Recipe Ingredients'!$B$5:$B$1204,MATCH(1,INDEX(('Recipe Ingredients'!$A$5:$A$1204=A200)*('Recipe Ingredients'!$H$5:$H$1204=J200),0),0)),""))</f>
        <v>0</v>
      </c>
      <c r="J200" s="8">
        <f>IF(A200="","",SUMPRODUCT(MAX(('Recipe Ingredients'!$A$5:$A$1204=A200)*'Recipe Ingredients'!$H$5:$H$1204)))</f>
        <v>0</v>
      </c>
      <c r="K200" s="8">
        <f>IF(OR(A200="",E200="",E200=0),"",IFERROR(J200/E200,""))</f>
        <v>0</v>
      </c>
      <c r="L200" s="8">
        <f>IF(OR(A200="",F200=""),"",IFERROR(F200-AVERAGE($F$5:$F$204),""))</f>
        <v>0</v>
      </c>
      <c r="M200" s="8">
        <f>IF(OR(A200="",F200=""),"",IF(F200&lt;=Weekly_Budget/21,"Within budget","Over budget"))</f>
        <v>0</v>
      </c>
      <c r="N200" s="8">
        <f>IF(A200="","",IFERROR(INDEX(Recipes!$H$5:$H$204,MATCH(A200,Recipes!$A$5:$A$204,0)),""))</f>
        <v>0</v>
      </c>
      <c r="O200" s="8">
        <f>IF(A200="","",IFERROR(INDEX(Recipes!$S$5:$S$204,MATCH(A200,Recipes!$A$5:$A$204,0)),""))</f>
        <v>0</v>
      </c>
      <c r="P200" s="8">
        <f>IF(A200="","",IFERROR(INDEX(Recipes!$T$5:$T$204,MATCH(A200,Recipes!$A$5:$A$204,0)),""))</f>
        <v>0</v>
      </c>
      <c r="Q200" s="8">
        <f>IF(OR(A200="",F200=""),"",F200*7*3)</f>
        <v>0</v>
      </c>
      <c r="R200" s="25"/>
    </row>
    <row r="201" spans="1:18">
      <c r="A201" s="7"/>
      <c r="B201" s="8">
        <f>IF(A201="","",IFERROR(INDEX(Recipes!$B$5:$B$204,MATCH(A201,Recipes!$A$5:$A$204,0)),""))</f>
        <v>0</v>
      </c>
      <c r="C201" s="8">
        <f>IF(A201="","",IFERROR(INDEX(Recipes!$D$5:$D$204,MATCH(A201,Recipes!$A$5:$A$204,0)),""))</f>
        <v>0</v>
      </c>
      <c r="D201" s="8">
        <f>IF(A201="","",COUNTIFS('Recipe Ingredients'!$A$5:$A$1204,A201))</f>
        <v>0</v>
      </c>
      <c r="E201" s="8">
        <f>IF(A201="","",SUMIFS('Recipe Ingredients'!$H$5:$H$1204,'Recipe Ingredients'!$A$5:$A$1204,A201))</f>
        <v>0</v>
      </c>
      <c r="F201" s="8">
        <f>IF(A201="","",IFERROR(INDEX(Recipes!$Q$5:$Q$204,MATCH(A201,Recipes!$A$5:$A$204,0)),""))</f>
        <v>0</v>
      </c>
      <c r="G201" s="8">
        <f>IF(OR(A201="",N201="",N201=0),"",IFERROR(F201/N201*100,""))</f>
        <v>0</v>
      </c>
      <c r="H201" s="8">
        <f>IF(OR(A201="",F201=""),"",COUNTIFS($F$5:$F$204,"&lt;"&amp;F201)+1)</f>
        <v>0</v>
      </c>
      <c r="I201" s="8">
        <f>IF(A201="","",IFERROR(INDEX('Recipe Ingredients'!$B$5:$B$1204,MATCH(1,INDEX(('Recipe Ingredients'!$A$5:$A$1204=A201)*('Recipe Ingredients'!$H$5:$H$1204=J201),0),0)),""))</f>
        <v>0</v>
      </c>
      <c r="J201" s="8">
        <f>IF(A201="","",SUMPRODUCT(MAX(('Recipe Ingredients'!$A$5:$A$1204=A201)*'Recipe Ingredients'!$H$5:$H$1204)))</f>
        <v>0</v>
      </c>
      <c r="K201" s="8">
        <f>IF(OR(A201="",E201="",E201=0),"",IFERROR(J201/E201,""))</f>
        <v>0</v>
      </c>
      <c r="L201" s="8">
        <f>IF(OR(A201="",F201=""),"",IFERROR(F201-AVERAGE($F$5:$F$204),""))</f>
        <v>0</v>
      </c>
      <c r="M201" s="8">
        <f>IF(OR(A201="",F201=""),"",IF(F201&lt;=Weekly_Budget/21,"Within budget","Over budget"))</f>
        <v>0</v>
      </c>
      <c r="N201" s="8">
        <f>IF(A201="","",IFERROR(INDEX(Recipes!$H$5:$H$204,MATCH(A201,Recipes!$A$5:$A$204,0)),""))</f>
        <v>0</v>
      </c>
      <c r="O201" s="8">
        <f>IF(A201="","",IFERROR(INDEX(Recipes!$S$5:$S$204,MATCH(A201,Recipes!$A$5:$A$204,0)),""))</f>
        <v>0</v>
      </c>
      <c r="P201" s="8">
        <f>IF(A201="","",IFERROR(INDEX(Recipes!$T$5:$T$204,MATCH(A201,Recipes!$A$5:$A$204,0)),""))</f>
        <v>0</v>
      </c>
      <c r="Q201" s="8">
        <f>IF(OR(A201="",F201=""),"",F201*7*3)</f>
        <v>0</v>
      </c>
      <c r="R201" s="25"/>
    </row>
    <row r="202" spans="1:18">
      <c r="A202" s="7"/>
      <c r="B202" s="8">
        <f>IF(A202="","",IFERROR(INDEX(Recipes!$B$5:$B$204,MATCH(A202,Recipes!$A$5:$A$204,0)),""))</f>
        <v>0</v>
      </c>
      <c r="C202" s="8">
        <f>IF(A202="","",IFERROR(INDEX(Recipes!$D$5:$D$204,MATCH(A202,Recipes!$A$5:$A$204,0)),""))</f>
        <v>0</v>
      </c>
      <c r="D202" s="8">
        <f>IF(A202="","",COUNTIFS('Recipe Ingredients'!$A$5:$A$1204,A202))</f>
        <v>0</v>
      </c>
      <c r="E202" s="8">
        <f>IF(A202="","",SUMIFS('Recipe Ingredients'!$H$5:$H$1204,'Recipe Ingredients'!$A$5:$A$1204,A202))</f>
        <v>0</v>
      </c>
      <c r="F202" s="8">
        <f>IF(A202="","",IFERROR(INDEX(Recipes!$Q$5:$Q$204,MATCH(A202,Recipes!$A$5:$A$204,0)),""))</f>
        <v>0</v>
      </c>
      <c r="G202" s="8">
        <f>IF(OR(A202="",N202="",N202=0),"",IFERROR(F202/N202*100,""))</f>
        <v>0</v>
      </c>
      <c r="H202" s="8">
        <f>IF(OR(A202="",F202=""),"",COUNTIFS($F$5:$F$204,"&lt;"&amp;F202)+1)</f>
        <v>0</v>
      </c>
      <c r="I202" s="8">
        <f>IF(A202="","",IFERROR(INDEX('Recipe Ingredients'!$B$5:$B$1204,MATCH(1,INDEX(('Recipe Ingredients'!$A$5:$A$1204=A202)*('Recipe Ingredients'!$H$5:$H$1204=J202),0),0)),""))</f>
        <v>0</v>
      </c>
      <c r="J202" s="8">
        <f>IF(A202="","",SUMPRODUCT(MAX(('Recipe Ingredients'!$A$5:$A$1204=A202)*'Recipe Ingredients'!$H$5:$H$1204)))</f>
        <v>0</v>
      </c>
      <c r="K202" s="8">
        <f>IF(OR(A202="",E202="",E202=0),"",IFERROR(J202/E202,""))</f>
        <v>0</v>
      </c>
      <c r="L202" s="8">
        <f>IF(OR(A202="",F202=""),"",IFERROR(F202-AVERAGE($F$5:$F$204),""))</f>
        <v>0</v>
      </c>
      <c r="M202" s="8">
        <f>IF(OR(A202="",F202=""),"",IF(F202&lt;=Weekly_Budget/21,"Within budget","Over budget"))</f>
        <v>0</v>
      </c>
      <c r="N202" s="8">
        <f>IF(A202="","",IFERROR(INDEX(Recipes!$H$5:$H$204,MATCH(A202,Recipes!$A$5:$A$204,0)),""))</f>
        <v>0</v>
      </c>
      <c r="O202" s="8">
        <f>IF(A202="","",IFERROR(INDEX(Recipes!$S$5:$S$204,MATCH(A202,Recipes!$A$5:$A$204,0)),""))</f>
        <v>0</v>
      </c>
      <c r="P202" s="8">
        <f>IF(A202="","",IFERROR(INDEX(Recipes!$T$5:$T$204,MATCH(A202,Recipes!$A$5:$A$204,0)),""))</f>
        <v>0</v>
      </c>
      <c r="Q202" s="8">
        <f>IF(OR(A202="",F202=""),"",F202*7*3)</f>
        <v>0</v>
      </c>
      <c r="R202" s="25"/>
    </row>
    <row r="203" spans="1:18">
      <c r="A203" s="7"/>
      <c r="B203" s="8">
        <f>IF(A203="","",IFERROR(INDEX(Recipes!$B$5:$B$204,MATCH(A203,Recipes!$A$5:$A$204,0)),""))</f>
        <v>0</v>
      </c>
      <c r="C203" s="8">
        <f>IF(A203="","",IFERROR(INDEX(Recipes!$D$5:$D$204,MATCH(A203,Recipes!$A$5:$A$204,0)),""))</f>
        <v>0</v>
      </c>
      <c r="D203" s="8">
        <f>IF(A203="","",COUNTIFS('Recipe Ingredients'!$A$5:$A$1204,A203))</f>
        <v>0</v>
      </c>
      <c r="E203" s="8">
        <f>IF(A203="","",SUMIFS('Recipe Ingredients'!$H$5:$H$1204,'Recipe Ingredients'!$A$5:$A$1204,A203))</f>
        <v>0</v>
      </c>
      <c r="F203" s="8">
        <f>IF(A203="","",IFERROR(INDEX(Recipes!$Q$5:$Q$204,MATCH(A203,Recipes!$A$5:$A$204,0)),""))</f>
        <v>0</v>
      </c>
      <c r="G203" s="8">
        <f>IF(OR(A203="",N203="",N203=0),"",IFERROR(F203/N203*100,""))</f>
        <v>0</v>
      </c>
      <c r="H203" s="8">
        <f>IF(OR(A203="",F203=""),"",COUNTIFS($F$5:$F$204,"&lt;"&amp;F203)+1)</f>
        <v>0</v>
      </c>
      <c r="I203" s="8">
        <f>IF(A203="","",IFERROR(INDEX('Recipe Ingredients'!$B$5:$B$1204,MATCH(1,INDEX(('Recipe Ingredients'!$A$5:$A$1204=A203)*('Recipe Ingredients'!$H$5:$H$1204=J203),0),0)),""))</f>
        <v>0</v>
      </c>
      <c r="J203" s="8">
        <f>IF(A203="","",SUMPRODUCT(MAX(('Recipe Ingredients'!$A$5:$A$1204=A203)*'Recipe Ingredients'!$H$5:$H$1204)))</f>
        <v>0</v>
      </c>
      <c r="K203" s="8">
        <f>IF(OR(A203="",E203="",E203=0),"",IFERROR(J203/E203,""))</f>
        <v>0</v>
      </c>
      <c r="L203" s="8">
        <f>IF(OR(A203="",F203=""),"",IFERROR(F203-AVERAGE($F$5:$F$204),""))</f>
        <v>0</v>
      </c>
      <c r="M203" s="8">
        <f>IF(OR(A203="",F203=""),"",IF(F203&lt;=Weekly_Budget/21,"Within budget","Over budget"))</f>
        <v>0</v>
      </c>
      <c r="N203" s="8">
        <f>IF(A203="","",IFERROR(INDEX(Recipes!$H$5:$H$204,MATCH(A203,Recipes!$A$5:$A$204,0)),""))</f>
        <v>0</v>
      </c>
      <c r="O203" s="8">
        <f>IF(A203="","",IFERROR(INDEX(Recipes!$S$5:$S$204,MATCH(A203,Recipes!$A$5:$A$204,0)),""))</f>
        <v>0</v>
      </c>
      <c r="P203" s="8">
        <f>IF(A203="","",IFERROR(INDEX(Recipes!$T$5:$T$204,MATCH(A203,Recipes!$A$5:$A$204,0)),""))</f>
        <v>0</v>
      </c>
      <c r="Q203" s="8">
        <f>IF(OR(A203="",F203=""),"",F203*7*3)</f>
        <v>0</v>
      </c>
      <c r="R203" s="25"/>
    </row>
    <row r="204" spans="1:18">
      <c r="A204" s="7"/>
      <c r="B204" s="8">
        <f>IF(A204="","",IFERROR(INDEX(Recipes!$B$5:$B$204,MATCH(A204,Recipes!$A$5:$A$204,0)),""))</f>
        <v>0</v>
      </c>
      <c r="C204" s="8">
        <f>IF(A204="","",IFERROR(INDEX(Recipes!$D$5:$D$204,MATCH(A204,Recipes!$A$5:$A$204,0)),""))</f>
        <v>0</v>
      </c>
      <c r="D204" s="8">
        <f>IF(A204="","",COUNTIFS('Recipe Ingredients'!$A$5:$A$1204,A204))</f>
        <v>0</v>
      </c>
      <c r="E204" s="8">
        <f>IF(A204="","",SUMIFS('Recipe Ingredients'!$H$5:$H$1204,'Recipe Ingredients'!$A$5:$A$1204,A204))</f>
        <v>0</v>
      </c>
      <c r="F204" s="8">
        <f>IF(A204="","",IFERROR(INDEX(Recipes!$Q$5:$Q$204,MATCH(A204,Recipes!$A$5:$A$204,0)),""))</f>
        <v>0</v>
      </c>
      <c r="G204" s="8">
        <f>IF(OR(A204="",N204="",N204=0),"",IFERROR(F204/N204*100,""))</f>
        <v>0</v>
      </c>
      <c r="H204" s="8">
        <f>IF(OR(A204="",F204=""),"",COUNTIFS($F$5:$F$204,"&lt;"&amp;F204)+1)</f>
        <v>0</v>
      </c>
      <c r="I204" s="8">
        <f>IF(A204="","",IFERROR(INDEX('Recipe Ingredients'!$B$5:$B$1204,MATCH(1,INDEX(('Recipe Ingredients'!$A$5:$A$1204=A204)*('Recipe Ingredients'!$H$5:$H$1204=J204),0),0)),""))</f>
        <v>0</v>
      </c>
      <c r="J204" s="8">
        <f>IF(A204="","",SUMPRODUCT(MAX(('Recipe Ingredients'!$A$5:$A$1204=A204)*'Recipe Ingredients'!$H$5:$H$1204)))</f>
        <v>0</v>
      </c>
      <c r="K204" s="8">
        <f>IF(OR(A204="",E204="",E204=0),"",IFERROR(J204/E204,""))</f>
        <v>0</v>
      </c>
      <c r="L204" s="8">
        <f>IF(OR(A204="",F204=""),"",IFERROR(F204-AVERAGE($F$5:$F$204),""))</f>
        <v>0</v>
      </c>
      <c r="M204" s="8">
        <f>IF(OR(A204="",F204=""),"",IF(F204&lt;=Weekly_Budget/21,"Within budget","Over budget"))</f>
        <v>0</v>
      </c>
      <c r="N204" s="8">
        <f>IF(A204="","",IFERROR(INDEX(Recipes!$H$5:$H$204,MATCH(A204,Recipes!$A$5:$A$204,0)),""))</f>
        <v>0</v>
      </c>
      <c r="O204" s="8">
        <f>IF(A204="","",IFERROR(INDEX(Recipes!$S$5:$S$204,MATCH(A204,Recipes!$A$5:$A$204,0)),""))</f>
        <v>0</v>
      </c>
      <c r="P204" s="8">
        <f>IF(A204="","",IFERROR(INDEX(Recipes!$T$5:$T$204,MATCH(A204,Recipes!$A$5:$A$204,0)),""))</f>
        <v>0</v>
      </c>
      <c r="Q204" s="8">
        <f>IF(OR(A204="",F204=""),"",F204*7*3)</f>
        <v>0</v>
      </c>
      <c r="R204" s="25"/>
    </row>
  </sheetData>
  <sheetProtection password="EC7C" sheet="1" objects="1" scenarios="1" selectLockedCells="1" selectUnlockedCells="1"/>
  <autoFilter ref="A4:R204"/>
  <conditionalFormatting sqref="A101:R101">
    <cfRule type="expression" dxfId="0" priority="49">
      <formula>MOD(ROW(),2)=0</formula>
    </cfRule>
  </conditionalFormatting>
  <conditionalFormatting sqref="A103:R103">
    <cfRule type="expression" dxfId="0" priority="50">
      <formula>MOD(ROW(),2)=0</formula>
    </cfRule>
  </conditionalFormatting>
  <conditionalFormatting sqref="A105:R105">
    <cfRule type="expression" dxfId="0" priority="51">
      <formula>MOD(ROW(),2)=0</formula>
    </cfRule>
  </conditionalFormatting>
  <conditionalFormatting sqref="A107:R107">
    <cfRule type="expression" dxfId="0" priority="52">
      <formula>MOD(ROW(),2)=0</formula>
    </cfRule>
  </conditionalFormatting>
  <conditionalFormatting sqref="A109:R109">
    <cfRule type="expression" dxfId="0" priority="53">
      <formula>MOD(ROW(),2)=0</formula>
    </cfRule>
  </conditionalFormatting>
  <conditionalFormatting sqref="A111:R111">
    <cfRule type="expression" dxfId="0" priority="54">
      <formula>MOD(ROW(),2)=0</formula>
    </cfRule>
  </conditionalFormatting>
  <conditionalFormatting sqref="A113:R113">
    <cfRule type="expression" dxfId="0" priority="55">
      <formula>MOD(ROW(),2)=0</formula>
    </cfRule>
  </conditionalFormatting>
  <conditionalFormatting sqref="A115:R115">
    <cfRule type="expression" dxfId="0" priority="56">
      <formula>MOD(ROW(),2)=0</formula>
    </cfRule>
  </conditionalFormatting>
  <conditionalFormatting sqref="A117:R117">
    <cfRule type="expression" dxfId="0" priority="57">
      <formula>MOD(ROW(),2)=0</formula>
    </cfRule>
  </conditionalFormatting>
  <conditionalFormatting sqref="A119:R119">
    <cfRule type="expression" dxfId="0" priority="58">
      <formula>MOD(ROW(),2)=0</formula>
    </cfRule>
  </conditionalFormatting>
  <conditionalFormatting sqref="A11:R11">
    <cfRule type="expression" dxfId="0" priority="4">
      <formula>MOD(ROW(),2)=0</formula>
    </cfRule>
  </conditionalFormatting>
  <conditionalFormatting sqref="A121:R121">
    <cfRule type="expression" dxfId="0" priority="59">
      <formula>MOD(ROW(),2)=0</formula>
    </cfRule>
  </conditionalFormatting>
  <conditionalFormatting sqref="A123:R123">
    <cfRule type="expression" dxfId="0" priority="60">
      <formula>MOD(ROW(),2)=0</formula>
    </cfRule>
  </conditionalFormatting>
  <conditionalFormatting sqref="A125:R125">
    <cfRule type="expression" dxfId="0" priority="61">
      <formula>MOD(ROW(),2)=0</formula>
    </cfRule>
  </conditionalFormatting>
  <conditionalFormatting sqref="A127:R127">
    <cfRule type="expression" dxfId="0" priority="62">
      <formula>MOD(ROW(),2)=0</formula>
    </cfRule>
  </conditionalFormatting>
  <conditionalFormatting sqref="A129:R129">
    <cfRule type="expression" dxfId="0" priority="63">
      <formula>MOD(ROW(),2)=0</formula>
    </cfRule>
  </conditionalFormatting>
  <conditionalFormatting sqref="A131:R131">
    <cfRule type="expression" dxfId="0" priority="64">
      <formula>MOD(ROW(),2)=0</formula>
    </cfRule>
  </conditionalFormatting>
  <conditionalFormatting sqref="A133:R133">
    <cfRule type="expression" dxfId="0" priority="65">
      <formula>MOD(ROW(),2)=0</formula>
    </cfRule>
  </conditionalFormatting>
  <conditionalFormatting sqref="A135:R135">
    <cfRule type="expression" dxfId="0" priority="66">
      <formula>MOD(ROW(),2)=0</formula>
    </cfRule>
  </conditionalFormatting>
  <conditionalFormatting sqref="A137:R137">
    <cfRule type="expression" dxfId="0" priority="67">
      <formula>MOD(ROW(),2)=0</formula>
    </cfRule>
  </conditionalFormatting>
  <conditionalFormatting sqref="A139:R139">
    <cfRule type="expression" dxfId="0" priority="68">
      <formula>MOD(ROW(),2)=0</formula>
    </cfRule>
  </conditionalFormatting>
  <conditionalFormatting sqref="A13:R13">
    <cfRule type="expression" dxfId="0" priority="5">
      <formula>MOD(ROW(),2)=0</formula>
    </cfRule>
  </conditionalFormatting>
  <conditionalFormatting sqref="A141:R141">
    <cfRule type="expression" dxfId="0" priority="69">
      <formula>MOD(ROW(),2)=0</formula>
    </cfRule>
  </conditionalFormatting>
  <conditionalFormatting sqref="A143:R143">
    <cfRule type="expression" dxfId="0" priority="70">
      <formula>MOD(ROW(),2)=0</formula>
    </cfRule>
  </conditionalFormatting>
  <conditionalFormatting sqref="A145:R145">
    <cfRule type="expression" dxfId="0" priority="71">
      <formula>MOD(ROW(),2)=0</formula>
    </cfRule>
  </conditionalFormatting>
  <conditionalFormatting sqref="A147:R147">
    <cfRule type="expression" dxfId="0" priority="72">
      <formula>MOD(ROW(),2)=0</formula>
    </cfRule>
  </conditionalFormatting>
  <conditionalFormatting sqref="A149:R149">
    <cfRule type="expression" dxfId="0" priority="73">
      <formula>MOD(ROW(),2)=0</formula>
    </cfRule>
  </conditionalFormatting>
  <conditionalFormatting sqref="A151:R151">
    <cfRule type="expression" dxfId="0" priority="74">
      <formula>MOD(ROW(),2)=0</formula>
    </cfRule>
  </conditionalFormatting>
  <conditionalFormatting sqref="A153:R153">
    <cfRule type="expression" dxfId="0" priority="75">
      <formula>MOD(ROW(),2)=0</formula>
    </cfRule>
  </conditionalFormatting>
  <conditionalFormatting sqref="A155:R155">
    <cfRule type="expression" dxfId="0" priority="76">
      <formula>MOD(ROW(),2)=0</formula>
    </cfRule>
  </conditionalFormatting>
  <conditionalFormatting sqref="A157:R157">
    <cfRule type="expression" dxfId="0" priority="77">
      <formula>MOD(ROW(),2)=0</formula>
    </cfRule>
  </conditionalFormatting>
  <conditionalFormatting sqref="A159:R159">
    <cfRule type="expression" dxfId="0" priority="78">
      <formula>MOD(ROW(),2)=0</formula>
    </cfRule>
  </conditionalFormatting>
  <conditionalFormatting sqref="A15:R15">
    <cfRule type="expression" dxfId="0" priority="6">
      <formula>MOD(ROW(),2)=0</formula>
    </cfRule>
  </conditionalFormatting>
  <conditionalFormatting sqref="A161:R161">
    <cfRule type="expression" dxfId="0" priority="79">
      <formula>MOD(ROW(),2)=0</formula>
    </cfRule>
  </conditionalFormatting>
  <conditionalFormatting sqref="A163:R163">
    <cfRule type="expression" dxfId="0" priority="80">
      <formula>MOD(ROW(),2)=0</formula>
    </cfRule>
  </conditionalFormatting>
  <conditionalFormatting sqref="A165:R165">
    <cfRule type="expression" dxfId="0" priority="81">
      <formula>MOD(ROW(),2)=0</formula>
    </cfRule>
  </conditionalFormatting>
  <conditionalFormatting sqref="A167:R167">
    <cfRule type="expression" dxfId="0" priority="82">
      <formula>MOD(ROW(),2)=0</formula>
    </cfRule>
  </conditionalFormatting>
  <conditionalFormatting sqref="A169:R169">
    <cfRule type="expression" dxfId="0" priority="83">
      <formula>MOD(ROW(),2)=0</formula>
    </cfRule>
  </conditionalFormatting>
  <conditionalFormatting sqref="A171:R171">
    <cfRule type="expression" dxfId="0" priority="84">
      <formula>MOD(ROW(),2)=0</formula>
    </cfRule>
  </conditionalFormatting>
  <conditionalFormatting sqref="A173:R173">
    <cfRule type="expression" dxfId="0" priority="85">
      <formula>MOD(ROW(),2)=0</formula>
    </cfRule>
  </conditionalFormatting>
  <conditionalFormatting sqref="A175:R175">
    <cfRule type="expression" dxfId="0" priority="86">
      <formula>MOD(ROW(),2)=0</formula>
    </cfRule>
  </conditionalFormatting>
  <conditionalFormatting sqref="A177:R177">
    <cfRule type="expression" dxfId="0" priority="87">
      <formula>MOD(ROW(),2)=0</formula>
    </cfRule>
  </conditionalFormatting>
  <conditionalFormatting sqref="A179:R179">
    <cfRule type="expression" dxfId="0" priority="88">
      <formula>MOD(ROW(),2)=0</formula>
    </cfRule>
  </conditionalFormatting>
  <conditionalFormatting sqref="A17:R17">
    <cfRule type="expression" dxfId="0" priority="7">
      <formula>MOD(ROW(),2)=0</formula>
    </cfRule>
  </conditionalFormatting>
  <conditionalFormatting sqref="A181:R181">
    <cfRule type="expression" dxfId="0" priority="89">
      <formula>MOD(ROW(),2)=0</formula>
    </cfRule>
  </conditionalFormatting>
  <conditionalFormatting sqref="A183:R183">
    <cfRule type="expression" dxfId="0" priority="90">
      <formula>MOD(ROW(),2)=0</formula>
    </cfRule>
  </conditionalFormatting>
  <conditionalFormatting sqref="A185:R185">
    <cfRule type="expression" dxfId="0" priority="91">
      <formula>MOD(ROW(),2)=0</formula>
    </cfRule>
  </conditionalFormatting>
  <conditionalFormatting sqref="A187:R187">
    <cfRule type="expression" dxfId="0" priority="92">
      <formula>MOD(ROW(),2)=0</formula>
    </cfRule>
  </conditionalFormatting>
  <conditionalFormatting sqref="A189:R189">
    <cfRule type="expression" dxfId="0" priority="93">
      <formula>MOD(ROW(),2)=0</formula>
    </cfRule>
  </conditionalFormatting>
  <conditionalFormatting sqref="A191:R191">
    <cfRule type="expression" dxfId="0" priority="94">
      <formula>MOD(ROW(),2)=0</formula>
    </cfRule>
  </conditionalFormatting>
  <conditionalFormatting sqref="A193:R193">
    <cfRule type="expression" dxfId="0" priority="95">
      <formula>MOD(ROW(),2)=0</formula>
    </cfRule>
  </conditionalFormatting>
  <conditionalFormatting sqref="A195:R195">
    <cfRule type="expression" dxfId="0" priority="96">
      <formula>MOD(ROW(),2)=0</formula>
    </cfRule>
  </conditionalFormatting>
  <conditionalFormatting sqref="A197:R197">
    <cfRule type="expression" dxfId="0" priority="97">
      <formula>MOD(ROW(),2)=0</formula>
    </cfRule>
  </conditionalFormatting>
  <conditionalFormatting sqref="A199:R199">
    <cfRule type="expression" dxfId="0" priority="98">
      <formula>MOD(ROW(),2)=0</formula>
    </cfRule>
  </conditionalFormatting>
  <conditionalFormatting sqref="A19:R19">
    <cfRule type="expression" dxfId="0" priority="8">
      <formula>MOD(ROW(),2)=0</formula>
    </cfRule>
  </conditionalFormatting>
  <conditionalFormatting sqref="A201:R201">
    <cfRule type="expression" dxfId="0" priority="99">
      <formula>MOD(ROW(),2)=0</formula>
    </cfRule>
  </conditionalFormatting>
  <conditionalFormatting sqref="A203:R203">
    <cfRule type="expression" dxfId="0" priority="100">
      <formula>MOD(ROW(),2)=0</formula>
    </cfRule>
  </conditionalFormatting>
  <conditionalFormatting sqref="A21:R21">
    <cfRule type="expression" dxfId="0" priority="9">
      <formula>MOD(ROW(),2)=0</formula>
    </cfRule>
  </conditionalFormatting>
  <conditionalFormatting sqref="A23:R23">
    <cfRule type="expression" dxfId="0" priority="10">
      <formula>MOD(ROW(),2)=0</formula>
    </cfRule>
  </conditionalFormatting>
  <conditionalFormatting sqref="A25:R25">
    <cfRule type="expression" dxfId="0" priority="11">
      <formula>MOD(ROW(),2)=0</formula>
    </cfRule>
  </conditionalFormatting>
  <conditionalFormatting sqref="A27:R27">
    <cfRule type="expression" dxfId="0" priority="12">
      <formula>MOD(ROW(),2)=0</formula>
    </cfRule>
  </conditionalFormatting>
  <conditionalFormatting sqref="A29:R29">
    <cfRule type="expression" dxfId="0" priority="13">
      <formula>MOD(ROW(),2)=0</formula>
    </cfRule>
  </conditionalFormatting>
  <conditionalFormatting sqref="A31:R31">
    <cfRule type="expression" dxfId="0" priority="14">
      <formula>MOD(ROW(),2)=0</formula>
    </cfRule>
  </conditionalFormatting>
  <conditionalFormatting sqref="A33:R33">
    <cfRule type="expression" dxfId="0" priority="15">
      <formula>MOD(ROW(),2)=0</formula>
    </cfRule>
  </conditionalFormatting>
  <conditionalFormatting sqref="A35:R35">
    <cfRule type="expression" dxfId="0" priority="16">
      <formula>MOD(ROW(),2)=0</formula>
    </cfRule>
  </conditionalFormatting>
  <conditionalFormatting sqref="A37:R37">
    <cfRule type="expression" dxfId="0" priority="17">
      <formula>MOD(ROW(),2)=0</formula>
    </cfRule>
  </conditionalFormatting>
  <conditionalFormatting sqref="A39:R39">
    <cfRule type="expression" dxfId="0" priority="18">
      <formula>MOD(ROW(),2)=0</formula>
    </cfRule>
  </conditionalFormatting>
  <conditionalFormatting sqref="A41:R41">
    <cfRule type="expression" dxfId="0" priority="19">
      <formula>MOD(ROW(),2)=0</formula>
    </cfRule>
  </conditionalFormatting>
  <conditionalFormatting sqref="A43:R43">
    <cfRule type="expression" dxfId="0" priority="20">
      <formula>MOD(ROW(),2)=0</formula>
    </cfRule>
  </conditionalFormatting>
  <conditionalFormatting sqref="A45:R45">
    <cfRule type="expression" dxfId="0" priority="21">
      <formula>MOD(ROW(),2)=0</formula>
    </cfRule>
  </conditionalFormatting>
  <conditionalFormatting sqref="A47:R47">
    <cfRule type="expression" dxfId="0" priority="22">
      <formula>MOD(ROW(),2)=0</formula>
    </cfRule>
  </conditionalFormatting>
  <conditionalFormatting sqref="A49:R49">
    <cfRule type="expression" dxfId="0" priority="23">
      <formula>MOD(ROW(),2)=0</formula>
    </cfRule>
  </conditionalFormatting>
  <conditionalFormatting sqref="A51:R51">
    <cfRule type="expression" dxfId="0" priority="24">
      <formula>MOD(ROW(),2)=0</formula>
    </cfRule>
  </conditionalFormatting>
  <conditionalFormatting sqref="A53:R53">
    <cfRule type="expression" dxfId="0" priority="25">
      <formula>MOD(ROW(),2)=0</formula>
    </cfRule>
  </conditionalFormatting>
  <conditionalFormatting sqref="A55:R55">
    <cfRule type="expression" dxfId="0" priority="26">
      <formula>MOD(ROW(),2)=0</formula>
    </cfRule>
  </conditionalFormatting>
  <conditionalFormatting sqref="A57:R57">
    <cfRule type="expression" dxfId="0" priority="27">
      <formula>MOD(ROW(),2)=0</formula>
    </cfRule>
  </conditionalFormatting>
  <conditionalFormatting sqref="A59:R59">
    <cfRule type="expression" dxfId="0" priority="28">
      <formula>MOD(ROW(),2)=0</formula>
    </cfRule>
  </conditionalFormatting>
  <conditionalFormatting sqref="A5:R5">
    <cfRule type="expression" dxfId="0" priority="1">
      <formula>MOD(ROW(),2)=0</formula>
    </cfRule>
  </conditionalFormatting>
  <conditionalFormatting sqref="A61:R61">
    <cfRule type="expression" dxfId="0" priority="29">
      <formula>MOD(ROW(),2)=0</formula>
    </cfRule>
  </conditionalFormatting>
  <conditionalFormatting sqref="A63:R63">
    <cfRule type="expression" dxfId="0" priority="30">
      <formula>MOD(ROW(),2)=0</formula>
    </cfRule>
  </conditionalFormatting>
  <conditionalFormatting sqref="A65:R65">
    <cfRule type="expression" dxfId="0" priority="31">
      <formula>MOD(ROW(),2)=0</formula>
    </cfRule>
  </conditionalFormatting>
  <conditionalFormatting sqref="A67:R67">
    <cfRule type="expression" dxfId="0" priority="32">
      <formula>MOD(ROW(),2)=0</formula>
    </cfRule>
  </conditionalFormatting>
  <conditionalFormatting sqref="A69:R69">
    <cfRule type="expression" dxfId="0" priority="33">
      <formula>MOD(ROW(),2)=0</formula>
    </cfRule>
  </conditionalFormatting>
  <conditionalFormatting sqref="A71:R71">
    <cfRule type="expression" dxfId="0" priority="34">
      <formula>MOD(ROW(),2)=0</formula>
    </cfRule>
  </conditionalFormatting>
  <conditionalFormatting sqref="A73:R73">
    <cfRule type="expression" dxfId="0" priority="35">
      <formula>MOD(ROW(),2)=0</formula>
    </cfRule>
  </conditionalFormatting>
  <conditionalFormatting sqref="A75:R75">
    <cfRule type="expression" dxfId="0" priority="36">
      <formula>MOD(ROW(),2)=0</formula>
    </cfRule>
  </conditionalFormatting>
  <conditionalFormatting sqref="A77:R77">
    <cfRule type="expression" dxfId="0" priority="37">
      <formula>MOD(ROW(),2)=0</formula>
    </cfRule>
  </conditionalFormatting>
  <conditionalFormatting sqref="A79:R79">
    <cfRule type="expression" dxfId="0" priority="38">
      <formula>MOD(ROW(),2)=0</formula>
    </cfRule>
  </conditionalFormatting>
  <conditionalFormatting sqref="A7:R7">
    <cfRule type="expression" dxfId="0" priority="2">
      <formula>MOD(ROW(),2)=0</formula>
    </cfRule>
  </conditionalFormatting>
  <conditionalFormatting sqref="A81:R81">
    <cfRule type="expression" dxfId="0" priority="39">
      <formula>MOD(ROW(),2)=0</formula>
    </cfRule>
  </conditionalFormatting>
  <conditionalFormatting sqref="A83:R83">
    <cfRule type="expression" dxfId="0" priority="40">
      <formula>MOD(ROW(),2)=0</formula>
    </cfRule>
  </conditionalFormatting>
  <conditionalFormatting sqref="A85:R85">
    <cfRule type="expression" dxfId="0" priority="41">
      <formula>MOD(ROW(),2)=0</formula>
    </cfRule>
  </conditionalFormatting>
  <conditionalFormatting sqref="A87:R87">
    <cfRule type="expression" dxfId="0" priority="42">
      <formula>MOD(ROW(),2)=0</formula>
    </cfRule>
  </conditionalFormatting>
  <conditionalFormatting sqref="A89:R89">
    <cfRule type="expression" dxfId="0" priority="43">
      <formula>MOD(ROW(),2)=0</formula>
    </cfRule>
  </conditionalFormatting>
  <conditionalFormatting sqref="A91:R91">
    <cfRule type="expression" dxfId="0" priority="44">
      <formula>MOD(ROW(),2)=0</formula>
    </cfRule>
  </conditionalFormatting>
  <conditionalFormatting sqref="A93:R93">
    <cfRule type="expression" dxfId="0" priority="45">
      <formula>MOD(ROW(),2)=0</formula>
    </cfRule>
  </conditionalFormatting>
  <conditionalFormatting sqref="A95:R95">
    <cfRule type="expression" dxfId="0" priority="46">
      <formula>MOD(ROW(),2)=0</formula>
    </cfRule>
  </conditionalFormatting>
  <conditionalFormatting sqref="A97:R97">
    <cfRule type="expression" dxfId="0" priority="47">
      <formula>MOD(ROW(),2)=0</formula>
    </cfRule>
  </conditionalFormatting>
  <conditionalFormatting sqref="A99:R99">
    <cfRule type="expression" dxfId="0" priority="48">
      <formula>MOD(ROW(),2)=0</formula>
    </cfRule>
  </conditionalFormatting>
  <conditionalFormatting sqref="A9:R9">
    <cfRule type="expression" dxfId="0" priority="3">
      <formula>MOD(ROW(),2)=0</formula>
    </cfRule>
  </conditionalFormatting>
  <dataValidations count="200">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Spreadsheet&amp;R&amp;"Calibri,Italic"Recipe Costs</oddHeader>
    <oddFooter>&amp;LPage &amp;P of &amp;N&amp;R&amp;D</oddFooter>
  </headerFooter>
  <legacyDrawing r:id="rId1"/>
</worksheet>
</file>

<file path=xl/worksheets/sheet22.xml><?xml version="1.0" encoding="utf-8"?>
<worksheet xmlns="http://schemas.openxmlformats.org/spreadsheetml/2006/main" xmlns:r="http://schemas.openxmlformats.org/officeDocument/2006/relationships">
  <sheetPr>
    <tabColor rgb="FF4E8A63"/>
    <pageSetUpPr fitToPage="1"/>
  </sheetPr>
  <dimension ref="A1:H62"/>
  <sheetViews>
    <sheetView showGridLines="0" workbookViewId="0">
      <pane xSplit="2" ySplit="22" topLeftCell="C23" activePane="bottomRight" state="frozen"/>
      <selection pane="topRight" activeCell="C1" sqref="C1"/>
      <selection pane="bottomLeft" activeCell="A23" sqref="A23"/>
      <selection pane="bottomRight"/>
    </sheetView>
  </sheetViews>
  <sheetFormatPr defaultRowHeight="15"/>
  <cols>
    <col min="1" max="3" width="12.7109375" customWidth="1"/>
    <col min="4" max="4" width="13.7109375" customWidth="1"/>
    <col min="5" max="5" width="30.7109375" customWidth="1"/>
    <col min="6" max="6" width="22.7109375" customWidth="1"/>
    <col min="7" max="7" width="14.7109375" customWidth="1"/>
    <col min="8" max="8" width="30.7109375" customWidth="1"/>
  </cols>
  <sheetData>
    <row r="1" spans="1:7" ht="30" customHeight="1">
      <c r="A1" s="1" t="s">
        <v>522</v>
      </c>
      <c r="B1" s="1"/>
      <c r="C1" s="1"/>
      <c r="D1" s="1"/>
      <c r="E1" s="1"/>
      <c r="F1" s="1"/>
      <c r="G1" s="1"/>
    </row>
    <row r="2" spans="1:7" ht="18" customHeight="1">
      <c r="A2" s="2" t="s">
        <v>523</v>
      </c>
      <c r="B2" s="2"/>
      <c r="C2" s="2"/>
      <c r="D2" s="2"/>
      <c r="E2" s="2"/>
      <c r="F2" s="2"/>
      <c r="G2" s="2"/>
    </row>
    <row r="3" spans="1:7" ht="20" customHeight="1">
      <c r="A3" s="3" t="s">
        <v>524</v>
      </c>
      <c r="B3" s="3"/>
      <c r="C3" s="3"/>
      <c r="D3" s="3"/>
      <c r="E3" s="3"/>
      <c r="F3" s="3"/>
      <c r="G3" s="3"/>
    </row>
    <row r="5" spans="1:7" ht="22" customHeight="1">
      <c r="A5" s="4" t="s">
        <v>525</v>
      </c>
      <c r="B5" s="4"/>
      <c r="C5" s="4"/>
      <c r="D5" s="4"/>
      <c r="E5" s="4"/>
      <c r="F5" s="4"/>
      <c r="G5" s="4"/>
    </row>
    <row r="6" spans="1:7">
      <c r="A6" s="6" t="s">
        <v>149</v>
      </c>
      <c r="B6" s="26">
        <v>250</v>
      </c>
    </row>
    <row r="7" spans="1:7">
      <c r="A7" s="6" t="s">
        <v>526</v>
      </c>
      <c r="B7" s="27" t="s">
        <v>527</v>
      </c>
      <c r="C7" s="6" t="s">
        <v>528</v>
      </c>
      <c r="D7" s="27" t="s">
        <v>529</v>
      </c>
    </row>
    <row r="8" spans="1:7" ht="30" customHeight="1">
      <c r="A8" s="6" t="s">
        <v>530</v>
      </c>
      <c r="B8" s="16">
        <f>IFERROR($B$6*IFERROR(INDEX(Converter!$C$23:$C$62,MATCH(1,INDEX((Converter!$A$23:$A$62=$B$7)*(Converter!$B$23:$B$62=$D$7),0),0)),"?"),"not in table")</f>
        <v>0</v>
      </c>
      <c r="C8" s="6" t="s">
        <v>531</v>
      </c>
      <c r="D8" s="16">
        <f>IFERROR($B$6/IFERROR(INDEX(Converter!$C$23:$C$62,MATCH(1,INDEX((Converter!$A$23:$A$62=$B$7)*(Converter!$B$23:$B$62=$D$7),0),0)),"?"),"not in table")</f>
        <v>0</v>
      </c>
    </row>
    <row r="10" spans="1:7" ht="22" customHeight="1">
      <c r="A10" s="4" t="s">
        <v>532</v>
      </c>
      <c r="B10" s="4"/>
      <c r="C10" s="4"/>
      <c r="D10" s="4"/>
      <c r="E10" s="4"/>
      <c r="F10" s="4"/>
      <c r="G10" s="4"/>
    </row>
    <row r="11" spans="1:7">
      <c r="A11" s="9" t="s">
        <v>533</v>
      </c>
      <c r="B11" s="9" t="s">
        <v>534</v>
      </c>
      <c r="C11" s="9" t="s">
        <v>535</v>
      </c>
      <c r="D11" s="9" t="s">
        <v>536</v>
      </c>
    </row>
    <row r="12" spans="1:7">
      <c r="A12" s="19" t="s">
        <v>537</v>
      </c>
      <c r="B12" s="19">
        <v>110</v>
      </c>
      <c r="C12" s="19">
        <v>120</v>
      </c>
      <c r="D12" s="19">
        <v>250</v>
      </c>
    </row>
    <row r="13" spans="1:7">
      <c r="A13" s="19" t="s">
        <v>538</v>
      </c>
      <c r="B13" s="19">
        <v>120</v>
      </c>
      <c r="C13" s="19">
        <v>130</v>
      </c>
      <c r="D13" s="19">
        <v>265</v>
      </c>
    </row>
    <row r="14" spans="1:7">
      <c r="A14" s="19" t="s">
        <v>539</v>
      </c>
      <c r="B14" s="19">
        <v>140</v>
      </c>
      <c r="C14" s="19">
        <v>150</v>
      </c>
      <c r="D14" s="19">
        <v>300</v>
      </c>
    </row>
    <row r="15" spans="1:7">
      <c r="A15" s="19" t="s">
        <v>540</v>
      </c>
      <c r="B15" s="19">
        <v>150</v>
      </c>
      <c r="C15" s="19">
        <v>160</v>
      </c>
      <c r="D15" s="19">
        <v>325</v>
      </c>
    </row>
    <row r="16" spans="1:7">
      <c r="A16" s="19" t="s">
        <v>541</v>
      </c>
      <c r="B16" s="19">
        <v>160</v>
      </c>
      <c r="C16" s="19">
        <v>180</v>
      </c>
      <c r="D16" s="19">
        <v>350</v>
      </c>
    </row>
    <row r="17" spans="1:8">
      <c r="A17" s="19" t="s">
        <v>542</v>
      </c>
      <c r="B17" s="19">
        <v>170</v>
      </c>
      <c r="C17" s="19">
        <v>190</v>
      </c>
      <c r="D17" s="19">
        <v>375</v>
      </c>
    </row>
    <row r="18" spans="1:8">
      <c r="A18" s="19" t="s">
        <v>543</v>
      </c>
      <c r="B18" s="19">
        <v>180</v>
      </c>
      <c r="C18" s="19">
        <v>200</v>
      </c>
      <c r="D18" s="19">
        <v>400</v>
      </c>
    </row>
    <row r="19" spans="1:8">
      <c r="A19" s="19" t="s">
        <v>544</v>
      </c>
      <c r="B19" s="19">
        <v>190</v>
      </c>
      <c r="C19" s="19">
        <v>210</v>
      </c>
      <c r="D19" s="19">
        <v>425</v>
      </c>
    </row>
    <row r="20" spans="1:8">
      <c r="A20" s="19" t="s">
        <v>545</v>
      </c>
      <c r="B20" s="19">
        <v>200</v>
      </c>
      <c r="C20" s="19">
        <v>220</v>
      </c>
      <c r="D20" s="19">
        <v>450</v>
      </c>
    </row>
    <row r="21" spans="1:8">
      <c r="A21" s="24" t="s">
        <v>548</v>
      </c>
      <c r="B21" s="24"/>
      <c r="C21" s="24"/>
      <c r="D21" s="24"/>
      <c r="E21" s="24"/>
      <c r="F21" s="24"/>
      <c r="G21" s="24"/>
    </row>
    <row r="22" spans="1:8" ht="32" customHeight="1">
      <c r="A22" s="9" t="s">
        <v>526</v>
      </c>
      <c r="B22" s="9" t="s">
        <v>528</v>
      </c>
      <c r="C22" s="9" t="s">
        <v>549</v>
      </c>
      <c r="D22" s="9" t="s">
        <v>282</v>
      </c>
      <c r="E22" s="9" t="s">
        <v>550</v>
      </c>
      <c r="F22" s="9" t="s">
        <v>531</v>
      </c>
      <c r="G22" s="9" t="s">
        <v>135</v>
      </c>
      <c r="H22" s="9" t="s">
        <v>173</v>
      </c>
    </row>
    <row r="23" spans="1:8">
      <c r="A23" s="7"/>
      <c r="B23" s="7"/>
      <c r="C23" s="26"/>
      <c r="D23" s="27"/>
      <c r="E23" s="7"/>
      <c r="F23" s="8">
        <f>IF(OR(A23="",C23=""),"",B23&amp;" to "&amp;A23&amp;": divide by "&amp;TEXT(C23,"0.####"))</f>
        <v>0</v>
      </c>
      <c r="G23" s="8">
        <f>IF(A23="","",IF(C23=0,"Check the factor","OK"))</f>
        <v>0</v>
      </c>
      <c r="H23" s="25"/>
    </row>
    <row r="24" spans="1:8">
      <c r="A24" s="7"/>
      <c r="B24" s="7"/>
      <c r="C24" s="26"/>
      <c r="D24" s="27"/>
      <c r="E24" s="7"/>
      <c r="F24" s="8">
        <f>IF(OR(A24="",C24=""),"",B24&amp;" to "&amp;A24&amp;": divide by "&amp;TEXT(C24,"0.####"))</f>
        <v>0</v>
      </c>
      <c r="G24" s="8">
        <f>IF(A24="","",IF(C24=0,"Check the factor","OK"))</f>
        <v>0</v>
      </c>
      <c r="H24" s="25"/>
    </row>
    <row r="25" spans="1:8">
      <c r="A25" s="7"/>
      <c r="B25" s="7"/>
      <c r="C25" s="26"/>
      <c r="D25" s="27"/>
      <c r="E25" s="7"/>
      <c r="F25" s="8">
        <f>IF(OR(A25="",C25=""),"",B25&amp;" to "&amp;A25&amp;": divide by "&amp;TEXT(C25,"0.####"))</f>
        <v>0</v>
      </c>
      <c r="G25" s="8">
        <f>IF(A25="","",IF(C25=0,"Check the factor","OK"))</f>
        <v>0</v>
      </c>
      <c r="H25" s="25"/>
    </row>
    <row r="26" spans="1:8">
      <c r="A26" s="7"/>
      <c r="B26" s="7"/>
      <c r="C26" s="26"/>
      <c r="D26" s="27"/>
      <c r="E26" s="7"/>
      <c r="F26" s="8">
        <f>IF(OR(A26="",C26=""),"",B26&amp;" to "&amp;A26&amp;": divide by "&amp;TEXT(C26,"0.####"))</f>
        <v>0</v>
      </c>
      <c r="G26" s="8">
        <f>IF(A26="","",IF(C26=0,"Check the factor","OK"))</f>
        <v>0</v>
      </c>
      <c r="H26" s="25"/>
    </row>
    <row r="27" spans="1:8">
      <c r="A27" s="7"/>
      <c r="B27" s="7"/>
      <c r="C27" s="26"/>
      <c r="D27" s="27"/>
      <c r="E27" s="7"/>
      <c r="F27" s="8">
        <f>IF(OR(A27="",C27=""),"",B27&amp;" to "&amp;A27&amp;": divide by "&amp;TEXT(C27,"0.####"))</f>
        <v>0</v>
      </c>
      <c r="G27" s="8">
        <f>IF(A27="","",IF(C27=0,"Check the factor","OK"))</f>
        <v>0</v>
      </c>
      <c r="H27" s="25"/>
    </row>
    <row r="28" spans="1:8">
      <c r="A28" s="7"/>
      <c r="B28" s="7"/>
      <c r="C28" s="26"/>
      <c r="D28" s="27"/>
      <c r="E28" s="7"/>
      <c r="F28" s="8">
        <f>IF(OR(A28="",C28=""),"",B28&amp;" to "&amp;A28&amp;": divide by "&amp;TEXT(C28,"0.####"))</f>
        <v>0</v>
      </c>
      <c r="G28" s="8">
        <f>IF(A28="","",IF(C28=0,"Check the factor","OK"))</f>
        <v>0</v>
      </c>
      <c r="H28" s="25"/>
    </row>
    <row r="29" spans="1:8">
      <c r="A29" s="7"/>
      <c r="B29" s="7"/>
      <c r="C29" s="26"/>
      <c r="D29" s="27"/>
      <c r="E29" s="7"/>
      <c r="F29" s="8">
        <f>IF(OR(A29="",C29=""),"",B29&amp;" to "&amp;A29&amp;": divide by "&amp;TEXT(C29,"0.####"))</f>
        <v>0</v>
      </c>
      <c r="G29" s="8">
        <f>IF(A29="","",IF(C29=0,"Check the factor","OK"))</f>
        <v>0</v>
      </c>
      <c r="H29" s="25"/>
    </row>
    <row r="30" spans="1:8">
      <c r="A30" s="7"/>
      <c r="B30" s="7"/>
      <c r="C30" s="26"/>
      <c r="D30" s="27"/>
      <c r="E30" s="7"/>
      <c r="F30" s="8">
        <f>IF(OR(A30="",C30=""),"",B30&amp;" to "&amp;A30&amp;": divide by "&amp;TEXT(C30,"0.####"))</f>
        <v>0</v>
      </c>
      <c r="G30" s="8">
        <f>IF(A30="","",IF(C30=0,"Check the factor","OK"))</f>
        <v>0</v>
      </c>
      <c r="H30" s="25"/>
    </row>
    <row r="31" spans="1:8">
      <c r="A31" s="7"/>
      <c r="B31" s="7"/>
      <c r="C31" s="26"/>
      <c r="D31" s="27"/>
      <c r="E31" s="7"/>
      <c r="F31" s="8">
        <f>IF(OR(A31="",C31=""),"",B31&amp;" to "&amp;A31&amp;": divide by "&amp;TEXT(C31,"0.####"))</f>
        <v>0</v>
      </c>
      <c r="G31" s="8">
        <f>IF(A31="","",IF(C31=0,"Check the factor","OK"))</f>
        <v>0</v>
      </c>
      <c r="H31" s="25"/>
    </row>
    <row r="32" spans="1:8">
      <c r="A32" s="7"/>
      <c r="B32" s="7"/>
      <c r="C32" s="26"/>
      <c r="D32" s="27"/>
      <c r="E32" s="7"/>
      <c r="F32" s="8">
        <f>IF(OR(A32="",C32=""),"",B32&amp;" to "&amp;A32&amp;": divide by "&amp;TEXT(C32,"0.####"))</f>
        <v>0</v>
      </c>
      <c r="G32" s="8">
        <f>IF(A32="","",IF(C32=0,"Check the factor","OK"))</f>
        <v>0</v>
      </c>
      <c r="H32" s="25"/>
    </row>
    <row r="33" spans="1:8">
      <c r="A33" s="7"/>
      <c r="B33" s="7"/>
      <c r="C33" s="26"/>
      <c r="D33" s="27"/>
      <c r="E33" s="7"/>
      <c r="F33" s="8">
        <f>IF(OR(A33="",C33=""),"",B33&amp;" to "&amp;A33&amp;": divide by "&amp;TEXT(C33,"0.####"))</f>
        <v>0</v>
      </c>
      <c r="G33" s="8">
        <f>IF(A33="","",IF(C33=0,"Check the factor","OK"))</f>
        <v>0</v>
      </c>
      <c r="H33" s="25"/>
    </row>
    <row r="34" spans="1:8">
      <c r="A34" s="7"/>
      <c r="B34" s="7"/>
      <c r="C34" s="26"/>
      <c r="D34" s="27"/>
      <c r="E34" s="7"/>
      <c r="F34" s="8">
        <f>IF(OR(A34="",C34=""),"",B34&amp;" to "&amp;A34&amp;": divide by "&amp;TEXT(C34,"0.####"))</f>
        <v>0</v>
      </c>
      <c r="G34" s="8">
        <f>IF(A34="","",IF(C34=0,"Check the factor","OK"))</f>
        <v>0</v>
      </c>
      <c r="H34" s="25"/>
    </row>
    <row r="35" spans="1:8">
      <c r="A35" s="7"/>
      <c r="B35" s="7"/>
      <c r="C35" s="26"/>
      <c r="D35" s="27"/>
      <c r="E35" s="7"/>
      <c r="F35" s="8">
        <f>IF(OR(A35="",C35=""),"",B35&amp;" to "&amp;A35&amp;": divide by "&amp;TEXT(C35,"0.####"))</f>
        <v>0</v>
      </c>
      <c r="G35" s="8">
        <f>IF(A35="","",IF(C35=0,"Check the factor","OK"))</f>
        <v>0</v>
      </c>
      <c r="H35" s="25"/>
    </row>
    <row r="36" spans="1:8">
      <c r="A36" s="7"/>
      <c r="B36" s="7"/>
      <c r="C36" s="26"/>
      <c r="D36" s="27"/>
      <c r="E36" s="7"/>
      <c r="F36" s="8">
        <f>IF(OR(A36="",C36=""),"",B36&amp;" to "&amp;A36&amp;": divide by "&amp;TEXT(C36,"0.####"))</f>
        <v>0</v>
      </c>
      <c r="G36" s="8">
        <f>IF(A36="","",IF(C36=0,"Check the factor","OK"))</f>
        <v>0</v>
      </c>
      <c r="H36" s="25"/>
    </row>
    <row r="37" spans="1:8">
      <c r="A37" s="7"/>
      <c r="B37" s="7"/>
      <c r="C37" s="26"/>
      <c r="D37" s="27"/>
      <c r="E37" s="7"/>
      <c r="F37" s="8">
        <f>IF(OR(A37="",C37=""),"",B37&amp;" to "&amp;A37&amp;": divide by "&amp;TEXT(C37,"0.####"))</f>
        <v>0</v>
      </c>
      <c r="G37" s="8">
        <f>IF(A37="","",IF(C37=0,"Check the factor","OK"))</f>
        <v>0</v>
      </c>
      <c r="H37" s="25"/>
    </row>
    <row r="38" spans="1:8">
      <c r="A38" s="7"/>
      <c r="B38" s="7"/>
      <c r="C38" s="26"/>
      <c r="D38" s="27"/>
      <c r="E38" s="7"/>
      <c r="F38" s="8">
        <f>IF(OR(A38="",C38=""),"",B38&amp;" to "&amp;A38&amp;": divide by "&amp;TEXT(C38,"0.####"))</f>
        <v>0</v>
      </c>
      <c r="G38" s="8">
        <f>IF(A38="","",IF(C38=0,"Check the factor","OK"))</f>
        <v>0</v>
      </c>
      <c r="H38" s="25"/>
    </row>
    <row r="39" spans="1:8">
      <c r="A39" s="7"/>
      <c r="B39" s="7"/>
      <c r="C39" s="26"/>
      <c r="D39" s="27"/>
      <c r="E39" s="7"/>
      <c r="F39" s="8">
        <f>IF(OR(A39="",C39=""),"",B39&amp;" to "&amp;A39&amp;": divide by "&amp;TEXT(C39,"0.####"))</f>
        <v>0</v>
      </c>
      <c r="G39" s="8">
        <f>IF(A39="","",IF(C39=0,"Check the factor","OK"))</f>
        <v>0</v>
      </c>
      <c r="H39" s="25"/>
    </row>
    <row r="40" spans="1:8">
      <c r="A40" s="7"/>
      <c r="B40" s="7"/>
      <c r="C40" s="26"/>
      <c r="D40" s="27"/>
      <c r="E40" s="7"/>
      <c r="F40" s="8">
        <f>IF(OR(A40="",C40=""),"",B40&amp;" to "&amp;A40&amp;": divide by "&amp;TEXT(C40,"0.####"))</f>
        <v>0</v>
      </c>
      <c r="G40" s="8">
        <f>IF(A40="","",IF(C40=0,"Check the factor","OK"))</f>
        <v>0</v>
      </c>
      <c r="H40" s="25"/>
    </row>
    <row r="41" spans="1:8">
      <c r="A41" s="7"/>
      <c r="B41" s="7"/>
      <c r="C41" s="26"/>
      <c r="D41" s="27"/>
      <c r="E41" s="7"/>
      <c r="F41" s="8">
        <f>IF(OR(A41="",C41=""),"",B41&amp;" to "&amp;A41&amp;": divide by "&amp;TEXT(C41,"0.####"))</f>
        <v>0</v>
      </c>
      <c r="G41" s="8">
        <f>IF(A41="","",IF(C41=0,"Check the factor","OK"))</f>
        <v>0</v>
      </c>
      <c r="H41" s="25"/>
    </row>
    <row r="42" spans="1:8">
      <c r="A42" s="7"/>
      <c r="B42" s="7"/>
      <c r="C42" s="26"/>
      <c r="D42" s="27"/>
      <c r="E42" s="7"/>
      <c r="F42" s="8">
        <f>IF(OR(A42="",C42=""),"",B42&amp;" to "&amp;A42&amp;": divide by "&amp;TEXT(C42,"0.####"))</f>
        <v>0</v>
      </c>
      <c r="G42" s="8">
        <f>IF(A42="","",IF(C42=0,"Check the factor","OK"))</f>
        <v>0</v>
      </c>
      <c r="H42" s="25"/>
    </row>
    <row r="43" spans="1:8">
      <c r="A43" s="7"/>
      <c r="B43" s="7"/>
      <c r="C43" s="26"/>
      <c r="D43" s="27"/>
      <c r="E43" s="7"/>
      <c r="F43" s="8">
        <f>IF(OR(A43="",C43=""),"",B43&amp;" to "&amp;A43&amp;": divide by "&amp;TEXT(C43,"0.####"))</f>
        <v>0</v>
      </c>
      <c r="G43" s="8">
        <f>IF(A43="","",IF(C43=0,"Check the factor","OK"))</f>
        <v>0</v>
      </c>
      <c r="H43" s="25"/>
    </row>
    <row r="44" spans="1:8">
      <c r="A44" s="7"/>
      <c r="B44" s="7"/>
      <c r="C44" s="26"/>
      <c r="D44" s="27"/>
      <c r="E44" s="7"/>
      <c r="F44" s="8">
        <f>IF(OR(A44="",C44=""),"",B44&amp;" to "&amp;A44&amp;": divide by "&amp;TEXT(C44,"0.####"))</f>
        <v>0</v>
      </c>
      <c r="G44" s="8">
        <f>IF(A44="","",IF(C44=0,"Check the factor","OK"))</f>
        <v>0</v>
      </c>
      <c r="H44" s="25"/>
    </row>
    <row r="45" spans="1:8">
      <c r="A45" s="7"/>
      <c r="B45" s="7"/>
      <c r="C45" s="26"/>
      <c r="D45" s="27"/>
      <c r="E45" s="7"/>
      <c r="F45" s="8">
        <f>IF(OR(A45="",C45=""),"",B45&amp;" to "&amp;A45&amp;": divide by "&amp;TEXT(C45,"0.####"))</f>
        <v>0</v>
      </c>
      <c r="G45" s="8">
        <f>IF(A45="","",IF(C45=0,"Check the factor","OK"))</f>
        <v>0</v>
      </c>
      <c r="H45" s="25"/>
    </row>
    <row r="46" spans="1:8">
      <c r="A46" s="7"/>
      <c r="B46" s="7"/>
      <c r="C46" s="26"/>
      <c r="D46" s="27"/>
      <c r="E46" s="7"/>
      <c r="F46" s="8">
        <f>IF(OR(A46="",C46=""),"",B46&amp;" to "&amp;A46&amp;": divide by "&amp;TEXT(C46,"0.####"))</f>
        <v>0</v>
      </c>
      <c r="G46" s="8">
        <f>IF(A46="","",IF(C46=0,"Check the factor","OK"))</f>
        <v>0</v>
      </c>
      <c r="H46" s="25"/>
    </row>
    <row r="47" spans="1:8">
      <c r="A47" s="7"/>
      <c r="B47" s="7"/>
      <c r="C47" s="26"/>
      <c r="D47" s="27"/>
      <c r="E47" s="7"/>
      <c r="F47" s="8">
        <f>IF(OR(A47="",C47=""),"",B47&amp;" to "&amp;A47&amp;": divide by "&amp;TEXT(C47,"0.####"))</f>
        <v>0</v>
      </c>
      <c r="G47" s="8">
        <f>IF(A47="","",IF(C47=0,"Check the factor","OK"))</f>
        <v>0</v>
      </c>
      <c r="H47" s="25"/>
    </row>
    <row r="48" spans="1:8">
      <c r="A48" s="7"/>
      <c r="B48" s="7"/>
      <c r="C48" s="26"/>
      <c r="D48" s="27"/>
      <c r="E48" s="7"/>
      <c r="F48" s="8">
        <f>IF(OR(A48="",C48=""),"",B48&amp;" to "&amp;A48&amp;": divide by "&amp;TEXT(C48,"0.####"))</f>
        <v>0</v>
      </c>
      <c r="G48" s="8">
        <f>IF(A48="","",IF(C48=0,"Check the factor","OK"))</f>
        <v>0</v>
      </c>
      <c r="H48" s="25"/>
    </row>
    <row r="49" spans="1:8">
      <c r="A49" s="7"/>
      <c r="B49" s="7"/>
      <c r="C49" s="26"/>
      <c r="D49" s="27"/>
      <c r="E49" s="7"/>
      <c r="F49" s="8">
        <f>IF(OR(A49="",C49=""),"",B49&amp;" to "&amp;A49&amp;": divide by "&amp;TEXT(C49,"0.####"))</f>
        <v>0</v>
      </c>
      <c r="G49" s="8">
        <f>IF(A49="","",IF(C49=0,"Check the factor","OK"))</f>
        <v>0</v>
      </c>
      <c r="H49" s="25"/>
    </row>
    <row r="50" spans="1:8">
      <c r="A50" s="7"/>
      <c r="B50" s="7"/>
      <c r="C50" s="26"/>
      <c r="D50" s="27"/>
      <c r="E50" s="7"/>
      <c r="F50" s="8">
        <f>IF(OR(A50="",C50=""),"",B50&amp;" to "&amp;A50&amp;": divide by "&amp;TEXT(C50,"0.####"))</f>
        <v>0</v>
      </c>
      <c r="G50" s="8">
        <f>IF(A50="","",IF(C50=0,"Check the factor","OK"))</f>
        <v>0</v>
      </c>
      <c r="H50" s="25"/>
    </row>
    <row r="51" spans="1:8">
      <c r="A51" s="7"/>
      <c r="B51" s="7"/>
      <c r="C51" s="26"/>
      <c r="D51" s="27"/>
      <c r="E51" s="7"/>
      <c r="F51" s="8">
        <f>IF(OR(A51="",C51=""),"",B51&amp;" to "&amp;A51&amp;": divide by "&amp;TEXT(C51,"0.####"))</f>
        <v>0</v>
      </c>
      <c r="G51" s="8">
        <f>IF(A51="","",IF(C51=0,"Check the factor","OK"))</f>
        <v>0</v>
      </c>
      <c r="H51" s="25"/>
    </row>
    <row r="52" spans="1:8">
      <c r="A52" s="7"/>
      <c r="B52" s="7"/>
      <c r="C52" s="26"/>
      <c r="D52" s="27"/>
      <c r="E52" s="7"/>
      <c r="F52" s="8">
        <f>IF(OR(A52="",C52=""),"",B52&amp;" to "&amp;A52&amp;": divide by "&amp;TEXT(C52,"0.####"))</f>
        <v>0</v>
      </c>
      <c r="G52" s="8">
        <f>IF(A52="","",IF(C52=0,"Check the factor","OK"))</f>
        <v>0</v>
      </c>
      <c r="H52" s="25"/>
    </row>
    <row r="53" spans="1:8">
      <c r="A53" s="7"/>
      <c r="B53" s="7"/>
      <c r="C53" s="26"/>
      <c r="D53" s="27"/>
      <c r="E53" s="7"/>
      <c r="F53" s="8">
        <f>IF(OR(A53="",C53=""),"",B53&amp;" to "&amp;A53&amp;": divide by "&amp;TEXT(C53,"0.####"))</f>
        <v>0</v>
      </c>
      <c r="G53" s="8">
        <f>IF(A53="","",IF(C53=0,"Check the factor","OK"))</f>
        <v>0</v>
      </c>
      <c r="H53" s="25"/>
    </row>
    <row r="54" spans="1:8">
      <c r="A54" s="7"/>
      <c r="B54" s="7"/>
      <c r="C54" s="26"/>
      <c r="D54" s="27"/>
      <c r="E54" s="7"/>
      <c r="F54" s="8">
        <f>IF(OR(A54="",C54=""),"",B54&amp;" to "&amp;A54&amp;": divide by "&amp;TEXT(C54,"0.####"))</f>
        <v>0</v>
      </c>
      <c r="G54" s="8">
        <f>IF(A54="","",IF(C54=0,"Check the factor","OK"))</f>
        <v>0</v>
      </c>
      <c r="H54" s="25"/>
    </row>
    <row r="55" spans="1:8">
      <c r="A55" s="7"/>
      <c r="B55" s="7"/>
      <c r="C55" s="26"/>
      <c r="D55" s="27"/>
      <c r="E55" s="7"/>
      <c r="F55" s="8">
        <f>IF(OR(A55="",C55=""),"",B55&amp;" to "&amp;A55&amp;": divide by "&amp;TEXT(C55,"0.####"))</f>
        <v>0</v>
      </c>
      <c r="G55" s="8">
        <f>IF(A55="","",IF(C55=0,"Check the factor","OK"))</f>
        <v>0</v>
      </c>
      <c r="H55" s="25"/>
    </row>
    <row r="56" spans="1:8">
      <c r="A56" s="7"/>
      <c r="B56" s="7"/>
      <c r="C56" s="26"/>
      <c r="D56" s="27"/>
      <c r="E56" s="7"/>
      <c r="F56" s="8">
        <f>IF(OR(A56="",C56=""),"",B56&amp;" to "&amp;A56&amp;": divide by "&amp;TEXT(C56,"0.####"))</f>
        <v>0</v>
      </c>
      <c r="G56" s="8">
        <f>IF(A56="","",IF(C56=0,"Check the factor","OK"))</f>
        <v>0</v>
      </c>
      <c r="H56" s="25"/>
    </row>
    <row r="57" spans="1:8">
      <c r="A57" s="7"/>
      <c r="B57" s="7"/>
      <c r="C57" s="26"/>
      <c r="D57" s="27"/>
      <c r="E57" s="7"/>
      <c r="F57" s="8">
        <f>IF(OR(A57="",C57=""),"",B57&amp;" to "&amp;A57&amp;": divide by "&amp;TEXT(C57,"0.####"))</f>
        <v>0</v>
      </c>
      <c r="G57" s="8">
        <f>IF(A57="","",IF(C57=0,"Check the factor","OK"))</f>
        <v>0</v>
      </c>
      <c r="H57" s="25"/>
    </row>
    <row r="58" spans="1:8">
      <c r="A58" s="7"/>
      <c r="B58" s="7"/>
      <c r="C58" s="26"/>
      <c r="D58" s="27"/>
      <c r="E58" s="7"/>
      <c r="F58" s="8">
        <f>IF(OR(A58="",C58=""),"",B58&amp;" to "&amp;A58&amp;": divide by "&amp;TEXT(C58,"0.####"))</f>
        <v>0</v>
      </c>
      <c r="G58" s="8">
        <f>IF(A58="","",IF(C58=0,"Check the factor","OK"))</f>
        <v>0</v>
      </c>
      <c r="H58" s="25"/>
    </row>
    <row r="59" spans="1:8">
      <c r="A59" s="7"/>
      <c r="B59" s="7"/>
      <c r="C59" s="26"/>
      <c r="D59" s="27"/>
      <c r="E59" s="7"/>
      <c r="F59" s="8">
        <f>IF(OR(A59="",C59=""),"",B59&amp;" to "&amp;A59&amp;": divide by "&amp;TEXT(C59,"0.####"))</f>
        <v>0</v>
      </c>
      <c r="G59" s="8">
        <f>IF(A59="","",IF(C59=0,"Check the factor","OK"))</f>
        <v>0</v>
      </c>
      <c r="H59" s="25"/>
    </row>
    <row r="60" spans="1:8">
      <c r="A60" s="7"/>
      <c r="B60" s="7"/>
      <c r="C60" s="26"/>
      <c r="D60" s="27"/>
      <c r="E60" s="7"/>
      <c r="F60" s="8">
        <f>IF(OR(A60="",C60=""),"",B60&amp;" to "&amp;A60&amp;": divide by "&amp;TEXT(C60,"0.####"))</f>
        <v>0</v>
      </c>
      <c r="G60" s="8">
        <f>IF(A60="","",IF(C60=0,"Check the factor","OK"))</f>
        <v>0</v>
      </c>
      <c r="H60" s="25"/>
    </row>
    <row r="61" spans="1:8">
      <c r="A61" s="7"/>
      <c r="B61" s="7"/>
      <c r="C61" s="26"/>
      <c r="D61" s="27"/>
      <c r="E61" s="7"/>
      <c r="F61" s="8">
        <f>IF(OR(A61="",C61=""),"",B61&amp;" to "&amp;A61&amp;": divide by "&amp;TEXT(C61,"0.####"))</f>
        <v>0</v>
      </c>
      <c r="G61" s="8">
        <f>IF(A61="","",IF(C61=0,"Check the factor","OK"))</f>
        <v>0</v>
      </c>
      <c r="H61" s="25"/>
    </row>
    <row r="62" spans="1:8">
      <c r="A62" s="7"/>
      <c r="B62" s="7"/>
      <c r="C62" s="26"/>
      <c r="D62" s="27"/>
      <c r="E62" s="7"/>
      <c r="F62" s="8">
        <f>IF(OR(A62="",C62=""),"",B62&amp;" to "&amp;A62&amp;": divide by "&amp;TEXT(C62,"0.####"))</f>
        <v>0</v>
      </c>
      <c r="G62" s="8">
        <f>IF(A62="","",IF(C62=0,"Check the factor","OK"))</f>
        <v>0</v>
      </c>
      <c r="H62" s="25"/>
    </row>
  </sheetData>
  <sheetProtection password="EC7C" sheet="1" objects="1" scenarios="1" selectLockedCells="1" selectUnlockedCells="1"/>
  <autoFilter ref="A22:H62"/>
  <mergeCells count="6">
    <mergeCell ref="A1:G1"/>
    <mergeCell ref="A2:G2"/>
    <mergeCell ref="A3:G3"/>
    <mergeCell ref="A5:G5"/>
    <mergeCell ref="A10:G10"/>
    <mergeCell ref="A21:G21"/>
  </mergeCells>
  <dataValidations count="83">
    <dataValidation type="decimal" errorStyle="warning" allowBlank="1" showInputMessage="1" showErrorMessage="1" errorTitle="Check this number" error="Enter a quantity to convert." sqref="B6">
      <formula1>0</formula1>
      <formula2>1000000</formula2>
    </dataValidation>
    <dataValidation type="list" allowBlank="1" showInputMessage="1" showErrorMessage="1" sqref="B7">
      <formula1>Converter!$A$23:$A$62</formula1>
    </dataValidation>
    <dataValidation type="list" allowBlank="1" showInputMessage="1" showErrorMessage="1" sqref="D7">
      <formula1>Converter!$B$23:$B$62</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s>
  <pageMargins left="0.7" right="0.7" top="0.75" bottom="0.75" header="0.3" footer="0.3"/>
  <pageSetup paperSize="9" fitToHeight="0" orientation="landscape"/>
</worksheet>
</file>

<file path=xl/worksheets/sheet23.xml><?xml version="1.0" encoding="utf-8"?>
<worksheet xmlns="http://schemas.openxmlformats.org/spreadsheetml/2006/main" xmlns:r="http://schemas.openxmlformats.org/officeDocument/2006/relationships">
  <sheetPr>
    <tabColor rgb="FF4E8A63"/>
    <pageSetUpPr fitToPage="1"/>
  </sheetPr>
  <dimension ref="A4:O20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8.7109375" customWidth="1"/>
    <col min="2" max="2" width="15.7109375" customWidth="1"/>
    <col min="3" max="3" width="14.7109375" customWidth="1"/>
    <col min="4" max="5" width="12.7109375" customWidth="1"/>
    <col min="6" max="6" width="11.7109375" customWidth="1"/>
    <col min="7" max="7" width="13.7109375" customWidth="1"/>
    <col min="8" max="8" width="10.7109375" customWidth="1"/>
    <col min="9" max="9" width="13.7109375" customWidth="1"/>
    <col min="10" max="10" width="11.7109375" customWidth="1"/>
    <col min="11" max="11" width="12.7109375" customWidth="1"/>
    <col min="12" max="12" width="10.7109375" customWidth="1"/>
    <col min="13" max="13" width="9.7109375" customWidth="1"/>
    <col min="14" max="14" width="12.7109375" customWidth="1"/>
    <col min="15" max="15" width="30.7109375" customWidth="1"/>
  </cols>
  <sheetData>
    <row r="4" spans="1:15" ht="32" customHeight="1">
      <c r="A4" s="9" t="s">
        <v>138</v>
      </c>
      <c r="B4" s="9" t="s">
        <v>282</v>
      </c>
      <c r="C4" s="9" t="s">
        <v>283</v>
      </c>
      <c r="D4" s="9" t="s">
        <v>298</v>
      </c>
      <c r="E4" s="9" t="s">
        <v>139</v>
      </c>
      <c r="F4" s="9" t="s">
        <v>140</v>
      </c>
      <c r="G4" s="9" t="s">
        <v>551</v>
      </c>
      <c r="H4" s="9" t="s">
        <v>70</v>
      </c>
      <c r="I4" s="9" t="s">
        <v>552</v>
      </c>
      <c r="J4" s="9" t="s">
        <v>442</v>
      </c>
      <c r="K4" s="9" t="s">
        <v>553</v>
      </c>
      <c r="L4" s="9" t="s">
        <v>300</v>
      </c>
      <c r="M4" s="9" t="s">
        <v>141</v>
      </c>
      <c r="N4" s="9" t="s">
        <v>299</v>
      </c>
      <c r="O4" s="9" t="s">
        <v>173</v>
      </c>
    </row>
    <row r="5" spans="1:15">
      <c r="A5" s="7"/>
      <c r="B5" s="8">
        <f>IF(A5="","",IFERROR(INDEX(Recipes!$B$5:$B$204,MATCH(A5,Recipes!$A$5:$A$204,0)),""))</f>
        <v>0</v>
      </c>
      <c r="C5" s="8">
        <f>IF(A5="","",IFERROR(INDEX(Recipes!$C$5:$C$204,MATCH(A5,Recipes!$A$5:$A$204,0)),""))</f>
        <v>0</v>
      </c>
      <c r="D5" s="8">
        <f>IF(A5="","",COUNTIFS('Meal Plan'!$G$5:$G$504,A5,'Meal Plan'!$S$5:$S$504,"Cooked")+COUNTIFS('Meal Plan'!$G$5:$G$504,A5,'Meal Plan'!$S$5:$S$504,"Eaten"))</f>
        <v>0</v>
      </c>
      <c r="E5" s="8">
        <f>IF(A5="","",IFERROR(INDEX(Recipes!$X$5:$X$204,MATCH(A5,Recipes!$A$5:$A$204,0)),""))</f>
        <v>0</v>
      </c>
      <c r="F5" s="8">
        <f>IF(OR(A5="",E5=""),"",TODAY()-E5)</f>
        <v>0</v>
      </c>
      <c r="G5" s="8">
        <f>IF(OR(A5="",D5=0),"",ROUND(365/D5,0))</f>
        <v>0</v>
      </c>
      <c r="H5" s="8">
        <f>IF(A5="","",IF(F5="","Yes",IF(F5&gt;=Rotation_Gap_Days,"Yes","No")))</f>
        <v>0</v>
      </c>
      <c r="I5" s="8">
        <f>IF(OR(A5="",E5=""),"",E5+Rotation_Gap_Days)</f>
        <v>0</v>
      </c>
      <c r="J5" s="8">
        <f>IF(OR(A5="",I5=""),"",I5-TODAY())</f>
        <v>0</v>
      </c>
      <c r="K5" s="8">
        <f>IF(OR(A5="",F5=""),"",COUNTIFS($F$5:$F$204,"&lt;"&amp;F5)+1)</f>
        <v>0</v>
      </c>
      <c r="L5" s="8">
        <f>IF(A5="","",IFERROR(INDEX(Recipes!$AB$5:$AB$204,MATCH(A5,Recipes!$A$5:$A$204,0)),""))</f>
        <v>0</v>
      </c>
      <c r="M5" s="8">
        <f>IF(A5="","",IFERROR(INDEX(Recipes!$AN$5:$AN$204,MATCH(A5,Recipes!$A$5:$A$204,0)),""))</f>
        <v>0</v>
      </c>
      <c r="N5" s="8">
        <f>IF(A5="","",IF(H5="No","Too soon",IF(F5="","Never cooked",IF(F5&gt;=90,"Overdue","Available"))))</f>
        <v>0</v>
      </c>
      <c r="O5" s="25"/>
    </row>
    <row r="6" spans="1:15">
      <c r="A6" s="7"/>
      <c r="B6" s="8">
        <f>IF(A6="","",IFERROR(INDEX(Recipes!$B$5:$B$204,MATCH(A6,Recipes!$A$5:$A$204,0)),""))</f>
        <v>0</v>
      </c>
      <c r="C6" s="8">
        <f>IF(A6="","",IFERROR(INDEX(Recipes!$C$5:$C$204,MATCH(A6,Recipes!$A$5:$A$204,0)),""))</f>
        <v>0</v>
      </c>
      <c r="D6" s="8">
        <f>IF(A6="","",COUNTIFS('Meal Plan'!$G$5:$G$504,A6,'Meal Plan'!$S$5:$S$504,"Cooked")+COUNTIFS('Meal Plan'!$G$5:$G$504,A6,'Meal Plan'!$S$5:$S$504,"Eaten"))</f>
        <v>0</v>
      </c>
      <c r="E6" s="8">
        <f>IF(A6="","",IFERROR(INDEX(Recipes!$X$5:$X$204,MATCH(A6,Recipes!$A$5:$A$204,0)),""))</f>
        <v>0</v>
      </c>
      <c r="F6" s="8">
        <f>IF(OR(A6="",E6=""),"",TODAY()-E6)</f>
        <v>0</v>
      </c>
      <c r="G6" s="8">
        <f>IF(OR(A6="",D6=0),"",ROUND(365/D6,0))</f>
        <v>0</v>
      </c>
      <c r="H6" s="8">
        <f>IF(A6="","",IF(F6="","Yes",IF(F6&gt;=Rotation_Gap_Days,"Yes","No")))</f>
        <v>0</v>
      </c>
      <c r="I6" s="8">
        <f>IF(OR(A6="",E6=""),"",E6+Rotation_Gap_Days)</f>
        <v>0</v>
      </c>
      <c r="J6" s="8">
        <f>IF(OR(A6="",I6=""),"",I6-TODAY())</f>
        <v>0</v>
      </c>
      <c r="K6" s="8">
        <f>IF(OR(A6="",F6=""),"",COUNTIFS($F$5:$F$204,"&lt;"&amp;F6)+1)</f>
        <v>0</v>
      </c>
      <c r="L6" s="8">
        <f>IF(A6="","",IFERROR(INDEX(Recipes!$AB$5:$AB$204,MATCH(A6,Recipes!$A$5:$A$204,0)),""))</f>
        <v>0</v>
      </c>
      <c r="M6" s="8">
        <f>IF(A6="","",IFERROR(INDEX(Recipes!$AN$5:$AN$204,MATCH(A6,Recipes!$A$5:$A$204,0)),""))</f>
        <v>0</v>
      </c>
      <c r="N6" s="8">
        <f>IF(A6="","",IF(H6="No","Too soon",IF(F6="","Never cooked",IF(F6&gt;=90,"Overdue","Available"))))</f>
        <v>0</v>
      </c>
      <c r="O6" s="25"/>
    </row>
    <row r="7" spans="1:15">
      <c r="A7" s="7"/>
      <c r="B7" s="8">
        <f>IF(A7="","",IFERROR(INDEX(Recipes!$B$5:$B$204,MATCH(A7,Recipes!$A$5:$A$204,0)),""))</f>
        <v>0</v>
      </c>
      <c r="C7" s="8">
        <f>IF(A7="","",IFERROR(INDEX(Recipes!$C$5:$C$204,MATCH(A7,Recipes!$A$5:$A$204,0)),""))</f>
        <v>0</v>
      </c>
      <c r="D7" s="8">
        <f>IF(A7="","",COUNTIFS('Meal Plan'!$G$5:$G$504,A7,'Meal Plan'!$S$5:$S$504,"Cooked")+COUNTIFS('Meal Plan'!$G$5:$G$504,A7,'Meal Plan'!$S$5:$S$504,"Eaten"))</f>
        <v>0</v>
      </c>
      <c r="E7" s="8">
        <f>IF(A7="","",IFERROR(INDEX(Recipes!$X$5:$X$204,MATCH(A7,Recipes!$A$5:$A$204,0)),""))</f>
        <v>0</v>
      </c>
      <c r="F7" s="8">
        <f>IF(OR(A7="",E7=""),"",TODAY()-E7)</f>
        <v>0</v>
      </c>
      <c r="G7" s="8">
        <f>IF(OR(A7="",D7=0),"",ROUND(365/D7,0))</f>
        <v>0</v>
      </c>
      <c r="H7" s="8">
        <f>IF(A7="","",IF(F7="","Yes",IF(F7&gt;=Rotation_Gap_Days,"Yes","No")))</f>
        <v>0</v>
      </c>
      <c r="I7" s="8">
        <f>IF(OR(A7="",E7=""),"",E7+Rotation_Gap_Days)</f>
        <v>0</v>
      </c>
      <c r="J7" s="8">
        <f>IF(OR(A7="",I7=""),"",I7-TODAY())</f>
        <v>0</v>
      </c>
      <c r="K7" s="8">
        <f>IF(OR(A7="",F7=""),"",COUNTIFS($F$5:$F$204,"&lt;"&amp;F7)+1)</f>
        <v>0</v>
      </c>
      <c r="L7" s="8">
        <f>IF(A7="","",IFERROR(INDEX(Recipes!$AB$5:$AB$204,MATCH(A7,Recipes!$A$5:$A$204,0)),""))</f>
        <v>0</v>
      </c>
      <c r="M7" s="8">
        <f>IF(A7="","",IFERROR(INDEX(Recipes!$AN$5:$AN$204,MATCH(A7,Recipes!$A$5:$A$204,0)),""))</f>
        <v>0</v>
      </c>
      <c r="N7" s="8">
        <f>IF(A7="","",IF(H7="No","Too soon",IF(F7="","Never cooked",IF(F7&gt;=90,"Overdue","Available"))))</f>
        <v>0</v>
      </c>
      <c r="O7" s="25"/>
    </row>
    <row r="8" spans="1:15">
      <c r="A8" s="7"/>
      <c r="B8" s="8">
        <f>IF(A8="","",IFERROR(INDEX(Recipes!$B$5:$B$204,MATCH(A8,Recipes!$A$5:$A$204,0)),""))</f>
        <v>0</v>
      </c>
      <c r="C8" s="8">
        <f>IF(A8="","",IFERROR(INDEX(Recipes!$C$5:$C$204,MATCH(A8,Recipes!$A$5:$A$204,0)),""))</f>
        <v>0</v>
      </c>
      <c r="D8" s="8">
        <f>IF(A8="","",COUNTIFS('Meal Plan'!$G$5:$G$504,A8,'Meal Plan'!$S$5:$S$504,"Cooked")+COUNTIFS('Meal Plan'!$G$5:$G$504,A8,'Meal Plan'!$S$5:$S$504,"Eaten"))</f>
        <v>0</v>
      </c>
      <c r="E8" s="8">
        <f>IF(A8="","",IFERROR(INDEX(Recipes!$X$5:$X$204,MATCH(A8,Recipes!$A$5:$A$204,0)),""))</f>
        <v>0</v>
      </c>
      <c r="F8" s="8">
        <f>IF(OR(A8="",E8=""),"",TODAY()-E8)</f>
        <v>0</v>
      </c>
      <c r="G8" s="8">
        <f>IF(OR(A8="",D8=0),"",ROUND(365/D8,0))</f>
        <v>0</v>
      </c>
      <c r="H8" s="8">
        <f>IF(A8="","",IF(F8="","Yes",IF(F8&gt;=Rotation_Gap_Days,"Yes","No")))</f>
        <v>0</v>
      </c>
      <c r="I8" s="8">
        <f>IF(OR(A8="",E8=""),"",E8+Rotation_Gap_Days)</f>
        <v>0</v>
      </c>
      <c r="J8" s="8">
        <f>IF(OR(A8="",I8=""),"",I8-TODAY())</f>
        <v>0</v>
      </c>
      <c r="K8" s="8">
        <f>IF(OR(A8="",F8=""),"",COUNTIFS($F$5:$F$204,"&lt;"&amp;F8)+1)</f>
        <v>0</v>
      </c>
      <c r="L8" s="8">
        <f>IF(A8="","",IFERROR(INDEX(Recipes!$AB$5:$AB$204,MATCH(A8,Recipes!$A$5:$A$204,0)),""))</f>
        <v>0</v>
      </c>
      <c r="M8" s="8">
        <f>IF(A8="","",IFERROR(INDEX(Recipes!$AN$5:$AN$204,MATCH(A8,Recipes!$A$5:$A$204,0)),""))</f>
        <v>0</v>
      </c>
      <c r="N8" s="8">
        <f>IF(A8="","",IF(H8="No","Too soon",IF(F8="","Never cooked",IF(F8&gt;=90,"Overdue","Available"))))</f>
        <v>0</v>
      </c>
      <c r="O8" s="25"/>
    </row>
    <row r="9" spans="1:15">
      <c r="A9" s="7"/>
      <c r="B9" s="8">
        <f>IF(A9="","",IFERROR(INDEX(Recipes!$B$5:$B$204,MATCH(A9,Recipes!$A$5:$A$204,0)),""))</f>
        <v>0</v>
      </c>
      <c r="C9" s="8">
        <f>IF(A9="","",IFERROR(INDEX(Recipes!$C$5:$C$204,MATCH(A9,Recipes!$A$5:$A$204,0)),""))</f>
        <v>0</v>
      </c>
      <c r="D9" s="8">
        <f>IF(A9="","",COUNTIFS('Meal Plan'!$G$5:$G$504,A9,'Meal Plan'!$S$5:$S$504,"Cooked")+COUNTIFS('Meal Plan'!$G$5:$G$504,A9,'Meal Plan'!$S$5:$S$504,"Eaten"))</f>
        <v>0</v>
      </c>
      <c r="E9" s="8">
        <f>IF(A9="","",IFERROR(INDEX(Recipes!$X$5:$X$204,MATCH(A9,Recipes!$A$5:$A$204,0)),""))</f>
        <v>0</v>
      </c>
      <c r="F9" s="8">
        <f>IF(OR(A9="",E9=""),"",TODAY()-E9)</f>
        <v>0</v>
      </c>
      <c r="G9" s="8">
        <f>IF(OR(A9="",D9=0),"",ROUND(365/D9,0))</f>
        <v>0</v>
      </c>
      <c r="H9" s="8">
        <f>IF(A9="","",IF(F9="","Yes",IF(F9&gt;=Rotation_Gap_Days,"Yes","No")))</f>
        <v>0</v>
      </c>
      <c r="I9" s="8">
        <f>IF(OR(A9="",E9=""),"",E9+Rotation_Gap_Days)</f>
        <v>0</v>
      </c>
      <c r="J9" s="8">
        <f>IF(OR(A9="",I9=""),"",I9-TODAY())</f>
        <v>0</v>
      </c>
      <c r="K9" s="8">
        <f>IF(OR(A9="",F9=""),"",COUNTIFS($F$5:$F$204,"&lt;"&amp;F9)+1)</f>
        <v>0</v>
      </c>
      <c r="L9" s="8">
        <f>IF(A9="","",IFERROR(INDEX(Recipes!$AB$5:$AB$204,MATCH(A9,Recipes!$A$5:$A$204,0)),""))</f>
        <v>0</v>
      </c>
      <c r="M9" s="8">
        <f>IF(A9="","",IFERROR(INDEX(Recipes!$AN$5:$AN$204,MATCH(A9,Recipes!$A$5:$A$204,0)),""))</f>
        <v>0</v>
      </c>
      <c r="N9" s="8">
        <f>IF(A9="","",IF(H9="No","Too soon",IF(F9="","Never cooked",IF(F9&gt;=90,"Overdue","Available"))))</f>
        <v>0</v>
      </c>
      <c r="O9" s="25"/>
    </row>
    <row r="10" spans="1:15">
      <c r="A10" s="7"/>
      <c r="B10" s="8">
        <f>IF(A10="","",IFERROR(INDEX(Recipes!$B$5:$B$204,MATCH(A10,Recipes!$A$5:$A$204,0)),""))</f>
        <v>0</v>
      </c>
      <c r="C10" s="8">
        <f>IF(A10="","",IFERROR(INDEX(Recipes!$C$5:$C$204,MATCH(A10,Recipes!$A$5:$A$204,0)),""))</f>
        <v>0</v>
      </c>
      <c r="D10" s="8">
        <f>IF(A10="","",COUNTIFS('Meal Plan'!$G$5:$G$504,A10,'Meal Plan'!$S$5:$S$504,"Cooked")+COUNTIFS('Meal Plan'!$G$5:$G$504,A10,'Meal Plan'!$S$5:$S$504,"Eaten"))</f>
        <v>0</v>
      </c>
      <c r="E10" s="8">
        <f>IF(A10="","",IFERROR(INDEX(Recipes!$X$5:$X$204,MATCH(A10,Recipes!$A$5:$A$204,0)),""))</f>
        <v>0</v>
      </c>
      <c r="F10" s="8">
        <f>IF(OR(A10="",E10=""),"",TODAY()-E10)</f>
        <v>0</v>
      </c>
      <c r="G10" s="8">
        <f>IF(OR(A10="",D10=0),"",ROUND(365/D10,0))</f>
        <v>0</v>
      </c>
      <c r="H10" s="8">
        <f>IF(A10="","",IF(F10="","Yes",IF(F10&gt;=Rotation_Gap_Days,"Yes","No")))</f>
        <v>0</v>
      </c>
      <c r="I10" s="8">
        <f>IF(OR(A10="",E10=""),"",E10+Rotation_Gap_Days)</f>
        <v>0</v>
      </c>
      <c r="J10" s="8">
        <f>IF(OR(A10="",I10=""),"",I10-TODAY())</f>
        <v>0</v>
      </c>
      <c r="K10" s="8">
        <f>IF(OR(A10="",F10=""),"",COUNTIFS($F$5:$F$204,"&lt;"&amp;F10)+1)</f>
        <v>0</v>
      </c>
      <c r="L10" s="8">
        <f>IF(A10="","",IFERROR(INDEX(Recipes!$AB$5:$AB$204,MATCH(A10,Recipes!$A$5:$A$204,0)),""))</f>
        <v>0</v>
      </c>
      <c r="M10" s="8">
        <f>IF(A10="","",IFERROR(INDEX(Recipes!$AN$5:$AN$204,MATCH(A10,Recipes!$A$5:$A$204,0)),""))</f>
        <v>0</v>
      </c>
      <c r="N10" s="8">
        <f>IF(A10="","",IF(H10="No","Too soon",IF(F10="","Never cooked",IF(F10&gt;=90,"Overdue","Available"))))</f>
        <v>0</v>
      </c>
      <c r="O10" s="25"/>
    </row>
    <row r="11" spans="1:15">
      <c r="A11" s="7"/>
      <c r="B11" s="8">
        <f>IF(A11="","",IFERROR(INDEX(Recipes!$B$5:$B$204,MATCH(A11,Recipes!$A$5:$A$204,0)),""))</f>
        <v>0</v>
      </c>
      <c r="C11" s="8">
        <f>IF(A11="","",IFERROR(INDEX(Recipes!$C$5:$C$204,MATCH(A11,Recipes!$A$5:$A$204,0)),""))</f>
        <v>0</v>
      </c>
      <c r="D11" s="8">
        <f>IF(A11="","",COUNTIFS('Meal Plan'!$G$5:$G$504,A11,'Meal Plan'!$S$5:$S$504,"Cooked")+COUNTIFS('Meal Plan'!$G$5:$G$504,A11,'Meal Plan'!$S$5:$S$504,"Eaten"))</f>
        <v>0</v>
      </c>
      <c r="E11" s="8">
        <f>IF(A11="","",IFERROR(INDEX(Recipes!$X$5:$X$204,MATCH(A11,Recipes!$A$5:$A$204,0)),""))</f>
        <v>0</v>
      </c>
      <c r="F11" s="8">
        <f>IF(OR(A11="",E11=""),"",TODAY()-E11)</f>
        <v>0</v>
      </c>
      <c r="G11" s="8">
        <f>IF(OR(A11="",D11=0),"",ROUND(365/D11,0))</f>
        <v>0</v>
      </c>
      <c r="H11" s="8">
        <f>IF(A11="","",IF(F11="","Yes",IF(F11&gt;=Rotation_Gap_Days,"Yes","No")))</f>
        <v>0</v>
      </c>
      <c r="I11" s="8">
        <f>IF(OR(A11="",E11=""),"",E11+Rotation_Gap_Days)</f>
        <v>0</v>
      </c>
      <c r="J11" s="8">
        <f>IF(OR(A11="",I11=""),"",I11-TODAY())</f>
        <v>0</v>
      </c>
      <c r="K11" s="8">
        <f>IF(OR(A11="",F11=""),"",COUNTIFS($F$5:$F$204,"&lt;"&amp;F11)+1)</f>
        <v>0</v>
      </c>
      <c r="L11" s="8">
        <f>IF(A11="","",IFERROR(INDEX(Recipes!$AB$5:$AB$204,MATCH(A11,Recipes!$A$5:$A$204,0)),""))</f>
        <v>0</v>
      </c>
      <c r="M11" s="8">
        <f>IF(A11="","",IFERROR(INDEX(Recipes!$AN$5:$AN$204,MATCH(A11,Recipes!$A$5:$A$204,0)),""))</f>
        <v>0</v>
      </c>
      <c r="N11" s="8">
        <f>IF(A11="","",IF(H11="No","Too soon",IF(F11="","Never cooked",IF(F11&gt;=90,"Overdue","Available"))))</f>
        <v>0</v>
      </c>
      <c r="O11" s="25"/>
    </row>
    <row r="12" spans="1:15">
      <c r="A12" s="7"/>
      <c r="B12" s="8">
        <f>IF(A12="","",IFERROR(INDEX(Recipes!$B$5:$B$204,MATCH(A12,Recipes!$A$5:$A$204,0)),""))</f>
        <v>0</v>
      </c>
      <c r="C12" s="8">
        <f>IF(A12="","",IFERROR(INDEX(Recipes!$C$5:$C$204,MATCH(A12,Recipes!$A$5:$A$204,0)),""))</f>
        <v>0</v>
      </c>
      <c r="D12" s="8">
        <f>IF(A12="","",COUNTIFS('Meal Plan'!$G$5:$G$504,A12,'Meal Plan'!$S$5:$S$504,"Cooked")+COUNTIFS('Meal Plan'!$G$5:$G$504,A12,'Meal Plan'!$S$5:$S$504,"Eaten"))</f>
        <v>0</v>
      </c>
      <c r="E12" s="8">
        <f>IF(A12="","",IFERROR(INDEX(Recipes!$X$5:$X$204,MATCH(A12,Recipes!$A$5:$A$204,0)),""))</f>
        <v>0</v>
      </c>
      <c r="F12" s="8">
        <f>IF(OR(A12="",E12=""),"",TODAY()-E12)</f>
        <v>0</v>
      </c>
      <c r="G12" s="8">
        <f>IF(OR(A12="",D12=0),"",ROUND(365/D12,0))</f>
        <v>0</v>
      </c>
      <c r="H12" s="8">
        <f>IF(A12="","",IF(F12="","Yes",IF(F12&gt;=Rotation_Gap_Days,"Yes","No")))</f>
        <v>0</v>
      </c>
      <c r="I12" s="8">
        <f>IF(OR(A12="",E12=""),"",E12+Rotation_Gap_Days)</f>
        <v>0</v>
      </c>
      <c r="J12" s="8">
        <f>IF(OR(A12="",I12=""),"",I12-TODAY())</f>
        <v>0</v>
      </c>
      <c r="K12" s="8">
        <f>IF(OR(A12="",F12=""),"",COUNTIFS($F$5:$F$204,"&lt;"&amp;F12)+1)</f>
        <v>0</v>
      </c>
      <c r="L12" s="8">
        <f>IF(A12="","",IFERROR(INDEX(Recipes!$AB$5:$AB$204,MATCH(A12,Recipes!$A$5:$A$204,0)),""))</f>
        <v>0</v>
      </c>
      <c r="M12" s="8">
        <f>IF(A12="","",IFERROR(INDEX(Recipes!$AN$5:$AN$204,MATCH(A12,Recipes!$A$5:$A$204,0)),""))</f>
        <v>0</v>
      </c>
      <c r="N12" s="8">
        <f>IF(A12="","",IF(H12="No","Too soon",IF(F12="","Never cooked",IF(F12&gt;=90,"Overdue","Available"))))</f>
        <v>0</v>
      </c>
      <c r="O12" s="25"/>
    </row>
    <row r="13" spans="1:15">
      <c r="A13" s="7"/>
      <c r="B13" s="8">
        <f>IF(A13="","",IFERROR(INDEX(Recipes!$B$5:$B$204,MATCH(A13,Recipes!$A$5:$A$204,0)),""))</f>
        <v>0</v>
      </c>
      <c r="C13" s="8">
        <f>IF(A13="","",IFERROR(INDEX(Recipes!$C$5:$C$204,MATCH(A13,Recipes!$A$5:$A$204,0)),""))</f>
        <v>0</v>
      </c>
      <c r="D13" s="8">
        <f>IF(A13="","",COUNTIFS('Meal Plan'!$G$5:$G$504,A13,'Meal Plan'!$S$5:$S$504,"Cooked")+COUNTIFS('Meal Plan'!$G$5:$G$504,A13,'Meal Plan'!$S$5:$S$504,"Eaten"))</f>
        <v>0</v>
      </c>
      <c r="E13" s="8">
        <f>IF(A13="","",IFERROR(INDEX(Recipes!$X$5:$X$204,MATCH(A13,Recipes!$A$5:$A$204,0)),""))</f>
        <v>0</v>
      </c>
      <c r="F13" s="8">
        <f>IF(OR(A13="",E13=""),"",TODAY()-E13)</f>
        <v>0</v>
      </c>
      <c r="G13" s="8">
        <f>IF(OR(A13="",D13=0),"",ROUND(365/D13,0))</f>
        <v>0</v>
      </c>
      <c r="H13" s="8">
        <f>IF(A13="","",IF(F13="","Yes",IF(F13&gt;=Rotation_Gap_Days,"Yes","No")))</f>
        <v>0</v>
      </c>
      <c r="I13" s="8">
        <f>IF(OR(A13="",E13=""),"",E13+Rotation_Gap_Days)</f>
        <v>0</v>
      </c>
      <c r="J13" s="8">
        <f>IF(OR(A13="",I13=""),"",I13-TODAY())</f>
        <v>0</v>
      </c>
      <c r="K13" s="8">
        <f>IF(OR(A13="",F13=""),"",COUNTIFS($F$5:$F$204,"&lt;"&amp;F13)+1)</f>
        <v>0</v>
      </c>
      <c r="L13" s="8">
        <f>IF(A13="","",IFERROR(INDEX(Recipes!$AB$5:$AB$204,MATCH(A13,Recipes!$A$5:$A$204,0)),""))</f>
        <v>0</v>
      </c>
      <c r="M13" s="8">
        <f>IF(A13="","",IFERROR(INDEX(Recipes!$AN$5:$AN$204,MATCH(A13,Recipes!$A$5:$A$204,0)),""))</f>
        <v>0</v>
      </c>
      <c r="N13" s="8">
        <f>IF(A13="","",IF(H13="No","Too soon",IF(F13="","Never cooked",IF(F13&gt;=90,"Overdue","Available"))))</f>
        <v>0</v>
      </c>
      <c r="O13" s="25"/>
    </row>
    <row r="14" spans="1:15">
      <c r="A14" s="7"/>
      <c r="B14" s="8">
        <f>IF(A14="","",IFERROR(INDEX(Recipes!$B$5:$B$204,MATCH(A14,Recipes!$A$5:$A$204,0)),""))</f>
        <v>0</v>
      </c>
      <c r="C14" s="8">
        <f>IF(A14="","",IFERROR(INDEX(Recipes!$C$5:$C$204,MATCH(A14,Recipes!$A$5:$A$204,0)),""))</f>
        <v>0</v>
      </c>
      <c r="D14" s="8">
        <f>IF(A14="","",COUNTIFS('Meal Plan'!$G$5:$G$504,A14,'Meal Plan'!$S$5:$S$504,"Cooked")+COUNTIFS('Meal Plan'!$G$5:$G$504,A14,'Meal Plan'!$S$5:$S$504,"Eaten"))</f>
        <v>0</v>
      </c>
      <c r="E14" s="8">
        <f>IF(A14="","",IFERROR(INDEX(Recipes!$X$5:$X$204,MATCH(A14,Recipes!$A$5:$A$204,0)),""))</f>
        <v>0</v>
      </c>
      <c r="F14" s="8">
        <f>IF(OR(A14="",E14=""),"",TODAY()-E14)</f>
        <v>0</v>
      </c>
      <c r="G14" s="8">
        <f>IF(OR(A14="",D14=0),"",ROUND(365/D14,0))</f>
        <v>0</v>
      </c>
      <c r="H14" s="8">
        <f>IF(A14="","",IF(F14="","Yes",IF(F14&gt;=Rotation_Gap_Days,"Yes","No")))</f>
        <v>0</v>
      </c>
      <c r="I14" s="8">
        <f>IF(OR(A14="",E14=""),"",E14+Rotation_Gap_Days)</f>
        <v>0</v>
      </c>
      <c r="J14" s="8">
        <f>IF(OR(A14="",I14=""),"",I14-TODAY())</f>
        <v>0</v>
      </c>
      <c r="K14" s="8">
        <f>IF(OR(A14="",F14=""),"",COUNTIFS($F$5:$F$204,"&lt;"&amp;F14)+1)</f>
        <v>0</v>
      </c>
      <c r="L14" s="8">
        <f>IF(A14="","",IFERROR(INDEX(Recipes!$AB$5:$AB$204,MATCH(A14,Recipes!$A$5:$A$204,0)),""))</f>
        <v>0</v>
      </c>
      <c r="M14" s="8">
        <f>IF(A14="","",IFERROR(INDEX(Recipes!$AN$5:$AN$204,MATCH(A14,Recipes!$A$5:$A$204,0)),""))</f>
        <v>0</v>
      </c>
      <c r="N14" s="8">
        <f>IF(A14="","",IF(H14="No","Too soon",IF(F14="","Never cooked",IF(F14&gt;=90,"Overdue","Available"))))</f>
        <v>0</v>
      </c>
      <c r="O14" s="25"/>
    </row>
    <row r="15" spans="1:15">
      <c r="A15" s="7"/>
      <c r="B15" s="8">
        <f>IF(A15="","",IFERROR(INDEX(Recipes!$B$5:$B$204,MATCH(A15,Recipes!$A$5:$A$204,0)),""))</f>
        <v>0</v>
      </c>
      <c r="C15" s="8">
        <f>IF(A15="","",IFERROR(INDEX(Recipes!$C$5:$C$204,MATCH(A15,Recipes!$A$5:$A$204,0)),""))</f>
        <v>0</v>
      </c>
      <c r="D15" s="8">
        <f>IF(A15="","",COUNTIFS('Meal Plan'!$G$5:$G$504,A15,'Meal Plan'!$S$5:$S$504,"Cooked")+COUNTIFS('Meal Plan'!$G$5:$G$504,A15,'Meal Plan'!$S$5:$S$504,"Eaten"))</f>
        <v>0</v>
      </c>
      <c r="E15" s="8">
        <f>IF(A15="","",IFERROR(INDEX(Recipes!$X$5:$X$204,MATCH(A15,Recipes!$A$5:$A$204,0)),""))</f>
        <v>0</v>
      </c>
      <c r="F15" s="8">
        <f>IF(OR(A15="",E15=""),"",TODAY()-E15)</f>
        <v>0</v>
      </c>
      <c r="G15" s="8">
        <f>IF(OR(A15="",D15=0),"",ROUND(365/D15,0))</f>
        <v>0</v>
      </c>
      <c r="H15" s="8">
        <f>IF(A15="","",IF(F15="","Yes",IF(F15&gt;=Rotation_Gap_Days,"Yes","No")))</f>
        <v>0</v>
      </c>
      <c r="I15" s="8">
        <f>IF(OR(A15="",E15=""),"",E15+Rotation_Gap_Days)</f>
        <v>0</v>
      </c>
      <c r="J15" s="8">
        <f>IF(OR(A15="",I15=""),"",I15-TODAY())</f>
        <v>0</v>
      </c>
      <c r="K15" s="8">
        <f>IF(OR(A15="",F15=""),"",COUNTIFS($F$5:$F$204,"&lt;"&amp;F15)+1)</f>
        <v>0</v>
      </c>
      <c r="L15" s="8">
        <f>IF(A15="","",IFERROR(INDEX(Recipes!$AB$5:$AB$204,MATCH(A15,Recipes!$A$5:$A$204,0)),""))</f>
        <v>0</v>
      </c>
      <c r="M15" s="8">
        <f>IF(A15="","",IFERROR(INDEX(Recipes!$AN$5:$AN$204,MATCH(A15,Recipes!$A$5:$A$204,0)),""))</f>
        <v>0</v>
      </c>
      <c r="N15" s="8">
        <f>IF(A15="","",IF(H15="No","Too soon",IF(F15="","Never cooked",IF(F15&gt;=90,"Overdue","Available"))))</f>
        <v>0</v>
      </c>
      <c r="O15" s="25"/>
    </row>
    <row r="16" spans="1:15">
      <c r="A16" s="7"/>
      <c r="B16" s="8">
        <f>IF(A16="","",IFERROR(INDEX(Recipes!$B$5:$B$204,MATCH(A16,Recipes!$A$5:$A$204,0)),""))</f>
        <v>0</v>
      </c>
      <c r="C16" s="8">
        <f>IF(A16="","",IFERROR(INDEX(Recipes!$C$5:$C$204,MATCH(A16,Recipes!$A$5:$A$204,0)),""))</f>
        <v>0</v>
      </c>
      <c r="D16" s="8">
        <f>IF(A16="","",COUNTIFS('Meal Plan'!$G$5:$G$504,A16,'Meal Plan'!$S$5:$S$504,"Cooked")+COUNTIFS('Meal Plan'!$G$5:$G$504,A16,'Meal Plan'!$S$5:$S$504,"Eaten"))</f>
        <v>0</v>
      </c>
      <c r="E16" s="8">
        <f>IF(A16="","",IFERROR(INDEX(Recipes!$X$5:$X$204,MATCH(A16,Recipes!$A$5:$A$204,0)),""))</f>
        <v>0</v>
      </c>
      <c r="F16" s="8">
        <f>IF(OR(A16="",E16=""),"",TODAY()-E16)</f>
        <v>0</v>
      </c>
      <c r="G16" s="8">
        <f>IF(OR(A16="",D16=0),"",ROUND(365/D16,0))</f>
        <v>0</v>
      </c>
      <c r="H16" s="8">
        <f>IF(A16="","",IF(F16="","Yes",IF(F16&gt;=Rotation_Gap_Days,"Yes","No")))</f>
        <v>0</v>
      </c>
      <c r="I16" s="8">
        <f>IF(OR(A16="",E16=""),"",E16+Rotation_Gap_Days)</f>
        <v>0</v>
      </c>
      <c r="J16" s="8">
        <f>IF(OR(A16="",I16=""),"",I16-TODAY())</f>
        <v>0</v>
      </c>
      <c r="K16" s="8">
        <f>IF(OR(A16="",F16=""),"",COUNTIFS($F$5:$F$204,"&lt;"&amp;F16)+1)</f>
        <v>0</v>
      </c>
      <c r="L16" s="8">
        <f>IF(A16="","",IFERROR(INDEX(Recipes!$AB$5:$AB$204,MATCH(A16,Recipes!$A$5:$A$204,0)),""))</f>
        <v>0</v>
      </c>
      <c r="M16" s="8">
        <f>IF(A16="","",IFERROR(INDEX(Recipes!$AN$5:$AN$204,MATCH(A16,Recipes!$A$5:$A$204,0)),""))</f>
        <v>0</v>
      </c>
      <c r="N16" s="8">
        <f>IF(A16="","",IF(H16="No","Too soon",IF(F16="","Never cooked",IF(F16&gt;=90,"Overdue","Available"))))</f>
        <v>0</v>
      </c>
      <c r="O16" s="25"/>
    </row>
    <row r="17" spans="1:15">
      <c r="A17" s="7"/>
      <c r="B17" s="8">
        <f>IF(A17="","",IFERROR(INDEX(Recipes!$B$5:$B$204,MATCH(A17,Recipes!$A$5:$A$204,0)),""))</f>
        <v>0</v>
      </c>
      <c r="C17" s="8">
        <f>IF(A17="","",IFERROR(INDEX(Recipes!$C$5:$C$204,MATCH(A17,Recipes!$A$5:$A$204,0)),""))</f>
        <v>0</v>
      </c>
      <c r="D17" s="8">
        <f>IF(A17="","",COUNTIFS('Meal Plan'!$G$5:$G$504,A17,'Meal Plan'!$S$5:$S$504,"Cooked")+COUNTIFS('Meal Plan'!$G$5:$G$504,A17,'Meal Plan'!$S$5:$S$504,"Eaten"))</f>
        <v>0</v>
      </c>
      <c r="E17" s="8">
        <f>IF(A17="","",IFERROR(INDEX(Recipes!$X$5:$X$204,MATCH(A17,Recipes!$A$5:$A$204,0)),""))</f>
        <v>0</v>
      </c>
      <c r="F17" s="8">
        <f>IF(OR(A17="",E17=""),"",TODAY()-E17)</f>
        <v>0</v>
      </c>
      <c r="G17" s="8">
        <f>IF(OR(A17="",D17=0),"",ROUND(365/D17,0))</f>
        <v>0</v>
      </c>
      <c r="H17" s="8">
        <f>IF(A17="","",IF(F17="","Yes",IF(F17&gt;=Rotation_Gap_Days,"Yes","No")))</f>
        <v>0</v>
      </c>
      <c r="I17" s="8">
        <f>IF(OR(A17="",E17=""),"",E17+Rotation_Gap_Days)</f>
        <v>0</v>
      </c>
      <c r="J17" s="8">
        <f>IF(OR(A17="",I17=""),"",I17-TODAY())</f>
        <v>0</v>
      </c>
      <c r="K17" s="8">
        <f>IF(OR(A17="",F17=""),"",COUNTIFS($F$5:$F$204,"&lt;"&amp;F17)+1)</f>
        <v>0</v>
      </c>
      <c r="L17" s="8">
        <f>IF(A17="","",IFERROR(INDEX(Recipes!$AB$5:$AB$204,MATCH(A17,Recipes!$A$5:$A$204,0)),""))</f>
        <v>0</v>
      </c>
      <c r="M17" s="8">
        <f>IF(A17="","",IFERROR(INDEX(Recipes!$AN$5:$AN$204,MATCH(A17,Recipes!$A$5:$A$204,0)),""))</f>
        <v>0</v>
      </c>
      <c r="N17" s="8">
        <f>IF(A17="","",IF(H17="No","Too soon",IF(F17="","Never cooked",IF(F17&gt;=90,"Overdue","Available"))))</f>
        <v>0</v>
      </c>
      <c r="O17" s="25"/>
    </row>
    <row r="18" spans="1:15">
      <c r="A18" s="7"/>
      <c r="B18" s="8">
        <f>IF(A18="","",IFERROR(INDEX(Recipes!$B$5:$B$204,MATCH(A18,Recipes!$A$5:$A$204,0)),""))</f>
        <v>0</v>
      </c>
      <c r="C18" s="8">
        <f>IF(A18="","",IFERROR(INDEX(Recipes!$C$5:$C$204,MATCH(A18,Recipes!$A$5:$A$204,0)),""))</f>
        <v>0</v>
      </c>
      <c r="D18" s="8">
        <f>IF(A18="","",COUNTIFS('Meal Plan'!$G$5:$G$504,A18,'Meal Plan'!$S$5:$S$504,"Cooked")+COUNTIFS('Meal Plan'!$G$5:$G$504,A18,'Meal Plan'!$S$5:$S$504,"Eaten"))</f>
        <v>0</v>
      </c>
      <c r="E18" s="8">
        <f>IF(A18="","",IFERROR(INDEX(Recipes!$X$5:$X$204,MATCH(A18,Recipes!$A$5:$A$204,0)),""))</f>
        <v>0</v>
      </c>
      <c r="F18" s="8">
        <f>IF(OR(A18="",E18=""),"",TODAY()-E18)</f>
        <v>0</v>
      </c>
      <c r="G18" s="8">
        <f>IF(OR(A18="",D18=0),"",ROUND(365/D18,0))</f>
        <v>0</v>
      </c>
      <c r="H18" s="8">
        <f>IF(A18="","",IF(F18="","Yes",IF(F18&gt;=Rotation_Gap_Days,"Yes","No")))</f>
        <v>0</v>
      </c>
      <c r="I18" s="8">
        <f>IF(OR(A18="",E18=""),"",E18+Rotation_Gap_Days)</f>
        <v>0</v>
      </c>
      <c r="J18" s="8">
        <f>IF(OR(A18="",I18=""),"",I18-TODAY())</f>
        <v>0</v>
      </c>
      <c r="K18" s="8">
        <f>IF(OR(A18="",F18=""),"",COUNTIFS($F$5:$F$204,"&lt;"&amp;F18)+1)</f>
        <v>0</v>
      </c>
      <c r="L18" s="8">
        <f>IF(A18="","",IFERROR(INDEX(Recipes!$AB$5:$AB$204,MATCH(A18,Recipes!$A$5:$A$204,0)),""))</f>
        <v>0</v>
      </c>
      <c r="M18" s="8">
        <f>IF(A18="","",IFERROR(INDEX(Recipes!$AN$5:$AN$204,MATCH(A18,Recipes!$A$5:$A$204,0)),""))</f>
        <v>0</v>
      </c>
      <c r="N18" s="8">
        <f>IF(A18="","",IF(H18="No","Too soon",IF(F18="","Never cooked",IF(F18&gt;=90,"Overdue","Available"))))</f>
        <v>0</v>
      </c>
      <c r="O18" s="25"/>
    </row>
    <row r="19" spans="1:15">
      <c r="A19" s="7"/>
      <c r="B19" s="8">
        <f>IF(A19="","",IFERROR(INDEX(Recipes!$B$5:$B$204,MATCH(A19,Recipes!$A$5:$A$204,0)),""))</f>
        <v>0</v>
      </c>
      <c r="C19" s="8">
        <f>IF(A19="","",IFERROR(INDEX(Recipes!$C$5:$C$204,MATCH(A19,Recipes!$A$5:$A$204,0)),""))</f>
        <v>0</v>
      </c>
      <c r="D19" s="8">
        <f>IF(A19="","",COUNTIFS('Meal Plan'!$G$5:$G$504,A19,'Meal Plan'!$S$5:$S$504,"Cooked")+COUNTIFS('Meal Plan'!$G$5:$G$504,A19,'Meal Plan'!$S$5:$S$504,"Eaten"))</f>
        <v>0</v>
      </c>
      <c r="E19" s="8">
        <f>IF(A19="","",IFERROR(INDEX(Recipes!$X$5:$X$204,MATCH(A19,Recipes!$A$5:$A$204,0)),""))</f>
        <v>0</v>
      </c>
      <c r="F19" s="8">
        <f>IF(OR(A19="",E19=""),"",TODAY()-E19)</f>
        <v>0</v>
      </c>
      <c r="G19" s="8">
        <f>IF(OR(A19="",D19=0),"",ROUND(365/D19,0))</f>
        <v>0</v>
      </c>
      <c r="H19" s="8">
        <f>IF(A19="","",IF(F19="","Yes",IF(F19&gt;=Rotation_Gap_Days,"Yes","No")))</f>
        <v>0</v>
      </c>
      <c r="I19" s="8">
        <f>IF(OR(A19="",E19=""),"",E19+Rotation_Gap_Days)</f>
        <v>0</v>
      </c>
      <c r="J19" s="8">
        <f>IF(OR(A19="",I19=""),"",I19-TODAY())</f>
        <v>0</v>
      </c>
      <c r="K19" s="8">
        <f>IF(OR(A19="",F19=""),"",COUNTIFS($F$5:$F$204,"&lt;"&amp;F19)+1)</f>
        <v>0</v>
      </c>
      <c r="L19" s="8">
        <f>IF(A19="","",IFERROR(INDEX(Recipes!$AB$5:$AB$204,MATCH(A19,Recipes!$A$5:$A$204,0)),""))</f>
        <v>0</v>
      </c>
      <c r="M19" s="8">
        <f>IF(A19="","",IFERROR(INDEX(Recipes!$AN$5:$AN$204,MATCH(A19,Recipes!$A$5:$A$204,0)),""))</f>
        <v>0</v>
      </c>
      <c r="N19" s="8">
        <f>IF(A19="","",IF(H19="No","Too soon",IF(F19="","Never cooked",IF(F19&gt;=90,"Overdue","Available"))))</f>
        <v>0</v>
      </c>
      <c r="O19" s="25"/>
    </row>
    <row r="20" spans="1:15">
      <c r="A20" s="7"/>
      <c r="B20" s="8">
        <f>IF(A20="","",IFERROR(INDEX(Recipes!$B$5:$B$204,MATCH(A20,Recipes!$A$5:$A$204,0)),""))</f>
        <v>0</v>
      </c>
      <c r="C20" s="8">
        <f>IF(A20="","",IFERROR(INDEX(Recipes!$C$5:$C$204,MATCH(A20,Recipes!$A$5:$A$204,0)),""))</f>
        <v>0</v>
      </c>
      <c r="D20" s="8">
        <f>IF(A20="","",COUNTIFS('Meal Plan'!$G$5:$G$504,A20,'Meal Plan'!$S$5:$S$504,"Cooked")+COUNTIFS('Meal Plan'!$G$5:$G$504,A20,'Meal Plan'!$S$5:$S$504,"Eaten"))</f>
        <v>0</v>
      </c>
      <c r="E20" s="8">
        <f>IF(A20="","",IFERROR(INDEX(Recipes!$X$5:$X$204,MATCH(A20,Recipes!$A$5:$A$204,0)),""))</f>
        <v>0</v>
      </c>
      <c r="F20" s="8">
        <f>IF(OR(A20="",E20=""),"",TODAY()-E20)</f>
        <v>0</v>
      </c>
      <c r="G20" s="8">
        <f>IF(OR(A20="",D20=0),"",ROUND(365/D20,0))</f>
        <v>0</v>
      </c>
      <c r="H20" s="8">
        <f>IF(A20="","",IF(F20="","Yes",IF(F20&gt;=Rotation_Gap_Days,"Yes","No")))</f>
        <v>0</v>
      </c>
      <c r="I20" s="8">
        <f>IF(OR(A20="",E20=""),"",E20+Rotation_Gap_Days)</f>
        <v>0</v>
      </c>
      <c r="J20" s="8">
        <f>IF(OR(A20="",I20=""),"",I20-TODAY())</f>
        <v>0</v>
      </c>
      <c r="K20" s="8">
        <f>IF(OR(A20="",F20=""),"",COUNTIFS($F$5:$F$204,"&lt;"&amp;F20)+1)</f>
        <v>0</v>
      </c>
      <c r="L20" s="8">
        <f>IF(A20="","",IFERROR(INDEX(Recipes!$AB$5:$AB$204,MATCH(A20,Recipes!$A$5:$A$204,0)),""))</f>
        <v>0</v>
      </c>
      <c r="M20" s="8">
        <f>IF(A20="","",IFERROR(INDEX(Recipes!$AN$5:$AN$204,MATCH(A20,Recipes!$A$5:$A$204,0)),""))</f>
        <v>0</v>
      </c>
      <c r="N20" s="8">
        <f>IF(A20="","",IF(H20="No","Too soon",IF(F20="","Never cooked",IF(F20&gt;=90,"Overdue","Available"))))</f>
        <v>0</v>
      </c>
      <c r="O20" s="25"/>
    </row>
    <row r="21" spans="1:15">
      <c r="A21" s="7"/>
      <c r="B21" s="8">
        <f>IF(A21="","",IFERROR(INDEX(Recipes!$B$5:$B$204,MATCH(A21,Recipes!$A$5:$A$204,0)),""))</f>
        <v>0</v>
      </c>
      <c r="C21" s="8">
        <f>IF(A21="","",IFERROR(INDEX(Recipes!$C$5:$C$204,MATCH(A21,Recipes!$A$5:$A$204,0)),""))</f>
        <v>0</v>
      </c>
      <c r="D21" s="8">
        <f>IF(A21="","",COUNTIFS('Meal Plan'!$G$5:$G$504,A21,'Meal Plan'!$S$5:$S$504,"Cooked")+COUNTIFS('Meal Plan'!$G$5:$G$504,A21,'Meal Plan'!$S$5:$S$504,"Eaten"))</f>
        <v>0</v>
      </c>
      <c r="E21" s="8">
        <f>IF(A21="","",IFERROR(INDEX(Recipes!$X$5:$X$204,MATCH(A21,Recipes!$A$5:$A$204,0)),""))</f>
        <v>0</v>
      </c>
      <c r="F21" s="8">
        <f>IF(OR(A21="",E21=""),"",TODAY()-E21)</f>
        <v>0</v>
      </c>
      <c r="G21" s="8">
        <f>IF(OR(A21="",D21=0),"",ROUND(365/D21,0))</f>
        <v>0</v>
      </c>
      <c r="H21" s="8">
        <f>IF(A21="","",IF(F21="","Yes",IF(F21&gt;=Rotation_Gap_Days,"Yes","No")))</f>
        <v>0</v>
      </c>
      <c r="I21" s="8">
        <f>IF(OR(A21="",E21=""),"",E21+Rotation_Gap_Days)</f>
        <v>0</v>
      </c>
      <c r="J21" s="8">
        <f>IF(OR(A21="",I21=""),"",I21-TODAY())</f>
        <v>0</v>
      </c>
      <c r="K21" s="8">
        <f>IF(OR(A21="",F21=""),"",COUNTIFS($F$5:$F$204,"&lt;"&amp;F21)+1)</f>
        <v>0</v>
      </c>
      <c r="L21" s="8">
        <f>IF(A21="","",IFERROR(INDEX(Recipes!$AB$5:$AB$204,MATCH(A21,Recipes!$A$5:$A$204,0)),""))</f>
        <v>0</v>
      </c>
      <c r="M21" s="8">
        <f>IF(A21="","",IFERROR(INDEX(Recipes!$AN$5:$AN$204,MATCH(A21,Recipes!$A$5:$A$204,0)),""))</f>
        <v>0</v>
      </c>
      <c r="N21" s="8">
        <f>IF(A21="","",IF(H21="No","Too soon",IF(F21="","Never cooked",IF(F21&gt;=90,"Overdue","Available"))))</f>
        <v>0</v>
      </c>
      <c r="O21" s="25"/>
    </row>
    <row r="22" spans="1:15">
      <c r="A22" s="7"/>
      <c r="B22" s="8">
        <f>IF(A22="","",IFERROR(INDEX(Recipes!$B$5:$B$204,MATCH(A22,Recipes!$A$5:$A$204,0)),""))</f>
        <v>0</v>
      </c>
      <c r="C22" s="8">
        <f>IF(A22="","",IFERROR(INDEX(Recipes!$C$5:$C$204,MATCH(A22,Recipes!$A$5:$A$204,0)),""))</f>
        <v>0</v>
      </c>
      <c r="D22" s="8">
        <f>IF(A22="","",COUNTIFS('Meal Plan'!$G$5:$G$504,A22,'Meal Plan'!$S$5:$S$504,"Cooked")+COUNTIFS('Meal Plan'!$G$5:$G$504,A22,'Meal Plan'!$S$5:$S$504,"Eaten"))</f>
        <v>0</v>
      </c>
      <c r="E22" s="8">
        <f>IF(A22="","",IFERROR(INDEX(Recipes!$X$5:$X$204,MATCH(A22,Recipes!$A$5:$A$204,0)),""))</f>
        <v>0</v>
      </c>
      <c r="F22" s="8">
        <f>IF(OR(A22="",E22=""),"",TODAY()-E22)</f>
        <v>0</v>
      </c>
      <c r="G22" s="8">
        <f>IF(OR(A22="",D22=0),"",ROUND(365/D22,0))</f>
        <v>0</v>
      </c>
      <c r="H22" s="8">
        <f>IF(A22="","",IF(F22="","Yes",IF(F22&gt;=Rotation_Gap_Days,"Yes","No")))</f>
        <v>0</v>
      </c>
      <c r="I22" s="8">
        <f>IF(OR(A22="",E22=""),"",E22+Rotation_Gap_Days)</f>
        <v>0</v>
      </c>
      <c r="J22" s="8">
        <f>IF(OR(A22="",I22=""),"",I22-TODAY())</f>
        <v>0</v>
      </c>
      <c r="K22" s="8">
        <f>IF(OR(A22="",F22=""),"",COUNTIFS($F$5:$F$204,"&lt;"&amp;F22)+1)</f>
        <v>0</v>
      </c>
      <c r="L22" s="8">
        <f>IF(A22="","",IFERROR(INDEX(Recipes!$AB$5:$AB$204,MATCH(A22,Recipes!$A$5:$A$204,0)),""))</f>
        <v>0</v>
      </c>
      <c r="M22" s="8">
        <f>IF(A22="","",IFERROR(INDEX(Recipes!$AN$5:$AN$204,MATCH(A22,Recipes!$A$5:$A$204,0)),""))</f>
        <v>0</v>
      </c>
      <c r="N22" s="8">
        <f>IF(A22="","",IF(H22="No","Too soon",IF(F22="","Never cooked",IF(F22&gt;=90,"Overdue","Available"))))</f>
        <v>0</v>
      </c>
      <c r="O22" s="25"/>
    </row>
    <row r="23" spans="1:15">
      <c r="A23" s="7"/>
      <c r="B23" s="8">
        <f>IF(A23="","",IFERROR(INDEX(Recipes!$B$5:$B$204,MATCH(A23,Recipes!$A$5:$A$204,0)),""))</f>
        <v>0</v>
      </c>
      <c r="C23" s="8">
        <f>IF(A23="","",IFERROR(INDEX(Recipes!$C$5:$C$204,MATCH(A23,Recipes!$A$5:$A$204,0)),""))</f>
        <v>0</v>
      </c>
      <c r="D23" s="8">
        <f>IF(A23="","",COUNTIFS('Meal Plan'!$G$5:$G$504,A23,'Meal Plan'!$S$5:$S$504,"Cooked")+COUNTIFS('Meal Plan'!$G$5:$G$504,A23,'Meal Plan'!$S$5:$S$504,"Eaten"))</f>
        <v>0</v>
      </c>
      <c r="E23" s="8">
        <f>IF(A23="","",IFERROR(INDEX(Recipes!$X$5:$X$204,MATCH(A23,Recipes!$A$5:$A$204,0)),""))</f>
        <v>0</v>
      </c>
      <c r="F23" s="8">
        <f>IF(OR(A23="",E23=""),"",TODAY()-E23)</f>
        <v>0</v>
      </c>
      <c r="G23" s="8">
        <f>IF(OR(A23="",D23=0),"",ROUND(365/D23,0))</f>
        <v>0</v>
      </c>
      <c r="H23" s="8">
        <f>IF(A23="","",IF(F23="","Yes",IF(F23&gt;=Rotation_Gap_Days,"Yes","No")))</f>
        <v>0</v>
      </c>
      <c r="I23" s="8">
        <f>IF(OR(A23="",E23=""),"",E23+Rotation_Gap_Days)</f>
        <v>0</v>
      </c>
      <c r="J23" s="8">
        <f>IF(OR(A23="",I23=""),"",I23-TODAY())</f>
        <v>0</v>
      </c>
      <c r="K23" s="8">
        <f>IF(OR(A23="",F23=""),"",COUNTIFS($F$5:$F$204,"&lt;"&amp;F23)+1)</f>
        <v>0</v>
      </c>
      <c r="L23" s="8">
        <f>IF(A23="","",IFERROR(INDEX(Recipes!$AB$5:$AB$204,MATCH(A23,Recipes!$A$5:$A$204,0)),""))</f>
        <v>0</v>
      </c>
      <c r="M23" s="8">
        <f>IF(A23="","",IFERROR(INDEX(Recipes!$AN$5:$AN$204,MATCH(A23,Recipes!$A$5:$A$204,0)),""))</f>
        <v>0</v>
      </c>
      <c r="N23" s="8">
        <f>IF(A23="","",IF(H23="No","Too soon",IF(F23="","Never cooked",IF(F23&gt;=90,"Overdue","Available"))))</f>
        <v>0</v>
      </c>
      <c r="O23" s="25"/>
    </row>
    <row r="24" spans="1:15">
      <c r="A24" s="7"/>
      <c r="B24" s="8">
        <f>IF(A24="","",IFERROR(INDEX(Recipes!$B$5:$B$204,MATCH(A24,Recipes!$A$5:$A$204,0)),""))</f>
        <v>0</v>
      </c>
      <c r="C24" s="8">
        <f>IF(A24="","",IFERROR(INDEX(Recipes!$C$5:$C$204,MATCH(A24,Recipes!$A$5:$A$204,0)),""))</f>
        <v>0</v>
      </c>
      <c r="D24" s="8">
        <f>IF(A24="","",COUNTIFS('Meal Plan'!$G$5:$G$504,A24,'Meal Plan'!$S$5:$S$504,"Cooked")+COUNTIFS('Meal Plan'!$G$5:$G$504,A24,'Meal Plan'!$S$5:$S$504,"Eaten"))</f>
        <v>0</v>
      </c>
      <c r="E24" s="8">
        <f>IF(A24="","",IFERROR(INDEX(Recipes!$X$5:$X$204,MATCH(A24,Recipes!$A$5:$A$204,0)),""))</f>
        <v>0</v>
      </c>
      <c r="F24" s="8">
        <f>IF(OR(A24="",E24=""),"",TODAY()-E24)</f>
        <v>0</v>
      </c>
      <c r="G24" s="8">
        <f>IF(OR(A24="",D24=0),"",ROUND(365/D24,0))</f>
        <v>0</v>
      </c>
      <c r="H24" s="8">
        <f>IF(A24="","",IF(F24="","Yes",IF(F24&gt;=Rotation_Gap_Days,"Yes","No")))</f>
        <v>0</v>
      </c>
      <c r="I24" s="8">
        <f>IF(OR(A24="",E24=""),"",E24+Rotation_Gap_Days)</f>
        <v>0</v>
      </c>
      <c r="J24" s="8">
        <f>IF(OR(A24="",I24=""),"",I24-TODAY())</f>
        <v>0</v>
      </c>
      <c r="K24" s="8">
        <f>IF(OR(A24="",F24=""),"",COUNTIFS($F$5:$F$204,"&lt;"&amp;F24)+1)</f>
        <v>0</v>
      </c>
      <c r="L24" s="8">
        <f>IF(A24="","",IFERROR(INDEX(Recipes!$AB$5:$AB$204,MATCH(A24,Recipes!$A$5:$A$204,0)),""))</f>
        <v>0</v>
      </c>
      <c r="M24" s="8">
        <f>IF(A24="","",IFERROR(INDEX(Recipes!$AN$5:$AN$204,MATCH(A24,Recipes!$A$5:$A$204,0)),""))</f>
        <v>0</v>
      </c>
      <c r="N24" s="8">
        <f>IF(A24="","",IF(H24="No","Too soon",IF(F24="","Never cooked",IF(F24&gt;=90,"Overdue","Available"))))</f>
        <v>0</v>
      </c>
      <c r="O24" s="25"/>
    </row>
    <row r="25" spans="1:15">
      <c r="A25" s="7"/>
      <c r="B25" s="8">
        <f>IF(A25="","",IFERROR(INDEX(Recipes!$B$5:$B$204,MATCH(A25,Recipes!$A$5:$A$204,0)),""))</f>
        <v>0</v>
      </c>
      <c r="C25" s="8">
        <f>IF(A25="","",IFERROR(INDEX(Recipes!$C$5:$C$204,MATCH(A25,Recipes!$A$5:$A$204,0)),""))</f>
        <v>0</v>
      </c>
      <c r="D25" s="8">
        <f>IF(A25="","",COUNTIFS('Meal Plan'!$G$5:$G$504,A25,'Meal Plan'!$S$5:$S$504,"Cooked")+COUNTIFS('Meal Plan'!$G$5:$G$504,A25,'Meal Plan'!$S$5:$S$504,"Eaten"))</f>
        <v>0</v>
      </c>
      <c r="E25" s="8">
        <f>IF(A25="","",IFERROR(INDEX(Recipes!$X$5:$X$204,MATCH(A25,Recipes!$A$5:$A$204,0)),""))</f>
        <v>0</v>
      </c>
      <c r="F25" s="8">
        <f>IF(OR(A25="",E25=""),"",TODAY()-E25)</f>
        <v>0</v>
      </c>
      <c r="G25" s="8">
        <f>IF(OR(A25="",D25=0),"",ROUND(365/D25,0))</f>
        <v>0</v>
      </c>
      <c r="H25" s="8">
        <f>IF(A25="","",IF(F25="","Yes",IF(F25&gt;=Rotation_Gap_Days,"Yes","No")))</f>
        <v>0</v>
      </c>
      <c r="I25" s="8">
        <f>IF(OR(A25="",E25=""),"",E25+Rotation_Gap_Days)</f>
        <v>0</v>
      </c>
      <c r="J25" s="8">
        <f>IF(OR(A25="",I25=""),"",I25-TODAY())</f>
        <v>0</v>
      </c>
      <c r="K25" s="8">
        <f>IF(OR(A25="",F25=""),"",COUNTIFS($F$5:$F$204,"&lt;"&amp;F25)+1)</f>
        <v>0</v>
      </c>
      <c r="L25" s="8">
        <f>IF(A25="","",IFERROR(INDEX(Recipes!$AB$5:$AB$204,MATCH(A25,Recipes!$A$5:$A$204,0)),""))</f>
        <v>0</v>
      </c>
      <c r="M25" s="8">
        <f>IF(A25="","",IFERROR(INDEX(Recipes!$AN$5:$AN$204,MATCH(A25,Recipes!$A$5:$A$204,0)),""))</f>
        <v>0</v>
      </c>
      <c r="N25" s="8">
        <f>IF(A25="","",IF(H25="No","Too soon",IF(F25="","Never cooked",IF(F25&gt;=90,"Overdue","Available"))))</f>
        <v>0</v>
      </c>
      <c r="O25" s="25"/>
    </row>
    <row r="26" spans="1:15">
      <c r="A26" s="7"/>
      <c r="B26" s="8">
        <f>IF(A26="","",IFERROR(INDEX(Recipes!$B$5:$B$204,MATCH(A26,Recipes!$A$5:$A$204,0)),""))</f>
        <v>0</v>
      </c>
      <c r="C26" s="8">
        <f>IF(A26="","",IFERROR(INDEX(Recipes!$C$5:$C$204,MATCH(A26,Recipes!$A$5:$A$204,0)),""))</f>
        <v>0</v>
      </c>
      <c r="D26" s="8">
        <f>IF(A26="","",COUNTIFS('Meal Plan'!$G$5:$G$504,A26,'Meal Plan'!$S$5:$S$504,"Cooked")+COUNTIFS('Meal Plan'!$G$5:$G$504,A26,'Meal Plan'!$S$5:$S$504,"Eaten"))</f>
        <v>0</v>
      </c>
      <c r="E26" s="8">
        <f>IF(A26="","",IFERROR(INDEX(Recipes!$X$5:$X$204,MATCH(A26,Recipes!$A$5:$A$204,0)),""))</f>
        <v>0</v>
      </c>
      <c r="F26" s="8">
        <f>IF(OR(A26="",E26=""),"",TODAY()-E26)</f>
        <v>0</v>
      </c>
      <c r="G26" s="8">
        <f>IF(OR(A26="",D26=0),"",ROUND(365/D26,0))</f>
        <v>0</v>
      </c>
      <c r="H26" s="8">
        <f>IF(A26="","",IF(F26="","Yes",IF(F26&gt;=Rotation_Gap_Days,"Yes","No")))</f>
        <v>0</v>
      </c>
      <c r="I26" s="8">
        <f>IF(OR(A26="",E26=""),"",E26+Rotation_Gap_Days)</f>
        <v>0</v>
      </c>
      <c r="J26" s="8">
        <f>IF(OR(A26="",I26=""),"",I26-TODAY())</f>
        <v>0</v>
      </c>
      <c r="K26" s="8">
        <f>IF(OR(A26="",F26=""),"",COUNTIFS($F$5:$F$204,"&lt;"&amp;F26)+1)</f>
        <v>0</v>
      </c>
      <c r="L26" s="8">
        <f>IF(A26="","",IFERROR(INDEX(Recipes!$AB$5:$AB$204,MATCH(A26,Recipes!$A$5:$A$204,0)),""))</f>
        <v>0</v>
      </c>
      <c r="M26" s="8">
        <f>IF(A26="","",IFERROR(INDEX(Recipes!$AN$5:$AN$204,MATCH(A26,Recipes!$A$5:$A$204,0)),""))</f>
        <v>0</v>
      </c>
      <c r="N26" s="8">
        <f>IF(A26="","",IF(H26="No","Too soon",IF(F26="","Never cooked",IF(F26&gt;=90,"Overdue","Available"))))</f>
        <v>0</v>
      </c>
      <c r="O26" s="25"/>
    </row>
    <row r="27" spans="1:15">
      <c r="A27" s="7"/>
      <c r="B27" s="8">
        <f>IF(A27="","",IFERROR(INDEX(Recipes!$B$5:$B$204,MATCH(A27,Recipes!$A$5:$A$204,0)),""))</f>
        <v>0</v>
      </c>
      <c r="C27" s="8">
        <f>IF(A27="","",IFERROR(INDEX(Recipes!$C$5:$C$204,MATCH(A27,Recipes!$A$5:$A$204,0)),""))</f>
        <v>0</v>
      </c>
      <c r="D27" s="8">
        <f>IF(A27="","",COUNTIFS('Meal Plan'!$G$5:$G$504,A27,'Meal Plan'!$S$5:$S$504,"Cooked")+COUNTIFS('Meal Plan'!$G$5:$G$504,A27,'Meal Plan'!$S$5:$S$504,"Eaten"))</f>
        <v>0</v>
      </c>
      <c r="E27" s="8">
        <f>IF(A27="","",IFERROR(INDEX(Recipes!$X$5:$X$204,MATCH(A27,Recipes!$A$5:$A$204,0)),""))</f>
        <v>0</v>
      </c>
      <c r="F27" s="8">
        <f>IF(OR(A27="",E27=""),"",TODAY()-E27)</f>
        <v>0</v>
      </c>
      <c r="G27" s="8">
        <f>IF(OR(A27="",D27=0),"",ROUND(365/D27,0))</f>
        <v>0</v>
      </c>
      <c r="H27" s="8">
        <f>IF(A27="","",IF(F27="","Yes",IF(F27&gt;=Rotation_Gap_Days,"Yes","No")))</f>
        <v>0</v>
      </c>
      <c r="I27" s="8">
        <f>IF(OR(A27="",E27=""),"",E27+Rotation_Gap_Days)</f>
        <v>0</v>
      </c>
      <c r="J27" s="8">
        <f>IF(OR(A27="",I27=""),"",I27-TODAY())</f>
        <v>0</v>
      </c>
      <c r="K27" s="8">
        <f>IF(OR(A27="",F27=""),"",COUNTIFS($F$5:$F$204,"&lt;"&amp;F27)+1)</f>
        <v>0</v>
      </c>
      <c r="L27" s="8">
        <f>IF(A27="","",IFERROR(INDEX(Recipes!$AB$5:$AB$204,MATCH(A27,Recipes!$A$5:$A$204,0)),""))</f>
        <v>0</v>
      </c>
      <c r="M27" s="8">
        <f>IF(A27="","",IFERROR(INDEX(Recipes!$AN$5:$AN$204,MATCH(A27,Recipes!$A$5:$A$204,0)),""))</f>
        <v>0</v>
      </c>
      <c r="N27" s="8">
        <f>IF(A27="","",IF(H27="No","Too soon",IF(F27="","Never cooked",IF(F27&gt;=90,"Overdue","Available"))))</f>
        <v>0</v>
      </c>
      <c r="O27" s="25"/>
    </row>
    <row r="28" spans="1:15">
      <c r="A28" s="7"/>
      <c r="B28" s="8">
        <f>IF(A28="","",IFERROR(INDEX(Recipes!$B$5:$B$204,MATCH(A28,Recipes!$A$5:$A$204,0)),""))</f>
        <v>0</v>
      </c>
      <c r="C28" s="8">
        <f>IF(A28="","",IFERROR(INDEX(Recipes!$C$5:$C$204,MATCH(A28,Recipes!$A$5:$A$204,0)),""))</f>
        <v>0</v>
      </c>
      <c r="D28" s="8">
        <f>IF(A28="","",COUNTIFS('Meal Plan'!$G$5:$G$504,A28,'Meal Plan'!$S$5:$S$504,"Cooked")+COUNTIFS('Meal Plan'!$G$5:$G$504,A28,'Meal Plan'!$S$5:$S$504,"Eaten"))</f>
        <v>0</v>
      </c>
      <c r="E28" s="8">
        <f>IF(A28="","",IFERROR(INDEX(Recipes!$X$5:$X$204,MATCH(A28,Recipes!$A$5:$A$204,0)),""))</f>
        <v>0</v>
      </c>
      <c r="F28" s="8">
        <f>IF(OR(A28="",E28=""),"",TODAY()-E28)</f>
        <v>0</v>
      </c>
      <c r="G28" s="8">
        <f>IF(OR(A28="",D28=0),"",ROUND(365/D28,0))</f>
        <v>0</v>
      </c>
      <c r="H28" s="8">
        <f>IF(A28="","",IF(F28="","Yes",IF(F28&gt;=Rotation_Gap_Days,"Yes","No")))</f>
        <v>0</v>
      </c>
      <c r="I28" s="8">
        <f>IF(OR(A28="",E28=""),"",E28+Rotation_Gap_Days)</f>
        <v>0</v>
      </c>
      <c r="J28" s="8">
        <f>IF(OR(A28="",I28=""),"",I28-TODAY())</f>
        <v>0</v>
      </c>
      <c r="K28" s="8">
        <f>IF(OR(A28="",F28=""),"",COUNTIFS($F$5:$F$204,"&lt;"&amp;F28)+1)</f>
        <v>0</v>
      </c>
      <c r="L28" s="8">
        <f>IF(A28="","",IFERROR(INDEX(Recipes!$AB$5:$AB$204,MATCH(A28,Recipes!$A$5:$A$204,0)),""))</f>
        <v>0</v>
      </c>
      <c r="M28" s="8">
        <f>IF(A28="","",IFERROR(INDEX(Recipes!$AN$5:$AN$204,MATCH(A28,Recipes!$A$5:$A$204,0)),""))</f>
        <v>0</v>
      </c>
      <c r="N28" s="8">
        <f>IF(A28="","",IF(H28="No","Too soon",IF(F28="","Never cooked",IF(F28&gt;=90,"Overdue","Available"))))</f>
        <v>0</v>
      </c>
      <c r="O28" s="25"/>
    </row>
    <row r="29" spans="1:15">
      <c r="A29" s="7"/>
      <c r="B29" s="8">
        <f>IF(A29="","",IFERROR(INDEX(Recipes!$B$5:$B$204,MATCH(A29,Recipes!$A$5:$A$204,0)),""))</f>
        <v>0</v>
      </c>
      <c r="C29" s="8">
        <f>IF(A29="","",IFERROR(INDEX(Recipes!$C$5:$C$204,MATCH(A29,Recipes!$A$5:$A$204,0)),""))</f>
        <v>0</v>
      </c>
      <c r="D29" s="8">
        <f>IF(A29="","",COUNTIFS('Meal Plan'!$G$5:$G$504,A29,'Meal Plan'!$S$5:$S$504,"Cooked")+COUNTIFS('Meal Plan'!$G$5:$G$504,A29,'Meal Plan'!$S$5:$S$504,"Eaten"))</f>
        <v>0</v>
      </c>
      <c r="E29" s="8">
        <f>IF(A29="","",IFERROR(INDEX(Recipes!$X$5:$X$204,MATCH(A29,Recipes!$A$5:$A$204,0)),""))</f>
        <v>0</v>
      </c>
      <c r="F29" s="8">
        <f>IF(OR(A29="",E29=""),"",TODAY()-E29)</f>
        <v>0</v>
      </c>
      <c r="G29" s="8">
        <f>IF(OR(A29="",D29=0),"",ROUND(365/D29,0))</f>
        <v>0</v>
      </c>
      <c r="H29" s="8">
        <f>IF(A29="","",IF(F29="","Yes",IF(F29&gt;=Rotation_Gap_Days,"Yes","No")))</f>
        <v>0</v>
      </c>
      <c r="I29" s="8">
        <f>IF(OR(A29="",E29=""),"",E29+Rotation_Gap_Days)</f>
        <v>0</v>
      </c>
      <c r="J29" s="8">
        <f>IF(OR(A29="",I29=""),"",I29-TODAY())</f>
        <v>0</v>
      </c>
      <c r="K29" s="8">
        <f>IF(OR(A29="",F29=""),"",COUNTIFS($F$5:$F$204,"&lt;"&amp;F29)+1)</f>
        <v>0</v>
      </c>
      <c r="L29" s="8">
        <f>IF(A29="","",IFERROR(INDEX(Recipes!$AB$5:$AB$204,MATCH(A29,Recipes!$A$5:$A$204,0)),""))</f>
        <v>0</v>
      </c>
      <c r="M29" s="8">
        <f>IF(A29="","",IFERROR(INDEX(Recipes!$AN$5:$AN$204,MATCH(A29,Recipes!$A$5:$A$204,0)),""))</f>
        <v>0</v>
      </c>
      <c r="N29" s="8">
        <f>IF(A29="","",IF(H29="No","Too soon",IF(F29="","Never cooked",IF(F29&gt;=90,"Overdue","Available"))))</f>
        <v>0</v>
      </c>
      <c r="O29" s="25"/>
    </row>
    <row r="30" spans="1:15">
      <c r="A30" s="7"/>
      <c r="B30" s="8">
        <f>IF(A30="","",IFERROR(INDEX(Recipes!$B$5:$B$204,MATCH(A30,Recipes!$A$5:$A$204,0)),""))</f>
        <v>0</v>
      </c>
      <c r="C30" s="8">
        <f>IF(A30="","",IFERROR(INDEX(Recipes!$C$5:$C$204,MATCH(A30,Recipes!$A$5:$A$204,0)),""))</f>
        <v>0</v>
      </c>
      <c r="D30" s="8">
        <f>IF(A30="","",COUNTIFS('Meal Plan'!$G$5:$G$504,A30,'Meal Plan'!$S$5:$S$504,"Cooked")+COUNTIFS('Meal Plan'!$G$5:$G$504,A30,'Meal Plan'!$S$5:$S$504,"Eaten"))</f>
        <v>0</v>
      </c>
      <c r="E30" s="8">
        <f>IF(A30="","",IFERROR(INDEX(Recipes!$X$5:$X$204,MATCH(A30,Recipes!$A$5:$A$204,0)),""))</f>
        <v>0</v>
      </c>
      <c r="F30" s="8">
        <f>IF(OR(A30="",E30=""),"",TODAY()-E30)</f>
        <v>0</v>
      </c>
      <c r="G30" s="8">
        <f>IF(OR(A30="",D30=0),"",ROUND(365/D30,0))</f>
        <v>0</v>
      </c>
      <c r="H30" s="8">
        <f>IF(A30="","",IF(F30="","Yes",IF(F30&gt;=Rotation_Gap_Days,"Yes","No")))</f>
        <v>0</v>
      </c>
      <c r="I30" s="8">
        <f>IF(OR(A30="",E30=""),"",E30+Rotation_Gap_Days)</f>
        <v>0</v>
      </c>
      <c r="J30" s="8">
        <f>IF(OR(A30="",I30=""),"",I30-TODAY())</f>
        <v>0</v>
      </c>
      <c r="K30" s="8">
        <f>IF(OR(A30="",F30=""),"",COUNTIFS($F$5:$F$204,"&lt;"&amp;F30)+1)</f>
        <v>0</v>
      </c>
      <c r="L30" s="8">
        <f>IF(A30="","",IFERROR(INDEX(Recipes!$AB$5:$AB$204,MATCH(A30,Recipes!$A$5:$A$204,0)),""))</f>
        <v>0</v>
      </c>
      <c r="M30" s="8">
        <f>IF(A30="","",IFERROR(INDEX(Recipes!$AN$5:$AN$204,MATCH(A30,Recipes!$A$5:$A$204,0)),""))</f>
        <v>0</v>
      </c>
      <c r="N30" s="8">
        <f>IF(A30="","",IF(H30="No","Too soon",IF(F30="","Never cooked",IF(F30&gt;=90,"Overdue","Available"))))</f>
        <v>0</v>
      </c>
      <c r="O30" s="25"/>
    </row>
    <row r="31" spans="1:15">
      <c r="A31" s="7"/>
      <c r="B31" s="8">
        <f>IF(A31="","",IFERROR(INDEX(Recipes!$B$5:$B$204,MATCH(A31,Recipes!$A$5:$A$204,0)),""))</f>
        <v>0</v>
      </c>
      <c r="C31" s="8">
        <f>IF(A31="","",IFERROR(INDEX(Recipes!$C$5:$C$204,MATCH(A31,Recipes!$A$5:$A$204,0)),""))</f>
        <v>0</v>
      </c>
      <c r="D31" s="8">
        <f>IF(A31="","",COUNTIFS('Meal Plan'!$G$5:$G$504,A31,'Meal Plan'!$S$5:$S$504,"Cooked")+COUNTIFS('Meal Plan'!$G$5:$G$504,A31,'Meal Plan'!$S$5:$S$504,"Eaten"))</f>
        <v>0</v>
      </c>
      <c r="E31" s="8">
        <f>IF(A31="","",IFERROR(INDEX(Recipes!$X$5:$X$204,MATCH(A31,Recipes!$A$5:$A$204,0)),""))</f>
        <v>0</v>
      </c>
      <c r="F31" s="8">
        <f>IF(OR(A31="",E31=""),"",TODAY()-E31)</f>
        <v>0</v>
      </c>
      <c r="G31" s="8">
        <f>IF(OR(A31="",D31=0),"",ROUND(365/D31,0))</f>
        <v>0</v>
      </c>
      <c r="H31" s="8">
        <f>IF(A31="","",IF(F31="","Yes",IF(F31&gt;=Rotation_Gap_Days,"Yes","No")))</f>
        <v>0</v>
      </c>
      <c r="I31" s="8">
        <f>IF(OR(A31="",E31=""),"",E31+Rotation_Gap_Days)</f>
        <v>0</v>
      </c>
      <c r="J31" s="8">
        <f>IF(OR(A31="",I31=""),"",I31-TODAY())</f>
        <v>0</v>
      </c>
      <c r="K31" s="8">
        <f>IF(OR(A31="",F31=""),"",COUNTIFS($F$5:$F$204,"&lt;"&amp;F31)+1)</f>
        <v>0</v>
      </c>
      <c r="L31" s="8">
        <f>IF(A31="","",IFERROR(INDEX(Recipes!$AB$5:$AB$204,MATCH(A31,Recipes!$A$5:$A$204,0)),""))</f>
        <v>0</v>
      </c>
      <c r="M31" s="8">
        <f>IF(A31="","",IFERROR(INDEX(Recipes!$AN$5:$AN$204,MATCH(A31,Recipes!$A$5:$A$204,0)),""))</f>
        <v>0</v>
      </c>
      <c r="N31" s="8">
        <f>IF(A31="","",IF(H31="No","Too soon",IF(F31="","Never cooked",IF(F31&gt;=90,"Overdue","Available"))))</f>
        <v>0</v>
      </c>
      <c r="O31" s="25"/>
    </row>
    <row r="32" spans="1:15">
      <c r="A32" s="7"/>
      <c r="B32" s="8">
        <f>IF(A32="","",IFERROR(INDEX(Recipes!$B$5:$B$204,MATCH(A32,Recipes!$A$5:$A$204,0)),""))</f>
        <v>0</v>
      </c>
      <c r="C32" s="8">
        <f>IF(A32="","",IFERROR(INDEX(Recipes!$C$5:$C$204,MATCH(A32,Recipes!$A$5:$A$204,0)),""))</f>
        <v>0</v>
      </c>
      <c r="D32" s="8">
        <f>IF(A32="","",COUNTIFS('Meal Plan'!$G$5:$G$504,A32,'Meal Plan'!$S$5:$S$504,"Cooked")+COUNTIFS('Meal Plan'!$G$5:$G$504,A32,'Meal Plan'!$S$5:$S$504,"Eaten"))</f>
        <v>0</v>
      </c>
      <c r="E32" s="8">
        <f>IF(A32="","",IFERROR(INDEX(Recipes!$X$5:$X$204,MATCH(A32,Recipes!$A$5:$A$204,0)),""))</f>
        <v>0</v>
      </c>
      <c r="F32" s="8">
        <f>IF(OR(A32="",E32=""),"",TODAY()-E32)</f>
        <v>0</v>
      </c>
      <c r="G32" s="8">
        <f>IF(OR(A32="",D32=0),"",ROUND(365/D32,0))</f>
        <v>0</v>
      </c>
      <c r="H32" s="8">
        <f>IF(A32="","",IF(F32="","Yes",IF(F32&gt;=Rotation_Gap_Days,"Yes","No")))</f>
        <v>0</v>
      </c>
      <c r="I32" s="8">
        <f>IF(OR(A32="",E32=""),"",E32+Rotation_Gap_Days)</f>
        <v>0</v>
      </c>
      <c r="J32" s="8">
        <f>IF(OR(A32="",I32=""),"",I32-TODAY())</f>
        <v>0</v>
      </c>
      <c r="K32" s="8">
        <f>IF(OR(A32="",F32=""),"",COUNTIFS($F$5:$F$204,"&lt;"&amp;F32)+1)</f>
        <v>0</v>
      </c>
      <c r="L32" s="8">
        <f>IF(A32="","",IFERROR(INDEX(Recipes!$AB$5:$AB$204,MATCH(A32,Recipes!$A$5:$A$204,0)),""))</f>
        <v>0</v>
      </c>
      <c r="M32" s="8">
        <f>IF(A32="","",IFERROR(INDEX(Recipes!$AN$5:$AN$204,MATCH(A32,Recipes!$A$5:$A$204,0)),""))</f>
        <v>0</v>
      </c>
      <c r="N32" s="8">
        <f>IF(A32="","",IF(H32="No","Too soon",IF(F32="","Never cooked",IF(F32&gt;=90,"Overdue","Available"))))</f>
        <v>0</v>
      </c>
      <c r="O32" s="25"/>
    </row>
    <row r="33" spans="1:15">
      <c r="A33" s="7"/>
      <c r="B33" s="8">
        <f>IF(A33="","",IFERROR(INDEX(Recipes!$B$5:$B$204,MATCH(A33,Recipes!$A$5:$A$204,0)),""))</f>
        <v>0</v>
      </c>
      <c r="C33" s="8">
        <f>IF(A33="","",IFERROR(INDEX(Recipes!$C$5:$C$204,MATCH(A33,Recipes!$A$5:$A$204,0)),""))</f>
        <v>0</v>
      </c>
      <c r="D33" s="8">
        <f>IF(A33="","",COUNTIFS('Meal Plan'!$G$5:$G$504,A33,'Meal Plan'!$S$5:$S$504,"Cooked")+COUNTIFS('Meal Plan'!$G$5:$G$504,A33,'Meal Plan'!$S$5:$S$504,"Eaten"))</f>
        <v>0</v>
      </c>
      <c r="E33" s="8">
        <f>IF(A33="","",IFERROR(INDEX(Recipes!$X$5:$X$204,MATCH(A33,Recipes!$A$5:$A$204,0)),""))</f>
        <v>0</v>
      </c>
      <c r="F33" s="8">
        <f>IF(OR(A33="",E33=""),"",TODAY()-E33)</f>
        <v>0</v>
      </c>
      <c r="G33" s="8">
        <f>IF(OR(A33="",D33=0),"",ROUND(365/D33,0))</f>
        <v>0</v>
      </c>
      <c r="H33" s="8">
        <f>IF(A33="","",IF(F33="","Yes",IF(F33&gt;=Rotation_Gap_Days,"Yes","No")))</f>
        <v>0</v>
      </c>
      <c r="I33" s="8">
        <f>IF(OR(A33="",E33=""),"",E33+Rotation_Gap_Days)</f>
        <v>0</v>
      </c>
      <c r="J33" s="8">
        <f>IF(OR(A33="",I33=""),"",I33-TODAY())</f>
        <v>0</v>
      </c>
      <c r="K33" s="8">
        <f>IF(OR(A33="",F33=""),"",COUNTIFS($F$5:$F$204,"&lt;"&amp;F33)+1)</f>
        <v>0</v>
      </c>
      <c r="L33" s="8">
        <f>IF(A33="","",IFERROR(INDEX(Recipes!$AB$5:$AB$204,MATCH(A33,Recipes!$A$5:$A$204,0)),""))</f>
        <v>0</v>
      </c>
      <c r="M33" s="8">
        <f>IF(A33="","",IFERROR(INDEX(Recipes!$AN$5:$AN$204,MATCH(A33,Recipes!$A$5:$A$204,0)),""))</f>
        <v>0</v>
      </c>
      <c r="N33" s="8">
        <f>IF(A33="","",IF(H33="No","Too soon",IF(F33="","Never cooked",IF(F33&gt;=90,"Overdue","Available"))))</f>
        <v>0</v>
      </c>
      <c r="O33" s="25"/>
    </row>
    <row r="34" spans="1:15">
      <c r="A34" s="7"/>
      <c r="B34" s="8">
        <f>IF(A34="","",IFERROR(INDEX(Recipes!$B$5:$B$204,MATCH(A34,Recipes!$A$5:$A$204,0)),""))</f>
        <v>0</v>
      </c>
      <c r="C34" s="8">
        <f>IF(A34="","",IFERROR(INDEX(Recipes!$C$5:$C$204,MATCH(A34,Recipes!$A$5:$A$204,0)),""))</f>
        <v>0</v>
      </c>
      <c r="D34" s="8">
        <f>IF(A34="","",COUNTIFS('Meal Plan'!$G$5:$G$504,A34,'Meal Plan'!$S$5:$S$504,"Cooked")+COUNTIFS('Meal Plan'!$G$5:$G$504,A34,'Meal Plan'!$S$5:$S$504,"Eaten"))</f>
        <v>0</v>
      </c>
      <c r="E34" s="8">
        <f>IF(A34="","",IFERROR(INDEX(Recipes!$X$5:$X$204,MATCH(A34,Recipes!$A$5:$A$204,0)),""))</f>
        <v>0</v>
      </c>
      <c r="F34" s="8">
        <f>IF(OR(A34="",E34=""),"",TODAY()-E34)</f>
        <v>0</v>
      </c>
      <c r="G34" s="8">
        <f>IF(OR(A34="",D34=0),"",ROUND(365/D34,0))</f>
        <v>0</v>
      </c>
      <c r="H34" s="8">
        <f>IF(A34="","",IF(F34="","Yes",IF(F34&gt;=Rotation_Gap_Days,"Yes","No")))</f>
        <v>0</v>
      </c>
      <c r="I34" s="8">
        <f>IF(OR(A34="",E34=""),"",E34+Rotation_Gap_Days)</f>
        <v>0</v>
      </c>
      <c r="J34" s="8">
        <f>IF(OR(A34="",I34=""),"",I34-TODAY())</f>
        <v>0</v>
      </c>
      <c r="K34" s="8">
        <f>IF(OR(A34="",F34=""),"",COUNTIFS($F$5:$F$204,"&lt;"&amp;F34)+1)</f>
        <v>0</v>
      </c>
      <c r="L34" s="8">
        <f>IF(A34="","",IFERROR(INDEX(Recipes!$AB$5:$AB$204,MATCH(A34,Recipes!$A$5:$A$204,0)),""))</f>
        <v>0</v>
      </c>
      <c r="M34" s="8">
        <f>IF(A34="","",IFERROR(INDEX(Recipes!$AN$5:$AN$204,MATCH(A34,Recipes!$A$5:$A$204,0)),""))</f>
        <v>0</v>
      </c>
      <c r="N34" s="8">
        <f>IF(A34="","",IF(H34="No","Too soon",IF(F34="","Never cooked",IF(F34&gt;=90,"Overdue","Available"))))</f>
        <v>0</v>
      </c>
      <c r="O34" s="25"/>
    </row>
    <row r="35" spans="1:15">
      <c r="A35" s="7"/>
      <c r="B35" s="8">
        <f>IF(A35="","",IFERROR(INDEX(Recipes!$B$5:$B$204,MATCH(A35,Recipes!$A$5:$A$204,0)),""))</f>
        <v>0</v>
      </c>
      <c r="C35" s="8">
        <f>IF(A35="","",IFERROR(INDEX(Recipes!$C$5:$C$204,MATCH(A35,Recipes!$A$5:$A$204,0)),""))</f>
        <v>0</v>
      </c>
      <c r="D35" s="8">
        <f>IF(A35="","",COUNTIFS('Meal Plan'!$G$5:$G$504,A35,'Meal Plan'!$S$5:$S$504,"Cooked")+COUNTIFS('Meal Plan'!$G$5:$G$504,A35,'Meal Plan'!$S$5:$S$504,"Eaten"))</f>
        <v>0</v>
      </c>
      <c r="E35" s="8">
        <f>IF(A35="","",IFERROR(INDEX(Recipes!$X$5:$X$204,MATCH(A35,Recipes!$A$5:$A$204,0)),""))</f>
        <v>0</v>
      </c>
      <c r="F35" s="8">
        <f>IF(OR(A35="",E35=""),"",TODAY()-E35)</f>
        <v>0</v>
      </c>
      <c r="G35" s="8">
        <f>IF(OR(A35="",D35=0),"",ROUND(365/D35,0))</f>
        <v>0</v>
      </c>
      <c r="H35" s="8">
        <f>IF(A35="","",IF(F35="","Yes",IF(F35&gt;=Rotation_Gap_Days,"Yes","No")))</f>
        <v>0</v>
      </c>
      <c r="I35" s="8">
        <f>IF(OR(A35="",E35=""),"",E35+Rotation_Gap_Days)</f>
        <v>0</v>
      </c>
      <c r="J35" s="8">
        <f>IF(OR(A35="",I35=""),"",I35-TODAY())</f>
        <v>0</v>
      </c>
      <c r="K35" s="8">
        <f>IF(OR(A35="",F35=""),"",COUNTIFS($F$5:$F$204,"&lt;"&amp;F35)+1)</f>
        <v>0</v>
      </c>
      <c r="L35" s="8">
        <f>IF(A35="","",IFERROR(INDEX(Recipes!$AB$5:$AB$204,MATCH(A35,Recipes!$A$5:$A$204,0)),""))</f>
        <v>0</v>
      </c>
      <c r="M35" s="8">
        <f>IF(A35="","",IFERROR(INDEX(Recipes!$AN$5:$AN$204,MATCH(A35,Recipes!$A$5:$A$204,0)),""))</f>
        <v>0</v>
      </c>
      <c r="N35" s="8">
        <f>IF(A35="","",IF(H35="No","Too soon",IF(F35="","Never cooked",IF(F35&gt;=90,"Overdue","Available"))))</f>
        <v>0</v>
      </c>
      <c r="O35" s="25"/>
    </row>
    <row r="36" spans="1:15">
      <c r="A36" s="7"/>
      <c r="B36" s="8">
        <f>IF(A36="","",IFERROR(INDEX(Recipes!$B$5:$B$204,MATCH(A36,Recipes!$A$5:$A$204,0)),""))</f>
        <v>0</v>
      </c>
      <c r="C36" s="8">
        <f>IF(A36="","",IFERROR(INDEX(Recipes!$C$5:$C$204,MATCH(A36,Recipes!$A$5:$A$204,0)),""))</f>
        <v>0</v>
      </c>
      <c r="D36" s="8">
        <f>IF(A36="","",COUNTIFS('Meal Plan'!$G$5:$G$504,A36,'Meal Plan'!$S$5:$S$504,"Cooked")+COUNTIFS('Meal Plan'!$G$5:$G$504,A36,'Meal Plan'!$S$5:$S$504,"Eaten"))</f>
        <v>0</v>
      </c>
      <c r="E36" s="8">
        <f>IF(A36="","",IFERROR(INDEX(Recipes!$X$5:$X$204,MATCH(A36,Recipes!$A$5:$A$204,0)),""))</f>
        <v>0</v>
      </c>
      <c r="F36" s="8">
        <f>IF(OR(A36="",E36=""),"",TODAY()-E36)</f>
        <v>0</v>
      </c>
      <c r="G36" s="8">
        <f>IF(OR(A36="",D36=0),"",ROUND(365/D36,0))</f>
        <v>0</v>
      </c>
      <c r="H36" s="8">
        <f>IF(A36="","",IF(F36="","Yes",IF(F36&gt;=Rotation_Gap_Days,"Yes","No")))</f>
        <v>0</v>
      </c>
      <c r="I36" s="8">
        <f>IF(OR(A36="",E36=""),"",E36+Rotation_Gap_Days)</f>
        <v>0</v>
      </c>
      <c r="J36" s="8">
        <f>IF(OR(A36="",I36=""),"",I36-TODAY())</f>
        <v>0</v>
      </c>
      <c r="K36" s="8">
        <f>IF(OR(A36="",F36=""),"",COUNTIFS($F$5:$F$204,"&lt;"&amp;F36)+1)</f>
        <v>0</v>
      </c>
      <c r="L36" s="8">
        <f>IF(A36="","",IFERROR(INDEX(Recipes!$AB$5:$AB$204,MATCH(A36,Recipes!$A$5:$A$204,0)),""))</f>
        <v>0</v>
      </c>
      <c r="M36" s="8">
        <f>IF(A36="","",IFERROR(INDEX(Recipes!$AN$5:$AN$204,MATCH(A36,Recipes!$A$5:$A$204,0)),""))</f>
        <v>0</v>
      </c>
      <c r="N36" s="8">
        <f>IF(A36="","",IF(H36="No","Too soon",IF(F36="","Never cooked",IF(F36&gt;=90,"Overdue","Available"))))</f>
        <v>0</v>
      </c>
      <c r="O36" s="25"/>
    </row>
    <row r="37" spans="1:15">
      <c r="A37" s="7"/>
      <c r="B37" s="8">
        <f>IF(A37="","",IFERROR(INDEX(Recipes!$B$5:$B$204,MATCH(A37,Recipes!$A$5:$A$204,0)),""))</f>
        <v>0</v>
      </c>
      <c r="C37" s="8">
        <f>IF(A37="","",IFERROR(INDEX(Recipes!$C$5:$C$204,MATCH(A37,Recipes!$A$5:$A$204,0)),""))</f>
        <v>0</v>
      </c>
      <c r="D37" s="8">
        <f>IF(A37="","",COUNTIFS('Meal Plan'!$G$5:$G$504,A37,'Meal Plan'!$S$5:$S$504,"Cooked")+COUNTIFS('Meal Plan'!$G$5:$G$504,A37,'Meal Plan'!$S$5:$S$504,"Eaten"))</f>
        <v>0</v>
      </c>
      <c r="E37" s="8">
        <f>IF(A37="","",IFERROR(INDEX(Recipes!$X$5:$X$204,MATCH(A37,Recipes!$A$5:$A$204,0)),""))</f>
        <v>0</v>
      </c>
      <c r="F37" s="8">
        <f>IF(OR(A37="",E37=""),"",TODAY()-E37)</f>
        <v>0</v>
      </c>
      <c r="G37" s="8">
        <f>IF(OR(A37="",D37=0),"",ROUND(365/D37,0))</f>
        <v>0</v>
      </c>
      <c r="H37" s="8">
        <f>IF(A37="","",IF(F37="","Yes",IF(F37&gt;=Rotation_Gap_Days,"Yes","No")))</f>
        <v>0</v>
      </c>
      <c r="I37" s="8">
        <f>IF(OR(A37="",E37=""),"",E37+Rotation_Gap_Days)</f>
        <v>0</v>
      </c>
      <c r="J37" s="8">
        <f>IF(OR(A37="",I37=""),"",I37-TODAY())</f>
        <v>0</v>
      </c>
      <c r="K37" s="8">
        <f>IF(OR(A37="",F37=""),"",COUNTIFS($F$5:$F$204,"&lt;"&amp;F37)+1)</f>
        <v>0</v>
      </c>
      <c r="L37" s="8">
        <f>IF(A37="","",IFERROR(INDEX(Recipes!$AB$5:$AB$204,MATCH(A37,Recipes!$A$5:$A$204,0)),""))</f>
        <v>0</v>
      </c>
      <c r="M37" s="8">
        <f>IF(A37="","",IFERROR(INDEX(Recipes!$AN$5:$AN$204,MATCH(A37,Recipes!$A$5:$A$204,0)),""))</f>
        <v>0</v>
      </c>
      <c r="N37" s="8">
        <f>IF(A37="","",IF(H37="No","Too soon",IF(F37="","Never cooked",IF(F37&gt;=90,"Overdue","Available"))))</f>
        <v>0</v>
      </c>
      <c r="O37" s="25"/>
    </row>
    <row r="38" spans="1:15">
      <c r="A38" s="7"/>
      <c r="B38" s="8">
        <f>IF(A38="","",IFERROR(INDEX(Recipes!$B$5:$B$204,MATCH(A38,Recipes!$A$5:$A$204,0)),""))</f>
        <v>0</v>
      </c>
      <c r="C38" s="8">
        <f>IF(A38="","",IFERROR(INDEX(Recipes!$C$5:$C$204,MATCH(A38,Recipes!$A$5:$A$204,0)),""))</f>
        <v>0</v>
      </c>
      <c r="D38" s="8">
        <f>IF(A38="","",COUNTIFS('Meal Plan'!$G$5:$G$504,A38,'Meal Plan'!$S$5:$S$504,"Cooked")+COUNTIFS('Meal Plan'!$G$5:$G$504,A38,'Meal Plan'!$S$5:$S$504,"Eaten"))</f>
        <v>0</v>
      </c>
      <c r="E38" s="8">
        <f>IF(A38="","",IFERROR(INDEX(Recipes!$X$5:$X$204,MATCH(A38,Recipes!$A$5:$A$204,0)),""))</f>
        <v>0</v>
      </c>
      <c r="F38" s="8">
        <f>IF(OR(A38="",E38=""),"",TODAY()-E38)</f>
        <v>0</v>
      </c>
      <c r="G38" s="8">
        <f>IF(OR(A38="",D38=0),"",ROUND(365/D38,0))</f>
        <v>0</v>
      </c>
      <c r="H38" s="8">
        <f>IF(A38="","",IF(F38="","Yes",IF(F38&gt;=Rotation_Gap_Days,"Yes","No")))</f>
        <v>0</v>
      </c>
      <c r="I38" s="8">
        <f>IF(OR(A38="",E38=""),"",E38+Rotation_Gap_Days)</f>
        <v>0</v>
      </c>
      <c r="J38" s="8">
        <f>IF(OR(A38="",I38=""),"",I38-TODAY())</f>
        <v>0</v>
      </c>
      <c r="K38" s="8">
        <f>IF(OR(A38="",F38=""),"",COUNTIFS($F$5:$F$204,"&lt;"&amp;F38)+1)</f>
        <v>0</v>
      </c>
      <c r="L38" s="8">
        <f>IF(A38="","",IFERROR(INDEX(Recipes!$AB$5:$AB$204,MATCH(A38,Recipes!$A$5:$A$204,0)),""))</f>
        <v>0</v>
      </c>
      <c r="M38" s="8">
        <f>IF(A38="","",IFERROR(INDEX(Recipes!$AN$5:$AN$204,MATCH(A38,Recipes!$A$5:$A$204,0)),""))</f>
        <v>0</v>
      </c>
      <c r="N38" s="8">
        <f>IF(A38="","",IF(H38="No","Too soon",IF(F38="","Never cooked",IF(F38&gt;=90,"Overdue","Available"))))</f>
        <v>0</v>
      </c>
      <c r="O38" s="25"/>
    </row>
    <row r="39" spans="1:15">
      <c r="A39" s="7"/>
      <c r="B39" s="8">
        <f>IF(A39="","",IFERROR(INDEX(Recipes!$B$5:$B$204,MATCH(A39,Recipes!$A$5:$A$204,0)),""))</f>
        <v>0</v>
      </c>
      <c r="C39" s="8">
        <f>IF(A39="","",IFERROR(INDEX(Recipes!$C$5:$C$204,MATCH(A39,Recipes!$A$5:$A$204,0)),""))</f>
        <v>0</v>
      </c>
      <c r="D39" s="8">
        <f>IF(A39="","",COUNTIFS('Meal Plan'!$G$5:$G$504,A39,'Meal Plan'!$S$5:$S$504,"Cooked")+COUNTIFS('Meal Plan'!$G$5:$G$504,A39,'Meal Plan'!$S$5:$S$504,"Eaten"))</f>
        <v>0</v>
      </c>
      <c r="E39" s="8">
        <f>IF(A39="","",IFERROR(INDEX(Recipes!$X$5:$X$204,MATCH(A39,Recipes!$A$5:$A$204,0)),""))</f>
        <v>0</v>
      </c>
      <c r="F39" s="8">
        <f>IF(OR(A39="",E39=""),"",TODAY()-E39)</f>
        <v>0</v>
      </c>
      <c r="G39" s="8">
        <f>IF(OR(A39="",D39=0),"",ROUND(365/D39,0))</f>
        <v>0</v>
      </c>
      <c r="H39" s="8">
        <f>IF(A39="","",IF(F39="","Yes",IF(F39&gt;=Rotation_Gap_Days,"Yes","No")))</f>
        <v>0</v>
      </c>
      <c r="I39" s="8">
        <f>IF(OR(A39="",E39=""),"",E39+Rotation_Gap_Days)</f>
        <v>0</v>
      </c>
      <c r="J39" s="8">
        <f>IF(OR(A39="",I39=""),"",I39-TODAY())</f>
        <v>0</v>
      </c>
      <c r="K39" s="8">
        <f>IF(OR(A39="",F39=""),"",COUNTIFS($F$5:$F$204,"&lt;"&amp;F39)+1)</f>
        <v>0</v>
      </c>
      <c r="L39" s="8">
        <f>IF(A39="","",IFERROR(INDEX(Recipes!$AB$5:$AB$204,MATCH(A39,Recipes!$A$5:$A$204,0)),""))</f>
        <v>0</v>
      </c>
      <c r="M39" s="8">
        <f>IF(A39="","",IFERROR(INDEX(Recipes!$AN$5:$AN$204,MATCH(A39,Recipes!$A$5:$A$204,0)),""))</f>
        <v>0</v>
      </c>
      <c r="N39" s="8">
        <f>IF(A39="","",IF(H39="No","Too soon",IF(F39="","Never cooked",IF(F39&gt;=90,"Overdue","Available"))))</f>
        <v>0</v>
      </c>
      <c r="O39" s="25"/>
    </row>
    <row r="40" spans="1:15">
      <c r="A40" s="7"/>
      <c r="B40" s="8">
        <f>IF(A40="","",IFERROR(INDEX(Recipes!$B$5:$B$204,MATCH(A40,Recipes!$A$5:$A$204,0)),""))</f>
        <v>0</v>
      </c>
      <c r="C40" s="8">
        <f>IF(A40="","",IFERROR(INDEX(Recipes!$C$5:$C$204,MATCH(A40,Recipes!$A$5:$A$204,0)),""))</f>
        <v>0</v>
      </c>
      <c r="D40" s="8">
        <f>IF(A40="","",COUNTIFS('Meal Plan'!$G$5:$G$504,A40,'Meal Plan'!$S$5:$S$504,"Cooked")+COUNTIFS('Meal Plan'!$G$5:$G$504,A40,'Meal Plan'!$S$5:$S$504,"Eaten"))</f>
        <v>0</v>
      </c>
      <c r="E40" s="8">
        <f>IF(A40="","",IFERROR(INDEX(Recipes!$X$5:$X$204,MATCH(A40,Recipes!$A$5:$A$204,0)),""))</f>
        <v>0</v>
      </c>
      <c r="F40" s="8">
        <f>IF(OR(A40="",E40=""),"",TODAY()-E40)</f>
        <v>0</v>
      </c>
      <c r="G40" s="8">
        <f>IF(OR(A40="",D40=0),"",ROUND(365/D40,0))</f>
        <v>0</v>
      </c>
      <c r="H40" s="8">
        <f>IF(A40="","",IF(F40="","Yes",IF(F40&gt;=Rotation_Gap_Days,"Yes","No")))</f>
        <v>0</v>
      </c>
      <c r="I40" s="8">
        <f>IF(OR(A40="",E40=""),"",E40+Rotation_Gap_Days)</f>
        <v>0</v>
      </c>
      <c r="J40" s="8">
        <f>IF(OR(A40="",I40=""),"",I40-TODAY())</f>
        <v>0</v>
      </c>
      <c r="K40" s="8">
        <f>IF(OR(A40="",F40=""),"",COUNTIFS($F$5:$F$204,"&lt;"&amp;F40)+1)</f>
        <v>0</v>
      </c>
      <c r="L40" s="8">
        <f>IF(A40="","",IFERROR(INDEX(Recipes!$AB$5:$AB$204,MATCH(A40,Recipes!$A$5:$A$204,0)),""))</f>
        <v>0</v>
      </c>
      <c r="M40" s="8">
        <f>IF(A40="","",IFERROR(INDEX(Recipes!$AN$5:$AN$204,MATCH(A40,Recipes!$A$5:$A$204,0)),""))</f>
        <v>0</v>
      </c>
      <c r="N40" s="8">
        <f>IF(A40="","",IF(H40="No","Too soon",IF(F40="","Never cooked",IF(F40&gt;=90,"Overdue","Available"))))</f>
        <v>0</v>
      </c>
      <c r="O40" s="25"/>
    </row>
    <row r="41" spans="1:15">
      <c r="A41" s="7"/>
      <c r="B41" s="8">
        <f>IF(A41="","",IFERROR(INDEX(Recipes!$B$5:$B$204,MATCH(A41,Recipes!$A$5:$A$204,0)),""))</f>
        <v>0</v>
      </c>
      <c r="C41" s="8">
        <f>IF(A41="","",IFERROR(INDEX(Recipes!$C$5:$C$204,MATCH(A41,Recipes!$A$5:$A$204,0)),""))</f>
        <v>0</v>
      </c>
      <c r="D41" s="8">
        <f>IF(A41="","",COUNTIFS('Meal Plan'!$G$5:$G$504,A41,'Meal Plan'!$S$5:$S$504,"Cooked")+COUNTIFS('Meal Plan'!$G$5:$G$504,A41,'Meal Plan'!$S$5:$S$504,"Eaten"))</f>
        <v>0</v>
      </c>
      <c r="E41" s="8">
        <f>IF(A41="","",IFERROR(INDEX(Recipes!$X$5:$X$204,MATCH(A41,Recipes!$A$5:$A$204,0)),""))</f>
        <v>0</v>
      </c>
      <c r="F41" s="8">
        <f>IF(OR(A41="",E41=""),"",TODAY()-E41)</f>
        <v>0</v>
      </c>
      <c r="G41" s="8">
        <f>IF(OR(A41="",D41=0),"",ROUND(365/D41,0))</f>
        <v>0</v>
      </c>
      <c r="H41" s="8">
        <f>IF(A41="","",IF(F41="","Yes",IF(F41&gt;=Rotation_Gap_Days,"Yes","No")))</f>
        <v>0</v>
      </c>
      <c r="I41" s="8">
        <f>IF(OR(A41="",E41=""),"",E41+Rotation_Gap_Days)</f>
        <v>0</v>
      </c>
      <c r="J41" s="8">
        <f>IF(OR(A41="",I41=""),"",I41-TODAY())</f>
        <v>0</v>
      </c>
      <c r="K41" s="8">
        <f>IF(OR(A41="",F41=""),"",COUNTIFS($F$5:$F$204,"&lt;"&amp;F41)+1)</f>
        <v>0</v>
      </c>
      <c r="L41" s="8">
        <f>IF(A41="","",IFERROR(INDEX(Recipes!$AB$5:$AB$204,MATCH(A41,Recipes!$A$5:$A$204,0)),""))</f>
        <v>0</v>
      </c>
      <c r="M41" s="8">
        <f>IF(A41="","",IFERROR(INDEX(Recipes!$AN$5:$AN$204,MATCH(A41,Recipes!$A$5:$A$204,0)),""))</f>
        <v>0</v>
      </c>
      <c r="N41" s="8">
        <f>IF(A41="","",IF(H41="No","Too soon",IF(F41="","Never cooked",IF(F41&gt;=90,"Overdue","Available"))))</f>
        <v>0</v>
      </c>
      <c r="O41" s="25"/>
    </row>
    <row r="42" spans="1:15">
      <c r="A42" s="7"/>
      <c r="B42" s="8">
        <f>IF(A42="","",IFERROR(INDEX(Recipes!$B$5:$B$204,MATCH(A42,Recipes!$A$5:$A$204,0)),""))</f>
        <v>0</v>
      </c>
      <c r="C42" s="8">
        <f>IF(A42="","",IFERROR(INDEX(Recipes!$C$5:$C$204,MATCH(A42,Recipes!$A$5:$A$204,0)),""))</f>
        <v>0</v>
      </c>
      <c r="D42" s="8">
        <f>IF(A42="","",COUNTIFS('Meal Plan'!$G$5:$G$504,A42,'Meal Plan'!$S$5:$S$504,"Cooked")+COUNTIFS('Meal Plan'!$G$5:$G$504,A42,'Meal Plan'!$S$5:$S$504,"Eaten"))</f>
        <v>0</v>
      </c>
      <c r="E42" s="8">
        <f>IF(A42="","",IFERROR(INDEX(Recipes!$X$5:$X$204,MATCH(A42,Recipes!$A$5:$A$204,0)),""))</f>
        <v>0</v>
      </c>
      <c r="F42" s="8">
        <f>IF(OR(A42="",E42=""),"",TODAY()-E42)</f>
        <v>0</v>
      </c>
      <c r="G42" s="8">
        <f>IF(OR(A42="",D42=0),"",ROUND(365/D42,0))</f>
        <v>0</v>
      </c>
      <c r="H42" s="8">
        <f>IF(A42="","",IF(F42="","Yes",IF(F42&gt;=Rotation_Gap_Days,"Yes","No")))</f>
        <v>0</v>
      </c>
      <c r="I42" s="8">
        <f>IF(OR(A42="",E42=""),"",E42+Rotation_Gap_Days)</f>
        <v>0</v>
      </c>
      <c r="J42" s="8">
        <f>IF(OR(A42="",I42=""),"",I42-TODAY())</f>
        <v>0</v>
      </c>
      <c r="K42" s="8">
        <f>IF(OR(A42="",F42=""),"",COUNTIFS($F$5:$F$204,"&lt;"&amp;F42)+1)</f>
        <v>0</v>
      </c>
      <c r="L42" s="8">
        <f>IF(A42="","",IFERROR(INDEX(Recipes!$AB$5:$AB$204,MATCH(A42,Recipes!$A$5:$A$204,0)),""))</f>
        <v>0</v>
      </c>
      <c r="M42" s="8">
        <f>IF(A42="","",IFERROR(INDEX(Recipes!$AN$5:$AN$204,MATCH(A42,Recipes!$A$5:$A$204,0)),""))</f>
        <v>0</v>
      </c>
      <c r="N42" s="8">
        <f>IF(A42="","",IF(H42="No","Too soon",IF(F42="","Never cooked",IF(F42&gt;=90,"Overdue","Available"))))</f>
        <v>0</v>
      </c>
      <c r="O42" s="25"/>
    </row>
    <row r="43" spans="1:15">
      <c r="A43" s="7"/>
      <c r="B43" s="8">
        <f>IF(A43="","",IFERROR(INDEX(Recipes!$B$5:$B$204,MATCH(A43,Recipes!$A$5:$A$204,0)),""))</f>
        <v>0</v>
      </c>
      <c r="C43" s="8">
        <f>IF(A43="","",IFERROR(INDEX(Recipes!$C$5:$C$204,MATCH(A43,Recipes!$A$5:$A$204,0)),""))</f>
        <v>0</v>
      </c>
      <c r="D43" s="8">
        <f>IF(A43="","",COUNTIFS('Meal Plan'!$G$5:$G$504,A43,'Meal Plan'!$S$5:$S$504,"Cooked")+COUNTIFS('Meal Plan'!$G$5:$G$504,A43,'Meal Plan'!$S$5:$S$504,"Eaten"))</f>
        <v>0</v>
      </c>
      <c r="E43" s="8">
        <f>IF(A43="","",IFERROR(INDEX(Recipes!$X$5:$X$204,MATCH(A43,Recipes!$A$5:$A$204,0)),""))</f>
        <v>0</v>
      </c>
      <c r="F43" s="8">
        <f>IF(OR(A43="",E43=""),"",TODAY()-E43)</f>
        <v>0</v>
      </c>
      <c r="G43" s="8">
        <f>IF(OR(A43="",D43=0),"",ROUND(365/D43,0))</f>
        <v>0</v>
      </c>
      <c r="H43" s="8">
        <f>IF(A43="","",IF(F43="","Yes",IF(F43&gt;=Rotation_Gap_Days,"Yes","No")))</f>
        <v>0</v>
      </c>
      <c r="I43" s="8">
        <f>IF(OR(A43="",E43=""),"",E43+Rotation_Gap_Days)</f>
        <v>0</v>
      </c>
      <c r="J43" s="8">
        <f>IF(OR(A43="",I43=""),"",I43-TODAY())</f>
        <v>0</v>
      </c>
      <c r="K43" s="8">
        <f>IF(OR(A43="",F43=""),"",COUNTIFS($F$5:$F$204,"&lt;"&amp;F43)+1)</f>
        <v>0</v>
      </c>
      <c r="L43" s="8">
        <f>IF(A43="","",IFERROR(INDEX(Recipes!$AB$5:$AB$204,MATCH(A43,Recipes!$A$5:$A$204,0)),""))</f>
        <v>0</v>
      </c>
      <c r="M43" s="8">
        <f>IF(A43="","",IFERROR(INDEX(Recipes!$AN$5:$AN$204,MATCH(A43,Recipes!$A$5:$A$204,0)),""))</f>
        <v>0</v>
      </c>
      <c r="N43" s="8">
        <f>IF(A43="","",IF(H43="No","Too soon",IF(F43="","Never cooked",IF(F43&gt;=90,"Overdue","Available"))))</f>
        <v>0</v>
      </c>
      <c r="O43" s="25"/>
    </row>
    <row r="44" spans="1:15">
      <c r="A44" s="7"/>
      <c r="B44" s="8">
        <f>IF(A44="","",IFERROR(INDEX(Recipes!$B$5:$B$204,MATCH(A44,Recipes!$A$5:$A$204,0)),""))</f>
        <v>0</v>
      </c>
      <c r="C44" s="8">
        <f>IF(A44="","",IFERROR(INDEX(Recipes!$C$5:$C$204,MATCH(A44,Recipes!$A$5:$A$204,0)),""))</f>
        <v>0</v>
      </c>
      <c r="D44" s="8">
        <f>IF(A44="","",COUNTIFS('Meal Plan'!$G$5:$G$504,A44,'Meal Plan'!$S$5:$S$504,"Cooked")+COUNTIFS('Meal Plan'!$G$5:$G$504,A44,'Meal Plan'!$S$5:$S$504,"Eaten"))</f>
        <v>0</v>
      </c>
      <c r="E44" s="8">
        <f>IF(A44="","",IFERROR(INDEX(Recipes!$X$5:$X$204,MATCH(A44,Recipes!$A$5:$A$204,0)),""))</f>
        <v>0</v>
      </c>
      <c r="F44" s="8">
        <f>IF(OR(A44="",E44=""),"",TODAY()-E44)</f>
        <v>0</v>
      </c>
      <c r="G44" s="8">
        <f>IF(OR(A44="",D44=0),"",ROUND(365/D44,0))</f>
        <v>0</v>
      </c>
      <c r="H44" s="8">
        <f>IF(A44="","",IF(F44="","Yes",IF(F44&gt;=Rotation_Gap_Days,"Yes","No")))</f>
        <v>0</v>
      </c>
      <c r="I44" s="8">
        <f>IF(OR(A44="",E44=""),"",E44+Rotation_Gap_Days)</f>
        <v>0</v>
      </c>
      <c r="J44" s="8">
        <f>IF(OR(A44="",I44=""),"",I44-TODAY())</f>
        <v>0</v>
      </c>
      <c r="K44" s="8">
        <f>IF(OR(A44="",F44=""),"",COUNTIFS($F$5:$F$204,"&lt;"&amp;F44)+1)</f>
        <v>0</v>
      </c>
      <c r="L44" s="8">
        <f>IF(A44="","",IFERROR(INDEX(Recipes!$AB$5:$AB$204,MATCH(A44,Recipes!$A$5:$A$204,0)),""))</f>
        <v>0</v>
      </c>
      <c r="M44" s="8">
        <f>IF(A44="","",IFERROR(INDEX(Recipes!$AN$5:$AN$204,MATCH(A44,Recipes!$A$5:$A$204,0)),""))</f>
        <v>0</v>
      </c>
      <c r="N44" s="8">
        <f>IF(A44="","",IF(H44="No","Too soon",IF(F44="","Never cooked",IF(F44&gt;=90,"Overdue","Available"))))</f>
        <v>0</v>
      </c>
      <c r="O44" s="25"/>
    </row>
    <row r="45" spans="1:15">
      <c r="A45" s="7"/>
      <c r="B45" s="8">
        <f>IF(A45="","",IFERROR(INDEX(Recipes!$B$5:$B$204,MATCH(A45,Recipes!$A$5:$A$204,0)),""))</f>
        <v>0</v>
      </c>
      <c r="C45" s="8">
        <f>IF(A45="","",IFERROR(INDEX(Recipes!$C$5:$C$204,MATCH(A45,Recipes!$A$5:$A$204,0)),""))</f>
        <v>0</v>
      </c>
      <c r="D45" s="8">
        <f>IF(A45="","",COUNTIFS('Meal Plan'!$G$5:$G$504,A45,'Meal Plan'!$S$5:$S$504,"Cooked")+COUNTIFS('Meal Plan'!$G$5:$G$504,A45,'Meal Plan'!$S$5:$S$504,"Eaten"))</f>
        <v>0</v>
      </c>
      <c r="E45" s="8">
        <f>IF(A45="","",IFERROR(INDEX(Recipes!$X$5:$X$204,MATCH(A45,Recipes!$A$5:$A$204,0)),""))</f>
        <v>0</v>
      </c>
      <c r="F45" s="8">
        <f>IF(OR(A45="",E45=""),"",TODAY()-E45)</f>
        <v>0</v>
      </c>
      <c r="G45" s="8">
        <f>IF(OR(A45="",D45=0),"",ROUND(365/D45,0))</f>
        <v>0</v>
      </c>
      <c r="H45" s="8">
        <f>IF(A45="","",IF(F45="","Yes",IF(F45&gt;=Rotation_Gap_Days,"Yes","No")))</f>
        <v>0</v>
      </c>
      <c r="I45" s="8">
        <f>IF(OR(A45="",E45=""),"",E45+Rotation_Gap_Days)</f>
        <v>0</v>
      </c>
      <c r="J45" s="8">
        <f>IF(OR(A45="",I45=""),"",I45-TODAY())</f>
        <v>0</v>
      </c>
      <c r="K45" s="8">
        <f>IF(OR(A45="",F45=""),"",COUNTIFS($F$5:$F$204,"&lt;"&amp;F45)+1)</f>
        <v>0</v>
      </c>
      <c r="L45" s="8">
        <f>IF(A45="","",IFERROR(INDEX(Recipes!$AB$5:$AB$204,MATCH(A45,Recipes!$A$5:$A$204,0)),""))</f>
        <v>0</v>
      </c>
      <c r="M45" s="8">
        <f>IF(A45="","",IFERROR(INDEX(Recipes!$AN$5:$AN$204,MATCH(A45,Recipes!$A$5:$A$204,0)),""))</f>
        <v>0</v>
      </c>
      <c r="N45" s="8">
        <f>IF(A45="","",IF(H45="No","Too soon",IF(F45="","Never cooked",IF(F45&gt;=90,"Overdue","Available"))))</f>
        <v>0</v>
      </c>
      <c r="O45" s="25"/>
    </row>
    <row r="46" spans="1:15">
      <c r="A46" s="7"/>
      <c r="B46" s="8">
        <f>IF(A46="","",IFERROR(INDEX(Recipes!$B$5:$B$204,MATCH(A46,Recipes!$A$5:$A$204,0)),""))</f>
        <v>0</v>
      </c>
      <c r="C46" s="8">
        <f>IF(A46="","",IFERROR(INDEX(Recipes!$C$5:$C$204,MATCH(A46,Recipes!$A$5:$A$204,0)),""))</f>
        <v>0</v>
      </c>
      <c r="D46" s="8">
        <f>IF(A46="","",COUNTIFS('Meal Plan'!$G$5:$G$504,A46,'Meal Plan'!$S$5:$S$504,"Cooked")+COUNTIFS('Meal Plan'!$G$5:$G$504,A46,'Meal Plan'!$S$5:$S$504,"Eaten"))</f>
        <v>0</v>
      </c>
      <c r="E46" s="8">
        <f>IF(A46="","",IFERROR(INDEX(Recipes!$X$5:$X$204,MATCH(A46,Recipes!$A$5:$A$204,0)),""))</f>
        <v>0</v>
      </c>
      <c r="F46" s="8">
        <f>IF(OR(A46="",E46=""),"",TODAY()-E46)</f>
        <v>0</v>
      </c>
      <c r="G46" s="8">
        <f>IF(OR(A46="",D46=0),"",ROUND(365/D46,0))</f>
        <v>0</v>
      </c>
      <c r="H46" s="8">
        <f>IF(A46="","",IF(F46="","Yes",IF(F46&gt;=Rotation_Gap_Days,"Yes","No")))</f>
        <v>0</v>
      </c>
      <c r="I46" s="8">
        <f>IF(OR(A46="",E46=""),"",E46+Rotation_Gap_Days)</f>
        <v>0</v>
      </c>
      <c r="J46" s="8">
        <f>IF(OR(A46="",I46=""),"",I46-TODAY())</f>
        <v>0</v>
      </c>
      <c r="K46" s="8">
        <f>IF(OR(A46="",F46=""),"",COUNTIFS($F$5:$F$204,"&lt;"&amp;F46)+1)</f>
        <v>0</v>
      </c>
      <c r="L46" s="8">
        <f>IF(A46="","",IFERROR(INDEX(Recipes!$AB$5:$AB$204,MATCH(A46,Recipes!$A$5:$A$204,0)),""))</f>
        <v>0</v>
      </c>
      <c r="M46" s="8">
        <f>IF(A46="","",IFERROR(INDEX(Recipes!$AN$5:$AN$204,MATCH(A46,Recipes!$A$5:$A$204,0)),""))</f>
        <v>0</v>
      </c>
      <c r="N46" s="8">
        <f>IF(A46="","",IF(H46="No","Too soon",IF(F46="","Never cooked",IF(F46&gt;=90,"Overdue","Available"))))</f>
        <v>0</v>
      </c>
      <c r="O46" s="25"/>
    </row>
    <row r="47" spans="1:15">
      <c r="A47" s="7"/>
      <c r="B47" s="8">
        <f>IF(A47="","",IFERROR(INDEX(Recipes!$B$5:$B$204,MATCH(A47,Recipes!$A$5:$A$204,0)),""))</f>
        <v>0</v>
      </c>
      <c r="C47" s="8">
        <f>IF(A47="","",IFERROR(INDEX(Recipes!$C$5:$C$204,MATCH(A47,Recipes!$A$5:$A$204,0)),""))</f>
        <v>0</v>
      </c>
      <c r="D47" s="8">
        <f>IF(A47="","",COUNTIFS('Meal Plan'!$G$5:$G$504,A47,'Meal Plan'!$S$5:$S$504,"Cooked")+COUNTIFS('Meal Plan'!$G$5:$G$504,A47,'Meal Plan'!$S$5:$S$504,"Eaten"))</f>
        <v>0</v>
      </c>
      <c r="E47" s="8">
        <f>IF(A47="","",IFERROR(INDEX(Recipes!$X$5:$X$204,MATCH(A47,Recipes!$A$5:$A$204,0)),""))</f>
        <v>0</v>
      </c>
      <c r="F47" s="8">
        <f>IF(OR(A47="",E47=""),"",TODAY()-E47)</f>
        <v>0</v>
      </c>
      <c r="G47" s="8">
        <f>IF(OR(A47="",D47=0),"",ROUND(365/D47,0))</f>
        <v>0</v>
      </c>
      <c r="H47" s="8">
        <f>IF(A47="","",IF(F47="","Yes",IF(F47&gt;=Rotation_Gap_Days,"Yes","No")))</f>
        <v>0</v>
      </c>
      <c r="I47" s="8">
        <f>IF(OR(A47="",E47=""),"",E47+Rotation_Gap_Days)</f>
        <v>0</v>
      </c>
      <c r="J47" s="8">
        <f>IF(OR(A47="",I47=""),"",I47-TODAY())</f>
        <v>0</v>
      </c>
      <c r="K47" s="8">
        <f>IF(OR(A47="",F47=""),"",COUNTIFS($F$5:$F$204,"&lt;"&amp;F47)+1)</f>
        <v>0</v>
      </c>
      <c r="L47" s="8">
        <f>IF(A47="","",IFERROR(INDEX(Recipes!$AB$5:$AB$204,MATCH(A47,Recipes!$A$5:$A$204,0)),""))</f>
        <v>0</v>
      </c>
      <c r="M47" s="8">
        <f>IF(A47="","",IFERROR(INDEX(Recipes!$AN$5:$AN$204,MATCH(A47,Recipes!$A$5:$A$204,0)),""))</f>
        <v>0</v>
      </c>
      <c r="N47" s="8">
        <f>IF(A47="","",IF(H47="No","Too soon",IF(F47="","Never cooked",IF(F47&gt;=90,"Overdue","Available"))))</f>
        <v>0</v>
      </c>
      <c r="O47" s="25"/>
    </row>
    <row r="48" spans="1:15">
      <c r="A48" s="7"/>
      <c r="B48" s="8">
        <f>IF(A48="","",IFERROR(INDEX(Recipes!$B$5:$B$204,MATCH(A48,Recipes!$A$5:$A$204,0)),""))</f>
        <v>0</v>
      </c>
      <c r="C48" s="8">
        <f>IF(A48="","",IFERROR(INDEX(Recipes!$C$5:$C$204,MATCH(A48,Recipes!$A$5:$A$204,0)),""))</f>
        <v>0</v>
      </c>
      <c r="D48" s="8">
        <f>IF(A48="","",COUNTIFS('Meal Plan'!$G$5:$G$504,A48,'Meal Plan'!$S$5:$S$504,"Cooked")+COUNTIFS('Meal Plan'!$G$5:$G$504,A48,'Meal Plan'!$S$5:$S$504,"Eaten"))</f>
        <v>0</v>
      </c>
      <c r="E48" s="8">
        <f>IF(A48="","",IFERROR(INDEX(Recipes!$X$5:$X$204,MATCH(A48,Recipes!$A$5:$A$204,0)),""))</f>
        <v>0</v>
      </c>
      <c r="F48" s="8">
        <f>IF(OR(A48="",E48=""),"",TODAY()-E48)</f>
        <v>0</v>
      </c>
      <c r="G48" s="8">
        <f>IF(OR(A48="",D48=0),"",ROUND(365/D48,0))</f>
        <v>0</v>
      </c>
      <c r="H48" s="8">
        <f>IF(A48="","",IF(F48="","Yes",IF(F48&gt;=Rotation_Gap_Days,"Yes","No")))</f>
        <v>0</v>
      </c>
      <c r="I48" s="8">
        <f>IF(OR(A48="",E48=""),"",E48+Rotation_Gap_Days)</f>
        <v>0</v>
      </c>
      <c r="J48" s="8">
        <f>IF(OR(A48="",I48=""),"",I48-TODAY())</f>
        <v>0</v>
      </c>
      <c r="K48" s="8">
        <f>IF(OR(A48="",F48=""),"",COUNTIFS($F$5:$F$204,"&lt;"&amp;F48)+1)</f>
        <v>0</v>
      </c>
      <c r="L48" s="8">
        <f>IF(A48="","",IFERROR(INDEX(Recipes!$AB$5:$AB$204,MATCH(A48,Recipes!$A$5:$A$204,0)),""))</f>
        <v>0</v>
      </c>
      <c r="M48" s="8">
        <f>IF(A48="","",IFERROR(INDEX(Recipes!$AN$5:$AN$204,MATCH(A48,Recipes!$A$5:$A$204,0)),""))</f>
        <v>0</v>
      </c>
      <c r="N48" s="8">
        <f>IF(A48="","",IF(H48="No","Too soon",IF(F48="","Never cooked",IF(F48&gt;=90,"Overdue","Available"))))</f>
        <v>0</v>
      </c>
      <c r="O48" s="25"/>
    </row>
    <row r="49" spans="1:15">
      <c r="A49" s="7"/>
      <c r="B49" s="8">
        <f>IF(A49="","",IFERROR(INDEX(Recipes!$B$5:$B$204,MATCH(A49,Recipes!$A$5:$A$204,0)),""))</f>
        <v>0</v>
      </c>
      <c r="C49" s="8">
        <f>IF(A49="","",IFERROR(INDEX(Recipes!$C$5:$C$204,MATCH(A49,Recipes!$A$5:$A$204,0)),""))</f>
        <v>0</v>
      </c>
      <c r="D49" s="8">
        <f>IF(A49="","",COUNTIFS('Meal Plan'!$G$5:$G$504,A49,'Meal Plan'!$S$5:$S$504,"Cooked")+COUNTIFS('Meal Plan'!$G$5:$G$504,A49,'Meal Plan'!$S$5:$S$504,"Eaten"))</f>
        <v>0</v>
      </c>
      <c r="E49" s="8">
        <f>IF(A49="","",IFERROR(INDEX(Recipes!$X$5:$X$204,MATCH(A49,Recipes!$A$5:$A$204,0)),""))</f>
        <v>0</v>
      </c>
      <c r="F49" s="8">
        <f>IF(OR(A49="",E49=""),"",TODAY()-E49)</f>
        <v>0</v>
      </c>
      <c r="G49" s="8">
        <f>IF(OR(A49="",D49=0),"",ROUND(365/D49,0))</f>
        <v>0</v>
      </c>
      <c r="H49" s="8">
        <f>IF(A49="","",IF(F49="","Yes",IF(F49&gt;=Rotation_Gap_Days,"Yes","No")))</f>
        <v>0</v>
      </c>
      <c r="I49" s="8">
        <f>IF(OR(A49="",E49=""),"",E49+Rotation_Gap_Days)</f>
        <v>0</v>
      </c>
      <c r="J49" s="8">
        <f>IF(OR(A49="",I49=""),"",I49-TODAY())</f>
        <v>0</v>
      </c>
      <c r="K49" s="8">
        <f>IF(OR(A49="",F49=""),"",COUNTIFS($F$5:$F$204,"&lt;"&amp;F49)+1)</f>
        <v>0</v>
      </c>
      <c r="L49" s="8">
        <f>IF(A49="","",IFERROR(INDEX(Recipes!$AB$5:$AB$204,MATCH(A49,Recipes!$A$5:$A$204,0)),""))</f>
        <v>0</v>
      </c>
      <c r="M49" s="8">
        <f>IF(A49="","",IFERROR(INDEX(Recipes!$AN$5:$AN$204,MATCH(A49,Recipes!$A$5:$A$204,0)),""))</f>
        <v>0</v>
      </c>
      <c r="N49" s="8">
        <f>IF(A49="","",IF(H49="No","Too soon",IF(F49="","Never cooked",IF(F49&gt;=90,"Overdue","Available"))))</f>
        <v>0</v>
      </c>
      <c r="O49" s="25"/>
    </row>
    <row r="50" spans="1:15">
      <c r="A50" s="7"/>
      <c r="B50" s="8">
        <f>IF(A50="","",IFERROR(INDEX(Recipes!$B$5:$B$204,MATCH(A50,Recipes!$A$5:$A$204,0)),""))</f>
        <v>0</v>
      </c>
      <c r="C50" s="8">
        <f>IF(A50="","",IFERROR(INDEX(Recipes!$C$5:$C$204,MATCH(A50,Recipes!$A$5:$A$204,0)),""))</f>
        <v>0</v>
      </c>
      <c r="D50" s="8">
        <f>IF(A50="","",COUNTIFS('Meal Plan'!$G$5:$G$504,A50,'Meal Plan'!$S$5:$S$504,"Cooked")+COUNTIFS('Meal Plan'!$G$5:$G$504,A50,'Meal Plan'!$S$5:$S$504,"Eaten"))</f>
        <v>0</v>
      </c>
      <c r="E50" s="8">
        <f>IF(A50="","",IFERROR(INDEX(Recipes!$X$5:$X$204,MATCH(A50,Recipes!$A$5:$A$204,0)),""))</f>
        <v>0</v>
      </c>
      <c r="F50" s="8">
        <f>IF(OR(A50="",E50=""),"",TODAY()-E50)</f>
        <v>0</v>
      </c>
      <c r="G50" s="8">
        <f>IF(OR(A50="",D50=0),"",ROUND(365/D50,0))</f>
        <v>0</v>
      </c>
      <c r="H50" s="8">
        <f>IF(A50="","",IF(F50="","Yes",IF(F50&gt;=Rotation_Gap_Days,"Yes","No")))</f>
        <v>0</v>
      </c>
      <c r="I50" s="8">
        <f>IF(OR(A50="",E50=""),"",E50+Rotation_Gap_Days)</f>
        <v>0</v>
      </c>
      <c r="J50" s="8">
        <f>IF(OR(A50="",I50=""),"",I50-TODAY())</f>
        <v>0</v>
      </c>
      <c r="K50" s="8">
        <f>IF(OR(A50="",F50=""),"",COUNTIFS($F$5:$F$204,"&lt;"&amp;F50)+1)</f>
        <v>0</v>
      </c>
      <c r="L50" s="8">
        <f>IF(A50="","",IFERROR(INDEX(Recipes!$AB$5:$AB$204,MATCH(A50,Recipes!$A$5:$A$204,0)),""))</f>
        <v>0</v>
      </c>
      <c r="M50" s="8">
        <f>IF(A50="","",IFERROR(INDEX(Recipes!$AN$5:$AN$204,MATCH(A50,Recipes!$A$5:$A$204,0)),""))</f>
        <v>0</v>
      </c>
      <c r="N50" s="8">
        <f>IF(A50="","",IF(H50="No","Too soon",IF(F50="","Never cooked",IF(F50&gt;=90,"Overdue","Available"))))</f>
        <v>0</v>
      </c>
      <c r="O50" s="25"/>
    </row>
    <row r="51" spans="1:15">
      <c r="A51" s="7"/>
      <c r="B51" s="8">
        <f>IF(A51="","",IFERROR(INDEX(Recipes!$B$5:$B$204,MATCH(A51,Recipes!$A$5:$A$204,0)),""))</f>
        <v>0</v>
      </c>
      <c r="C51" s="8">
        <f>IF(A51="","",IFERROR(INDEX(Recipes!$C$5:$C$204,MATCH(A51,Recipes!$A$5:$A$204,0)),""))</f>
        <v>0</v>
      </c>
      <c r="D51" s="8">
        <f>IF(A51="","",COUNTIFS('Meal Plan'!$G$5:$G$504,A51,'Meal Plan'!$S$5:$S$504,"Cooked")+COUNTIFS('Meal Plan'!$G$5:$G$504,A51,'Meal Plan'!$S$5:$S$504,"Eaten"))</f>
        <v>0</v>
      </c>
      <c r="E51" s="8">
        <f>IF(A51="","",IFERROR(INDEX(Recipes!$X$5:$X$204,MATCH(A51,Recipes!$A$5:$A$204,0)),""))</f>
        <v>0</v>
      </c>
      <c r="F51" s="8">
        <f>IF(OR(A51="",E51=""),"",TODAY()-E51)</f>
        <v>0</v>
      </c>
      <c r="G51" s="8">
        <f>IF(OR(A51="",D51=0),"",ROUND(365/D51,0))</f>
        <v>0</v>
      </c>
      <c r="H51" s="8">
        <f>IF(A51="","",IF(F51="","Yes",IF(F51&gt;=Rotation_Gap_Days,"Yes","No")))</f>
        <v>0</v>
      </c>
      <c r="I51" s="8">
        <f>IF(OR(A51="",E51=""),"",E51+Rotation_Gap_Days)</f>
        <v>0</v>
      </c>
      <c r="J51" s="8">
        <f>IF(OR(A51="",I51=""),"",I51-TODAY())</f>
        <v>0</v>
      </c>
      <c r="K51" s="8">
        <f>IF(OR(A51="",F51=""),"",COUNTIFS($F$5:$F$204,"&lt;"&amp;F51)+1)</f>
        <v>0</v>
      </c>
      <c r="L51" s="8">
        <f>IF(A51="","",IFERROR(INDEX(Recipes!$AB$5:$AB$204,MATCH(A51,Recipes!$A$5:$A$204,0)),""))</f>
        <v>0</v>
      </c>
      <c r="M51" s="8">
        <f>IF(A51="","",IFERROR(INDEX(Recipes!$AN$5:$AN$204,MATCH(A51,Recipes!$A$5:$A$204,0)),""))</f>
        <v>0</v>
      </c>
      <c r="N51" s="8">
        <f>IF(A51="","",IF(H51="No","Too soon",IF(F51="","Never cooked",IF(F51&gt;=90,"Overdue","Available"))))</f>
        <v>0</v>
      </c>
      <c r="O51" s="25"/>
    </row>
    <row r="52" spans="1:15">
      <c r="A52" s="7"/>
      <c r="B52" s="8">
        <f>IF(A52="","",IFERROR(INDEX(Recipes!$B$5:$B$204,MATCH(A52,Recipes!$A$5:$A$204,0)),""))</f>
        <v>0</v>
      </c>
      <c r="C52" s="8">
        <f>IF(A52="","",IFERROR(INDEX(Recipes!$C$5:$C$204,MATCH(A52,Recipes!$A$5:$A$204,0)),""))</f>
        <v>0</v>
      </c>
      <c r="D52" s="8">
        <f>IF(A52="","",COUNTIFS('Meal Plan'!$G$5:$G$504,A52,'Meal Plan'!$S$5:$S$504,"Cooked")+COUNTIFS('Meal Plan'!$G$5:$G$504,A52,'Meal Plan'!$S$5:$S$504,"Eaten"))</f>
        <v>0</v>
      </c>
      <c r="E52" s="8">
        <f>IF(A52="","",IFERROR(INDEX(Recipes!$X$5:$X$204,MATCH(A52,Recipes!$A$5:$A$204,0)),""))</f>
        <v>0</v>
      </c>
      <c r="F52" s="8">
        <f>IF(OR(A52="",E52=""),"",TODAY()-E52)</f>
        <v>0</v>
      </c>
      <c r="G52" s="8">
        <f>IF(OR(A52="",D52=0),"",ROUND(365/D52,0))</f>
        <v>0</v>
      </c>
      <c r="H52" s="8">
        <f>IF(A52="","",IF(F52="","Yes",IF(F52&gt;=Rotation_Gap_Days,"Yes","No")))</f>
        <v>0</v>
      </c>
      <c r="I52" s="8">
        <f>IF(OR(A52="",E52=""),"",E52+Rotation_Gap_Days)</f>
        <v>0</v>
      </c>
      <c r="J52" s="8">
        <f>IF(OR(A52="",I52=""),"",I52-TODAY())</f>
        <v>0</v>
      </c>
      <c r="K52" s="8">
        <f>IF(OR(A52="",F52=""),"",COUNTIFS($F$5:$F$204,"&lt;"&amp;F52)+1)</f>
        <v>0</v>
      </c>
      <c r="L52" s="8">
        <f>IF(A52="","",IFERROR(INDEX(Recipes!$AB$5:$AB$204,MATCH(A52,Recipes!$A$5:$A$204,0)),""))</f>
        <v>0</v>
      </c>
      <c r="M52" s="8">
        <f>IF(A52="","",IFERROR(INDEX(Recipes!$AN$5:$AN$204,MATCH(A52,Recipes!$A$5:$A$204,0)),""))</f>
        <v>0</v>
      </c>
      <c r="N52" s="8">
        <f>IF(A52="","",IF(H52="No","Too soon",IF(F52="","Never cooked",IF(F52&gt;=90,"Overdue","Available"))))</f>
        <v>0</v>
      </c>
      <c r="O52" s="25"/>
    </row>
    <row r="53" spans="1:15">
      <c r="A53" s="7"/>
      <c r="B53" s="8">
        <f>IF(A53="","",IFERROR(INDEX(Recipes!$B$5:$B$204,MATCH(A53,Recipes!$A$5:$A$204,0)),""))</f>
        <v>0</v>
      </c>
      <c r="C53" s="8">
        <f>IF(A53="","",IFERROR(INDEX(Recipes!$C$5:$C$204,MATCH(A53,Recipes!$A$5:$A$204,0)),""))</f>
        <v>0</v>
      </c>
      <c r="D53" s="8">
        <f>IF(A53="","",COUNTIFS('Meal Plan'!$G$5:$G$504,A53,'Meal Plan'!$S$5:$S$504,"Cooked")+COUNTIFS('Meal Plan'!$G$5:$G$504,A53,'Meal Plan'!$S$5:$S$504,"Eaten"))</f>
        <v>0</v>
      </c>
      <c r="E53" s="8">
        <f>IF(A53="","",IFERROR(INDEX(Recipes!$X$5:$X$204,MATCH(A53,Recipes!$A$5:$A$204,0)),""))</f>
        <v>0</v>
      </c>
      <c r="F53" s="8">
        <f>IF(OR(A53="",E53=""),"",TODAY()-E53)</f>
        <v>0</v>
      </c>
      <c r="G53" s="8">
        <f>IF(OR(A53="",D53=0),"",ROUND(365/D53,0))</f>
        <v>0</v>
      </c>
      <c r="H53" s="8">
        <f>IF(A53="","",IF(F53="","Yes",IF(F53&gt;=Rotation_Gap_Days,"Yes","No")))</f>
        <v>0</v>
      </c>
      <c r="I53" s="8">
        <f>IF(OR(A53="",E53=""),"",E53+Rotation_Gap_Days)</f>
        <v>0</v>
      </c>
      <c r="J53" s="8">
        <f>IF(OR(A53="",I53=""),"",I53-TODAY())</f>
        <v>0</v>
      </c>
      <c r="K53" s="8">
        <f>IF(OR(A53="",F53=""),"",COUNTIFS($F$5:$F$204,"&lt;"&amp;F53)+1)</f>
        <v>0</v>
      </c>
      <c r="L53" s="8">
        <f>IF(A53="","",IFERROR(INDEX(Recipes!$AB$5:$AB$204,MATCH(A53,Recipes!$A$5:$A$204,0)),""))</f>
        <v>0</v>
      </c>
      <c r="M53" s="8">
        <f>IF(A53="","",IFERROR(INDEX(Recipes!$AN$5:$AN$204,MATCH(A53,Recipes!$A$5:$A$204,0)),""))</f>
        <v>0</v>
      </c>
      <c r="N53" s="8">
        <f>IF(A53="","",IF(H53="No","Too soon",IF(F53="","Never cooked",IF(F53&gt;=90,"Overdue","Available"))))</f>
        <v>0</v>
      </c>
      <c r="O53" s="25"/>
    </row>
    <row r="54" spans="1:15">
      <c r="A54" s="7"/>
      <c r="B54" s="8">
        <f>IF(A54="","",IFERROR(INDEX(Recipes!$B$5:$B$204,MATCH(A54,Recipes!$A$5:$A$204,0)),""))</f>
        <v>0</v>
      </c>
      <c r="C54" s="8">
        <f>IF(A54="","",IFERROR(INDEX(Recipes!$C$5:$C$204,MATCH(A54,Recipes!$A$5:$A$204,0)),""))</f>
        <v>0</v>
      </c>
      <c r="D54" s="8">
        <f>IF(A54="","",COUNTIFS('Meal Plan'!$G$5:$G$504,A54,'Meal Plan'!$S$5:$S$504,"Cooked")+COUNTIFS('Meal Plan'!$G$5:$G$504,A54,'Meal Plan'!$S$5:$S$504,"Eaten"))</f>
        <v>0</v>
      </c>
      <c r="E54" s="8">
        <f>IF(A54="","",IFERROR(INDEX(Recipes!$X$5:$X$204,MATCH(A54,Recipes!$A$5:$A$204,0)),""))</f>
        <v>0</v>
      </c>
      <c r="F54" s="8">
        <f>IF(OR(A54="",E54=""),"",TODAY()-E54)</f>
        <v>0</v>
      </c>
      <c r="G54" s="8">
        <f>IF(OR(A54="",D54=0),"",ROUND(365/D54,0))</f>
        <v>0</v>
      </c>
      <c r="H54" s="8">
        <f>IF(A54="","",IF(F54="","Yes",IF(F54&gt;=Rotation_Gap_Days,"Yes","No")))</f>
        <v>0</v>
      </c>
      <c r="I54" s="8">
        <f>IF(OR(A54="",E54=""),"",E54+Rotation_Gap_Days)</f>
        <v>0</v>
      </c>
      <c r="J54" s="8">
        <f>IF(OR(A54="",I54=""),"",I54-TODAY())</f>
        <v>0</v>
      </c>
      <c r="K54" s="8">
        <f>IF(OR(A54="",F54=""),"",COUNTIFS($F$5:$F$204,"&lt;"&amp;F54)+1)</f>
        <v>0</v>
      </c>
      <c r="L54" s="8">
        <f>IF(A54="","",IFERROR(INDEX(Recipes!$AB$5:$AB$204,MATCH(A54,Recipes!$A$5:$A$204,0)),""))</f>
        <v>0</v>
      </c>
      <c r="M54" s="8">
        <f>IF(A54="","",IFERROR(INDEX(Recipes!$AN$5:$AN$204,MATCH(A54,Recipes!$A$5:$A$204,0)),""))</f>
        <v>0</v>
      </c>
      <c r="N54" s="8">
        <f>IF(A54="","",IF(H54="No","Too soon",IF(F54="","Never cooked",IF(F54&gt;=90,"Overdue","Available"))))</f>
        <v>0</v>
      </c>
      <c r="O54" s="25"/>
    </row>
    <row r="55" spans="1:15">
      <c r="A55" s="7"/>
      <c r="B55" s="8">
        <f>IF(A55="","",IFERROR(INDEX(Recipes!$B$5:$B$204,MATCH(A55,Recipes!$A$5:$A$204,0)),""))</f>
        <v>0</v>
      </c>
      <c r="C55" s="8">
        <f>IF(A55="","",IFERROR(INDEX(Recipes!$C$5:$C$204,MATCH(A55,Recipes!$A$5:$A$204,0)),""))</f>
        <v>0</v>
      </c>
      <c r="D55" s="8">
        <f>IF(A55="","",COUNTIFS('Meal Plan'!$G$5:$G$504,A55,'Meal Plan'!$S$5:$S$504,"Cooked")+COUNTIFS('Meal Plan'!$G$5:$G$504,A55,'Meal Plan'!$S$5:$S$504,"Eaten"))</f>
        <v>0</v>
      </c>
      <c r="E55" s="8">
        <f>IF(A55="","",IFERROR(INDEX(Recipes!$X$5:$X$204,MATCH(A55,Recipes!$A$5:$A$204,0)),""))</f>
        <v>0</v>
      </c>
      <c r="F55" s="8">
        <f>IF(OR(A55="",E55=""),"",TODAY()-E55)</f>
        <v>0</v>
      </c>
      <c r="G55" s="8">
        <f>IF(OR(A55="",D55=0),"",ROUND(365/D55,0))</f>
        <v>0</v>
      </c>
      <c r="H55" s="8">
        <f>IF(A55="","",IF(F55="","Yes",IF(F55&gt;=Rotation_Gap_Days,"Yes","No")))</f>
        <v>0</v>
      </c>
      <c r="I55" s="8">
        <f>IF(OR(A55="",E55=""),"",E55+Rotation_Gap_Days)</f>
        <v>0</v>
      </c>
      <c r="J55" s="8">
        <f>IF(OR(A55="",I55=""),"",I55-TODAY())</f>
        <v>0</v>
      </c>
      <c r="K55" s="8">
        <f>IF(OR(A55="",F55=""),"",COUNTIFS($F$5:$F$204,"&lt;"&amp;F55)+1)</f>
        <v>0</v>
      </c>
      <c r="L55" s="8">
        <f>IF(A55="","",IFERROR(INDEX(Recipes!$AB$5:$AB$204,MATCH(A55,Recipes!$A$5:$A$204,0)),""))</f>
        <v>0</v>
      </c>
      <c r="M55" s="8">
        <f>IF(A55="","",IFERROR(INDEX(Recipes!$AN$5:$AN$204,MATCH(A55,Recipes!$A$5:$A$204,0)),""))</f>
        <v>0</v>
      </c>
      <c r="N55" s="8">
        <f>IF(A55="","",IF(H55="No","Too soon",IF(F55="","Never cooked",IF(F55&gt;=90,"Overdue","Available"))))</f>
        <v>0</v>
      </c>
      <c r="O55" s="25"/>
    </row>
    <row r="56" spans="1:15">
      <c r="A56" s="7"/>
      <c r="B56" s="8">
        <f>IF(A56="","",IFERROR(INDEX(Recipes!$B$5:$B$204,MATCH(A56,Recipes!$A$5:$A$204,0)),""))</f>
        <v>0</v>
      </c>
      <c r="C56" s="8">
        <f>IF(A56="","",IFERROR(INDEX(Recipes!$C$5:$C$204,MATCH(A56,Recipes!$A$5:$A$204,0)),""))</f>
        <v>0</v>
      </c>
      <c r="D56" s="8">
        <f>IF(A56="","",COUNTIFS('Meal Plan'!$G$5:$G$504,A56,'Meal Plan'!$S$5:$S$504,"Cooked")+COUNTIFS('Meal Plan'!$G$5:$G$504,A56,'Meal Plan'!$S$5:$S$504,"Eaten"))</f>
        <v>0</v>
      </c>
      <c r="E56" s="8">
        <f>IF(A56="","",IFERROR(INDEX(Recipes!$X$5:$X$204,MATCH(A56,Recipes!$A$5:$A$204,0)),""))</f>
        <v>0</v>
      </c>
      <c r="F56" s="8">
        <f>IF(OR(A56="",E56=""),"",TODAY()-E56)</f>
        <v>0</v>
      </c>
      <c r="G56" s="8">
        <f>IF(OR(A56="",D56=0),"",ROUND(365/D56,0))</f>
        <v>0</v>
      </c>
      <c r="H56" s="8">
        <f>IF(A56="","",IF(F56="","Yes",IF(F56&gt;=Rotation_Gap_Days,"Yes","No")))</f>
        <v>0</v>
      </c>
      <c r="I56" s="8">
        <f>IF(OR(A56="",E56=""),"",E56+Rotation_Gap_Days)</f>
        <v>0</v>
      </c>
      <c r="J56" s="8">
        <f>IF(OR(A56="",I56=""),"",I56-TODAY())</f>
        <v>0</v>
      </c>
      <c r="K56" s="8">
        <f>IF(OR(A56="",F56=""),"",COUNTIFS($F$5:$F$204,"&lt;"&amp;F56)+1)</f>
        <v>0</v>
      </c>
      <c r="L56" s="8">
        <f>IF(A56="","",IFERROR(INDEX(Recipes!$AB$5:$AB$204,MATCH(A56,Recipes!$A$5:$A$204,0)),""))</f>
        <v>0</v>
      </c>
      <c r="M56" s="8">
        <f>IF(A56="","",IFERROR(INDEX(Recipes!$AN$5:$AN$204,MATCH(A56,Recipes!$A$5:$A$204,0)),""))</f>
        <v>0</v>
      </c>
      <c r="N56" s="8">
        <f>IF(A56="","",IF(H56="No","Too soon",IF(F56="","Never cooked",IF(F56&gt;=90,"Overdue","Available"))))</f>
        <v>0</v>
      </c>
      <c r="O56" s="25"/>
    </row>
    <row r="57" spans="1:15">
      <c r="A57" s="7"/>
      <c r="B57" s="8">
        <f>IF(A57="","",IFERROR(INDEX(Recipes!$B$5:$B$204,MATCH(A57,Recipes!$A$5:$A$204,0)),""))</f>
        <v>0</v>
      </c>
      <c r="C57" s="8">
        <f>IF(A57="","",IFERROR(INDEX(Recipes!$C$5:$C$204,MATCH(A57,Recipes!$A$5:$A$204,0)),""))</f>
        <v>0</v>
      </c>
      <c r="D57" s="8">
        <f>IF(A57="","",COUNTIFS('Meal Plan'!$G$5:$G$504,A57,'Meal Plan'!$S$5:$S$504,"Cooked")+COUNTIFS('Meal Plan'!$G$5:$G$504,A57,'Meal Plan'!$S$5:$S$504,"Eaten"))</f>
        <v>0</v>
      </c>
      <c r="E57" s="8">
        <f>IF(A57="","",IFERROR(INDEX(Recipes!$X$5:$X$204,MATCH(A57,Recipes!$A$5:$A$204,0)),""))</f>
        <v>0</v>
      </c>
      <c r="F57" s="8">
        <f>IF(OR(A57="",E57=""),"",TODAY()-E57)</f>
        <v>0</v>
      </c>
      <c r="G57" s="8">
        <f>IF(OR(A57="",D57=0),"",ROUND(365/D57,0))</f>
        <v>0</v>
      </c>
      <c r="H57" s="8">
        <f>IF(A57="","",IF(F57="","Yes",IF(F57&gt;=Rotation_Gap_Days,"Yes","No")))</f>
        <v>0</v>
      </c>
      <c r="I57" s="8">
        <f>IF(OR(A57="",E57=""),"",E57+Rotation_Gap_Days)</f>
        <v>0</v>
      </c>
      <c r="J57" s="8">
        <f>IF(OR(A57="",I57=""),"",I57-TODAY())</f>
        <v>0</v>
      </c>
      <c r="K57" s="8">
        <f>IF(OR(A57="",F57=""),"",COUNTIFS($F$5:$F$204,"&lt;"&amp;F57)+1)</f>
        <v>0</v>
      </c>
      <c r="L57" s="8">
        <f>IF(A57="","",IFERROR(INDEX(Recipes!$AB$5:$AB$204,MATCH(A57,Recipes!$A$5:$A$204,0)),""))</f>
        <v>0</v>
      </c>
      <c r="M57" s="8">
        <f>IF(A57="","",IFERROR(INDEX(Recipes!$AN$5:$AN$204,MATCH(A57,Recipes!$A$5:$A$204,0)),""))</f>
        <v>0</v>
      </c>
      <c r="N57" s="8">
        <f>IF(A57="","",IF(H57="No","Too soon",IF(F57="","Never cooked",IF(F57&gt;=90,"Overdue","Available"))))</f>
        <v>0</v>
      </c>
      <c r="O57" s="25"/>
    </row>
    <row r="58" spans="1:15">
      <c r="A58" s="7"/>
      <c r="B58" s="8">
        <f>IF(A58="","",IFERROR(INDEX(Recipes!$B$5:$B$204,MATCH(A58,Recipes!$A$5:$A$204,0)),""))</f>
        <v>0</v>
      </c>
      <c r="C58" s="8">
        <f>IF(A58="","",IFERROR(INDEX(Recipes!$C$5:$C$204,MATCH(A58,Recipes!$A$5:$A$204,0)),""))</f>
        <v>0</v>
      </c>
      <c r="D58" s="8">
        <f>IF(A58="","",COUNTIFS('Meal Plan'!$G$5:$G$504,A58,'Meal Plan'!$S$5:$S$504,"Cooked")+COUNTIFS('Meal Plan'!$G$5:$G$504,A58,'Meal Plan'!$S$5:$S$504,"Eaten"))</f>
        <v>0</v>
      </c>
      <c r="E58" s="8">
        <f>IF(A58="","",IFERROR(INDEX(Recipes!$X$5:$X$204,MATCH(A58,Recipes!$A$5:$A$204,0)),""))</f>
        <v>0</v>
      </c>
      <c r="F58" s="8">
        <f>IF(OR(A58="",E58=""),"",TODAY()-E58)</f>
        <v>0</v>
      </c>
      <c r="G58" s="8">
        <f>IF(OR(A58="",D58=0),"",ROUND(365/D58,0))</f>
        <v>0</v>
      </c>
      <c r="H58" s="8">
        <f>IF(A58="","",IF(F58="","Yes",IF(F58&gt;=Rotation_Gap_Days,"Yes","No")))</f>
        <v>0</v>
      </c>
      <c r="I58" s="8">
        <f>IF(OR(A58="",E58=""),"",E58+Rotation_Gap_Days)</f>
        <v>0</v>
      </c>
      <c r="J58" s="8">
        <f>IF(OR(A58="",I58=""),"",I58-TODAY())</f>
        <v>0</v>
      </c>
      <c r="K58" s="8">
        <f>IF(OR(A58="",F58=""),"",COUNTIFS($F$5:$F$204,"&lt;"&amp;F58)+1)</f>
        <v>0</v>
      </c>
      <c r="L58" s="8">
        <f>IF(A58="","",IFERROR(INDEX(Recipes!$AB$5:$AB$204,MATCH(A58,Recipes!$A$5:$A$204,0)),""))</f>
        <v>0</v>
      </c>
      <c r="M58" s="8">
        <f>IF(A58="","",IFERROR(INDEX(Recipes!$AN$5:$AN$204,MATCH(A58,Recipes!$A$5:$A$204,0)),""))</f>
        <v>0</v>
      </c>
      <c r="N58" s="8">
        <f>IF(A58="","",IF(H58="No","Too soon",IF(F58="","Never cooked",IF(F58&gt;=90,"Overdue","Available"))))</f>
        <v>0</v>
      </c>
      <c r="O58" s="25"/>
    </row>
    <row r="59" spans="1:15">
      <c r="A59" s="7"/>
      <c r="B59" s="8">
        <f>IF(A59="","",IFERROR(INDEX(Recipes!$B$5:$B$204,MATCH(A59,Recipes!$A$5:$A$204,0)),""))</f>
        <v>0</v>
      </c>
      <c r="C59" s="8">
        <f>IF(A59="","",IFERROR(INDEX(Recipes!$C$5:$C$204,MATCH(A59,Recipes!$A$5:$A$204,0)),""))</f>
        <v>0</v>
      </c>
      <c r="D59" s="8">
        <f>IF(A59="","",COUNTIFS('Meal Plan'!$G$5:$G$504,A59,'Meal Plan'!$S$5:$S$504,"Cooked")+COUNTIFS('Meal Plan'!$G$5:$G$504,A59,'Meal Plan'!$S$5:$S$504,"Eaten"))</f>
        <v>0</v>
      </c>
      <c r="E59" s="8">
        <f>IF(A59="","",IFERROR(INDEX(Recipes!$X$5:$X$204,MATCH(A59,Recipes!$A$5:$A$204,0)),""))</f>
        <v>0</v>
      </c>
      <c r="F59" s="8">
        <f>IF(OR(A59="",E59=""),"",TODAY()-E59)</f>
        <v>0</v>
      </c>
      <c r="G59" s="8">
        <f>IF(OR(A59="",D59=0),"",ROUND(365/D59,0))</f>
        <v>0</v>
      </c>
      <c r="H59" s="8">
        <f>IF(A59="","",IF(F59="","Yes",IF(F59&gt;=Rotation_Gap_Days,"Yes","No")))</f>
        <v>0</v>
      </c>
      <c r="I59" s="8">
        <f>IF(OR(A59="",E59=""),"",E59+Rotation_Gap_Days)</f>
        <v>0</v>
      </c>
      <c r="J59" s="8">
        <f>IF(OR(A59="",I59=""),"",I59-TODAY())</f>
        <v>0</v>
      </c>
      <c r="K59" s="8">
        <f>IF(OR(A59="",F59=""),"",COUNTIFS($F$5:$F$204,"&lt;"&amp;F59)+1)</f>
        <v>0</v>
      </c>
      <c r="L59" s="8">
        <f>IF(A59="","",IFERROR(INDEX(Recipes!$AB$5:$AB$204,MATCH(A59,Recipes!$A$5:$A$204,0)),""))</f>
        <v>0</v>
      </c>
      <c r="M59" s="8">
        <f>IF(A59="","",IFERROR(INDEX(Recipes!$AN$5:$AN$204,MATCH(A59,Recipes!$A$5:$A$204,0)),""))</f>
        <v>0</v>
      </c>
      <c r="N59" s="8">
        <f>IF(A59="","",IF(H59="No","Too soon",IF(F59="","Never cooked",IF(F59&gt;=90,"Overdue","Available"))))</f>
        <v>0</v>
      </c>
      <c r="O59" s="25"/>
    </row>
    <row r="60" spans="1:15">
      <c r="A60" s="7"/>
      <c r="B60" s="8">
        <f>IF(A60="","",IFERROR(INDEX(Recipes!$B$5:$B$204,MATCH(A60,Recipes!$A$5:$A$204,0)),""))</f>
        <v>0</v>
      </c>
      <c r="C60" s="8">
        <f>IF(A60="","",IFERROR(INDEX(Recipes!$C$5:$C$204,MATCH(A60,Recipes!$A$5:$A$204,0)),""))</f>
        <v>0</v>
      </c>
      <c r="D60" s="8">
        <f>IF(A60="","",COUNTIFS('Meal Plan'!$G$5:$G$504,A60,'Meal Plan'!$S$5:$S$504,"Cooked")+COUNTIFS('Meal Plan'!$G$5:$G$504,A60,'Meal Plan'!$S$5:$S$504,"Eaten"))</f>
        <v>0</v>
      </c>
      <c r="E60" s="8">
        <f>IF(A60="","",IFERROR(INDEX(Recipes!$X$5:$X$204,MATCH(A60,Recipes!$A$5:$A$204,0)),""))</f>
        <v>0</v>
      </c>
      <c r="F60" s="8">
        <f>IF(OR(A60="",E60=""),"",TODAY()-E60)</f>
        <v>0</v>
      </c>
      <c r="G60" s="8">
        <f>IF(OR(A60="",D60=0),"",ROUND(365/D60,0))</f>
        <v>0</v>
      </c>
      <c r="H60" s="8">
        <f>IF(A60="","",IF(F60="","Yes",IF(F60&gt;=Rotation_Gap_Days,"Yes","No")))</f>
        <v>0</v>
      </c>
      <c r="I60" s="8">
        <f>IF(OR(A60="",E60=""),"",E60+Rotation_Gap_Days)</f>
        <v>0</v>
      </c>
      <c r="J60" s="8">
        <f>IF(OR(A60="",I60=""),"",I60-TODAY())</f>
        <v>0</v>
      </c>
      <c r="K60" s="8">
        <f>IF(OR(A60="",F60=""),"",COUNTIFS($F$5:$F$204,"&lt;"&amp;F60)+1)</f>
        <v>0</v>
      </c>
      <c r="L60" s="8">
        <f>IF(A60="","",IFERROR(INDEX(Recipes!$AB$5:$AB$204,MATCH(A60,Recipes!$A$5:$A$204,0)),""))</f>
        <v>0</v>
      </c>
      <c r="M60" s="8">
        <f>IF(A60="","",IFERROR(INDEX(Recipes!$AN$5:$AN$204,MATCH(A60,Recipes!$A$5:$A$204,0)),""))</f>
        <v>0</v>
      </c>
      <c r="N60" s="8">
        <f>IF(A60="","",IF(H60="No","Too soon",IF(F60="","Never cooked",IF(F60&gt;=90,"Overdue","Available"))))</f>
        <v>0</v>
      </c>
      <c r="O60" s="25"/>
    </row>
    <row r="61" spans="1:15">
      <c r="A61" s="7"/>
      <c r="B61" s="8">
        <f>IF(A61="","",IFERROR(INDEX(Recipes!$B$5:$B$204,MATCH(A61,Recipes!$A$5:$A$204,0)),""))</f>
        <v>0</v>
      </c>
      <c r="C61" s="8">
        <f>IF(A61="","",IFERROR(INDEX(Recipes!$C$5:$C$204,MATCH(A61,Recipes!$A$5:$A$204,0)),""))</f>
        <v>0</v>
      </c>
      <c r="D61" s="8">
        <f>IF(A61="","",COUNTIFS('Meal Plan'!$G$5:$G$504,A61,'Meal Plan'!$S$5:$S$504,"Cooked")+COUNTIFS('Meal Plan'!$G$5:$G$504,A61,'Meal Plan'!$S$5:$S$504,"Eaten"))</f>
        <v>0</v>
      </c>
      <c r="E61" s="8">
        <f>IF(A61="","",IFERROR(INDEX(Recipes!$X$5:$X$204,MATCH(A61,Recipes!$A$5:$A$204,0)),""))</f>
        <v>0</v>
      </c>
      <c r="F61" s="8">
        <f>IF(OR(A61="",E61=""),"",TODAY()-E61)</f>
        <v>0</v>
      </c>
      <c r="G61" s="8">
        <f>IF(OR(A61="",D61=0),"",ROUND(365/D61,0))</f>
        <v>0</v>
      </c>
      <c r="H61" s="8">
        <f>IF(A61="","",IF(F61="","Yes",IF(F61&gt;=Rotation_Gap_Days,"Yes","No")))</f>
        <v>0</v>
      </c>
      <c r="I61" s="8">
        <f>IF(OR(A61="",E61=""),"",E61+Rotation_Gap_Days)</f>
        <v>0</v>
      </c>
      <c r="J61" s="8">
        <f>IF(OR(A61="",I61=""),"",I61-TODAY())</f>
        <v>0</v>
      </c>
      <c r="K61" s="8">
        <f>IF(OR(A61="",F61=""),"",COUNTIFS($F$5:$F$204,"&lt;"&amp;F61)+1)</f>
        <v>0</v>
      </c>
      <c r="L61" s="8">
        <f>IF(A61="","",IFERROR(INDEX(Recipes!$AB$5:$AB$204,MATCH(A61,Recipes!$A$5:$A$204,0)),""))</f>
        <v>0</v>
      </c>
      <c r="M61" s="8">
        <f>IF(A61="","",IFERROR(INDEX(Recipes!$AN$5:$AN$204,MATCH(A61,Recipes!$A$5:$A$204,0)),""))</f>
        <v>0</v>
      </c>
      <c r="N61" s="8">
        <f>IF(A61="","",IF(H61="No","Too soon",IF(F61="","Never cooked",IF(F61&gt;=90,"Overdue","Available"))))</f>
        <v>0</v>
      </c>
      <c r="O61" s="25"/>
    </row>
    <row r="62" spans="1:15">
      <c r="A62" s="7"/>
      <c r="B62" s="8">
        <f>IF(A62="","",IFERROR(INDEX(Recipes!$B$5:$B$204,MATCH(A62,Recipes!$A$5:$A$204,0)),""))</f>
        <v>0</v>
      </c>
      <c r="C62" s="8">
        <f>IF(A62="","",IFERROR(INDEX(Recipes!$C$5:$C$204,MATCH(A62,Recipes!$A$5:$A$204,0)),""))</f>
        <v>0</v>
      </c>
      <c r="D62" s="8">
        <f>IF(A62="","",COUNTIFS('Meal Plan'!$G$5:$G$504,A62,'Meal Plan'!$S$5:$S$504,"Cooked")+COUNTIFS('Meal Plan'!$G$5:$G$504,A62,'Meal Plan'!$S$5:$S$504,"Eaten"))</f>
        <v>0</v>
      </c>
      <c r="E62" s="8">
        <f>IF(A62="","",IFERROR(INDEX(Recipes!$X$5:$X$204,MATCH(A62,Recipes!$A$5:$A$204,0)),""))</f>
        <v>0</v>
      </c>
      <c r="F62" s="8">
        <f>IF(OR(A62="",E62=""),"",TODAY()-E62)</f>
        <v>0</v>
      </c>
      <c r="G62" s="8">
        <f>IF(OR(A62="",D62=0),"",ROUND(365/D62,0))</f>
        <v>0</v>
      </c>
      <c r="H62" s="8">
        <f>IF(A62="","",IF(F62="","Yes",IF(F62&gt;=Rotation_Gap_Days,"Yes","No")))</f>
        <v>0</v>
      </c>
      <c r="I62" s="8">
        <f>IF(OR(A62="",E62=""),"",E62+Rotation_Gap_Days)</f>
        <v>0</v>
      </c>
      <c r="J62" s="8">
        <f>IF(OR(A62="",I62=""),"",I62-TODAY())</f>
        <v>0</v>
      </c>
      <c r="K62" s="8">
        <f>IF(OR(A62="",F62=""),"",COUNTIFS($F$5:$F$204,"&lt;"&amp;F62)+1)</f>
        <v>0</v>
      </c>
      <c r="L62" s="8">
        <f>IF(A62="","",IFERROR(INDEX(Recipes!$AB$5:$AB$204,MATCH(A62,Recipes!$A$5:$A$204,0)),""))</f>
        <v>0</v>
      </c>
      <c r="M62" s="8">
        <f>IF(A62="","",IFERROR(INDEX(Recipes!$AN$5:$AN$204,MATCH(A62,Recipes!$A$5:$A$204,0)),""))</f>
        <v>0</v>
      </c>
      <c r="N62" s="8">
        <f>IF(A62="","",IF(H62="No","Too soon",IF(F62="","Never cooked",IF(F62&gt;=90,"Overdue","Available"))))</f>
        <v>0</v>
      </c>
      <c r="O62" s="25"/>
    </row>
    <row r="63" spans="1:15">
      <c r="A63" s="7"/>
      <c r="B63" s="8">
        <f>IF(A63="","",IFERROR(INDEX(Recipes!$B$5:$B$204,MATCH(A63,Recipes!$A$5:$A$204,0)),""))</f>
        <v>0</v>
      </c>
      <c r="C63" s="8">
        <f>IF(A63="","",IFERROR(INDEX(Recipes!$C$5:$C$204,MATCH(A63,Recipes!$A$5:$A$204,0)),""))</f>
        <v>0</v>
      </c>
      <c r="D63" s="8">
        <f>IF(A63="","",COUNTIFS('Meal Plan'!$G$5:$G$504,A63,'Meal Plan'!$S$5:$S$504,"Cooked")+COUNTIFS('Meal Plan'!$G$5:$G$504,A63,'Meal Plan'!$S$5:$S$504,"Eaten"))</f>
        <v>0</v>
      </c>
      <c r="E63" s="8">
        <f>IF(A63="","",IFERROR(INDEX(Recipes!$X$5:$X$204,MATCH(A63,Recipes!$A$5:$A$204,0)),""))</f>
        <v>0</v>
      </c>
      <c r="F63" s="8">
        <f>IF(OR(A63="",E63=""),"",TODAY()-E63)</f>
        <v>0</v>
      </c>
      <c r="G63" s="8">
        <f>IF(OR(A63="",D63=0),"",ROUND(365/D63,0))</f>
        <v>0</v>
      </c>
      <c r="H63" s="8">
        <f>IF(A63="","",IF(F63="","Yes",IF(F63&gt;=Rotation_Gap_Days,"Yes","No")))</f>
        <v>0</v>
      </c>
      <c r="I63" s="8">
        <f>IF(OR(A63="",E63=""),"",E63+Rotation_Gap_Days)</f>
        <v>0</v>
      </c>
      <c r="J63" s="8">
        <f>IF(OR(A63="",I63=""),"",I63-TODAY())</f>
        <v>0</v>
      </c>
      <c r="K63" s="8">
        <f>IF(OR(A63="",F63=""),"",COUNTIFS($F$5:$F$204,"&lt;"&amp;F63)+1)</f>
        <v>0</v>
      </c>
      <c r="L63" s="8">
        <f>IF(A63="","",IFERROR(INDEX(Recipes!$AB$5:$AB$204,MATCH(A63,Recipes!$A$5:$A$204,0)),""))</f>
        <v>0</v>
      </c>
      <c r="M63" s="8">
        <f>IF(A63="","",IFERROR(INDEX(Recipes!$AN$5:$AN$204,MATCH(A63,Recipes!$A$5:$A$204,0)),""))</f>
        <v>0</v>
      </c>
      <c r="N63" s="8">
        <f>IF(A63="","",IF(H63="No","Too soon",IF(F63="","Never cooked",IF(F63&gt;=90,"Overdue","Available"))))</f>
        <v>0</v>
      </c>
      <c r="O63" s="25"/>
    </row>
    <row r="64" spans="1:15">
      <c r="A64" s="7"/>
      <c r="B64" s="8">
        <f>IF(A64="","",IFERROR(INDEX(Recipes!$B$5:$B$204,MATCH(A64,Recipes!$A$5:$A$204,0)),""))</f>
        <v>0</v>
      </c>
      <c r="C64" s="8">
        <f>IF(A64="","",IFERROR(INDEX(Recipes!$C$5:$C$204,MATCH(A64,Recipes!$A$5:$A$204,0)),""))</f>
        <v>0</v>
      </c>
      <c r="D64" s="8">
        <f>IF(A64="","",COUNTIFS('Meal Plan'!$G$5:$G$504,A64,'Meal Plan'!$S$5:$S$504,"Cooked")+COUNTIFS('Meal Plan'!$G$5:$G$504,A64,'Meal Plan'!$S$5:$S$504,"Eaten"))</f>
        <v>0</v>
      </c>
      <c r="E64" s="8">
        <f>IF(A64="","",IFERROR(INDEX(Recipes!$X$5:$X$204,MATCH(A64,Recipes!$A$5:$A$204,0)),""))</f>
        <v>0</v>
      </c>
      <c r="F64" s="8">
        <f>IF(OR(A64="",E64=""),"",TODAY()-E64)</f>
        <v>0</v>
      </c>
      <c r="G64" s="8">
        <f>IF(OR(A64="",D64=0),"",ROUND(365/D64,0))</f>
        <v>0</v>
      </c>
      <c r="H64" s="8">
        <f>IF(A64="","",IF(F64="","Yes",IF(F64&gt;=Rotation_Gap_Days,"Yes","No")))</f>
        <v>0</v>
      </c>
      <c r="I64" s="8">
        <f>IF(OR(A64="",E64=""),"",E64+Rotation_Gap_Days)</f>
        <v>0</v>
      </c>
      <c r="J64" s="8">
        <f>IF(OR(A64="",I64=""),"",I64-TODAY())</f>
        <v>0</v>
      </c>
      <c r="K64" s="8">
        <f>IF(OR(A64="",F64=""),"",COUNTIFS($F$5:$F$204,"&lt;"&amp;F64)+1)</f>
        <v>0</v>
      </c>
      <c r="L64" s="8">
        <f>IF(A64="","",IFERROR(INDEX(Recipes!$AB$5:$AB$204,MATCH(A64,Recipes!$A$5:$A$204,0)),""))</f>
        <v>0</v>
      </c>
      <c r="M64" s="8">
        <f>IF(A64="","",IFERROR(INDEX(Recipes!$AN$5:$AN$204,MATCH(A64,Recipes!$A$5:$A$204,0)),""))</f>
        <v>0</v>
      </c>
      <c r="N64" s="8">
        <f>IF(A64="","",IF(H64="No","Too soon",IF(F64="","Never cooked",IF(F64&gt;=90,"Overdue","Available"))))</f>
        <v>0</v>
      </c>
      <c r="O64" s="25"/>
    </row>
    <row r="65" spans="1:15">
      <c r="A65" s="7"/>
      <c r="B65" s="8">
        <f>IF(A65="","",IFERROR(INDEX(Recipes!$B$5:$B$204,MATCH(A65,Recipes!$A$5:$A$204,0)),""))</f>
        <v>0</v>
      </c>
      <c r="C65" s="8">
        <f>IF(A65="","",IFERROR(INDEX(Recipes!$C$5:$C$204,MATCH(A65,Recipes!$A$5:$A$204,0)),""))</f>
        <v>0</v>
      </c>
      <c r="D65" s="8">
        <f>IF(A65="","",COUNTIFS('Meal Plan'!$G$5:$G$504,A65,'Meal Plan'!$S$5:$S$504,"Cooked")+COUNTIFS('Meal Plan'!$G$5:$G$504,A65,'Meal Plan'!$S$5:$S$504,"Eaten"))</f>
        <v>0</v>
      </c>
      <c r="E65" s="8">
        <f>IF(A65="","",IFERROR(INDEX(Recipes!$X$5:$X$204,MATCH(A65,Recipes!$A$5:$A$204,0)),""))</f>
        <v>0</v>
      </c>
      <c r="F65" s="8">
        <f>IF(OR(A65="",E65=""),"",TODAY()-E65)</f>
        <v>0</v>
      </c>
      <c r="G65" s="8">
        <f>IF(OR(A65="",D65=0),"",ROUND(365/D65,0))</f>
        <v>0</v>
      </c>
      <c r="H65" s="8">
        <f>IF(A65="","",IF(F65="","Yes",IF(F65&gt;=Rotation_Gap_Days,"Yes","No")))</f>
        <v>0</v>
      </c>
      <c r="I65" s="8">
        <f>IF(OR(A65="",E65=""),"",E65+Rotation_Gap_Days)</f>
        <v>0</v>
      </c>
      <c r="J65" s="8">
        <f>IF(OR(A65="",I65=""),"",I65-TODAY())</f>
        <v>0</v>
      </c>
      <c r="K65" s="8">
        <f>IF(OR(A65="",F65=""),"",COUNTIFS($F$5:$F$204,"&lt;"&amp;F65)+1)</f>
        <v>0</v>
      </c>
      <c r="L65" s="8">
        <f>IF(A65="","",IFERROR(INDEX(Recipes!$AB$5:$AB$204,MATCH(A65,Recipes!$A$5:$A$204,0)),""))</f>
        <v>0</v>
      </c>
      <c r="M65" s="8">
        <f>IF(A65="","",IFERROR(INDEX(Recipes!$AN$5:$AN$204,MATCH(A65,Recipes!$A$5:$A$204,0)),""))</f>
        <v>0</v>
      </c>
      <c r="N65" s="8">
        <f>IF(A65="","",IF(H65="No","Too soon",IF(F65="","Never cooked",IF(F65&gt;=90,"Overdue","Available"))))</f>
        <v>0</v>
      </c>
      <c r="O65" s="25"/>
    </row>
    <row r="66" spans="1:15">
      <c r="A66" s="7"/>
      <c r="B66" s="8">
        <f>IF(A66="","",IFERROR(INDEX(Recipes!$B$5:$B$204,MATCH(A66,Recipes!$A$5:$A$204,0)),""))</f>
        <v>0</v>
      </c>
      <c r="C66" s="8">
        <f>IF(A66="","",IFERROR(INDEX(Recipes!$C$5:$C$204,MATCH(A66,Recipes!$A$5:$A$204,0)),""))</f>
        <v>0</v>
      </c>
      <c r="D66" s="8">
        <f>IF(A66="","",COUNTIFS('Meal Plan'!$G$5:$G$504,A66,'Meal Plan'!$S$5:$S$504,"Cooked")+COUNTIFS('Meal Plan'!$G$5:$G$504,A66,'Meal Plan'!$S$5:$S$504,"Eaten"))</f>
        <v>0</v>
      </c>
      <c r="E66" s="8">
        <f>IF(A66="","",IFERROR(INDEX(Recipes!$X$5:$X$204,MATCH(A66,Recipes!$A$5:$A$204,0)),""))</f>
        <v>0</v>
      </c>
      <c r="F66" s="8">
        <f>IF(OR(A66="",E66=""),"",TODAY()-E66)</f>
        <v>0</v>
      </c>
      <c r="G66" s="8">
        <f>IF(OR(A66="",D66=0),"",ROUND(365/D66,0))</f>
        <v>0</v>
      </c>
      <c r="H66" s="8">
        <f>IF(A66="","",IF(F66="","Yes",IF(F66&gt;=Rotation_Gap_Days,"Yes","No")))</f>
        <v>0</v>
      </c>
      <c r="I66" s="8">
        <f>IF(OR(A66="",E66=""),"",E66+Rotation_Gap_Days)</f>
        <v>0</v>
      </c>
      <c r="J66" s="8">
        <f>IF(OR(A66="",I66=""),"",I66-TODAY())</f>
        <v>0</v>
      </c>
      <c r="K66" s="8">
        <f>IF(OR(A66="",F66=""),"",COUNTIFS($F$5:$F$204,"&lt;"&amp;F66)+1)</f>
        <v>0</v>
      </c>
      <c r="L66" s="8">
        <f>IF(A66="","",IFERROR(INDEX(Recipes!$AB$5:$AB$204,MATCH(A66,Recipes!$A$5:$A$204,0)),""))</f>
        <v>0</v>
      </c>
      <c r="M66" s="8">
        <f>IF(A66="","",IFERROR(INDEX(Recipes!$AN$5:$AN$204,MATCH(A66,Recipes!$A$5:$A$204,0)),""))</f>
        <v>0</v>
      </c>
      <c r="N66" s="8">
        <f>IF(A66="","",IF(H66="No","Too soon",IF(F66="","Never cooked",IF(F66&gt;=90,"Overdue","Available"))))</f>
        <v>0</v>
      </c>
      <c r="O66" s="25"/>
    </row>
    <row r="67" spans="1:15">
      <c r="A67" s="7"/>
      <c r="B67" s="8">
        <f>IF(A67="","",IFERROR(INDEX(Recipes!$B$5:$B$204,MATCH(A67,Recipes!$A$5:$A$204,0)),""))</f>
        <v>0</v>
      </c>
      <c r="C67" s="8">
        <f>IF(A67="","",IFERROR(INDEX(Recipes!$C$5:$C$204,MATCH(A67,Recipes!$A$5:$A$204,0)),""))</f>
        <v>0</v>
      </c>
      <c r="D67" s="8">
        <f>IF(A67="","",COUNTIFS('Meal Plan'!$G$5:$G$504,A67,'Meal Plan'!$S$5:$S$504,"Cooked")+COUNTIFS('Meal Plan'!$G$5:$G$504,A67,'Meal Plan'!$S$5:$S$504,"Eaten"))</f>
        <v>0</v>
      </c>
      <c r="E67" s="8">
        <f>IF(A67="","",IFERROR(INDEX(Recipes!$X$5:$X$204,MATCH(A67,Recipes!$A$5:$A$204,0)),""))</f>
        <v>0</v>
      </c>
      <c r="F67" s="8">
        <f>IF(OR(A67="",E67=""),"",TODAY()-E67)</f>
        <v>0</v>
      </c>
      <c r="G67" s="8">
        <f>IF(OR(A67="",D67=0),"",ROUND(365/D67,0))</f>
        <v>0</v>
      </c>
      <c r="H67" s="8">
        <f>IF(A67="","",IF(F67="","Yes",IF(F67&gt;=Rotation_Gap_Days,"Yes","No")))</f>
        <v>0</v>
      </c>
      <c r="I67" s="8">
        <f>IF(OR(A67="",E67=""),"",E67+Rotation_Gap_Days)</f>
        <v>0</v>
      </c>
      <c r="J67" s="8">
        <f>IF(OR(A67="",I67=""),"",I67-TODAY())</f>
        <v>0</v>
      </c>
      <c r="K67" s="8">
        <f>IF(OR(A67="",F67=""),"",COUNTIFS($F$5:$F$204,"&lt;"&amp;F67)+1)</f>
        <v>0</v>
      </c>
      <c r="L67" s="8">
        <f>IF(A67="","",IFERROR(INDEX(Recipes!$AB$5:$AB$204,MATCH(A67,Recipes!$A$5:$A$204,0)),""))</f>
        <v>0</v>
      </c>
      <c r="M67" s="8">
        <f>IF(A67="","",IFERROR(INDEX(Recipes!$AN$5:$AN$204,MATCH(A67,Recipes!$A$5:$A$204,0)),""))</f>
        <v>0</v>
      </c>
      <c r="N67" s="8">
        <f>IF(A67="","",IF(H67="No","Too soon",IF(F67="","Never cooked",IF(F67&gt;=90,"Overdue","Available"))))</f>
        <v>0</v>
      </c>
      <c r="O67" s="25"/>
    </row>
    <row r="68" spans="1:15">
      <c r="A68" s="7"/>
      <c r="B68" s="8">
        <f>IF(A68="","",IFERROR(INDEX(Recipes!$B$5:$B$204,MATCH(A68,Recipes!$A$5:$A$204,0)),""))</f>
        <v>0</v>
      </c>
      <c r="C68" s="8">
        <f>IF(A68="","",IFERROR(INDEX(Recipes!$C$5:$C$204,MATCH(A68,Recipes!$A$5:$A$204,0)),""))</f>
        <v>0</v>
      </c>
      <c r="D68" s="8">
        <f>IF(A68="","",COUNTIFS('Meal Plan'!$G$5:$G$504,A68,'Meal Plan'!$S$5:$S$504,"Cooked")+COUNTIFS('Meal Plan'!$G$5:$G$504,A68,'Meal Plan'!$S$5:$S$504,"Eaten"))</f>
        <v>0</v>
      </c>
      <c r="E68" s="8">
        <f>IF(A68="","",IFERROR(INDEX(Recipes!$X$5:$X$204,MATCH(A68,Recipes!$A$5:$A$204,0)),""))</f>
        <v>0</v>
      </c>
      <c r="F68" s="8">
        <f>IF(OR(A68="",E68=""),"",TODAY()-E68)</f>
        <v>0</v>
      </c>
      <c r="G68" s="8">
        <f>IF(OR(A68="",D68=0),"",ROUND(365/D68,0))</f>
        <v>0</v>
      </c>
      <c r="H68" s="8">
        <f>IF(A68="","",IF(F68="","Yes",IF(F68&gt;=Rotation_Gap_Days,"Yes","No")))</f>
        <v>0</v>
      </c>
      <c r="I68" s="8">
        <f>IF(OR(A68="",E68=""),"",E68+Rotation_Gap_Days)</f>
        <v>0</v>
      </c>
      <c r="J68" s="8">
        <f>IF(OR(A68="",I68=""),"",I68-TODAY())</f>
        <v>0</v>
      </c>
      <c r="K68" s="8">
        <f>IF(OR(A68="",F68=""),"",COUNTIFS($F$5:$F$204,"&lt;"&amp;F68)+1)</f>
        <v>0</v>
      </c>
      <c r="L68" s="8">
        <f>IF(A68="","",IFERROR(INDEX(Recipes!$AB$5:$AB$204,MATCH(A68,Recipes!$A$5:$A$204,0)),""))</f>
        <v>0</v>
      </c>
      <c r="M68" s="8">
        <f>IF(A68="","",IFERROR(INDEX(Recipes!$AN$5:$AN$204,MATCH(A68,Recipes!$A$5:$A$204,0)),""))</f>
        <v>0</v>
      </c>
      <c r="N68" s="8">
        <f>IF(A68="","",IF(H68="No","Too soon",IF(F68="","Never cooked",IF(F68&gt;=90,"Overdue","Available"))))</f>
        <v>0</v>
      </c>
      <c r="O68" s="25"/>
    </row>
    <row r="69" spans="1:15">
      <c r="A69" s="7"/>
      <c r="B69" s="8">
        <f>IF(A69="","",IFERROR(INDEX(Recipes!$B$5:$B$204,MATCH(A69,Recipes!$A$5:$A$204,0)),""))</f>
        <v>0</v>
      </c>
      <c r="C69" s="8">
        <f>IF(A69="","",IFERROR(INDEX(Recipes!$C$5:$C$204,MATCH(A69,Recipes!$A$5:$A$204,0)),""))</f>
        <v>0</v>
      </c>
      <c r="D69" s="8">
        <f>IF(A69="","",COUNTIFS('Meal Plan'!$G$5:$G$504,A69,'Meal Plan'!$S$5:$S$504,"Cooked")+COUNTIFS('Meal Plan'!$G$5:$G$504,A69,'Meal Plan'!$S$5:$S$504,"Eaten"))</f>
        <v>0</v>
      </c>
      <c r="E69" s="8">
        <f>IF(A69="","",IFERROR(INDEX(Recipes!$X$5:$X$204,MATCH(A69,Recipes!$A$5:$A$204,0)),""))</f>
        <v>0</v>
      </c>
      <c r="F69" s="8">
        <f>IF(OR(A69="",E69=""),"",TODAY()-E69)</f>
        <v>0</v>
      </c>
      <c r="G69" s="8">
        <f>IF(OR(A69="",D69=0),"",ROUND(365/D69,0))</f>
        <v>0</v>
      </c>
      <c r="H69" s="8">
        <f>IF(A69="","",IF(F69="","Yes",IF(F69&gt;=Rotation_Gap_Days,"Yes","No")))</f>
        <v>0</v>
      </c>
      <c r="I69" s="8">
        <f>IF(OR(A69="",E69=""),"",E69+Rotation_Gap_Days)</f>
        <v>0</v>
      </c>
      <c r="J69" s="8">
        <f>IF(OR(A69="",I69=""),"",I69-TODAY())</f>
        <v>0</v>
      </c>
      <c r="K69" s="8">
        <f>IF(OR(A69="",F69=""),"",COUNTIFS($F$5:$F$204,"&lt;"&amp;F69)+1)</f>
        <v>0</v>
      </c>
      <c r="L69" s="8">
        <f>IF(A69="","",IFERROR(INDEX(Recipes!$AB$5:$AB$204,MATCH(A69,Recipes!$A$5:$A$204,0)),""))</f>
        <v>0</v>
      </c>
      <c r="M69" s="8">
        <f>IF(A69="","",IFERROR(INDEX(Recipes!$AN$5:$AN$204,MATCH(A69,Recipes!$A$5:$A$204,0)),""))</f>
        <v>0</v>
      </c>
      <c r="N69" s="8">
        <f>IF(A69="","",IF(H69="No","Too soon",IF(F69="","Never cooked",IF(F69&gt;=90,"Overdue","Available"))))</f>
        <v>0</v>
      </c>
      <c r="O69" s="25"/>
    </row>
    <row r="70" spans="1:15">
      <c r="A70" s="7"/>
      <c r="B70" s="8">
        <f>IF(A70="","",IFERROR(INDEX(Recipes!$B$5:$B$204,MATCH(A70,Recipes!$A$5:$A$204,0)),""))</f>
        <v>0</v>
      </c>
      <c r="C70" s="8">
        <f>IF(A70="","",IFERROR(INDEX(Recipes!$C$5:$C$204,MATCH(A70,Recipes!$A$5:$A$204,0)),""))</f>
        <v>0</v>
      </c>
      <c r="D70" s="8">
        <f>IF(A70="","",COUNTIFS('Meal Plan'!$G$5:$G$504,A70,'Meal Plan'!$S$5:$S$504,"Cooked")+COUNTIFS('Meal Plan'!$G$5:$G$504,A70,'Meal Plan'!$S$5:$S$504,"Eaten"))</f>
        <v>0</v>
      </c>
      <c r="E70" s="8">
        <f>IF(A70="","",IFERROR(INDEX(Recipes!$X$5:$X$204,MATCH(A70,Recipes!$A$5:$A$204,0)),""))</f>
        <v>0</v>
      </c>
      <c r="F70" s="8">
        <f>IF(OR(A70="",E70=""),"",TODAY()-E70)</f>
        <v>0</v>
      </c>
      <c r="G70" s="8">
        <f>IF(OR(A70="",D70=0),"",ROUND(365/D70,0))</f>
        <v>0</v>
      </c>
      <c r="H70" s="8">
        <f>IF(A70="","",IF(F70="","Yes",IF(F70&gt;=Rotation_Gap_Days,"Yes","No")))</f>
        <v>0</v>
      </c>
      <c r="I70" s="8">
        <f>IF(OR(A70="",E70=""),"",E70+Rotation_Gap_Days)</f>
        <v>0</v>
      </c>
      <c r="J70" s="8">
        <f>IF(OR(A70="",I70=""),"",I70-TODAY())</f>
        <v>0</v>
      </c>
      <c r="K70" s="8">
        <f>IF(OR(A70="",F70=""),"",COUNTIFS($F$5:$F$204,"&lt;"&amp;F70)+1)</f>
        <v>0</v>
      </c>
      <c r="L70" s="8">
        <f>IF(A70="","",IFERROR(INDEX(Recipes!$AB$5:$AB$204,MATCH(A70,Recipes!$A$5:$A$204,0)),""))</f>
        <v>0</v>
      </c>
      <c r="M70" s="8">
        <f>IF(A70="","",IFERROR(INDEX(Recipes!$AN$5:$AN$204,MATCH(A70,Recipes!$A$5:$A$204,0)),""))</f>
        <v>0</v>
      </c>
      <c r="N70" s="8">
        <f>IF(A70="","",IF(H70="No","Too soon",IF(F70="","Never cooked",IF(F70&gt;=90,"Overdue","Available"))))</f>
        <v>0</v>
      </c>
      <c r="O70" s="25"/>
    </row>
    <row r="71" spans="1:15">
      <c r="A71" s="7"/>
      <c r="B71" s="8">
        <f>IF(A71="","",IFERROR(INDEX(Recipes!$B$5:$B$204,MATCH(A71,Recipes!$A$5:$A$204,0)),""))</f>
        <v>0</v>
      </c>
      <c r="C71" s="8">
        <f>IF(A71="","",IFERROR(INDEX(Recipes!$C$5:$C$204,MATCH(A71,Recipes!$A$5:$A$204,0)),""))</f>
        <v>0</v>
      </c>
      <c r="D71" s="8">
        <f>IF(A71="","",COUNTIFS('Meal Plan'!$G$5:$G$504,A71,'Meal Plan'!$S$5:$S$504,"Cooked")+COUNTIFS('Meal Plan'!$G$5:$G$504,A71,'Meal Plan'!$S$5:$S$504,"Eaten"))</f>
        <v>0</v>
      </c>
      <c r="E71" s="8">
        <f>IF(A71="","",IFERROR(INDEX(Recipes!$X$5:$X$204,MATCH(A71,Recipes!$A$5:$A$204,0)),""))</f>
        <v>0</v>
      </c>
      <c r="F71" s="8">
        <f>IF(OR(A71="",E71=""),"",TODAY()-E71)</f>
        <v>0</v>
      </c>
      <c r="G71" s="8">
        <f>IF(OR(A71="",D71=0),"",ROUND(365/D71,0))</f>
        <v>0</v>
      </c>
      <c r="H71" s="8">
        <f>IF(A71="","",IF(F71="","Yes",IF(F71&gt;=Rotation_Gap_Days,"Yes","No")))</f>
        <v>0</v>
      </c>
      <c r="I71" s="8">
        <f>IF(OR(A71="",E71=""),"",E71+Rotation_Gap_Days)</f>
        <v>0</v>
      </c>
      <c r="J71" s="8">
        <f>IF(OR(A71="",I71=""),"",I71-TODAY())</f>
        <v>0</v>
      </c>
      <c r="K71" s="8">
        <f>IF(OR(A71="",F71=""),"",COUNTIFS($F$5:$F$204,"&lt;"&amp;F71)+1)</f>
        <v>0</v>
      </c>
      <c r="L71" s="8">
        <f>IF(A71="","",IFERROR(INDEX(Recipes!$AB$5:$AB$204,MATCH(A71,Recipes!$A$5:$A$204,0)),""))</f>
        <v>0</v>
      </c>
      <c r="M71" s="8">
        <f>IF(A71="","",IFERROR(INDEX(Recipes!$AN$5:$AN$204,MATCH(A71,Recipes!$A$5:$A$204,0)),""))</f>
        <v>0</v>
      </c>
      <c r="N71" s="8">
        <f>IF(A71="","",IF(H71="No","Too soon",IF(F71="","Never cooked",IF(F71&gt;=90,"Overdue","Available"))))</f>
        <v>0</v>
      </c>
      <c r="O71" s="25"/>
    </row>
    <row r="72" spans="1:15">
      <c r="A72" s="7"/>
      <c r="B72" s="8">
        <f>IF(A72="","",IFERROR(INDEX(Recipes!$B$5:$B$204,MATCH(A72,Recipes!$A$5:$A$204,0)),""))</f>
        <v>0</v>
      </c>
      <c r="C72" s="8">
        <f>IF(A72="","",IFERROR(INDEX(Recipes!$C$5:$C$204,MATCH(A72,Recipes!$A$5:$A$204,0)),""))</f>
        <v>0</v>
      </c>
      <c r="D72" s="8">
        <f>IF(A72="","",COUNTIFS('Meal Plan'!$G$5:$G$504,A72,'Meal Plan'!$S$5:$S$504,"Cooked")+COUNTIFS('Meal Plan'!$G$5:$G$504,A72,'Meal Plan'!$S$5:$S$504,"Eaten"))</f>
        <v>0</v>
      </c>
      <c r="E72" s="8">
        <f>IF(A72="","",IFERROR(INDEX(Recipes!$X$5:$X$204,MATCH(A72,Recipes!$A$5:$A$204,0)),""))</f>
        <v>0</v>
      </c>
      <c r="F72" s="8">
        <f>IF(OR(A72="",E72=""),"",TODAY()-E72)</f>
        <v>0</v>
      </c>
      <c r="G72" s="8">
        <f>IF(OR(A72="",D72=0),"",ROUND(365/D72,0))</f>
        <v>0</v>
      </c>
      <c r="H72" s="8">
        <f>IF(A72="","",IF(F72="","Yes",IF(F72&gt;=Rotation_Gap_Days,"Yes","No")))</f>
        <v>0</v>
      </c>
      <c r="I72" s="8">
        <f>IF(OR(A72="",E72=""),"",E72+Rotation_Gap_Days)</f>
        <v>0</v>
      </c>
      <c r="J72" s="8">
        <f>IF(OR(A72="",I72=""),"",I72-TODAY())</f>
        <v>0</v>
      </c>
      <c r="K72" s="8">
        <f>IF(OR(A72="",F72=""),"",COUNTIFS($F$5:$F$204,"&lt;"&amp;F72)+1)</f>
        <v>0</v>
      </c>
      <c r="L72" s="8">
        <f>IF(A72="","",IFERROR(INDEX(Recipes!$AB$5:$AB$204,MATCH(A72,Recipes!$A$5:$A$204,0)),""))</f>
        <v>0</v>
      </c>
      <c r="M72" s="8">
        <f>IF(A72="","",IFERROR(INDEX(Recipes!$AN$5:$AN$204,MATCH(A72,Recipes!$A$5:$A$204,0)),""))</f>
        <v>0</v>
      </c>
      <c r="N72" s="8">
        <f>IF(A72="","",IF(H72="No","Too soon",IF(F72="","Never cooked",IF(F72&gt;=90,"Overdue","Available"))))</f>
        <v>0</v>
      </c>
      <c r="O72" s="25"/>
    </row>
    <row r="73" spans="1:15">
      <c r="A73" s="7"/>
      <c r="B73" s="8">
        <f>IF(A73="","",IFERROR(INDEX(Recipes!$B$5:$B$204,MATCH(A73,Recipes!$A$5:$A$204,0)),""))</f>
        <v>0</v>
      </c>
      <c r="C73" s="8">
        <f>IF(A73="","",IFERROR(INDEX(Recipes!$C$5:$C$204,MATCH(A73,Recipes!$A$5:$A$204,0)),""))</f>
        <v>0</v>
      </c>
      <c r="D73" s="8">
        <f>IF(A73="","",COUNTIFS('Meal Plan'!$G$5:$G$504,A73,'Meal Plan'!$S$5:$S$504,"Cooked")+COUNTIFS('Meal Plan'!$G$5:$G$504,A73,'Meal Plan'!$S$5:$S$504,"Eaten"))</f>
        <v>0</v>
      </c>
      <c r="E73" s="8">
        <f>IF(A73="","",IFERROR(INDEX(Recipes!$X$5:$X$204,MATCH(A73,Recipes!$A$5:$A$204,0)),""))</f>
        <v>0</v>
      </c>
      <c r="F73" s="8">
        <f>IF(OR(A73="",E73=""),"",TODAY()-E73)</f>
        <v>0</v>
      </c>
      <c r="G73" s="8">
        <f>IF(OR(A73="",D73=0),"",ROUND(365/D73,0))</f>
        <v>0</v>
      </c>
      <c r="H73" s="8">
        <f>IF(A73="","",IF(F73="","Yes",IF(F73&gt;=Rotation_Gap_Days,"Yes","No")))</f>
        <v>0</v>
      </c>
      <c r="I73" s="8">
        <f>IF(OR(A73="",E73=""),"",E73+Rotation_Gap_Days)</f>
        <v>0</v>
      </c>
      <c r="J73" s="8">
        <f>IF(OR(A73="",I73=""),"",I73-TODAY())</f>
        <v>0</v>
      </c>
      <c r="K73" s="8">
        <f>IF(OR(A73="",F73=""),"",COUNTIFS($F$5:$F$204,"&lt;"&amp;F73)+1)</f>
        <v>0</v>
      </c>
      <c r="L73" s="8">
        <f>IF(A73="","",IFERROR(INDEX(Recipes!$AB$5:$AB$204,MATCH(A73,Recipes!$A$5:$A$204,0)),""))</f>
        <v>0</v>
      </c>
      <c r="M73" s="8">
        <f>IF(A73="","",IFERROR(INDEX(Recipes!$AN$5:$AN$204,MATCH(A73,Recipes!$A$5:$A$204,0)),""))</f>
        <v>0</v>
      </c>
      <c r="N73" s="8">
        <f>IF(A73="","",IF(H73="No","Too soon",IF(F73="","Never cooked",IF(F73&gt;=90,"Overdue","Available"))))</f>
        <v>0</v>
      </c>
      <c r="O73" s="25"/>
    </row>
    <row r="74" spans="1:15">
      <c r="A74" s="7"/>
      <c r="B74" s="8">
        <f>IF(A74="","",IFERROR(INDEX(Recipes!$B$5:$B$204,MATCH(A74,Recipes!$A$5:$A$204,0)),""))</f>
        <v>0</v>
      </c>
      <c r="C74" s="8">
        <f>IF(A74="","",IFERROR(INDEX(Recipes!$C$5:$C$204,MATCH(A74,Recipes!$A$5:$A$204,0)),""))</f>
        <v>0</v>
      </c>
      <c r="D74" s="8">
        <f>IF(A74="","",COUNTIFS('Meal Plan'!$G$5:$G$504,A74,'Meal Plan'!$S$5:$S$504,"Cooked")+COUNTIFS('Meal Plan'!$G$5:$G$504,A74,'Meal Plan'!$S$5:$S$504,"Eaten"))</f>
        <v>0</v>
      </c>
      <c r="E74" s="8">
        <f>IF(A74="","",IFERROR(INDEX(Recipes!$X$5:$X$204,MATCH(A74,Recipes!$A$5:$A$204,0)),""))</f>
        <v>0</v>
      </c>
      <c r="F74" s="8">
        <f>IF(OR(A74="",E74=""),"",TODAY()-E74)</f>
        <v>0</v>
      </c>
      <c r="G74" s="8">
        <f>IF(OR(A74="",D74=0),"",ROUND(365/D74,0))</f>
        <v>0</v>
      </c>
      <c r="H74" s="8">
        <f>IF(A74="","",IF(F74="","Yes",IF(F74&gt;=Rotation_Gap_Days,"Yes","No")))</f>
        <v>0</v>
      </c>
      <c r="I74" s="8">
        <f>IF(OR(A74="",E74=""),"",E74+Rotation_Gap_Days)</f>
        <v>0</v>
      </c>
      <c r="J74" s="8">
        <f>IF(OR(A74="",I74=""),"",I74-TODAY())</f>
        <v>0</v>
      </c>
      <c r="K74" s="8">
        <f>IF(OR(A74="",F74=""),"",COUNTIFS($F$5:$F$204,"&lt;"&amp;F74)+1)</f>
        <v>0</v>
      </c>
      <c r="L74" s="8">
        <f>IF(A74="","",IFERROR(INDEX(Recipes!$AB$5:$AB$204,MATCH(A74,Recipes!$A$5:$A$204,0)),""))</f>
        <v>0</v>
      </c>
      <c r="M74" s="8">
        <f>IF(A74="","",IFERROR(INDEX(Recipes!$AN$5:$AN$204,MATCH(A74,Recipes!$A$5:$A$204,0)),""))</f>
        <v>0</v>
      </c>
      <c r="N74" s="8">
        <f>IF(A74="","",IF(H74="No","Too soon",IF(F74="","Never cooked",IF(F74&gt;=90,"Overdue","Available"))))</f>
        <v>0</v>
      </c>
      <c r="O74" s="25"/>
    </row>
    <row r="75" spans="1:15">
      <c r="A75" s="7"/>
      <c r="B75" s="8">
        <f>IF(A75="","",IFERROR(INDEX(Recipes!$B$5:$B$204,MATCH(A75,Recipes!$A$5:$A$204,0)),""))</f>
        <v>0</v>
      </c>
      <c r="C75" s="8">
        <f>IF(A75="","",IFERROR(INDEX(Recipes!$C$5:$C$204,MATCH(A75,Recipes!$A$5:$A$204,0)),""))</f>
        <v>0</v>
      </c>
      <c r="D75" s="8">
        <f>IF(A75="","",COUNTIFS('Meal Plan'!$G$5:$G$504,A75,'Meal Plan'!$S$5:$S$504,"Cooked")+COUNTIFS('Meal Plan'!$G$5:$G$504,A75,'Meal Plan'!$S$5:$S$504,"Eaten"))</f>
        <v>0</v>
      </c>
      <c r="E75" s="8">
        <f>IF(A75="","",IFERROR(INDEX(Recipes!$X$5:$X$204,MATCH(A75,Recipes!$A$5:$A$204,0)),""))</f>
        <v>0</v>
      </c>
      <c r="F75" s="8">
        <f>IF(OR(A75="",E75=""),"",TODAY()-E75)</f>
        <v>0</v>
      </c>
      <c r="G75" s="8">
        <f>IF(OR(A75="",D75=0),"",ROUND(365/D75,0))</f>
        <v>0</v>
      </c>
      <c r="H75" s="8">
        <f>IF(A75="","",IF(F75="","Yes",IF(F75&gt;=Rotation_Gap_Days,"Yes","No")))</f>
        <v>0</v>
      </c>
      <c r="I75" s="8">
        <f>IF(OR(A75="",E75=""),"",E75+Rotation_Gap_Days)</f>
        <v>0</v>
      </c>
      <c r="J75" s="8">
        <f>IF(OR(A75="",I75=""),"",I75-TODAY())</f>
        <v>0</v>
      </c>
      <c r="K75" s="8">
        <f>IF(OR(A75="",F75=""),"",COUNTIFS($F$5:$F$204,"&lt;"&amp;F75)+1)</f>
        <v>0</v>
      </c>
      <c r="L75" s="8">
        <f>IF(A75="","",IFERROR(INDEX(Recipes!$AB$5:$AB$204,MATCH(A75,Recipes!$A$5:$A$204,0)),""))</f>
        <v>0</v>
      </c>
      <c r="M75" s="8">
        <f>IF(A75="","",IFERROR(INDEX(Recipes!$AN$5:$AN$204,MATCH(A75,Recipes!$A$5:$A$204,0)),""))</f>
        <v>0</v>
      </c>
      <c r="N75" s="8">
        <f>IF(A75="","",IF(H75="No","Too soon",IF(F75="","Never cooked",IF(F75&gt;=90,"Overdue","Available"))))</f>
        <v>0</v>
      </c>
      <c r="O75" s="25"/>
    </row>
    <row r="76" spans="1:15">
      <c r="A76" s="7"/>
      <c r="B76" s="8">
        <f>IF(A76="","",IFERROR(INDEX(Recipes!$B$5:$B$204,MATCH(A76,Recipes!$A$5:$A$204,0)),""))</f>
        <v>0</v>
      </c>
      <c r="C76" s="8">
        <f>IF(A76="","",IFERROR(INDEX(Recipes!$C$5:$C$204,MATCH(A76,Recipes!$A$5:$A$204,0)),""))</f>
        <v>0</v>
      </c>
      <c r="D76" s="8">
        <f>IF(A76="","",COUNTIFS('Meal Plan'!$G$5:$G$504,A76,'Meal Plan'!$S$5:$S$504,"Cooked")+COUNTIFS('Meal Plan'!$G$5:$G$504,A76,'Meal Plan'!$S$5:$S$504,"Eaten"))</f>
        <v>0</v>
      </c>
      <c r="E76" s="8">
        <f>IF(A76="","",IFERROR(INDEX(Recipes!$X$5:$X$204,MATCH(A76,Recipes!$A$5:$A$204,0)),""))</f>
        <v>0</v>
      </c>
      <c r="F76" s="8">
        <f>IF(OR(A76="",E76=""),"",TODAY()-E76)</f>
        <v>0</v>
      </c>
      <c r="G76" s="8">
        <f>IF(OR(A76="",D76=0),"",ROUND(365/D76,0))</f>
        <v>0</v>
      </c>
      <c r="H76" s="8">
        <f>IF(A76="","",IF(F76="","Yes",IF(F76&gt;=Rotation_Gap_Days,"Yes","No")))</f>
        <v>0</v>
      </c>
      <c r="I76" s="8">
        <f>IF(OR(A76="",E76=""),"",E76+Rotation_Gap_Days)</f>
        <v>0</v>
      </c>
      <c r="J76" s="8">
        <f>IF(OR(A76="",I76=""),"",I76-TODAY())</f>
        <v>0</v>
      </c>
      <c r="K76" s="8">
        <f>IF(OR(A76="",F76=""),"",COUNTIFS($F$5:$F$204,"&lt;"&amp;F76)+1)</f>
        <v>0</v>
      </c>
      <c r="L76" s="8">
        <f>IF(A76="","",IFERROR(INDEX(Recipes!$AB$5:$AB$204,MATCH(A76,Recipes!$A$5:$A$204,0)),""))</f>
        <v>0</v>
      </c>
      <c r="M76" s="8">
        <f>IF(A76="","",IFERROR(INDEX(Recipes!$AN$5:$AN$204,MATCH(A76,Recipes!$A$5:$A$204,0)),""))</f>
        <v>0</v>
      </c>
      <c r="N76" s="8">
        <f>IF(A76="","",IF(H76="No","Too soon",IF(F76="","Never cooked",IF(F76&gt;=90,"Overdue","Available"))))</f>
        <v>0</v>
      </c>
      <c r="O76" s="25"/>
    </row>
    <row r="77" spans="1:15">
      <c r="A77" s="7"/>
      <c r="B77" s="8">
        <f>IF(A77="","",IFERROR(INDEX(Recipes!$B$5:$B$204,MATCH(A77,Recipes!$A$5:$A$204,0)),""))</f>
        <v>0</v>
      </c>
      <c r="C77" s="8">
        <f>IF(A77="","",IFERROR(INDEX(Recipes!$C$5:$C$204,MATCH(A77,Recipes!$A$5:$A$204,0)),""))</f>
        <v>0</v>
      </c>
      <c r="D77" s="8">
        <f>IF(A77="","",COUNTIFS('Meal Plan'!$G$5:$G$504,A77,'Meal Plan'!$S$5:$S$504,"Cooked")+COUNTIFS('Meal Plan'!$G$5:$G$504,A77,'Meal Plan'!$S$5:$S$504,"Eaten"))</f>
        <v>0</v>
      </c>
      <c r="E77" s="8">
        <f>IF(A77="","",IFERROR(INDEX(Recipes!$X$5:$X$204,MATCH(A77,Recipes!$A$5:$A$204,0)),""))</f>
        <v>0</v>
      </c>
      <c r="F77" s="8">
        <f>IF(OR(A77="",E77=""),"",TODAY()-E77)</f>
        <v>0</v>
      </c>
      <c r="G77" s="8">
        <f>IF(OR(A77="",D77=0),"",ROUND(365/D77,0))</f>
        <v>0</v>
      </c>
      <c r="H77" s="8">
        <f>IF(A77="","",IF(F77="","Yes",IF(F77&gt;=Rotation_Gap_Days,"Yes","No")))</f>
        <v>0</v>
      </c>
      <c r="I77" s="8">
        <f>IF(OR(A77="",E77=""),"",E77+Rotation_Gap_Days)</f>
        <v>0</v>
      </c>
      <c r="J77" s="8">
        <f>IF(OR(A77="",I77=""),"",I77-TODAY())</f>
        <v>0</v>
      </c>
      <c r="K77" s="8">
        <f>IF(OR(A77="",F77=""),"",COUNTIFS($F$5:$F$204,"&lt;"&amp;F77)+1)</f>
        <v>0</v>
      </c>
      <c r="L77" s="8">
        <f>IF(A77="","",IFERROR(INDEX(Recipes!$AB$5:$AB$204,MATCH(A77,Recipes!$A$5:$A$204,0)),""))</f>
        <v>0</v>
      </c>
      <c r="M77" s="8">
        <f>IF(A77="","",IFERROR(INDEX(Recipes!$AN$5:$AN$204,MATCH(A77,Recipes!$A$5:$A$204,0)),""))</f>
        <v>0</v>
      </c>
      <c r="N77" s="8">
        <f>IF(A77="","",IF(H77="No","Too soon",IF(F77="","Never cooked",IF(F77&gt;=90,"Overdue","Available"))))</f>
        <v>0</v>
      </c>
      <c r="O77" s="25"/>
    </row>
    <row r="78" spans="1:15">
      <c r="A78" s="7"/>
      <c r="B78" s="8">
        <f>IF(A78="","",IFERROR(INDEX(Recipes!$B$5:$B$204,MATCH(A78,Recipes!$A$5:$A$204,0)),""))</f>
        <v>0</v>
      </c>
      <c r="C78" s="8">
        <f>IF(A78="","",IFERROR(INDEX(Recipes!$C$5:$C$204,MATCH(A78,Recipes!$A$5:$A$204,0)),""))</f>
        <v>0</v>
      </c>
      <c r="D78" s="8">
        <f>IF(A78="","",COUNTIFS('Meal Plan'!$G$5:$G$504,A78,'Meal Plan'!$S$5:$S$504,"Cooked")+COUNTIFS('Meal Plan'!$G$5:$G$504,A78,'Meal Plan'!$S$5:$S$504,"Eaten"))</f>
        <v>0</v>
      </c>
      <c r="E78" s="8">
        <f>IF(A78="","",IFERROR(INDEX(Recipes!$X$5:$X$204,MATCH(A78,Recipes!$A$5:$A$204,0)),""))</f>
        <v>0</v>
      </c>
      <c r="F78" s="8">
        <f>IF(OR(A78="",E78=""),"",TODAY()-E78)</f>
        <v>0</v>
      </c>
      <c r="G78" s="8">
        <f>IF(OR(A78="",D78=0),"",ROUND(365/D78,0))</f>
        <v>0</v>
      </c>
      <c r="H78" s="8">
        <f>IF(A78="","",IF(F78="","Yes",IF(F78&gt;=Rotation_Gap_Days,"Yes","No")))</f>
        <v>0</v>
      </c>
      <c r="I78" s="8">
        <f>IF(OR(A78="",E78=""),"",E78+Rotation_Gap_Days)</f>
        <v>0</v>
      </c>
      <c r="J78" s="8">
        <f>IF(OR(A78="",I78=""),"",I78-TODAY())</f>
        <v>0</v>
      </c>
      <c r="K78" s="8">
        <f>IF(OR(A78="",F78=""),"",COUNTIFS($F$5:$F$204,"&lt;"&amp;F78)+1)</f>
        <v>0</v>
      </c>
      <c r="L78" s="8">
        <f>IF(A78="","",IFERROR(INDEX(Recipes!$AB$5:$AB$204,MATCH(A78,Recipes!$A$5:$A$204,0)),""))</f>
        <v>0</v>
      </c>
      <c r="M78" s="8">
        <f>IF(A78="","",IFERROR(INDEX(Recipes!$AN$5:$AN$204,MATCH(A78,Recipes!$A$5:$A$204,0)),""))</f>
        <v>0</v>
      </c>
      <c r="N78" s="8">
        <f>IF(A78="","",IF(H78="No","Too soon",IF(F78="","Never cooked",IF(F78&gt;=90,"Overdue","Available"))))</f>
        <v>0</v>
      </c>
      <c r="O78" s="25"/>
    </row>
    <row r="79" spans="1:15">
      <c r="A79" s="7"/>
      <c r="B79" s="8">
        <f>IF(A79="","",IFERROR(INDEX(Recipes!$B$5:$B$204,MATCH(A79,Recipes!$A$5:$A$204,0)),""))</f>
        <v>0</v>
      </c>
      <c r="C79" s="8">
        <f>IF(A79="","",IFERROR(INDEX(Recipes!$C$5:$C$204,MATCH(A79,Recipes!$A$5:$A$204,0)),""))</f>
        <v>0</v>
      </c>
      <c r="D79" s="8">
        <f>IF(A79="","",COUNTIFS('Meal Plan'!$G$5:$G$504,A79,'Meal Plan'!$S$5:$S$504,"Cooked")+COUNTIFS('Meal Plan'!$G$5:$G$504,A79,'Meal Plan'!$S$5:$S$504,"Eaten"))</f>
        <v>0</v>
      </c>
      <c r="E79" s="8">
        <f>IF(A79="","",IFERROR(INDEX(Recipes!$X$5:$X$204,MATCH(A79,Recipes!$A$5:$A$204,0)),""))</f>
        <v>0</v>
      </c>
      <c r="F79" s="8">
        <f>IF(OR(A79="",E79=""),"",TODAY()-E79)</f>
        <v>0</v>
      </c>
      <c r="G79" s="8">
        <f>IF(OR(A79="",D79=0),"",ROUND(365/D79,0))</f>
        <v>0</v>
      </c>
      <c r="H79" s="8">
        <f>IF(A79="","",IF(F79="","Yes",IF(F79&gt;=Rotation_Gap_Days,"Yes","No")))</f>
        <v>0</v>
      </c>
      <c r="I79" s="8">
        <f>IF(OR(A79="",E79=""),"",E79+Rotation_Gap_Days)</f>
        <v>0</v>
      </c>
      <c r="J79" s="8">
        <f>IF(OR(A79="",I79=""),"",I79-TODAY())</f>
        <v>0</v>
      </c>
      <c r="K79" s="8">
        <f>IF(OR(A79="",F79=""),"",COUNTIFS($F$5:$F$204,"&lt;"&amp;F79)+1)</f>
        <v>0</v>
      </c>
      <c r="L79" s="8">
        <f>IF(A79="","",IFERROR(INDEX(Recipes!$AB$5:$AB$204,MATCH(A79,Recipes!$A$5:$A$204,0)),""))</f>
        <v>0</v>
      </c>
      <c r="M79" s="8">
        <f>IF(A79="","",IFERROR(INDEX(Recipes!$AN$5:$AN$204,MATCH(A79,Recipes!$A$5:$A$204,0)),""))</f>
        <v>0</v>
      </c>
      <c r="N79" s="8">
        <f>IF(A79="","",IF(H79="No","Too soon",IF(F79="","Never cooked",IF(F79&gt;=90,"Overdue","Available"))))</f>
        <v>0</v>
      </c>
      <c r="O79" s="25"/>
    </row>
    <row r="80" spans="1:15">
      <c r="A80" s="7"/>
      <c r="B80" s="8">
        <f>IF(A80="","",IFERROR(INDEX(Recipes!$B$5:$B$204,MATCH(A80,Recipes!$A$5:$A$204,0)),""))</f>
        <v>0</v>
      </c>
      <c r="C80" s="8">
        <f>IF(A80="","",IFERROR(INDEX(Recipes!$C$5:$C$204,MATCH(A80,Recipes!$A$5:$A$204,0)),""))</f>
        <v>0</v>
      </c>
      <c r="D80" s="8">
        <f>IF(A80="","",COUNTIFS('Meal Plan'!$G$5:$G$504,A80,'Meal Plan'!$S$5:$S$504,"Cooked")+COUNTIFS('Meal Plan'!$G$5:$G$504,A80,'Meal Plan'!$S$5:$S$504,"Eaten"))</f>
        <v>0</v>
      </c>
      <c r="E80" s="8">
        <f>IF(A80="","",IFERROR(INDEX(Recipes!$X$5:$X$204,MATCH(A80,Recipes!$A$5:$A$204,0)),""))</f>
        <v>0</v>
      </c>
      <c r="F80" s="8">
        <f>IF(OR(A80="",E80=""),"",TODAY()-E80)</f>
        <v>0</v>
      </c>
      <c r="G80" s="8">
        <f>IF(OR(A80="",D80=0),"",ROUND(365/D80,0))</f>
        <v>0</v>
      </c>
      <c r="H80" s="8">
        <f>IF(A80="","",IF(F80="","Yes",IF(F80&gt;=Rotation_Gap_Days,"Yes","No")))</f>
        <v>0</v>
      </c>
      <c r="I80" s="8">
        <f>IF(OR(A80="",E80=""),"",E80+Rotation_Gap_Days)</f>
        <v>0</v>
      </c>
      <c r="J80" s="8">
        <f>IF(OR(A80="",I80=""),"",I80-TODAY())</f>
        <v>0</v>
      </c>
      <c r="K80" s="8">
        <f>IF(OR(A80="",F80=""),"",COUNTIFS($F$5:$F$204,"&lt;"&amp;F80)+1)</f>
        <v>0</v>
      </c>
      <c r="L80" s="8">
        <f>IF(A80="","",IFERROR(INDEX(Recipes!$AB$5:$AB$204,MATCH(A80,Recipes!$A$5:$A$204,0)),""))</f>
        <v>0</v>
      </c>
      <c r="M80" s="8">
        <f>IF(A80="","",IFERROR(INDEX(Recipes!$AN$5:$AN$204,MATCH(A80,Recipes!$A$5:$A$204,0)),""))</f>
        <v>0</v>
      </c>
      <c r="N80" s="8">
        <f>IF(A80="","",IF(H80="No","Too soon",IF(F80="","Never cooked",IF(F80&gt;=90,"Overdue","Available"))))</f>
        <v>0</v>
      </c>
      <c r="O80" s="25"/>
    </row>
    <row r="81" spans="1:15">
      <c r="A81" s="7"/>
      <c r="B81" s="8">
        <f>IF(A81="","",IFERROR(INDEX(Recipes!$B$5:$B$204,MATCH(A81,Recipes!$A$5:$A$204,0)),""))</f>
        <v>0</v>
      </c>
      <c r="C81" s="8">
        <f>IF(A81="","",IFERROR(INDEX(Recipes!$C$5:$C$204,MATCH(A81,Recipes!$A$5:$A$204,0)),""))</f>
        <v>0</v>
      </c>
      <c r="D81" s="8">
        <f>IF(A81="","",COUNTIFS('Meal Plan'!$G$5:$G$504,A81,'Meal Plan'!$S$5:$S$504,"Cooked")+COUNTIFS('Meal Plan'!$G$5:$G$504,A81,'Meal Plan'!$S$5:$S$504,"Eaten"))</f>
        <v>0</v>
      </c>
      <c r="E81" s="8">
        <f>IF(A81="","",IFERROR(INDEX(Recipes!$X$5:$X$204,MATCH(A81,Recipes!$A$5:$A$204,0)),""))</f>
        <v>0</v>
      </c>
      <c r="F81" s="8">
        <f>IF(OR(A81="",E81=""),"",TODAY()-E81)</f>
        <v>0</v>
      </c>
      <c r="G81" s="8">
        <f>IF(OR(A81="",D81=0),"",ROUND(365/D81,0))</f>
        <v>0</v>
      </c>
      <c r="H81" s="8">
        <f>IF(A81="","",IF(F81="","Yes",IF(F81&gt;=Rotation_Gap_Days,"Yes","No")))</f>
        <v>0</v>
      </c>
      <c r="I81" s="8">
        <f>IF(OR(A81="",E81=""),"",E81+Rotation_Gap_Days)</f>
        <v>0</v>
      </c>
      <c r="J81" s="8">
        <f>IF(OR(A81="",I81=""),"",I81-TODAY())</f>
        <v>0</v>
      </c>
      <c r="K81" s="8">
        <f>IF(OR(A81="",F81=""),"",COUNTIFS($F$5:$F$204,"&lt;"&amp;F81)+1)</f>
        <v>0</v>
      </c>
      <c r="L81" s="8">
        <f>IF(A81="","",IFERROR(INDEX(Recipes!$AB$5:$AB$204,MATCH(A81,Recipes!$A$5:$A$204,0)),""))</f>
        <v>0</v>
      </c>
      <c r="M81" s="8">
        <f>IF(A81="","",IFERROR(INDEX(Recipes!$AN$5:$AN$204,MATCH(A81,Recipes!$A$5:$A$204,0)),""))</f>
        <v>0</v>
      </c>
      <c r="N81" s="8">
        <f>IF(A81="","",IF(H81="No","Too soon",IF(F81="","Never cooked",IF(F81&gt;=90,"Overdue","Available"))))</f>
        <v>0</v>
      </c>
      <c r="O81" s="25"/>
    </row>
    <row r="82" spans="1:15">
      <c r="A82" s="7"/>
      <c r="B82" s="8">
        <f>IF(A82="","",IFERROR(INDEX(Recipes!$B$5:$B$204,MATCH(A82,Recipes!$A$5:$A$204,0)),""))</f>
        <v>0</v>
      </c>
      <c r="C82" s="8">
        <f>IF(A82="","",IFERROR(INDEX(Recipes!$C$5:$C$204,MATCH(A82,Recipes!$A$5:$A$204,0)),""))</f>
        <v>0</v>
      </c>
      <c r="D82" s="8">
        <f>IF(A82="","",COUNTIFS('Meal Plan'!$G$5:$G$504,A82,'Meal Plan'!$S$5:$S$504,"Cooked")+COUNTIFS('Meal Plan'!$G$5:$G$504,A82,'Meal Plan'!$S$5:$S$504,"Eaten"))</f>
        <v>0</v>
      </c>
      <c r="E82" s="8">
        <f>IF(A82="","",IFERROR(INDEX(Recipes!$X$5:$X$204,MATCH(A82,Recipes!$A$5:$A$204,0)),""))</f>
        <v>0</v>
      </c>
      <c r="F82" s="8">
        <f>IF(OR(A82="",E82=""),"",TODAY()-E82)</f>
        <v>0</v>
      </c>
      <c r="G82" s="8">
        <f>IF(OR(A82="",D82=0),"",ROUND(365/D82,0))</f>
        <v>0</v>
      </c>
      <c r="H82" s="8">
        <f>IF(A82="","",IF(F82="","Yes",IF(F82&gt;=Rotation_Gap_Days,"Yes","No")))</f>
        <v>0</v>
      </c>
      <c r="I82" s="8">
        <f>IF(OR(A82="",E82=""),"",E82+Rotation_Gap_Days)</f>
        <v>0</v>
      </c>
      <c r="J82" s="8">
        <f>IF(OR(A82="",I82=""),"",I82-TODAY())</f>
        <v>0</v>
      </c>
      <c r="K82" s="8">
        <f>IF(OR(A82="",F82=""),"",COUNTIFS($F$5:$F$204,"&lt;"&amp;F82)+1)</f>
        <v>0</v>
      </c>
      <c r="L82" s="8">
        <f>IF(A82="","",IFERROR(INDEX(Recipes!$AB$5:$AB$204,MATCH(A82,Recipes!$A$5:$A$204,0)),""))</f>
        <v>0</v>
      </c>
      <c r="M82" s="8">
        <f>IF(A82="","",IFERROR(INDEX(Recipes!$AN$5:$AN$204,MATCH(A82,Recipes!$A$5:$A$204,0)),""))</f>
        <v>0</v>
      </c>
      <c r="N82" s="8">
        <f>IF(A82="","",IF(H82="No","Too soon",IF(F82="","Never cooked",IF(F82&gt;=90,"Overdue","Available"))))</f>
        <v>0</v>
      </c>
      <c r="O82" s="25"/>
    </row>
    <row r="83" spans="1:15">
      <c r="A83" s="7"/>
      <c r="B83" s="8">
        <f>IF(A83="","",IFERROR(INDEX(Recipes!$B$5:$B$204,MATCH(A83,Recipes!$A$5:$A$204,0)),""))</f>
        <v>0</v>
      </c>
      <c r="C83" s="8">
        <f>IF(A83="","",IFERROR(INDEX(Recipes!$C$5:$C$204,MATCH(A83,Recipes!$A$5:$A$204,0)),""))</f>
        <v>0</v>
      </c>
      <c r="D83" s="8">
        <f>IF(A83="","",COUNTIFS('Meal Plan'!$G$5:$G$504,A83,'Meal Plan'!$S$5:$S$504,"Cooked")+COUNTIFS('Meal Plan'!$G$5:$G$504,A83,'Meal Plan'!$S$5:$S$504,"Eaten"))</f>
        <v>0</v>
      </c>
      <c r="E83" s="8">
        <f>IF(A83="","",IFERROR(INDEX(Recipes!$X$5:$X$204,MATCH(A83,Recipes!$A$5:$A$204,0)),""))</f>
        <v>0</v>
      </c>
      <c r="F83" s="8">
        <f>IF(OR(A83="",E83=""),"",TODAY()-E83)</f>
        <v>0</v>
      </c>
      <c r="G83" s="8">
        <f>IF(OR(A83="",D83=0),"",ROUND(365/D83,0))</f>
        <v>0</v>
      </c>
      <c r="H83" s="8">
        <f>IF(A83="","",IF(F83="","Yes",IF(F83&gt;=Rotation_Gap_Days,"Yes","No")))</f>
        <v>0</v>
      </c>
      <c r="I83" s="8">
        <f>IF(OR(A83="",E83=""),"",E83+Rotation_Gap_Days)</f>
        <v>0</v>
      </c>
      <c r="J83" s="8">
        <f>IF(OR(A83="",I83=""),"",I83-TODAY())</f>
        <v>0</v>
      </c>
      <c r="K83" s="8">
        <f>IF(OR(A83="",F83=""),"",COUNTIFS($F$5:$F$204,"&lt;"&amp;F83)+1)</f>
        <v>0</v>
      </c>
      <c r="L83" s="8">
        <f>IF(A83="","",IFERROR(INDEX(Recipes!$AB$5:$AB$204,MATCH(A83,Recipes!$A$5:$A$204,0)),""))</f>
        <v>0</v>
      </c>
      <c r="M83" s="8">
        <f>IF(A83="","",IFERROR(INDEX(Recipes!$AN$5:$AN$204,MATCH(A83,Recipes!$A$5:$A$204,0)),""))</f>
        <v>0</v>
      </c>
      <c r="N83" s="8">
        <f>IF(A83="","",IF(H83="No","Too soon",IF(F83="","Never cooked",IF(F83&gt;=90,"Overdue","Available"))))</f>
        <v>0</v>
      </c>
      <c r="O83" s="25"/>
    </row>
    <row r="84" spans="1:15">
      <c r="A84" s="7"/>
      <c r="B84" s="8">
        <f>IF(A84="","",IFERROR(INDEX(Recipes!$B$5:$B$204,MATCH(A84,Recipes!$A$5:$A$204,0)),""))</f>
        <v>0</v>
      </c>
      <c r="C84" s="8">
        <f>IF(A84="","",IFERROR(INDEX(Recipes!$C$5:$C$204,MATCH(A84,Recipes!$A$5:$A$204,0)),""))</f>
        <v>0</v>
      </c>
      <c r="D84" s="8">
        <f>IF(A84="","",COUNTIFS('Meal Plan'!$G$5:$G$504,A84,'Meal Plan'!$S$5:$S$504,"Cooked")+COUNTIFS('Meal Plan'!$G$5:$G$504,A84,'Meal Plan'!$S$5:$S$504,"Eaten"))</f>
        <v>0</v>
      </c>
      <c r="E84" s="8">
        <f>IF(A84="","",IFERROR(INDEX(Recipes!$X$5:$X$204,MATCH(A84,Recipes!$A$5:$A$204,0)),""))</f>
        <v>0</v>
      </c>
      <c r="F84" s="8">
        <f>IF(OR(A84="",E84=""),"",TODAY()-E84)</f>
        <v>0</v>
      </c>
      <c r="G84" s="8">
        <f>IF(OR(A84="",D84=0),"",ROUND(365/D84,0))</f>
        <v>0</v>
      </c>
      <c r="H84" s="8">
        <f>IF(A84="","",IF(F84="","Yes",IF(F84&gt;=Rotation_Gap_Days,"Yes","No")))</f>
        <v>0</v>
      </c>
      <c r="I84" s="8">
        <f>IF(OR(A84="",E84=""),"",E84+Rotation_Gap_Days)</f>
        <v>0</v>
      </c>
      <c r="J84" s="8">
        <f>IF(OR(A84="",I84=""),"",I84-TODAY())</f>
        <v>0</v>
      </c>
      <c r="K84" s="8">
        <f>IF(OR(A84="",F84=""),"",COUNTIFS($F$5:$F$204,"&lt;"&amp;F84)+1)</f>
        <v>0</v>
      </c>
      <c r="L84" s="8">
        <f>IF(A84="","",IFERROR(INDEX(Recipes!$AB$5:$AB$204,MATCH(A84,Recipes!$A$5:$A$204,0)),""))</f>
        <v>0</v>
      </c>
      <c r="M84" s="8">
        <f>IF(A84="","",IFERROR(INDEX(Recipes!$AN$5:$AN$204,MATCH(A84,Recipes!$A$5:$A$204,0)),""))</f>
        <v>0</v>
      </c>
      <c r="N84" s="8">
        <f>IF(A84="","",IF(H84="No","Too soon",IF(F84="","Never cooked",IF(F84&gt;=90,"Overdue","Available"))))</f>
        <v>0</v>
      </c>
      <c r="O84" s="25"/>
    </row>
    <row r="85" spans="1:15">
      <c r="A85" s="7"/>
      <c r="B85" s="8">
        <f>IF(A85="","",IFERROR(INDEX(Recipes!$B$5:$B$204,MATCH(A85,Recipes!$A$5:$A$204,0)),""))</f>
        <v>0</v>
      </c>
      <c r="C85" s="8">
        <f>IF(A85="","",IFERROR(INDEX(Recipes!$C$5:$C$204,MATCH(A85,Recipes!$A$5:$A$204,0)),""))</f>
        <v>0</v>
      </c>
      <c r="D85" s="8">
        <f>IF(A85="","",COUNTIFS('Meal Plan'!$G$5:$G$504,A85,'Meal Plan'!$S$5:$S$504,"Cooked")+COUNTIFS('Meal Plan'!$G$5:$G$504,A85,'Meal Plan'!$S$5:$S$504,"Eaten"))</f>
        <v>0</v>
      </c>
      <c r="E85" s="8">
        <f>IF(A85="","",IFERROR(INDEX(Recipes!$X$5:$X$204,MATCH(A85,Recipes!$A$5:$A$204,0)),""))</f>
        <v>0</v>
      </c>
      <c r="F85" s="8">
        <f>IF(OR(A85="",E85=""),"",TODAY()-E85)</f>
        <v>0</v>
      </c>
      <c r="G85" s="8">
        <f>IF(OR(A85="",D85=0),"",ROUND(365/D85,0))</f>
        <v>0</v>
      </c>
      <c r="H85" s="8">
        <f>IF(A85="","",IF(F85="","Yes",IF(F85&gt;=Rotation_Gap_Days,"Yes","No")))</f>
        <v>0</v>
      </c>
      <c r="I85" s="8">
        <f>IF(OR(A85="",E85=""),"",E85+Rotation_Gap_Days)</f>
        <v>0</v>
      </c>
      <c r="J85" s="8">
        <f>IF(OR(A85="",I85=""),"",I85-TODAY())</f>
        <v>0</v>
      </c>
      <c r="K85" s="8">
        <f>IF(OR(A85="",F85=""),"",COUNTIFS($F$5:$F$204,"&lt;"&amp;F85)+1)</f>
        <v>0</v>
      </c>
      <c r="L85" s="8">
        <f>IF(A85="","",IFERROR(INDEX(Recipes!$AB$5:$AB$204,MATCH(A85,Recipes!$A$5:$A$204,0)),""))</f>
        <v>0</v>
      </c>
      <c r="M85" s="8">
        <f>IF(A85="","",IFERROR(INDEX(Recipes!$AN$5:$AN$204,MATCH(A85,Recipes!$A$5:$A$204,0)),""))</f>
        <v>0</v>
      </c>
      <c r="N85" s="8">
        <f>IF(A85="","",IF(H85="No","Too soon",IF(F85="","Never cooked",IF(F85&gt;=90,"Overdue","Available"))))</f>
        <v>0</v>
      </c>
      <c r="O85" s="25"/>
    </row>
    <row r="86" spans="1:15">
      <c r="A86" s="7"/>
      <c r="B86" s="8">
        <f>IF(A86="","",IFERROR(INDEX(Recipes!$B$5:$B$204,MATCH(A86,Recipes!$A$5:$A$204,0)),""))</f>
        <v>0</v>
      </c>
      <c r="C86" s="8">
        <f>IF(A86="","",IFERROR(INDEX(Recipes!$C$5:$C$204,MATCH(A86,Recipes!$A$5:$A$204,0)),""))</f>
        <v>0</v>
      </c>
      <c r="D86" s="8">
        <f>IF(A86="","",COUNTIFS('Meal Plan'!$G$5:$G$504,A86,'Meal Plan'!$S$5:$S$504,"Cooked")+COUNTIFS('Meal Plan'!$G$5:$G$504,A86,'Meal Plan'!$S$5:$S$504,"Eaten"))</f>
        <v>0</v>
      </c>
      <c r="E86" s="8">
        <f>IF(A86="","",IFERROR(INDEX(Recipes!$X$5:$X$204,MATCH(A86,Recipes!$A$5:$A$204,0)),""))</f>
        <v>0</v>
      </c>
      <c r="F86" s="8">
        <f>IF(OR(A86="",E86=""),"",TODAY()-E86)</f>
        <v>0</v>
      </c>
      <c r="G86" s="8">
        <f>IF(OR(A86="",D86=0),"",ROUND(365/D86,0))</f>
        <v>0</v>
      </c>
      <c r="H86" s="8">
        <f>IF(A86="","",IF(F86="","Yes",IF(F86&gt;=Rotation_Gap_Days,"Yes","No")))</f>
        <v>0</v>
      </c>
      <c r="I86" s="8">
        <f>IF(OR(A86="",E86=""),"",E86+Rotation_Gap_Days)</f>
        <v>0</v>
      </c>
      <c r="J86" s="8">
        <f>IF(OR(A86="",I86=""),"",I86-TODAY())</f>
        <v>0</v>
      </c>
      <c r="K86" s="8">
        <f>IF(OR(A86="",F86=""),"",COUNTIFS($F$5:$F$204,"&lt;"&amp;F86)+1)</f>
        <v>0</v>
      </c>
      <c r="L86" s="8">
        <f>IF(A86="","",IFERROR(INDEX(Recipes!$AB$5:$AB$204,MATCH(A86,Recipes!$A$5:$A$204,0)),""))</f>
        <v>0</v>
      </c>
      <c r="M86" s="8">
        <f>IF(A86="","",IFERROR(INDEX(Recipes!$AN$5:$AN$204,MATCH(A86,Recipes!$A$5:$A$204,0)),""))</f>
        <v>0</v>
      </c>
      <c r="N86" s="8">
        <f>IF(A86="","",IF(H86="No","Too soon",IF(F86="","Never cooked",IF(F86&gt;=90,"Overdue","Available"))))</f>
        <v>0</v>
      </c>
      <c r="O86" s="25"/>
    </row>
    <row r="87" spans="1:15">
      <c r="A87" s="7"/>
      <c r="B87" s="8">
        <f>IF(A87="","",IFERROR(INDEX(Recipes!$B$5:$B$204,MATCH(A87,Recipes!$A$5:$A$204,0)),""))</f>
        <v>0</v>
      </c>
      <c r="C87" s="8">
        <f>IF(A87="","",IFERROR(INDEX(Recipes!$C$5:$C$204,MATCH(A87,Recipes!$A$5:$A$204,0)),""))</f>
        <v>0</v>
      </c>
      <c r="D87" s="8">
        <f>IF(A87="","",COUNTIFS('Meal Plan'!$G$5:$G$504,A87,'Meal Plan'!$S$5:$S$504,"Cooked")+COUNTIFS('Meal Plan'!$G$5:$G$504,A87,'Meal Plan'!$S$5:$S$504,"Eaten"))</f>
        <v>0</v>
      </c>
      <c r="E87" s="8">
        <f>IF(A87="","",IFERROR(INDEX(Recipes!$X$5:$X$204,MATCH(A87,Recipes!$A$5:$A$204,0)),""))</f>
        <v>0</v>
      </c>
      <c r="F87" s="8">
        <f>IF(OR(A87="",E87=""),"",TODAY()-E87)</f>
        <v>0</v>
      </c>
      <c r="G87" s="8">
        <f>IF(OR(A87="",D87=0),"",ROUND(365/D87,0))</f>
        <v>0</v>
      </c>
      <c r="H87" s="8">
        <f>IF(A87="","",IF(F87="","Yes",IF(F87&gt;=Rotation_Gap_Days,"Yes","No")))</f>
        <v>0</v>
      </c>
      <c r="I87" s="8">
        <f>IF(OR(A87="",E87=""),"",E87+Rotation_Gap_Days)</f>
        <v>0</v>
      </c>
      <c r="J87" s="8">
        <f>IF(OR(A87="",I87=""),"",I87-TODAY())</f>
        <v>0</v>
      </c>
      <c r="K87" s="8">
        <f>IF(OR(A87="",F87=""),"",COUNTIFS($F$5:$F$204,"&lt;"&amp;F87)+1)</f>
        <v>0</v>
      </c>
      <c r="L87" s="8">
        <f>IF(A87="","",IFERROR(INDEX(Recipes!$AB$5:$AB$204,MATCH(A87,Recipes!$A$5:$A$204,0)),""))</f>
        <v>0</v>
      </c>
      <c r="M87" s="8">
        <f>IF(A87="","",IFERROR(INDEX(Recipes!$AN$5:$AN$204,MATCH(A87,Recipes!$A$5:$A$204,0)),""))</f>
        <v>0</v>
      </c>
      <c r="N87" s="8">
        <f>IF(A87="","",IF(H87="No","Too soon",IF(F87="","Never cooked",IF(F87&gt;=90,"Overdue","Available"))))</f>
        <v>0</v>
      </c>
      <c r="O87" s="25"/>
    </row>
    <row r="88" spans="1:15">
      <c r="A88" s="7"/>
      <c r="B88" s="8">
        <f>IF(A88="","",IFERROR(INDEX(Recipes!$B$5:$B$204,MATCH(A88,Recipes!$A$5:$A$204,0)),""))</f>
        <v>0</v>
      </c>
      <c r="C88" s="8">
        <f>IF(A88="","",IFERROR(INDEX(Recipes!$C$5:$C$204,MATCH(A88,Recipes!$A$5:$A$204,0)),""))</f>
        <v>0</v>
      </c>
      <c r="D88" s="8">
        <f>IF(A88="","",COUNTIFS('Meal Plan'!$G$5:$G$504,A88,'Meal Plan'!$S$5:$S$504,"Cooked")+COUNTIFS('Meal Plan'!$G$5:$G$504,A88,'Meal Plan'!$S$5:$S$504,"Eaten"))</f>
        <v>0</v>
      </c>
      <c r="E88" s="8">
        <f>IF(A88="","",IFERROR(INDEX(Recipes!$X$5:$X$204,MATCH(A88,Recipes!$A$5:$A$204,0)),""))</f>
        <v>0</v>
      </c>
      <c r="F88" s="8">
        <f>IF(OR(A88="",E88=""),"",TODAY()-E88)</f>
        <v>0</v>
      </c>
      <c r="G88" s="8">
        <f>IF(OR(A88="",D88=0),"",ROUND(365/D88,0))</f>
        <v>0</v>
      </c>
      <c r="H88" s="8">
        <f>IF(A88="","",IF(F88="","Yes",IF(F88&gt;=Rotation_Gap_Days,"Yes","No")))</f>
        <v>0</v>
      </c>
      <c r="I88" s="8">
        <f>IF(OR(A88="",E88=""),"",E88+Rotation_Gap_Days)</f>
        <v>0</v>
      </c>
      <c r="J88" s="8">
        <f>IF(OR(A88="",I88=""),"",I88-TODAY())</f>
        <v>0</v>
      </c>
      <c r="K88" s="8">
        <f>IF(OR(A88="",F88=""),"",COUNTIFS($F$5:$F$204,"&lt;"&amp;F88)+1)</f>
        <v>0</v>
      </c>
      <c r="L88" s="8">
        <f>IF(A88="","",IFERROR(INDEX(Recipes!$AB$5:$AB$204,MATCH(A88,Recipes!$A$5:$A$204,0)),""))</f>
        <v>0</v>
      </c>
      <c r="M88" s="8">
        <f>IF(A88="","",IFERROR(INDEX(Recipes!$AN$5:$AN$204,MATCH(A88,Recipes!$A$5:$A$204,0)),""))</f>
        <v>0</v>
      </c>
      <c r="N88" s="8">
        <f>IF(A88="","",IF(H88="No","Too soon",IF(F88="","Never cooked",IF(F88&gt;=90,"Overdue","Available"))))</f>
        <v>0</v>
      </c>
      <c r="O88" s="25"/>
    </row>
    <row r="89" spans="1:15">
      <c r="A89" s="7"/>
      <c r="B89" s="8">
        <f>IF(A89="","",IFERROR(INDEX(Recipes!$B$5:$B$204,MATCH(A89,Recipes!$A$5:$A$204,0)),""))</f>
        <v>0</v>
      </c>
      <c r="C89" s="8">
        <f>IF(A89="","",IFERROR(INDEX(Recipes!$C$5:$C$204,MATCH(A89,Recipes!$A$5:$A$204,0)),""))</f>
        <v>0</v>
      </c>
      <c r="D89" s="8">
        <f>IF(A89="","",COUNTIFS('Meal Plan'!$G$5:$G$504,A89,'Meal Plan'!$S$5:$S$504,"Cooked")+COUNTIFS('Meal Plan'!$G$5:$G$504,A89,'Meal Plan'!$S$5:$S$504,"Eaten"))</f>
        <v>0</v>
      </c>
      <c r="E89" s="8">
        <f>IF(A89="","",IFERROR(INDEX(Recipes!$X$5:$X$204,MATCH(A89,Recipes!$A$5:$A$204,0)),""))</f>
        <v>0</v>
      </c>
      <c r="F89" s="8">
        <f>IF(OR(A89="",E89=""),"",TODAY()-E89)</f>
        <v>0</v>
      </c>
      <c r="G89" s="8">
        <f>IF(OR(A89="",D89=0),"",ROUND(365/D89,0))</f>
        <v>0</v>
      </c>
      <c r="H89" s="8">
        <f>IF(A89="","",IF(F89="","Yes",IF(F89&gt;=Rotation_Gap_Days,"Yes","No")))</f>
        <v>0</v>
      </c>
      <c r="I89" s="8">
        <f>IF(OR(A89="",E89=""),"",E89+Rotation_Gap_Days)</f>
        <v>0</v>
      </c>
      <c r="J89" s="8">
        <f>IF(OR(A89="",I89=""),"",I89-TODAY())</f>
        <v>0</v>
      </c>
      <c r="K89" s="8">
        <f>IF(OR(A89="",F89=""),"",COUNTIFS($F$5:$F$204,"&lt;"&amp;F89)+1)</f>
        <v>0</v>
      </c>
      <c r="L89" s="8">
        <f>IF(A89="","",IFERROR(INDEX(Recipes!$AB$5:$AB$204,MATCH(A89,Recipes!$A$5:$A$204,0)),""))</f>
        <v>0</v>
      </c>
      <c r="M89" s="8">
        <f>IF(A89="","",IFERROR(INDEX(Recipes!$AN$5:$AN$204,MATCH(A89,Recipes!$A$5:$A$204,0)),""))</f>
        <v>0</v>
      </c>
      <c r="N89" s="8">
        <f>IF(A89="","",IF(H89="No","Too soon",IF(F89="","Never cooked",IF(F89&gt;=90,"Overdue","Available"))))</f>
        <v>0</v>
      </c>
      <c r="O89" s="25"/>
    </row>
    <row r="90" spans="1:15">
      <c r="A90" s="7"/>
      <c r="B90" s="8">
        <f>IF(A90="","",IFERROR(INDEX(Recipes!$B$5:$B$204,MATCH(A90,Recipes!$A$5:$A$204,0)),""))</f>
        <v>0</v>
      </c>
      <c r="C90" s="8">
        <f>IF(A90="","",IFERROR(INDEX(Recipes!$C$5:$C$204,MATCH(A90,Recipes!$A$5:$A$204,0)),""))</f>
        <v>0</v>
      </c>
      <c r="D90" s="8">
        <f>IF(A90="","",COUNTIFS('Meal Plan'!$G$5:$G$504,A90,'Meal Plan'!$S$5:$S$504,"Cooked")+COUNTIFS('Meal Plan'!$G$5:$G$504,A90,'Meal Plan'!$S$5:$S$504,"Eaten"))</f>
        <v>0</v>
      </c>
      <c r="E90" s="8">
        <f>IF(A90="","",IFERROR(INDEX(Recipes!$X$5:$X$204,MATCH(A90,Recipes!$A$5:$A$204,0)),""))</f>
        <v>0</v>
      </c>
      <c r="F90" s="8">
        <f>IF(OR(A90="",E90=""),"",TODAY()-E90)</f>
        <v>0</v>
      </c>
      <c r="G90" s="8">
        <f>IF(OR(A90="",D90=0),"",ROUND(365/D90,0))</f>
        <v>0</v>
      </c>
      <c r="H90" s="8">
        <f>IF(A90="","",IF(F90="","Yes",IF(F90&gt;=Rotation_Gap_Days,"Yes","No")))</f>
        <v>0</v>
      </c>
      <c r="I90" s="8">
        <f>IF(OR(A90="",E90=""),"",E90+Rotation_Gap_Days)</f>
        <v>0</v>
      </c>
      <c r="J90" s="8">
        <f>IF(OR(A90="",I90=""),"",I90-TODAY())</f>
        <v>0</v>
      </c>
      <c r="K90" s="8">
        <f>IF(OR(A90="",F90=""),"",COUNTIFS($F$5:$F$204,"&lt;"&amp;F90)+1)</f>
        <v>0</v>
      </c>
      <c r="L90" s="8">
        <f>IF(A90="","",IFERROR(INDEX(Recipes!$AB$5:$AB$204,MATCH(A90,Recipes!$A$5:$A$204,0)),""))</f>
        <v>0</v>
      </c>
      <c r="M90" s="8">
        <f>IF(A90="","",IFERROR(INDEX(Recipes!$AN$5:$AN$204,MATCH(A90,Recipes!$A$5:$A$204,0)),""))</f>
        <v>0</v>
      </c>
      <c r="N90" s="8">
        <f>IF(A90="","",IF(H90="No","Too soon",IF(F90="","Never cooked",IF(F90&gt;=90,"Overdue","Available"))))</f>
        <v>0</v>
      </c>
      <c r="O90" s="25"/>
    </row>
    <row r="91" spans="1:15">
      <c r="A91" s="7"/>
      <c r="B91" s="8">
        <f>IF(A91="","",IFERROR(INDEX(Recipes!$B$5:$B$204,MATCH(A91,Recipes!$A$5:$A$204,0)),""))</f>
        <v>0</v>
      </c>
      <c r="C91" s="8">
        <f>IF(A91="","",IFERROR(INDEX(Recipes!$C$5:$C$204,MATCH(A91,Recipes!$A$5:$A$204,0)),""))</f>
        <v>0</v>
      </c>
      <c r="D91" s="8">
        <f>IF(A91="","",COUNTIFS('Meal Plan'!$G$5:$G$504,A91,'Meal Plan'!$S$5:$S$504,"Cooked")+COUNTIFS('Meal Plan'!$G$5:$G$504,A91,'Meal Plan'!$S$5:$S$504,"Eaten"))</f>
        <v>0</v>
      </c>
      <c r="E91" s="8">
        <f>IF(A91="","",IFERROR(INDEX(Recipes!$X$5:$X$204,MATCH(A91,Recipes!$A$5:$A$204,0)),""))</f>
        <v>0</v>
      </c>
      <c r="F91" s="8">
        <f>IF(OR(A91="",E91=""),"",TODAY()-E91)</f>
        <v>0</v>
      </c>
      <c r="G91" s="8">
        <f>IF(OR(A91="",D91=0),"",ROUND(365/D91,0))</f>
        <v>0</v>
      </c>
      <c r="H91" s="8">
        <f>IF(A91="","",IF(F91="","Yes",IF(F91&gt;=Rotation_Gap_Days,"Yes","No")))</f>
        <v>0</v>
      </c>
      <c r="I91" s="8">
        <f>IF(OR(A91="",E91=""),"",E91+Rotation_Gap_Days)</f>
        <v>0</v>
      </c>
      <c r="J91" s="8">
        <f>IF(OR(A91="",I91=""),"",I91-TODAY())</f>
        <v>0</v>
      </c>
      <c r="K91" s="8">
        <f>IF(OR(A91="",F91=""),"",COUNTIFS($F$5:$F$204,"&lt;"&amp;F91)+1)</f>
        <v>0</v>
      </c>
      <c r="L91" s="8">
        <f>IF(A91="","",IFERROR(INDEX(Recipes!$AB$5:$AB$204,MATCH(A91,Recipes!$A$5:$A$204,0)),""))</f>
        <v>0</v>
      </c>
      <c r="M91" s="8">
        <f>IF(A91="","",IFERROR(INDEX(Recipes!$AN$5:$AN$204,MATCH(A91,Recipes!$A$5:$A$204,0)),""))</f>
        <v>0</v>
      </c>
      <c r="N91" s="8">
        <f>IF(A91="","",IF(H91="No","Too soon",IF(F91="","Never cooked",IF(F91&gt;=90,"Overdue","Available"))))</f>
        <v>0</v>
      </c>
      <c r="O91" s="25"/>
    </row>
    <row r="92" spans="1:15">
      <c r="A92" s="7"/>
      <c r="B92" s="8">
        <f>IF(A92="","",IFERROR(INDEX(Recipes!$B$5:$B$204,MATCH(A92,Recipes!$A$5:$A$204,0)),""))</f>
        <v>0</v>
      </c>
      <c r="C92" s="8">
        <f>IF(A92="","",IFERROR(INDEX(Recipes!$C$5:$C$204,MATCH(A92,Recipes!$A$5:$A$204,0)),""))</f>
        <v>0</v>
      </c>
      <c r="D92" s="8">
        <f>IF(A92="","",COUNTIFS('Meal Plan'!$G$5:$G$504,A92,'Meal Plan'!$S$5:$S$504,"Cooked")+COUNTIFS('Meal Plan'!$G$5:$G$504,A92,'Meal Plan'!$S$5:$S$504,"Eaten"))</f>
        <v>0</v>
      </c>
      <c r="E92" s="8">
        <f>IF(A92="","",IFERROR(INDEX(Recipes!$X$5:$X$204,MATCH(A92,Recipes!$A$5:$A$204,0)),""))</f>
        <v>0</v>
      </c>
      <c r="F92" s="8">
        <f>IF(OR(A92="",E92=""),"",TODAY()-E92)</f>
        <v>0</v>
      </c>
      <c r="G92" s="8">
        <f>IF(OR(A92="",D92=0),"",ROUND(365/D92,0))</f>
        <v>0</v>
      </c>
      <c r="H92" s="8">
        <f>IF(A92="","",IF(F92="","Yes",IF(F92&gt;=Rotation_Gap_Days,"Yes","No")))</f>
        <v>0</v>
      </c>
      <c r="I92" s="8">
        <f>IF(OR(A92="",E92=""),"",E92+Rotation_Gap_Days)</f>
        <v>0</v>
      </c>
      <c r="J92" s="8">
        <f>IF(OR(A92="",I92=""),"",I92-TODAY())</f>
        <v>0</v>
      </c>
      <c r="K92" s="8">
        <f>IF(OR(A92="",F92=""),"",COUNTIFS($F$5:$F$204,"&lt;"&amp;F92)+1)</f>
        <v>0</v>
      </c>
      <c r="L92" s="8">
        <f>IF(A92="","",IFERROR(INDEX(Recipes!$AB$5:$AB$204,MATCH(A92,Recipes!$A$5:$A$204,0)),""))</f>
        <v>0</v>
      </c>
      <c r="M92" s="8">
        <f>IF(A92="","",IFERROR(INDEX(Recipes!$AN$5:$AN$204,MATCH(A92,Recipes!$A$5:$A$204,0)),""))</f>
        <v>0</v>
      </c>
      <c r="N92" s="8">
        <f>IF(A92="","",IF(H92="No","Too soon",IF(F92="","Never cooked",IF(F92&gt;=90,"Overdue","Available"))))</f>
        <v>0</v>
      </c>
      <c r="O92" s="25"/>
    </row>
    <row r="93" spans="1:15">
      <c r="A93" s="7"/>
      <c r="B93" s="8">
        <f>IF(A93="","",IFERROR(INDEX(Recipes!$B$5:$B$204,MATCH(A93,Recipes!$A$5:$A$204,0)),""))</f>
        <v>0</v>
      </c>
      <c r="C93" s="8">
        <f>IF(A93="","",IFERROR(INDEX(Recipes!$C$5:$C$204,MATCH(A93,Recipes!$A$5:$A$204,0)),""))</f>
        <v>0</v>
      </c>
      <c r="D93" s="8">
        <f>IF(A93="","",COUNTIFS('Meal Plan'!$G$5:$G$504,A93,'Meal Plan'!$S$5:$S$504,"Cooked")+COUNTIFS('Meal Plan'!$G$5:$G$504,A93,'Meal Plan'!$S$5:$S$504,"Eaten"))</f>
        <v>0</v>
      </c>
      <c r="E93" s="8">
        <f>IF(A93="","",IFERROR(INDEX(Recipes!$X$5:$X$204,MATCH(A93,Recipes!$A$5:$A$204,0)),""))</f>
        <v>0</v>
      </c>
      <c r="F93" s="8">
        <f>IF(OR(A93="",E93=""),"",TODAY()-E93)</f>
        <v>0</v>
      </c>
      <c r="G93" s="8">
        <f>IF(OR(A93="",D93=0),"",ROUND(365/D93,0))</f>
        <v>0</v>
      </c>
      <c r="H93" s="8">
        <f>IF(A93="","",IF(F93="","Yes",IF(F93&gt;=Rotation_Gap_Days,"Yes","No")))</f>
        <v>0</v>
      </c>
      <c r="I93" s="8">
        <f>IF(OR(A93="",E93=""),"",E93+Rotation_Gap_Days)</f>
        <v>0</v>
      </c>
      <c r="J93" s="8">
        <f>IF(OR(A93="",I93=""),"",I93-TODAY())</f>
        <v>0</v>
      </c>
      <c r="K93" s="8">
        <f>IF(OR(A93="",F93=""),"",COUNTIFS($F$5:$F$204,"&lt;"&amp;F93)+1)</f>
        <v>0</v>
      </c>
      <c r="L93" s="8">
        <f>IF(A93="","",IFERROR(INDEX(Recipes!$AB$5:$AB$204,MATCH(A93,Recipes!$A$5:$A$204,0)),""))</f>
        <v>0</v>
      </c>
      <c r="M93" s="8">
        <f>IF(A93="","",IFERROR(INDEX(Recipes!$AN$5:$AN$204,MATCH(A93,Recipes!$A$5:$A$204,0)),""))</f>
        <v>0</v>
      </c>
      <c r="N93" s="8">
        <f>IF(A93="","",IF(H93="No","Too soon",IF(F93="","Never cooked",IF(F93&gt;=90,"Overdue","Available"))))</f>
        <v>0</v>
      </c>
      <c r="O93" s="25"/>
    </row>
    <row r="94" spans="1:15">
      <c r="A94" s="7"/>
      <c r="B94" s="8">
        <f>IF(A94="","",IFERROR(INDEX(Recipes!$B$5:$B$204,MATCH(A94,Recipes!$A$5:$A$204,0)),""))</f>
        <v>0</v>
      </c>
      <c r="C94" s="8">
        <f>IF(A94="","",IFERROR(INDEX(Recipes!$C$5:$C$204,MATCH(A94,Recipes!$A$5:$A$204,0)),""))</f>
        <v>0</v>
      </c>
      <c r="D94" s="8">
        <f>IF(A94="","",COUNTIFS('Meal Plan'!$G$5:$G$504,A94,'Meal Plan'!$S$5:$S$504,"Cooked")+COUNTIFS('Meal Plan'!$G$5:$G$504,A94,'Meal Plan'!$S$5:$S$504,"Eaten"))</f>
        <v>0</v>
      </c>
      <c r="E94" s="8">
        <f>IF(A94="","",IFERROR(INDEX(Recipes!$X$5:$X$204,MATCH(A94,Recipes!$A$5:$A$204,0)),""))</f>
        <v>0</v>
      </c>
      <c r="F94" s="8">
        <f>IF(OR(A94="",E94=""),"",TODAY()-E94)</f>
        <v>0</v>
      </c>
      <c r="G94" s="8">
        <f>IF(OR(A94="",D94=0),"",ROUND(365/D94,0))</f>
        <v>0</v>
      </c>
      <c r="H94" s="8">
        <f>IF(A94="","",IF(F94="","Yes",IF(F94&gt;=Rotation_Gap_Days,"Yes","No")))</f>
        <v>0</v>
      </c>
      <c r="I94" s="8">
        <f>IF(OR(A94="",E94=""),"",E94+Rotation_Gap_Days)</f>
        <v>0</v>
      </c>
      <c r="J94" s="8">
        <f>IF(OR(A94="",I94=""),"",I94-TODAY())</f>
        <v>0</v>
      </c>
      <c r="K94" s="8">
        <f>IF(OR(A94="",F94=""),"",COUNTIFS($F$5:$F$204,"&lt;"&amp;F94)+1)</f>
        <v>0</v>
      </c>
      <c r="L94" s="8">
        <f>IF(A94="","",IFERROR(INDEX(Recipes!$AB$5:$AB$204,MATCH(A94,Recipes!$A$5:$A$204,0)),""))</f>
        <v>0</v>
      </c>
      <c r="M94" s="8">
        <f>IF(A94="","",IFERROR(INDEX(Recipes!$AN$5:$AN$204,MATCH(A94,Recipes!$A$5:$A$204,0)),""))</f>
        <v>0</v>
      </c>
      <c r="N94" s="8">
        <f>IF(A94="","",IF(H94="No","Too soon",IF(F94="","Never cooked",IF(F94&gt;=90,"Overdue","Available"))))</f>
        <v>0</v>
      </c>
      <c r="O94" s="25"/>
    </row>
    <row r="95" spans="1:15">
      <c r="A95" s="7"/>
      <c r="B95" s="8">
        <f>IF(A95="","",IFERROR(INDEX(Recipes!$B$5:$B$204,MATCH(A95,Recipes!$A$5:$A$204,0)),""))</f>
        <v>0</v>
      </c>
      <c r="C95" s="8">
        <f>IF(A95="","",IFERROR(INDEX(Recipes!$C$5:$C$204,MATCH(A95,Recipes!$A$5:$A$204,0)),""))</f>
        <v>0</v>
      </c>
      <c r="D95" s="8">
        <f>IF(A95="","",COUNTIFS('Meal Plan'!$G$5:$G$504,A95,'Meal Plan'!$S$5:$S$504,"Cooked")+COUNTIFS('Meal Plan'!$G$5:$G$504,A95,'Meal Plan'!$S$5:$S$504,"Eaten"))</f>
        <v>0</v>
      </c>
      <c r="E95" s="8">
        <f>IF(A95="","",IFERROR(INDEX(Recipes!$X$5:$X$204,MATCH(A95,Recipes!$A$5:$A$204,0)),""))</f>
        <v>0</v>
      </c>
      <c r="F95" s="8">
        <f>IF(OR(A95="",E95=""),"",TODAY()-E95)</f>
        <v>0</v>
      </c>
      <c r="G95" s="8">
        <f>IF(OR(A95="",D95=0),"",ROUND(365/D95,0))</f>
        <v>0</v>
      </c>
      <c r="H95" s="8">
        <f>IF(A95="","",IF(F95="","Yes",IF(F95&gt;=Rotation_Gap_Days,"Yes","No")))</f>
        <v>0</v>
      </c>
      <c r="I95" s="8">
        <f>IF(OR(A95="",E95=""),"",E95+Rotation_Gap_Days)</f>
        <v>0</v>
      </c>
      <c r="J95" s="8">
        <f>IF(OR(A95="",I95=""),"",I95-TODAY())</f>
        <v>0</v>
      </c>
      <c r="K95" s="8">
        <f>IF(OR(A95="",F95=""),"",COUNTIFS($F$5:$F$204,"&lt;"&amp;F95)+1)</f>
        <v>0</v>
      </c>
      <c r="L95" s="8">
        <f>IF(A95="","",IFERROR(INDEX(Recipes!$AB$5:$AB$204,MATCH(A95,Recipes!$A$5:$A$204,0)),""))</f>
        <v>0</v>
      </c>
      <c r="M95" s="8">
        <f>IF(A95="","",IFERROR(INDEX(Recipes!$AN$5:$AN$204,MATCH(A95,Recipes!$A$5:$A$204,0)),""))</f>
        <v>0</v>
      </c>
      <c r="N95" s="8">
        <f>IF(A95="","",IF(H95="No","Too soon",IF(F95="","Never cooked",IF(F95&gt;=90,"Overdue","Available"))))</f>
        <v>0</v>
      </c>
      <c r="O95" s="25"/>
    </row>
    <row r="96" spans="1:15">
      <c r="A96" s="7"/>
      <c r="B96" s="8">
        <f>IF(A96="","",IFERROR(INDEX(Recipes!$B$5:$B$204,MATCH(A96,Recipes!$A$5:$A$204,0)),""))</f>
        <v>0</v>
      </c>
      <c r="C96" s="8">
        <f>IF(A96="","",IFERROR(INDEX(Recipes!$C$5:$C$204,MATCH(A96,Recipes!$A$5:$A$204,0)),""))</f>
        <v>0</v>
      </c>
      <c r="D96" s="8">
        <f>IF(A96="","",COUNTIFS('Meal Plan'!$G$5:$G$504,A96,'Meal Plan'!$S$5:$S$504,"Cooked")+COUNTIFS('Meal Plan'!$G$5:$G$504,A96,'Meal Plan'!$S$5:$S$504,"Eaten"))</f>
        <v>0</v>
      </c>
      <c r="E96" s="8">
        <f>IF(A96="","",IFERROR(INDEX(Recipes!$X$5:$X$204,MATCH(A96,Recipes!$A$5:$A$204,0)),""))</f>
        <v>0</v>
      </c>
      <c r="F96" s="8">
        <f>IF(OR(A96="",E96=""),"",TODAY()-E96)</f>
        <v>0</v>
      </c>
      <c r="G96" s="8">
        <f>IF(OR(A96="",D96=0),"",ROUND(365/D96,0))</f>
        <v>0</v>
      </c>
      <c r="H96" s="8">
        <f>IF(A96="","",IF(F96="","Yes",IF(F96&gt;=Rotation_Gap_Days,"Yes","No")))</f>
        <v>0</v>
      </c>
      <c r="I96" s="8">
        <f>IF(OR(A96="",E96=""),"",E96+Rotation_Gap_Days)</f>
        <v>0</v>
      </c>
      <c r="J96" s="8">
        <f>IF(OR(A96="",I96=""),"",I96-TODAY())</f>
        <v>0</v>
      </c>
      <c r="K96" s="8">
        <f>IF(OR(A96="",F96=""),"",COUNTIFS($F$5:$F$204,"&lt;"&amp;F96)+1)</f>
        <v>0</v>
      </c>
      <c r="L96" s="8">
        <f>IF(A96="","",IFERROR(INDEX(Recipes!$AB$5:$AB$204,MATCH(A96,Recipes!$A$5:$A$204,0)),""))</f>
        <v>0</v>
      </c>
      <c r="M96" s="8">
        <f>IF(A96="","",IFERROR(INDEX(Recipes!$AN$5:$AN$204,MATCH(A96,Recipes!$A$5:$A$204,0)),""))</f>
        <v>0</v>
      </c>
      <c r="N96" s="8">
        <f>IF(A96="","",IF(H96="No","Too soon",IF(F96="","Never cooked",IF(F96&gt;=90,"Overdue","Available"))))</f>
        <v>0</v>
      </c>
      <c r="O96" s="25"/>
    </row>
    <row r="97" spans="1:15">
      <c r="A97" s="7"/>
      <c r="B97" s="8">
        <f>IF(A97="","",IFERROR(INDEX(Recipes!$B$5:$B$204,MATCH(A97,Recipes!$A$5:$A$204,0)),""))</f>
        <v>0</v>
      </c>
      <c r="C97" s="8">
        <f>IF(A97="","",IFERROR(INDEX(Recipes!$C$5:$C$204,MATCH(A97,Recipes!$A$5:$A$204,0)),""))</f>
        <v>0</v>
      </c>
      <c r="D97" s="8">
        <f>IF(A97="","",COUNTIFS('Meal Plan'!$G$5:$G$504,A97,'Meal Plan'!$S$5:$S$504,"Cooked")+COUNTIFS('Meal Plan'!$G$5:$G$504,A97,'Meal Plan'!$S$5:$S$504,"Eaten"))</f>
        <v>0</v>
      </c>
      <c r="E97" s="8">
        <f>IF(A97="","",IFERROR(INDEX(Recipes!$X$5:$X$204,MATCH(A97,Recipes!$A$5:$A$204,0)),""))</f>
        <v>0</v>
      </c>
      <c r="F97" s="8">
        <f>IF(OR(A97="",E97=""),"",TODAY()-E97)</f>
        <v>0</v>
      </c>
      <c r="G97" s="8">
        <f>IF(OR(A97="",D97=0),"",ROUND(365/D97,0))</f>
        <v>0</v>
      </c>
      <c r="H97" s="8">
        <f>IF(A97="","",IF(F97="","Yes",IF(F97&gt;=Rotation_Gap_Days,"Yes","No")))</f>
        <v>0</v>
      </c>
      <c r="I97" s="8">
        <f>IF(OR(A97="",E97=""),"",E97+Rotation_Gap_Days)</f>
        <v>0</v>
      </c>
      <c r="J97" s="8">
        <f>IF(OR(A97="",I97=""),"",I97-TODAY())</f>
        <v>0</v>
      </c>
      <c r="K97" s="8">
        <f>IF(OR(A97="",F97=""),"",COUNTIFS($F$5:$F$204,"&lt;"&amp;F97)+1)</f>
        <v>0</v>
      </c>
      <c r="L97" s="8">
        <f>IF(A97="","",IFERROR(INDEX(Recipes!$AB$5:$AB$204,MATCH(A97,Recipes!$A$5:$A$204,0)),""))</f>
        <v>0</v>
      </c>
      <c r="M97" s="8">
        <f>IF(A97="","",IFERROR(INDEX(Recipes!$AN$5:$AN$204,MATCH(A97,Recipes!$A$5:$A$204,0)),""))</f>
        <v>0</v>
      </c>
      <c r="N97" s="8">
        <f>IF(A97="","",IF(H97="No","Too soon",IF(F97="","Never cooked",IF(F97&gt;=90,"Overdue","Available"))))</f>
        <v>0</v>
      </c>
      <c r="O97" s="25"/>
    </row>
    <row r="98" spans="1:15">
      <c r="A98" s="7"/>
      <c r="B98" s="8">
        <f>IF(A98="","",IFERROR(INDEX(Recipes!$B$5:$B$204,MATCH(A98,Recipes!$A$5:$A$204,0)),""))</f>
        <v>0</v>
      </c>
      <c r="C98" s="8">
        <f>IF(A98="","",IFERROR(INDEX(Recipes!$C$5:$C$204,MATCH(A98,Recipes!$A$5:$A$204,0)),""))</f>
        <v>0</v>
      </c>
      <c r="D98" s="8">
        <f>IF(A98="","",COUNTIFS('Meal Plan'!$G$5:$G$504,A98,'Meal Plan'!$S$5:$S$504,"Cooked")+COUNTIFS('Meal Plan'!$G$5:$G$504,A98,'Meal Plan'!$S$5:$S$504,"Eaten"))</f>
        <v>0</v>
      </c>
      <c r="E98" s="8">
        <f>IF(A98="","",IFERROR(INDEX(Recipes!$X$5:$X$204,MATCH(A98,Recipes!$A$5:$A$204,0)),""))</f>
        <v>0</v>
      </c>
      <c r="F98" s="8">
        <f>IF(OR(A98="",E98=""),"",TODAY()-E98)</f>
        <v>0</v>
      </c>
      <c r="G98" s="8">
        <f>IF(OR(A98="",D98=0),"",ROUND(365/D98,0))</f>
        <v>0</v>
      </c>
      <c r="H98" s="8">
        <f>IF(A98="","",IF(F98="","Yes",IF(F98&gt;=Rotation_Gap_Days,"Yes","No")))</f>
        <v>0</v>
      </c>
      <c r="I98" s="8">
        <f>IF(OR(A98="",E98=""),"",E98+Rotation_Gap_Days)</f>
        <v>0</v>
      </c>
      <c r="J98" s="8">
        <f>IF(OR(A98="",I98=""),"",I98-TODAY())</f>
        <v>0</v>
      </c>
      <c r="K98" s="8">
        <f>IF(OR(A98="",F98=""),"",COUNTIFS($F$5:$F$204,"&lt;"&amp;F98)+1)</f>
        <v>0</v>
      </c>
      <c r="L98" s="8">
        <f>IF(A98="","",IFERROR(INDEX(Recipes!$AB$5:$AB$204,MATCH(A98,Recipes!$A$5:$A$204,0)),""))</f>
        <v>0</v>
      </c>
      <c r="M98" s="8">
        <f>IF(A98="","",IFERROR(INDEX(Recipes!$AN$5:$AN$204,MATCH(A98,Recipes!$A$5:$A$204,0)),""))</f>
        <v>0</v>
      </c>
      <c r="N98" s="8">
        <f>IF(A98="","",IF(H98="No","Too soon",IF(F98="","Never cooked",IF(F98&gt;=90,"Overdue","Available"))))</f>
        <v>0</v>
      </c>
      <c r="O98" s="25"/>
    </row>
    <row r="99" spans="1:15">
      <c r="A99" s="7"/>
      <c r="B99" s="8">
        <f>IF(A99="","",IFERROR(INDEX(Recipes!$B$5:$B$204,MATCH(A99,Recipes!$A$5:$A$204,0)),""))</f>
        <v>0</v>
      </c>
      <c r="C99" s="8">
        <f>IF(A99="","",IFERROR(INDEX(Recipes!$C$5:$C$204,MATCH(A99,Recipes!$A$5:$A$204,0)),""))</f>
        <v>0</v>
      </c>
      <c r="D99" s="8">
        <f>IF(A99="","",COUNTIFS('Meal Plan'!$G$5:$G$504,A99,'Meal Plan'!$S$5:$S$504,"Cooked")+COUNTIFS('Meal Plan'!$G$5:$G$504,A99,'Meal Plan'!$S$5:$S$504,"Eaten"))</f>
        <v>0</v>
      </c>
      <c r="E99" s="8">
        <f>IF(A99="","",IFERROR(INDEX(Recipes!$X$5:$X$204,MATCH(A99,Recipes!$A$5:$A$204,0)),""))</f>
        <v>0</v>
      </c>
      <c r="F99" s="8">
        <f>IF(OR(A99="",E99=""),"",TODAY()-E99)</f>
        <v>0</v>
      </c>
      <c r="G99" s="8">
        <f>IF(OR(A99="",D99=0),"",ROUND(365/D99,0))</f>
        <v>0</v>
      </c>
      <c r="H99" s="8">
        <f>IF(A99="","",IF(F99="","Yes",IF(F99&gt;=Rotation_Gap_Days,"Yes","No")))</f>
        <v>0</v>
      </c>
      <c r="I99" s="8">
        <f>IF(OR(A99="",E99=""),"",E99+Rotation_Gap_Days)</f>
        <v>0</v>
      </c>
      <c r="J99" s="8">
        <f>IF(OR(A99="",I99=""),"",I99-TODAY())</f>
        <v>0</v>
      </c>
      <c r="K99" s="8">
        <f>IF(OR(A99="",F99=""),"",COUNTIFS($F$5:$F$204,"&lt;"&amp;F99)+1)</f>
        <v>0</v>
      </c>
      <c r="L99" s="8">
        <f>IF(A99="","",IFERROR(INDEX(Recipes!$AB$5:$AB$204,MATCH(A99,Recipes!$A$5:$A$204,0)),""))</f>
        <v>0</v>
      </c>
      <c r="M99" s="8">
        <f>IF(A99="","",IFERROR(INDEX(Recipes!$AN$5:$AN$204,MATCH(A99,Recipes!$A$5:$A$204,0)),""))</f>
        <v>0</v>
      </c>
      <c r="N99" s="8">
        <f>IF(A99="","",IF(H99="No","Too soon",IF(F99="","Never cooked",IF(F99&gt;=90,"Overdue","Available"))))</f>
        <v>0</v>
      </c>
      <c r="O99" s="25"/>
    </row>
    <row r="100" spans="1:15">
      <c r="A100" s="7"/>
      <c r="B100" s="8">
        <f>IF(A100="","",IFERROR(INDEX(Recipes!$B$5:$B$204,MATCH(A100,Recipes!$A$5:$A$204,0)),""))</f>
        <v>0</v>
      </c>
      <c r="C100" s="8">
        <f>IF(A100="","",IFERROR(INDEX(Recipes!$C$5:$C$204,MATCH(A100,Recipes!$A$5:$A$204,0)),""))</f>
        <v>0</v>
      </c>
      <c r="D100" s="8">
        <f>IF(A100="","",COUNTIFS('Meal Plan'!$G$5:$G$504,A100,'Meal Plan'!$S$5:$S$504,"Cooked")+COUNTIFS('Meal Plan'!$G$5:$G$504,A100,'Meal Plan'!$S$5:$S$504,"Eaten"))</f>
        <v>0</v>
      </c>
      <c r="E100" s="8">
        <f>IF(A100="","",IFERROR(INDEX(Recipes!$X$5:$X$204,MATCH(A100,Recipes!$A$5:$A$204,0)),""))</f>
        <v>0</v>
      </c>
      <c r="F100" s="8">
        <f>IF(OR(A100="",E100=""),"",TODAY()-E100)</f>
        <v>0</v>
      </c>
      <c r="G100" s="8">
        <f>IF(OR(A100="",D100=0),"",ROUND(365/D100,0))</f>
        <v>0</v>
      </c>
      <c r="H100" s="8">
        <f>IF(A100="","",IF(F100="","Yes",IF(F100&gt;=Rotation_Gap_Days,"Yes","No")))</f>
        <v>0</v>
      </c>
      <c r="I100" s="8">
        <f>IF(OR(A100="",E100=""),"",E100+Rotation_Gap_Days)</f>
        <v>0</v>
      </c>
      <c r="J100" s="8">
        <f>IF(OR(A100="",I100=""),"",I100-TODAY())</f>
        <v>0</v>
      </c>
      <c r="K100" s="8">
        <f>IF(OR(A100="",F100=""),"",COUNTIFS($F$5:$F$204,"&lt;"&amp;F100)+1)</f>
        <v>0</v>
      </c>
      <c r="L100" s="8">
        <f>IF(A100="","",IFERROR(INDEX(Recipes!$AB$5:$AB$204,MATCH(A100,Recipes!$A$5:$A$204,0)),""))</f>
        <v>0</v>
      </c>
      <c r="M100" s="8">
        <f>IF(A100="","",IFERROR(INDEX(Recipes!$AN$5:$AN$204,MATCH(A100,Recipes!$A$5:$A$204,0)),""))</f>
        <v>0</v>
      </c>
      <c r="N100" s="8">
        <f>IF(A100="","",IF(H100="No","Too soon",IF(F100="","Never cooked",IF(F100&gt;=90,"Overdue","Available"))))</f>
        <v>0</v>
      </c>
      <c r="O100" s="25"/>
    </row>
    <row r="101" spans="1:15">
      <c r="A101" s="7"/>
      <c r="B101" s="8">
        <f>IF(A101="","",IFERROR(INDEX(Recipes!$B$5:$B$204,MATCH(A101,Recipes!$A$5:$A$204,0)),""))</f>
        <v>0</v>
      </c>
      <c r="C101" s="8">
        <f>IF(A101="","",IFERROR(INDEX(Recipes!$C$5:$C$204,MATCH(A101,Recipes!$A$5:$A$204,0)),""))</f>
        <v>0</v>
      </c>
      <c r="D101" s="8">
        <f>IF(A101="","",COUNTIFS('Meal Plan'!$G$5:$G$504,A101,'Meal Plan'!$S$5:$S$504,"Cooked")+COUNTIFS('Meal Plan'!$G$5:$G$504,A101,'Meal Plan'!$S$5:$S$504,"Eaten"))</f>
        <v>0</v>
      </c>
      <c r="E101" s="8">
        <f>IF(A101="","",IFERROR(INDEX(Recipes!$X$5:$X$204,MATCH(A101,Recipes!$A$5:$A$204,0)),""))</f>
        <v>0</v>
      </c>
      <c r="F101" s="8">
        <f>IF(OR(A101="",E101=""),"",TODAY()-E101)</f>
        <v>0</v>
      </c>
      <c r="G101" s="8">
        <f>IF(OR(A101="",D101=0),"",ROUND(365/D101,0))</f>
        <v>0</v>
      </c>
      <c r="H101" s="8">
        <f>IF(A101="","",IF(F101="","Yes",IF(F101&gt;=Rotation_Gap_Days,"Yes","No")))</f>
        <v>0</v>
      </c>
      <c r="I101" s="8">
        <f>IF(OR(A101="",E101=""),"",E101+Rotation_Gap_Days)</f>
        <v>0</v>
      </c>
      <c r="J101" s="8">
        <f>IF(OR(A101="",I101=""),"",I101-TODAY())</f>
        <v>0</v>
      </c>
      <c r="K101" s="8">
        <f>IF(OR(A101="",F101=""),"",COUNTIFS($F$5:$F$204,"&lt;"&amp;F101)+1)</f>
        <v>0</v>
      </c>
      <c r="L101" s="8">
        <f>IF(A101="","",IFERROR(INDEX(Recipes!$AB$5:$AB$204,MATCH(A101,Recipes!$A$5:$A$204,0)),""))</f>
        <v>0</v>
      </c>
      <c r="M101" s="8">
        <f>IF(A101="","",IFERROR(INDEX(Recipes!$AN$5:$AN$204,MATCH(A101,Recipes!$A$5:$A$204,0)),""))</f>
        <v>0</v>
      </c>
      <c r="N101" s="8">
        <f>IF(A101="","",IF(H101="No","Too soon",IF(F101="","Never cooked",IF(F101&gt;=90,"Overdue","Available"))))</f>
        <v>0</v>
      </c>
      <c r="O101" s="25"/>
    </row>
    <row r="102" spans="1:15">
      <c r="A102" s="7"/>
      <c r="B102" s="8">
        <f>IF(A102="","",IFERROR(INDEX(Recipes!$B$5:$B$204,MATCH(A102,Recipes!$A$5:$A$204,0)),""))</f>
        <v>0</v>
      </c>
      <c r="C102" s="8">
        <f>IF(A102="","",IFERROR(INDEX(Recipes!$C$5:$C$204,MATCH(A102,Recipes!$A$5:$A$204,0)),""))</f>
        <v>0</v>
      </c>
      <c r="D102" s="8">
        <f>IF(A102="","",COUNTIFS('Meal Plan'!$G$5:$G$504,A102,'Meal Plan'!$S$5:$S$504,"Cooked")+COUNTIFS('Meal Plan'!$G$5:$G$504,A102,'Meal Plan'!$S$5:$S$504,"Eaten"))</f>
        <v>0</v>
      </c>
      <c r="E102" s="8">
        <f>IF(A102="","",IFERROR(INDEX(Recipes!$X$5:$X$204,MATCH(A102,Recipes!$A$5:$A$204,0)),""))</f>
        <v>0</v>
      </c>
      <c r="F102" s="8">
        <f>IF(OR(A102="",E102=""),"",TODAY()-E102)</f>
        <v>0</v>
      </c>
      <c r="G102" s="8">
        <f>IF(OR(A102="",D102=0),"",ROUND(365/D102,0))</f>
        <v>0</v>
      </c>
      <c r="H102" s="8">
        <f>IF(A102="","",IF(F102="","Yes",IF(F102&gt;=Rotation_Gap_Days,"Yes","No")))</f>
        <v>0</v>
      </c>
      <c r="I102" s="8">
        <f>IF(OR(A102="",E102=""),"",E102+Rotation_Gap_Days)</f>
        <v>0</v>
      </c>
      <c r="J102" s="8">
        <f>IF(OR(A102="",I102=""),"",I102-TODAY())</f>
        <v>0</v>
      </c>
      <c r="K102" s="8">
        <f>IF(OR(A102="",F102=""),"",COUNTIFS($F$5:$F$204,"&lt;"&amp;F102)+1)</f>
        <v>0</v>
      </c>
      <c r="L102" s="8">
        <f>IF(A102="","",IFERROR(INDEX(Recipes!$AB$5:$AB$204,MATCH(A102,Recipes!$A$5:$A$204,0)),""))</f>
        <v>0</v>
      </c>
      <c r="M102" s="8">
        <f>IF(A102="","",IFERROR(INDEX(Recipes!$AN$5:$AN$204,MATCH(A102,Recipes!$A$5:$A$204,0)),""))</f>
        <v>0</v>
      </c>
      <c r="N102" s="8">
        <f>IF(A102="","",IF(H102="No","Too soon",IF(F102="","Never cooked",IF(F102&gt;=90,"Overdue","Available"))))</f>
        <v>0</v>
      </c>
      <c r="O102" s="25"/>
    </row>
    <row r="103" spans="1:15">
      <c r="A103" s="7"/>
      <c r="B103" s="8">
        <f>IF(A103="","",IFERROR(INDEX(Recipes!$B$5:$B$204,MATCH(A103,Recipes!$A$5:$A$204,0)),""))</f>
        <v>0</v>
      </c>
      <c r="C103" s="8">
        <f>IF(A103="","",IFERROR(INDEX(Recipes!$C$5:$C$204,MATCH(A103,Recipes!$A$5:$A$204,0)),""))</f>
        <v>0</v>
      </c>
      <c r="D103" s="8">
        <f>IF(A103="","",COUNTIFS('Meal Plan'!$G$5:$G$504,A103,'Meal Plan'!$S$5:$S$504,"Cooked")+COUNTIFS('Meal Plan'!$G$5:$G$504,A103,'Meal Plan'!$S$5:$S$504,"Eaten"))</f>
        <v>0</v>
      </c>
      <c r="E103" s="8">
        <f>IF(A103="","",IFERROR(INDEX(Recipes!$X$5:$X$204,MATCH(A103,Recipes!$A$5:$A$204,0)),""))</f>
        <v>0</v>
      </c>
      <c r="F103" s="8">
        <f>IF(OR(A103="",E103=""),"",TODAY()-E103)</f>
        <v>0</v>
      </c>
      <c r="G103" s="8">
        <f>IF(OR(A103="",D103=0),"",ROUND(365/D103,0))</f>
        <v>0</v>
      </c>
      <c r="H103" s="8">
        <f>IF(A103="","",IF(F103="","Yes",IF(F103&gt;=Rotation_Gap_Days,"Yes","No")))</f>
        <v>0</v>
      </c>
      <c r="I103" s="8">
        <f>IF(OR(A103="",E103=""),"",E103+Rotation_Gap_Days)</f>
        <v>0</v>
      </c>
      <c r="J103" s="8">
        <f>IF(OR(A103="",I103=""),"",I103-TODAY())</f>
        <v>0</v>
      </c>
      <c r="K103" s="8">
        <f>IF(OR(A103="",F103=""),"",COUNTIFS($F$5:$F$204,"&lt;"&amp;F103)+1)</f>
        <v>0</v>
      </c>
      <c r="L103" s="8">
        <f>IF(A103="","",IFERROR(INDEX(Recipes!$AB$5:$AB$204,MATCH(A103,Recipes!$A$5:$A$204,0)),""))</f>
        <v>0</v>
      </c>
      <c r="M103" s="8">
        <f>IF(A103="","",IFERROR(INDEX(Recipes!$AN$5:$AN$204,MATCH(A103,Recipes!$A$5:$A$204,0)),""))</f>
        <v>0</v>
      </c>
      <c r="N103" s="8">
        <f>IF(A103="","",IF(H103="No","Too soon",IF(F103="","Never cooked",IF(F103&gt;=90,"Overdue","Available"))))</f>
        <v>0</v>
      </c>
      <c r="O103" s="25"/>
    </row>
    <row r="104" spans="1:15">
      <c r="A104" s="7"/>
      <c r="B104" s="8">
        <f>IF(A104="","",IFERROR(INDEX(Recipes!$B$5:$B$204,MATCH(A104,Recipes!$A$5:$A$204,0)),""))</f>
        <v>0</v>
      </c>
      <c r="C104" s="8">
        <f>IF(A104="","",IFERROR(INDEX(Recipes!$C$5:$C$204,MATCH(A104,Recipes!$A$5:$A$204,0)),""))</f>
        <v>0</v>
      </c>
      <c r="D104" s="8">
        <f>IF(A104="","",COUNTIFS('Meal Plan'!$G$5:$G$504,A104,'Meal Plan'!$S$5:$S$504,"Cooked")+COUNTIFS('Meal Plan'!$G$5:$G$504,A104,'Meal Plan'!$S$5:$S$504,"Eaten"))</f>
        <v>0</v>
      </c>
      <c r="E104" s="8">
        <f>IF(A104="","",IFERROR(INDEX(Recipes!$X$5:$X$204,MATCH(A104,Recipes!$A$5:$A$204,0)),""))</f>
        <v>0</v>
      </c>
      <c r="F104" s="8">
        <f>IF(OR(A104="",E104=""),"",TODAY()-E104)</f>
        <v>0</v>
      </c>
      <c r="G104" s="8">
        <f>IF(OR(A104="",D104=0),"",ROUND(365/D104,0))</f>
        <v>0</v>
      </c>
      <c r="H104" s="8">
        <f>IF(A104="","",IF(F104="","Yes",IF(F104&gt;=Rotation_Gap_Days,"Yes","No")))</f>
        <v>0</v>
      </c>
      <c r="I104" s="8">
        <f>IF(OR(A104="",E104=""),"",E104+Rotation_Gap_Days)</f>
        <v>0</v>
      </c>
      <c r="J104" s="8">
        <f>IF(OR(A104="",I104=""),"",I104-TODAY())</f>
        <v>0</v>
      </c>
      <c r="K104" s="8">
        <f>IF(OR(A104="",F104=""),"",COUNTIFS($F$5:$F$204,"&lt;"&amp;F104)+1)</f>
        <v>0</v>
      </c>
      <c r="L104" s="8">
        <f>IF(A104="","",IFERROR(INDEX(Recipes!$AB$5:$AB$204,MATCH(A104,Recipes!$A$5:$A$204,0)),""))</f>
        <v>0</v>
      </c>
      <c r="M104" s="8">
        <f>IF(A104="","",IFERROR(INDEX(Recipes!$AN$5:$AN$204,MATCH(A104,Recipes!$A$5:$A$204,0)),""))</f>
        <v>0</v>
      </c>
      <c r="N104" s="8">
        <f>IF(A104="","",IF(H104="No","Too soon",IF(F104="","Never cooked",IF(F104&gt;=90,"Overdue","Available"))))</f>
        <v>0</v>
      </c>
      <c r="O104" s="25"/>
    </row>
    <row r="105" spans="1:15">
      <c r="A105" s="7"/>
      <c r="B105" s="8">
        <f>IF(A105="","",IFERROR(INDEX(Recipes!$B$5:$B$204,MATCH(A105,Recipes!$A$5:$A$204,0)),""))</f>
        <v>0</v>
      </c>
      <c r="C105" s="8">
        <f>IF(A105="","",IFERROR(INDEX(Recipes!$C$5:$C$204,MATCH(A105,Recipes!$A$5:$A$204,0)),""))</f>
        <v>0</v>
      </c>
      <c r="D105" s="8">
        <f>IF(A105="","",COUNTIFS('Meal Plan'!$G$5:$G$504,A105,'Meal Plan'!$S$5:$S$504,"Cooked")+COUNTIFS('Meal Plan'!$G$5:$G$504,A105,'Meal Plan'!$S$5:$S$504,"Eaten"))</f>
        <v>0</v>
      </c>
      <c r="E105" s="8">
        <f>IF(A105="","",IFERROR(INDEX(Recipes!$X$5:$X$204,MATCH(A105,Recipes!$A$5:$A$204,0)),""))</f>
        <v>0</v>
      </c>
      <c r="F105" s="8">
        <f>IF(OR(A105="",E105=""),"",TODAY()-E105)</f>
        <v>0</v>
      </c>
      <c r="G105" s="8">
        <f>IF(OR(A105="",D105=0),"",ROUND(365/D105,0))</f>
        <v>0</v>
      </c>
      <c r="H105" s="8">
        <f>IF(A105="","",IF(F105="","Yes",IF(F105&gt;=Rotation_Gap_Days,"Yes","No")))</f>
        <v>0</v>
      </c>
      <c r="I105" s="8">
        <f>IF(OR(A105="",E105=""),"",E105+Rotation_Gap_Days)</f>
        <v>0</v>
      </c>
      <c r="J105" s="8">
        <f>IF(OR(A105="",I105=""),"",I105-TODAY())</f>
        <v>0</v>
      </c>
      <c r="K105" s="8">
        <f>IF(OR(A105="",F105=""),"",COUNTIFS($F$5:$F$204,"&lt;"&amp;F105)+1)</f>
        <v>0</v>
      </c>
      <c r="L105" s="8">
        <f>IF(A105="","",IFERROR(INDEX(Recipes!$AB$5:$AB$204,MATCH(A105,Recipes!$A$5:$A$204,0)),""))</f>
        <v>0</v>
      </c>
      <c r="M105" s="8">
        <f>IF(A105="","",IFERROR(INDEX(Recipes!$AN$5:$AN$204,MATCH(A105,Recipes!$A$5:$A$204,0)),""))</f>
        <v>0</v>
      </c>
      <c r="N105" s="8">
        <f>IF(A105="","",IF(H105="No","Too soon",IF(F105="","Never cooked",IF(F105&gt;=90,"Overdue","Available"))))</f>
        <v>0</v>
      </c>
      <c r="O105" s="25"/>
    </row>
    <row r="106" spans="1:15">
      <c r="A106" s="7"/>
      <c r="B106" s="8">
        <f>IF(A106="","",IFERROR(INDEX(Recipes!$B$5:$B$204,MATCH(A106,Recipes!$A$5:$A$204,0)),""))</f>
        <v>0</v>
      </c>
      <c r="C106" s="8">
        <f>IF(A106="","",IFERROR(INDEX(Recipes!$C$5:$C$204,MATCH(A106,Recipes!$A$5:$A$204,0)),""))</f>
        <v>0</v>
      </c>
      <c r="D106" s="8">
        <f>IF(A106="","",COUNTIFS('Meal Plan'!$G$5:$G$504,A106,'Meal Plan'!$S$5:$S$504,"Cooked")+COUNTIFS('Meal Plan'!$G$5:$G$504,A106,'Meal Plan'!$S$5:$S$504,"Eaten"))</f>
        <v>0</v>
      </c>
      <c r="E106" s="8">
        <f>IF(A106="","",IFERROR(INDEX(Recipes!$X$5:$X$204,MATCH(A106,Recipes!$A$5:$A$204,0)),""))</f>
        <v>0</v>
      </c>
      <c r="F106" s="8">
        <f>IF(OR(A106="",E106=""),"",TODAY()-E106)</f>
        <v>0</v>
      </c>
      <c r="G106" s="8">
        <f>IF(OR(A106="",D106=0),"",ROUND(365/D106,0))</f>
        <v>0</v>
      </c>
      <c r="H106" s="8">
        <f>IF(A106="","",IF(F106="","Yes",IF(F106&gt;=Rotation_Gap_Days,"Yes","No")))</f>
        <v>0</v>
      </c>
      <c r="I106" s="8">
        <f>IF(OR(A106="",E106=""),"",E106+Rotation_Gap_Days)</f>
        <v>0</v>
      </c>
      <c r="J106" s="8">
        <f>IF(OR(A106="",I106=""),"",I106-TODAY())</f>
        <v>0</v>
      </c>
      <c r="K106" s="8">
        <f>IF(OR(A106="",F106=""),"",COUNTIFS($F$5:$F$204,"&lt;"&amp;F106)+1)</f>
        <v>0</v>
      </c>
      <c r="L106" s="8">
        <f>IF(A106="","",IFERROR(INDEX(Recipes!$AB$5:$AB$204,MATCH(A106,Recipes!$A$5:$A$204,0)),""))</f>
        <v>0</v>
      </c>
      <c r="M106" s="8">
        <f>IF(A106="","",IFERROR(INDEX(Recipes!$AN$5:$AN$204,MATCH(A106,Recipes!$A$5:$A$204,0)),""))</f>
        <v>0</v>
      </c>
      <c r="N106" s="8">
        <f>IF(A106="","",IF(H106="No","Too soon",IF(F106="","Never cooked",IF(F106&gt;=90,"Overdue","Available"))))</f>
        <v>0</v>
      </c>
      <c r="O106" s="25"/>
    </row>
    <row r="107" spans="1:15">
      <c r="A107" s="7"/>
      <c r="B107" s="8">
        <f>IF(A107="","",IFERROR(INDEX(Recipes!$B$5:$B$204,MATCH(A107,Recipes!$A$5:$A$204,0)),""))</f>
        <v>0</v>
      </c>
      <c r="C107" s="8">
        <f>IF(A107="","",IFERROR(INDEX(Recipes!$C$5:$C$204,MATCH(A107,Recipes!$A$5:$A$204,0)),""))</f>
        <v>0</v>
      </c>
      <c r="D107" s="8">
        <f>IF(A107="","",COUNTIFS('Meal Plan'!$G$5:$G$504,A107,'Meal Plan'!$S$5:$S$504,"Cooked")+COUNTIFS('Meal Plan'!$G$5:$G$504,A107,'Meal Plan'!$S$5:$S$504,"Eaten"))</f>
        <v>0</v>
      </c>
      <c r="E107" s="8">
        <f>IF(A107="","",IFERROR(INDEX(Recipes!$X$5:$X$204,MATCH(A107,Recipes!$A$5:$A$204,0)),""))</f>
        <v>0</v>
      </c>
      <c r="F107" s="8">
        <f>IF(OR(A107="",E107=""),"",TODAY()-E107)</f>
        <v>0</v>
      </c>
      <c r="G107" s="8">
        <f>IF(OR(A107="",D107=0),"",ROUND(365/D107,0))</f>
        <v>0</v>
      </c>
      <c r="H107" s="8">
        <f>IF(A107="","",IF(F107="","Yes",IF(F107&gt;=Rotation_Gap_Days,"Yes","No")))</f>
        <v>0</v>
      </c>
      <c r="I107" s="8">
        <f>IF(OR(A107="",E107=""),"",E107+Rotation_Gap_Days)</f>
        <v>0</v>
      </c>
      <c r="J107" s="8">
        <f>IF(OR(A107="",I107=""),"",I107-TODAY())</f>
        <v>0</v>
      </c>
      <c r="K107" s="8">
        <f>IF(OR(A107="",F107=""),"",COUNTIFS($F$5:$F$204,"&lt;"&amp;F107)+1)</f>
        <v>0</v>
      </c>
      <c r="L107" s="8">
        <f>IF(A107="","",IFERROR(INDEX(Recipes!$AB$5:$AB$204,MATCH(A107,Recipes!$A$5:$A$204,0)),""))</f>
        <v>0</v>
      </c>
      <c r="M107" s="8">
        <f>IF(A107="","",IFERROR(INDEX(Recipes!$AN$5:$AN$204,MATCH(A107,Recipes!$A$5:$A$204,0)),""))</f>
        <v>0</v>
      </c>
      <c r="N107" s="8">
        <f>IF(A107="","",IF(H107="No","Too soon",IF(F107="","Never cooked",IF(F107&gt;=90,"Overdue","Available"))))</f>
        <v>0</v>
      </c>
      <c r="O107" s="25"/>
    </row>
    <row r="108" spans="1:15">
      <c r="A108" s="7"/>
      <c r="B108" s="8">
        <f>IF(A108="","",IFERROR(INDEX(Recipes!$B$5:$B$204,MATCH(A108,Recipes!$A$5:$A$204,0)),""))</f>
        <v>0</v>
      </c>
      <c r="C108" s="8">
        <f>IF(A108="","",IFERROR(INDEX(Recipes!$C$5:$C$204,MATCH(A108,Recipes!$A$5:$A$204,0)),""))</f>
        <v>0</v>
      </c>
      <c r="D108" s="8">
        <f>IF(A108="","",COUNTIFS('Meal Plan'!$G$5:$G$504,A108,'Meal Plan'!$S$5:$S$504,"Cooked")+COUNTIFS('Meal Plan'!$G$5:$G$504,A108,'Meal Plan'!$S$5:$S$504,"Eaten"))</f>
        <v>0</v>
      </c>
      <c r="E108" s="8">
        <f>IF(A108="","",IFERROR(INDEX(Recipes!$X$5:$X$204,MATCH(A108,Recipes!$A$5:$A$204,0)),""))</f>
        <v>0</v>
      </c>
      <c r="F108" s="8">
        <f>IF(OR(A108="",E108=""),"",TODAY()-E108)</f>
        <v>0</v>
      </c>
      <c r="G108" s="8">
        <f>IF(OR(A108="",D108=0),"",ROUND(365/D108,0))</f>
        <v>0</v>
      </c>
      <c r="H108" s="8">
        <f>IF(A108="","",IF(F108="","Yes",IF(F108&gt;=Rotation_Gap_Days,"Yes","No")))</f>
        <v>0</v>
      </c>
      <c r="I108" s="8">
        <f>IF(OR(A108="",E108=""),"",E108+Rotation_Gap_Days)</f>
        <v>0</v>
      </c>
      <c r="J108" s="8">
        <f>IF(OR(A108="",I108=""),"",I108-TODAY())</f>
        <v>0</v>
      </c>
      <c r="K108" s="8">
        <f>IF(OR(A108="",F108=""),"",COUNTIFS($F$5:$F$204,"&lt;"&amp;F108)+1)</f>
        <v>0</v>
      </c>
      <c r="L108" s="8">
        <f>IF(A108="","",IFERROR(INDEX(Recipes!$AB$5:$AB$204,MATCH(A108,Recipes!$A$5:$A$204,0)),""))</f>
        <v>0</v>
      </c>
      <c r="M108" s="8">
        <f>IF(A108="","",IFERROR(INDEX(Recipes!$AN$5:$AN$204,MATCH(A108,Recipes!$A$5:$A$204,0)),""))</f>
        <v>0</v>
      </c>
      <c r="N108" s="8">
        <f>IF(A108="","",IF(H108="No","Too soon",IF(F108="","Never cooked",IF(F108&gt;=90,"Overdue","Available"))))</f>
        <v>0</v>
      </c>
      <c r="O108" s="25"/>
    </row>
    <row r="109" spans="1:15">
      <c r="A109" s="7"/>
      <c r="B109" s="8">
        <f>IF(A109="","",IFERROR(INDEX(Recipes!$B$5:$B$204,MATCH(A109,Recipes!$A$5:$A$204,0)),""))</f>
        <v>0</v>
      </c>
      <c r="C109" s="8">
        <f>IF(A109="","",IFERROR(INDEX(Recipes!$C$5:$C$204,MATCH(A109,Recipes!$A$5:$A$204,0)),""))</f>
        <v>0</v>
      </c>
      <c r="D109" s="8">
        <f>IF(A109="","",COUNTIFS('Meal Plan'!$G$5:$G$504,A109,'Meal Plan'!$S$5:$S$504,"Cooked")+COUNTIFS('Meal Plan'!$G$5:$G$504,A109,'Meal Plan'!$S$5:$S$504,"Eaten"))</f>
        <v>0</v>
      </c>
      <c r="E109" s="8">
        <f>IF(A109="","",IFERROR(INDEX(Recipes!$X$5:$X$204,MATCH(A109,Recipes!$A$5:$A$204,0)),""))</f>
        <v>0</v>
      </c>
      <c r="F109" s="8">
        <f>IF(OR(A109="",E109=""),"",TODAY()-E109)</f>
        <v>0</v>
      </c>
      <c r="G109" s="8">
        <f>IF(OR(A109="",D109=0),"",ROUND(365/D109,0))</f>
        <v>0</v>
      </c>
      <c r="H109" s="8">
        <f>IF(A109="","",IF(F109="","Yes",IF(F109&gt;=Rotation_Gap_Days,"Yes","No")))</f>
        <v>0</v>
      </c>
      <c r="I109" s="8">
        <f>IF(OR(A109="",E109=""),"",E109+Rotation_Gap_Days)</f>
        <v>0</v>
      </c>
      <c r="J109" s="8">
        <f>IF(OR(A109="",I109=""),"",I109-TODAY())</f>
        <v>0</v>
      </c>
      <c r="K109" s="8">
        <f>IF(OR(A109="",F109=""),"",COUNTIFS($F$5:$F$204,"&lt;"&amp;F109)+1)</f>
        <v>0</v>
      </c>
      <c r="L109" s="8">
        <f>IF(A109="","",IFERROR(INDEX(Recipes!$AB$5:$AB$204,MATCH(A109,Recipes!$A$5:$A$204,0)),""))</f>
        <v>0</v>
      </c>
      <c r="M109" s="8">
        <f>IF(A109="","",IFERROR(INDEX(Recipes!$AN$5:$AN$204,MATCH(A109,Recipes!$A$5:$A$204,0)),""))</f>
        <v>0</v>
      </c>
      <c r="N109" s="8">
        <f>IF(A109="","",IF(H109="No","Too soon",IF(F109="","Never cooked",IF(F109&gt;=90,"Overdue","Available"))))</f>
        <v>0</v>
      </c>
      <c r="O109" s="25"/>
    </row>
    <row r="110" spans="1:15">
      <c r="A110" s="7"/>
      <c r="B110" s="8">
        <f>IF(A110="","",IFERROR(INDEX(Recipes!$B$5:$B$204,MATCH(A110,Recipes!$A$5:$A$204,0)),""))</f>
        <v>0</v>
      </c>
      <c r="C110" s="8">
        <f>IF(A110="","",IFERROR(INDEX(Recipes!$C$5:$C$204,MATCH(A110,Recipes!$A$5:$A$204,0)),""))</f>
        <v>0</v>
      </c>
      <c r="D110" s="8">
        <f>IF(A110="","",COUNTIFS('Meal Plan'!$G$5:$G$504,A110,'Meal Plan'!$S$5:$S$504,"Cooked")+COUNTIFS('Meal Plan'!$G$5:$G$504,A110,'Meal Plan'!$S$5:$S$504,"Eaten"))</f>
        <v>0</v>
      </c>
      <c r="E110" s="8">
        <f>IF(A110="","",IFERROR(INDEX(Recipes!$X$5:$X$204,MATCH(A110,Recipes!$A$5:$A$204,0)),""))</f>
        <v>0</v>
      </c>
      <c r="F110" s="8">
        <f>IF(OR(A110="",E110=""),"",TODAY()-E110)</f>
        <v>0</v>
      </c>
      <c r="G110" s="8">
        <f>IF(OR(A110="",D110=0),"",ROUND(365/D110,0))</f>
        <v>0</v>
      </c>
      <c r="H110" s="8">
        <f>IF(A110="","",IF(F110="","Yes",IF(F110&gt;=Rotation_Gap_Days,"Yes","No")))</f>
        <v>0</v>
      </c>
      <c r="I110" s="8">
        <f>IF(OR(A110="",E110=""),"",E110+Rotation_Gap_Days)</f>
        <v>0</v>
      </c>
      <c r="J110" s="8">
        <f>IF(OR(A110="",I110=""),"",I110-TODAY())</f>
        <v>0</v>
      </c>
      <c r="K110" s="8">
        <f>IF(OR(A110="",F110=""),"",COUNTIFS($F$5:$F$204,"&lt;"&amp;F110)+1)</f>
        <v>0</v>
      </c>
      <c r="L110" s="8">
        <f>IF(A110="","",IFERROR(INDEX(Recipes!$AB$5:$AB$204,MATCH(A110,Recipes!$A$5:$A$204,0)),""))</f>
        <v>0</v>
      </c>
      <c r="M110" s="8">
        <f>IF(A110="","",IFERROR(INDEX(Recipes!$AN$5:$AN$204,MATCH(A110,Recipes!$A$5:$A$204,0)),""))</f>
        <v>0</v>
      </c>
      <c r="N110" s="8">
        <f>IF(A110="","",IF(H110="No","Too soon",IF(F110="","Never cooked",IF(F110&gt;=90,"Overdue","Available"))))</f>
        <v>0</v>
      </c>
      <c r="O110" s="25"/>
    </row>
    <row r="111" spans="1:15">
      <c r="A111" s="7"/>
      <c r="B111" s="8">
        <f>IF(A111="","",IFERROR(INDEX(Recipes!$B$5:$B$204,MATCH(A111,Recipes!$A$5:$A$204,0)),""))</f>
        <v>0</v>
      </c>
      <c r="C111" s="8">
        <f>IF(A111="","",IFERROR(INDEX(Recipes!$C$5:$C$204,MATCH(A111,Recipes!$A$5:$A$204,0)),""))</f>
        <v>0</v>
      </c>
      <c r="D111" s="8">
        <f>IF(A111="","",COUNTIFS('Meal Plan'!$G$5:$G$504,A111,'Meal Plan'!$S$5:$S$504,"Cooked")+COUNTIFS('Meal Plan'!$G$5:$G$504,A111,'Meal Plan'!$S$5:$S$504,"Eaten"))</f>
        <v>0</v>
      </c>
      <c r="E111" s="8">
        <f>IF(A111="","",IFERROR(INDEX(Recipes!$X$5:$X$204,MATCH(A111,Recipes!$A$5:$A$204,0)),""))</f>
        <v>0</v>
      </c>
      <c r="F111" s="8">
        <f>IF(OR(A111="",E111=""),"",TODAY()-E111)</f>
        <v>0</v>
      </c>
      <c r="G111" s="8">
        <f>IF(OR(A111="",D111=0),"",ROUND(365/D111,0))</f>
        <v>0</v>
      </c>
      <c r="H111" s="8">
        <f>IF(A111="","",IF(F111="","Yes",IF(F111&gt;=Rotation_Gap_Days,"Yes","No")))</f>
        <v>0</v>
      </c>
      <c r="I111" s="8">
        <f>IF(OR(A111="",E111=""),"",E111+Rotation_Gap_Days)</f>
        <v>0</v>
      </c>
      <c r="J111" s="8">
        <f>IF(OR(A111="",I111=""),"",I111-TODAY())</f>
        <v>0</v>
      </c>
      <c r="K111" s="8">
        <f>IF(OR(A111="",F111=""),"",COUNTIFS($F$5:$F$204,"&lt;"&amp;F111)+1)</f>
        <v>0</v>
      </c>
      <c r="L111" s="8">
        <f>IF(A111="","",IFERROR(INDEX(Recipes!$AB$5:$AB$204,MATCH(A111,Recipes!$A$5:$A$204,0)),""))</f>
        <v>0</v>
      </c>
      <c r="M111" s="8">
        <f>IF(A111="","",IFERROR(INDEX(Recipes!$AN$5:$AN$204,MATCH(A111,Recipes!$A$5:$A$204,0)),""))</f>
        <v>0</v>
      </c>
      <c r="N111" s="8">
        <f>IF(A111="","",IF(H111="No","Too soon",IF(F111="","Never cooked",IF(F111&gt;=90,"Overdue","Available"))))</f>
        <v>0</v>
      </c>
      <c r="O111" s="25"/>
    </row>
    <row r="112" spans="1:15">
      <c r="A112" s="7"/>
      <c r="B112" s="8">
        <f>IF(A112="","",IFERROR(INDEX(Recipes!$B$5:$B$204,MATCH(A112,Recipes!$A$5:$A$204,0)),""))</f>
        <v>0</v>
      </c>
      <c r="C112" s="8">
        <f>IF(A112="","",IFERROR(INDEX(Recipes!$C$5:$C$204,MATCH(A112,Recipes!$A$5:$A$204,0)),""))</f>
        <v>0</v>
      </c>
      <c r="D112" s="8">
        <f>IF(A112="","",COUNTIFS('Meal Plan'!$G$5:$G$504,A112,'Meal Plan'!$S$5:$S$504,"Cooked")+COUNTIFS('Meal Plan'!$G$5:$G$504,A112,'Meal Plan'!$S$5:$S$504,"Eaten"))</f>
        <v>0</v>
      </c>
      <c r="E112" s="8">
        <f>IF(A112="","",IFERROR(INDEX(Recipes!$X$5:$X$204,MATCH(A112,Recipes!$A$5:$A$204,0)),""))</f>
        <v>0</v>
      </c>
      <c r="F112" s="8">
        <f>IF(OR(A112="",E112=""),"",TODAY()-E112)</f>
        <v>0</v>
      </c>
      <c r="G112" s="8">
        <f>IF(OR(A112="",D112=0),"",ROUND(365/D112,0))</f>
        <v>0</v>
      </c>
      <c r="H112" s="8">
        <f>IF(A112="","",IF(F112="","Yes",IF(F112&gt;=Rotation_Gap_Days,"Yes","No")))</f>
        <v>0</v>
      </c>
      <c r="I112" s="8">
        <f>IF(OR(A112="",E112=""),"",E112+Rotation_Gap_Days)</f>
        <v>0</v>
      </c>
      <c r="J112" s="8">
        <f>IF(OR(A112="",I112=""),"",I112-TODAY())</f>
        <v>0</v>
      </c>
      <c r="K112" s="8">
        <f>IF(OR(A112="",F112=""),"",COUNTIFS($F$5:$F$204,"&lt;"&amp;F112)+1)</f>
        <v>0</v>
      </c>
      <c r="L112" s="8">
        <f>IF(A112="","",IFERROR(INDEX(Recipes!$AB$5:$AB$204,MATCH(A112,Recipes!$A$5:$A$204,0)),""))</f>
        <v>0</v>
      </c>
      <c r="M112" s="8">
        <f>IF(A112="","",IFERROR(INDEX(Recipes!$AN$5:$AN$204,MATCH(A112,Recipes!$A$5:$A$204,0)),""))</f>
        <v>0</v>
      </c>
      <c r="N112" s="8">
        <f>IF(A112="","",IF(H112="No","Too soon",IF(F112="","Never cooked",IF(F112&gt;=90,"Overdue","Available"))))</f>
        <v>0</v>
      </c>
      <c r="O112" s="25"/>
    </row>
    <row r="113" spans="1:15">
      <c r="A113" s="7"/>
      <c r="B113" s="8">
        <f>IF(A113="","",IFERROR(INDEX(Recipes!$B$5:$B$204,MATCH(A113,Recipes!$A$5:$A$204,0)),""))</f>
        <v>0</v>
      </c>
      <c r="C113" s="8">
        <f>IF(A113="","",IFERROR(INDEX(Recipes!$C$5:$C$204,MATCH(A113,Recipes!$A$5:$A$204,0)),""))</f>
        <v>0</v>
      </c>
      <c r="D113" s="8">
        <f>IF(A113="","",COUNTIFS('Meal Plan'!$G$5:$G$504,A113,'Meal Plan'!$S$5:$S$504,"Cooked")+COUNTIFS('Meal Plan'!$G$5:$G$504,A113,'Meal Plan'!$S$5:$S$504,"Eaten"))</f>
        <v>0</v>
      </c>
      <c r="E113" s="8">
        <f>IF(A113="","",IFERROR(INDEX(Recipes!$X$5:$X$204,MATCH(A113,Recipes!$A$5:$A$204,0)),""))</f>
        <v>0</v>
      </c>
      <c r="F113" s="8">
        <f>IF(OR(A113="",E113=""),"",TODAY()-E113)</f>
        <v>0</v>
      </c>
      <c r="G113" s="8">
        <f>IF(OR(A113="",D113=0),"",ROUND(365/D113,0))</f>
        <v>0</v>
      </c>
      <c r="H113" s="8">
        <f>IF(A113="","",IF(F113="","Yes",IF(F113&gt;=Rotation_Gap_Days,"Yes","No")))</f>
        <v>0</v>
      </c>
      <c r="I113" s="8">
        <f>IF(OR(A113="",E113=""),"",E113+Rotation_Gap_Days)</f>
        <v>0</v>
      </c>
      <c r="J113" s="8">
        <f>IF(OR(A113="",I113=""),"",I113-TODAY())</f>
        <v>0</v>
      </c>
      <c r="K113" s="8">
        <f>IF(OR(A113="",F113=""),"",COUNTIFS($F$5:$F$204,"&lt;"&amp;F113)+1)</f>
        <v>0</v>
      </c>
      <c r="L113" s="8">
        <f>IF(A113="","",IFERROR(INDEX(Recipes!$AB$5:$AB$204,MATCH(A113,Recipes!$A$5:$A$204,0)),""))</f>
        <v>0</v>
      </c>
      <c r="M113" s="8">
        <f>IF(A113="","",IFERROR(INDEX(Recipes!$AN$5:$AN$204,MATCH(A113,Recipes!$A$5:$A$204,0)),""))</f>
        <v>0</v>
      </c>
      <c r="N113" s="8">
        <f>IF(A113="","",IF(H113="No","Too soon",IF(F113="","Never cooked",IF(F113&gt;=90,"Overdue","Available"))))</f>
        <v>0</v>
      </c>
      <c r="O113" s="25"/>
    </row>
    <row r="114" spans="1:15">
      <c r="A114" s="7"/>
      <c r="B114" s="8">
        <f>IF(A114="","",IFERROR(INDEX(Recipes!$B$5:$B$204,MATCH(A114,Recipes!$A$5:$A$204,0)),""))</f>
        <v>0</v>
      </c>
      <c r="C114" s="8">
        <f>IF(A114="","",IFERROR(INDEX(Recipes!$C$5:$C$204,MATCH(A114,Recipes!$A$5:$A$204,0)),""))</f>
        <v>0</v>
      </c>
      <c r="D114" s="8">
        <f>IF(A114="","",COUNTIFS('Meal Plan'!$G$5:$G$504,A114,'Meal Plan'!$S$5:$S$504,"Cooked")+COUNTIFS('Meal Plan'!$G$5:$G$504,A114,'Meal Plan'!$S$5:$S$504,"Eaten"))</f>
        <v>0</v>
      </c>
      <c r="E114" s="8">
        <f>IF(A114="","",IFERROR(INDEX(Recipes!$X$5:$X$204,MATCH(A114,Recipes!$A$5:$A$204,0)),""))</f>
        <v>0</v>
      </c>
      <c r="F114" s="8">
        <f>IF(OR(A114="",E114=""),"",TODAY()-E114)</f>
        <v>0</v>
      </c>
      <c r="G114" s="8">
        <f>IF(OR(A114="",D114=0),"",ROUND(365/D114,0))</f>
        <v>0</v>
      </c>
      <c r="H114" s="8">
        <f>IF(A114="","",IF(F114="","Yes",IF(F114&gt;=Rotation_Gap_Days,"Yes","No")))</f>
        <v>0</v>
      </c>
      <c r="I114" s="8">
        <f>IF(OR(A114="",E114=""),"",E114+Rotation_Gap_Days)</f>
        <v>0</v>
      </c>
      <c r="J114" s="8">
        <f>IF(OR(A114="",I114=""),"",I114-TODAY())</f>
        <v>0</v>
      </c>
      <c r="K114" s="8">
        <f>IF(OR(A114="",F114=""),"",COUNTIFS($F$5:$F$204,"&lt;"&amp;F114)+1)</f>
        <v>0</v>
      </c>
      <c r="L114" s="8">
        <f>IF(A114="","",IFERROR(INDEX(Recipes!$AB$5:$AB$204,MATCH(A114,Recipes!$A$5:$A$204,0)),""))</f>
        <v>0</v>
      </c>
      <c r="M114" s="8">
        <f>IF(A114="","",IFERROR(INDEX(Recipes!$AN$5:$AN$204,MATCH(A114,Recipes!$A$5:$A$204,0)),""))</f>
        <v>0</v>
      </c>
      <c r="N114" s="8">
        <f>IF(A114="","",IF(H114="No","Too soon",IF(F114="","Never cooked",IF(F114&gt;=90,"Overdue","Available"))))</f>
        <v>0</v>
      </c>
      <c r="O114" s="25"/>
    </row>
    <row r="115" spans="1:15">
      <c r="A115" s="7"/>
      <c r="B115" s="8">
        <f>IF(A115="","",IFERROR(INDEX(Recipes!$B$5:$B$204,MATCH(A115,Recipes!$A$5:$A$204,0)),""))</f>
        <v>0</v>
      </c>
      <c r="C115" s="8">
        <f>IF(A115="","",IFERROR(INDEX(Recipes!$C$5:$C$204,MATCH(A115,Recipes!$A$5:$A$204,0)),""))</f>
        <v>0</v>
      </c>
      <c r="D115" s="8">
        <f>IF(A115="","",COUNTIFS('Meal Plan'!$G$5:$G$504,A115,'Meal Plan'!$S$5:$S$504,"Cooked")+COUNTIFS('Meal Plan'!$G$5:$G$504,A115,'Meal Plan'!$S$5:$S$504,"Eaten"))</f>
        <v>0</v>
      </c>
      <c r="E115" s="8">
        <f>IF(A115="","",IFERROR(INDEX(Recipes!$X$5:$X$204,MATCH(A115,Recipes!$A$5:$A$204,0)),""))</f>
        <v>0</v>
      </c>
      <c r="F115" s="8">
        <f>IF(OR(A115="",E115=""),"",TODAY()-E115)</f>
        <v>0</v>
      </c>
      <c r="G115" s="8">
        <f>IF(OR(A115="",D115=0),"",ROUND(365/D115,0))</f>
        <v>0</v>
      </c>
      <c r="H115" s="8">
        <f>IF(A115="","",IF(F115="","Yes",IF(F115&gt;=Rotation_Gap_Days,"Yes","No")))</f>
        <v>0</v>
      </c>
      <c r="I115" s="8">
        <f>IF(OR(A115="",E115=""),"",E115+Rotation_Gap_Days)</f>
        <v>0</v>
      </c>
      <c r="J115" s="8">
        <f>IF(OR(A115="",I115=""),"",I115-TODAY())</f>
        <v>0</v>
      </c>
      <c r="K115" s="8">
        <f>IF(OR(A115="",F115=""),"",COUNTIFS($F$5:$F$204,"&lt;"&amp;F115)+1)</f>
        <v>0</v>
      </c>
      <c r="L115" s="8">
        <f>IF(A115="","",IFERROR(INDEX(Recipes!$AB$5:$AB$204,MATCH(A115,Recipes!$A$5:$A$204,0)),""))</f>
        <v>0</v>
      </c>
      <c r="M115" s="8">
        <f>IF(A115="","",IFERROR(INDEX(Recipes!$AN$5:$AN$204,MATCH(A115,Recipes!$A$5:$A$204,0)),""))</f>
        <v>0</v>
      </c>
      <c r="N115" s="8">
        <f>IF(A115="","",IF(H115="No","Too soon",IF(F115="","Never cooked",IF(F115&gt;=90,"Overdue","Available"))))</f>
        <v>0</v>
      </c>
      <c r="O115" s="25"/>
    </row>
    <row r="116" spans="1:15">
      <c r="A116" s="7"/>
      <c r="B116" s="8">
        <f>IF(A116="","",IFERROR(INDEX(Recipes!$B$5:$B$204,MATCH(A116,Recipes!$A$5:$A$204,0)),""))</f>
        <v>0</v>
      </c>
      <c r="C116" s="8">
        <f>IF(A116="","",IFERROR(INDEX(Recipes!$C$5:$C$204,MATCH(A116,Recipes!$A$5:$A$204,0)),""))</f>
        <v>0</v>
      </c>
      <c r="D116" s="8">
        <f>IF(A116="","",COUNTIFS('Meal Plan'!$G$5:$G$504,A116,'Meal Plan'!$S$5:$S$504,"Cooked")+COUNTIFS('Meal Plan'!$G$5:$G$504,A116,'Meal Plan'!$S$5:$S$504,"Eaten"))</f>
        <v>0</v>
      </c>
      <c r="E116" s="8">
        <f>IF(A116="","",IFERROR(INDEX(Recipes!$X$5:$X$204,MATCH(A116,Recipes!$A$5:$A$204,0)),""))</f>
        <v>0</v>
      </c>
      <c r="F116" s="8">
        <f>IF(OR(A116="",E116=""),"",TODAY()-E116)</f>
        <v>0</v>
      </c>
      <c r="G116" s="8">
        <f>IF(OR(A116="",D116=0),"",ROUND(365/D116,0))</f>
        <v>0</v>
      </c>
      <c r="H116" s="8">
        <f>IF(A116="","",IF(F116="","Yes",IF(F116&gt;=Rotation_Gap_Days,"Yes","No")))</f>
        <v>0</v>
      </c>
      <c r="I116" s="8">
        <f>IF(OR(A116="",E116=""),"",E116+Rotation_Gap_Days)</f>
        <v>0</v>
      </c>
      <c r="J116" s="8">
        <f>IF(OR(A116="",I116=""),"",I116-TODAY())</f>
        <v>0</v>
      </c>
      <c r="K116" s="8">
        <f>IF(OR(A116="",F116=""),"",COUNTIFS($F$5:$F$204,"&lt;"&amp;F116)+1)</f>
        <v>0</v>
      </c>
      <c r="L116" s="8">
        <f>IF(A116="","",IFERROR(INDEX(Recipes!$AB$5:$AB$204,MATCH(A116,Recipes!$A$5:$A$204,0)),""))</f>
        <v>0</v>
      </c>
      <c r="M116" s="8">
        <f>IF(A116="","",IFERROR(INDEX(Recipes!$AN$5:$AN$204,MATCH(A116,Recipes!$A$5:$A$204,0)),""))</f>
        <v>0</v>
      </c>
      <c r="N116" s="8">
        <f>IF(A116="","",IF(H116="No","Too soon",IF(F116="","Never cooked",IF(F116&gt;=90,"Overdue","Available"))))</f>
        <v>0</v>
      </c>
      <c r="O116" s="25"/>
    </row>
    <row r="117" spans="1:15">
      <c r="A117" s="7"/>
      <c r="B117" s="8">
        <f>IF(A117="","",IFERROR(INDEX(Recipes!$B$5:$B$204,MATCH(A117,Recipes!$A$5:$A$204,0)),""))</f>
        <v>0</v>
      </c>
      <c r="C117" s="8">
        <f>IF(A117="","",IFERROR(INDEX(Recipes!$C$5:$C$204,MATCH(A117,Recipes!$A$5:$A$204,0)),""))</f>
        <v>0</v>
      </c>
      <c r="D117" s="8">
        <f>IF(A117="","",COUNTIFS('Meal Plan'!$G$5:$G$504,A117,'Meal Plan'!$S$5:$S$504,"Cooked")+COUNTIFS('Meal Plan'!$G$5:$G$504,A117,'Meal Plan'!$S$5:$S$504,"Eaten"))</f>
        <v>0</v>
      </c>
      <c r="E117" s="8">
        <f>IF(A117="","",IFERROR(INDEX(Recipes!$X$5:$X$204,MATCH(A117,Recipes!$A$5:$A$204,0)),""))</f>
        <v>0</v>
      </c>
      <c r="F117" s="8">
        <f>IF(OR(A117="",E117=""),"",TODAY()-E117)</f>
        <v>0</v>
      </c>
      <c r="G117" s="8">
        <f>IF(OR(A117="",D117=0),"",ROUND(365/D117,0))</f>
        <v>0</v>
      </c>
      <c r="H117" s="8">
        <f>IF(A117="","",IF(F117="","Yes",IF(F117&gt;=Rotation_Gap_Days,"Yes","No")))</f>
        <v>0</v>
      </c>
      <c r="I117" s="8">
        <f>IF(OR(A117="",E117=""),"",E117+Rotation_Gap_Days)</f>
        <v>0</v>
      </c>
      <c r="J117" s="8">
        <f>IF(OR(A117="",I117=""),"",I117-TODAY())</f>
        <v>0</v>
      </c>
      <c r="K117" s="8">
        <f>IF(OR(A117="",F117=""),"",COUNTIFS($F$5:$F$204,"&lt;"&amp;F117)+1)</f>
        <v>0</v>
      </c>
      <c r="L117" s="8">
        <f>IF(A117="","",IFERROR(INDEX(Recipes!$AB$5:$AB$204,MATCH(A117,Recipes!$A$5:$A$204,0)),""))</f>
        <v>0</v>
      </c>
      <c r="M117" s="8">
        <f>IF(A117="","",IFERROR(INDEX(Recipes!$AN$5:$AN$204,MATCH(A117,Recipes!$A$5:$A$204,0)),""))</f>
        <v>0</v>
      </c>
      <c r="N117" s="8">
        <f>IF(A117="","",IF(H117="No","Too soon",IF(F117="","Never cooked",IF(F117&gt;=90,"Overdue","Available"))))</f>
        <v>0</v>
      </c>
      <c r="O117" s="25"/>
    </row>
    <row r="118" spans="1:15">
      <c r="A118" s="7"/>
      <c r="B118" s="8">
        <f>IF(A118="","",IFERROR(INDEX(Recipes!$B$5:$B$204,MATCH(A118,Recipes!$A$5:$A$204,0)),""))</f>
        <v>0</v>
      </c>
      <c r="C118" s="8">
        <f>IF(A118="","",IFERROR(INDEX(Recipes!$C$5:$C$204,MATCH(A118,Recipes!$A$5:$A$204,0)),""))</f>
        <v>0</v>
      </c>
      <c r="D118" s="8">
        <f>IF(A118="","",COUNTIFS('Meal Plan'!$G$5:$G$504,A118,'Meal Plan'!$S$5:$S$504,"Cooked")+COUNTIFS('Meal Plan'!$G$5:$G$504,A118,'Meal Plan'!$S$5:$S$504,"Eaten"))</f>
        <v>0</v>
      </c>
      <c r="E118" s="8">
        <f>IF(A118="","",IFERROR(INDEX(Recipes!$X$5:$X$204,MATCH(A118,Recipes!$A$5:$A$204,0)),""))</f>
        <v>0</v>
      </c>
      <c r="F118" s="8">
        <f>IF(OR(A118="",E118=""),"",TODAY()-E118)</f>
        <v>0</v>
      </c>
      <c r="G118" s="8">
        <f>IF(OR(A118="",D118=0),"",ROUND(365/D118,0))</f>
        <v>0</v>
      </c>
      <c r="H118" s="8">
        <f>IF(A118="","",IF(F118="","Yes",IF(F118&gt;=Rotation_Gap_Days,"Yes","No")))</f>
        <v>0</v>
      </c>
      <c r="I118" s="8">
        <f>IF(OR(A118="",E118=""),"",E118+Rotation_Gap_Days)</f>
        <v>0</v>
      </c>
      <c r="J118" s="8">
        <f>IF(OR(A118="",I118=""),"",I118-TODAY())</f>
        <v>0</v>
      </c>
      <c r="K118" s="8">
        <f>IF(OR(A118="",F118=""),"",COUNTIFS($F$5:$F$204,"&lt;"&amp;F118)+1)</f>
        <v>0</v>
      </c>
      <c r="L118" s="8">
        <f>IF(A118="","",IFERROR(INDEX(Recipes!$AB$5:$AB$204,MATCH(A118,Recipes!$A$5:$A$204,0)),""))</f>
        <v>0</v>
      </c>
      <c r="M118" s="8">
        <f>IF(A118="","",IFERROR(INDEX(Recipes!$AN$5:$AN$204,MATCH(A118,Recipes!$A$5:$A$204,0)),""))</f>
        <v>0</v>
      </c>
      <c r="N118" s="8">
        <f>IF(A118="","",IF(H118="No","Too soon",IF(F118="","Never cooked",IF(F118&gt;=90,"Overdue","Available"))))</f>
        <v>0</v>
      </c>
      <c r="O118" s="25"/>
    </row>
    <row r="119" spans="1:15">
      <c r="A119" s="7"/>
      <c r="B119" s="8">
        <f>IF(A119="","",IFERROR(INDEX(Recipes!$B$5:$B$204,MATCH(A119,Recipes!$A$5:$A$204,0)),""))</f>
        <v>0</v>
      </c>
      <c r="C119" s="8">
        <f>IF(A119="","",IFERROR(INDEX(Recipes!$C$5:$C$204,MATCH(A119,Recipes!$A$5:$A$204,0)),""))</f>
        <v>0</v>
      </c>
      <c r="D119" s="8">
        <f>IF(A119="","",COUNTIFS('Meal Plan'!$G$5:$G$504,A119,'Meal Plan'!$S$5:$S$504,"Cooked")+COUNTIFS('Meal Plan'!$G$5:$G$504,A119,'Meal Plan'!$S$5:$S$504,"Eaten"))</f>
        <v>0</v>
      </c>
      <c r="E119" s="8">
        <f>IF(A119="","",IFERROR(INDEX(Recipes!$X$5:$X$204,MATCH(A119,Recipes!$A$5:$A$204,0)),""))</f>
        <v>0</v>
      </c>
      <c r="F119" s="8">
        <f>IF(OR(A119="",E119=""),"",TODAY()-E119)</f>
        <v>0</v>
      </c>
      <c r="G119" s="8">
        <f>IF(OR(A119="",D119=0),"",ROUND(365/D119,0))</f>
        <v>0</v>
      </c>
      <c r="H119" s="8">
        <f>IF(A119="","",IF(F119="","Yes",IF(F119&gt;=Rotation_Gap_Days,"Yes","No")))</f>
        <v>0</v>
      </c>
      <c r="I119" s="8">
        <f>IF(OR(A119="",E119=""),"",E119+Rotation_Gap_Days)</f>
        <v>0</v>
      </c>
      <c r="J119" s="8">
        <f>IF(OR(A119="",I119=""),"",I119-TODAY())</f>
        <v>0</v>
      </c>
      <c r="K119" s="8">
        <f>IF(OR(A119="",F119=""),"",COUNTIFS($F$5:$F$204,"&lt;"&amp;F119)+1)</f>
        <v>0</v>
      </c>
      <c r="L119" s="8">
        <f>IF(A119="","",IFERROR(INDEX(Recipes!$AB$5:$AB$204,MATCH(A119,Recipes!$A$5:$A$204,0)),""))</f>
        <v>0</v>
      </c>
      <c r="M119" s="8">
        <f>IF(A119="","",IFERROR(INDEX(Recipes!$AN$5:$AN$204,MATCH(A119,Recipes!$A$5:$A$204,0)),""))</f>
        <v>0</v>
      </c>
      <c r="N119" s="8">
        <f>IF(A119="","",IF(H119="No","Too soon",IF(F119="","Never cooked",IF(F119&gt;=90,"Overdue","Available"))))</f>
        <v>0</v>
      </c>
      <c r="O119" s="25"/>
    </row>
    <row r="120" spans="1:15">
      <c r="A120" s="7"/>
      <c r="B120" s="8">
        <f>IF(A120="","",IFERROR(INDEX(Recipes!$B$5:$B$204,MATCH(A120,Recipes!$A$5:$A$204,0)),""))</f>
        <v>0</v>
      </c>
      <c r="C120" s="8">
        <f>IF(A120="","",IFERROR(INDEX(Recipes!$C$5:$C$204,MATCH(A120,Recipes!$A$5:$A$204,0)),""))</f>
        <v>0</v>
      </c>
      <c r="D120" s="8">
        <f>IF(A120="","",COUNTIFS('Meal Plan'!$G$5:$G$504,A120,'Meal Plan'!$S$5:$S$504,"Cooked")+COUNTIFS('Meal Plan'!$G$5:$G$504,A120,'Meal Plan'!$S$5:$S$504,"Eaten"))</f>
        <v>0</v>
      </c>
      <c r="E120" s="8">
        <f>IF(A120="","",IFERROR(INDEX(Recipes!$X$5:$X$204,MATCH(A120,Recipes!$A$5:$A$204,0)),""))</f>
        <v>0</v>
      </c>
      <c r="F120" s="8">
        <f>IF(OR(A120="",E120=""),"",TODAY()-E120)</f>
        <v>0</v>
      </c>
      <c r="G120" s="8">
        <f>IF(OR(A120="",D120=0),"",ROUND(365/D120,0))</f>
        <v>0</v>
      </c>
      <c r="H120" s="8">
        <f>IF(A120="","",IF(F120="","Yes",IF(F120&gt;=Rotation_Gap_Days,"Yes","No")))</f>
        <v>0</v>
      </c>
      <c r="I120" s="8">
        <f>IF(OR(A120="",E120=""),"",E120+Rotation_Gap_Days)</f>
        <v>0</v>
      </c>
      <c r="J120" s="8">
        <f>IF(OR(A120="",I120=""),"",I120-TODAY())</f>
        <v>0</v>
      </c>
      <c r="K120" s="8">
        <f>IF(OR(A120="",F120=""),"",COUNTIFS($F$5:$F$204,"&lt;"&amp;F120)+1)</f>
        <v>0</v>
      </c>
      <c r="L120" s="8">
        <f>IF(A120="","",IFERROR(INDEX(Recipes!$AB$5:$AB$204,MATCH(A120,Recipes!$A$5:$A$204,0)),""))</f>
        <v>0</v>
      </c>
      <c r="M120" s="8">
        <f>IF(A120="","",IFERROR(INDEX(Recipes!$AN$5:$AN$204,MATCH(A120,Recipes!$A$5:$A$204,0)),""))</f>
        <v>0</v>
      </c>
      <c r="N120" s="8">
        <f>IF(A120="","",IF(H120="No","Too soon",IF(F120="","Never cooked",IF(F120&gt;=90,"Overdue","Available"))))</f>
        <v>0</v>
      </c>
      <c r="O120" s="25"/>
    </row>
    <row r="121" spans="1:15">
      <c r="A121" s="7"/>
      <c r="B121" s="8">
        <f>IF(A121="","",IFERROR(INDEX(Recipes!$B$5:$B$204,MATCH(A121,Recipes!$A$5:$A$204,0)),""))</f>
        <v>0</v>
      </c>
      <c r="C121" s="8">
        <f>IF(A121="","",IFERROR(INDEX(Recipes!$C$5:$C$204,MATCH(A121,Recipes!$A$5:$A$204,0)),""))</f>
        <v>0</v>
      </c>
      <c r="D121" s="8">
        <f>IF(A121="","",COUNTIFS('Meal Plan'!$G$5:$G$504,A121,'Meal Plan'!$S$5:$S$504,"Cooked")+COUNTIFS('Meal Plan'!$G$5:$G$504,A121,'Meal Plan'!$S$5:$S$504,"Eaten"))</f>
        <v>0</v>
      </c>
      <c r="E121" s="8">
        <f>IF(A121="","",IFERROR(INDEX(Recipes!$X$5:$X$204,MATCH(A121,Recipes!$A$5:$A$204,0)),""))</f>
        <v>0</v>
      </c>
      <c r="F121" s="8">
        <f>IF(OR(A121="",E121=""),"",TODAY()-E121)</f>
        <v>0</v>
      </c>
      <c r="G121" s="8">
        <f>IF(OR(A121="",D121=0),"",ROUND(365/D121,0))</f>
        <v>0</v>
      </c>
      <c r="H121" s="8">
        <f>IF(A121="","",IF(F121="","Yes",IF(F121&gt;=Rotation_Gap_Days,"Yes","No")))</f>
        <v>0</v>
      </c>
      <c r="I121" s="8">
        <f>IF(OR(A121="",E121=""),"",E121+Rotation_Gap_Days)</f>
        <v>0</v>
      </c>
      <c r="J121" s="8">
        <f>IF(OR(A121="",I121=""),"",I121-TODAY())</f>
        <v>0</v>
      </c>
      <c r="K121" s="8">
        <f>IF(OR(A121="",F121=""),"",COUNTIFS($F$5:$F$204,"&lt;"&amp;F121)+1)</f>
        <v>0</v>
      </c>
      <c r="L121" s="8">
        <f>IF(A121="","",IFERROR(INDEX(Recipes!$AB$5:$AB$204,MATCH(A121,Recipes!$A$5:$A$204,0)),""))</f>
        <v>0</v>
      </c>
      <c r="M121" s="8">
        <f>IF(A121="","",IFERROR(INDEX(Recipes!$AN$5:$AN$204,MATCH(A121,Recipes!$A$5:$A$204,0)),""))</f>
        <v>0</v>
      </c>
      <c r="N121" s="8">
        <f>IF(A121="","",IF(H121="No","Too soon",IF(F121="","Never cooked",IF(F121&gt;=90,"Overdue","Available"))))</f>
        <v>0</v>
      </c>
      <c r="O121" s="25"/>
    </row>
    <row r="122" spans="1:15">
      <c r="A122" s="7"/>
      <c r="B122" s="8">
        <f>IF(A122="","",IFERROR(INDEX(Recipes!$B$5:$B$204,MATCH(A122,Recipes!$A$5:$A$204,0)),""))</f>
        <v>0</v>
      </c>
      <c r="C122" s="8">
        <f>IF(A122="","",IFERROR(INDEX(Recipes!$C$5:$C$204,MATCH(A122,Recipes!$A$5:$A$204,0)),""))</f>
        <v>0</v>
      </c>
      <c r="D122" s="8">
        <f>IF(A122="","",COUNTIFS('Meal Plan'!$G$5:$G$504,A122,'Meal Plan'!$S$5:$S$504,"Cooked")+COUNTIFS('Meal Plan'!$G$5:$G$504,A122,'Meal Plan'!$S$5:$S$504,"Eaten"))</f>
        <v>0</v>
      </c>
      <c r="E122" s="8">
        <f>IF(A122="","",IFERROR(INDEX(Recipes!$X$5:$X$204,MATCH(A122,Recipes!$A$5:$A$204,0)),""))</f>
        <v>0</v>
      </c>
      <c r="F122" s="8">
        <f>IF(OR(A122="",E122=""),"",TODAY()-E122)</f>
        <v>0</v>
      </c>
      <c r="G122" s="8">
        <f>IF(OR(A122="",D122=0),"",ROUND(365/D122,0))</f>
        <v>0</v>
      </c>
      <c r="H122" s="8">
        <f>IF(A122="","",IF(F122="","Yes",IF(F122&gt;=Rotation_Gap_Days,"Yes","No")))</f>
        <v>0</v>
      </c>
      <c r="I122" s="8">
        <f>IF(OR(A122="",E122=""),"",E122+Rotation_Gap_Days)</f>
        <v>0</v>
      </c>
      <c r="J122" s="8">
        <f>IF(OR(A122="",I122=""),"",I122-TODAY())</f>
        <v>0</v>
      </c>
      <c r="K122" s="8">
        <f>IF(OR(A122="",F122=""),"",COUNTIFS($F$5:$F$204,"&lt;"&amp;F122)+1)</f>
        <v>0</v>
      </c>
      <c r="L122" s="8">
        <f>IF(A122="","",IFERROR(INDEX(Recipes!$AB$5:$AB$204,MATCH(A122,Recipes!$A$5:$A$204,0)),""))</f>
        <v>0</v>
      </c>
      <c r="M122" s="8">
        <f>IF(A122="","",IFERROR(INDEX(Recipes!$AN$5:$AN$204,MATCH(A122,Recipes!$A$5:$A$204,0)),""))</f>
        <v>0</v>
      </c>
      <c r="N122" s="8">
        <f>IF(A122="","",IF(H122="No","Too soon",IF(F122="","Never cooked",IF(F122&gt;=90,"Overdue","Available"))))</f>
        <v>0</v>
      </c>
      <c r="O122" s="25"/>
    </row>
    <row r="123" spans="1:15">
      <c r="A123" s="7"/>
      <c r="B123" s="8">
        <f>IF(A123="","",IFERROR(INDEX(Recipes!$B$5:$B$204,MATCH(A123,Recipes!$A$5:$A$204,0)),""))</f>
        <v>0</v>
      </c>
      <c r="C123" s="8">
        <f>IF(A123="","",IFERROR(INDEX(Recipes!$C$5:$C$204,MATCH(A123,Recipes!$A$5:$A$204,0)),""))</f>
        <v>0</v>
      </c>
      <c r="D123" s="8">
        <f>IF(A123="","",COUNTIFS('Meal Plan'!$G$5:$G$504,A123,'Meal Plan'!$S$5:$S$504,"Cooked")+COUNTIFS('Meal Plan'!$G$5:$G$504,A123,'Meal Plan'!$S$5:$S$504,"Eaten"))</f>
        <v>0</v>
      </c>
      <c r="E123" s="8">
        <f>IF(A123="","",IFERROR(INDEX(Recipes!$X$5:$X$204,MATCH(A123,Recipes!$A$5:$A$204,0)),""))</f>
        <v>0</v>
      </c>
      <c r="F123" s="8">
        <f>IF(OR(A123="",E123=""),"",TODAY()-E123)</f>
        <v>0</v>
      </c>
      <c r="G123" s="8">
        <f>IF(OR(A123="",D123=0),"",ROUND(365/D123,0))</f>
        <v>0</v>
      </c>
      <c r="H123" s="8">
        <f>IF(A123="","",IF(F123="","Yes",IF(F123&gt;=Rotation_Gap_Days,"Yes","No")))</f>
        <v>0</v>
      </c>
      <c r="I123" s="8">
        <f>IF(OR(A123="",E123=""),"",E123+Rotation_Gap_Days)</f>
        <v>0</v>
      </c>
      <c r="J123" s="8">
        <f>IF(OR(A123="",I123=""),"",I123-TODAY())</f>
        <v>0</v>
      </c>
      <c r="K123" s="8">
        <f>IF(OR(A123="",F123=""),"",COUNTIFS($F$5:$F$204,"&lt;"&amp;F123)+1)</f>
        <v>0</v>
      </c>
      <c r="L123" s="8">
        <f>IF(A123="","",IFERROR(INDEX(Recipes!$AB$5:$AB$204,MATCH(A123,Recipes!$A$5:$A$204,0)),""))</f>
        <v>0</v>
      </c>
      <c r="M123" s="8">
        <f>IF(A123="","",IFERROR(INDEX(Recipes!$AN$5:$AN$204,MATCH(A123,Recipes!$A$5:$A$204,0)),""))</f>
        <v>0</v>
      </c>
      <c r="N123" s="8">
        <f>IF(A123="","",IF(H123="No","Too soon",IF(F123="","Never cooked",IF(F123&gt;=90,"Overdue","Available"))))</f>
        <v>0</v>
      </c>
      <c r="O123" s="25"/>
    </row>
    <row r="124" spans="1:15">
      <c r="A124" s="7"/>
      <c r="B124" s="8">
        <f>IF(A124="","",IFERROR(INDEX(Recipes!$B$5:$B$204,MATCH(A124,Recipes!$A$5:$A$204,0)),""))</f>
        <v>0</v>
      </c>
      <c r="C124" s="8">
        <f>IF(A124="","",IFERROR(INDEX(Recipes!$C$5:$C$204,MATCH(A124,Recipes!$A$5:$A$204,0)),""))</f>
        <v>0</v>
      </c>
      <c r="D124" s="8">
        <f>IF(A124="","",COUNTIFS('Meal Plan'!$G$5:$G$504,A124,'Meal Plan'!$S$5:$S$504,"Cooked")+COUNTIFS('Meal Plan'!$G$5:$G$504,A124,'Meal Plan'!$S$5:$S$504,"Eaten"))</f>
        <v>0</v>
      </c>
      <c r="E124" s="8">
        <f>IF(A124="","",IFERROR(INDEX(Recipes!$X$5:$X$204,MATCH(A124,Recipes!$A$5:$A$204,0)),""))</f>
        <v>0</v>
      </c>
      <c r="F124" s="8">
        <f>IF(OR(A124="",E124=""),"",TODAY()-E124)</f>
        <v>0</v>
      </c>
      <c r="G124" s="8">
        <f>IF(OR(A124="",D124=0),"",ROUND(365/D124,0))</f>
        <v>0</v>
      </c>
      <c r="H124" s="8">
        <f>IF(A124="","",IF(F124="","Yes",IF(F124&gt;=Rotation_Gap_Days,"Yes","No")))</f>
        <v>0</v>
      </c>
      <c r="I124" s="8">
        <f>IF(OR(A124="",E124=""),"",E124+Rotation_Gap_Days)</f>
        <v>0</v>
      </c>
      <c r="J124" s="8">
        <f>IF(OR(A124="",I124=""),"",I124-TODAY())</f>
        <v>0</v>
      </c>
      <c r="K124" s="8">
        <f>IF(OR(A124="",F124=""),"",COUNTIFS($F$5:$F$204,"&lt;"&amp;F124)+1)</f>
        <v>0</v>
      </c>
      <c r="L124" s="8">
        <f>IF(A124="","",IFERROR(INDEX(Recipes!$AB$5:$AB$204,MATCH(A124,Recipes!$A$5:$A$204,0)),""))</f>
        <v>0</v>
      </c>
      <c r="M124" s="8">
        <f>IF(A124="","",IFERROR(INDEX(Recipes!$AN$5:$AN$204,MATCH(A124,Recipes!$A$5:$A$204,0)),""))</f>
        <v>0</v>
      </c>
      <c r="N124" s="8">
        <f>IF(A124="","",IF(H124="No","Too soon",IF(F124="","Never cooked",IF(F124&gt;=90,"Overdue","Available"))))</f>
        <v>0</v>
      </c>
      <c r="O124" s="25"/>
    </row>
    <row r="125" spans="1:15">
      <c r="A125" s="7"/>
      <c r="B125" s="8">
        <f>IF(A125="","",IFERROR(INDEX(Recipes!$B$5:$B$204,MATCH(A125,Recipes!$A$5:$A$204,0)),""))</f>
        <v>0</v>
      </c>
      <c r="C125" s="8">
        <f>IF(A125="","",IFERROR(INDEX(Recipes!$C$5:$C$204,MATCH(A125,Recipes!$A$5:$A$204,0)),""))</f>
        <v>0</v>
      </c>
      <c r="D125" s="8">
        <f>IF(A125="","",COUNTIFS('Meal Plan'!$G$5:$G$504,A125,'Meal Plan'!$S$5:$S$504,"Cooked")+COUNTIFS('Meal Plan'!$G$5:$G$504,A125,'Meal Plan'!$S$5:$S$504,"Eaten"))</f>
        <v>0</v>
      </c>
      <c r="E125" s="8">
        <f>IF(A125="","",IFERROR(INDEX(Recipes!$X$5:$X$204,MATCH(A125,Recipes!$A$5:$A$204,0)),""))</f>
        <v>0</v>
      </c>
      <c r="F125" s="8">
        <f>IF(OR(A125="",E125=""),"",TODAY()-E125)</f>
        <v>0</v>
      </c>
      <c r="G125" s="8">
        <f>IF(OR(A125="",D125=0),"",ROUND(365/D125,0))</f>
        <v>0</v>
      </c>
      <c r="H125" s="8">
        <f>IF(A125="","",IF(F125="","Yes",IF(F125&gt;=Rotation_Gap_Days,"Yes","No")))</f>
        <v>0</v>
      </c>
      <c r="I125" s="8">
        <f>IF(OR(A125="",E125=""),"",E125+Rotation_Gap_Days)</f>
        <v>0</v>
      </c>
      <c r="J125" s="8">
        <f>IF(OR(A125="",I125=""),"",I125-TODAY())</f>
        <v>0</v>
      </c>
      <c r="K125" s="8">
        <f>IF(OR(A125="",F125=""),"",COUNTIFS($F$5:$F$204,"&lt;"&amp;F125)+1)</f>
        <v>0</v>
      </c>
      <c r="L125" s="8">
        <f>IF(A125="","",IFERROR(INDEX(Recipes!$AB$5:$AB$204,MATCH(A125,Recipes!$A$5:$A$204,0)),""))</f>
        <v>0</v>
      </c>
      <c r="M125" s="8">
        <f>IF(A125="","",IFERROR(INDEX(Recipes!$AN$5:$AN$204,MATCH(A125,Recipes!$A$5:$A$204,0)),""))</f>
        <v>0</v>
      </c>
      <c r="N125" s="8">
        <f>IF(A125="","",IF(H125="No","Too soon",IF(F125="","Never cooked",IF(F125&gt;=90,"Overdue","Available"))))</f>
        <v>0</v>
      </c>
      <c r="O125" s="25"/>
    </row>
    <row r="126" spans="1:15">
      <c r="A126" s="7"/>
      <c r="B126" s="8">
        <f>IF(A126="","",IFERROR(INDEX(Recipes!$B$5:$B$204,MATCH(A126,Recipes!$A$5:$A$204,0)),""))</f>
        <v>0</v>
      </c>
      <c r="C126" s="8">
        <f>IF(A126="","",IFERROR(INDEX(Recipes!$C$5:$C$204,MATCH(A126,Recipes!$A$5:$A$204,0)),""))</f>
        <v>0</v>
      </c>
      <c r="D126" s="8">
        <f>IF(A126="","",COUNTIFS('Meal Plan'!$G$5:$G$504,A126,'Meal Plan'!$S$5:$S$504,"Cooked")+COUNTIFS('Meal Plan'!$G$5:$G$504,A126,'Meal Plan'!$S$5:$S$504,"Eaten"))</f>
        <v>0</v>
      </c>
      <c r="E126" s="8">
        <f>IF(A126="","",IFERROR(INDEX(Recipes!$X$5:$X$204,MATCH(A126,Recipes!$A$5:$A$204,0)),""))</f>
        <v>0</v>
      </c>
      <c r="F126" s="8">
        <f>IF(OR(A126="",E126=""),"",TODAY()-E126)</f>
        <v>0</v>
      </c>
      <c r="G126" s="8">
        <f>IF(OR(A126="",D126=0),"",ROUND(365/D126,0))</f>
        <v>0</v>
      </c>
      <c r="H126" s="8">
        <f>IF(A126="","",IF(F126="","Yes",IF(F126&gt;=Rotation_Gap_Days,"Yes","No")))</f>
        <v>0</v>
      </c>
      <c r="I126" s="8">
        <f>IF(OR(A126="",E126=""),"",E126+Rotation_Gap_Days)</f>
        <v>0</v>
      </c>
      <c r="J126" s="8">
        <f>IF(OR(A126="",I126=""),"",I126-TODAY())</f>
        <v>0</v>
      </c>
      <c r="K126" s="8">
        <f>IF(OR(A126="",F126=""),"",COUNTIFS($F$5:$F$204,"&lt;"&amp;F126)+1)</f>
        <v>0</v>
      </c>
      <c r="L126" s="8">
        <f>IF(A126="","",IFERROR(INDEX(Recipes!$AB$5:$AB$204,MATCH(A126,Recipes!$A$5:$A$204,0)),""))</f>
        <v>0</v>
      </c>
      <c r="M126" s="8">
        <f>IF(A126="","",IFERROR(INDEX(Recipes!$AN$5:$AN$204,MATCH(A126,Recipes!$A$5:$A$204,0)),""))</f>
        <v>0</v>
      </c>
      <c r="N126" s="8">
        <f>IF(A126="","",IF(H126="No","Too soon",IF(F126="","Never cooked",IF(F126&gt;=90,"Overdue","Available"))))</f>
        <v>0</v>
      </c>
      <c r="O126" s="25"/>
    </row>
    <row r="127" spans="1:15">
      <c r="A127" s="7"/>
      <c r="B127" s="8">
        <f>IF(A127="","",IFERROR(INDEX(Recipes!$B$5:$B$204,MATCH(A127,Recipes!$A$5:$A$204,0)),""))</f>
        <v>0</v>
      </c>
      <c r="C127" s="8">
        <f>IF(A127="","",IFERROR(INDEX(Recipes!$C$5:$C$204,MATCH(A127,Recipes!$A$5:$A$204,0)),""))</f>
        <v>0</v>
      </c>
      <c r="D127" s="8">
        <f>IF(A127="","",COUNTIFS('Meal Plan'!$G$5:$G$504,A127,'Meal Plan'!$S$5:$S$504,"Cooked")+COUNTIFS('Meal Plan'!$G$5:$G$504,A127,'Meal Plan'!$S$5:$S$504,"Eaten"))</f>
        <v>0</v>
      </c>
      <c r="E127" s="8">
        <f>IF(A127="","",IFERROR(INDEX(Recipes!$X$5:$X$204,MATCH(A127,Recipes!$A$5:$A$204,0)),""))</f>
        <v>0</v>
      </c>
      <c r="F127" s="8">
        <f>IF(OR(A127="",E127=""),"",TODAY()-E127)</f>
        <v>0</v>
      </c>
      <c r="G127" s="8">
        <f>IF(OR(A127="",D127=0),"",ROUND(365/D127,0))</f>
        <v>0</v>
      </c>
      <c r="H127" s="8">
        <f>IF(A127="","",IF(F127="","Yes",IF(F127&gt;=Rotation_Gap_Days,"Yes","No")))</f>
        <v>0</v>
      </c>
      <c r="I127" s="8">
        <f>IF(OR(A127="",E127=""),"",E127+Rotation_Gap_Days)</f>
        <v>0</v>
      </c>
      <c r="J127" s="8">
        <f>IF(OR(A127="",I127=""),"",I127-TODAY())</f>
        <v>0</v>
      </c>
      <c r="K127" s="8">
        <f>IF(OR(A127="",F127=""),"",COUNTIFS($F$5:$F$204,"&lt;"&amp;F127)+1)</f>
        <v>0</v>
      </c>
      <c r="L127" s="8">
        <f>IF(A127="","",IFERROR(INDEX(Recipes!$AB$5:$AB$204,MATCH(A127,Recipes!$A$5:$A$204,0)),""))</f>
        <v>0</v>
      </c>
      <c r="M127" s="8">
        <f>IF(A127="","",IFERROR(INDEX(Recipes!$AN$5:$AN$204,MATCH(A127,Recipes!$A$5:$A$204,0)),""))</f>
        <v>0</v>
      </c>
      <c r="N127" s="8">
        <f>IF(A127="","",IF(H127="No","Too soon",IF(F127="","Never cooked",IF(F127&gt;=90,"Overdue","Available"))))</f>
        <v>0</v>
      </c>
      <c r="O127" s="25"/>
    </row>
    <row r="128" spans="1:15">
      <c r="A128" s="7"/>
      <c r="B128" s="8">
        <f>IF(A128="","",IFERROR(INDEX(Recipes!$B$5:$B$204,MATCH(A128,Recipes!$A$5:$A$204,0)),""))</f>
        <v>0</v>
      </c>
      <c r="C128" s="8">
        <f>IF(A128="","",IFERROR(INDEX(Recipes!$C$5:$C$204,MATCH(A128,Recipes!$A$5:$A$204,0)),""))</f>
        <v>0</v>
      </c>
      <c r="D128" s="8">
        <f>IF(A128="","",COUNTIFS('Meal Plan'!$G$5:$G$504,A128,'Meal Plan'!$S$5:$S$504,"Cooked")+COUNTIFS('Meal Plan'!$G$5:$G$504,A128,'Meal Plan'!$S$5:$S$504,"Eaten"))</f>
        <v>0</v>
      </c>
      <c r="E128" s="8">
        <f>IF(A128="","",IFERROR(INDEX(Recipes!$X$5:$X$204,MATCH(A128,Recipes!$A$5:$A$204,0)),""))</f>
        <v>0</v>
      </c>
      <c r="F128" s="8">
        <f>IF(OR(A128="",E128=""),"",TODAY()-E128)</f>
        <v>0</v>
      </c>
      <c r="G128" s="8">
        <f>IF(OR(A128="",D128=0),"",ROUND(365/D128,0))</f>
        <v>0</v>
      </c>
      <c r="H128" s="8">
        <f>IF(A128="","",IF(F128="","Yes",IF(F128&gt;=Rotation_Gap_Days,"Yes","No")))</f>
        <v>0</v>
      </c>
      <c r="I128" s="8">
        <f>IF(OR(A128="",E128=""),"",E128+Rotation_Gap_Days)</f>
        <v>0</v>
      </c>
      <c r="J128" s="8">
        <f>IF(OR(A128="",I128=""),"",I128-TODAY())</f>
        <v>0</v>
      </c>
      <c r="K128" s="8">
        <f>IF(OR(A128="",F128=""),"",COUNTIFS($F$5:$F$204,"&lt;"&amp;F128)+1)</f>
        <v>0</v>
      </c>
      <c r="L128" s="8">
        <f>IF(A128="","",IFERROR(INDEX(Recipes!$AB$5:$AB$204,MATCH(A128,Recipes!$A$5:$A$204,0)),""))</f>
        <v>0</v>
      </c>
      <c r="M128" s="8">
        <f>IF(A128="","",IFERROR(INDEX(Recipes!$AN$5:$AN$204,MATCH(A128,Recipes!$A$5:$A$204,0)),""))</f>
        <v>0</v>
      </c>
      <c r="N128" s="8">
        <f>IF(A128="","",IF(H128="No","Too soon",IF(F128="","Never cooked",IF(F128&gt;=90,"Overdue","Available"))))</f>
        <v>0</v>
      </c>
      <c r="O128" s="25"/>
    </row>
    <row r="129" spans="1:15">
      <c r="A129" s="7"/>
      <c r="B129" s="8">
        <f>IF(A129="","",IFERROR(INDEX(Recipes!$B$5:$B$204,MATCH(A129,Recipes!$A$5:$A$204,0)),""))</f>
        <v>0</v>
      </c>
      <c r="C129" s="8">
        <f>IF(A129="","",IFERROR(INDEX(Recipes!$C$5:$C$204,MATCH(A129,Recipes!$A$5:$A$204,0)),""))</f>
        <v>0</v>
      </c>
      <c r="D129" s="8">
        <f>IF(A129="","",COUNTIFS('Meal Plan'!$G$5:$G$504,A129,'Meal Plan'!$S$5:$S$504,"Cooked")+COUNTIFS('Meal Plan'!$G$5:$G$504,A129,'Meal Plan'!$S$5:$S$504,"Eaten"))</f>
        <v>0</v>
      </c>
      <c r="E129" s="8">
        <f>IF(A129="","",IFERROR(INDEX(Recipes!$X$5:$X$204,MATCH(A129,Recipes!$A$5:$A$204,0)),""))</f>
        <v>0</v>
      </c>
      <c r="F129" s="8">
        <f>IF(OR(A129="",E129=""),"",TODAY()-E129)</f>
        <v>0</v>
      </c>
      <c r="G129" s="8">
        <f>IF(OR(A129="",D129=0),"",ROUND(365/D129,0))</f>
        <v>0</v>
      </c>
      <c r="H129" s="8">
        <f>IF(A129="","",IF(F129="","Yes",IF(F129&gt;=Rotation_Gap_Days,"Yes","No")))</f>
        <v>0</v>
      </c>
      <c r="I129" s="8">
        <f>IF(OR(A129="",E129=""),"",E129+Rotation_Gap_Days)</f>
        <v>0</v>
      </c>
      <c r="J129" s="8">
        <f>IF(OR(A129="",I129=""),"",I129-TODAY())</f>
        <v>0</v>
      </c>
      <c r="K129" s="8">
        <f>IF(OR(A129="",F129=""),"",COUNTIFS($F$5:$F$204,"&lt;"&amp;F129)+1)</f>
        <v>0</v>
      </c>
      <c r="L129" s="8">
        <f>IF(A129="","",IFERROR(INDEX(Recipes!$AB$5:$AB$204,MATCH(A129,Recipes!$A$5:$A$204,0)),""))</f>
        <v>0</v>
      </c>
      <c r="M129" s="8">
        <f>IF(A129="","",IFERROR(INDEX(Recipes!$AN$5:$AN$204,MATCH(A129,Recipes!$A$5:$A$204,0)),""))</f>
        <v>0</v>
      </c>
      <c r="N129" s="8">
        <f>IF(A129="","",IF(H129="No","Too soon",IF(F129="","Never cooked",IF(F129&gt;=90,"Overdue","Available"))))</f>
        <v>0</v>
      </c>
      <c r="O129" s="25"/>
    </row>
    <row r="130" spans="1:15">
      <c r="A130" s="7"/>
      <c r="B130" s="8">
        <f>IF(A130="","",IFERROR(INDEX(Recipes!$B$5:$B$204,MATCH(A130,Recipes!$A$5:$A$204,0)),""))</f>
        <v>0</v>
      </c>
      <c r="C130" s="8">
        <f>IF(A130="","",IFERROR(INDEX(Recipes!$C$5:$C$204,MATCH(A130,Recipes!$A$5:$A$204,0)),""))</f>
        <v>0</v>
      </c>
      <c r="D130" s="8">
        <f>IF(A130="","",COUNTIFS('Meal Plan'!$G$5:$G$504,A130,'Meal Plan'!$S$5:$S$504,"Cooked")+COUNTIFS('Meal Plan'!$G$5:$G$504,A130,'Meal Plan'!$S$5:$S$504,"Eaten"))</f>
        <v>0</v>
      </c>
      <c r="E130" s="8">
        <f>IF(A130="","",IFERROR(INDEX(Recipes!$X$5:$X$204,MATCH(A130,Recipes!$A$5:$A$204,0)),""))</f>
        <v>0</v>
      </c>
      <c r="F130" s="8">
        <f>IF(OR(A130="",E130=""),"",TODAY()-E130)</f>
        <v>0</v>
      </c>
      <c r="G130" s="8">
        <f>IF(OR(A130="",D130=0),"",ROUND(365/D130,0))</f>
        <v>0</v>
      </c>
      <c r="H130" s="8">
        <f>IF(A130="","",IF(F130="","Yes",IF(F130&gt;=Rotation_Gap_Days,"Yes","No")))</f>
        <v>0</v>
      </c>
      <c r="I130" s="8">
        <f>IF(OR(A130="",E130=""),"",E130+Rotation_Gap_Days)</f>
        <v>0</v>
      </c>
      <c r="J130" s="8">
        <f>IF(OR(A130="",I130=""),"",I130-TODAY())</f>
        <v>0</v>
      </c>
      <c r="K130" s="8">
        <f>IF(OR(A130="",F130=""),"",COUNTIFS($F$5:$F$204,"&lt;"&amp;F130)+1)</f>
        <v>0</v>
      </c>
      <c r="L130" s="8">
        <f>IF(A130="","",IFERROR(INDEX(Recipes!$AB$5:$AB$204,MATCH(A130,Recipes!$A$5:$A$204,0)),""))</f>
        <v>0</v>
      </c>
      <c r="M130" s="8">
        <f>IF(A130="","",IFERROR(INDEX(Recipes!$AN$5:$AN$204,MATCH(A130,Recipes!$A$5:$A$204,0)),""))</f>
        <v>0</v>
      </c>
      <c r="N130" s="8">
        <f>IF(A130="","",IF(H130="No","Too soon",IF(F130="","Never cooked",IF(F130&gt;=90,"Overdue","Available"))))</f>
        <v>0</v>
      </c>
      <c r="O130" s="25"/>
    </row>
    <row r="131" spans="1:15">
      <c r="A131" s="7"/>
      <c r="B131" s="8">
        <f>IF(A131="","",IFERROR(INDEX(Recipes!$B$5:$B$204,MATCH(A131,Recipes!$A$5:$A$204,0)),""))</f>
        <v>0</v>
      </c>
      <c r="C131" s="8">
        <f>IF(A131="","",IFERROR(INDEX(Recipes!$C$5:$C$204,MATCH(A131,Recipes!$A$5:$A$204,0)),""))</f>
        <v>0</v>
      </c>
      <c r="D131" s="8">
        <f>IF(A131="","",COUNTIFS('Meal Plan'!$G$5:$G$504,A131,'Meal Plan'!$S$5:$S$504,"Cooked")+COUNTIFS('Meal Plan'!$G$5:$G$504,A131,'Meal Plan'!$S$5:$S$504,"Eaten"))</f>
        <v>0</v>
      </c>
      <c r="E131" s="8">
        <f>IF(A131="","",IFERROR(INDEX(Recipes!$X$5:$X$204,MATCH(A131,Recipes!$A$5:$A$204,0)),""))</f>
        <v>0</v>
      </c>
      <c r="F131" s="8">
        <f>IF(OR(A131="",E131=""),"",TODAY()-E131)</f>
        <v>0</v>
      </c>
      <c r="G131" s="8">
        <f>IF(OR(A131="",D131=0),"",ROUND(365/D131,0))</f>
        <v>0</v>
      </c>
      <c r="H131" s="8">
        <f>IF(A131="","",IF(F131="","Yes",IF(F131&gt;=Rotation_Gap_Days,"Yes","No")))</f>
        <v>0</v>
      </c>
      <c r="I131" s="8">
        <f>IF(OR(A131="",E131=""),"",E131+Rotation_Gap_Days)</f>
        <v>0</v>
      </c>
      <c r="J131" s="8">
        <f>IF(OR(A131="",I131=""),"",I131-TODAY())</f>
        <v>0</v>
      </c>
      <c r="K131" s="8">
        <f>IF(OR(A131="",F131=""),"",COUNTIFS($F$5:$F$204,"&lt;"&amp;F131)+1)</f>
        <v>0</v>
      </c>
      <c r="L131" s="8">
        <f>IF(A131="","",IFERROR(INDEX(Recipes!$AB$5:$AB$204,MATCH(A131,Recipes!$A$5:$A$204,0)),""))</f>
        <v>0</v>
      </c>
      <c r="M131" s="8">
        <f>IF(A131="","",IFERROR(INDEX(Recipes!$AN$5:$AN$204,MATCH(A131,Recipes!$A$5:$A$204,0)),""))</f>
        <v>0</v>
      </c>
      <c r="N131" s="8">
        <f>IF(A131="","",IF(H131="No","Too soon",IF(F131="","Never cooked",IF(F131&gt;=90,"Overdue","Available"))))</f>
        <v>0</v>
      </c>
      <c r="O131" s="25"/>
    </row>
    <row r="132" spans="1:15">
      <c r="A132" s="7"/>
      <c r="B132" s="8">
        <f>IF(A132="","",IFERROR(INDEX(Recipes!$B$5:$B$204,MATCH(A132,Recipes!$A$5:$A$204,0)),""))</f>
        <v>0</v>
      </c>
      <c r="C132" s="8">
        <f>IF(A132="","",IFERROR(INDEX(Recipes!$C$5:$C$204,MATCH(A132,Recipes!$A$5:$A$204,0)),""))</f>
        <v>0</v>
      </c>
      <c r="D132" s="8">
        <f>IF(A132="","",COUNTIFS('Meal Plan'!$G$5:$G$504,A132,'Meal Plan'!$S$5:$S$504,"Cooked")+COUNTIFS('Meal Plan'!$G$5:$G$504,A132,'Meal Plan'!$S$5:$S$504,"Eaten"))</f>
        <v>0</v>
      </c>
      <c r="E132" s="8">
        <f>IF(A132="","",IFERROR(INDEX(Recipes!$X$5:$X$204,MATCH(A132,Recipes!$A$5:$A$204,0)),""))</f>
        <v>0</v>
      </c>
      <c r="F132" s="8">
        <f>IF(OR(A132="",E132=""),"",TODAY()-E132)</f>
        <v>0</v>
      </c>
      <c r="G132" s="8">
        <f>IF(OR(A132="",D132=0),"",ROUND(365/D132,0))</f>
        <v>0</v>
      </c>
      <c r="H132" s="8">
        <f>IF(A132="","",IF(F132="","Yes",IF(F132&gt;=Rotation_Gap_Days,"Yes","No")))</f>
        <v>0</v>
      </c>
      <c r="I132" s="8">
        <f>IF(OR(A132="",E132=""),"",E132+Rotation_Gap_Days)</f>
        <v>0</v>
      </c>
      <c r="J132" s="8">
        <f>IF(OR(A132="",I132=""),"",I132-TODAY())</f>
        <v>0</v>
      </c>
      <c r="K132" s="8">
        <f>IF(OR(A132="",F132=""),"",COUNTIFS($F$5:$F$204,"&lt;"&amp;F132)+1)</f>
        <v>0</v>
      </c>
      <c r="L132" s="8">
        <f>IF(A132="","",IFERROR(INDEX(Recipes!$AB$5:$AB$204,MATCH(A132,Recipes!$A$5:$A$204,0)),""))</f>
        <v>0</v>
      </c>
      <c r="M132" s="8">
        <f>IF(A132="","",IFERROR(INDEX(Recipes!$AN$5:$AN$204,MATCH(A132,Recipes!$A$5:$A$204,0)),""))</f>
        <v>0</v>
      </c>
      <c r="N132" s="8">
        <f>IF(A132="","",IF(H132="No","Too soon",IF(F132="","Never cooked",IF(F132&gt;=90,"Overdue","Available"))))</f>
        <v>0</v>
      </c>
      <c r="O132" s="25"/>
    </row>
    <row r="133" spans="1:15">
      <c r="A133" s="7"/>
      <c r="B133" s="8">
        <f>IF(A133="","",IFERROR(INDEX(Recipes!$B$5:$B$204,MATCH(A133,Recipes!$A$5:$A$204,0)),""))</f>
        <v>0</v>
      </c>
      <c r="C133" s="8">
        <f>IF(A133="","",IFERROR(INDEX(Recipes!$C$5:$C$204,MATCH(A133,Recipes!$A$5:$A$204,0)),""))</f>
        <v>0</v>
      </c>
      <c r="D133" s="8">
        <f>IF(A133="","",COUNTIFS('Meal Plan'!$G$5:$G$504,A133,'Meal Plan'!$S$5:$S$504,"Cooked")+COUNTIFS('Meal Plan'!$G$5:$G$504,A133,'Meal Plan'!$S$5:$S$504,"Eaten"))</f>
        <v>0</v>
      </c>
      <c r="E133" s="8">
        <f>IF(A133="","",IFERROR(INDEX(Recipes!$X$5:$X$204,MATCH(A133,Recipes!$A$5:$A$204,0)),""))</f>
        <v>0</v>
      </c>
      <c r="F133" s="8">
        <f>IF(OR(A133="",E133=""),"",TODAY()-E133)</f>
        <v>0</v>
      </c>
      <c r="G133" s="8">
        <f>IF(OR(A133="",D133=0),"",ROUND(365/D133,0))</f>
        <v>0</v>
      </c>
      <c r="H133" s="8">
        <f>IF(A133="","",IF(F133="","Yes",IF(F133&gt;=Rotation_Gap_Days,"Yes","No")))</f>
        <v>0</v>
      </c>
      <c r="I133" s="8">
        <f>IF(OR(A133="",E133=""),"",E133+Rotation_Gap_Days)</f>
        <v>0</v>
      </c>
      <c r="J133" s="8">
        <f>IF(OR(A133="",I133=""),"",I133-TODAY())</f>
        <v>0</v>
      </c>
      <c r="K133" s="8">
        <f>IF(OR(A133="",F133=""),"",COUNTIFS($F$5:$F$204,"&lt;"&amp;F133)+1)</f>
        <v>0</v>
      </c>
      <c r="L133" s="8">
        <f>IF(A133="","",IFERROR(INDEX(Recipes!$AB$5:$AB$204,MATCH(A133,Recipes!$A$5:$A$204,0)),""))</f>
        <v>0</v>
      </c>
      <c r="M133" s="8">
        <f>IF(A133="","",IFERROR(INDEX(Recipes!$AN$5:$AN$204,MATCH(A133,Recipes!$A$5:$A$204,0)),""))</f>
        <v>0</v>
      </c>
      <c r="N133" s="8">
        <f>IF(A133="","",IF(H133="No","Too soon",IF(F133="","Never cooked",IF(F133&gt;=90,"Overdue","Available"))))</f>
        <v>0</v>
      </c>
      <c r="O133" s="25"/>
    </row>
    <row r="134" spans="1:15">
      <c r="A134" s="7"/>
      <c r="B134" s="8">
        <f>IF(A134="","",IFERROR(INDEX(Recipes!$B$5:$B$204,MATCH(A134,Recipes!$A$5:$A$204,0)),""))</f>
        <v>0</v>
      </c>
      <c r="C134" s="8">
        <f>IF(A134="","",IFERROR(INDEX(Recipes!$C$5:$C$204,MATCH(A134,Recipes!$A$5:$A$204,0)),""))</f>
        <v>0</v>
      </c>
      <c r="D134" s="8">
        <f>IF(A134="","",COUNTIFS('Meal Plan'!$G$5:$G$504,A134,'Meal Plan'!$S$5:$S$504,"Cooked")+COUNTIFS('Meal Plan'!$G$5:$G$504,A134,'Meal Plan'!$S$5:$S$504,"Eaten"))</f>
        <v>0</v>
      </c>
      <c r="E134" s="8">
        <f>IF(A134="","",IFERROR(INDEX(Recipes!$X$5:$X$204,MATCH(A134,Recipes!$A$5:$A$204,0)),""))</f>
        <v>0</v>
      </c>
      <c r="F134" s="8">
        <f>IF(OR(A134="",E134=""),"",TODAY()-E134)</f>
        <v>0</v>
      </c>
      <c r="G134" s="8">
        <f>IF(OR(A134="",D134=0),"",ROUND(365/D134,0))</f>
        <v>0</v>
      </c>
      <c r="H134" s="8">
        <f>IF(A134="","",IF(F134="","Yes",IF(F134&gt;=Rotation_Gap_Days,"Yes","No")))</f>
        <v>0</v>
      </c>
      <c r="I134" s="8">
        <f>IF(OR(A134="",E134=""),"",E134+Rotation_Gap_Days)</f>
        <v>0</v>
      </c>
      <c r="J134" s="8">
        <f>IF(OR(A134="",I134=""),"",I134-TODAY())</f>
        <v>0</v>
      </c>
      <c r="K134" s="8">
        <f>IF(OR(A134="",F134=""),"",COUNTIFS($F$5:$F$204,"&lt;"&amp;F134)+1)</f>
        <v>0</v>
      </c>
      <c r="L134" s="8">
        <f>IF(A134="","",IFERROR(INDEX(Recipes!$AB$5:$AB$204,MATCH(A134,Recipes!$A$5:$A$204,0)),""))</f>
        <v>0</v>
      </c>
      <c r="M134" s="8">
        <f>IF(A134="","",IFERROR(INDEX(Recipes!$AN$5:$AN$204,MATCH(A134,Recipes!$A$5:$A$204,0)),""))</f>
        <v>0</v>
      </c>
      <c r="N134" s="8">
        <f>IF(A134="","",IF(H134="No","Too soon",IF(F134="","Never cooked",IF(F134&gt;=90,"Overdue","Available"))))</f>
        <v>0</v>
      </c>
      <c r="O134" s="25"/>
    </row>
    <row r="135" spans="1:15">
      <c r="A135" s="7"/>
      <c r="B135" s="8">
        <f>IF(A135="","",IFERROR(INDEX(Recipes!$B$5:$B$204,MATCH(A135,Recipes!$A$5:$A$204,0)),""))</f>
        <v>0</v>
      </c>
      <c r="C135" s="8">
        <f>IF(A135="","",IFERROR(INDEX(Recipes!$C$5:$C$204,MATCH(A135,Recipes!$A$5:$A$204,0)),""))</f>
        <v>0</v>
      </c>
      <c r="D135" s="8">
        <f>IF(A135="","",COUNTIFS('Meal Plan'!$G$5:$G$504,A135,'Meal Plan'!$S$5:$S$504,"Cooked")+COUNTIFS('Meal Plan'!$G$5:$G$504,A135,'Meal Plan'!$S$5:$S$504,"Eaten"))</f>
        <v>0</v>
      </c>
      <c r="E135" s="8">
        <f>IF(A135="","",IFERROR(INDEX(Recipes!$X$5:$X$204,MATCH(A135,Recipes!$A$5:$A$204,0)),""))</f>
        <v>0</v>
      </c>
      <c r="F135" s="8">
        <f>IF(OR(A135="",E135=""),"",TODAY()-E135)</f>
        <v>0</v>
      </c>
      <c r="G135" s="8">
        <f>IF(OR(A135="",D135=0),"",ROUND(365/D135,0))</f>
        <v>0</v>
      </c>
      <c r="H135" s="8">
        <f>IF(A135="","",IF(F135="","Yes",IF(F135&gt;=Rotation_Gap_Days,"Yes","No")))</f>
        <v>0</v>
      </c>
      <c r="I135" s="8">
        <f>IF(OR(A135="",E135=""),"",E135+Rotation_Gap_Days)</f>
        <v>0</v>
      </c>
      <c r="J135" s="8">
        <f>IF(OR(A135="",I135=""),"",I135-TODAY())</f>
        <v>0</v>
      </c>
      <c r="K135" s="8">
        <f>IF(OR(A135="",F135=""),"",COUNTIFS($F$5:$F$204,"&lt;"&amp;F135)+1)</f>
        <v>0</v>
      </c>
      <c r="L135" s="8">
        <f>IF(A135="","",IFERROR(INDEX(Recipes!$AB$5:$AB$204,MATCH(A135,Recipes!$A$5:$A$204,0)),""))</f>
        <v>0</v>
      </c>
      <c r="M135" s="8">
        <f>IF(A135="","",IFERROR(INDEX(Recipes!$AN$5:$AN$204,MATCH(A135,Recipes!$A$5:$A$204,0)),""))</f>
        <v>0</v>
      </c>
      <c r="N135" s="8">
        <f>IF(A135="","",IF(H135="No","Too soon",IF(F135="","Never cooked",IF(F135&gt;=90,"Overdue","Available"))))</f>
        <v>0</v>
      </c>
      <c r="O135" s="25"/>
    </row>
    <row r="136" spans="1:15">
      <c r="A136" s="7"/>
      <c r="B136" s="8">
        <f>IF(A136="","",IFERROR(INDEX(Recipes!$B$5:$B$204,MATCH(A136,Recipes!$A$5:$A$204,0)),""))</f>
        <v>0</v>
      </c>
      <c r="C136" s="8">
        <f>IF(A136="","",IFERROR(INDEX(Recipes!$C$5:$C$204,MATCH(A136,Recipes!$A$5:$A$204,0)),""))</f>
        <v>0</v>
      </c>
      <c r="D136" s="8">
        <f>IF(A136="","",COUNTIFS('Meal Plan'!$G$5:$G$504,A136,'Meal Plan'!$S$5:$S$504,"Cooked")+COUNTIFS('Meal Plan'!$G$5:$G$504,A136,'Meal Plan'!$S$5:$S$504,"Eaten"))</f>
        <v>0</v>
      </c>
      <c r="E136" s="8">
        <f>IF(A136="","",IFERROR(INDEX(Recipes!$X$5:$X$204,MATCH(A136,Recipes!$A$5:$A$204,0)),""))</f>
        <v>0</v>
      </c>
      <c r="F136" s="8">
        <f>IF(OR(A136="",E136=""),"",TODAY()-E136)</f>
        <v>0</v>
      </c>
      <c r="G136" s="8">
        <f>IF(OR(A136="",D136=0),"",ROUND(365/D136,0))</f>
        <v>0</v>
      </c>
      <c r="H136" s="8">
        <f>IF(A136="","",IF(F136="","Yes",IF(F136&gt;=Rotation_Gap_Days,"Yes","No")))</f>
        <v>0</v>
      </c>
      <c r="I136" s="8">
        <f>IF(OR(A136="",E136=""),"",E136+Rotation_Gap_Days)</f>
        <v>0</v>
      </c>
      <c r="J136" s="8">
        <f>IF(OR(A136="",I136=""),"",I136-TODAY())</f>
        <v>0</v>
      </c>
      <c r="K136" s="8">
        <f>IF(OR(A136="",F136=""),"",COUNTIFS($F$5:$F$204,"&lt;"&amp;F136)+1)</f>
        <v>0</v>
      </c>
      <c r="L136" s="8">
        <f>IF(A136="","",IFERROR(INDEX(Recipes!$AB$5:$AB$204,MATCH(A136,Recipes!$A$5:$A$204,0)),""))</f>
        <v>0</v>
      </c>
      <c r="M136" s="8">
        <f>IF(A136="","",IFERROR(INDEX(Recipes!$AN$5:$AN$204,MATCH(A136,Recipes!$A$5:$A$204,0)),""))</f>
        <v>0</v>
      </c>
      <c r="N136" s="8">
        <f>IF(A136="","",IF(H136="No","Too soon",IF(F136="","Never cooked",IF(F136&gt;=90,"Overdue","Available"))))</f>
        <v>0</v>
      </c>
      <c r="O136" s="25"/>
    </row>
    <row r="137" spans="1:15">
      <c r="A137" s="7"/>
      <c r="B137" s="8">
        <f>IF(A137="","",IFERROR(INDEX(Recipes!$B$5:$B$204,MATCH(A137,Recipes!$A$5:$A$204,0)),""))</f>
        <v>0</v>
      </c>
      <c r="C137" s="8">
        <f>IF(A137="","",IFERROR(INDEX(Recipes!$C$5:$C$204,MATCH(A137,Recipes!$A$5:$A$204,0)),""))</f>
        <v>0</v>
      </c>
      <c r="D137" s="8">
        <f>IF(A137="","",COUNTIFS('Meal Plan'!$G$5:$G$504,A137,'Meal Plan'!$S$5:$S$504,"Cooked")+COUNTIFS('Meal Plan'!$G$5:$G$504,A137,'Meal Plan'!$S$5:$S$504,"Eaten"))</f>
        <v>0</v>
      </c>
      <c r="E137" s="8">
        <f>IF(A137="","",IFERROR(INDEX(Recipes!$X$5:$X$204,MATCH(A137,Recipes!$A$5:$A$204,0)),""))</f>
        <v>0</v>
      </c>
      <c r="F137" s="8">
        <f>IF(OR(A137="",E137=""),"",TODAY()-E137)</f>
        <v>0</v>
      </c>
      <c r="G137" s="8">
        <f>IF(OR(A137="",D137=0),"",ROUND(365/D137,0))</f>
        <v>0</v>
      </c>
      <c r="H137" s="8">
        <f>IF(A137="","",IF(F137="","Yes",IF(F137&gt;=Rotation_Gap_Days,"Yes","No")))</f>
        <v>0</v>
      </c>
      <c r="I137" s="8">
        <f>IF(OR(A137="",E137=""),"",E137+Rotation_Gap_Days)</f>
        <v>0</v>
      </c>
      <c r="J137" s="8">
        <f>IF(OR(A137="",I137=""),"",I137-TODAY())</f>
        <v>0</v>
      </c>
      <c r="K137" s="8">
        <f>IF(OR(A137="",F137=""),"",COUNTIFS($F$5:$F$204,"&lt;"&amp;F137)+1)</f>
        <v>0</v>
      </c>
      <c r="L137" s="8">
        <f>IF(A137="","",IFERROR(INDEX(Recipes!$AB$5:$AB$204,MATCH(A137,Recipes!$A$5:$A$204,0)),""))</f>
        <v>0</v>
      </c>
      <c r="M137" s="8">
        <f>IF(A137="","",IFERROR(INDEX(Recipes!$AN$5:$AN$204,MATCH(A137,Recipes!$A$5:$A$204,0)),""))</f>
        <v>0</v>
      </c>
      <c r="N137" s="8">
        <f>IF(A137="","",IF(H137="No","Too soon",IF(F137="","Never cooked",IF(F137&gt;=90,"Overdue","Available"))))</f>
        <v>0</v>
      </c>
      <c r="O137" s="25"/>
    </row>
    <row r="138" spans="1:15">
      <c r="A138" s="7"/>
      <c r="B138" s="8">
        <f>IF(A138="","",IFERROR(INDEX(Recipes!$B$5:$B$204,MATCH(A138,Recipes!$A$5:$A$204,0)),""))</f>
        <v>0</v>
      </c>
      <c r="C138" s="8">
        <f>IF(A138="","",IFERROR(INDEX(Recipes!$C$5:$C$204,MATCH(A138,Recipes!$A$5:$A$204,0)),""))</f>
        <v>0</v>
      </c>
      <c r="D138" s="8">
        <f>IF(A138="","",COUNTIFS('Meal Plan'!$G$5:$G$504,A138,'Meal Plan'!$S$5:$S$504,"Cooked")+COUNTIFS('Meal Plan'!$G$5:$G$504,A138,'Meal Plan'!$S$5:$S$504,"Eaten"))</f>
        <v>0</v>
      </c>
      <c r="E138" s="8">
        <f>IF(A138="","",IFERROR(INDEX(Recipes!$X$5:$X$204,MATCH(A138,Recipes!$A$5:$A$204,0)),""))</f>
        <v>0</v>
      </c>
      <c r="F138" s="8">
        <f>IF(OR(A138="",E138=""),"",TODAY()-E138)</f>
        <v>0</v>
      </c>
      <c r="G138" s="8">
        <f>IF(OR(A138="",D138=0),"",ROUND(365/D138,0))</f>
        <v>0</v>
      </c>
      <c r="H138" s="8">
        <f>IF(A138="","",IF(F138="","Yes",IF(F138&gt;=Rotation_Gap_Days,"Yes","No")))</f>
        <v>0</v>
      </c>
      <c r="I138" s="8">
        <f>IF(OR(A138="",E138=""),"",E138+Rotation_Gap_Days)</f>
        <v>0</v>
      </c>
      <c r="J138" s="8">
        <f>IF(OR(A138="",I138=""),"",I138-TODAY())</f>
        <v>0</v>
      </c>
      <c r="K138" s="8">
        <f>IF(OR(A138="",F138=""),"",COUNTIFS($F$5:$F$204,"&lt;"&amp;F138)+1)</f>
        <v>0</v>
      </c>
      <c r="L138" s="8">
        <f>IF(A138="","",IFERROR(INDEX(Recipes!$AB$5:$AB$204,MATCH(A138,Recipes!$A$5:$A$204,0)),""))</f>
        <v>0</v>
      </c>
      <c r="M138" s="8">
        <f>IF(A138="","",IFERROR(INDEX(Recipes!$AN$5:$AN$204,MATCH(A138,Recipes!$A$5:$A$204,0)),""))</f>
        <v>0</v>
      </c>
      <c r="N138" s="8">
        <f>IF(A138="","",IF(H138="No","Too soon",IF(F138="","Never cooked",IF(F138&gt;=90,"Overdue","Available"))))</f>
        <v>0</v>
      </c>
      <c r="O138" s="25"/>
    </row>
    <row r="139" spans="1:15">
      <c r="A139" s="7"/>
      <c r="B139" s="8">
        <f>IF(A139="","",IFERROR(INDEX(Recipes!$B$5:$B$204,MATCH(A139,Recipes!$A$5:$A$204,0)),""))</f>
        <v>0</v>
      </c>
      <c r="C139" s="8">
        <f>IF(A139="","",IFERROR(INDEX(Recipes!$C$5:$C$204,MATCH(A139,Recipes!$A$5:$A$204,0)),""))</f>
        <v>0</v>
      </c>
      <c r="D139" s="8">
        <f>IF(A139="","",COUNTIFS('Meal Plan'!$G$5:$G$504,A139,'Meal Plan'!$S$5:$S$504,"Cooked")+COUNTIFS('Meal Plan'!$G$5:$G$504,A139,'Meal Plan'!$S$5:$S$504,"Eaten"))</f>
        <v>0</v>
      </c>
      <c r="E139" s="8">
        <f>IF(A139="","",IFERROR(INDEX(Recipes!$X$5:$X$204,MATCH(A139,Recipes!$A$5:$A$204,0)),""))</f>
        <v>0</v>
      </c>
      <c r="F139" s="8">
        <f>IF(OR(A139="",E139=""),"",TODAY()-E139)</f>
        <v>0</v>
      </c>
      <c r="G139" s="8">
        <f>IF(OR(A139="",D139=0),"",ROUND(365/D139,0))</f>
        <v>0</v>
      </c>
      <c r="H139" s="8">
        <f>IF(A139="","",IF(F139="","Yes",IF(F139&gt;=Rotation_Gap_Days,"Yes","No")))</f>
        <v>0</v>
      </c>
      <c r="I139" s="8">
        <f>IF(OR(A139="",E139=""),"",E139+Rotation_Gap_Days)</f>
        <v>0</v>
      </c>
      <c r="J139" s="8">
        <f>IF(OR(A139="",I139=""),"",I139-TODAY())</f>
        <v>0</v>
      </c>
      <c r="K139" s="8">
        <f>IF(OR(A139="",F139=""),"",COUNTIFS($F$5:$F$204,"&lt;"&amp;F139)+1)</f>
        <v>0</v>
      </c>
      <c r="L139" s="8">
        <f>IF(A139="","",IFERROR(INDEX(Recipes!$AB$5:$AB$204,MATCH(A139,Recipes!$A$5:$A$204,0)),""))</f>
        <v>0</v>
      </c>
      <c r="M139" s="8">
        <f>IF(A139="","",IFERROR(INDEX(Recipes!$AN$5:$AN$204,MATCH(A139,Recipes!$A$5:$A$204,0)),""))</f>
        <v>0</v>
      </c>
      <c r="N139" s="8">
        <f>IF(A139="","",IF(H139="No","Too soon",IF(F139="","Never cooked",IF(F139&gt;=90,"Overdue","Available"))))</f>
        <v>0</v>
      </c>
      <c r="O139" s="25"/>
    </row>
    <row r="140" spans="1:15">
      <c r="A140" s="7"/>
      <c r="B140" s="8">
        <f>IF(A140="","",IFERROR(INDEX(Recipes!$B$5:$B$204,MATCH(A140,Recipes!$A$5:$A$204,0)),""))</f>
        <v>0</v>
      </c>
      <c r="C140" s="8">
        <f>IF(A140="","",IFERROR(INDEX(Recipes!$C$5:$C$204,MATCH(A140,Recipes!$A$5:$A$204,0)),""))</f>
        <v>0</v>
      </c>
      <c r="D140" s="8">
        <f>IF(A140="","",COUNTIFS('Meal Plan'!$G$5:$G$504,A140,'Meal Plan'!$S$5:$S$504,"Cooked")+COUNTIFS('Meal Plan'!$G$5:$G$504,A140,'Meal Plan'!$S$5:$S$504,"Eaten"))</f>
        <v>0</v>
      </c>
      <c r="E140" s="8">
        <f>IF(A140="","",IFERROR(INDEX(Recipes!$X$5:$X$204,MATCH(A140,Recipes!$A$5:$A$204,0)),""))</f>
        <v>0</v>
      </c>
      <c r="F140" s="8">
        <f>IF(OR(A140="",E140=""),"",TODAY()-E140)</f>
        <v>0</v>
      </c>
      <c r="G140" s="8">
        <f>IF(OR(A140="",D140=0),"",ROUND(365/D140,0))</f>
        <v>0</v>
      </c>
      <c r="H140" s="8">
        <f>IF(A140="","",IF(F140="","Yes",IF(F140&gt;=Rotation_Gap_Days,"Yes","No")))</f>
        <v>0</v>
      </c>
      <c r="I140" s="8">
        <f>IF(OR(A140="",E140=""),"",E140+Rotation_Gap_Days)</f>
        <v>0</v>
      </c>
      <c r="J140" s="8">
        <f>IF(OR(A140="",I140=""),"",I140-TODAY())</f>
        <v>0</v>
      </c>
      <c r="K140" s="8">
        <f>IF(OR(A140="",F140=""),"",COUNTIFS($F$5:$F$204,"&lt;"&amp;F140)+1)</f>
        <v>0</v>
      </c>
      <c r="L140" s="8">
        <f>IF(A140="","",IFERROR(INDEX(Recipes!$AB$5:$AB$204,MATCH(A140,Recipes!$A$5:$A$204,0)),""))</f>
        <v>0</v>
      </c>
      <c r="M140" s="8">
        <f>IF(A140="","",IFERROR(INDEX(Recipes!$AN$5:$AN$204,MATCH(A140,Recipes!$A$5:$A$204,0)),""))</f>
        <v>0</v>
      </c>
      <c r="N140" s="8">
        <f>IF(A140="","",IF(H140="No","Too soon",IF(F140="","Never cooked",IF(F140&gt;=90,"Overdue","Available"))))</f>
        <v>0</v>
      </c>
      <c r="O140" s="25"/>
    </row>
    <row r="141" spans="1:15">
      <c r="A141" s="7"/>
      <c r="B141" s="8">
        <f>IF(A141="","",IFERROR(INDEX(Recipes!$B$5:$B$204,MATCH(A141,Recipes!$A$5:$A$204,0)),""))</f>
        <v>0</v>
      </c>
      <c r="C141" s="8">
        <f>IF(A141="","",IFERROR(INDEX(Recipes!$C$5:$C$204,MATCH(A141,Recipes!$A$5:$A$204,0)),""))</f>
        <v>0</v>
      </c>
      <c r="D141" s="8">
        <f>IF(A141="","",COUNTIFS('Meal Plan'!$G$5:$G$504,A141,'Meal Plan'!$S$5:$S$504,"Cooked")+COUNTIFS('Meal Plan'!$G$5:$G$504,A141,'Meal Plan'!$S$5:$S$504,"Eaten"))</f>
        <v>0</v>
      </c>
      <c r="E141" s="8">
        <f>IF(A141="","",IFERROR(INDEX(Recipes!$X$5:$X$204,MATCH(A141,Recipes!$A$5:$A$204,0)),""))</f>
        <v>0</v>
      </c>
      <c r="F141" s="8">
        <f>IF(OR(A141="",E141=""),"",TODAY()-E141)</f>
        <v>0</v>
      </c>
      <c r="G141" s="8">
        <f>IF(OR(A141="",D141=0),"",ROUND(365/D141,0))</f>
        <v>0</v>
      </c>
      <c r="H141" s="8">
        <f>IF(A141="","",IF(F141="","Yes",IF(F141&gt;=Rotation_Gap_Days,"Yes","No")))</f>
        <v>0</v>
      </c>
      <c r="I141" s="8">
        <f>IF(OR(A141="",E141=""),"",E141+Rotation_Gap_Days)</f>
        <v>0</v>
      </c>
      <c r="J141" s="8">
        <f>IF(OR(A141="",I141=""),"",I141-TODAY())</f>
        <v>0</v>
      </c>
      <c r="K141" s="8">
        <f>IF(OR(A141="",F141=""),"",COUNTIFS($F$5:$F$204,"&lt;"&amp;F141)+1)</f>
        <v>0</v>
      </c>
      <c r="L141" s="8">
        <f>IF(A141="","",IFERROR(INDEX(Recipes!$AB$5:$AB$204,MATCH(A141,Recipes!$A$5:$A$204,0)),""))</f>
        <v>0</v>
      </c>
      <c r="M141" s="8">
        <f>IF(A141="","",IFERROR(INDEX(Recipes!$AN$5:$AN$204,MATCH(A141,Recipes!$A$5:$A$204,0)),""))</f>
        <v>0</v>
      </c>
      <c r="N141" s="8">
        <f>IF(A141="","",IF(H141="No","Too soon",IF(F141="","Never cooked",IF(F141&gt;=90,"Overdue","Available"))))</f>
        <v>0</v>
      </c>
      <c r="O141" s="25"/>
    </row>
    <row r="142" spans="1:15">
      <c r="A142" s="7"/>
      <c r="B142" s="8">
        <f>IF(A142="","",IFERROR(INDEX(Recipes!$B$5:$B$204,MATCH(A142,Recipes!$A$5:$A$204,0)),""))</f>
        <v>0</v>
      </c>
      <c r="C142" s="8">
        <f>IF(A142="","",IFERROR(INDEX(Recipes!$C$5:$C$204,MATCH(A142,Recipes!$A$5:$A$204,0)),""))</f>
        <v>0</v>
      </c>
      <c r="D142" s="8">
        <f>IF(A142="","",COUNTIFS('Meal Plan'!$G$5:$G$504,A142,'Meal Plan'!$S$5:$S$504,"Cooked")+COUNTIFS('Meal Plan'!$G$5:$G$504,A142,'Meal Plan'!$S$5:$S$504,"Eaten"))</f>
        <v>0</v>
      </c>
      <c r="E142" s="8">
        <f>IF(A142="","",IFERROR(INDEX(Recipes!$X$5:$X$204,MATCH(A142,Recipes!$A$5:$A$204,0)),""))</f>
        <v>0</v>
      </c>
      <c r="F142" s="8">
        <f>IF(OR(A142="",E142=""),"",TODAY()-E142)</f>
        <v>0</v>
      </c>
      <c r="G142" s="8">
        <f>IF(OR(A142="",D142=0),"",ROUND(365/D142,0))</f>
        <v>0</v>
      </c>
      <c r="H142" s="8">
        <f>IF(A142="","",IF(F142="","Yes",IF(F142&gt;=Rotation_Gap_Days,"Yes","No")))</f>
        <v>0</v>
      </c>
      <c r="I142" s="8">
        <f>IF(OR(A142="",E142=""),"",E142+Rotation_Gap_Days)</f>
        <v>0</v>
      </c>
      <c r="J142" s="8">
        <f>IF(OR(A142="",I142=""),"",I142-TODAY())</f>
        <v>0</v>
      </c>
      <c r="K142" s="8">
        <f>IF(OR(A142="",F142=""),"",COUNTIFS($F$5:$F$204,"&lt;"&amp;F142)+1)</f>
        <v>0</v>
      </c>
      <c r="L142" s="8">
        <f>IF(A142="","",IFERROR(INDEX(Recipes!$AB$5:$AB$204,MATCH(A142,Recipes!$A$5:$A$204,0)),""))</f>
        <v>0</v>
      </c>
      <c r="M142" s="8">
        <f>IF(A142="","",IFERROR(INDEX(Recipes!$AN$5:$AN$204,MATCH(A142,Recipes!$A$5:$A$204,0)),""))</f>
        <v>0</v>
      </c>
      <c r="N142" s="8">
        <f>IF(A142="","",IF(H142="No","Too soon",IF(F142="","Never cooked",IF(F142&gt;=90,"Overdue","Available"))))</f>
        <v>0</v>
      </c>
      <c r="O142" s="25"/>
    </row>
    <row r="143" spans="1:15">
      <c r="A143" s="7"/>
      <c r="B143" s="8">
        <f>IF(A143="","",IFERROR(INDEX(Recipes!$B$5:$B$204,MATCH(A143,Recipes!$A$5:$A$204,0)),""))</f>
        <v>0</v>
      </c>
      <c r="C143" s="8">
        <f>IF(A143="","",IFERROR(INDEX(Recipes!$C$5:$C$204,MATCH(A143,Recipes!$A$5:$A$204,0)),""))</f>
        <v>0</v>
      </c>
      <c r="D143" s="8">
        <f>IF(A143="","",COUNTIFS('Meal Plan'!$G$5:$G$504,A143,'Meal Plan'!$S$5:$S$504,"Cooked")+COUNTIFS('Meal Plan'!$G$5:$G$504,A143,'Meal Plan'!$S$5:$S$504,"Eaten"))</f>
        <v>0</v>
      </c>
      <c r="E143" s="8">
        <f>IF(A143="","",IFERROR(INDEX(Recipes!$X$5:$X$204,MATCH(A143,Recipes!$A$5:$A$204,0)),""))</f>
        <v>0</v>
      </c>
      <c r="F143" s="8">
        <f>IF(OR(A143="",E143=""),"",TODAY()-E143)</f>
        <v>0</v>
      </c>
      <c r="G143" s="8">
        <f>IF(OR(A143="",D143=0),"",ROUND(365/D143,0))</f>
        <v>0</v>
      </c>
      <c r="H143" s="8">
        <f>IF(A143="","",IF(F143="","Yes",IF(F143&gt;=Rotation_Gap_Days,"Yes","No")))</f>
        <v>0</v>
      </c>
      <c r="I143" s="8">
        <f>IF(OR(A143="",E143=""),"",E143+Rotation_Gap_Days)</f>
        <v>0</v>
      </c>
      <c r="J143" s="8">
        <f>IF(OR(A143="",I143=""),"",I143-TODAY())</f>
        <v>0</v>
      </c>
      <c r="K143" s="8">
        <f>IF(OR(A143="",F143=""),"",COUNTIFS($F$5:$F$204,"&lt;"&amp;F143)+1)</f>
        <v>0</v>
      </c>
      <c r="L143" s="8">
        <f>IF(A143="","",IFERROR(INDEX(Recipes!$AB$5:$AB$204,MATCH(A143,Recipes!$A$5:$A$204,0)),""))</f>
        <v>0</v>
      </c>
      <c r="M143" s="8">
        <f>IF(A143="","",IFERROR(INDEX(Recipes!$AN$5:$AN$204,MATCH(A143,Recipes!$A$5:$A$204,0)),""))</f>
        <v>0</v>
      </c>
      <c r="N143" s="8">
        <f>IF(A143="","",IF(H143="No","Too soon",IF(F143="","Never cooked",IF(F143&gt;=90,"Overdue","Available"))))</f>
        <v>0</v>
      </c>
      <c r="O143" s="25"/>
    </row>
    <row r="144" spans="1:15">
      <c r="A144" s="7"/>
      <c r="B144" s="8">
        <f>IF(A144="","",IFERROR(INDEX(Recipes!$B$5:$B$204,MATCH(A144,Recipes!$A$5:$A$204,0)),""))</f>
        <v>0</v>
      </c>
      <c r="C144" s="8">
        <f>IF(A144="","",IFERROR(INDEX(Recipes!$C$5:$C$204,MATCH(A144,Recipes!$A$5:$A$204,0)),""))</f>
        <v>0</v>
      </c>
      <c r="D144" s="8">
        <f>IF(A144="","",COUNTIFS('Meal Plan'!$G$5:$G$504,A144,'Meal Plan'!$S$5:$S$504,"Cooked")+COUNTIFS('Meal Plan'!$G$5:$G$504,A144,'Meal Plan'!$S$5:$S$504,"Eaten"))</f>
        <v>0</v>
      </c>
      <c r="E144" s="8">
        <f>IF(A144="","",IFERROR(INDEX(Recipes!$X$5:$X$204,MATCH(A144,Recipes!$A$5:$A$204,0)),""))</f>
        <v>0</v>
      </c>
      <c r="F144" s="8">
        <f>IF(OR(A144="",E144=""),"",TODAY()-E144)</f>
        <v>0</v>
      </c>
      <c r="G144" s="8">
        <f>IF(OR(A144="",D144=0),"",ROUND(365/D144,0))</f>
        <v>0</v>
      </c>
      <c r="H144" s="8">
        <f>IF(A144="","",IF(F144="","Yes",IF(F144&gt;=Rotation_Gap_Days,"Yes","No")))</f>
        <v>0</v>
      </c>
      <c r="I144" s="8">
        <f>IF(OR(A144="",E144=""),"",E144+Rotation_Gap_Days)</f>
        <v>0</v>
      </c>
      <c r="J144" s="8">
        <f>IF(OR(A144="",I144=""),"",I144-TODAY())</f>
        <v>0</v>
      </c>
      <c r="K144" s="8">
        <f>IF(OR(A144="",F144=""),"",COUNTIFS($F$5:$F$204,"&lt;"&amp;F144)+1)</f>
        <v>0</v>
      </c>
      <c r="L144" s="8">
        <f>IF(A144="","",IFERROR(INDEX(Recipes!$AB$5:$AB$204,MATCH(A144,Recipes!$A$5:$A$204,0)),""))</f>
        <v>0</v>
      </c>
      <c r="M144" s="8">
        <f>IF(A144="","",IFERROR(INDEX(Recipes!$AN$5:$AN$204,MATCH(A144,Recipes!$A$5:$A$204,0)),""))</f>
        <v>0</v>
      </c>
      <c r="N144" s="8">
        <f>IF(A144="","",IF(H144="No","Too soon",IF(F144="","Never cooked",IF(F144&gt;=90,"Overdue","Available"))))</f>
        <v>0</v>
      </c>
      <c r="O144" s="25"/>
    </row>
    <row r="145" spans="1:15">
      <c r="A145" s="7"/>
      <c r="B145" s="8">
        <f>IF(A145="","",IFERROR(INDEX(Recipes!$B$5:$B$204,MATCH(A145,Recipes!$A$5:$A$204,0)),""))</f>
        <v>0</v>
      </c>
      <c r="C145" s="8">
        <f>IF(A145="","",IFERROR(INDEX(Recipes!$C$5:$C$204,MATCH(A145,Recipes!$A$5:$A$204,0)),""))</f>
        <v>0</v>
      </c>
      <c r="D145" s="8">
        <f>IF(A145="","",COUNTIFS('Meal Plan'!$G$5:$G$504,A145,'Meal Plan'!$S$5:$S$504,"Cooked")+COUNTIFS('Meal Plan'!$G$5:$G$504,A145,'Meal Plan'!$S$5:$S$504,"Eaten"))</f>
        <v>0</v>
      </c>
      <c r="E145" s="8">
        <f>IF(A145="","",IFERROR(INDEX(Recipes!$X$5:$X$204,MATCH(A145,Recipes!$A$5:$A$204,0)),""))</f>
        <v>0</v>
      </c>
      <c r="F145" s="8">
        <f>IF(OR(A145="",E145=""),"",TODAY()-E145)</f>
        <v>0</v>
      </c>
      <c r="G145" s="8">
        <f>IF(OR(A145="",D145=0),"",ROUND(365/D145,0))</f>
        <v>0</v>
      </c>
      <c r="H145" s="8">
        <f>IF(A145="","",IF(F145="","Yes",IF(F145&gt;=Rotation_Gap_Days,"Yes","No")))</f>
        <v>0</v>
      </c>
      <c r="I145" s="8">
        <f>IF(OR(A145="",E145=""),"",E145+Rotation_Gap_Days)</f>
        <v>0</v>
      </c>
      <c r="J145" s="8">
        <f>IF(OR(A145="",I145=""),"",I145-TODAY())</f>
        <v>0</v>
      </c>
      <c r="K145" s="8">
        <f>IF(OR(A145="",F145=""),"",COUNTIFS($F$5:$F$204,"&lt;"&amp;F145)+1)</f>
        <v>0</v>
      </c>
      <c r="L145" s="8">
        <f>IF(A145="","",IFERROR(INDEX(Recipes!$AB$5:$AB$204,MATCH(A145,Recipes!$A$5:$A$204,0)),""))</f>
        <v>0</v>
      </c>
      <c r="M145" s="8">
        <f>IF(A145="","",IFERROR(INDEX(Recipes!$AN$5:$AN$204,MATCH(A145,Recipes!$A$5:$A$204,0)),""))</f>
        <v>0</v>
      </c>
      <c r="N145" s="8">
        <f>IF(A145="","",IF(H145="No","Too soon",IF(F145="","Never cooked",IF(F145&gt;=90,"Overdue","Available"))))</f>
        <v>0</v>
      </c>
      <c r="O145" s="25"/>
    </row>
    <row r="146" spans="1:15">
      <c r="A146" s="7"/>
      <c r="B146" s="8">
        <f>IF(A146="","",IFERROR(INDEX(Recipes!$B$5:$B$204,MATCH(A146,Recipes!$A$5:$A$204,0)),""))</f>
        <v>0</v>
      </c>
      <c r="C146" s="8">
        <f>IF(A146="","",IFERROR(INDEX(Recipes!$C$5:$C$204,MATCH(A146,Recipes!$A$5:$A$204,0)),""))</f>
        <v>0</v>
      </c>
      <c r="D146" s="8">
        <f>IF(A146="","",COUNTIFS('Meal Plan'!$G$5:$G$504,A146,'Meal Plan'!$S$5:$S$504,"Cooked")+COUNTIFS('Meal Plan'!$G$5:$G$504,A146,'Meal Plan'!$S$5:$S$504,"Eaten"))</f>
        <v>0</v>
      </c>
      <c r="E146" s="8">
        <f>IF(A146="","",IFERROR(INDEX(Recipes!$X$5:$X$204,MATCH(A146,Recipes!$A$5:$A$204,0)),""))</f>
        <v>0</v>
      </c>
      <c r="F146" s="8">
        <f>IF(OR(A146="",E146=""),"",TODAY()-E146)</f>
        <v>0</v>
      </c>
      <c r="G146" s="8">
        <f>IF(OR(A146="",D146=0),"",ROUND(365/D146,0))</f>
        <v>0</v>
      </c>
      <c r="H146" s="8">
        <f>IF(A146="","",IF(F146="","Yes",IF(F146&gt;=Rotation_Gap_Days,"Yes","No")))</f>
        <v>0</v>
      </c>
      <c r="I146" s="8">
        <f>IF(OR(A146="",E146=""),"",E146+Rotation_Gap_Days)</f>
        <v>0</v>
      </c>
      <c r="J146" s="8">
        <f>IF(OR(A146="",I146=""),"",I146-TODAY())</f>
        <v>0</v>
      </c>
      <c r="K146" s="8">
        <f>IF(OR(A146="",F146=""),"",COUNTIFS($F$5:$F$204,"&lt;"&amp;F146)+1)</f>
        <v>0</v>
      </c>
      <c r="L146" s="8">
        <f>IF(A146="","",IFERROR(INDEX(Recipes!$AB$5:$AB$204,MATCH(A146,Recipes!$A$5:$A$204,0)),""))</f>
        <v>0</v>
      </c>
      <c r="M146" s="8">
        <f>IF(A146="","",IFERROR(INDEX(Recipes!$AN$5:$AN$204,MATCH(A146,Recipes!$A$5:$A$204,0)),""))</f>
        <v>0</v>
      </c>
      <c r="N146" s="8">
        <f>IF(A146="","",IF(H146="No","Too soon",IF(F146="","Never cooked",IF(F146&gt;=90,"Overdue","Available"))))</f>
        <v>0</v>
      </c>
      <c r="O146" s="25"/>
    </row>
    <row r="147" spans="1:15">
      <c r="A147" s="7"/>
      <c r="B147" s="8">
        <f>IF(A147="","",IFERROR(INDEX(Recipes!$B$5:$B$204,MATCH(A147,Recipes!$A$5:$A$204,0)),""))</f>
        <v>0</v>
      </c>
      <c r="C147" s="8">
        <f>IF(A147="","",IFERROR(INDEX(Recipes!$C$5:$C$204,MATCH(A147,Recipes!$A$5:$A$204,0)),""))</f>
        <v>0</v>
      </c>
      <c r="D147" s="8">
        <f>IF(A147="","",COUNTIFS('Meal Plan'!$G$5:$G$504,A147,'Meal Plan'!$S$5:$S$504,"Cooked")+COUNTIFS('Meal Plan'!$G$5:$G$504,A147,'Meal Plan'!$S$5:$S$504,"Eaten"))</f>
        <v>0</v>
      </c>
      <c r="E147" s="8">
        <f>IF(A147="","",IFERROR(INDEX(Recipes!$X$5:$X$204,MATCH(A147,Recipes!$A$5:$A$204,0)),""))</f>
        <v>0</v>
      </c>
      <c r="F147" s="8">
        <f>IF(OR(A147="",E147=""),"",TODAY()-E147)</f>
        <v>0</v>
      </c>
      <c r="G147" s="8">
        <f>IF(OR(A147="",D147=0),"",ROUND(365/D147,0))</f>
        <v>0</v>
      </c>
      <c r="H147" s="8">
        <f>IF(A147="","",IF(F147="","Yes",IF(F147&gt;=Rotation_Gap_Days,"Yes","No")))</f>
        <v>0</v>
      </c>
      <c r="I147" s="8">
        <f>IF(OR(A147="",E147=""),"",E147+Rotation_Gap_Days)</f>
        <v>0</v>
      </c>
      <c r="J147" s="8">
        <f>IF(OR(A147="",I147=""),"",I147-TODAY())</f>
        <v>0</v>
      </c>
      <c r="K147" s="8">
        <f>IF(OR(A147="",F147=""),"",COUNTIFS($F$5:$F$204,"&lt;"&amp;F147)+1)</f>
        <v>0</v>
      </c>
      <c r="L147" s="8">
        <f>IF(A147="","",IFERROR(INDEX(Recipes!$AB$5:$AB$204,MATCH(A147,Recipes!$A$5:$A$204,0)),""))</f>
        <v>0</v>
      </c>
      <c r="M147" s="8">
        <f>IF(A147="","",IFERROR(INDEX(Recipes!$AN$5:$AN$204,MATCH(A147,Recipes!$A$5:$A$204,0)),""))</f>
        <v>0</v>
      </c>
      <c r="N147" s="8">
        <f>IF(A147="","",IF(H147="No","Too soon",IF(F147="","Never cooked",IF(F147&gt;=90,"Overdue","Available"))))</f>
        <v>0</v>
      </c>
      <c r="O147" s="25"/>
    </row>
    <row r="148" spans="1:15">
      <c r="A148" s="7"/>
      <c r="B148" s="8">
        <f>IF(A148="","",IFERROR(INDEX(Recipes!$B$5:$B$204,MATCH(A148,Recipes!$A$5:$A$204,0)),""))</f>
        <v>0</v>
      </c>
      <c r="C148" s="8">
        <f>IF(A148="","",IFERROR(INDEX(Recipes!$C$5:$C$204,MATCH(A148,Recipes!$A$5:$A$204,0)),""))</f>
        <v>0</v>
      </c>
      <c r="D148" s="8">
        <f>IF(A148="","",COUNTIFS('Meal Plan'!$G$5:$G$504,A148,'Meal Plan'!$S$5:$S$504,"Cooked")+COUNTIFS('Meal Plan'!$G$5:$G$504,A148,'Meal Plan'!$S$5:$S$504,"Eaten"))</f>
        <v>0</v>
      </c>
      <c r="E148" s="8">
        <f>IF(A148="","",IFERROR(INDEX(Recipes!$X$5:$X$204,MATCH(A148,Recipes!$A$5:$A$204,0)),""))</f>
        <v>0</v>
      </c>
      <c r="F148" s="8">
        <f>IF(OR(A148="",E148=""),"",TODAY()-E148)</f>
        <v>0</v>
      </c>
      <c r="G148" s="8">
        <f>IF(OR(A148="",D148=0),"",ROUND(365/D148,0))</f>
        <v>0</v>
      </c>
      <c r="H148" s="8">
        <f>IF(A148="","",IF(F148="","Yes",IF(F148&gt;=Rotation_Gap_Days,"Yes","No")))</f>
        <v>0</v>
      </c>
      <c r="I148" s="8">
        <f>IF(OR(A148="",E148=""),"",E148+Rotation_Gap_Days)</f>
        <v>0</v>
      </c>
      <c r="J148" s="8">
        <f>IF(OR(A148="",I148=""),"",I148-TODAY())</f>
        <v>0</v>
      </c>
      <c r="K148" s="8">
        <f>IF(OR(A148="",F148=""),"",COUNTIFS($F$5:$F$204,"&lt;"&amp;F148)+1)</f>
        <v>0</v>
      </c>
      <c r="L148" s="8">
        <f>IF(A148="","",IFERROR(INDEX(Recipes!$AB$5:$AB$204,MATCH(A148,Recipes!$A$5:$A$204,0)),""))</f>
        <v>0</v>
      </c>
      <c r="M148" s="8">
        <f>IF(A148="","",IFERROR(INDEX(Recipes!$AN$5:$AN$204,MATCH(A148,Recipes!$A$5:$A$204,0)),""))</f>
        <v>0</v>
      </c>
      <c r="N148" s="8">
        <f>IF(A148="","",IF(H148="No","Too soon",IF(F148="","Never cooked",IF(F148&gt;=90,"Overdue","Available"))))</f>
        <v>0</v>
      </c>
      <c r="O148" s="25"/>
    </row>
    <row r="149" spans="1:15">
      <c r="A149" s="7"/>
      <c r="B149" s="8">
        <f>IF(A149="","",IFERROR(INDEX(Recipes!$B$5:$B$204,MATCH(A149,Recipes!$A$5:$A$204,0)),""))</f>
        <v>0</v>
      </c>
      <c r="C149" s="8">
        <f>IF(A149="","",IFERROR(INDEX(Recipes!$C$5:$C$204,MATCH(A149,Recipes!$A$5:$A$204,0)),""))</f>
        <v>0</v>
      </c>
      <c r="D149" s="8">
        <f>IF(A149="","",COUNTIFS('Meal Plan'!$G$5:$G$504,A149,'Meal Plan'!$S$5:$S$504,"Cooked")+COUNTIFS('Meal Plan'!$G$5:$G$504,A149,'Meal Plan'!$S$5:$S$504,"Eaten"))</f>
        <v>0</v>
      </c>
      <c r="E149" s="8">
        <f>IF(A149="","",IFERROR(INDEX(Recipes!$X$5:$X$204,MATCH(A149,Recipes!$A$5:$A$204,0)),""))</f>
        <v>0</v>
      </c>
      <c r="F149" s="8">
        <f>IF(OR(A149="",E149=""),"",TODAY()-E149)</f>
        <v>0</v>
      </c>
      <c r="G149" s="8">
        <f>IF(OR(A149="",D149=0),"",ROUND(365/D149,0))</f>
        <v>0</v>
      </c>
      <c r="H149" s="8">
        <f>IF(A149="","",IF(F149="","Yes",IF(F149&gt;=Rotation_Gap_Days,"Yes","No")))</f>
        <v>0</v>
      </c>
      <c r="I149" s="8">
        <f>IF(OR(A149="",E149=""),"",E149+Rotation_Gap_Days)</f>
        <v>0</v>
      </c>
      <c r="J149" s="8">
        <f>IF(OR(A149="",I149=""),"",I149-TODAY())</f>
        <v>0</v>
      </c>
      <c r="K149" s="8">
        <f>IF(OR(A149="",F149=""),"",COUNTIFS($F$5:$F$204,"&lt;"&amp;F149)+1)</f>
        <v>0</v>
      </c>
      <c r="L149" s="8">
        <f>IF(A149="","",IFERROR(INDEX(Recipes!$AB$5:$AB$204,MATCH(A149,Recipes!$A$5:$A$204,0)),""))</f>
        <v>0</v>
      </c>
      <c r="M149" s="8">
        <f>IF(A149="","",IFERROR(INDEX(Recipes!$AN$5:$AN$204,MATCH(A149,Recipes!$A$5:$A$204,0)),""))</f>
        <v>0</v>
      </c>
      <c r="N149" s="8">
        <f>IF(A149="","",IF(H149="No","Too soon",IF(F149="","Never cooked",IF(F149&gt;=90,"Overdue","Available"))))</f>
        <v>0</v>
      </c>
      <c r="O149" s="25"/>
    </row>
    <row r="150" spans="1:15">
      <c r="A150" s="7"/>
      <c r="B150" s="8">
        <f>IF(A150="","",IFERROR(INDEX(Recipes!$B$5:$B$204,MATCH(A150,Recipes!$A$5:$A$204,0)),""))</f>
        <v>0</v>
      </c>
      <c r="C150" s="8">
        <f>IF(A150="","",IFERROR(INDEX(Recipes!$C$5:$C$204,MATCH(A150,Recipes!$A$5:$A$204,0)),""))</f>
        <v>0</v>
      </c>
      <c r="D150" s="8">
        <f>IF(A150="","",COUNTIFS('Meal Plan'!$G$5:$G$504,A150,'Meal Plan'!$S$5:$S$504,"Cooked")+COUNTIFS('Meal Plan'!$G$5:$G$504,A150,'Meal Plan'!$S$5:$S$504,"Eaten"))</f>
        <v>0</v>
      </c>
      <c r="E150" s="8">
        <f>IF(A150="","",IFERROR(INDEX(Recipes!$X$5:$X$204,MATCH(A150,Recipes!$A$5:$A$204,0)),""))</f>
        <v>0</v>
      </c>
      <c r="F150" s="8">
        <f>IF(OR(A150="",E150=""),"",TODAY()-E150)</f>
        <v>0</v>
      </c>
      <c r="G150" s="8">
        <f>IF(OR(A150="",D150=0),"",ROUND(365/D150,0))</f>
        <v>0</v>
      </c>
      <c r="H150" s="8">
        <f>IF(A150="","",IF(F150="","Yes",IF(F150&gt;=Rotation_Gap_Days,"Yes","No")))</f>
        <v>0</v>
      </c>
      <c r="I150" s="8">
        <f>IF(OR(A150="",E150=""),"",E150+Rotation_Gap_Days)</f>
        <v>0</v>
      </c>
      <c r="J150" s="8">
        <f>IF(OR(A150="",I150=""),"",I150-TODAY())</f>
        <v>0</v>
      </c>
      <c r="K150" s="8">
        <f>IF(OR(A150="",F150=""),"",COUNTIFS($F$5:$F$204,"&lt;"&amp;F150)+1)</f>
        <v>0</v>
      </c>
      <c r="L150" s="8">
        <f>IF(A150="","",IFERROR(INDEX(Recipes!$AB$5:$AB$204,MATCH(A150,Recipes!$A$5:$A$204,0)),""))</f>
        <v>0</v>
      </c>
      <c r="M150" s="8">
        <f>IF(A150="","",IFERROR(INDEX(Recipes!$AN$5:$AN$204,MATCH(A150,Recipes!$A$5:$A$204,0)),""))</f>
        <v>0</v>
      </c>
      <c r="N150" s="8">
        <f>IF(A150="","",IF(H150="No","Too soon",IF(F150="","Never cooked",IF(F150&gt;=90,"Overdue","Available"))))</f>
        <v>0</v>
      </c>
      <c r="O150" s="25"/>
    </row>
    <row r="151" spans="1:15">
      <c r="A151" s="7"/>
      <c r="B151" s="8">
        <f>IF(A151="","",IFERROR(INDEX(Recipes!$B$5:$B$204,MATCH(A151,Recipes!$A$5:$A$204,0)),""))</f>
        <v>0</v>
      </c>
      <c r="C151" s="8">
        <f>IF(A151="","",IFERROR(INDEX(Recipes!$C$5:$C$204,MATCH(A151,Recipes!$A$5:$A$204,0)),""))</f>
        <v>0</v>
      </c>
      <c r="D151" s="8">
        <f>IF(A151="","",COUNTIFS('Meal Plan'!$G$5:$G$504,A151,'Meal Plan'!$S$5:$S$504,"Cooked")+COUNTIFS('Meal Plan'!$G$5:$G$504,A151,'Meal Plan'!$S$5:$S$504,"Eaten"))</f>
        <v>0</v>
      </c>
      <c r="E151" s="8">
        <f>IF(A151="","",IFERROR(INDEX(Recipes!$X$5:$X$204,MATCH(A151,Recipes!$A$5:$A$204,0)),""))</f>
        <v>0</v>
      </c>
      <c r="F151" s="8">
        <f>IF(OR(A151="",E151=""),"",TODAY()-E151)</f>
        <v>0</v>
      </c>
      <c r="G151" s="8">
        <f>IF(OR(A151="",D151=0),"",ROUND(365/D151,0))</f>
        <v>0</v>
      </c>
      <c r="H151" s="8">
        <f>IF(A151="","",IF(F151="","Yes",IF(F151&gt;=Rotation_Gap_Days,"Yes","No")))</f>
        <v>0</v>
      </c>
      <c r="I151" s="8">
        <f>IF(OR(A151="",E151=""),"",E151+Rotation_Gap_Days)</f>
        <v>0</v>
      </c>
      <c r="J151" s="8">
        <f>IF(OR(A151="",I151=""),"",I151-TODAY())</f>
        <v>0</v>
      </c>
      <c r="K151" s="8">
        <f>IF(OR(A151="",F151=""),"",COUNTIFS($F$5:$F$204,"&lt;"&amp;F151)+1)</f>
        <v>0</v>
      </c>
      <c r="L151" s="8">
        <f>IF(A151="","",IFERROR(INDEX(Recipes!$AB$5:$AB$204,MATCH(A151,Recipes!$A$5:$A$204,0)),""))</f>
        <v>0</v>
      </c>
      <c r="M151" s="8">
        <f>IF(A151="","",IFERROR(INDEX(Recipes!$AN$5:$AN$204,MATCH(A151,Recipes!$A$5:$A$204,0)),""))</f>
        <v>0</v>
      </c>
      <c r="N151" s="8">
        <f>IF(A151="","",IF(H151="No","Too soon",IF(F151="","Never cooked",IF(F151&gt;=90,"Overdue","Available"))))</f>
        <v>0</v>
      </c>
      <c r="O151" s="25"/>
    </row>
    <row r="152" spans="1:15">
      <c r="A152" s="7"/>
      <c r="B152" s="8">
        <f>IF(A152="","",IFERROR(INDEX(Recipes!$B$5:$B$204,MATCH(A152,Recipes!$A$5:$A$204,0)),""))</f>
        <v>0</v>
      </c>
      <c r="C152" s="8">
        <f>IF(A152="","",IFERROR(INDEX(Recipes!$C$5:$C$204,MATCH(A152,Recipes!$A$5:$A$204,0)),""))</f>
        <v>0</v>
      </c>
      <c r="D152" s="8">
        <f>IF(A152="","",COUNTIFS('Meal Plan'!$G$5:$G$504,A152,'Meal Plan'!$S$5:$S$504,"Cooked")+COUNTIFS('Meal Plan'!$G$5:$G$504,A152,'Meal Plan'!$S$5:$S$504,"Eaten"))</f>
        <v>0</v>
      </c>
      <c r="E152" s="8">
        <f>IF(A152="","",IFERROR(INDEX(Recipes!$X$5:$X$204,MATCH(A152,Recipes!$A$5:$A$204,0)),""))</f>
        <v>0</v>
      </c>
      <c r="F152" s="8">
        <f>IF(OR(A152="",E152=""),"",TODAY()-E152)</f>
        <v>0</v>
      </c>
      <c r="G152" s="8">
        <f>IF(OR(A152="",D152=0),"",ROUND(365/D152,0))</f>
        <v>0</v>
      </c>
      <c r="H152" s="8">
        <f>IF(A152="","",IF(F152="","Yes",IF(F152&gt;=Rotation_Gap_Days,"Yes","No")))</f>
        <v>0</v>
      </c>
      <c r="I152" s="8">
        <f>IF(OR(A152="",E152=""),"",E152+Rotation_Gap_Days)</f>
        <v>0</v>
      </c>
      <c r="J152" s="8">
        <f>IF(OR(A152="",I152=""),"",I152-TODAY())</f>
        <v>0</v>
      </c>
      <c r="K152" s="8">
        <f>IF(OR(A152="",F152=""),"",COUNTIFS($F$5:$F$204,"&lt;"&amp;F152)+1)</f>
        <v>0</v>
      </c>
      <c r="L152" s="8">
        <f>IF(A152="","",IFERROR(INDEX(Recipes!$AB$5:$AB$204,MATCH(A152,Recipes!$A$5:$A$204,0)),""))</f>
        <v>0</v>
      </c>
      <c r="M152" s="8">
        <f>IF(A152="","",IFERROR(INDEX(Recipes!$AN$5:$AN$204,MATCH(A152,Recipes!$A$5:$A$204,0)),""))</f>
        <v>0</v>
      </c>
      <c r="N152" s="8">
        <f>IF(A152="","",IF(H152="No","Too soon",IF(F152="","Never cooked",IF(F152&gt;=90,"Overdue","Available"))))</f>
        <v>0</v>
      </c>
      <c r="O152" s="25"/>
    </row>
    <row r="153" spans="1:15">
      <c r="A153" s="7"/>
      <c r="B153" s="8">
        <f>IF(A153="","",IFERROR(INDEX(Recipes!$B$5:$B$204,MATCH(A153,Recipes!$A$5:$A$204,0)),""))</f>
        <v>0</v>
      </c>
      <c r="C153" s="8">
        <f>IF(A153="","",IFERROR(INDEX(Recipes!$C$5:$C$204,MATCH(A153,Recipes!$A$5:$A$204,0)),""))</f>
        <v>0</v>
      </c>
      <c r="D153" s="8">
        <f>IF(A153="","",COUNTIFS('Meal Plan'!$G$5:$G$504,A153,'Meal Plan'!$S$5:$S$504,"Cooked")+COUNTIFS('Meal Plan'!$G$5:$G$504,A153,'Meal Plan'!$S$5:$S$504,"Eaten"))</f>
        <v>0</v>
      </c>
      <c r="E153" s="8">
        <f>IF(A153="","",IFERROR(INDEX(Recipes!$X$5:$X$204,MATCH(A153,Recipes!$A$5:$A$204,0)),""))</f>
        <v>0</v>
      </c>
      <c r="F153" s="8">
        <f>IF(OR(A153="",E153=""),"",TODAY()-E153)</f>
        <v>0</v>
      </c>
      <c r="G153" s="8">
        <f>IF(OR(A153="",D153=0),"",ROUND(365/D153,0))</f>
        <v>0</v>
      </c>
      <c r="H153" s="8">
        <f>IF(A153="","",IF(F153="","Yes",IF(F153&gt;=Rotation_Gap_Days,"Yes","No")))</f>
        <v>0</v>
      </c>
      <c r="I153" s="8">
        <f>IF(OR(A153="",E153=""),"",E153+Rotation_Gap_Days)</f>
        <v>0</v>
      </c>
      <c r="J153" s="8">
        <f>IF(OR(A153="",I153=""),"",I153-TODAY())</f>
        <v>0</v>
      </c>
      <c r="K153" s="8">
        <f>IF(OR(A153="",F153=""),"",COUNTIFS($F$5:$F$204,"&lt;"&amp;F153)+1)</f>
        <v>0</v>
      </c>
      <c r="L153" s="8">
        <f>IF(A153="","",IFERROR(INDEX(Recipes!$AB$5:$AB$204,MATCH(A153,Recipes!$A$5:$A$204,0)),""))</f>
        <v>0</v>
      </c>
      <c r="M153" s="8">
        <f>IF(A153="","",IFERROR(INDEX(Recipes!$AN$5:$AN$204,MATCH(A153,Recipes!$A$5:$A$204,0)),""))</f>
        <v>0</v>
      </c>
      <c r="N153" s="8">
        <f>IF(A153="","",IF(H153="No","Too soon",IF(F153="","Never cooked",IF(F153&gt;=90,"Overdue","Available"))))</f>
        <v>0</v>
      </c>
      <c r="O153" s="25"/>
    </row>
    <row r="154" spans="1:15">
      <c r="A154" s="7"/>
      <c r="B154" s="8">
        <f>IF(A154="","",IFERROR(INDEX(Recipes!$B$5:$B$204,MATCH(A154,Recipes!$A$5:$A$204,0)),""))</f>
        <v>0</v>
      </c>
      <c r="C154" s="8">
        <f>IF(A154="","",IFERROR(INDEX(Recipes!$C$5:$C$204,MATCH(A154,Recipes!$A$5:$A$204,0)),""))</f>
        <v>0</v>
      </c>
      <c r="D154" s="8">
        <f>IF(A154="","",COUNTIFS('Meal Plan'!$G$5:$G$504,A154,'Meal Plan'!$S$5:$S$504,"Cooked")+COUNTIFS('Meal Plan'!$G$5:$G$504,A154,'Meal Plan'!$S$5:$S$504,"Eaten"))</f>
        <v>0</v>
      </c>
      <c r="E154" s="8">
        <f>IF(A154="","",IFERROR(INDEX(Recipes!$X$5:$X$204,MATCH(A154,Recipes!$A$5:$A$204,0)),""))</f>
        <v>0</v>
      </c>
      <c r="F154" s="8">
        <f>IF(OR(A154="",E154=""),"",TODAY()-E154)</f>
        <v>0</v>
      </c>
      <c r="G154" s="8">
        <f>IF(OR(A154="",D154=0),"",ROUND(365/D154,0))</f>
        <v>0</v>
      </c>
      <c r="H154" s="8">
        <f>IF(A154="","",IF(F154="","Yes",IF(F154&gt;=Rotation_Gap_Days,"Yes","No")))</f>
        <v>0</v>
      </c>
      <c r="I154" s="8">
        <f>IF(OR(A154="",E154=""),"",E154+Rotation_Gap_Days)</f>
        <v>0</v>
      </c>
      <c r="J154" s="8">
        <f>IF(OR(A154="",I154=""),"",I154-TODAY())</f>
        <v>0</v>
      </c>
      <c r="K154" s="8">
        <f>IF(OR(A154="",F154=""),"",COUNTIFS($F$5:$F$204,"&lt;"&amp;F154)+1)</f>
        <v>0</v>
      </c>
      <c r="L154" s="8">
        <f>IF(A154="","",IFERROR(INDEX(Recipes!$AB$5:$AB$204,MATCH(A154,Recipes!$A$5:$A$204,0)),""))</f>
        <v>0</v>
      </c>
      <c r="M154" s="8">
        <f>IF(A154="","",IFERROR(INDEX(Recipes!$AN$5:$AN$204,MATCH(A154,Recipes!$A$5:$A$204,0)),""))</f>
        <v>0</v>
      </c>
      <c r="N154" s="8">
        <f>IF(A154="","",IF(H154="No","Too soon",IF(F154="","Never cooked",IF(F154&gt;=90,"Overdue","Available"))))</f>
        <v>0</v>
      </c>
      <c r="O154" s="25"/>
    </row>
    <row r="155" spans="1:15">
      <c r="A155" s="7"/>
      <c r="B155" s="8">
        <f>IF(A155="","",IFERROR(INDEX(Recipes!$B$5:$B$204,MATCH(A155,Recipes!$A$5:$A$204,0)),""))</f>
        <v>0</v>
      </c>
      <c r="C155" s="8">
        <f>IF(A155="","",IFERROR(INDEX(Recipes!$C$5:$C$204,MATCH(A155,Recipes!$A$5:$A$204,0)),""))</f>
        <v>0</v>
      </c>
      <c r="D155" s="8">
        <f>IF(A155="","",COUNTIFS('Meal Plan'!$G$5:$G$504,A155,'Meal Plan'!$S$5:$S$504,"Cooked")+COUNTIFS('Meal Plan'!$G$5:$G$504,A155,'Meal Plan'!$S$5:$S$504,"Eaten"))</f>
        <v>0</v>
      </c>
      <c r="E155" s="8">
        <f>IF(A155="","",IFERROR(INDEX(Recipes!$X$5:$X$204,MATCH(A155,Recipes!$A$5:$A$204,0)),""))</f>
        <v>0</v>
      </c>
      <c r="F155" s="8">
        <f>IF(OR(A155="",E155=""),"",TODAY()-E155)</f>
        <v>0</v>
      </c>
      <c r="G155" s="8">
        <f>IF(OR(A155="",D155=0),"",ROUND(365/D155,0))</f>
        <v>0</v>
      </c>
      <c r="H155" s="8">
        <f>IF(A155="","",IF(F155="","Yes",IF(F155&gt;=Rotation_Gap_Days,"Yes","No")))</f>
        <v>0</v>
      </c>
      <c r="I155" s="8">
        <f>IF(OR(A155="",E155=""),"",E155+Rotation_Gap_Days)</f>
        <v>0</v>
      </c>
      <c r="J155" s="8">
        <f>IF(OR(A155="",I155=""),"",I155-TODAY())</f>
        <v>0</v>
      </c>
      <c r="K155" s="8">
        <f>IF(OR(A155="",F155=""),"",COUNTIFS($F$5:$F$204,"&lt;"&amp;F155)+1)</f>
        <v>0</v>
      </c>
      <c r="L155" s="8">
        <f>IF(A155="","",IFERROR(INDEX(Recipes!$AB$5:$AB$204,MATCH(A155,Recipes!$A$5:$A$204,0)),""))</f>
        <v>0</v>
      </c>
      <c r="M155" s="8">
        <f>IF(A155="","",IFERROR(INDEX(Recipes!$AN$5:$AN$204,MATCH(A155,Recipes!$A$5:$A$204,0)),""))</f>
        <v>0</v>
      </c>
      <c r="N155" s="8">
        <f>IF(A155="","",IF(H155="No","Too soon",IF(F155="","Never cooked",IF(F155&gt;=90,"Overdue","Available"))))</f>
        <v>0</v>
      </c>
      <c r="O155" s="25"/>
    </row>
    <row r="156" spans="1:15">
      <c r="A156" s="7"/>
      <c r="B156" s="8">
        <f>IF(A156="","",IFERROR(INDEX(Recipes!$B$5:$B$204,MATCH(A156,Recipes!$A$5:$A$204,0)),""))</f>
        <v>0</v>
      </c>
      <c r="C156" s="8">
        <f>IF(A156="","",IFERROR(INDEX(Recipes!$C$5:$C$204,MATCH(A156,Recipes!$A$5:$A$204,0)),""))</f>
        <v>0</v>
      </c>
      <c r="D156" s="8">
        <f>IF(A156="","",COUNTIFS('Meal Plan'!$G$5:$G$504,A156,'Meal Plan'!$S$5:$S$504,"Cooked")+COUNTIFS('Meal Plan'!$G$5:$G$504,A156,'Meal Plan'!$S$5:$S$504,"Eaten"))</f>
        <v>0</v>
      </c>
      <c r="E156" s="8">
        <f>IF(A156="","",IFERROR(INDEX(Recipes!$X$5:$X$204,MATCH(A156,Recipes!$A$5:$A$204,0)),""))</f>
        <v>0</v>
      </c>
      <c r="F156" s="8">
        <f>IF(OR(A156="",E156=""),"",TODAY()-E156)</f>
        <v>0</v>
      </c>
      <c r="G156" s="8">
        <f>IF(OR(A156="",D156=0),"",ROUND(365/D156,0))</f>
        <v>0</v>
      </c>
      <c r="H156" s="8">
        <f>IF(A156="","",IF(F156="","Yes",IF(F156&gt;=Rotation_Gap_Days,"Yes","No")))</f>
        <v>0</v>
      </c>
      <c r="I156" s="8">
        <f>IF(OR(A156="",E156=""),"",E156+Rotation_Gap_Days)</f>
        <v>0</v>
      </c>
      <c r="J156" s="8">
        <f>IF(OR(A156="",I156=""),"",I156-TODAY())</f>
        <v>0</v>
      </c>
      <c r="K156" s="8">
        <f>IF(OR(A156="",F156=""),"",COUNTIFS($F$5:$F$204,"&lt;"&amp;F156)+1)</f>
        <v>0</v>
      </c>
      <c r="L156" s="8">
        <f>IF(A156="","",IFERROR(INDEX(Recipes!$AB$5:$AB$204,MATCH(A156,Recipes!$A$5:$A$204,0)),""))</f>
        <v>0</v>
      </c>
      <c r="M156" s="8">
        <f>IF(A156="","",IFERROR(INDEX(Recipes!$AN$5:$AN$204,MATCH(A156,Recipes!$A$5:$A$204,0)),""))</f>
        <v>0</v>
      </c>
      <c r="N156" s="8">
        <f>IF(A156="","",IF(H156="No","Too soon",IF(F156="","Never cooked",IF(F156&gt;=90,"Overdue","Available"))))</f>
        <v>0</v>
      </c>
      <c r="O156" s="25"/>
    </row>
    <row r="157" spans="1:15">
      <c r="A157" s="7"/>
      <c r="B157" s="8">
        <f>IF(A157="","",IFERROR(INDEX(Recipes!$B$5:$B$204,MATCH(A157,Recipes!$A$5:$A$204,0)),""))</f>
        <v>0</v>
      </c>
      <c r="C157" s="8">
        <f>IF(A157="","",IFERROR(INDEX(Recipes!$C$5:$C$204,MATCH(A157,Recipes!$A$5:$A$204,0)),""))</f>
        <v>0</v>
      </c>
      <c r="D157" s="8">
        <f>IF(A157="","",COUNTIFS('Meal Plan'!$G$5:$G$504,A157,'Meal Plan'!$S$5:$S$504,"Cooked")+COUNTIFS('Meal Plan'!$G$5:$G$504,A157,'Meal Plan'!$S$5:$S$504,"Eaten"))</f>
        <v>0</v>
      </c>
      <c r="E157" s="8">
        <f>IF(A157="","",IFERROR(INDEX(Recipes!$X$5:$X$204,MATCH(A157,Recipes!$A$5:$A$204,0)),""))</f>
        <v>0</v>
      </c>
      <c r="F157" s="8">
        <f>IF(OR(A157="",E157=""),"",TODAY()-E157)</f>
        <v>0</v>
      </c>
      <c r="G157" s="8">
        <f>IF(OR(A157="",D157=0),"",ROUND(365/D157,0))</f>
        <v>0</v>
      </c>
      <c r="H157" s="8">
        <f>IF(A157="","",IF(F157="","Yes",IF(F157&gt;=Rotation_Gap_Days,"Yes","No")))</f>
        <v>0</v>
      </c>
      <c r="I157" s="8">
        <f>IF(OR(A157="",E157=""),"",E157+Rotation_Gap_Days)</f>
        <v>0</v>
      </c>
      <c r="J157" s="8">
        <f>IF(OR(A157="",I157=""),"",I157-TODAY())</f>
        <v>0</v>
      </c>
      <c r="K157" s="8">
        <f>IF(OR(A157="",F157=""),"",COUNTIFS($F$5:$F$204,"&lt;"&amp;F157)+1)</f>
        <v>0</v>
      </c>
      <c r="L157" s="8">
        <f>IF(A157="","",IFERROR(INDEX(Recipes!$AB$5:$AB$204,MATCH(A157,Recipes!$A$5:$A$204,0)),""))</f>
        <v>0</v>
      </c>
      <c r="M157" s="8">
        <f>IF(A157="","",IFERROR(INDEX(Recipes!$AN$5:$AN$204,MATCH(A157,Recipes!$A$5:$A$204,0)),""))</f>
        <v>0</v>
      </c>
      <c r="N157" s="8">
        <f>IF(A157="","",IF(H157="No","Too soon",IF(F157="","Never cooked",IF(F157&gt;=90,"Overdue","Available"))))</f>
        <v>0</v>
      </c>
      <c r="O157" s="25"/>
    </row>
    <row r="158" spans="1:15">
      <c r="A158" s="7"/>
      <c r="B158" s="8">
        <f>IF(A158="","",IFERROR(INDEX(Recipes!$B$5:$B$204,MATCH(A158,Recipes!$A$5:$A$204,0)),""))</f>
        <v>0</v>
      </c>
      <c r="C158" s="8">
        <f>IF(A158="","",IFERROR(INDEX(Recipes!$C$5:$C$204,MATCH(A158,Recipes!$A$5:$A$204,0)),""))</f>
        <v>0</v>
      </c>
      <c r="D158" s="8">
        <f>IF(A158="","",COUNTIFS('Meal Plan'!$G$5:$G$504,A158,'Meal Plan'!$S$5:$S$504,"Cooked")+COUNTIFS('Meal Plan'!$G$5:$G$504,A158,'Meal Plan'!$S$5:$S$504,"Eaten"))</f>
        <v>0</v>
      </c>
      <c r="E158" s="8">
        <f>IF(A158="","",IFERROR(INDEX(Recipes!$X$5:$X$204,MATCH(A158,Recipes!$A$5:$A$204,0)),""))</f>
        <v>0</v>
      </c>
      <c r="F158" s="8">
        <f>IF(OR(A158="",E158=""),"",TODAY()-E158)</f>
        <v>0</v>
      </c>
      <c r="G158" s="8">
        <f>IF(OR(A158="",D158=0),"",ROUND(365/D158,0))</f>
        <v>0</v>
      </c>
      <c r="H158" s="8">
        <f>IF(A158="","",IF(F158="","Yes",IF(F158&gt;=Rotation_Gap_Days,"Yes","No")))</f>
        <v>0</v>
      </c>
      <c r="I158" s="8">
        <f>IF(OR(A158="",E158=""),"",E158+Rotation_Gap_Days)</f>
        <v>0</v>
      </c>
      <c r="J158" s="8">
        <f>IF(OR(A158="",I158=""),"",I158-TODAY())</f>
        <v>0</v>
      </c>
      <c r="K158" s="8">
        <f>IF(OR(A158="",F158=""),"",COUNTIFS($F$5:$F$204,"&lt;"&amp;F158)+1)</f>
        <v>0</v>
      </c>
      <c r="L158" s="8">
        <f>IF(A158="","",IFERROR(INDEX(Recipes!$AB$5:$AB$204,MATCH(A158,Recipes!$A$5:$A$204,0)),""))</f>
        <v>0</v>
      </c>
      <c r="M158" s="8">
        <f>IF(A158="","",IFERROR(INDEX(Recipes!$AN$5:$AN$204,MATCH(A158,Recipes!$A$5:$A$204,0)),""))</f>
        <v>0</v>
      </c>
      <c r="N158" s="8">
        <f>IF(A158="","",IF(H158="No","Too soon",IF(F158="","Never cooked",IF(F158&gt;=90,"Overdue","Available"))))</f>
        <v>0</v>
      </c>
      <c r="O158" s="25"/>
    </row>
    <row r="159" spans="1:15">
      <c r="A159" s="7"/>
      <c r="B159" s="8">
        <f>IF(A159="","",IFERROR(INDEX(Recipes!$B$5:$B$204,MATCH(A159,Recipes!$A$5:$A$204,0)),""))</f>
        <v>0</v>
      </c>
      <c r="C159" s="8">
        <f>IF(A159="","",IFERROR(INDEX(Recipes!$C$5:$C$204,MATCH(A159,Recipes!$A$5:$A$204,0)),""))</f>
        <v>0</v>
      </c>
      <c r="D159" s="8">
        <f>IF(A159="","",COUNTIFS('Meal Plan'!$G$5:$G$504,A159,'Meal Plan'!$S$5:$S$504,"Cooked")+COUNTIFS('Meal Plan'!$G$5:$G$504,A159,'Meal Plan'!$S$5:$S$504,"Eaten"))</f>
        <v>0</v>
      </c>
      <c r="E159" s="8">
        <f>IF(A159="","",IFERROR(INDEX(Recipes!$X$5:$X$204,MATCH(A159,Recipes!$A$5:$A$204,0)),""))</f>
        <v>0</v>
      </c>
      <c r="F159" s="8">
        <f>IF(OR(A159="",E159=""),"",TODAY()-E159)</f>
        <v>0</v>
      </c>
      <c r="G159" s="8">
        <f>IF(OR(A159="",D159=0),"",ROUND(365/D159,0))</f>
        <v>0</v>
      </c>
      <c r="H159" s="8">
        <f>IF(A159="","",IF(F159="","Yes",IF(F159&gt;=Rotation_Gap_Days,"Yes","No")))</f>
        <v>0</v>
      </c>
      <c r="I159" s="8">
        <f>IF(OR(A159="",E159=""),"",E159+Rotation_Gap_Days)</f>
        <v>0</v>
      </c>
      <c r="J159" s="8">
        <f>IF(OR(A159="",I159=""),"",I159-TODAY())</f>
        <v>0</v>
      </c>
      <c r="K159" s="8">
        <f>IF(OR(A159="",F159=""),"",COUNTIFS($F$5:$F$204,"&lt;"&amp;F159)+1)</f>
        <v>0</v>
      </c>
      <c r="L159" s="8">
        <f>IF(A159="","",IFERROR(INDEX(Recipes!$AB$5:$AB$204,MATCH(A159,Recipes!$A$5:$A$204,0)),""))</f>
        <v>0</v>
      </c>
      <c r="M159" s="8">
        <f>IF(A159="","",IFERROR(INDEX(Recipes!$AN$5:$AN$204,MATCH(A159,Recipes!$A$5:$A$204,0)),""))</f>
        <v>0</v>
      </c>
      <c r="N159" s="8">
        <f>IF(A159="","",IF(H159="No","Too soon",IF(F159="","Never cooked",IF(F159&gt;=90,"Overdue","Available"))))</f>
        <v>0</v>
      </c>
      <c r="O159" s="25"/>
    </row>
    <row r="160" spans="1:15">
      <c r="A160" s="7"/>
      <c r="B160" s="8">
        <f>IF(A160="","",IFERROR(INDEX(Recipes!$B$5:$B$204,MATCH(A160,Recipes!$A$5:$A$204,0)),""))</f>
        <v>0</v>
      </c>
      <c r="C160" s="8">
        <f>IF(A160="","",IFERROR(INDEX(Recipes!$C$5:$C$204,MATCH(A160,Recipes!$A$5:$A$204,0)),""))</f>
        <v>0</v>
      </c>
      <c r="D160" s="8">
        <f>IF(A160="","",COUNTIFS('Meal Plan'!$G$5:$G$504,A160,'Meal Plan'!$S$5:$S$504,"Cooked")+COUNTIFS('Meal Plan'!$G$5:$G$504,A160,'Meal Plan'!$S$5:$S$504,"Eaten"))</f>
        <v>0</v>
      </c>
      <c r="E160" s="8">
        <f>IF(A160="","",IFERROR(INDEX(Recipes!$X$5:$X$204,MATCH(A160,Recipes!$A$5:$A$204,0)),""))</f>
        <v>0</v>
      </c>
      <c r="F160" s="8">
        <f>IF(OR(A160="",E160=""),"",TODAY()-E160)</f>
        <v>0</v>
      </c>
      <c r="G160" s="8">
        <f>IF(OR(A160="",D160=0),"",ROUND(365/D160,0))</f>
        <v>0</v>
      </c>
      <c r="H160" s="8">
        <f>IF(A160="","",IF(F160="","Yes",IF(F160&gt;=Rotation_Gap_Days,"Yes","No")))</f>
        <v>0</v>
      </c>
      <c r="I160" s="8">
        <f>IF(OR(A160="",E160=""),"",E160+Rotation_Gap_Days)</f>
        <v>0</v>
      </c>
      <c r="J160" s="8">
        <f>IF(OR(A160="",I160=""),"",I160-TODAY())</f>
        <v>0</v>
      </c>
      <c r="K160" s="8">
        <f>IF(OR(A160="",F160=""),"",COUNTIFS($F$5:$F$204,"&lt;"&amp;F160)+1)</f>
        <v>0</v>
      </c>
      <c r="L160" s="8">
        <f>IF(A160="","",IFERROR(INDEX(Recipes!$AB$5:$AB$204,MATCH(A160,Recipes!$A$5:$A$204,0)),""))</f>
        <v>0</v>
      </c>
      <c r="M160" s="8">
        <f>IF(A160="","",IFERROR(INDEX(Recipes!$AN$5:$AN$204,MATCH(A160,Recipes!$A$5:$A$204,0)),""))</f>
        <v>0</v>
      </c>
      <c r="N160" s="8">
        <f>IF(A160="","",IF(H160="No","Too soon",IF(F160="","Never cooked",IF(F160&gt;=90,"Overdue","Available"))))</f>
        <v>0</v>
      </c>
      <c r="O160" s="25"/>
    </row>
    <row r="161" spans="1:15">
      <c r="A161" s="7"/>
      <c r="B161" s="8">
        <f>IF(A161="","",IFERROR(INDEX(Recipes!$B$5:$B$204,MATCH(A161,Recipes!$A$5:$A$204,0)),""))</f>
        <v>0</v>
      </c>
      <c r="C161" s="8">
        <f>IF(A161="","",IFERROR(INDEX(Recipes!$C$5:$C$204,MATCH(A161,Recipes!$A$5:$A$204,0)),""))</f>
        <v>0</v>
      </c>
      <c r="D161" s="8">
        <f>IF(A161="","",COUNTIFS('Meal Plan'!$G$5:$G$504,A161,'Meal Plan'!$S$5:$S$504,"Cooked")+COUNTIFS('Meal Plan'!$G$5:$G$504,A161,'Meal Plan'!$S$5:$S$504,"Eaten"))</f>
        <v>0</v>
      </c>
      <c r="E161" s="8">
        <f>IF(A161="","",IFERROR(INDEX(Recipes!$X$5:$X$204,MATCH(A161,Recipes!$A$5:$A$204,0)),""))</f>
        <v>0</v>
      </c>
      <c r="F161" s="8">
        <f>IF(OR(A161="",E161=""),"",TODAY()-E161)</f>
        <v>0</v>
      </c>
      <c r="G161" s="8">
        <f>IF(OR(A161="",D161=0),"",ROUND(365/D161,0))</f>
        <v>0</v>
      </c>
      <c r="H161" s="8">
        <f>IF(A161="","",IF(F161="","Yes",IF(F161&gt;=Rotation_Gap_Days,"Yes","No")))</f>
        <v>0</v>
      </c>
      <c r="I161" s="8">
        <f>IF(OR(A161="",E161=""),"",E161+Rotation_Gap_Days)</f>
        <v>0</v>
      </c>
      <c r="J161" s="8">
        <f>IF(OR(A161="",I161=""),"",I161-TODAY())</f>
        <v>0</v>
      </c>
      <c r="K161" s="8">
        <f>IF(OR(A161="",F161=""),"",COUNTIFS($F$5:$F$204,"&lt;"&amp;F161)+1)</f>
        <v>0</v>
      </c>
      <c r="L161" s="8">
        <f>IF(A161="","",IFERROR(INDEX(Recipes!$AB$5:$AB$204,MATCH(A161,Recipes!$A$5:$A$204,0)),""))</f>
        <v>0</v>
      </c>
      <c r="M161" s="8">
        <f>IF(A161="","",IFERROR(INDEX(Recipes!$AN$5:$AN$204,MATCH(A161,Recipes!$A$5:$A$204,0)),""))</f>
        <v>0</v>
      </c>
      <c r="N161" s="8">
        <f>IF(A161="","",IF(H161="No","Too soon",IF(F161="","Never cooked",IF(F161&gt;=90,"Overdue","Available"))))</f>
        <v>0</v>
      </c>
      <c r="O161" s="25"/>
    </row>
    <row r="162" spans="1:15">
      <c r="A162" s="7"/>
      <c r="B162" s="8">
        <f>IF(A162="","",IFERROR(INDEX(Recipes!$B$5:$B$204,MATCH(A162,Recipes!$A$5:$A$204,0)),""))</f>
        <v>0</v>
      </c>
      <c r="C162" s="8">
        <f>IF(A162="","",IFERROR(INDEX(Recipes!$C$5:$C$204,MATCH(A162,Recipes!$A$5:$A$204,0)),""))</f>
        <v>0</v>
      </c>
      <c r="D162" s="8">
        <f>IF(A162="","",COUNTIFS('Meal Plan'!$G$5:$G$504,A162,'Meal Plan'!$S$5:$S$504,"Cooked")+COUNTIFS('Meal Plan'!$G$5:$G$504,A162,'Meal Plan'!$S$5:$S$504,"Eaten"))</f>
        <v>0</v>
      </c>
      <c r="E162" s="8">
        <f>IF(A162="","",IFERROR(INDEX(Recipes!$X$5:$X$204,MATCH(A162,Recipes!$A$5:$A$204,0)),""))</f>
        <v>0</v>
      </c>
      <c r="F162" s="8">
        <f>IF(OR(A162="",E162=""),"",TODAY()-E162)</f>
        <v>0</v>
      </c>
      <c r="G162" s="8">
        <f>IF(OR(A162="",D162=0),"",ROUND(365/D162,0))</f>
        <v>0</v>
      </c>
      <c r="H162" s="8">
        <f>IF(A162="","",IF(F162="","Yes",IF(F162&gt;=Rotation_Gap_Days,"Yes","No")))</f>
        <v>0</v>
      </c>
      <c r="I162" s="8">
        <f>IF(OR(A162="",E162=""),"",E162+Rotation_Gap_Days)</f>
        <v>0</v>
      </c>
      <c r="J162" s="8">
        <f>IF(OR(A162="",I162=""),"",I162-TODAY())</f>
        <v>0</v>
      </c>
      <c r="K162" s="8">
        <f>IF(OR(A162="",F162=""),"",COUNTIFS($F$5:$F$204,"&lt;"&amp;F162)+1)</f>
        <v>0</v>
      </c>
      <c r="L162" s="8">
        <f>IF(A162="","",IFERROR(INDEX(Recipes!$AB$5:$AB$204,MATCH(A162,Recipes!$A$5:$A$204,0)),""))</f>
        <v>0</v>
      </c>
      <c r="M162" s="8">
        <f>IF(A162="","",IFERROR(INDEX(Recipes!$AN$5:$AN$204,MATCH(A162,Recipes!$A$5:$A$204,0)),""))</f>
        <v>0</v>
      </c>
      <c r="N162" s="8">
        <f>IF(A162="","",IF(H162="No","Too soon",IF(F162="","Never cooked",IF(F162&gt;=90,"Overdue","Available"))))</f>
        <v>0</v>
      </c>
      <c r="O162" s="25"/>
    </row>
    <row r="163" spans="1:15">
      <c r="A163" s="7"/>
      <c r="B163" s="8">
        <f>IF(A163="","",IFERROR(INDEX(Recipes!$B$5:$B$204,MATCH(A163,Recipes!$A$5:$A$204,0)),""))</f>
        <v>0</v>
      </c>
      <c r="C163" s="8">
        <f>IF(A163="","",IFERROR(INDEX(Recipes!$C$5:$C$204,MATCH(A163,Recipes!$A$5:$A$204,0)),""))</f>
        <v>0</v>
      </c>
      <c r="D163" s="8">
        <f>IF(A163="","",COUNTIFS('Meal Plan'!$G$5:$G$504,A163,'Meal Plan'!$S$5:$S$504,"Cooked")+COUNTIFS('Meal Plan'!$G$5:$G$504,A163,'Meal Plan'!$S$5:$S$504,"Eaten"))</f>
        <v>0</v>
      </c>
      <c r="E163" s="8">
        <f>IF(A163="","",IFERROR(INDEX(Recipes!$X$5:$X$204,MATCH(A163,Recipes!$A$5:$A$204,0)),""))</f>
        <v>0</v>
      </c>
      <c r="F163" s="8">
        <f>IF(OR(A163="",E163=""),"",TODAY()-E163)</f>
        <v>0</v>
      </c>
      <c r="G163" s="8">
        <f>IF(OR(A163="",D163=0),"",ROUND(365/D163,0))</f>
        <v>0</v>
      </c>
      <c r="H163" s="8">
        <f>IF(A163="","",IF(F163="","Yes",IF(F163&gt;=Rotation_Gap_Days,"Yes","No")))</f>
        <v>0</v>
      </c>
      <c r="I163" s="8">
        <f>IF(OR(A163="",E163=""),"",E163+Rotation_Gap_Days)</f>
        <v>0</v>
      </c>
      <c r="J163" s="8">
        <f>IF(OR(A163="",I163=""),"",I163-TODAY())</f>
        <v>0</v>
      </c>
      <c r="K163" s="8">
        <f>IF(OR(A163="",F163=""),"",COUNTIFS($F$5:$F$204,"&lt;"&amp;F163)+1)</f>
        <v>0</v>
      </c>
      <c r="L163" s="8">
        <f>IF(A163="","",IFERROR(INDEX(Recipes!$AB$5:$AB$204,MATCH(A163,Recipes!$A$5:$A$204,0)),""))</f>
        <v>0</v>
      </c>
      <c r="M163" s="8">
        <f>IF(A163="","",IFERROR(INDEX(Recipes!$AN$5:$AN$204,MATCH(A163,Recipes!$A$5:$A$204,0)),""))</f>
        <v>0</v>
      </c>
      <c r="N163" s="8">
        <f>IF(A163="","",IF(H163="No","Too soon",IF(F163="","Never cooked",IF(F163&gt;=90,"Overdue","Available"))))</f>
        <v>0</v>
      </c>
      <c r="O163" s="25"/>
    </row>
    <row r="164" spans="1:15">
      <c r="A164" s="7"/>
      <c r="B164" s="8">
        <f>IF(A164="","",IFERROR(INDEX(Recipes!$B$5:$B$204,MATCH(A164,Recipes!$A$5:$A$204,0)),""))</f>
        <v>0</v>
      </c>
      <c r="C164" s="8">
        <f>IF(A164="","",IFERROR(INDEX(Recipes!$C$5:$C$204,MATCH(A164,Recipes!$A$5:$A$204,0)),""))</f>
        <v>0</v>
      </c>
      <c r="D164" s="8">
        <f>IF(A164="","",COUNTIFS('Meal Plan'!$G$5:$G$504,A164,'Meal Plan'!$S$5:$S$504,"Cooked")+COUNTIFS('Meal Plan'!$G$5:$G$504,A164,'Meal Plan'!$S$5:$S$504,"Eaten"))</f>
        <v>0</v>
      </c>
      <c r="E164" s="8">
        <f>IF(A164="","",IFERROR(INDEX(Recipes!$X$5:$X$204,MATCH(A164,Recipes!$A$5:$A$204,0)),""))</f>
        <v>0</v>
      </c>
      <c r="F164" s="8">
        <f>IF(OR(A164="",E164=""),"",TODAY()-E164)</f>
        <v>0</v>
      </c>
      <c r="G164" s="8">
        <f>IF(OR(A164="",D164=0),"",ROUND(365/D164,0))</f>
        <v>0</v>
      </c>
      <c r="H164" s="8">
        <f>IF(A164="","",IF(F164="","Yes",IF(F164&gt;=Rotation_Gap_Days,"Yes","No")))</f>
        <v>0</v>
      </c>
      <c r="I164" s="8">
        <f>IF(OR(A164="",E164=""),"",E164+Rotation_Gap_Days)</f>
        <v>0</v>
      </c>
      <c r="J164" s="8">
        <f>IF(OR(A164="",I164=""),"",I164-TODAY())</f>
        <v>0</v>
      </c>
      <c r="K164" s="8">
        <f>IF(OR(A164="",F164=""),"",COUNTIFS($F$5:$F$204,"&lt;"&amp;F164)+1)</f>
        <v>0</v>
      </c>
      <c r="L164" s="8">
        <f>IF(A164="","",IFERROR(INDEX(Recipes!$AB$5:$AB$204,MATCH(A164,Recipes!$A$5:$A$204,0)),""))</f>
        <v>0</v>
      </c>
      <c r="M164" s="8">
        <f>IF(A164="","",IFERROR(INDEX(Recipes!$AN$5:$AN$204,MATCH(A164,Recipes!$A$5:$A$204,0)),""))</f>
        <v>0</v>
      </c>
      <c r="N164" s="8">
        <f>IF(A164="","",IF(H164="No","Too soon",IF(F164="","Never cooked",IF(F164&gt;=90,"Overdue","Available"))))</f>
        <v>0</v>
      </c>
      <c r="O164" s="25"/>
    </row>
    <row r="165" spans="1:15">
      <c r="A165" s="7"/>
      <c r="B165" s="8">
        <f>IF(A165="","",IFERROR(INDEX(Recipes!$B$5:$B$204,MATCH(A165,Recipes!$A$5:$A$204,0)),""))</f>
        <v>0</v>
      </c>
      <c r="C165" s="8">
        <f>IF(A165="","",IFERROR(INDEX(Recipes!$C$5:$C$204,MATCH(A165,Recipes!$A$5:$A$204,0)),""))</f>
        <v>0</v>
      </c>
      <c r="D165" s="8">
        <f>IF(A165="","",COUNTIFS('Meal Plan'!$G$5:$G$504,A165,'Meal Plan'!$S$5:$S$504,"Cooked")+COUNTIFS('Meal Plan'!$G$5:$G$504,A165,'Meal Plan'!$S$5:$S$504,"Eaten"))</f>
        <v>0</v>
      </c>
      <c r="E165" s="8">
        <f>IF(A165="","",IFERROR(INDEX(Recipes!$X$5:$X$204,MATCH(A165,Recipes!$A$5:$A$204,0)),""))</f>
        <v>0</v>
      </c>
      <c r="F165" s="8">
        <f>IF(OR(A165="",E165=""),"",TODAY()-E165)</f>
        <v>0</v>
      </c>
      <c r="G165" s="8">
        <f>IF(OR(A165="",D165=0),"",ROUND(365/D165,0))</f>
        <v>0</v>
      </c>
      <c r="H165" s="8">
        <f>IF(A165="","",IF(F165="","Yes",IF(F165&gt;=Rotation_Gap_Days,"Yes","No")))</f>
        <v>0</v>
      </c>
      <c r="I165" s="8">
        <f>IF(OR(A165="",E165=""),"",E165+Rotation_Gap_Days)</f>
        <v>0</v>
      </c>
      <c r="J165" s="8">
        <f>IF(OR(A165="",I165=""),"",I165-TODAY())</f>
        <v>0</v>
      </c>
      <c r="K165" s="8">
        <f>IF(OR(A165="",F165=""),"",COUNTIFS($F$5:$F$204,"&lt;"&amp;F165)+1)</f>
        <v>0</v>
      </c>
      <c r="L165" s="8">
        <f>IF(A165="","",IFERROR(INDEX(Recipes!$AB$5:$AB$204,MATCH(A165,Recipes!$A$5:$A$204,0)),""))</f>
        <v>0</v>
      </c>
      <c r="M165" s="8">
        <f>IF(A165="","",IFERROR(INDEX(Recipes!$AN$5:$AN$204,MATCH(A165,Recipes!$A$5:$A$204,0)),""))</f>
        <v>0</v>
      </c>
      <c r="N165" s="8">
        <f>IF(A165="","",IF(H165="No","Too soon",IF(F165="","Never cooked",IF(F165&gt;=90,"Overdue","Available"))))</f>
        <v>0</v>
      </c>
      <c r="O165" s="25"/>
    </row>
    <row r="166" spans="1:15">
      <c r="A166" s="7"/>
      <c r="B166" s="8">
        <f>IF(A166="","",IFERROR(INDEX(Recipes!$B$5:$B$204,MATCH(A166,Recipes!$A$5:$A$204,0)),""))</f>
        <v>0</v>
      </c>
      <c r="C166" s="8">
        <f>IF(A166="","",IFERROR(INDEX(Recipes!$C$5:$C$204,MATCH(A166,Recipes!$A$5:$A$204,0)),""))</f>
        <v>0</v>
      </c>
      <c r="D166" s="8">
        <f>IF(A166="","",COUNTIFS('Meal Plan'!$G$5:$G$504,A166,'Meal Plan'!$S$5:$S$504,"Cooked")+COUNTIFS('Meal Plan'!$G$5:$G$504,A166,'Meal Plan'!$S$5:$S$504,"Eaten"))</f>
        <v>0</v>
      </c>
      <c r="E166" s="8">
        <f>IF(A166="","",IFERROR(INDEX(Recipes!$X$5:$X$204,MATCH(A166,Recipes!$A$5:$A$204,0)),""))</f>
        <v>0</v>
      </c>
      <c r="F166" s="8">
        <f>IF(OR(A166="",E166=""),"",TODAY()-E166)</f>
        <v>0</v>
      </c>
      <c r="G166" s="8">
        <f>IF(OR(A166="",D166=0),"",ROUND(365/D166,0))</f>
        <v>0</v>
      </c>
      <c r="H166" s="8">
        <f>IF(A166="","",IF(F166="","Yes",IF(F166&gt;=Rotation_Gap_Days,"Yes","No")))</f>
        <v>0</v>
      </c>
      <c r="I166" s="8">
        <f>IF(OR(A166="",E166=""),"",E166+Rotation_Gap_Days)</f>
        <v>0</v>
      </c>
      <c r="J166" s="8">
        <f>IF(OR(A166="",I166=""),"",I166-TODAY())</f>
        <v>0</v>
      </c>
      <c r="K166" s="8">
        <f>IF(OR(A166="",F166=""),"",COUNTIFS($F$5:$F$204,"&lt;"&amp;F166)+1)</f>
        <v>0</v>
      </c>
      <c r="L166" s="8">
        <f>IF(A166="","",IFERROR(INDEX(Recipes!$AB$5:$AB$204,MATCH(A166,Recipes!$A$5:$A$204,0)),""))</f>
        <v>0</v>
      </c>
      <c r="M166" s="8">
        <f>IF(A166="","",IFERROR(INDEX(Recipes!$AN$5:$AN$204,MATCH(A166,Recipes!$A$5:$A$204,0)),""))</f>
        <v>0</v>
      </c>
      <c r="N166" s="8">
        <f>IF(A166="","",IF(H166="No","Too soon",IF(F166="","Never cooked",IF(F166&gt;=90,"Overdue","Available"))))</f>
        <v>0</v>
      </c>
      <c r="O166" s="25"/>
    </row>
    <row r="167" spans="1:15">
      <c r="A167" s="7"/>
      <c r="B167" s="8">
        <f>IF(A167="","",IFERROR(INDEX(Recipes!$B$5:$B$204,MATCH(A167,Recipes!$A$5:$A$204,0)),""))</f>
        <v>0</v>
      </c>
      <c r="C167" s="8">
        <f>IF(A167="","",IFERROR(INDEX(Recipes!$C$5:$C$204,MATCH(A167,Recipes!$A$5:$A$204,0)),""))</f>
        <v>0</v>
      </c>
      <c r="D167" s="8">
        <f>IF(A167="","",COUNTIFS('Meal Plan'!$G$5:$G$504,A167,'Meal Plan'!$S$5:$S$504,"Cooked")+COUNTIFS('Meal Plan'!$G$5:$G$504,A167,'Meal Plan'!$S$5:$S$504,"Eaten"))</f>
        <v>0</v>
      </c>
      <c r="E167" s="8">
        <f>IF(A167="","",IFERROR(INDEX(Recipes!$X$5:$X$204,MATCH(A167,Recipes!$A$5:$A$204,0)),""))</f>
        <v>0</v>
      </c>
      <c r="F167" s="8">
        <f>IF(OR(A167="",E167=""),"",TODAY()-E167)</f>
        <v>0</v>
      </c>
      <c r="G167" s="8">
        <f>IF(OR(A167="",D167=0),"",ROUND(365/D167,0))</f>
        <v>0</v>
      </c>
      <c r="H167" s="8">
        <f>IF(A167="","",IF(F167="","Yes",IF(F167&gt;=Rotation_Gap_Days,"Yes","No")))</f>
        <v>0</v>
      </c>
      <c r="I167" s="8">
        <f>IF(OR(A167="",E167=""),"",E167+Rotation_Gap_Days)</f>
        <v>0</v>
      </c>
      <c r="J167" s="8">
        <f>IF(OR(A167="",I167=""),"",I167-TODAY())</f>
        <v>0</v>
      </c>
      <c r="K167" s="8">
        <f>IF(OR(A167="",F167=""),"",COUNTIFS($F$5:$F$204,"&lt;"&amp;F167)+1)</f>
        <v>0</v>
      </c>
      <c r="L167" s="8">
        <f>IF(A167="","",IFERROR(INDEX(Recipes!$AB$5:$AB$204,MATCH(A167,Recipes!$A$5:$A$204,0)),""))</f>
        <v>0</v>
      </c>
      <c r="M167" s="8">
        <f>IF(A167="","",IFERROR(INDEX(Recipes!$AN$5:$AN$204,MATCH(A167,Recipes!$A$5:$A$204,0)),""))</f>
        <v>0</v>
      </c>
      <c r="N167" s="8">
        <f>IF(A167="","",IF(H167="No","Too soon",IF(F167="","Never cooked",IF(F167&gt;=90,"Overdue","Available"))))</f>
        <v>0</v>
      </c>
      <c r="O167" s="25"/>
    </row>
    <row r="168" spans="1:15">
      <c r="A168" s="7"/>
      <c r="B168" s="8">
        <f>IF(A168="","",IFERROR(INDEX(Recipes!$B$5:$B$204,MATCH(A168,Recipes!$A$5:$A$204,0)),""))</f>
        <v>0</v>
      </c>
      <c r="C168" s="8">
        <f>IF(A168="","",IFERROR(INDEX(Recipes!$C$5:$C$204,MATCH(A168,Recipes!$A$5:$A$204,0)),""))</f>
        <v>0</v>
      </c>
      <c r="D168" s="8">
        <f>IF(A168="","",COUNTIFS('Meal Plan'!$G$5:$G$504,A168,'Meal Plan'!$S$5:$S$504,"Cooked")+COUNTIFS('Meal Plan'!$G$5:$G$504,A168,'Meal Plan'!$S$5:$S$504,"Eaten"))</f>
        <v>0</v>
      </c>
      <c r="E168" s="8">
        <f>IF(A168="","",IFERROR(INDEX(Recipes!$X$5:$X$204,MATCH(A168,Recipes!$A$5:$A$204,0)),""))</f>
        <v>0</v>
      </c>
      <c r="F168" s="8">
        <f>IF(OR(A168="",E168=""),"",TODAY()-E168)</f>
        <v>0</v>
      </c>
      <c r="G168" s="8">
        <f>IF(OR(A168="",D168=0),"",ROUND(365/D168,0))</f>
        <v>0</v>
      </c>
      <c r="H168" s="8">
        <f>IF(A168="","",IF(F168="","Yes",IF(F168&gt;=Rotation_Gap_Days,"Yes","No")))</f>
        <v>0</v>
      </c>
      <c r="I168" s="8">
        <f>IF(OR(A168="",E168=""),"",E168+Rotation_Gap_Days)</f>
        <v>0</v>
      </c>
      <c r="J168" s="8">
        <f>IF(OR(A168="",I168=""),"",I168-TODAY())</f>
        <v>0</v>
      </c>
      <c r="K168" s="8">
        <f>IF(OR(A168="",F168=""),"",COUNTIFS($F$5:$F$204,"&lt;"&amp;F168)+1)</f>
        <v>0</v>
      </c>
      <c r="L168" s="8">
        <f>IF(A168="","",IFERROR(INDEX(Recipes!$AB$5:$AB$204,MATCH(A168,Recipes!$A$5:$A$204,0)),""))</f>
        <v>0</v>
      </c>
      <c r="M168" s="8">
        <f>IF(A168="","",IFERROR(INDEX(Recipes!$AN$5:$AN$204,MATCH(A168,Recipes!$A$5:$A$204,0)),""))</f>
        <v>0</v>
      </c>
      <c r="N168" s="8">
        <f>IF(A168="","",IF(H168="No","Too soon",IF(F168="","Never cooked",IF(F168&gt;=90,"Overdue","Available"))))</f>
        <v>0</v>
      </c>
      <c r="O168" s="25"/>
    </row>
    <row r="169" spans="1:15">
      <c r="A169" s="7"/>
      <c r="B169" s="8">
        <f>IF(A169="","",IFERROR(INDEX(Recipes!$B$5:$B$204,MATCH(A169,Recipes!$A$5:$A$204,0)),""))</f>
        <v>0</v>
      </c>
      <c r="C169" s="8">
        <f>IF(A169="","",IFERROR(INDEX(Recipes!$C$5:$C$204,MATCH(A169,Recipes!$A$5:$A$204,0)),""))</f>
        <v>0</v>
      </c>
      <c r="D169" s="8">
        <f>IF(A169="","",COUNTIFS('Meal Plan'!$G$5:$G$504,A169,'Meal Plan'!$S$5:$S$504,"Cooked")+COUNTIFS('Meal Plan'!$G$5:$G$504,A169,'Meal Plan'!$S$5:$S$504,"Eaten"))</f>
        <v>0</v>
      </c>
      <c r="E169" s="8">
        <f>IF(A169="","",IFERROR(INDEX(Recipes!$X$5:$X$204,MATCH(A169,Recipes!$A$5:$A$204,0)),""))</f>
        <v>0</v>
      </c>
      <c r="F169" s="8">
        <f>IF(OR(A169="",E169=""),"",TODAY()-E169)</f>
        <v>0</v>
      </c>
      <c r="G169" s="8">
        <f>IF(OR(A169="",D169=0),"",ROUND(365/D169,0))</f>
        <v>0</v>
      </c>
      <c r="H169" s="8">
        <f>IF(A169="","",IF(F169="","Yes",IF(F169&gt;=Rotation_Gap_Days,"Yes","No")))</f>
        <v>0</v>
      </c>
      <c r="I169" s="8">
        <f>IF(OR(A169="",E169=""),"",E169+Rotation_Gap_Days)</f>
        <v>0</v>
      </c>
      <c r="J169" s="8">
        <f>IF(OR(A169="",I169=""),"",I169-TODAY())</f>
        <v>0</v>
      </c>
      <c r="K169" s="8">
        <f>IF(OR(A169="",F169=""),"",COUNTIFS($F$5:$F$204,"&lt;"&amp;F169)+1)</f>
        <v>0</v>
      </c>
      <c r="L169" s="8">
        <f>IF(A169="","",IFERROR(INDEX(Recipes!$AB$5:$AB$204,MATCH(A169,Recipes!$A$5:$A$204,0)),""))</f>
        <v>0</v>
      </c>
      <c r="M169" s="8">
        <f>IF(A169="","",IFERROR(INDEX(Recipes!$AN$5:$AN$204,MATCH(A169,Recipes!$A$5:$A$204,0)),""))</f>
        <v>0</v>
      </c>
      <c r="N169" s="8">
        <f>IF(A169="","",IF(H169="No","Too soon",IF(F169="","Never cooked",IF(F169&gt;=90,"Overdue","Available"))))</f>
        <v>0</v>
      </c>
      <c r="O169" s="25"/>
    </row>
    <row r="170" spans="1:15">
      <c r="A170" s="7"/>
      <c r="B170" s="8">
        <f>IF(A170="","",IFERROR(INDEX(Recipes!$B$5:$B$204,MATCH(A170,Recipes!$A$5:$A$204,0)),""))</f>
        <v>0</v>
      </c>
      <c r="C170" s="8">
        <f>IF(A170="","",IFERROR(INDEX(Recipes!$C$5:$C$204,MATCH(A170,Recipes!$A$5:$A$204,0)),""))</f>
        <v>0</v>
      </c>
      <c r="D170" s="8">
        <f>IF(A170="","",COUNTIFS('Meal Plan'!$G$5:$G$504,A170,'Meal Plan'!$S$5:$S$504,"Cooked")+COUNTIFS('Meal Plan'!$G$5:$G$504,A170,'Meal Plan'!$S$5:$S$504,"Eaten"))</f>
        <v>0</v>
      </c>
      <c r="E170" s="8">
        <f>IF(A170="","",IFERROR(INDEX(Recipes!$X$5:$X$204,MATCH(A170,Recipes!$A$5:$A$204,0)),""))</f>
        <v>0</v>
      </c>
      <c r="F170" s="8">
        <f>IF(OR(A170="",E170=""),"",TODAY()-E170)</f>
        <v>0</v>
      </c>
      <c r="G170" s="8">
        <f>IF(OR(A170="",D170=0),"",ROUND(365/D170,0))</f>
        <v>0</v>
      </c>
      <c r="H170" s="8">
        <f>IF(A170="","",IF(F170="","Yes",IF(F170&gt;=Rotation_Gap_Days,"Yes","No")))</f>
        <v>0</v>
      </c>
      <c r="I170" s="8">
        <f>IF(OR(A170="",E170=""),"",E170+Rotation_Gap_Days)</f>
        <v>0</v>
      </c>
      <c r="J170" s="8">
        <f>IF(OR(A170="",I170=""),"",I170-TODAY())</f>
        <v>0</v>
      </c>
      <c r="K170" s="8">
        <f>IF(OR(A170="",F170=""),"",COUNTIFS($F$5:$F$204,"&lt;"&amp;F170)+1)</f>
        <v>0</v>
      </c>
      <c r="L170" s="8">
        <f>IF(A170="","",IFERROR(INDEX(Recipes!$AB$5:$AB$204,MATCH(A170,Recipes!$A$5:$A$204,0)),""))</f>
        <v>0</v>
      </c>
      <c r="M170" s="8">
        <f>IF(A170="","",IFERROR(INDEX(Recipes!$AN$5:$AN$204,MATCH(A170,Recipes!$A$5:$A$204,0)),""))</f>
        <v>0</v>
      </c>
      <c r="N170" s="8">
        <f>IF(A170="","",IF(H170="No","Too soon",IF(F170="","Never cooked",IF(F170&gt;=90,"Overdue","Available"))))</f>
        <v>0</v>
      </c>
      <c r="O170" s="25"/>
    </row>
    <row r="171" spans="1:15">
      <c r="A171" s="7"/>
      <c r="B171" s="8">
        <f>IF(A171="","",IFERROR(INDEX(Recipes!$B$5:$B$204,MATCH(A171,Recipes!$A$5:$A$204,0)),""))</f>
        <v>0</v>
      </c>
      <c r="C171" s="8">
        <f>IF(A171="","",IFERROR(INDEX(Recipes!$C$5:$C$204,MATCH(A171,Recipes!$A$5:$A$204,0)),""))</f>
        <v>0</v>
      </c>
      <c r="D171" s="8">
        <f>IF(A171="","",COUNTIFS('Meal Plan'!$G$5:$G$504,A171,'Meal Plan'!$S$5:$S$504,"Cooked")+COUNTIFS('Meal Plan'!$G$5:$G$504,A171,'Meal Plan'!$S$5:$S$504,"Eaten"))</f>
        <v>0</v>
      </c>
      <c r="E171" s="8">
        <f>IF(A171="","",IFERROR(INDEX(Recipes!$X$5:$X$204,MATCH(A171,Recipes!$A$5:$A$204,0)),""))</f>
        <v>0</v>
      </c>
      <c r="F171" s="8">
        <f>IF(OR(A171="",E171=""),"",TODAY()-E171)</f>
        <v>0</v>
      </c>
      <c r="G171" s="8">
        <f>IF(OR(A171="",D171=0),"",ROUND(365/D171,0))</f>
        <v>0</v>
      </c>
      <c r="H171" s="8">
        <f>IF(A171="","",IF(F171="","Yes",IF(F171&gt;=Rotation_Gap_Days,"Yes","No")))</f>
        <v>0</v>
      </c>
      <c r="I171" s="8">
        <f>IF(OR(A171="",E171=""),"",E171+Rotation_Gap_Days)</f>
        <v>0</v>
      </c>
      <c r="J171" s="8">
        <f>IF(OR(A171="",I171=""),"",I171-TODAY())</f>
        <v>0</v>
      </c>
      <c r="K171" s="8">
        <f>IF(OR(A171="",F171=""),"",COUNTIFS($F$5:$F$204,"&lt;"&amp;F171)+1)</f>
        <v>0</v>
      </c>
      <c r="L171" s="8">
        <f>IF(A171="","",IFERROR(INDEX(Recipes!$AB$5:$AB$204,MATCH(A171,Recipes!$A$5:$A$204,0)),""))</f>
        <v>0</v>
      </c>
      <c r="M171" s="8">
        <f>IF(A171="","",IFERROR(INDEX(Recipes!$AN$5:$AN$204,MATCH(A171,Recipes!$A$5:$A$204,0)),""))</f>
        <v>0</v>
      </c>
      <c r="N171" s="8">
        <f>IF(A171="","",IF(H171="No","Too soon",IF(F171="","Never cooked",IF(F171&gt;=90,"Overdue","Available"))))</f>
        <v>0</v>
      </c>
      <c r="O171" s="25"/>
    </row>
    <row r="172" spans="1:15">
      <c r="A172" s="7"/>
      <c r="B172" s="8">
        <f>IF(A172="","",IFERROR(INDEX(Recipes!$B$5:$B$204,MATCH(A172,Recipes!$A$5:$A$204,0)),""))</f>
        <v>0</v>
      </c>
      <c r="C172" s="8">
        <f>IF(A172="","",IFERROR(INDEX(Recipes!$C$5:$C$204,MATCH(A172,Recipes!$A$5:$A$204,0)),""))</f>
        <v>0</v>
      </c>
      <c r="D172" s="8">
        <f>IF(A172="","",COUNTIFS('Meal Plan'!$G$5:$G$504,A172,'Meal Plan'!$S$5:$S$504,"Cooked")+COUNTIFS('Meal Plan'!$G$5:$G$504,A172,'Meal Plan'!$S$5:$S$504,"Eaten"))</f>
        <v>0</v>
      </c>
      <c r="E172" s="8">
        <f>IF(A172="","",IFERROR(INDEX(Recipes!$X$5:$X$204,MATCH(A172,Recipes!$A$5:$A$204,0)),""))</f>
        <v>0</v>
      </c>
      <c r="F172" s="8">
        <f>IF(OR(A172="",E172=""),"",TODAY()-E172)</f>
        <v>0</v>
      </c>
      <c r="G172" s="8">
        <f>IF(OR(A172="",D172=0),"",ROUND(365/D172,0))</f>
        <v>0</v>
      </c>
      <c r="H172" s="8">
        <f>IF(A172="","",IF(F172="","Yes",IF(F172&gt;=Rotation_Gap_Days,"Yes","No")))</f>
        <v>0</v>
      </c>
      <c r="I172" s="8">
        <f>IF(OR(A172="",E172=""),"",E172+Rotation_Gap_Days)</f>
        <v>0</v>
      </c>
      <c r="J172" s="8">
        <f>IF(OR(A172="",I172=""),"",I172-TODAY())</f>
        <v>0</v>
      </c>
      <c r="K172" s="8">
        <f>IF(OR(A172="",F172=""),"",COUNTIFS($F$5:$F$204,"&lt;"&amp;F172)+1)</f>
        <v>0</v>
      </c>
      <c r="L172" s="8">
        <f>IF(A172="","",IFERROR(INDEX(Recipes!$AB$5:$AB$204,MATCH(A172,Recipes!$A$5:$A$204,0)),""))</f>
        <v>0</v>
      </c>
      <c r="M172" s="8">
        <f>IF(A172="","",IFERROR(INDEX(Recipes!$AN$5:$AN$204,MATCH(A172,Recipes!$A$5:$A$204,0)),""))</f>
        <v>0</v>
      </c>
      <c r="N172" s="8">
        <f>IF(A172="","",IF(H172="No","Too soon",IF(F172="","Never cooked",IF(F172&gt;=90,"Overdue","Available"))))</f>
        <v>0</v>
      </c>
      <c r="O172" s="25"/>
    </row>
    <row r="173" spans="1:15">
      <c r="A173" s="7"/>
      <c r="B173" s="8">
        <f>IF(A173="","",IFERROR(INDEX(Recipes!$B$5:$B$204,MATCH(A173,Recipes!$A$5:$A$204,0)),""))</f>
        <v>0</v>
      </c>
      <c r="C173" s="8">
        <f>IF(A173="","",IFERROR(INDEX(Recipes!$C$5:$C$204,MATCH(A173,Recipes!$A$5:$A$204,0)),""))</f>
        <v>0</v>
      </c>
      <c r="D173" s="8">
        <f>IF(A173="","",COUNTIFS('Meal Plan'!$G$5:$G$504,A173,'Meal Plan'!$S$5:$S$504,"Cooked")+COUNTIFS('Meal Plan'!$G$5:$G$504,A173,'Meal Plan'!$S$5:$S$504,"Eaten"))</f>
        <v>0</v>
      </c>
      <c r="E173" s="8">
        <f>IF(A173="","",IFERROR(INDEX(Recipes!$X$5:$X$204,MATCH(A173,Recipes!$A$5:$A$204,0)),""))</f>
        <v>0</v>
      </c>
      <c r="F173" s="8">
        <f>IF(OR(A173="",E173=""),"",TODAY()-E173)</f>
        <v>0</v>
      </c>
      <c r="G173" s="8">
        <f>IF(OR(A173="",D173=0),"",ROUND(365/D173,0))</f>
        <v>0</v>
      </c>
      <c r="H173" s="8">
        <f>IF(A173="","",IF(F173="","Yes",IF(F173&gt;=Rotation_Gap_Days,"Yes","No")))</f>
        <v>0</v>
      </c>
      <c r="I173" s="8">
        <f>IF(OR(A173="",E173=""),"",E173+Rotation_Gap_Days)</f>
        <v>0</v>
      </c>
      <c r="J173" s="8">
        <f>IF(OR(A173="",I173=""),"",I173-TODAY())</f>
        <v>0</v>
      </c>
      <c r="K173" s="8">
        <f>IF(OR(A173="",F173=""),"",COUNTIFS($F$5:$F$204,"&lt;"&amp;F173)+1)</f>
        <v>0</v>
      </c>
      <c r="L173" s="8">
        <f>IF(A173="","",IFERROR(INDEX(Recipes!$AB$5:$AB$204,MATCH(A173,Recipes!$A$5:$A$204,0)),""))</f>
        <v>0</v>
      </c>
      <c r="M173" s="8">
        <f>IF(A173="","",IFERROR(INDEX(Recipes!$AN$5:$AN$204,MATCH(A173,Recipes!$A$5:$A$204,0)),""))</f>
        <v>0</v>
      </c>
      <c r="N173" s="8">
        <f>IF(A173="","",IF(H173="No","Too soon",IF(F173="","Never cooked",IF(F173&gt;=90,"Overdue","Available"))))</f>
        <v>0</v>
      </c>
      <c r="O173" s="25"/>
    </row>
    <row r="174" spans="1:15">
      <c r="A174" s="7"/>
      <c r="B174" s="8">
        <f>IF(A174="","",IFERROR(INDEX(Recipes!$B$5:$B$204,MATCH(A174,Recipes!$A$5:$A$204,0)),""))</f>
        <v>0</v>
      </c>
      <c r="C174" s="8">
        <f>IF(A174="","",IFERROR(INDEX(Recipes!$C$5:$C$204,MATCH(A174,Recipes!$A$5:$A$204,0)),""))</f>
        <v>0</v>
      </c>
      <c r="D174" s="8">
        <f>IF(A174="","",COUNTIFS('Meal Plan'!$G$5:$G$504,A174,'Meal Plan'!$S$5:$S$504,"Cooked")+COUNTIFS('Meal Plan'!$G$5:$G$504,A174,'Meal Plan'!$S$5:$S$504,"Eaten"))</f>
        <v>0</v>
      </c>
      <c r="E174" s="8">
        <f>IF(A174="","",IFERROR(INDEX(Recipes!$X$5:$X$204,MATCH(A174,Recipes!$A$5:$A$204,0)),""))</f>
        <v>0</v>
      </c>
      <c r="F174" s="8">
        <f>IF(OR(A174="",E174=""),"",TODAY()-E174)</f>
        <v>0</v>
      </c>
      <c r="G174" s="8">
        <f>IF(OR(A174="",D174=0),"",ROUND(365/D174,0))</f>
        <v>0</v>
      </c>
      <c r="H174" s="8">
        <f>IF(A174="","",IF(F174="","Yes",IF(F174&gt;=Rotation_Gap_Days,"Yes","No")))</f>
        <v>0</v>
      </c>
      <c r="I174" s="8">
        <f>IF(OR(A174="",E174=""),"",E174+Rotation_Gap_Days)</f>
        <v>0</v>
      </c>
      <c r="J174" s="8">
        <f>IF(OR(A174="",I174=""),"",I174-TODAY())</f>
        <v>0</v>
      </c>
      <c r="K174" s="8">
        <f>IF(OR(A174="",F174=""),"",COUNTIFS($F$5:$F$204,"&lt;"&amp;F174)+1)</f>
        <v>0</v>
      </c>
      <c r="L174" s="8">
        <f>IF(A174="","",IFERROR(INDEX(Recipes!$AB$5:$AB$204,MATCH(A174,Recipes!$A$5:$A$204,0)),""))</f>
        <v>0</v>
      </c>
      <c r="M174" s="8">
        <f>IF(A174="","",IFERROR(INDEX(Recipes!$AN$5:$AN$204,MATCH(A174,Recipes!$A$5:$A$204,0)),""))</f>
        <v>0</v>
      </c>
      <c r="N174" s="8">
        <f>IF(A174="","",IF(H174="No","Too soon",IF(F174="","Never cooked",IF(F174&gt;=90,"Overdue","Available"))))</f>
        <v>0</v>
      </c>
      <c r="O174" s="25"/>
    </row>
    <row r="175" spans="1:15">
      <c r="A175" s="7"/>
      <c r="B175" s="8">
        <f>IF(A175="","",IFERROR(INDEX(Recipes!$B$5:$B$204,MATCH(A175,Recipes!$A$5:$A$204,0)),""))</f>
        <v>0</v>
      </c>
      <c r="C175" s="8">
        <f>IF(A175="","",IFERROR(INDEX(Recipes!$C$5:$C$204,MATCH(A175,Recipes!$A$5:$A$204,0)),""))</f>
        <v>0</v>
      </c>
      <c r="D175" s="8">
        <f>IF(A175="","",COUNTIFS('Meal Plan'!$G$5:$G$504,A175,'Meal Plan'!$S$5:$S$504,"Cooked")+COUNTIFS('Meal Plan'!$G$5:$G$504,A175,'Meal Plan'!$S$5:$S$504,"Eaten"))</f>
        <v>0</v>
      </c>
      <c r="E175" s="8">
        <f>IF(A175="","",IFERROR(INDEX(Recipes!$X$5:$X$204,MATCH(A175,Recipes!$A$5:$A$204,0)),""))</f>
        <v>0</v>
      </c>
      <c r="F175" s="8">
        <f>IF(OR(A175="",E175=""),"",TODAY()-E175)</f>
        <v>0</v>
      </c>
      <c r="G175" s="8">
        <f>IF(OR(A175="",D175=0),"",ROUND(365/D175,0))</f>
        <v>0</v>
      </c>
      <c r="H175" s="8">
        <f>IF(A175="","",IF(F175="","Yes",IF(F175&gt;=Rotation_Gap_Days,"Yes","No")))</f>
        <v>0</v>
      </c>
      <c r="I175" s="8">
        <f>IF(OR(A175="",E175=""),"",E175+Rotation_Gap_Days)</f>
        <v>0</v>
      </c>
      <c r="J175" s="8">
        <f>IF(OR(A175="",I175=""),"",I175-TODAY())</f>
        <v>0</v>
      </c>
      <c r="K175" s="8">
        <f>IF(OR(A175="",F175=""),"",COUNTIFS($F$5:$F$204,"&lt;"&amp;F175)+1)</f>
        <v>0</v>
      </c>
      <c r="L175" s="8">
        <f>IF(A175="","",IFERROR(INDEX(Recipes!$AB$5:$AB$204,MATCH(A175,Recipes!$A$5:$A$204,0)),""))</f>
        <v>0</v>
      </c>
      <c r="M175" s="8">
        <f>IF(A175="","",IFERROR(INDEX(Recipes!$AN$5:$AN$204,MATCH(A175,Recipes!$A$5:$A$204,0)),""))</f>
        <v>0</v>
      </c>
      <c r="N175" s="8">
        <f>IF(A175="","",IF(H175="No","Too soon",IF(F175="","Never cooked",IF(F175&gt;=90,"Overdue","Available"))))</f>
        <v>0</v>
      </c>
      <c r="O175" s="25"/>
    </row>
    <row r="176" spans="1:15">
      <c r="A176" s="7"/>
      <c r="B176" s="8">
        <f>IF(A176="","",IFERROR(INDEX(Recipes!$B$5:$B$204,MATCH(A176,Recipes!$A$5:$A$204,0)),""))</f>
        <v>0</v>
      </c>
      <c r="C176" s="8">
        <f>IF(A176="","",IFERROR(INDEX(Recipes!$C$5:$C$204,MATCH(A176,Recipes!$A$5:$A$204,0)),""))</f>
        <v>0</v>
      </c>
      <c r="D176" s="8">
        <f>IF(A176="","",COUNTIFS('Meal Plan'!$G$5:$G$504,A176,'Meal Plan'!$S$5:$S$504,"Cooked")+COUNTIFS('Meal Plan'!$G$5:$G$504,A176,'Meal Plan'!$S$5:$S$504,"Eaten"))</f>
        <v>0</v>
      </c>
      <c r="E176" s="8">
        <f>IF(A176="","",IFERROR(INDEX(Recipes!$X$5:$X$204,MATCH(A176,Recipes!$A$5:$A$204,0)),""))</f>
        <v>0</v>
      </c>
      <c r="F176" s="8">
        <f>IF(OR(A176="",E176=""),"",TODAY()-E176)</f>
        <v>0</v>
      </c>
      <c r="G176" s="8">
        <f>IF(OR(A176="",D176=0),"",ROUND(365/D176,0))</f>
        <v>0</v>
      </c>
      <c r="H176" s="8">
        <f>IF(A176="","",IF(F176="","Yes",IF(F176&gt;=Rotation_Gap_Days,"Yes","No")))</f>
        <v>0</v>
      </c>
      <c r="I176" s="8">
        <f>IF(OR(A176="",E176=""),"",E176+Rotation_Gap_Days)</f>
        <v>0</v>
      </c>
      <c r="J176" s="8">
        <f>IF(OR(A176="",I176=""),"",I176-TODAY())</f>
        <v>0</v>
      </c>
      <c r="K176" s="8">
        <f>IF(OR(A176="",F176=""),"",COUNTIFS($F$5:$F$204,"&lt;"&amp;F176)+1)</f>
        <v>0</v>
      </c>
      <c r="L176" s="8">
        <f>IF(A176="","",IFERROR(INDEX(Recipes!$AB$5:$AB$204,MATCH(A176,Recipes!$A$5:$A$204,0)),""))</f>
        <v>0</v>
      </c>
      <c r="M176" s="8">
        <f>IF(A176="","",IFERROR(INDEX(Recipes!$AN$5:$AN$204,MATCH(A176,Recipes!$A$5:$A$204,0)),""))</f>
        <v>0</v>
      </c>
      <c r="N176" s="8">
        <f>IF(A176="","",IF(H176="No","Too soon",IF(F176="","Never cooked",IF(F176&gt;=90,"Overdue","Available"))))</f>
        <v>0</v>
      </c>
      <c r="O176" s="25"/>
    </row>
    <row r="177" spans="1:15">
      <c r="A177" s="7"/>
      <c r="B177" s="8">
        <f>IF(A177="","",IFERROR(INDEX(Recipes!$B$5:$B$204,MATCH(A177,Recipes!$A$5:$A$204,0)),""))</f>
        <v>0</v>
      </c>
      <c r="C177" s="8">
        <f>IF(A177="","",IFERROR(INDEX(Recipes!$C$5:$C$204,MATCH(A177,Recipes!$A$5:$A$204,0)),""))</f>
        <v>0</v>
      </c>
      <c r="D177" s="8">
        <f>IF(A177="","",COUNTIFS('Meal Plan'!$G$5:$G$504,A177,'Meal Plan'!$S$5:$S$504,"Cooked")+COUNTIFS('Meal Plan'!$G$5:$G$504,A177,'Meal Plan'!$S$5:$S$504,"Eaten"))</f>
        <v>0</v>
      </c>
      <c r="E177" s="8">
        <f>IF(A177="","",IFERROR(INDEX(Recipes!$X$5:$X$204,MATCH(A177,Recipes!$A$5:$A$204,0)),""))</f>
        <v>0</v>
      </c>
      <c r="F177" s="8">
        <f>IF(OR(A177="",E177=""),"",TODAY()-E177)</f>
        <v>0</v>
      </c>
      <c r="G177" s="8">
        <f>IF(OR(A177="",D177=0),"",ROUND(365/D177,0))</f>
        <v>0</v>
      </c>
      <c r="H177" s="8">
        <f>IF(A177="","",IF(F177="","Yes",IF(F177&gt;=Rotation_Gap_Days,"Yes","No")))</f>
        <v>0</v>
      </c>
      <c r="I177" s="8">
        <f>IF(OR(A177="",E177=""),"",E177+Rotation_Gap_Days)</f>
        <v>0</v>
      </c>
      <c r="J177" s="8">
        <f>IF(OR(A177="",I177=""),"",I177-TODAY())</f>
        <v>0</v>
      </c>
      <c r="K177" s="8">
        <f>IF(OR(A177="",F177=""),"",COUNTIFS($F$5:$F$204,"&lt;"&amp;F177)+1)</f>
        <v>0</v>
      </c>
      <c r="L177" s="8">
        <f>IF(A177="","",IFERROR(INDEX(Recipes!$AB$5:$AB$204,MATCH(A177,Recipes!$A$5:$A$204,0)),""))</f>
        <v>0</v>
      </c>
      <c r="M177" s="8">
        <f>IF(A177="","",IFERROR(INDEX(Recipes!$AN$5:$AN$204,MATCH(A177,Recipes!$A$5:$A$204,0)),""))</f>
        <v>0</v>
      </c>
      <c r="N177" s="8">
        <f>IF(A177="","",IF(H177="No","Too soon",IF(F177="","Never cooked",IF(F177&gt;=90,"Overdue","Available"))))</f>
        <v>0</v>
      </c>
      <c r="O177" s="25"/>
    </row>
    <row r="178" spans="1:15">
      <c r="A178" s="7"/>
      <c r="B178" s="8">
        <f>IF(A178="","",IFERROR(INDEX(Recipes!$B$5:$B$204,MATCH(A178,Recipes!$A$5:$A$204,0)),""))</f>
        <v>0</v>
      </c>
      <c r="C178" s="8">
        <f>IF(A178="","",IFERROR(INDEX(Recipes!$C$5:$C$204,MATCH(A178,Recipes!$A$5:$A$204,0)),""))</f>
        <v>0</v>
      </c>
      <c r="D178" s="8">
        <f>IF(A178="","",COUNTIFS('Meal Plan'!$G$5:$G$504,A178,'Meal Plan'!$S$5:$S$504,"Cooked")+COUNTIFS('Meal Plan'!$G$5:$G$504,A178,'Meal Plan'!$S$5:$S$504,"Eaten"))</f>
        <v>0</v>
      </c>
      <c r="E178" s="8">
        <f>IF(A178="","",IFERROR(INDEX(Recipes!$X$5:$X$204,MATCH(A178,Recipes!$A$5:$A$204,0)),""))</f>
        <v>0</v>
      </c>
      <c r="F178" s="8">
        <f>IF(OR(A178="",E178=""),"",TODAY()-E178)</f>
        <v>0</v>
      </c>
      <c r="G178" s="8">
        <f>IF(OR(A178="",D178=0),"",ROUND(365/D178,0))</f>
        <v>0</v>
      </c>
      <c r="H178" s="8">
        <f>IF(A178="","",IF(F178="","Yes",IF(F178&gt;=Rotation_Gap_Days,"Yes","No")))</f>
        <v>0</v>
      </c>
      <c r="I178" s="8">
        <f>IF(OR(A178="",E178=""),"",E178+Rotation_Gap_Days)</f>
        <v>0</v>
      </c>
      <c r="J178" s="8">
        <f>IF(OR(A178="",I178=""),"",I178-TODAY())</f>
        <v>0</v>
      </c>
      <c r="K178" s="8">
        <f>IF(OR(A178="",F178=""),"",COUNTIFS($F$5:$F$204,"&lt;"&amp;F178)+1)</f>
        <v>0</v>
      </c>
      <c r="L178" s="8">
        <f>IF(A178="","",IFERROR(INDEX(Recipes!$AB$5:$AB$204,MATCH(A178,Recipes!$A$5:$A$204,0)),""))</f>
        <v>0</v>
      </c>
      <c r="M178" s="8">
        <f>IF(A178="","",IFERROR(INDEX(Recipes!$AN$5:$AN$204,MATCH(A178,Recipes!$A$5:$A$204,0)),""))</f>
        <v>0</v>
      </c>
      <c r="N178" s="8">
        <f>IF(A178="","",IF(H178="No","Too soon",IF(F178="","Never cooked",IF(F178&gt;=90,"Overdue","Available"))))</f>
        <v>0</v>
      </c>
      <c r="O178" s="25"/>
    </row>
    <row r="179" spans="1:15">
      <c r="A179" s="7"/>
      <c r="B179" s="8">
        <f>IF(A179="","",IFERROR(INDEX(Recipes!$B$5:$B$204,MATCH(A179,Recipes!$A$5:$A$204,0)),""))</f>
        <v>0</v>
      </c>
      <c r="C179" s="8">
        <f>IF(A179="","",IFERROR(INDEX(Recipes!$C$5:$C$204,MATCH(A179,Recipes!$A$5:$A$204,0)),""))</f>
        <v>0</v>
      </c>
      <c r="D179" s="8">
        <f>IF(A179="","",COUNTIFS('Meal Plan'!$G$5:$G$504,A179,'Meal Plan'!$S$5:$S$504,"Cooked")+COUNTIFS('Meal Plan'!$G$5:$G$504,A179,'Meal Plan'!$S$5:$S$504,"Eaten"))</f>
        <v>0</v>
      </c>
      <c r="E179" s="8">
        <f>IF(A179="","",IFERROR(INDEX(Recipes!$X$5:$X$204,MATCH(A179,Recipes!$A$5:$A$204,0)),""))</f>
        <v>0</v>
      </c>
      <c r="F179" s="8">
        <f>IF(OR(A179="",E179=""),"",TODAY()-E179)</f>
        <v>0</v>
      </c>
      <c r="G179" s="8">
        <f>IF(OR(A179="",D179=0),"",ROUND(365/D179,0))</f>
        <v>0</v>
      </c>
      <c r="H179" s="8">
        <f>IF(A179="","",IF(F179="","Yes",IF(F179&gt;=Rotation_Gap_Days,"Yes","No")))</f>
        <v>0</v>
      </c>
      <c r="I179" s="8">
        <f>IF(OR(A179="",E179=""),"",E179+Rotation_Gap_Days)</f>
        <v>0</v>
      </c>
      <c r="J179" s="8">
        <f>IF(OR(A179="",I179=""),"",I179-TODAY())</f>
        <v>0</v>
      </c>
      <c r="K179" s="8">
        <f>IF(OR(A179="",F179=""),"",COUNTIFS($F$5:$F$204,"&lt;"&amp;F179)+1)</f>
        <v>0</v>
      </c>
      <c r="L179" s="8">
        <f>IF(A179="","",IFERROR(INDEX(Recipes!$AB$5:$AB$204,MATCH(A179,Recipes!$A$5:$A$204,0)),""))</f>
        <v>0</v>
      </c>
      <c r="M179" s="8">
        <f>IF(A179="","",IFERROR(INDEX(Recipes!$AN$5:$AN$204,MATCH(A179,Recipes!$A$5:$A$204,0)),""))</f>
        <v>0</v>
      </c>
      <c r="N179" s="8">
        <f>IF(A179="","",IF(H179="No","Too soon",IF(F179="","Never cooked",IF(F179&gt;=90,"Overdue","Available"))))</f>
        <v>0</v>
      </c>
      <c r="O179" s="25"/>
    </row>
    <row r="180" spans="1:15">
      <c r="A180" s="7"/>
      <c r="B180" s="8">
        <f>IF(A180="","",IFERROR(INDEX(Recipes!$B$5:$B$204,MATCH(A180,Recipes!$A$5:$A$204,0)),""))</f>
        <v>0</v>
      </c>
      <c r="C180" s="8">
        <f>IF(A180="","",IFERROR(INDEX(Recipes!$C$5:$C$204,MATCH(A180,Recipes!$A$5:$A$204,0)),""))</f>
        <v>0</v>
      </c>
      <c r="D180" s="8">
        <f>IF(A180="","",COUNTIFS('Meal Plan'!$G$5:$G$504,A180,'Meal Plan'!$S$5:$S$504,"Cooked")+COUNTIFS('Meal Plan'!$G$5:$G$504,A180,'Meal Plan'!$S$5:$S$504,"Eaten"))</f>
        <v>0</v>
      </c>
      <c r="E180" s="8">
        <f>IF(A180="","",IFERROR(INDEX(Recipes!$X$5:$X$204,MATCH(A180,Recipes!$A$5:$A$204,0)),""))</f>
        <v>0</v>
      </c>
      <c r="F180" s="8">
        <f>IF(OR(A180="",E180=""),"",TODAY()-E180)</f>
        <v>0</v>
      </c>
      <c r="G180" s="8">
        <f>IF(OR(A180="",D180=0),"",ROUND(365/D180,0))</f>
        <v>0</v>
      </c>
      <c r="H180" s="8">
        <f>IF(A180="","",IF(F180="","Yes",IF(F180&gt;=Rotation_Gap_Days,"Yes","No")))</f>
        <v>0</v>
      </c>
      <c r="I180" s="8">
        <f>IF(OR(A180="",E180=""),"",E180+Rotation_Gap_Days)</f>
        <v>0</v>
      </c>
      <c r="J180" s="8">
        <f>IF(OR(A180="",I180=""),"",I180-TODAY())</f>
        <v>0</v>
      </c>
      <c r="K180" s="8">
        <f>IF(OR(A180="",F180=""),"",COUNTIFS($F$5:$F$204,"&lt;"&amp;F180)+1)</f>
        <v>0</v>
      </c>
      <c r="L180" s="8">
        <f>IF(A180="","",IFERROR(INDEX(Recipes!$AB$5:$AB$204,MATCH(A180,Recipes!$A$5:$A$204,0)),""))</f>
        <v>0</v>
      </c>
      <c r="M180" s="8">
        <f>IF(A180="","",IFERROR(INDEX(Recipes!$AN$5:$AN$204,MATCH(A180,Recipes!$A$5:$A$204,0)),""))</f>
        <v>0</v>
      </c>
      <c r="N180" s="8">
        <f>IF(A180="","",IF(H180="No","Too soon",IF(F180="","Never cooked",IF(F180&gt;=90,"Overdue","Available"))))</f>
        <v>0</v>
      </c>
      <c r="O180" s="25"/>
    </row>
    <row r="181" spans="1:15">
      <c r="A181" s="7"/>
      <c r="B181" s="8">
        <f>IF(A181="","",IFERROR(INDEX(Recipes!$B$5:$B$204,MATCH(A181,Recipes!$A$5:$A$204,0)),""))</f>
        <v>0</v>
      </c>
      <c r="C181" s="8">
        <f>IF(A181="","",IFERROR(INDEX(Recipes!$C$5:$C$204,MATCH(A181,Recipes!$A$5:$A$204,0)),""))</f>
        <v>0</v>
      </c>
      <c r="D181" s="8">
        <f>IF(A181="","",COUNTIFS('Meal Plan'!$G$5:$G$504,A181,'Meal Plan'!$S$5:$S$504,"Cooked")+COUNTIFS('Meal Plan'!$G$5:$G$504,A181,'Meal Plan'!$S$5:$S$504,"Eaten"))</f>
        <v>0</v>
      </c>
      <c r="E181" s="8">
        <f>IF(A181="","",IFERROR(INDEX(Recipes!$X$5:$X$204,MATCH(A181,Recipes!$A$5:$A$204,0)),""))</f>
        <v>0</v>
      </c>
      <c r="F181" s="8">
        <f>IF(OR(A181="",E181=""),"",TODAY()-E181)</f>
        <v>0</v>
      </c>
      <c r="G181" s="8">
        <f>IF(OR(A181="",D181=0),"",ROUND(365/D181,0))</f>
        <v>0</v>
      </c>
      <c r="H181" s="8">
        <f>IF(A181="","",IF(F181="","Yes",IF(F181&gt;=Rotation_Gap_Days,"Yes","No")))</f>
        <v>0</v>
      </c>
      <c r="I181" s="8">
        <f>IF(OR(A181="",E181=""),"",E181+Rotation_Gap_Days)</f>
        <v>0</v>
      </c>
      <c r="J181" s="8">
        <f>IF(OR(A181="",I181=""),"",I181-TODAY())</f>
        <v>0</v>
      </c>
      <c r="K181" s="8">
        <f>IF(OR(A181="",F181=""),"",COUNTIFS($F$5:$F$204,"&lt;"&amp;F181)+1)</f>
        <v>0</v>
      </c>
      <c r="L181" s="8">
        <f>IF(A181="","",IFERROR(INDEX(Recipes!$AB$5:$AB$204,MATCH(A181,Recipes!$A$5:$A$204,0)),""))</f>
        <v>0</v>
      </c>
      <c r="M181" s="8">
        <f>IF(A181="","",IFERROR(INDEX(Recipes!$AN$5:$AN$204,MATCH(A181,Recipes!$A$5:$A$204,0)),""))</f>
        <v>0</v>
      </c>
      <c r="N181" s="8">
        <f>IF(A181="","",IF(H181="No","Too soon",IF(F181="","Never cooked",IF(F181&gt;=90,"Overdue","Available"))))</f>
        <v>0</v>
      </c>
      <c r="O181" s="25"/>
    </row>
    <row r="182" spans="1:15">
      <c r="A182" s="7"/>
      <c r="B182" s="8">
        <f>IF(A182="","",IFERROR(INDEX(Recipes!$B$5:$B$204,MATCH(A182,Recipes!$A$5:$A$204,0)),""))</f>
        <v>0</v>
      </c>
      <c r="C182" s="8">
        <f>IF(A182="","",IFERROR(INDEX(Recipes!$C$5:$C$204,MATCH(A182,Recipes!$A$5:$A$204,0)),""))</f>
        <v>0</v>
      </c>
      <c r="D182" s="8">
        <f>IF(A182="","",COUNTIFS('Meal Plan'!$G$5:$G$504,A182,'Meal Plan'!$S$5:$S$504,"Cooked")+COUNTIFS('Meal Plan'!$G$5:$G$504,A182,'Meal Plan'!$S$5:$S$504,"Eaten"))</f>
        <v>0</v>
      </c>
      <c r="E182" s="8">
        <f>IF(A182="","",IFERROR(INDEX(Recipes!$X$5:$X$204,MATCH(A182,Recipes!$A$5:$A$204,0)),""))</f>
        <v>0</v>
      </c>
      <c r="F182" s="8">
        <f>IF(OR(A182="",E182=""),"",TODAY()-E182)</f>
        <v>0</v>
      </c>
      <c r="G182" s="8">
        <f>IF(OR(A182="",D182=0),"",ROUND(365/D182,0))</f>
        <v>0</v>
      </c>
      <c r="H182" s="8">
        <f>IF(A182="","",IF(F182="","Yes",IF(F182&gt;=Rotation_Gap_Days,"Yes","No")))</f>
        <v>0</v>
      </c>
      <c r="I182" s="8">
        <f>IF(OR(A182="",E182=""),"",E182+Rotation_Gap_Days)</f>
        <v>0</v>
      </c>
      <c r="J182" s="8">
        <f>IF(OR(A182="",I182=""),"",I182-TODAY())</f>
        <v>0</v>
      </c>
      <c r="K182" s="8">
        <f>IF(OR(A182="",F182=""),"",COUNTIFS($F$5:$F$204,"&lt;"&amp;F182)+1)</f>
        <v>0</v>
      </c>
      <c r="L182" s="8">
        <f>IF(A182="","",IFERROR(INDEX(Recipes!$AB$5:$AB$204,MATCH(A182,Recipes!$A$5:$A$204,0)),""))</f>
        <v>0</v>
      </c>
      <c r="M182" s="8">
        <f>IF(A182="","",IFERROR(INDEX(Recipes!$AN$5:$AN$204,MATCH(A182,Recipes!$A$5:$A$204,0)),""))</f>
        <v>0</v>
      </c>
      <c r="N182" s="8">
        <f>IF(A182="","",IF(H182="No","Too soon",IF(F182="","Never cooked",IF(F182&gt;=90,"Overdue","Available"))))</f>
        <v>0</v>
      </c>
      <c r="O182" s="25"/>
    </row>
    <row r="183" spans="1:15">
      <c r="A183" s="7"/>
      <c r="B183" s="8">
        <f>IF(A183="","",IFERROR(INDEX(Recipes!$B$5:$B$204,MATCH(A183,Recipes!$A$5:$A$204,0)),""))</f>
        <v>0</v>
      </c>
      <c r="C183" s="8">
        <f>IF(A183="","",IFERROR(INDEX(Recipes!$C$5:$C$204,MATCH(A183,Recipes!$A$5:$A$204,0)),""))</f>
        <v>0</v>
      </c>
      <c r="D183" s="8">
        <f>IF(A183="","",COUNTIFS('Meal Plan'!$G$5:$G$504,A183,'Meal Plan'!$S$5:$S$504,"Cooked")+COUNTIFS('Meal Plan'!$G$5:$G$504,A183,'Meal Plan'!$S$5:$S$504,"Eaten"))</f>
        <v>0</v>
      </c>
      <c r="E183" s="8">
        <f>IF(A183="","",IFERROR(INDEX(Recipes!$X$5:$X$204,MATCH(A183,Recipes!$A$5:$A$204,0)),""))</f>
        <v>0</v>
      </c>
      <c r="F183" s="8">
        <f>IF(OR(A183="",E183=""),"",TODAY()-E183)</f>
        <v>0</v>
      </c>
      <c r="G183" s="8">
        <f>IF(OR(A183="",D183=0),"",ROUND(365/D183,0))</f>
        <v>0</v>
      </c>
      <c r="H183" s="8">
        <f>IF(A183="","",IF(F183="","Yes",IF(F183&gt;=Rotation_Gap_Days,"Yes","No")))</f>
        <v>0</v>
      </c>
      <c r="I183" s="8">
        <f>IF(OR(A183="",E183=""),"",E183+Rotation_Gap_Days)</f>
        <v>0</v>
      </c>
      <c r="J183" s="8">
        <f>IF(OR(A183="",I183=""),"",I183-TODAY())</f>
        <v>0</v>
      </c>
      <c r="K183" s="8">
        <f>IF(OR(A183="",F183=""),"",COUNTIFS($F$5:$F$204,"&lt;"&amp;F183)+1)</f>
        <v>0</v>
      </c>
      <c r="L183" s="8">
        <f>IF(A183="","",IFERROR(INDEX(Recipes!$AB$5:$AB$204,MATCH(A183,Recipes!$A$5:$A$204,0)),""))</f>
        <v>0</v>
      </c>
      <c r="M183" s="8">
        <f>IF(A183="","",IFERROR(INDEX(Recipes!$AN$5:$AN$204,MATCH(A183,Recipes!$A$5:$A$204,0)),""))</f>
        <v>0</v>
      </c>
      <c r="N183" s="8">
        <f>IF(A183="","",IF(H183="No","Too soon",IF(F183="","Never cooked",IF(F183&gt;=90,"Overdue","Available"))))</f>
        <v>0</v>
      </c>
      <c r="O183" s="25"/>
    </row>
    <row r="184" spans="1:15">
      <c r="A184" s="7"/>
      <c r="B184" s="8">
        <f>IF(A184="","",IFERROR(INDEX(Recipes!$B$5:$B$204,MATCH(A184,Recipes!$A$5:$A$204,0)),""))</f>
        <v>0</v>
      </c>
      <c r="C184" s="8">
        <f>IF(A184="","",IFERROR(INDEX(Recipes!$C$5:$C$204,MATCH(A184,Recipes!$A$5:$A$204,0)),""))</f>
        <v>0</v>
      </c>
      <c r="D184" s="8">
        <f>IF(A184="","",COUNTIFS('Meal Plan'!$G$5:$G$504,A184,'Meal Plan'!$S$5:$S$504,"Cooked")+COUNTIFS('Meal Plan'!$G$5:$G$504,A184,'Meal Plan'!$S$5:$S$504,"Eaten"))</f>
        <v>0</v>
      </c>
      <c r="E184" s="8">
        <f>IF(A184="","",IFERROR(INDEX(Recipes!$X$5:$X$204,MATCH(A184,Recipes!$A$5:$A$204,0)),""))</f>
        <v>0</v>
      </c>
      <c r="F184" s="8">
        <f>IF(OR(A184="",E184=""),"",TODAY()-E184)</f>
        <v>0</v>
      </c>
      <c r="G184" s="8">
        <f>IF(OR(A184="",D184=0),"",ROUND(365/D184,0))</f>
        <v>0</v>
      </c>
      <c r="H184" s="8">
        <f>IF(A184="","",IF(F184="","Yes",IF(F184&gt;=Rotation_Gap_Days,"Yes","No")))</f>
        <v>0</v>
      </c>
      <c r="I184" s="8">
        <f>IF(OR(A184="",E184=""),"",E184+Rotation_Gap_Days)</f>
        <v>0</v>
      </c>
      <c r="J184" s="8">
        <f>IF(OR(A184="",I184=""),"",I184-TODAY())</f>
        <v>0</v>
      </c>
      <c r="K184" s="8">
        <f>IF(OR(A184="",F184=""),"",COUNTIFS($F$5:$F$204,"&lt;"&amp;F184)+1)</f>
        <v>0</v>
      </c>
      <c r="L184" s="8">
        <f>IF(A184="","",IFERROR(INDEX(Recipes!$AB$5:$AB$204,MATCH(A184,Recipes!$A$5:$A$204,0)),""))</f>
        <v>0</v>
      </c>
      <c r="M184" s="8">
        <f>IF(A184="","",IFERROR(INDEX(Recipes!$AN$5:$AN$204,MATCH(A184,Recipes!$A$5:$A$204,0)),""))</f>
        <v>0</v>
      </c>
      <c r="N184" s="8">
        <f>IF(A184="","",IF(H184="No","Too soon",IF(F184="","Never cooked",IF(F184&gt;=90,"Overdue","Available"))))</f>
        <v>0</v>
      </c>
      <c r="O184" s="25"/>
    </row>
    <row r="185" spans="1:15">
      <c r="A185" s="7"/>
      <c r="B185" s="8">
        <f>IF(A185="","",IFERROR(INDEX(Recipes!$B$5:$B$204,MATCH(A185,Recipes!$A$5:$A$204,0)),""))</f>
        <v>0</v>
      </c>
      <c r="C185" s="8">
        <f>IF(A185="","",IFERROR(INDEX(Recipes!$C$5:$C$204,MATCH(A185,Recipes!$A$5:$A$204,0)),""))</f>
        <v>0</v>
      </c>
      <c r="D185" s="8">
        <f>IF(A185="","",COUNTIFS('Meal Plan'!$G$5:$G$504,A185,'Meal Plan'!$S$5:$S$504,"Cooked")+COUNTIFS('Meal Plan'!$G$5:$G$504,A185,'Meal Plan'!$S$5:$S$504,"Eaten"))</f>
        <v>0</v>
      </c>
      <c r="E185" s="8">
        <f>IF(A185="","",IFERROR(INDEX(Recipes!$X$5:$X$204,MATCH(A185,Recipes!$A$5:$A$204,0)),""))</f>
        <v>0</v>
      </c>
      <c r="F185" s="8">
        <f>IF(OR(A185="",E185=""),"",TODAY()-E185)</f>
        <v>0</v>
      </c>
      <c r="G185" s="8">
        <f>IF(OR(A185="",D185=0),"",ROUND(365/D185,0))</f>
        <v>0</v>
      </c>
      <c r="H185" s="8">
        <f>IF(A185="","",IF(F185="","Yes",IF(F185&gt;=Rotation_Gap_Days,"Yes","No")))</f>
        <v>0</v>
      </c>
      <c r="I185" s="8">
        <f>IF(OR(A185="",E185=""),"",E185+Rotation_Gap_Days)</f>
        <v>0</v>
      </c>
      <c r="J185" s="8">
        <f>IF(OR(A185="",I185=""),"",I185-TODAY())</f>
        <v>0</v>
      </c>
      <c r="K185" s="8">
        <f>IF(OR(A185="",F185=""),"",COUNTIFS($F$5:$F$204,"&lt;"&amp;F185)+1)</f>
        <v>0</v>
      </c>
      <c r="L185" s="8">
        <f>IF(A185="","",IFERROR(INDEX(Recipes!$AB$5:$AB$204,MATCH(A185,Recipes!$A$5:$A$204,0)),""))</f>
        <v>0</v>
      </c>
      <c r="M185" s="8">
        <f>IF(A185="","",IFERROR(INDEX(Recipes!$AN$5:$AN$204,MATCH(A185,Recipes!$A$5:$A$204,0)),""))</f>
        <v>0</v>
      </c>
      <c r="N185" s="8">
        <f>IF(A185="","",IF(H185="No","Too soon",IF(F185="","Never cooked",IF(F185&gt;=90,"Overdue","Available"))))</f>
        <v>0</v>
      </c>
      <c r="O185" s="25"/>
    </row>
    <row r="186" spans="1:15">
      <c r="A186" s="7"/>
      <c r="B186" s="8">
        <f>IF(A186="","",IFERROR(INDEX(Recipes!$B$5:$B$204,MATCH(A186,Recipes!$A$5:$A$204,0)),""))</f>
        <v>0</v>
      </c>
      <c r="C186" s="8">
        <f>IF(A186="","",IFERROR(INDEX(Recipes!$C$5:$C$204,MATCH(A186,Recipes!$A$5:$A$204,0)),""))</f>
        <v>0</v>
      </c>
      <c r="D186" s="8">
        <f>IF(A186="","",COUNTIFS('Meal Plan'!$G$5:$G$504,A186,'Meal Plan'!$S$5:$S$504,"Cooked")+COUNTIFS('Meal Plan'!$G$5:$G$504,A186,'Meal Plan'!$S$5:$S$504,"Eaten"))</f>
        <v>0</v>
      </c>
      <c r="E186" s="8">
        <f>IF(A186="","",IFERROR(INDEX(Recipes!$X$5:$X$204,MATCH(A186,Recipes!$A$5:$A$204,0)),""))</f>
        <v>0</v>
      </c>
      <c r="F186" s="8">
        <f>IF(OR(A186="",E186=""),"",TODAY()-E186)</f>
        <v>0</v>
      </c>
      <c r="G186" s="8">
        <f>IF(OR(A186="",D186=0),"",ROUND(365/D186,0))</f>
        <v>0</v>
      </c>
      <c r="H186" s="8">
        <f>IF(A186="","",IF(F186="","Yes",IF(F186&gt;=Rotation_Gap_Days,"Yes","No")))</f>
        <v>0</v>
      </c>
      <c r="I186" s="8">
        <f>IF(OR(A186="",E186=""),"",E186+Rotation_Gap_Days)</f>
        <v>0</v>
      </c>
      <c r="J186" s="8">
        <f>IF(OR(A186="",I186=""),"",I186-TODAY())</f>
        <v>0</v>
      </c>
      <c r="K186" s="8">
        <f>IF(OR(A186="",F186=""),"",COUNTIFS($F$5:$F$204,"&lt;"&amp;F186)+1)</f>
        <v>0</v>
      </c>
      <c r="L186" s="8">
        <f>IF(A186="","",IFERROR(INDEX(Recipes!$AB$5:$AB$204,MATCH(A186,Recipes!$A$5:$A$204,0)),""))</f>
        <v>0</v>
      </c>
      <c r="M186" s="8">
        <f>IF(A186="","",IFERROR(INDEX(Recipes!$AN$5:$AN$204,MATCH(A186,Recipes!$A$5:$A$204,0)),""))</f>
        <v>0</v>
      </c>
      <c r="N186" s="8">
        <f>IF(A186="","",IF(H186="No","Too soon",IF(F186="","Never cooked",IF(F186&gt;=90,"Overdue","Available"))))</f>
        <v>0</v>
      </c>
      <c r="O186" s="25"/>
    </row>
    <row r="187" spans="1:15">
      <c r="A187" s="7"/>
      <c r="B187" s="8">
        <f>IF(A187="","",IFERROR(INDEX(Recipes!$B$5:$B$204,MATCH(A187,Recipes!$A$5:$A$204,0)),""))</f>
        <v>0</v>
      </c>
      <c r="C187" s="8">
        <f>IF(A187="","",IFERROR(INDEX(Recipes!$C$5:$C$204,MATCH(A187,Recipes!$A$5:$A$204,0)),""))</f>
        <v>0</v>
      </c>
      <c r="D187" s="8">
        <f>IF(A187="","",COUNTIFS('Meal Plan'!$G$5:$G$504,A187,'Meal Plan'!$S$5:$S$504,"Cooked")+COUNTIFS('Meal Plan'!$G$5:$G$504,A187,'Meal Plan'!$S$5:$S$504,"Eaten"))</f>
        <v>0</v>
      </c>
      <c r="E187" s="8">
        <f>IF(A187="","",IFERROR(INDEX(Recipes!$X$5:$X$204,MATCH(A187,Recipes!$A$5:$A$204,0)),""))</f>
        <v>0</v>
      </c>
      <c r="F187" s="8">
        <f>IF(OR(A187="",E187=""),"",TODAY()-E187)</f>
        <v>0</v>
      </c>
      <c r="G187" s="8">
        <f>IF(OR(A187="",D187=0),"",ROUND(365/D187,0))</f>
        <v>0</v>
      </c>
      <c r="H187" s="8">
        <f>IF(A187="","",IF(F187="","Yes",IF(F187&gt;=Rotation_Gap_Days,"Yes","No")))</f>
        <v>0</v>
      </c>
      <c r="I187" s="8">
        <f>IF(OR(A187="",E187=""),"",E187+Rotation_Gap_Days)</f>
        <v>0</v>
      </c>
      <c r="J187" s="8">
        <f>IF(OR(A187="",I187=""),"",I187-TODAY())</f>
        <v>0</v>
      </c>
      <c r="K187" s="8">
        <f>IF(OR(A187="",F187=""),"",COUNTIFS($F$5:$F$204,"&lt;"&amp;F187)+1)</f>
        <v>0</v>
      </c>
      <c r="L187" s="8">
        <f>IF(A187="","",IFERROR(INDEX(Recipes!$AB$5:$AB$204,MATCH(A187,Recipes!$A$5:$A$204,0)),""))</f>
        <v>0</v>
      </c>
      <c r="M187" s="8">
        <f>IF(A187="","",IFERROR(INDEX(Recipes!$AN$5:$AN$204,MATCH(A187,Recipes!$A$5:$A$204,0)),""))</f>
        <v>0</v>
      </c>
      <c r="N187" s="8">
        <f>IF(A187="","",IF(H187="No","Too soon",IF(F187="","Never cooked",IF(F187&gt;=90,"Overdue","Available"))))</f>
        <v>0</v>
      </c>
      <c r="O187" s="25"/>
    </row>
    <row r="188" spans="1:15">
      <c r="A188" s="7"/>
      <c r="B188" s="8">
        <f>IF(A188="","",IFERROR(INDEX(Recipes!$B$5:$B$204,MATCH(A188,Recipes!$A$5:$A$204,0)),""))</f>
        <v>0</v>
      </c>
      <c r="C188" s="8">
        <f>IF(A188="","",IFERROR(INDEX(Recipes!$C$5:$C$204,MATCH(A188,Recipes!$A$5:$A$204,0)),""))</f>
        <v>0</v>
      </c>
      <c r="D188" s="8">
        <f>IF(A188="","",COUNTIFS('Meal Plan'!$G$5:$G$504,A188,'Meal Plan'!$S$5:$S$504,"Cooked")+COUNTIFS('Meal Plan'!$G$5:$G$504,A188,'Meal Plan'!$S$5:$S$504,"Eaten"))</f>
        <v>0</v>
      </c>
      <c r="E188" s="8">
        <f>IF(A188="","",IFERROR(INDEX(Recipes!$X$5:$X$204,MATCH(A188,Recipes!$A$5:$A$204,0)),""))</f>
        <v>0</v>
      </c>
      <c r="F188" s="8">
        <f>IF(OR(A188="",E188=""),"",TODAY()-E188)</f>
        <v>0</v>
      </c>
      <c r="G188" s="8">
        <f>IF(OR(A188="",D188=0),"",ROUND(365/D188,0))</f>
        <v>0</v>
      </c>
      <c r="H188" s="8">
        <f>IF(A188="","",IF(F188="","Yes",IF(F188&gt;=Rotation_Gap_Days,"Yes","No")))</f>
        <v>0</v>
      </c>
      <c r="I188" s="8">
        <f>IF(OR(A188="",E188=""),"",E188+Rotation_Gap_Days)</f>
        <v>0</v>
      </c>
      <c r="J188" s="8">
        <f>IF(OR(A188="",I188=""),"",I188-TODAY())</f>
        <v>0</v>
      </c>
      <c r="K188" s="8">
        <f>IF(OR(A188="",F188=""),"",COUNTIFS($F$5:$F$204,"&lt;"&amp;F188)+1)</f>
        <v>0</v>
      </c>
      <c r="L188" s="8">
        <f>IF(A188="","",IFERROR(INDEX(Recipes!$AB$5:$AB$204,MATCH(A188,Recipes!$A$5:$A$204,0)),""))</f>
        <v>0</v>
      </c>
      <c r="M188" s="8">
        <f>IF(A188="","",IFERROR(INDEX(Recipes!$AN$5:$AN$204,MATCH(A188,Recipes!$A$5:$A$204,0)),""))</f>
        <v>0</v>
      </c>
      <c r="N188" s="8">
        <f>IF(A188="","",IF(H188="No","Too soon",IF(F188="","Never cooked",IF(F188&gt;=90,"Overdue","Available"))))</f>
        <v>0</v>
      </c>
      <c r="O188" s="25"/>
    </row>
    <row r="189" spans="1:15">
      <c r="A189" s="7"/>
      <c r="B189" s="8">
        <f>IF(A189="","",IFERROR(INDEX(Recipes!$B$5:$B$204,MATCH(A189,Recipes!$A$5:$A$204,0)),""))</f>
        <v>0</v>
      </c>
      <c r="C189" s="8">
        <f>IF(A189="","",IFERROR(INDEX(Recipes!$C$5:$C$204,MATCH(A189,Recipes!$A$5:$A$204,0)),""))</f>
        <v>0</v>
      </c>
      <c r="D189" s="8">
        <f>IF(A189="","",COUNTIFS('Meal Plan'!$G$5:$G$504,A189,'Meal Plan'!$S$5:$S$504,"Cooked")+COUNTIFS('Meal Plan'!$G$5:$G$504,A189,'Meal Plan'!$S$5:$S$504,"Eaten"))</f>
        <v>0</v>
      </c>
      <c r="E189" s="8">
        <f>IF(A189="","",IFERROR(INDEX(Recipes!$X$5:$X$204,MATCH(A189,Recipes!$A$5:$A$204,0)),""))</f>
        <v>0</v>
      </c>
      <c r="F189" s="8">
        <f>IF(OR(A189="",E189=""),"",TODAY()-E189)</f>
        <v>0</v>
      </c>
      <c r="G189" s="8">
        <f>IF(OR(A189="",D189=0),"",ROUND(365/D189,0))</f>
        <v>0</v>
      </c>
      <c r="H189" s="8">
        <f>IF(A189="","",IF(F189="","Yes",IF(F189&gt;=Rotation_Gap_Days,"Yes","No")))</f>
        <v>0</v>
      </c>
      <c r="I189" s="8">
        <f>IF(OR(A189="",E189=""),"",E189+Rotation_Gap_Days)</f>
        <v>0</v>
      </c>
      <c r="J189" s="8">
        <f>IF(OR(A189="",I189=""),"",I189-TODAY())</f>
        <v>0</v>
      </c>
      <c r="K189" s="8">
        <f>IF(OR(A189="",F189=""),"",COUNTIFS($F$5:$F$204,"&lt;"&amp;F189)+1)</f>
        <v>0</v>
      </c>
      <c r="L189" s="8">
        <f>IF(A189="","",IFERROR(INDEX(Recipes!$AB$5:$AB$204,MATCH(A189,Recipes!$A$5:$A$204,0)),""))</f>
        <v>0</v>
      </c>
      <c r="M189" s="8">
        <f>IF(A189="","",IFERROR(INDEX(Recipes!$AN$5:$AN$204,MATCH(A189,Recipes!$A$5:$A$204,0)),""))</f>
        <v>0</v>
      </c>
      <c r="N189" s="8">
        <f>IF(A189="","",IF(H189="No","Too soon",IF(F189="","Never cooked",IF(F189&gt;=90,"Overdue","Available"))))</f>
        <v>0</v>
      </c>
      <c r="O189" s="25"/>
    </row>
    <row r="190" spans="1:15">
      <c r="A190" s="7"/>
      <c r="B190" s="8">
        <f>IF(A190="","",IFERROR(INDEX(Recipes!$B$5:$B$204,MATCH(A190,Recipes!$A$5:$A$204,0)),""))</f>
        <v>0</v>
      </c>
      <c r="C190" s="8">
        <f>IF(A190="","",IFERROR(INDEX(Recipes!$C$5:$C$204,MATCH(A190,Recipes!$A$5:$A$204,0)),""))</f>
        <v>0</v>
      </c>
      <c r="D190" s="8">
        <f>IF(A190="","",COUNTIFS('Meal Plan'!$G$5:$G$504,A190,'Meal Plan'!$S$5:$S$504,"Cooked")+COUNTIFS('Meal Plan'!$G$5:$G$504,A190,'Meal Plan'!$S$5:$S$504,"Eaten"))</f>
        <v>0</v>
      </c>
      <c r="E190" s="8">
        <f>IF(A190="","",IFERROR(INDEX(Recipes!$X$5:$X$204,MATCH(A190,Recipes!$A$5:$A$204,0)),""))</f>
        <v>0</v>
      </c>
      <c r="F190" s="8">
        <f>IF(OR(A190="",E190=""),"",TODAY()-E190)</f>
        <v>0</v>
      </c>
      <c r="G190" s="8">
        <f>IF(OR(A190="",D190=0),"",ROUND(365/D190,0))</f>
        <v>0</v>
      </c>
      <c r="H190" s="8">
        <f>IF(A190="","",IF(F190="","Yes",IF(F190&gt;=Rotation_Gap_Days,"Yes","No")))</f>
        <v>0</v>
      </c>
      <c r="I190" s="8">
        <f>IF(OR(A190="",E190=""),"",E190+Rotation_Gap_Days)</f>
        <v>0</v>
      </c>
      <c r="J190" s="8">
        <f>IF(OR(A190="",I190=""),"",I190-TODAY())</f>
        <v>0</v>
      </c>
      <c r="K190" s="8">
        <f>IF(OR(A190="",F190=""),"",COUNTIFS($F$5:$F$204,"&lt;"&amp;F190)+1)</f>
        <v>0</v>
      </c>
      <c r="L190" s="8">
        <f>IF(A190="","",IFERROR(INDEX(Recipes!$AB$5:$AB$204,MATCH(A190,Recipes!$A$5:$A$204,0)),""))</f>
        <v>0</v>
      </c>
      <c r="M190" s="8">
        <f>IF(A190="","",IFERROR(INDEX(Recipes!$AN$5:$AN$204,MATCH(A190,Recipes!$A$5:$A$204,0)),""))</f>
        <v>0</v>
      </c>
      <c r="N190" s="8">
        <f>IF(A190="","",IF(H190="No","Too soon",IF(F190="","Never cooked",IF(F190&gt;=90,"Overdue","Available"))))</f>
        <v>0</v>
      </c>
      <c r="O190" s="25"/>
    </row>
    <row r="191" spans="1:15">
      <c r="A191" s="7"/>
      <c r="B191" s="8">
        <f>IF(A191="","",IFERROR(INDEX(Recipes!$B$5:$B$204,MATCH(A191,Recipes!$A$5:$A$204,0)),""))</f>
        <v>0</v>
      </c>
      <c r="C191" s="8">
        <f>IF(A191="","",IFERROR(INDEX(Recipes!$C$5:$C$204,MATCH(A191,Recipes!$A$5:$A$204,0)),""))</f>
        <v>0</v>
      </c>
      <c r="D191" s="8">
        <f>IF(A191="","",COUNTIFS('Meal Plan'!$G$5:$G$504,A191,'Meal Plan'!$S$5:$S$504,"Cooked")+COUNTIFS('Meal Plan'!$G$5:$G$504,A191,'Meal Plan'!$S$5:$S$504,"Eaten"))</f>
        <v>0</v>
      </c>
      <c r="E191" s="8">
        <f>IF(A191="","",IFERROR(INDEX(Recipes!$X$5:$X$204,MATCH(A191,Recipes!$A$5:$A$204,0)),""))</f>
        <v>0</v>
      </c>
      <c r="F191" s="8">
        <f>IF(OR(A191="",E191=""),"",TODAY()-E191)</f>
        <v>0</v>
      </c>
      <c r="G191" s="8">
        <f>IF(OR(A191="",D191=0),"",ROUND(365/D191,0))</f>
        <v>0</v>
      </c>
      <c r="H191" s="8">
        <f>IF(A191="","",IF(F191="","Yes",IF(F191&gt;=Rotation_Gap_Days,"Yes","No")))</f>
        <v>0</v>
      </c>
      <c r="I191" s="8">
        <f>IF(OR(A191="",E191=""),"",E191+Rotation_Gap_Days)</f>
        <v>0</v>
      </c>
      <c r="J191" s="8">
        <f>IF(OR(A191="",I191=""),"",I191-TODAY())</f>
        <v>0</v>
      </c>
      <c r="K191" s="8">
        <f>IF(OR(A191="",F191=""),"",COUNTIFS($F$5:$F$204,"&lt;"&amp;F191)+1)</f>
        <v>0</v>
      </c>
      <c r="L191" s="8">
        <f>IF(A191="","",IFERROR(INDEX(Recipes!$AB$5:$AB$204,MATCH(A191,Recipes!$A$5:$A$204,0)),""))</f>
        <v>0</v>
      </c>
      <c r="M191" s="8">
        <f>IF(A191="","",IFERROR(INDEX(Recipes!$AN$5:$AN$204,MATCH(A191,Recipes!$A$5:$A$204,0)),""))</f>
        <v>0</v>
      </c>
      <c r="N191" s="8">
        <f>IF(A191="","",IF(H191="No","Too soon",IF(F191="","Never cooked",IF(F191&gt;=90,"Overdue","Available"))))</f>
        <v>0</v>
      </c>
      <c r="O191" s="25"/>
    </row>
    <row r="192" spans="1:15">
      <c r="A192" s="7"/>
      <c r="B192" s="8">
        <f>IF(A192="","",IFERROR(INDEX(Recipes!$B$5:$B$204,MATCH(A192,Recipes!$A$5:$A$204,0)),""))</f>
        <v>0</v>
      </c>
      <c r="C192" s="8">
        <f>IF(A192="","",IFERROR(INDEX(Recipes!$C$5:$C$204,MATCH(A192,Recipes!$A$5:$A$204,0)),""))</f>
        <v>0</v>
      </c>
      <c r="D192" s="8">
        <f>IF(A192="","",COUNTIFS('Meal Plan'!$G$5:$G$504,A192,'Meal Plan'!$S$5:$S$504,"Cooked")+COUNTIFS('Meal Plan'!$G$5:$G$504,A192,'Meal Plan'!$S$5:$S$504,"Eaten"))</f>
        <v>0</v>
      </c>
      <c r="E192" s="8">
        <f>IF(A192="","",IFERROR(INDEX(Recipes!$X$5:$X$204,MATCH(A192,Recipes!$A$5:$A$204,0)),""))</f>
        <v>0</v>
      </c>
      <c r="F192" s="8">
        <f>IF(OR(A192="",E192=""),"",TODAY()-E192)</f>
        <v>0</v>
      </c>
      <c r="G192" s="8">
        <f>IF(OR(A192="",D192=0),"",ROUND(365/D192,0))</f>
        <v>0</v>
      </c>
      <c r="H192" s="8">
        <f>IF(A192="","",IF(F192="","Yes",IF(F192&gt;=Rotation_Gap_Days,"Yes","No")))</f>
        <v>0</v>
      </c>
      <c r="I192" s="8">
        <f>IF(OR(A192="",E192=""),"",E192+Rotation_Gap_Days)</f>
        <v>0</v>
      </c>
      <c r="J192" s="8">
        <f>IF(OR(A192="",I192=""),"",I192-TODAY())</f>
        <v>0</v>
      </c>
      <c r="K192" s="8">
        <f>IF(OR(A192="",F192=""),"",COUNTIFS($F$5:$F$204,"&lt;"&amp;F192)+1)</f>
        <v>0</v>
      </c>
      <c r="L192" s="8">
        <f>IF(A192="","",IFERROR(INDEX(Recipes!$AB$5:$AB$204,MATCH(A192,Recipes!$A$5:$A$204,0)),""))</f>
        <v>0</v>
      </c>
      <c r="M192" s="8">
        <f>IF(A192="","",IFERROR(INDEX(Recipes!$AN$5:$AN$204,MATCH(A192,Recipes!$A$5:$A$204,0)),""))</f>
        <v>0</v>
      </c>
      <c r="N192" s="8">
        <f>IF(A192="","",IF(H192="No","Too soon",IF(F192="","Never cooked",IF(F192&gt;=90,"Overdue","Available"))))</f>
        <v>0</v>
      </c>
      <c r="O192" s="25"/>
    </row>
    <row r="193" spans="1:15">
      <c r="A193" s="7"/>
      <c r="B193" s="8">
        <f>IF(A193="","",IFERROR(INDEX(Recipes!$B$5:$B$204,MATCH(A193,Recipes!$A$5:$A$204,0)),""))</f>
        <v>0</v>
      </c>
      <c r="C193" s="8">
        <f>IF(A193="","",IFERROR(INDEX(Recipes!$C$5:$C$204,MATCH(A193,Recipes!$A$5:$A$204,0)),""))</f>
        <v>0</v>
      </c>
      <c r="D193" s="8">
        <f>IF(A193="","",COUNTIFS('Meal Plan'!$G$5:$G$504,A193,'Meal Plan'!$S$5:$S$504,"Cooked")+COUNTIFS('Meal Plan'!$G$5:$G$504,A193,'Meal Plan'!$S$5:$S$504,"Eaten"))</f>
        <v>0</v>
      </c>
      <c r="E193" s="8">
        <f>IF(A193="","",IFERROR(INDEX(Recipes!$X$5:$X$204,MATCH(A193,Recipes!$A$5:$A$204,0)),""))</f>
        <v>0</v>
      </c>
      <c r="F193" s="8">
        <f>IF(OR(A193="",E193=""),"",TODAY()-E193)</f>
        <v>0</v>
      </c>
      <c r="G193" s="8">
        <f>IF(OR(A193="",D193=0),"",ROUND(365/D193,0))</f>
        <v>0</v>
      </c>
      <c r="H193" s="8">
        <f>IF(A193="","",IF(F193="","Yes",IF(F193&gt;=Rotation_Gap_Days,"Yes","No")))</f>
        <v>0</v>
      </c>
      <c r="I193" s="8">
        <f>IF(OR(A193="",E193=""),"",E193+Rotation_Gap_Days)</f>
        <v>0</v>
      </c>
      <c r="J193" s="8">
        <f>IF(OR(A193="",I193=""),"",I193-TODAY())</f>
        <v>0</v>
      </c>
      <c r="K193" s="8">
        <f>IF(OR(A193="",F193=""),"",COUNTIFS($F$5:$F$204,"&lt;"&amp;F193)+1)</f>
        <v>0</v>
      </c>
      <c r="L193" s="8">
        <f>IF(A193="","",IFERROR(INDEX(Recipes!$AB$5:$AB$204,MATCH(A193,Recipes!$A$5:$A$204,0)),""))</f>
        <v>0</v>
      </c>
      <c r="M193" s="8">
        <f>IF(A193="","",IFERROR(INDEX(Recipes!$AN$5:$AN$204,MATCH(A193,Recipes!$A$5:$A$204,0)),""))</f>
        <v>0</v>
      </c>
      <c r="N193" s="8">
        <f>IF(A193="","",IF(H193="No","Too soon",IF(F193="","Never cooked",IF(F193&gt;=90,"Overdue","Available"))))</f>
        <v>0</v>
      </c>
      <c r="O193" s="25"/>
    </row>
    <row r="194" spans="1:15">
      <c r="A194" s="7"/>
      <c r="B194" s="8">
        <f>IF(A194="","",IFERROR(INDEX(Recipes!$B$5:$B$204,MATCH(A194,Recipes!$A$5:$A$204,0)),""))</f>
        <v>0</v>
      </c>
      <c r="C194" s="8">
        <f>IF(A194="","",IFERROR(INDEX(Recipes!$C$5:$C$204,MATCH(A194,Recipes!$A$5:$A$204,0)),""))</f>
        <v>0</v>
      </c>
      <c r="D194" s="8">
        <f>IF(A194="","",COUNTIFS('Meal Plan'!$G$5:$G$504,A194,'Meal Plan'!$S$5:$S$504,"Cooked")+COUNTIFS('Meal Plan'!$G$5:$G$504,A194,'Meal Plan'!$S$5:$S$504,"Eaten"))</f>
        <v>0</v>
      </c>
      <c r="E194" s="8">
        <f>IF(A194="","",IFERROR(INDEX(Recipes!$X$5:$X$204,MATCH(A194,Recipes!$A$5:$A$204,0)),""))</f>
        <v>0</v>
      </c>
      <c r="F194" s="8">
        <f>IF(OR(A194="",E194=""),"",TODAY()-E194)</f>
        <v>0</v>
      </c>
      <c r="G194" s="8">
        <f>IF(OR(A194="",D194=0),"",ROUND(365/D194,0))</f>
        <v>0</v>
      </c>
      <c r="H194" s="8">
        <f>IF(A194="","",IF(F194="","Yes",IF(F194&gt;=Rotation_Gap_Days,"Yes","No")))</f>
        <v>0</v>
      </c>
      <c r="I194" s="8">
        <f>IF(OR(A194="",E194=""),"",E194+Rotation_Gap_Days)</f>
        <v>0</v>
      </c>
      <c r="J194" s="8">
        <f>IF(OR(A194="",I194=""),"",I194-TODAY())</f>
        <v>0</v>
      </c>
      <c r="K194" s="8">
        <f>IF(OR(A194="",F194=""),"",COUNTIFS($F$5:$F$204,"&lt;"&amp;F194)+1)</f>
        <v>0</v>
      </c>
      <c r="L194" s="8">
        <f>IF(A194="","",IFERROR(INDEX(Recipes!$AB$5:$AB$204,MATCH(A194,Recipes!$A$5:$A$204,0)),""))</f>
        <v>0</v>
      </c>
      <c r="M194" s="8">
        <f>IF(A194="","",IFERROR(INDEX(Recipes!$AN$5:$AN$204,MATCH(A194,Recipes!$A$5:$A$204,0)),""))</f>
        <v>0</v>
      </c>
      <c r="N194" s="8">
        <f>IF(A194="","",IF(H194="No","Too soon",IF(F194="","Never cooked",IF(F194&gt;=90,"Overdue","Available"))))</f>
        <v>0</v>
      </c>
      <c r="O194" s="25"/>
    </row>
    <row r="195" spans="1:15">
      <c r="A195" s="7"/>
      <c r="B195" s="8">
        <f>IF(A195="","",IFERROR(INDEX(Recipes!$B$5:$B$204,MATCH(A195,Recipes!$A$5:$A$204,0)),""))</f>
        <v>0</v>
      </c>
      <c r="C195" s="8">
        <f>IF(A195="","",IFERROR(INDEX(Recipes!$C$5:$C$204,MATCH(A195,Recipes!$A$5:$A$204,0)),""))</f>
        <v>0</v>
      </c>
      <c r="D195" s="8">
        <f>IF(A195="","",COUNTIFS('Meal Plan'!$G$5:$G$504,A195,'Meal Plan'!$S$5:$S$504,"Cooked")+COUNTIFS('Meal Plan'!$G$5:$G$504,A195,'Meal Plan'!$S$5:$S$504,"Eaten"))</f>
        <v>0</v>
      </c>
      <c r="E195" s="8">
        <f>IF(A195="","",IFERROR(INDEX(Recipes!$X$5:$X$204,MATCH(A195,Recipes!$A$5:$A$204,0)),""))</f>
        <v>0</v>
      </c>
      <c r="F195" s="8">
        <f>IF(OR(A195="",E195=""),"",TODAY()-E195)</f>
        <v>0</v>
      </c>
      <c r="G195" s="8">
        <f>IF(OR(A195="",D195=0),"",ROUND(365/D195,0))</f>
        <v>0</v>
      </c>
      <c r="H195" s="8">
        <f>IF(A195="","",IF(F195="","Yes",IF(F195&gt;=Rotation_Gap_Days,"Yes","No")))</f>
        <v>0</v>
      </c>
      <c r="I195" s="8">
        <f>IF(OR(A195="",E195=""),"",E195+Rotation_Gap_Days)</f>
        <v>0</v>
      </c>
      <c r="J195" s="8">
        <f>IF(OR(A195="",I195=""),"",I195-TODAY())</f>
        <v>0</v>
      </c>
      <c r="K195" s="8">
        <f>IF(OR(A195="",F195=""),"",COUNTIFS($F$5:$F$204,"&lt;"&amp;F195)+1)</f>
        <v>0</v>
      </c>
      <c r="L195" s="8">
        <f>IF(A195="","",IFERROR(INDEX(Recipes!$AB$5:$AB$204,MATCH(A195,Recipes!$A$5:$A$204,0)),""))</f>
        <v>0</v>
      </c>
      <c r="M195" s="8">
        <f>IF(A195="","",IFERROR(INDEX(Recipes!$AN$5:$AN$204,MATCH(A195,Recipes!$A$5:$A$204,0)),""))</f>
        <v>0</v>
      </c>
      <c r="N195" s="8">
        <f>IF(A195="","",IF(H195="No","Too soon",IF(F195="","Never cooked",IF(F195&gt;=90,"Overdue","Available"))))</f>
        <v>0</v>
      </c>
      <c r="O195" s="25"/>
    </row>
    <row r="196" spans="1:15">
      <c r="A196" s="7"/>
      <c r="B196" s="8">
        <f>IF(A196="","",IFERROR(INDEX(Recipes!$B$5:$B$204,MATCH(A196,Recipes!$A$5:$A$204,0)),""))</f>
        <v>0</v>
      </c>
      <c r="C196" s="8">
        <f>IF(A196="","",IFERROR(INDEX(Recipes!$C$5:$C$204,MATCH(A196,Recipes!$A$5:$A$204,0)),""))</f>
        <v>0</v>
      </c>
      <c r="D196" s="8">
        <f>IF(A196="","",COUNTIFS('Meal Plan'!$G$5:$G$504,A196,'Meal Plan'!$S$5:$S$504,"Cooked")+COUNTIFS('Meal Plan'!$G$5:$G$504,A196,'Meal Plan'!$S$5:$S$504,"Eaten"))</f>
        <v>0</v>
      </c>
      <c r="E196" s="8">
        <f>IF(A196="","",IFERROR(INDEX(Recipes!$X$5:$X$204,MATCH(A196,Recipes!$A$5:$A$204,0)),""))</f>
        <v>0</v>
      </c>
      <c r="F196" s="8">
        <f>IF(OR(A196="",E196=""),"",TODAY()-E196)</f>
        <v>0</v>
      </c>
      <c r="G196" s="8">
        <f>IF(OR(A196="",D196=0),"",ROUND(365/D196,0))</f>
        <v>0</v>
      </c>
      <c r="H196" s="8">
        <f>IF(A196="","",IF(F196="","Yes",IF(F196&gt;=Rotation_Gap_Days,"Yes","No")))</f>
        <v>0</v>
      </c>
      <c r="I196" s="8">
        <f>IF(OR(A196="",E196=""),"",E196+Rotation_Gap_Days)</f>
        <v>0</v>
      </c>
      <c r="J196" s="8">
        <f>IF(OR(A196="",I196=""),"",I196-TODAY())</f>
        <v>0</v>
      </c>
      <c r="K196" s="8">
        <f>IF(OR(A196="",F196=""),"",COUNTIFS($F$5:$F$204,"&lt;"&amp;F196)+1)</f>
        <v>0</v>
      </c>
      <c r="L196" s="8">
        <f>IF(A196="","",IFERROR(INDEX(Recipes!$AB$5:$AB$204,MATCH(A196,Recipes!$A$5:$A$204,0)),""))</f>
        <v>0</v>
      </c>
      <c r="M196" s="8">
        <f>IF(A196="","",IFERROR(INDEX(Recipes!$AN$5:$AN$204,MATCH(A196,Recipes!$A$5:$A$204,0)),""))</f>
        <v>0</v>
      </c>
      <c r="N196" s="8">
        <f>IF(A196="","",IF(H196="No","Too soon",IF(F196="","Never cooked",IF(F196&gt;=90,"Overdue","Available"))))</f>
        <v>0</v>
      </c>
      <c r="O196" s="25"/>
    </row>
    <row r="197" spans="1:15">
      <c r="A197" s="7"/>
      <c r="B197" s="8">
        <f>IF(A197="","",IFERROR(INDEX(Recipes!$B$5:$B$204,MATCH(A197,Recipes!$A$5:$A$204,0)),""))</f>
        <v>0</v>
      </c>
      <c r="C197" s="8">
        <f>IF(A197="","",IFERROR(INDEX(Recipes!$C$5:$C$204,MATCH(A197,Recipes!$A$5:$A$204,0)),""))</f>
        <v>0</v>
      </c>
      <c r="D197" s="8">
        <f>IF(A197="","",COUNTIFS('Meal Plan'!$G$5:$G$504,A197,'Meal Plan'!$S$5:$S$504,"Cooked")+COUNTIFS('Meal Plan'!$G$5:$G$504,A197,'Meal Plan'!$S$5:$S$504,"Eaten"))</f>
        <v>0</v>
      </c>
      <c r="E197" s="8">
        <f>IF(A197="","",IFERROR(INDEX(Recipes!$X$5:$X$204,MATCH(A197,Recipes!$A$5:$A$204,0)),""))</f>
        <v>0</v>
      </c>
      <c r="F197" s="8">
        <f>IF(OR(A197="",E197=""),"",TODAY()-E197)</f>
        <v>0</v>
      </c>
      <c r="G197" s="8">
        <f>IF(OR(A197="",D197=0),"",ROUND(365/D197,0))</f>
        <v>0</v>
      </c>
      <c r="H197" s="8">
        <f>IF(A197="","",IF(F197="","Yes",IF(F197&gt;=Rotation_Gap_Days,"Yes","No")))</f>
        <v>0</v>
      </c>
      <c r="I197" s="8">
        <f>IF(OR(A197="",E197=""),"",E197+Rotation_Gap_Days)</f>
        <v>0</v>
      </c>
      <c r="J197" s="8">
        <f>IF(OR(A197="",I197=""),"",I197-TODAY())</f>
        <v>0</v>
      </c>
      <c r="K197" s="8">
        <f>IF(OR(A197="",F197=""),"",COUNTIFS($F$5:$F$204,"&lt;"&amp;F197)+1)</f>
        <v>0</v>
      </c>
      <c r="L197" s="8">
        <f>IF(A197="","",IFERROR(INDEX(Recipes!$AB$5:$AB$204,MATCH(A197,Recipes!$A$5:$A$204,0)),""))</f>
        <v>0</v>
      </c>
      <c r="M197" s="8">
        <f>IF(A197="","",IFERROR(INDEX(Recipes!$AN$5:$AN$204,MATCH(A197,Recipes!$A$5:$A$204,0)),""))</f>
        <v>0</v>
      </c>
      <c r="N197" s="8">
        <f>IF(A197="","",IF(H197="No","Too soon",IF(F197="","Never cooked",IF(F197&gt;=90,"Overdue","Available"))))</f>
        <v>0</v>
      </c>
      <c r="O197" s="25"/>
    </row>
    <row r="198" spans="1:15">
      <c r="A198" s="7"/>
      <c r="B198" s="8">
        <f>IF(A198="","",IFERROR(INDEX(Recipes!$B$5:$B$204,MATCH(A198,Recipes!$A$5:$A$204,0)),""))</f>
        <v>0</v>
      </c>
      <c r="C198" s="8">
        <f>IF(A198="","",IFERROR(INDEX(Recipes!$C$5:$C$204,MATCH(A198,Recipes!$A$5:$A$204,0)),""))</f>
        <v>0</v>
      </c>
      <c r="D198" s="8">
        <f>IF(A198="","",COUNTIFS('Meal Plan'!$G$5:$G$504,A198,'Meal Plan'!$S$5:$S$504,"Cooked")+COUNTIFS('Meal Plan'!$G$5:$G$504,A198,'Meal Plan'!$S$5:$S$504,"Eaten"))</f>
        <v>0</v>
      </c>
      <c r="E198" s="8">
        <f>IF(A198="","",IFERROR(INDEX(Recipes!$X$5:$X$204,MATCH(A198,Recipes!$A$5:$A$204,0)),""))</f>
        <v>0</v>
      </c>
      <c r="F198" s="8">
        <f>IF(OR(A198="",E198=""),"",TODAY()-E198)</f>
        <v>0</v>
      </c>
      <c r="G198" s="8">
        <f>IF(OR(A198="",D198=0),"",ROUND(365/D198,0))</f>
        <v>0</v>
      </c>
      <c r="H198" s="8">
        <f>IF(A198="","",IF(F198="","Yes",IF(F198&gt;=Rotation_Gap_Days,"Yes","No")))</f>
        <v>0</v>
      </c>
      <c r="I198" s="8">
        <f>IF(OR(A198="",E198=""),"",E198+Rotation_Gap_Days)</f>
        <v>0</v>
      </c>
      <c r="J198" s="8">
        <f>IF(OR(A198="",I198=""),"",I198-TODAY())</f>
        <v>0</v>
      </c>
      <c r="K198" s="8">
        <f>IF(OR(A198="",F198=""),"",COUNTIFS($F$5:$F$204,"&lt;"&amp;F198)+1)</f>
        <v>0</v>
      </c>
      <c r="L198" s="8">
        <f>IF(A198="","",IFERROR(INDEX(Recipes!$AB$5:$AB$204,MATCH(A198,Recipes!$A$5:$A$204,0)),""))</f>
        <v>0</v>
      </c>
      <c r="M198" s="8">
        <f>IF(A198="","",IFERROR(INDEX(Recipes!$AN$5:$AN$204,MATCH(A198,Recipes!$A$5:$A$204,0)),""))</f>
        <v>0</v>
      </c>
      <c r="N198" s="8">
        <f>IF(A198="","",IF(H198="No","Too soon",IF(F198="","Never cooked",IF(F198&gt;=90,"Overdue","Available"))))</f>
        <v>0</v>
      </c>
      <c r="O198" s="25"/>
    </row>
    <row r="199" spans="1:15">
      <c r="A199" s="7"/>
      <c r="B199" s="8">
        <f>IF(A199="","",IFERROR(INDEX(Recipes!$B$5:$B$204,MATCH(A199,Recipes!$A$5:$A$204,0)),""))</f>
        <v>0</v>
      </c>
      <c r="C199" s="8">
        <f>IF(A199="","",IFERROR(INDEX(Recipes!$C$5:$C$204,MATCH(A199,Recipes!$A$5:$A$204,0)),""))</f>
        <v>0</v>
      </c>
      <c r="D199" s="8">
        <f>IF(A199="","",COUNTIFS('Meal Plan'!$G$5:$G$504,A199,'Meal Plan'!$S$5:$S$504,"Cooked")+COUNTIFS('Meal Plan'!$G$5:$G$504,A199,'Meal Plan'!$S$5:$S$504,"Eaten"))</f>
        <v>0</v>
      </c>
      <c r="E199" s="8">
        <f>IF(A199="","",IFERROR(INDEX(Recipes!$X$5:$X$204,MATCH(A199,Recipes!$A$5:$A$204,0)),""))</f>
        <v>0</v>
      </c>
      <c r="F199" s="8">
        <f>IF(OR(A199="",E199=""),"",TODAY()-E199)</f>
        <v>0</v>
      </c>
      <c r="G199" s="8">
        <f>IF(OR(A199="",D199=0),"",ROUND(365/D199,0))</f>
        <v>0</v>
      </c>
      <c r="H199" s="8">
        <f>IF(A199="","",IF(F199="","Yes",IF(F199&gt;=Rotation_Gap_Days,"Yes","No")))</f>
        <v>0</v>
      </c>
      <c r="I199" s="8">
        <f>IF(OR(A199="",E199=""),"",E199+Rotation_Gap_Days)</f>
        <v>0</v>
      </c>
      <c r="J199" s="8">
        <f>IF(OR(A199="",I199=""),"",I199-TODAY())</f>
        <v>0</v>
      </c>
      <c r="K199" s="8">
        <f>IF(OR(A199="",F199=""),"",COUNTIFS($F$5:$F$204,"&lt;"&amp;F199)+1)</f>
        <v>0</v>
      </c>
      <c r="L199" s="8">
        <f>IF(A199="","",IFERROR(INDEX(Recipes!$AB$5:$AB$204,MATCH(A199,Recipes!$A$5:$A$204,0)),""))</f>
        <v>0</v>
      </c>
      <c r="M199" s="8">
        <f>IF(A199="","",IFERROR(INDEX(Recipes!$AN$5:$AN$204,MATCH(A199,Recipes!$A$5:$A$204,0)),""))</f>
        <v>0</v>
      </c>
      <c r="N199" s="8">
        <f>IF(A199="","",IF(H199="No","Too soon",IF(F199="","Never cooked",IF(F199&gt;=90,"Overdue","Available"))))</f>
        <v>0</v>
      </c>
      <c r="O199" s="25"/>
    </row>
    <row r="200" spans="1:15">
      <c r="A200" s="7"/>
      <c r="B200" s="8">
        <f>IF(A200="","",IFERROR(INDEX(Recipes!$B$5:$B$204,MATCH(A200,Recipes!$A$5:$A$204,0)),""))</f>
        <v>0</v>
      </c>
      <c r="C200" s="8">
        <f>IF(A200="","",IFERROR(INDEX(Recipes!$C$5:$C$204,MATCH(A200,Recipes!$A$5:$A$204,0)),""))</f>
        <v>0</v>
      </c>
      <c r="D200" s="8">
        <f>IF(A200="","",COUNTIFS('Meal Plan'!$G$5:$G$504,A200,'Meal Plan'!$S$5:$S$504,"Cooked")+COUNTIFS('Meal Plan'!$G$5:$G$504,A200,'Meal Plan'!$S$5:$S$504,"Eaten"))</f>
        <v>0</v>
      </c>
      <c r="E200" s="8">
        <f>IF(A200="","",IFERROR(INDEX(Recipes!$X$5:$X$204,MATCH(A200,Recipes!$A$5:$A$204,0)),""))</f>
        <v>0</v>
      </c>
      <c r="F200" s="8">
        <f>IF(OR(A200="",E200=""),"",TODAY()-E200)</f>
        <v>0</v>
      </c>
      <c r="G200" s="8">
        <f>IF(OR(A200="",D200=0),"",ROUND(365/D200,0))</f>
        <v>0</v>
      </c>
      <c r="H200" s="8">
        <f>IF(A200="","",IF(F200="","Yes",IF(F200&gt;=Rotation_Gap_Days,"Yes","No")))</f>
        <v>0</v>
      </c>
      <c r="I200" s="8">
        <f>IF(OR(A200="",E200=""),"",E200+Rotation_Gap_Days)</f>
        <v>0</v>
      </c>
      <c r="J200" s="8">
        <f>IF(OR(A200="",I200=""),"",I200-TODAY())</f>
        <v>0</v>
      </c>
      <c r="K200" s="8">
        <f>IF(OR(A200="",F200=""),"",COUNTIFS($F$5:$F$204,"&lt;"&amp;F200)+1)</f>
        <v>0</v>
      </c>
      <c r="L200" s="8">
        <f>IF(A200="","",IFERROR(INDEX(Recipes!$AB$5:$AB$204,MATCH(A200,Recipes!$A$5:$A$204,0)),""))</f>
        <v>0</v>
      </c>
      <c r="M200" s="8">
        <f>IF(A200="","",IFERROR(INDEX(Recipes!$AN$5:$AN$204,MATCH(A200,Recipes!$A$5:$A$204,0)),""))</f>
        <v>0</v>
      </c>
      <c r="N200" s="8">
        <f>IF(A200="","",IF(H200="No","Too soon",IF(F200="","Never cooked",IF(F200&gt;=90,"Overdue","Available"))))</f>
        <v>0</v>
      </c>
      <c r="O200" s="25"/>
    </row>
    <row r="201" spans="1:15">
      <c r="A201" s="7"/>
      <c r="B201" s="8">
        <f>IF(A201="","",IFERROR(INDEX(Recipes!$B$5:$B$204,MATCH(A201,Recipes!$A$5:$A$204,0)),""))</f>
        <v>0</v>
      </c>
      <c r="C201" s="8">
        <f>IF(A201="","",IFERROR(INDEX(Recipes!$C$5:$C$204,MATCH(A201,Recipes!$A$5:$A$204,0)),""))</f>
        <v>0</v>
      </c>
      <c r="D201" s="8">
        <f>IF(A201="","",COUNTIFS('Meal Plan'!$G$5:$G$504,A201,'Meal Plan'!$S$5:$S$504,"Cooked")+COUNTIFS('Meal Plan'!$G$5:$G$504,A201,'Meal Plan'!$S$5:$S$504,"Eaten"))</f>
        <v>0</v>
      </c>
      <c r="E201" s="8">
        <f>IF(A201="","",IFERROR(INDEX(Recipes!$X$5:$X$204,MATCH(A201,Recipes!$A$5:$A$204,0)),""))</f>
        <v>0</v>
      </c>
      <c r="F201" s="8">
        <f>IF(OR(A201="",E201=""),"",TODAY()-E201)</f>
        <v>0</v>
      </c>
      <c r="G201" s="8">
        <f>IF(OR(A201="",D201=0),"",ROUND(365/D201,0))</f>
        <v>0</v>
      </c>
      <c r="H201" s="8">
        <f>IF(A201="","",IF(F201="","Yes",IF(F201&gt;=Rotation_Gap_Days,"Yes","No")))</f>
        <v>0</v>
      </c>
      <c r="I201" s="8">
        <f>IF(OR(A201="",E201=""),"",E201+Rotation_Gap_Days)</f>
        <v>0</v>
      </c>
      <c r="J201" s="8">
        <f>IF(OR(A201="",I201=""),"",I201-TODAY())</f>
        <v>0</v>
      </c>
      <c r="K201" s="8">
        <f>IF(OR(A201="",F201=""),"",COUNTIFS($F$5:$F$204,"&lt;"&amp;F201)+1)</f>
        <v>0</v>
      </c>
      <c r="L201" s="8">
        <f>IF(A201="","",IFERROR(INDEX(Recipes!$AB$5:$AB$204,MATCH(A201,Recipes!$A$5:$A$204,0)),""))</f>
        <v>0</v>
      </c>
      <c r="M201" s="8">
        <f>IF(A201="","",IFERROR(INDEX(Recipes!$AN$5:$AN$204,MATCH(A201,Recipes!$A$5:$A$204,0)),""))</f>
        <v>0</v>
      </c>
      <c r="N201" s="8">
        <f>IF(A201="","",IF(H201="No","Too soon",IF(F201="","Never cooked",IF(F201&gt;=90,"Overdue","Available"))))</f>
        <v>0</v>
      </c>
      <c r="O201" s="25"/>
    </row>
    <row r="202" spans="1:15">
      <c r="A202" s="7"/>
      <c r="B202" s="8">
        <f>IF(A202="","",IFERROR(INDEX(Recipes!$B$5:$B$204,MATCH(A202,Recipes!$A$5:$A$204,0)),""))</f>
        <v>0</v>
      </c>
      <c r="C202" s="8">
        <f>IF(A202="","",IFERROR(INDEX(Recipes!$C$5:$C$204,MATCH(A202,Recipes!$A$5:$A$204,0)),""))</f>
        <v>0</v>
      </c>
      <c r="D202" s="8">
        <f>IF(A202="","",COUNTIFS('Meal Plan'!$G$5:$G$504,A202,'Meal Plan'!$S$5:$S$504,"Cooked")+COUNTIFS('Meal Plan'!$G$5:$G$504,A202,'Meal Plan'!$S$5:$S$504,"Eaten"))</f>
        <v>0</v>
      </c>
      <c r="E202" s="8">
        <f>IF(A202="","",IFERROR(INDEX(Recipes!$X$5:$X$204,MATCH(A202,Recipes!$A$5:$A$204,0)),""))</f>
        <v>0</v>
      </c>
      <c r="F202" s="8">
        <f>IF(OR(A202="",E202=""),"",TODAY()-E202)</f>
        <v>0</v>
      </c>
      <c r="G202" s="8">
        <f>IF(OR(A202="",D202=0),"",ROUND(365/D202,0))</f>
        <v>0</v>
      </c>
      <c r="H202" s="8">
        <f>IF(A202="","",IF(F202="","Yes",IF(F202&gt;=Rotation_Gap_Days,"Yes","No")))</f>
        <v>0</v>
      </c>
      <c r="I202" s="8">
        <f>IF(OR(A202="",E202=""),"",E202+Rotation_Gap_Days)</f>
        <v>0</v>
      </c>
      <c r="J202" s="8">
        <f>IF(OR(A202="",I202=""),"",I202-TODAY())</f>
        <v>0</v>
      </c>
      <c r="K202" s="8">
        <f>IF(OR(A202="",F202=""),"",COUNTIFS($F$5:$F$204,"&lt;"&amp;F202)+1)</f>
        <v>0</v>
      </c>
      <c r="L202" s="8">
        <f>IF(A202="","",IFERROR(INDEX(Recipes!$AB$5:$AB$204,MATCH(A202,Recipes!$A$5:$A$204,0)),""))</f>
        <v>0</v>
      </c>
      <c r="M202" s="8">
        <f>IF(A202="","",IFERROR(INDEX(Recipes!$AN$5:$AN$204,MATCH(A202,Recipes!$A$5:$A$204,0)),""))</f>
        <v>0</v>
      </c>
      <c r="N202" s="8">
        <f>IF(A202="","",IF(H202="No","Too soon",IF(F202="","Never cooked",IF(F202&gt;=90,"Overdue","Available"))))</f>
        <v>0</v>
      </c>
      <c r="O202" s="25"/>
    </row>
    <row r="203" spans="1:15">
      <c r="A203" s="7"/>
      <c r="B203" s="8">
        <f>IF(A203="","",IFERROR(INDEX(Recipes!$B$5:$B$204,MATCH(A203,Recipes!$A$5:$A$204,0)),""))</f>
        <v>0</v>
      </c>
      <c r="C203" s="8">
        <f>IF(A203="","",IFERROR(INDEX(Recipes!$C$5:$C$204,MATCH(A203,Recipes!$A$5:$A$204,0)),""))</f>
        <v>0</v>
      </c>
      <c r="D203" s="8">
        <f>IF(A203="","",COUNTIFS('Meal Plan'!$G$5:$G$504,A203,'Meal Plan'!$S$5:$S$504,"Cooked")+COUNTIFS('Meal Plan'!$G$5:$G$504,A203,'Meal Plan'!$S$5:$S$504,"Eaten"))</f>
        <v>0</v>
      </c>
      <c r="E203" s="8">
        <f>IF(A203="","",IFERROR(INDEX(Recipes!$X$5:$X$204,MATCH(A203,Recipes!$A$5:$A$204,0)),""))</f>
        <v>0</v>
      </c>
      <c r="F203" s="8">
        <f>IF(OR(A203="",E203=""),"",TODAY()-E203)</f>
        <v>0</v>
      </c>
      <c r="G203" s="8">
        <f>IF(OR(A203="",D203=0),"",ROUND(365/D203,0))</f>
        <v>0</v>
      </c>
      <c r="H203" s="8">
        <f>IF(A203="","",IF(F203="","Yes",IF(F203&gt;=Rotation_Gap_Days,"Yes","No")))</f>
        <v>0</v>
      </c>
      <c r="I203" s="8">
        <f>IF(OR(A203="",E203=""),"",E203+Rotation_Gap_Days)</f>
        <v>0</v>
      </c>
      <c r="J203" s="8">
        <f>IF(OR(A203="",I203=""),"",I203-TODAY())</f>
        <v>0</v>
      </c>
      <c r="K203" s="8">
        <f>IF(OR(A203="",F203=""),"",COUNTIFS($F$5:$F$204,"&lt;"&amp;F203)+1)</f>
        <v>0</v>
      </c>
      <c r="L203" s="8">
        <f>IF(A203="","",IFERROR(INDEX(Recipes!$AB$5:$AB$204,MATCH(A203,Recipes!$A$5:$A$204,0)),""))</f>
        <v>0</v>
      </c>
      <c r="M203" s="8">
        <f>IF(A203="","",IFERROR(INDEX(Recipes!$AN$5:$AN$204,MATCH(A203,Recipes!$A$5:$A$204,0)),""))</f>
        <v>0</v>
      </c>
      <c r="N203" s="8">
        <f>IF(A203="","",IF(H203="No","Too soon",IF(F203="","Never cooked",IF(F203&gt;=90,"Overdue","Available"))))</f>
        <v>0</v>
      </c>
      <c r="O203" s="25"/>
    </row>
    <row r="204" spans="1:15">
      <c r="A204" s="7"/>
      <c r="B204" s="8">
        <f>IF(A204="","",IFERROR(INDEX(Recipes!$B$5:$B$204,MATCH(A204,Recipes!$A$5:$A$204,0)),""))</f>
        <v>0</v>
      </c>
      <c r="C204" s="8">
        <f>IF(A204="","",IFERROR(INDEX(Recipes!$C$5:$C$204,MATCH(A204,Recipes!$A$5:$A$204,0)),""))</f>
        <v>0</v>
      </c>
      <c r="D204" s="8">
        <f>IF(A204="","",COUNTIFS('Meal Plan'!$G$5:$G$504,A204,'Meal Plan'!$S$5:$S$504,"Cooked")+COUNTIFS('Meal Plan'!$G$5:$G$504,A204,'Meal Plan'!$S$5:$S$504,"Eaten"))</f>
        <v>0</v>
      </c>
      <c r="E204" s="8">
        <f>IF(A204="","",IFERROR(INDEX(Recipes!$X$5:$X$204,MATCH(A204,Recipes!$A$5:$A$204,0)),""))</f>
        <v>0</v>
      </c>
      <c r="F204" s="8">
        <f>IF(OR(A204="",E204=""),"",TODAY()-E204)</f>
        <v>0</v>
      </c>
      <c r="G204" s="8">
        <f>IF(OR(A204="",D204=0),"",ROUND(365/D204,0))</f>
        <v>0</v>
      </c>
      <c r="H204" s="8">
        <f>IF(A204="","",IF(F204="","Yes",IF(F204&gt;=Rotation_Gap_Days,"Yes","No")))</f>
        <v>0</v>
      </c>
      <c r="I204" s="8">
        <f>IF(OR(A204="",E204=""),"",E204+Rotation_Gap_Days)</f>
        <v>0</v>
      </c>
      <c r="J204" s="8">
        <f>IF(OR(A204="",I204=""),"",I204-TODAY())</f>
        <v>0</v>
      </c>
      <c r="K204" s="8">
        <f>IF(OR(A204="",F204=""),"",COUNTIFS($F$5:$F$204,"&lt;"&amp;F204)+1)</f>
        <v>0</v>
      </c>
      <c r="L204" s="8">
        <f>IF(A204="","",IFERROR(INDEX(Recipes!$AB$5:$AB$204,MATCH(A204,Recipes!$A$5:$A$204,0)),""))</f>
        <v>0</v>
      </c>
      <c r="M204" s="8">
        <f>IF(A204="","",IFERROR(INDEX(Recipes!$AN$5:$AN$204,MATCH(A204,Recipes!$A$5:$A$204,0)),""))</f>
        <v>0</v>
      </c>
      <c r="N204" s="8">
        <f>IF(A204="","",IF(H204="No","Too soon",IF(F204="","Never cooked",IF(F204&gt;=90,"Overdue","Available"))))</f>
        <v>0</v>
      </c>
      <c r="O204" s="25"/>
    </row>
  </sheetData>
  <sheetProtection password="EC7C" sheet="1" objects="1" scenarios="1" selectLockedCells="1" selectUnlockedCells="1"/>
  <autoFilter ref="A4:O204"/>
  <conditionalFormatting sqref="A101:O101">
    <cfRule type="expression" dxfId="0" priority="49">
      <formula>MOD(ROW(),2)=0</formula>
    </cfRule>
  </conditionalFormatting>
  <conditionalFormatting sqref="A103:O103">
    <cfRule type="expression" dxfId="0" priority="50">
      <formula>MOD(ROW(),2)=0</formula>
    </cfRule>
  </conditionalFormatting>
  <conditionalFormatting sqref="A105:O105">
    <cfRule type="expression" dxfId="0" priority="51">
      <formula>MOD(ROW(),2)=0</formula>
    </cfRule>
  </conditionalFormatting>
  <conditionalFormatting sqref="A107:O107">
    <cfRule type="expression" dxfId="0" priority="52">
      <formula>MOD(ROW(),2)=0</formula>
    </cfRule>
  </conditionalFormatting>
  <conditionalFormatting sqref="A109:O109">
    <cfRule type="expression" dxfId="0" priority="53">
      <formula>MOD(ROW(),2)=0</formula>
    </cfRule>
  </conditionalFormatting>
  <conditionalFormatting sqref="A111:O111">
    <cfRule type="expression" dxfId="0" priority="54">
      <formula>MOD(ROW(),2)=0</formula>
    </cfRule>
  </conditionalFormatting>
  <conditionalFormatting sqref="A113:O113">
    <cfRule type="expression" dxfId="0" priority="55">
      <formula>MOD(ROW(),2)=0</formula>
    </cfRule>
  </conditionalFormatting>
  <conditionalFormatting sqref="A115:O115">
    <cfRule type="expression" dxfId="0" priority="56">
      <formula>MOD(ROW(),2)=0</formula>
    </cfRule>
  </conditionalFormatting>
  <conditionalFormatting sqref="A117:O117">
    <cfRule type="expression" dxfId="0" priority="57">
      <formula>MOD(ROW(),2)=0</formula>
    </cfRule>
  </conditionalFormatting>
  <conditionalFormatting sqref="A119:O119">
    <cfRule type="expression" dxfId="0" priority="58">
      <formula>MOD(ROW(),2)=0</formula>
    </cfRule>
  </conditionalFormatting>
  <conditionalFormatting sqref="A11:O11">
    <cfRule type="expression" dxfId="0" priority="4">
      <formula>MOD(ROW(),2)=0</formula>
    </cfRule>
  </conditionalFormatting>
  <conditionalFormatting sqref="A121:O121">
    <cfRule type="expression" dxfId="0" priority="59">
      <formula>MOD(ROW(),2)=0</formula>
    </cfRule>
  </conditionalFormatting>
  <conditionalFormatting sqref="A123:O123">
    <cfRule type="expression" dxfId="0" priority="60">
      <formula>MOD(ROW(),2)=0</formula>
    </cfRule>
  </conditionalFormatting>
  <conditionalFormatting sqref="A125:O125">
    <cfRule type="expression" dxfId="0" priority="61">
      <formula>MOD(ROW(),2)=0</formula>
    </cfRule>
  </conditionalFormatting>
  <conditionalFormatting sqref="A127:O127">
    <cfRule type="expression" dxfId="0" priority="62">
      <formula>MOD(ROW(),2)=0</formula>
    </cfRule>
  </conditionalFormatting>
  <conditionalFormatting sqref="A129:O129">
    <cfRule type="expression" dxfId="0" priority="63">
      <formula>MOD(ROW(),2)=0</formula>
    </cfRule>
  </conditionalFormatting>
  <conditionalFormatting sqref="A131:O131">
    <cfRule type="expression" dxfId="0" priority="64">
      <formula>MOD(ROW(),2)=0</formula>
    </cfRule>
  </conditionalFormatting>
  <conditionalFormatting sqref="A133:O133">
    <cfRule type="expression" dxfId="0" priority="65">
      <formula>MOD(ROW(),2)=0</formula>
    </cfRule>
  </conditionalFormatting>
  <conditionalFormatting sqref="A135:O135">
    <cfRule type="expression" dxfId="0" priority="66">
      <formula>MOD(ROW(),2)=0</formula>
    </cfRule>
  </conditionalFormatting>
  <conditionalFormatting sqref="A137:O137">
    <cfRule type="expression" dxfId="0" priority="67">
      <formula>MOD(ROW(),2)=0</formula>
    </cfRule>
  </conditionalFormatting>
  <conditionalFormatting sqref="A139:O139">
    <cfRule type="expression" dxfId="0" priority="68">
      <formula>MOD(ROW(),2)=0</formula>
    </cfRule>
  </conditionalFormatting>
  <conditionalFormatting sqref="A13:O13">
    <cfRule type="expression" dxfId="0" priority="5">
      <formula>MOD(ROW(),2)=0</formula>
    </cfRule>
  </conditionalFormatting>
  <conditionalFormatting sqref="A141:O141">
    <cfRule type="expression" dxfId="0" priority="69">
      <formula>MOD(ROW(),2)=0</formula>
    </cfRule>
  </conditionalFormatting>
  <conditionalFormatting sqref="A143:O143">
    <cfRule type="expression" dxfId="0" priority="70">
      <formula>MOD(ROW(),2)=0</formula>
    </cfRule>
  </conditionalFormatting>
  <conditionalFormatting sqref="A145:O145">
    <cfRule type="expression" dxfId="0" priority="71">
      <formula>MOD(ROW(),2)=0</formula>
    </cfRule>
  </conditionalFormatting>
  <conditionalFormatting sqref="A147:O147">
    <cfRule type="expression" dxfId="0" priority="72">
      <formula>MOD(ROW(),2)=0</formula>
    </cfRule>
  </conditionalFormatting>
  <conditionalFormatting sqref="A149:O149">
    <cfRule type="expression" dxfId="0" priority="73">
      <formula>MOD(ROW(),2)=0</formula>
    </cfRule>
  </conditionalFormatting>
  <conditionalFormatting sqref="A151:O151">
    <cfRule type="expression" dxfId="0" priority="74">
      <formula>MOD(ROW(),2)=0</formula>
    </cfRule>
  </conditionalFormatting>
  <conditionalFormatting sqref="A153:O153">
    <cfRule type="expression" dxfId="0" priority="75">
      <formula>MOD(ROW(),2)=0</formula>
    </cfRule>
  </conditionalFormatting>
  <conditionalFormatting sqref="A155:O155">
    <cfRule type="expression" dxfId="0" priority="76">
      <formula>MOD(ROW(),2)=0</formula>
    </cfRule>
  </conditionalFormatting>
  <conditionalFormatting sqref="A157:O157">
    <cfRule type="expression" dxfId="0" priority="77">
      <formula>MOD(ROW(),2)=0</formula>
    </cfRule>
  </conditionalFormatting>
  <conditionalFormatting sqref="A159:O159">
    <cfRule type="expression" dxfId="0" priority="78">
      <formula>MOD(ROW(),2)=0</formula>
    </cfRule>
  </conditionalFormatting>
  <conditionalFormatting sqref="A15:O15">
    <cfRule type="expression" dxfId="0" priority="6">
      <formula>MOD(ROW(),2)=0</formula>
    </cfRule>
  </conditionalFormatting>
  <conditionalFormatting sqref="A161:O161">
    <cfRule type="expression" dxfId="0" priority="79">
      <formula>MOD(ROW(),2)=0</formula>
    </cfRule>
  </conditionalFormatting>
  <conditionalFormatting sqref="A163:O163">
    <cfRule type="expression" dxfId="0" priority="80">
      <formula>MOD(ROW(),2)=0</formula>
    </cfRule>
  </conditionalFormatting>
  <conditionalFormatting sqref="A165:O165">
    <cfRule type="expression" dxfId="0" priority="81">
      <formula>MOD(ROW(),2)=0</formula>
    </cfRule>
  </conditionalFormatting>
  <conditionalFormatting sqref="A167:O167">
    <cfRule type="expression" dxfId="0" priority="82">
      <formula>MOD(ROW(),2)=0</formula>
    </cfRule>
  </conditionalFormatting>
  <conditionalFormatting sqref="A169:O169">
    <cfRule type="expression" dxfId="0" priority="83">
      <formula>MOD(ROW(),2)=0</formula>
    </cfRule>
  </conditionalFormatting>
  <conditionalFormatting sqref="A171:O171">
    <cfRule type="expression" dxfId="0" priority="84">
      <formula>MOD(ROW(),2)=0</formula>
    </cfRule>
  </conditionalFormatting>
  <conditionalFormatting sqref="A173:O173">
    <cfRule type="expression" dxfId="0" priority="85">
      <formula>MOD(ROW(),2)=0</formula>
    </cfRule>
  </conditionalFormatting>
  <conditionalFormatting sqref="A175:O175">
    <cfRule type="expression" dxfId="0" priority="86">
      <formula>MOD(ROW(),2)=0</formula>
    </cfRule>
  </conditionalFormatting>
  <conditionalFormatting sqref="A177:O177">
    <cfRule type="expression" dxfId="0" priority="87">
      <formula>MOD(ROW(),2)=0</formula>
    </cfRule>
  </conditionalFormatting>
  <conditionalFormatting sqref="A179:O179">
    <cfRule type="expression" dxfId="0" priority="88">
      <formula>MOD(ROW(),2)=0</formula>
    </cfRule>
  </conditionalFormatting>
  <conditionalFormatting sqref="A17:O17">
    <cfRule type="expression" dxfId="0" priority="7">
      <formula>MOD(ROW(),2)=0</formula>
    </cfRule>
  </conditionalFormatting>
  <conditionalFormatting sqref="A181:O181">
    <cfRule type="expression" dxfId="0" priority="89">
      <formula>MOD(ROW(),2)=0</formula>
    </cfRule>
  </conditionalFormatting>
  <conditionalFormatting sqref="A183:O183">
    <cfRule type="expression" dxfId="0" priority="90">
      <formula>MOD(ROW(),2)=0</formula>
    </cfRule>
  </conditionalFormatting>
  <conditionalFormatting sqref="A185:O185">
    <cfRule type="expression" dxfId="0" priority="91">
      <formula>MOD(ROW(),2)=0</formula>
    </cfRule>
  </conditionalFormatting>
  <conditionalFormatting sqref="A187:O187">
    <cfRule type="expression" dxfId="0" priority="92">
      <formula>MOD(ROW(),2)=0</formula>
    </cfRule>
  </conditionalFormatting>
  <conditionalFormatting sqref="A189:O189">
    <cfRule type="expression" dxfId="0" priority="93">
      <formula>MOD(ROW(),2)=0</formula>
    </cfRule>
  </conditionalFormatting>
  <conditionalFormatting sqref="A191:O191">
    <cfRule type="expression" dxfId="0" priority="94">
      <formula>MOD(ROW(),2)=0</formula>
    </cfRule>
  </conditionalFormatting>
  <conditionalFormatting sqref="A193:O193">
    <cfRule type="expression" dxfId="0" priority="95">
      <formula>MOD(ROW(),2)=0</formula>
    </cfRule>
  </conditionalFormatting>
  <conditionalFormatting sqref="A195:O195">
    <cfRule type="expression" dxfId="0" priority="96">
      <formula>MOD(ROW(),2)=0</formula>
    </cfRule>
  </conditionalFormatting>
  <conditionalFormatting sqref="A197:O197">
    <cfRule type="expression" dxfId="0" priority="97">
      <formula>MOD(ROW(),2)=0</formula>
    </cfRule>
  </conditionalFormatting>
  <conditionalFormatting sqref="A199:O199">
    <cfRule type="expression" dxfId="0" priority="98">
      <formula>MOD(ROW(),2)=0</formula>
    </cfRule>
  </conditionalFormatting>
  <conditionalFormatting sqref="A19:O19">
    <cfRule type="expression" dxfId="0" priority="8">
      <formula>MOD(ROW(),2)=0</formula>
    </cfRule>
  </conditionalFormatting>
  <conditionalFormatting sqref="A201:O201">
    <cfRule type="expression" dxfId="0" priority="99">
      <formula>MOD(ROW(),2)=0</formula>
    </cfRule>
  </conditionalFormatting>
  <conditionalFormatting sqref="A203:O203">
    <cfRule type="expression" dxfId="0" priority="100">
      <formula>MOD(ROW(),2)=0</formula>
    </cfRule>
  </conditionalFormatting>
  <conditionalFormatting sqref="A21:O21">
    <cfRule type="expression" dxfId="0" priority="9">
      <formula>MOD(ROW(),2)=0</formula>
    </cfRule>
  </conditionalFormatting>
  <conditionalFormatting sqref="A23:O23">
    <cfRule type="expression" dxfId="0" priority="10">
      <formula>MOD(ROW(),2)=0</formula>
    </cfRule>
  </conditionalFormatting>
  <conditionalFormatting sqref="A25:O25">
    <cfRule type="expression" dxfId="0" priority="11">
      <formula>MOD(ROW(),2)=0</formula>
    </cfRule>
  </conditionalFormatting>
  <conditionalFormatting sqref="A27:O27">
    <cfRule type="expression" dxfId="0" priority="12">
      <formula>MOD(ROW(),2)=0</formula>
    </cfRule>
  </conditionalFormatting>
  <conditionalFormatting sqref="A29:O29">
    <cfRule type="expression" dxfId="0" priority="13">
      <formula>MOD(ROW(),2)=0</formula>
    </cfRule>
  </conditionalFormatting>
  <conditionalFormatting sqref="A31:O31">
    <cfRule type="expression" dxfId="0" priority="14">
      <formula>MOD(ROW(),2)=0</formula>
    </cfRule>
  </conditionalFormatting>
  <conditionalFormatting sqref="A33:O33">
    <cfRule type="expression" dxfId="0" priority="15">
      <formula>MOD(ROW(),2)=0</formula>
    </cfRule>
  </conditionalFormatting>
  <conditionalFormatting sqref="A35:O35">
    <cfRule type="expression" dxfId="0" priority="16">
      <formula>MOD(ROW(),2)=0</formula>
    </cfRule>
  </conditionalFormatting>
  <conditionalFormatting sqref="A37:O37">
    <cfRule type="expression" dxfId="0" priority="17">
      <formula>MOD(ROW(),2)=0</formula>
    </cfRule>
  </conditionalFormatting>
  <conditionalFormatting sqref="A39:O39">
    <cfRule type="expression" dxfId="0" priority="18">
      <formula>MOD(ROW(),2)=0</formula>
    </cfRule>
  </conditionalFormatting>
  <conditionalFormatting sqref="A41:O41">
    <cfRule type="expression" dxfId="0" priority="19">
      <formula>MOD(ROW(),2)=0</formula>
    </cfRule>
  </conditionalFormatting>
  <conditionalFormatting sqref="A43:O43">
    <cfRule type="expression" dxfId="0" priority="20">
      <formula>MOD(ROW(),2)=0</formula>
    </cfRule>
  </conditionalFormatting>
  <conditionalFormatting sqref="A45:O45">
    <cfRule type="expression" dxfId="0" priority="21">
      <formula>MOD(ROW(),2)=0</formula>
    </cfRule>
  </conditionalFormatting>
  <conditionalFormatting sqref="A47:O47">
    <cfRule type="expression" dxfId="0" priority="22">
      <formula>MOD(ROW(),2)=0</formula>
    </cfRule>
  </conditionalFormatting>
  <conditionalFormatting sqref="A49:O49">
    <cfRule type="expression" dxfId="0" priority="23">
      <formula>MOD(ROW(),2)=0</formula>
    </cfRule>
  </conditionalFormatting>
  <conditionalFormatting sqref="A51:O51">
    <cfRule type="expression" dxfId="0" priority="24">
      <formula>MOD(ROW(),2)=0</formula>
    </cfRule>
  </conditionalFormatting>
  <conditionalFormatting sqref="A53:O53">
    <cfRule type="expression" dxfId="0" priority="25">
      <formula>MOD(ROW(),2)=0</formula>
    </cfRule>
  </conditionalFormatting>
  <conditionalFormatting sqref="A55:O55">
    <cfRule type="expression" dxfId="0" priority="26">
      <formula>MOD(ROW(),2)=0</formula>
    </cfRule>
  </conditionalFormatting>
  <conditionalFormatting sqref="A57:O57">
    <cfRule type="expression" dxfId="0" priority="27">
      <formula>MOD(ROW(),2)=0</formula>
    </cfRule>
  </conditionalFormatting>
  <conditionalFormatting sqref="A59:O59">
    <cfRule type="expression" dxfId="0" priority="28">
      <formula>MOD(ROW(),2)=0</formula>
    </cfRule>
  </conditionalFormatting>
  <conditionalFormatting sqref="A5:O5">
    <cfRule type="expression" dxfId="0" priority="1">
      <formula>MOD(ROW(),2)=0</formula>
    </cfRule>
  </conditionalFormatting>
  <conditionalFormatting sqref="A61:O61">
    <cfRule type="expression" dxfId="0" priority="29">
      <formula>MOD(ROW(),2)=0</formula>
    </cfRule>
  </conditionalFormatting>
  <conditionalFormatting sqref="A63:O63">
    <cfRule type="expression" dxfId="0" priority="30">
      <formula>MOD(ROW(),2)=0</formula>
    </cfRule>
  </conditionalFormatting>
  <conditionalFormatting sqref="A65:O65">
    <cfRule type="expression" dxfId="0" priority="31">
      <formula>MOD(ROW(),2)=0</formula>
    </cfRule>
  </conditionalFormatting>
  <conditionalFormatting sqref="A67:O67">
    <cfRule type="expression" dxfId="0" priority="32">
      <formula>MOD(ROW(),2)=0</formula>
    </cfRule>
  </conditionalFormatting>
  <conditionalFormatting sqref="A69:O69">
    <cfRule type="expression" dxfId="0" priority="33">
      <formula>MOD(ROW(),2)=0</formula>
    </cfRule>
  </conditionalFormatting>
  <conditionalFormatting sqref="A71:O71">
    <cfRule type="expression" dxfId="0" priority="34">
      <formula>MOD(ROW(),2)=0</formula>
    </cfRule>
  </conditionalFormatting>
  <conditionalFormatting sqref="A73:O73">
    <cfRule type="expression" dxfId="0" priority="35">
      <formula>MOD(ROW(),2)=0</formula>
    </cfRule>
  </conditionalFormatting>
  <conditionalFormatting sqref="A75:O75">
    <cfRule type="expression" dxfId="0" priority="36">
      <formula>MOD(ROW(),2)=0</formula>
    </cfRule>
  </conditionalFormatting>
  <conditionalFormatting sqref="A77:O77">
    <cfRule type="expression" dxfId="0" priority="37">
      <formula>MOD(ROW(),2)=0</formula>
    </cfRule>
  </conditionalFormatting>
  <conditionalFormatting sqref="A79:O79">
    <cfRule type="expression" dxfId="0" priority="38">
      <formula>MOD(ROW(),2)=0</formula>
    </cfRule>
  </conditionalFormatting>
  <conditionalFormatting sqref="A7:O7">
    <cfRule type="expression" dxfId="0" priority="2">
      <formula>MOD(ROW(),2)=0</formula>
    </cfRule>
  </conditionalFormatting>
  <conditionalFormatting sqref="A81:O81">
    <cfRule type="expression" dxfId="0" priority="39">
      <formula>MOD(ROW(),2)=0</formula>
    </cfRule>
  </conditionalFormatting>
  <conditionalFormatting sqref="A83:O83">
    <cfRule type="expression" dxfId="0" priority="40">
      <formula>MOD(ROW(),2)=0</formula>
    </cfRule>
  </conditionalFormatting>
  <conditionalFormatting sqref="A85:O85">
    <cfRule type="expression" dxfId="0" priority="41">
      <formula>MOD(ROW(),2)=0</formula>
    </cfRule>
  </conditionalFormatting>
  <conditionalFormatting sqref="A87:O87">
    <cfRule type="expression" dxfId="0" priority="42">
      <formula>MOD(ROW(),2)=0</formula>
    </cfRule>
  </conditionalFormatting>
  <conditionalFormatting sqref="A89:O89">
    <cfRule type="expression" dxfId="0" priority="43">
      <formula>MOD(ROW(),2)=0</formula>
    </cfRule>
  </conditionalFormatting>
  <conditionalFormatting sqref="A91:O91">
    <cfRule type="expression" dxfId="0" priority="44">
      <formula>MOD(ROW(),2)=0</formula>
    </cfRule>
  </conditionalFormatting>
  <conditionalFormatting sqref="A93:O93">
    <cfRule type="expression" dxfId="0" priority="45">
      <formula>MOD(ROW(),2)=0</formula>
    </cfRule>
  </conditionalFormatting>
  <conditionalFormatting sqref="A95:O95">
    <cfRule type="expression" dxfId="0" priority="46">
      <formula>MOD(ROW(),2)=0</formula>
    </cfRule>
  </conditionalFormatting>
  <conditionalFormatting sqref="A97:O97">
    <cfRule type="expression" dxfId="0" priority="47">
      <formula>MOD(ROW(),2)=0</formula>
    </cfRule>
  </conditionalFormatting>
  <conditionalFormatting sqref="A99:O99">
    <cfRule type="expression" dxfId="0" priority="48">
      <formula>MOD(ROW(),2)=0</formula>
    </cfRule>
  </conditionalFormatting>
  <conditionalFormatting sqref="A9:O9">
    <cfRule type="expression" dxfId="0" priority="3">
      <formula>MOD(ROW(),2)=0</formula>
    </cfRule>
  </conditionalFormatting>
  <dataValidations count="200">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Spreadsheet&amp;R&amp;"Calibri,Italic"Rotation</oddHeader>
    <oddFooter>&amp;LPage &amp;P of &amp;N&amp;R&amp;D</oddFooter>
  </headerFooter>
  <legacyDrawing r:id="rId1"/>
</worksheet>
</file>

<file path=xl/worksheets/sheet24.xml><?xml version="1.0" encoding="utf-8"?>
<worksheet xmlns="http://schemas.openxmlformats.org/spreadsheetml/2006/main" xmlns:r="http://schemas.openxmlformats.org/officeDocument/2006/relationships">
  <sheetPr>
    <tabColor rgb="FF4E8A63"/>
    <pageSetUpPr fitToPage="1"/>
  </sheetPr>
  <dimension ref="A4:K6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6.7109375" customWidth="1"/>
    <col min="2" max="2" width="14.7109375" customWidth="1"/>
    <col min="3" max="4" width="11.7109375" customWidth="1"/>
    <col min="5" max="5" width="12.7109375" customWidth="1"/>
    <col min="6" max="6" width="13.7109375" customWidth="1"/>
    <col min="7" max="8" width="12.7109375" customWidth="1"/>
    <col min="9" max="9" width="18.7109375" customWidth="1"/>
    <col min="10" max="10" width="14.7109375" customWidth="1"/>
    <col min="11" max="11" width="34.7109375" customWidth="1"/>
  </cols>
  <sheetData>
    <row r="4" spans="1:11" ht="32" customHeight="1">
      <c r="A4" s="9" t="s">
        <v>554</v>
      </c>
      <c r="B4" s="9" t="s">
        <v>282</v>
      </c>
      <c r="C4" s="9" t="s">
        <v>555</v>
      </c>
      <c r="D4" s="9" t="s">
        <v>556</v>
      </c>
      <c r="E4" s="9" t="s">
        <v>557</v>
      </c>
      <c r="F4" s="9" t="s">
        <v>558</v>
      </c>
      <c r="G4" s="9" t="s">
        <v>559</v>
      </c>
      <c r="H4" s="9" t="s">
        <v>560</v>
      </c>
      <c r="I4" s="9" t="s">
        <v>313</v>
      </c>
      <c r="J4" s="9" t="s">
        <v>135</v>
      </c>
      <c r="K4" s="9" t="s">
        <v>173</v>
      </c>
    </row>
    <row r="5" spans="1:11">
      <c r="A5" s="7"/>
      <c r="B5" s="27"/>
      <c r="C5" s="27"/>
      <c r="D5" s="26"/>
      <c r="E5" s="26"/>
      <c r="F5" s="26"/>
      <c r="G5" s="26"/>
      <c r="H5" s="26"/>
      <c r="I5" s="7"/>
      <c r="J5" s="8">
        <f>IF(A5="","",IF(E5&gt;0,"Freezable","Fridge only"))</f>
        <v>0</v>
      </c>
      <c r="K5" s="25"/>
    </row>
    <row r="6" spans="1:11">
      <c r="A6" s="7"/>
      <c r="B6" s="27"/>
      <c r="C6" s="27"/>
      <c r="D6" s="26"/>
      <c r="E6" s="26"/>
      <c r="F6" s="26"/>
      <c r="G6" s="26"/>
      <c r="H6" s="26"/>
      <c r="I6" s="7"/>
      <c r="J6" s="8">
        <f>IF(A6="","",IF(E6&gt;0,"Freezable","Fridge only"))</f>
        <v>0</v>
      </c>
      <c r="K6" s="25"/>
    </row>
    <row r="7" spans="1:11">
      <c r="A7" s="7"/>
      <c r="B7" s="27"/>
      <c r="C7" s="27"/>
      <c r="D7" s="26"/>
      <c r="E7" s="26"/>
      <c r="F7" s="26"/>
      <c r="G7" s="26"/>
      <c r="H7" s="26"/>
      <c r="I7" s="7"/>
      <c r="J7" s="8">
        <f>IF(A7="","",IF(E7&gt;0,"Freezable","Fridge only"))</f>
        <v>0</v>
      </c>
      <c r="K7" s="25"/>
    </row>
    <row r="8" spans="1:11">
      <c r="A8" s="7"/>
      <c r="B8" s="27"/>
      <c r="C8" s="27"/>
      <c r="D8" s="26"/>
      <c r="E8" s="26"/>
      <c r="F8" s="26"/>
      <c r="G8" s="26"/>
      <c r="H8" s="26"/>
      <c r="I8" s="7"/>
      <c r="J8" s="8">
        <f>IF(A8="","",IF(E8&gt;0,"Freezable","Fridge only"))</f>
        <v>0</v>
      </c>
      <c r="K8" s="25"/>
    </row>
    <row r="9" spans="1:11">
      <c r="A9" s="7"/>
      <c r="B9" s="27"/>
      <c r="C9" s="27"/>
      <c r="D9" s="26"/>
      <c r="E9" s="26"/>
      <c r="F9" s="26"/>
      <c r="G9" s="26"/>
      <c r="H9" s="26"/>
      <c r="I9" s="7"/>
      <c r="J9" s="8">
        <f>IF(A9="","",IF(E9&gt;0,"Freezable","Fridge only"))</f>
        <v>0</v>
      </c>
      <c r="K9" s="25"/>
    </row>
    <row r="10" spans="1:11">
      <c r="A10" s="7"/>
      <c r="B10" s="27"/>
      <c r="C10" s="27"/>
      <c r="D10" s="26"/>
      <c r="E10" s="26"/>
      <c r="F10" s="26"/>
      <c r="G10" s="26"/>
      <c r="H10" s="26"/>
      <c r="I10" s="7"/>
      <c r="J10" s="8">
        <f>IF(A10="","",IF(E10&gt;0,"Freezable","Fridge only"))</f>
        <v>0</v>
      </c>
      <c r="K10" s="25"/>
    </row>
    <row r="11" spans="1:11">
      <c r="A11" s="7"/>
      <c r="B11" s="27"/>
      <c r="C11" s="27"/>
      <c r="D11" s="26"/>
      <c r="E11" s="26"/>
      <c r="F11" s="26"/>
      <c r="G11" s="26"/>
      <c r="H11" s="26"/>
      <c r="I11" s="7"/>
      <c r="J11" s="8">
        <f>IF(A11="","",IF(E11&gt;0,"Freezable","Fridge only"))</f>
        <v>0</v>
      </c>
      <c r="K11" s="25"/>
    </row>
    <row r="12" spans="1:11">
      <c r="A12" s="7"/>
      <c r="B12" s="27"/>
      <c r="C12" s="27"/>
      <c r="D12" s="26"/>
      <c r="E12" s="26"/>
      <c r="F12" s="26"/>
      <c r="G12" s="26"/>
      <c r="H12" s="26"/>
      <c r="I12" s="7"/>
      <c r="J12" s="8">
        <f>IF(A12="","",IF(E12&gt;0,"Freezable","Fridge only"))</f>
        <v>0</v>
      </c>
      <c r="K12" s="25"/>
    </row>
    <row r="13" spans="1:11">
      <c r="A13" s="7"/>
      <c r="B13" s="27"/>
      <c r="C13" s="27"/>
      <c r="D13" s="26"/>
      <c r="E13" s="26"/>
      <c r="F13" s="26"/>
      <c r="G13" s="26"/>
      <c r="H13" s="26"/>
      <c r="I13" s="7"/>
      <c r="J13" s="8">
        <f>IF(A13="","",IF(E13&gt;0,"Freezable","Fridge only"))</f>
        <v>0</v>
      </c>
      <c r="K13" s="25"/>
    </row>
    <row r="14" spans="1:11">
      <c r="A14" s="7"/>
      <c r="B14" s="27"/>
      <c r="C14" s="27"/>
      <c r="D14" s="26"/>
      <c r="E14" s="26"/>
      <c r="F14" s="26"/>
      <c r="G14" s="26"/>
      <c r="H14" s="26"/>
      <c r="I14" s="7"/>
      <c r="J14" s="8">
        <f>IF(A14="","",IF(E14&gt;0,"Freezable","Fridge only"))</f>
        <v>0</v>
      </c>
      <c r="K14" s="25"/>
    </row>
    <row r="15" spans="1:11">
      <c r="A15" s="7"/>
      <c r="B15" s="27"/>
      <c r="C15" s="27"/>
      <c r="D15" s="26"/>
      <c r="E15" s="26"/>
      <c r="F15" s="26"/>
      <c r="G15" s="26"/>
      <c r="H15" s="26"/>
      <c r="I15" s="7"/>
      <c r="J15" s="8">
        <f>IF(A15="","",IF(E15&gt;0,"Freezable","Fridge only"))</f>
        <v>0</v>
      </c>
      <c r="K15" s="25"/>
    </row>
    <row r="16" spans="1:11">
      <c r="A16" s="7"/>
      <c r="B16" s="27"/>
      <c r="C16" s="27"/>
      <c r="D16" s="26"/>
      <c r="E16" s="26"/>
      <c r="F16" s="26"/>
      <c r="G16" s="26"/>
      <c r="H16" s="26"/>
      <c r="I16" s="7"/>
      <c r="J16" s="8">
        <f>IF(A16="","",IF(E16&gt;0,"Freezable","Fridge only"))</f>
        <v>0</v>
      </c>
      <c r="K16" s="25"/>
    </row>
    <row r="17" spans="1:11">
      <c r="A17" s="7"/>
      <c r="B17" s="27"/>
      <c r="C17" s="27"/>
      <c r="D17" s="26"/>
      <c r="E17" s="26"/>
      <c r="F17" s="26"/>
      <c r="G17" s="26"/>
      <c r="H17" s="26"/>
      <c r="I17" s="7"/>
      <c r="J17" s="8">
        <f>IF(A17="","",IF(E17&gt;0,"Freezable","Fridge only"))</f>
        <v>0</v>
      </c>
      <c r="K17" s="25"/>
    </row>
    <row r="18" spans="1:11">
      <c r="A18" s="7"/>
      <c r="B18" s="27"/>
      <c r="C18" s="27"/>
      <c r="D18" s="26"/>
      <c r="E18" s="26"/>
      <c r="F18" s="26"/>
      <c r="G18" s="26"/>
      <c r="H18" s="26"/>
      <c r="I18" s="7"/>
      <c r="J18" s="8">
        <f>IF(A18="","",IF(E18&gt;0,"Freezable","Fridge only"))</f>
        <v>0</v>
      </c>
      <c r="K18" s="25"/>
    </row>
    <row r="19" spans="1:11">
      <c r="A19" s="7"/>
      <c r="B19" s="27"/>
      <c r="C19" s="27"/>
      <c r="D19" s="26"/>
      <c r="E19" s="26"/>
      <c r="F19" s="26"/>
      <c r="G19" s="26"/>
      <c r="H19" s="26"/>
      <c r="I19" s="7"/>
      <c r="J19" s="8">
        <f>IF(A19="","",IF(E19&gt;0,"Freezable","Fridge only"))</f>
        <v>0</v>
      </c>
      <c r="K19" s="25"/>
    </row>
    <row r="20" spans="1:11">
      <c r="A20" s="7"/>
      <c r="B20" s="27"/>
      <c r="C20" s="27"/>
      <c r="D20" s="26"/>
      <c r="E20" s="26"/>
      <c r="F20" s="26"/>
      <c r="G20" s="26"/>
      <c r="H20" s="26"/>
      <c r="I20" s="7"/>
      <c r="J20" s="8">
        <f>IF(A20="","",IF(E20&gt;0,"Freezable","Fridge only"))</f>
        <v>0</v>
      </c>
      <c r="K20" s="25"/>
    </row>
    <row r="21" spans="1:11">
      <c r="A21" s="7"/>
      <c r="B21" s="27"/>
      <c r="C21" s="27"/>
      <c r="D21" s="26"/>
      <c r="E21" s="26"/>
      <c r="F21" s="26"/>
      <c r="G21" s="26"/>
      <c r="H21" s="26"/>
      <c r="I21" s="7"/>
      <c r="J21" s="8">
        <f>IF(A21="","",IF(E21&gt;0,"Freezable","Fridge only"))</f>
        <v>0</v>
      </c>
      <c r="K21" s="25"/>
    </row>
    <row r="22" spans="1:11">
      <c r="A22" s="7"/>
      <c r="B22" s="27"/>
      <c r="C22" s="27"/>
      <c r="D22" s="26"/>
      <c r="E22" s="26"/>
      <c r="F22" s="26"/>
      <c r="G22" s="26"/>
      <c r="H22" s="26"/>
      <c r="I22" s="7"/>
      <c r="J22" s="8">
        <f>IF(A22="","",IF(E22&gt;0,"Freezable","Fridge only"))</f>
        <v>0</v>
      </c>
      <c r="K22" s="25"/>
    </row>
    <row r="23" spans="1:11">
      <c r="A23" s="7"/>
      <c r="B23" s="27"/>
      <c r="C23" s="27"/>
      <c r="D23" s="26"/>
      <c r="E23" s="26"/>
      <c r="F23" s="26"/>
      <c r="G23" s="26"/>
      <c r="H23" s="26"/>
      <c r="I23" s="7"/>
      <c r="J23" s="8">
        <f>IF(A23="","",IF(E23&gt;0,"Freezable","Fridge only"))</f>
        <v>0</v>
      </c>
      <c r="K23" s="25"/>
    </row>
    <row r="24" spans="1:11">
      <c r="A24" s="7"/>
      <c r="B24" s="27"/>
      <c r="C24" s="27"/>
      <c r="D24" s="26"/>
      <c r="E24" s="26"/>
      <c r="F24" s="26"/>
      <c r="G24" s="26"/>
      <c r="H24" s="26"/>
      <c r="I24" s="7"/>
      <c r="J24" s="8">
        <f>IF(A24="","",IF(E24&gt;0,"Freezable","Fridge only"))</f>
        <v>0</v>
      </c>
      <c r="K24" s="25"/>
    </row>
    <row r="25" spans="1:11">
      <c r="A25" s="7"/>
      <c r="B25" s="27"/>
      <c r="C25" s="27"/>
      <c r="D25" s="26"/>
      <c r="E25" s="26"/>
      <c r="F25" s="26"/>
      <c r="G25" s="26"/>
      <c r="H25" s="26"/>
      <c r="I25" s="7"/>
      <c r="J25" s="8">
        <f>IF(A25="","",IF(E25&gt;0,"Freezable","Fridge only"))</f>
        <v>0</v>
      </c>
      <c r="K25" s="25"/>
    </row>
    <row r="26" spans="1:11">
      <c r="A26" s="7"/>
      <c r="B26" s="27"/>
      <c r="C26" s="27"/>
      <c r="D26" s="26"/>
      <c r="E26" s="26"/>
      <c r="F26" s="26"/>
      <c r="G26" s="26"/>
      <c r="H26" s="26"/>
      <c r="I26" s="7"/>
      <c r="J26" s="8">
        <f>IF(A26="","",IF(E26&gt;0,"Freezable","Fridge only"))</f>
        <v>0</v>
      </c>
      <c r="K26" s="25"/>
    </row>
    <row r="27" spans="1:11">
      <c r="A27" s="7"/>
      <c r="B27" s="27"/>
      <c r="C27" s="27"/>
      <c r="D27" s="26"/>
      <c r="E27" s="26"/>
      <c r="F27" s="26"/>
      <c r="G27" s="26"/>
      <c r="H27" s="26"/>
      <c r="I27" s="7"/>
      <c r="J27" s="8">
        <f>IF(A27="","",IF(E27&gt;0,"Freezable","Fridge only"))</f>
        <v>0</v>
      </c>
      <c r="K27" s="25"/>
    </row>
    <row r="28" spans="1:11">
      <c r="A28" s="7"/>
      <c r="B28" s="27"/>
      <c r="C28" s="27"/>
      <c r="D28" s="26"/>
      <c r="E28" s="26"/>
      <c r="F28" s="26"/>
      <c r="G28" s="26"/>
      <c r="H28" s="26"/>
      <c r="I28" s="7"/>
      <c r="J28" s="8">
        <f>IF(A28="","",IF(E28&gt;0,"Freezable","Fridge only"))</f>
        <v>0</v>
      </c>
      <c r="K28" s="25"/>
    </row>
    <row r="29" spans="1:11">
      <c r="A29" s="7"/>
      <c r="B29" s="27"/>
      <c r="C29" s="27"/>
      <c r="D29" s="26"/>
      <c r="E29" s="26"/>
      <c r="F29" s="26"/>
      <c r="G29" s="26"/>
      <c r="H29" s="26"/>
      <c r="I29" s="7"/>
      <c r="J29" s="8">
        <f>IF(A29="","",IF(E29&gt;0,"Freezable","Fridge only"))</f>
        <v>0</v>
      </c>
      <c r="K29" s="25"/>
    </row>
    <row r="30" spans="1:11">
      <c r="A30" s="7"/>
      <c r="B30" s="27"/>
      <c r="C30" s="27"/>
      <c r="D30" s="26"/>
      <c r="E30" s="26"/>
      <c r="F30" s="26"/>
      <c r="G30" s="26"/>
      <c r="H30" s="26"/>
      <c r="I30" s="7"/>
      <c r="J30" s="8">
        <f>IF(A30="","",IF(E30&gt;0,"Freezable","Fridge only"))</f>
        <v>0</v>
      </c>
      <c r="K30" s="25"/>
    </row>
    <row r="31" spans="1:11">
      <c r="A31" s="7"/>
      <c r="B31" s="27"/>
      <c r="C31" s="27"/>
      <c r="D31" s="26"/>
      <c r="E31" s="26"/>
      <c r="F31" s="26"/>
      <c r="G31" s="26"/>
      <c r="H31" s="26"/>
      <c r="I31" s="7"/>
      <c r="J31" s="8">
        <f>IF(A31="","",IF(E31&gt;0,"Freezable","Fridge only"))</f>
        <v>0</v>
      </c>
      <c r="K31" s="25"/>
    </row>
    <row r="32" spans="1:11">
      <c r="A32" s="7"/>
      <c r="B32" s="27"/>
      <c r="C32" s="27"/>
      <c r="D32" s="26"/>
      <c r="E32" s="26"/>
      <c r="F32" s="26"/>
      <c r="G32" s="26"/>
      <c r="H32" s="26"/>
      <c r="I32" s="7"/>
      <c r="J32" s="8">
        <f>IF(A32="","",IF(E32&gt;0,"Freezable","Fridge only"))</f>
        <v>0</v>
      </c>
      <c r="K32" s="25"/>
    </row>
    <row r="33" spans="1:11">
      <c r="A33" s="7"/>
      <c r="B33" s="27"/>
      <c r="C33" s="27"/>
      <c r="D33" s="26"/>
      <c r="E33" s="26"/>
      <c r="F33" s="26"/>
      <c r="G33" s="26"/>
      <c r="H33" s="26"/>
      <c r="I33" s="7"/>
      <c r="J33" s="8">
        <f>IF(A33="","",IF(E33&gt;0,"Freezable","Fridge only"))</f>
        <v>0</v>
      </c>
      <c r="K33" s="25"/>
    </row>
    <row r="34" spans="1:11">
      <c r="A34" s="7"/>
      <c r="B34" s="27"/>
      <c r="C34" s="27"/>
      <c r="D34" s="26"/>
      <c r="E34" s="26"/>
      <c r="F34" s="26"/>
      <c r="G34" s="26"/>
      <c r="H34" s="26"/>
      <c r="I34" s="7"/>
      <c r="J34" s="8">
        <f>IF(A34="","",IF(E34&gt;0,"Freezable","Fridge only"))</f>
        <v>0</v>
      </c>
      <c r="K34" s="25"/>
    </row>
    <row r="35" spans="1:11">
      <c r="A35" s="7"/>
      <c r="B35" s="27"/>
      <c r="C35" s="27"/>
      <c r="D35" s="26"/>
      <c r="E35" s="26"/>
      <c r="F35" s="26"/>
      <c r="G35" s="26"/>
      <c r="H35" s="26"/>
      <c r="I35" s="7"/>
      <c r="J35" s="8">
        <f>IF(A35="","",IF(E35&gt;0,"Freezable","Fridge only"))</f>
        <v>0</v>
      </c>
      <c r="K35" s="25"/>
    </row>
    <row r="36" spans="1:11">
      <c r="A36" s="7"/>
      <c r="B36" s="27"/>
      <c r="C36" s="27"/>
      <c r="D36" s="26"/>
      <c r="E36" s="26"/>
      <c r="F36" s="26"/>
      <c r="G36" s="26"/>
      <c r="H36" s="26"/>
      <c r="I36" s="7"/>
      <c r="J36" s="8">
        <f>IF(A36="","",IF(E36&gt;0,"Freezable","Fridge only"))</f>
        <v>0</v>
      </c>
      <c r="K36" s="25"/>
    </row>
    <row r="37" spans="1:11">
      <c r="A37" s="7"/>
      <c r="B37" s="27"/>
      <c r="C37" s="27"/>
      <c r="D37" s="26"/>
      <c r="E37" s="26"/>
      <c r="F37" s="26"/>
      <c r="G37" s="26"/>
      <c r="H37" s="26"/>
      <c r="I37" s="7"/>
      <c r="J37" s="8">
        <f>IF(A37="","",IF(E37&gt;0,"Freezable","Fridge only"))</f>
        <v>0</v>
      </c>
      <c r="K37" s="25"/>
    </row>
    <row r="38" spans="1:11">
      <c r="A38" s="7"/>
      <c r="B38" s="27"/>
      <c r="C38" s="27"/>
      <c r="D38" s="26"/>
      <c r="E38" s="26"/>
      <c r="F38" s="26"/>
      <c r="G38" s="26"/>
      <c r="H38" s="26"/>
      <c r="I38" s="7"/>
      <c r="J38" s="8">
        <f>IF(A38="","",IF(E38&gt;0,"Freezable","Fridge only"))</f>
        <v>0</v>
      </c>
      <c r="K38" s="25"/>
    </row>
    <row r="39" spans="1:11">
      <c r="A39" s="7"/>
      <c r="B39" s="27"/>
      <c r="C39" s="27"/>
      <c r="D39" s="26"/>
      <c r="E39" s="26"/>
      <c r="F39" s="26"/>
      <c r="G39" s="26"/>
      <c r="H39" s="26"/>
      <c r="I39" s="7"/>
      <c r="J39" s="8">
        <f>IF(A39="","",IF(E39&gt;0,"Freezable","Fridge only"))</f>
        <v>0</v>
      </c>
      <c r="K39" s="25"/>
    </row>
    <row r="40" spans="1:11">
      <c r="A40" s="7"/>
      <c r="B40" s="27"/>
      <c r="C40" s="27"/>
      <c r="D40" s="26"/>
      <c r="E40" s="26"/>
      <c r="F40" s="26"/>
      <c r="G40" s="26"/>
      <c r="H40" s="26"/>
      <c r="I40" s="7"/>
      <c r="J40" s="8">
        <f>IF(A40="","",IF(E40&gt;0,"Freezable","Fridge only"))</f>
        <v>0</v>
      </c>
      <c r="K40" s="25"/>
    </row>
    <row r="41" spans="1:11">
      <c r="A41" s="7"/>
      <c r="B41" s="27"/>
      <c r="C41" s="27"/>
      <c r="D41" s="26"/>
      <c r="E41" s="26"/>
      <c r="F41" s="26"/>
      <c r="G41" s="26"/>
      <c r="H41" s="26"/>
      <c r="I41" s="7"/>
      <c r="J41" s="8">
        <f>IF(A41="","",IF(E41&gt;0,"Freezable","Fridge only"))</f>
        <v>0</v>
      </c>
      <c r="K41" s="25"/>
    </row>
    <row r="42" spans="1:11">
      <c r="A42" s="7"/>
      <c r="B42" s="27"/>
      <c r="C42" s="27"/>
      <c r="D42" s="26"/>
      <c r="E42" s="26"/>
      <c r="F42" s="26"/>
      <c r="G42" s="26"/>
      <c r="H42" s="26"/>
      <c r="I42" s="7"/>
      <c r="J42" s="8">
        <f>IF(A42="","",IF(E42&gt;0,"Freezable","Fridge only"))</f>
        <v>0</v>
      </c>
      <c r="K42" s="25"/>
    </row>
    <row r="43" spans="1:11">
      <c r="A43" s="7"/>
      <c r="B43" s="27"/>
      <c r="C43" s="27"/>
      <c r="D43" s="26"/>
      <c r="E43" s="26"/>
      <c r="F43" s="26"/>
      <c r="G43" s="26"/>
      <c r="H43" s="26"/>
      <c r="I43" s="7"/>
      <c r="J43" s="8">
        <f>IF(A43="","",IF(E43&gt;0,"Freezable","Fridge only"))</f>
        <v>0</v>
      </c>
      <c r="K43" s="25"/>
    </row>
    <row r="44" spans="1:11">
      <c r="A44" s="7"/>
      <c r="B44" s="27"/>
      <c r="C44" s="27"/>
      <c r="D44" s="26"/>
      <c r="E44" s="26"/>
      <c r="F44" s="26"/>
      <c r="G44" s="26"/>
      <c r="H44" s="26"/>
      <c r="I44" s="7"/>
      <c r="J44" s="8">
        <f>IF(A44="","",IF(E44&gt;0,"Freezable","Fridge only"))</f>
        <v>0</v>
      </c>
      <c r="K44" s="25"/>
    </row>
    <row r="45" spans="1:11">
      <c r="A45" s="7"/>
      <c r="B45" s="27"/>
      <c r="C45" s="27"/>
      <c r="D45" s="26"/>
      <c r="E45" s="26"/>
      <c r="F45" s="26"/>
      <c r="G45" s="26"/>
      <c r="H45" s="26"/>
      <c r="I45" s="7"/>
      <c r="J45" s="8">
        <f>IF(A45="","",IF(E45&gt;0,"Freezable","Fridge only"))</f>
        <v>0</v>
      </c>
      <c r="K45" s="25"/>
    </row>
    <row r="46" spans="1:11">
      <c r="A46" s="7"/>
      <c r="B46" s="27"/>
      <c r="C46" s="27"/>
      <c r="D46" s="26"/>
      <c r="E46" s="26"/>
      <c r="F46" s="26"/>
      <c r="G46" s="26"/>
      <c r="H46" s="26"/>
      <c r="I46" s="7"/>
      <c r="J46" s="8">
        <f>IF(A46="","",IF(E46&gt;0,"Freezable","Fridge only"))</f>
        <v>0</v>
      </c>
      <c r="K46" s="25"/>
    </row>
    <row r="47" spans="1:11">
      <c r="A47" s="7"/>
      <c r="B47" s="27"/>
      <c r="C47" s="27"/>
      <c r="D47" s="26"/>
      <c r="E47" s="26"/>
      <c r="F47" s="26"/>
      <c r="G47" s="26"/>
      <c r="H47" s="26"/>
      <c r="I47" s="7"/>
      <c r="J47" s="8">
        <f>IF(A47="","",IF(E47&gt;0,"Freezable","Fridge only"))</f>
        <v>0</v>
      </c>
      <c r="K47" s="25"/>
    </row>
    <row r="48" spans="1:11">
      <c r="A48" s="7"/>
      <c r="B48" s="27"/>
      <c r="C48" s="27"/>
      <c r="D48" s="26"/>
      <c r="E48" s="26"/>
      <c r="F48" s="26"/>
      <c r="G48" s="26"/>
      <c r="H48" s="26"/>
      <c r="I48" s="7"/>
      <c r="J48" s="8">
        <f>IF(A48="","",IF(E48&gt;0,"Freezable","Fridge only"))</f>
        <v>0</v>
      </c>
      <c r="K48" s="25"/>
    </row>
    <row r="49" spans="1:11">
      <c r="A49" s="7"/>
      <c r="B49" s="27"/>
      <c r="C49" s="27"/>
      <c r="D49" s="26"/>
      <c r="E49" s="26"/>
      <c r="F49" s="26"/>
      <c r="G49" s="26"/>
      <c r="H49" s="26"/>
      <c r="I49" s="7"/>
      <c r="J49" s="8">
        <f>IF(A49="","",IF(E49&gt;0,"Freezable","Fridge only"))</f>
        <v>0</v>
      </c>
      <c r="K49" s="25"/>
    </row>
    <row r="50" spans="1:11">
      <c r="A50" s="7"/>
      <c r="B50" s="27"/>
      <c r="C50" s="27"/>
      <c r="D50" s="26"/>
      <c r="E50" s="26"/>
      <c r="F50" s="26"/>
      <c r="G50" s="26"/>
      <c r="H50" s="26"/>
      <c r="I50" s="7"/>
      <c r="J50" s="8">
        <f>IF(A50="","",IF(E50&gt;0,"Freezable","Fridge only"))</f>
        <v>0</v>
      </c>
      <c r="K50" s="25"/>
    </row>
    <row r="51" spans="1:11">
      <c r="A51" s="7"/>
      <c r="B51" s="27"/>
      <c r="C51" s="27"/>
      <c r="D51" s="26"/>
      <c r="E51" s="26"/>
      <c r="F51" s="26"/>
      <c r="G51" s="26"/>
      <c r="H51" s="26"/>
      <c r="I51" s="7"/>
      <c r="J51" s="8">
        <f>IF(A51="","",IF(E51&gt;0,"Freezable","Fridge only"))</f>
        <v>0</v>
      </c>
      <c r="K51" s="25"/>
    </row>
    <row r="52" spans="1:11">
      <c r="A52" s="7"/>
      <c r="B52" s="27"/>
      <c r="C52" s="27"/>
      <c r="D52" s="26"/>
      <c r="E52" s="26"/>
      <c r="F52" s="26"/>
      <c r="G52" s="26"/>
      <c r="H52" s="26"/>
      <c r="I52" s="7"/>
      <c r="J52" s="8">
        <f>IF(A52="","",IF(E52&gt;0,"Freezable","Fridge only"))</f>
        <v>0</v>
      </c>
      <c r="K52" s="25"/>
    </row>
    <row r="53" spans="1:11">
      <c r="A53" s="7"/>
      <c r="B53" s="27"/>
      <c r="C53" s="27"/>
      <c r="D53" s="26"/>
      <c r="E53" s="26"/>
      <c r="F53" s="26"/>
      <c r="G53" s="26"/>
      <c r="H53" s="26"/>
      <c r="I53" s="7"/>
      <c r="J53" s="8">
        <f>IF(A53="","",IF(E53&gt;0,"Freezable","Fridge only"))</f>
        <v>0</v>
      </c>
      <c r="K53" s="25"/>
    </row>
    <row r="54" spans="1:11">
      <c r="A54" s="7"/>
      <c r="B54" s="27"/>
      <c r="C54" s="27"/>
      <c r="D54" s="26"/>
      <c r="E54" s="26"/>
      <c r="F54" s="26"/>
      <c r="G54" s="26"/>
      <c r="H54" s="26"/>
      <c r="I54" s="7"/>
      <c r="J54" s="8">
        <f>IF(A54="","",IF(E54&gt;0,"Freezable","Fridge only"))</f>
        <v>0</v>
      </c>
      <c r="K54" s="25"/>
    </row>
    <row r="55" spans="1:11">
      <c r="A55" s="7"/>
      <c r="B55" s="27"/>
      <c r="C55" s="27"/>
      <c r="D55" s="26"/>
      <c r="E55" s="26"/>
      <c r="F55" s="26"/>
      <c r="G55" s="26"/>
      <c r="H55" s="26"/>
      <c r="I55" s="7"/>
      <c r="J55" s="8">
        <f>IF(A55="","",IF(E55&gt;0,"Freezable","Fridge only"))</f>
        <v>0</v>
      </c>
      <c r="K55" s="25"/>
    </row>
    <row r="56" spans="1:11">
      <c r="A56" s="7"/>
      <c r="B56" s="27"/>
      <c r="C56" s="27"/>
      <c r="D56" s="26"/>
      <c r="E56" s="26"/>
      <c r="F56" s="26"/>
      <c r="G56" s="26"/>
      <c r="H56" s="26"/>
      <c r="I56" s="7"/>
      <c r="J56" s="8">
        <f>IF(A56="","",IF(E56&gt;0,"Freezable","Fridge only"))</f>
        <v>0</v>
      </c>
      <c r="K56" s="25"/>
    </row>
    <row r="57" spans="1:11">
      <c r="A57" s="7"/>
      <c r="B57" s="27"/>
      <c r="C57" s="27"/>
      <c r="D57" s="26"/>
      <c r="E57" s="26"/>
      <c r="F57" s="26"/>
      <c r="G57" s="26"/>
      <c r="H57" s="26"/>
      <c r="I57" s="7"/>
      <c r="J57" s="8">
        <f>IF(A57="","",IF(E57&gt;0,"Freezable","Fridge only"))</f>
        <v>0</v>
      </c>
      <c r="K57" s="25"/>
    </row>
    <row r="58" spans="1:11">
      <c r="A58" s="7"/>
      <c r="B58" s="27"/>
      <c r="C58" s="27"/>
      <c r="D58" s="26"/>
      <c r="E58" s="26"/>
      <c r="F58" s="26"/>
      <c r="G58" s="26"/>
      <c r="H58" s="26"/>
      <c r="I58" s="7"/>
      <c r="J58" s="8">
        <f>IF(A58="","",IF(E58&gt;0,"Freezable","Fridge only"))</f>
        <v>0</v>
      </c>
      <c r="K58" s="25"/>
    </row>
    <row r="59" spans="1:11">
      <c r="A59" s="7"/>
      <c r="B59" s="27"/>
      <c r="C59" s="27"/>
      <c r="D59" s="26"/>
      <c r="E59" s="26"/>
      <c r="F59" s="26"/>
      <c r="G59" s="26"/>
      <c r="H59" s="26"/>
      <c r="I59" s="7"/>
      <c r="J59" s="8">
        <f>IF(A59="","",IF(E59&gt;0,"Freezable","Fridge only"))</f>
        <v>0</v>
      </c>
      <c r="K59" s="25"/>
    </row>
    <row r="60" spans="1:11">
      <c r="A60" s="7"/>
      <c r="B60" s="27"/>
      <c r="C60" s="27"/>
      <c r="D60" s="26"/>
      <c r="E60" s="26"/>
      <c r="F60" s="26"/>
      <c r="G60" s="26"/>
      <c r="H60" s="26"/>
      <c r="I60" s="7"/>
      <c r="J60" s="8">
        <f>IF(A60="","",IF(E60&gt;0,"Freezable","Fridge only"))</f>
        <v>0</v>
      </c>
      <c r="K60" s="25"/>
    </row>
    <row r="61" spans="1:11">
      <c r="A61" s="7"/>
      <c r="B61" s="27"/>
      <c r="C61" s="27"/>
      <c r="D61" s="26"/>
      <c r="E61" s="26"/>
      <c r="F61" s="26"/>
      <c r="G61" s="26"/>
      <c r="H61" s="26"/>
      <c r="I61" s="7"/>
      <c r="J61" s="8">
        <f>IF(A61="","",IF(E61&gt;0,"Freezable","Fridge only"))</f>
        <v>0</v>
      </c>
      <c r="K61" s="25"/>
    </row>
    <row r="62" spans="1:11">
      <c r="A62" s="7"/>
      <c r="B62" s="27"/>
      <c r="C62" s="27"/>
      <c r="D62" s="26"/>
      <c r="E62" s="26"/>
      <c r="F62" s="26"/>
      <c r="G62" s="26"/>
      <c r="H62" s="26"/>
      <c r="I62" s="7"/>
      <c r="J62" s="8">
        <f>IF(A62="","",IF(E62&gt;0,"Freezable","Fridge only"))</f>
        <v>0</v>
      </c>
      <c r="K62" s="25"/>
    </row>
    <row r="63" spans="1:11">
      <c r="A63" s="7"/>
      <c r="B63" s="27"/>
      <c r="C63" s="27"/>
      <c r="D63" s="26"/>
      <c r="E63" s="26"/>
      <c r="F63" s="26"/>
      <c r="G63" s="26"/>
      <c r="H63" s="26"/>
      <c r="I63" s="7"/>
      <c r="J63" s="8">
        <f>IF(A63="","",IF(E63&gt;0,"Freezable","Fridge only"))</f>
        <v>0</v>
      </c>
      <c r="K63" s="25"/>
    </row>
    <row r="64" spans="1:11">
      <c r="A64" s="7"/>
      <c r="B64" s="27"/>
      <c r="C64" s="27"/>
      <c r="D64" s="26"/>
      <c r="E64" s="26"/>
      <c r="F64" s="26"/>
      <c r="G64" s="26"/>
      <c r="H64" s="26"/>
      <c r="I64" s="7"/>
      <c r="J64" s="8">
        <f>IF(A64="","",IF(E64&gt;0,"Freezable","Fridge only"))</f>
        <v>0</v>
      </c>
      <c r="K64" s="25"/>
    </row>
  </sheetData>
  <sheetProtection password="EC7C" sheet="1" objects="1" scenarios="1" selectLockedCells="1" selectUnlockedCells="1"/>
  <autoFilter ref="A4:K64"/>
  <conditionalFormatting sqref="A11:K11">
    <cfRule type="expression" dxfId="0" priority="4">
      <formula>MOD(ROW(),2)=0</formula>
    </cfRule>
  </conditionalFormatting>
  <conditionalFormatting sqref="A13:K13">
    <cfRule type="expression" dxfId="0" priority="5">
      <formula>MOD(ROW(),2)=0</formula>
    </cfRule>
  </conditionalFormatting>
  <conditionalFormatting sqref="A15:K15">
    <cfRule type="expression" dxfId="0" priority="6">
      <formula>MOD(ROW(),2)=0</formula>
    </cfRule>
  </conditionalFormatting>
  <conditionalFormatting sqref="A17:K17">
    <cfRule type="expression" dxfId="0" priority="7">
      <formula>MOD(ROW(),2)=0</formula>
    </cfRule>
  </conditionalFormatting>
  <conditionalFormatting sqref="A19:K19">
    <cfRule type="expression" dxfId="0" priority="8">
      <formula>MOD(ROW(),2)=0</formula>
    </cfRule>
  </conditionalFormatting>
  <conditionalFormatting sqref="A21:K21">
    <cfRule type="expression" dxfId="0" priority="9">
      <formula>MOD(ROW(),2)=0</formula>
    </cfRule>
  </conditionalFormatting>
  <conditionalFormatting sqref="A23:K23">
    <cfRule type="expression" dxfId="0" priority="10">
      <formula>MOD(ROW(),2)=0</formula>
    </cfRule>
  </conditionalFormatting>
  <conditionalFormatting sqref="A25:K25">
    <cfRule type="expression" dxfId="0" priority="11">
      <formula>MOD(ROW(),2)=0</formula>
    </cfRule>
  </conditionalFormatting>
  <conditionalFormatting sqref="A27:K27">
    <cfRule type="expression" dxfId="0" priority="12">
      <formula>MOD(ROW(),2)=0</formula>
    </cfRule>
  </conditionalFormatting>
  <conditionalFormatting sqref="A29:K29">
    <cfRule type="expression" dxfId="0" priority="13">
      <formula>MOD(ROW(),2)=0</formula>
    </cfRule>
  </conditionalFormatting>
  <conditionalFormatting sqref="A31:K31">
    <cfRule type="expression" dxfId="0" priority="14">
      <formula>MOD(ROW(),2)=0</formula>
    </cfRule>
  </conditionalFormatting>
  <conditionalFormatting sqref="A33:K33">
    <cfRule type="expression" dxfId="0" priority="15">
      <formula>MOD(ROW(),2)=0</formula>
    </cfRule>
  </conditionalFormatting>
  <conditionalFormatting sqref="A35:K35">
    <cfRule type="expression" dxfId="0" priority="16">
      <formula>MOD(ROW(),2)=0</formula>
    </cfRule>
  </conditionalFormatting>
  <conditionalFormatting sqref="A37:K37">
    <cfRule type="expression" dxfId="0" priority="17">
      <formula>MOD(ROW(),2)=0</formula>
    </cfRule>
  </conditionalFormatting>
  <conditionalFormatting sqref="A39:K39">
    <cfRule type="expression" dxfId="0" priority="18">
      <formula>MOD(ROW(),2)=0</formula>
    </cfRule>
  </conditionalFormatting>
  <conditionalFormatting sqref="A41:K41">
    <cfRule type="expression" dxfId="0" priority="19">
      <formula>MOD(ROW(),2)=0</formula>
    </cfRule>
  </conditionalFormatting>
  <conditionalFormatting sqref="A43:K43">
    <cfRule type="expression" dxfId="0" priority="20">
      <formula>MOD(ROW(),2)=0</formula>
    </cfRule>
  </conditionalFormatting>
  <conditionalFormatting sqref="A45:K45">
    <cfRule type="expression" dxfId="0" priority="21">
      <formula>MOD(ROW(),2)=0</formula>
    </cfRule>
  </conditionalFormatting>
  <conditionalFormatting sqref="A47:K47">
    <cfRule type="expression" dxfId="0" priority="22">
      <formula>MOD(ROW(),2)=0</formula>
    </cfRule>
  </conditionalFormatting>
  <conditionalFormatting sqref="A49:K49">
    <cfRule type="expression" dxfId="0" priority="23">
      <formula>MOD(ROW(),2)=0</formula>
    </cfRule>
  </conditionalFormatting>
  <conditionalFormatting sqref="A51:K51">
    <cfRule type="expression" dxfId="0" priority="24">
      <formula>MOD(ROW(),2)=0</formula>
    </cfRule>
  </conditionalFormatting>
  <conditionalFormatting sqref="A53:K53">
    <cfRule type="expression" dxfId="0" priority="25">
      <formula>MOD(ROW(),2)=0</formula>
    </cfRule>
  </conditionalFormatting>
  <conditionalFormatting sqref="A55:K55">
    <cfRule type="expression" dxfId="0" priority="26">
      <formula>MOD(ROW(),2)=0</formula>
    </cfRule>
  </conditionalFormatting>
  <conditionalFormatting sqref="A57:K57">
    <cfRule type="expression" dxfId="0" priority="27">
      <formula>MOD(ROW(),2)=0</formula>
    </cfRule>
  </conditionalFormatting>
  <conditionalFormatting sqref="A59:K59">
    <cfRule type="expression" dxfId="0" priority="28">
      <formula>MOD(ROW(),2)=0</formula>
    </cfRule>
  </conditionalFormatting>
  <conditionalFormatting sqref="A5:K5">
    <cfRule type="expression" dxfId="0" priority="1">
      <formula>MOD(ROW(),2)=0</formula>
    </cfRule>
  </conditionalFormatting>
  <conditionalFormatting sqref="A61:K61">
    <cfRule type="expression" dxfId="0" priority="29">
      <formula>MOD(ROW(),2)=0</formula>
    </cfRule>
  </conditionalFormatting>
  <conditionalFormatting sqref="A63:K63">
    <cfRule type="expression" dxfId="0" priority="30">
      <formula>MOD(ROW(),2)=0</formula>
    </cfRule>
  </conditionalFormatting>
  <conditionalFormatting sqref="A7:K7">
    <cfRule type="expression" dxfId="0" priority="2">
      <formula>MOD(ROW(),2)=0</formula>
    </cfRule>
  </conditionalFormatting>
  <conditionalFormatting sqref="A9:K9">
    <cfRule type="expression" dxfId="0" priority="3">
      <formula>MOD(ROW(),2)=0</formula>
    </cfRule>
  </conditionalFormatting>
  <dataValidations count="420">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Spreadsheet&amp;R&amp;"Calibri,Italic"Food Safety</oddHeader>
    <oddFooter>&amp;LPage &amp;P of &amp;N&amp;R&amp;D</oddFooter>
  </headerFooter>
</worksheet>
</file>

<file path=xl/worksheets/sheet25.xml><?xml version="1.0" encoding="utf-8"?>
<worksheet xmlns="http://schemas.openxmlformats.org/spreadsheetml/2006/main" xmlns:r="http://schemas.openxmlformats.org/officeDocument/2006/relationships">
  <sheetPr>
    <tabColor rgb="FF4E8A63"/>
    <pageSetUpPr fitToPage="1"/>
  </sheetPr>
  <dimension ref="A4:Q15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customWidth="1"/>
    <col min="2" max="3" width="26.7109375" customWidth="1"/>
    <col min="4" max="4" width="9.7109375" customWidth="1"/>
    <col min="5" max="5" width="10.7109375" customWidth="1"/>
    <col min="6" max="7" width="12.7109375" customWidth="1"/>
    <col min="8" max="8" width="10.7109375" customWidth="1"/>
    <col min="9" max="9" width="14.7109375" customWidth="1"/>
    <col min="10" max="10" width="11.7109375" customWidth="1"/>
    <col min="11" max="11" width="10.7109375" customWidth="1"/>
    <col min="12" max="12" width="11.7109375" customWidth="1"/>
    <col min="13" max="13" width="16.7109375" customWidth="1"/>
    <col min="14" max="14" width="11.7109375" customWidth="1"/>
    <col min="15" max="15" width="12.7109375" customWidth="1"/>
    <col min="16" max="16" width="9.7109375" customWidth="1"/>
    <col min="17" max="17" width="30.7109375" customWidth="1"/>
  </cols>
  <sheetData>
    <row r="4" spans="1:17" ht="32" customHeight="1">
      <c r="A4" s="9" t="s">
        <v>417</v>
      </c>
      <c r="B4" s="9" t="s">
        <v>418</v>
      </c>
      <c r="C4" s="9" t="s">
        <v>398</v>
      </c>
      <c r="D4" s="9" t="s">
        <v>419</v>
      </c>
      <c r="E4" s="9" t="s">
        <v>150</v>
      </c>
      <c r="F4" s="9" t="s">
        <v>374</v>
      </c>
      <c r="G4" s="9" t="s">
        <v>400</v>
      </c>
      <c r="H4" s="9" t="s">
        <v>148</v>
      </c>
      <c r="I4" s="9" t="s">
        <v>135</v>
      </c>
      <c r="J4" s="9" t="s">
        <v>195</v>
      </c>
      <c r="K4" s="9" t="s">
        <v>404</v>
      </c>
      <c r="L4" s="9" t="s">
        <v>405</v>
      </c>
      <c r="M4" s="9" t="s">
        <v>427</v>
      </c>
      <c r="N4" s="9" t="s">
        <v>428</v>
      </c>
      <c r="O4" s="9" t="s">
        <v>561</v>
      </c>
      <c r="P4" s="9" t="s">
        <v>562</v>
      </c>
      <c r="Q4" s="9" t="s">
        <v>173</v>
      </c>
    </row>
    <row r="5" spans="1:17">
      <c r="A5" s="7"/>
      <c r="B5" s="7"/>
      <c r="C5" s="27"/>
      <c r="D5" s="26"/>
      <c r="E5" s="27"/>
      <c r="F5" s="30"/>
      <c r="G5" s="8">
        <f>IF(OR(A5="",F5=""),"",IF(E5="Freezer",F5+Freezer_Review_Days,F5+Leftover_Safe_Days))</f>
        <v>0</v>
      </c>
      <c r="H5" s="8">
        <f>IF(OR(A5="",G5=""),"",G5-TODAY())</f>
        <v>0</v>
      </c>
      <c r="I5" s="8">
        <f>IF(A5="","",IF(P5="Yes","Eaten",IF(H5="","",IF(H5&lt;0,"Past its best",IF(H5&lt;=1,"Eat today",IF(H5&lt;=3,"Eat this week","Keep"))))))</f>
        <v>0</v>
      </c>
      <c r="J5" s="8">
        <f>IF(OR(A5="",D5=""),"",IFERROR(D5*IFERROR(INDEX(Recipes!$Q$5:$Q$204,MATCH(C5,Recipes!$A$5:$A$204,0)),""),""))</f>
        <v>0</v>
      </c>
      <c r="K5" s="8">
        <f>IF(OR(E5&lt;&gt;"Fridge",H5=""),"",COUNTIFS($E$5:$E$154,"Fridge",$H$5:$H$154,"&lt;"&amp;H5)+1)</f>
        <v>0</v>
      </c>
      <c r="L5" s="8">
        <f>IF(OR(E5&lt;&gt;"Freezer",H5=""),"",COUNTIFS($E$5:$E$154,"Freezer",$H$5:$H$154,"&lt;"&amp;H5)+1)</f>
        <v>0</v>
      </c>
      <c r="M5" s="7"/>
      <c r="N5" s="26"/>
      <c r="O5" s="8">
        <f>IF(OR(A5="",G5=""),"",G5-1)</f>
        <v>0</v>
      </c>
      <c r="P5" s="27"/>
      <c r="Q5" s="25"/>
    </row>
    <row r="6" spans="1:17">
      <c r="A6" s="7"/>
      <c r="B6" s="7"/>
      <c r="C6" s="27"/>
      <c r="D6" s="26"/>
      <c r="E6" s="27"/>
      <c r="F6" s="30"/>
      <c r="G6" s="8">
        <f>IF(OR(A6="",F6=""),"",IF(E6="Freezer",F6+Freezer_Review_Days,F6+Leftover_Safe_Days))</f>
        <v>0</v>
      </c>
      <c r="H6" s="8">
        <f>IF(OR(A6="",G6=""),"",G6-TODAY())</f>
        <v>0</v>
      </c>
      <c r="I6" s="8">
        <f>IF(A6="","",IF(P6="Yes","Eaten",IF(H6="","",IF(H6&lt;0,"Past its best",IF(H6&lt;=1,"Eat today",IF(H6&lt;=3,"Eat this week","Keep"))))))</f>
        <v>0</v>
      </c>
      <c r="J6" s="8">
        <f>IF(OR(A6="",D6=""),"",IFERROR(D6*IFERROR(INDEX(Recipes!$Q$5:$Q$204,MATCH(C6,Recipes!$A$5:$A$204,0)),""),""))</f>
        <v>0</v>
      </c>
      <c r="K6" s="8">
        <f>IF(OR(E6&lt;&gt;"Fridge",H6=""),"",COUNTIFS($E$5:$E$154,"Fridge",$H$5:$H$154,"&lt;"&amp;H6)+1)</f>
        <v>0</v>
      </c>
      <c r="L6" s="8">
        <f>IF(OR(E6&lt;&gt;"Freezer",H6=""),"",COUNTIFS($E$5:$E$154,"Freezer",$H$5:$H$154,"&lt;"&amp;H6)+1)</f>
        <v>0</v>
      </c>
      <c r="M6" s="7"/>
      <c r="N6" s="26"/>
      <c r="O6" s="8">
        <f>IF(OR(A6="",G6=""),"",G6-1)</f>
        <v>0</v>
      </c>
      <c r="P6" s="27"/>
      <c r="Q6" s="25"/>
    </row>
    <row r="7" spans="1:17">
      <c r="A7" s="7"/>
      <c r="B7" s="7"/>
      <c r="C7" s="27"/>
      <c r="D7" s="26"/>
      <c r="E7" s="27"/>
      <c r="F7" s="30"/>
      <c r="G7" s="8">
        <f>IF(OR(A7="",F7=""),"",IF(E7="Freezer",F7+Freezer_Review_Days,F7+Leftover_Safe_Days))</f>
        <v>0</v>
      </c>
      <c r="H7" s="8">
        <f>IF(OR(A7="",G7=""),"",G7-TODAY())</f>
        <v>0</v>
      </c>
      <c r="I7" s="8">
        <f>IF(A7="","",IF(P7="Yes","Eaten",IF(H7="","",IF(H7&lt;0,"Past its best",IF(H7&lt;=1,"Eat today",IF(H7&lt;=3,"Eat this week","Keep"))))))</f>
        <v>0</v>
      </c>
      <c r="J7" s="8">
        <f>IF(OR(A7="",D7=""),"",IFERROR(D7*IFERROR(INDEX(Recipes!$Q$5:$Q$204,MATCH(C7,Recipes!$A$5:$A$204,0)),""),""))</f>
        <v>0</v>
      </c>
      <c r="K7" s="8">
        <f>IF(OR(E7&lt;&gt;"Fridge",H7=""),"",COUNTIFS($E$5:$E$154,"Fridge",$H$5:$H$154,"&lt;"&amp;H7)+1)</f>
        <v>0</v>
      </c>
      <c r="L7" s="8">
        <f>IF(OR(E7&lt;&gt;"Freezer",H7=""),"",COUNTIFS($E$5:$E$154,"Freezer",$H$5:$H$154,"&lt;"&amp;H7)+1)</f>
        <v>0</v>
      </c>
      <c r="M7" s="7"/>
      <c r="N7" s="26"/>
      <c r="O7" s="8">
        <f>IF(OR(A7="",G7=""),"",G7-1)</f>
        <v>0</v>
      </c>
      <c r="P7" s="27"/>
      <c r="Q7" s="25"/>
    </row>
    <row r="8" spans="1:17">
      <c r="A8" s="7"/>
      <c r="B8" s="7"/>
      <c r="C8" s="27"/>
      <c r="D8" s="26"/>
      <c r="E8" s="27"/>
      <c r="F8" s="30"/>
      <c r="G8" s="8">
        <f>IF(OR(A8="",F8=""),"",IF(E8="Freezer",F8+Freezer_Review_Days,F8+Leftover_Safe_Days))</f>
        <v>0</v>
      </c>
      <c r="H8" s="8">
        <f>IF(OR(A8="",G8=""),"",G8-TODAY())</f>
        <v>0</v>
      </c>
      <c r="I8" s="8">
        <f>IF(A8="","",IF(P8="Yes","Eaten",IF(H8="","",IF(H8&lt;0,"Past its best",IF(H8&lt;=1,"Eat today",IF(H8&lt;=3,"Eat this week","Keep"))))))</f>
        <v>0</v>
      </c>
      <c r="J8" s="8">
        <f>IF(OR(A8="",D8=""),"",IFERROR(D8*IFERROR(INDEX(Recipes!$Q$5:$Q$204,MATCH(C8,Recipes!$A$5:$A$204,0)),""),""))</f>
        <v>0</v>
      </c>
      <c r="K8" s="8">
        <f>IF(OR(E8&lt;&gt;"Fridge",H8=""),"",COUNTIFS($E$5:$E$154,"Fridge",$H$5:$H$154,"&lt;"&amp;H8)+1)</f>
        <v>0</v>
      </c>
      <c r="L8" s="8">
        <f>IF(OR(E8&lt;&gt;"Freezer",H8=""),"",COUNTIFS($E$5:$E$154,"Freezer",$H$5:$H$154,"&lt;"&amp;H8)+1)</f>
        <v>0</v>
      </c>
      <c r="M8" s="7"/>
      <c r="N8" s="26"/>
      <c r="O8" s="8">
        <f>IF(OR(A8="",G8=""),"",G8-1)</f>
        <v>0</v>
      </c>
      <c r="P8" s="27"/>
      <c r="Q8" s="25"/>
    </row>
    <row r="9" spans="1:17">
      <c r="A9" s="7"/>
      <c r="B9" s="7"/>
      <c r="C9" s="27"/>
      <c r="D9" s="26"/>
      <c r="E9" s="27"/>
      <c r="F9" s="30"/>
      <c r="G9" s="8">
        <f>IF(OR(A9="",F9=""),"",IF(E9="Freezer",F9+Freezer_Review_Days,F9+Leftover_Safe_Days))</f>
        <v>0</v>
      </c>
      <c r="H9" s="8">
        <f>IF(OR(A9="",G9=""),"",G9-TODAY())</f>
        <v>0</v>
      </c>
      <c r="I9" s="8">
        <f>IF(A9="","",IF(P9="Yes","Eaten",IF(H9="","",IF(H9&lt;0,"Past its best",IF(H9&lt;=1,"Eat today",IF(H9&lt;=3,"Eat this week","Keep"))))))</f>
        <v>0</v>
      </c>
      <c r="J9" s="8">
        <f>IF(OR(A9="",D9=""),"",IFERROR(D9*IFERROR(INDEX(Recipes!$Q$5:$Q$204,MATCH(C9,Recipes!$A$5:$A$204,0)),""),""))</f>
        <v>0</v>
      </c>
      <c r="K9" s="8">
        <f>IF(OR(E9&lt;&gt;"Fridge",H9=""),"",COUNTIFS($E$5:$E$154,"Fridge",$H$5:$H$154,"&lt;"&amp;H9)+1)</f>
        <v>0</v>
      </c>
      <c r="L9" s="8">
        <f>IF(OR(E9&lt;&gt;"Freezer",H9=""),"",COUNTIFS($E$5:$E$154,"Freezer",$H$5:$H$154,"&lt;"&amp;H9)+1)</f>
        <v>0</v>
      </c>
      <c r="M9" s="7"/>
      <c r="N9" s="26"/>
      <c r="O9" s="8">
        <f>IF(OR(A9="",G9=""),"",G9-1)</f>
        <v>0</v>
      </c>
      <c r="P9" s="27"/>
      <c r="Q9" s="25"/>
    </row>
    <row r="10" spans="1:17">
      <c r="A10" s="7"/>
      <c r="B10" s="7"/>
      <c r="C10" s="27"/>
      <c r="D10" s="26"/>
      <c r="E10" s="27"/>
      <c r="F10" s="30"/>
      <c r="G10" s="8">
        <f>IF(OR(A10="",F10=""),"",IF(E10="Freezer",F10+Freezer_Review_Days,F10+Leftover_Safe_Days))</f>
        <v>0</v>
      </c>
      <c r="H10" s="8">
        <f>IF(OR(A10="",G10=""),"",G10-TODAY())</f>
        <v>0</v>
      </c>
      <c r="I10" s="8">
        <f>IF(A10="","",IF(P10="Yes","Eaten",IF(H10="","",IF(H10&lt;0,"Past its best",IF(H10&lt;=1,"Eat today",IF(H10&lt;=3,"Eat this week","Keep"))))))</f>
        <v>0</v>
      </c>
      <c r="J10" s="8">
        <f>IF(OR(A10="",D10=""),"",IFERROR(D10*IFERROR(INDEX(Recipes!$Q$5:$Q$204,MATCH(C10,Recipes!$A$5:$A$204,0)),""),""))</f>
        <v>0</v>
      </c>
      <c r="K10" s="8">
        <f>IF(OR(E10&lt;&gt;"Fridge",H10=""),"",COUNTIFS($E$5:$E$154,"Fridge",$H$5:$H$154,"&lt;"&amp;H10)+1)</f>
        <v>0</v>
      </c>
      <c r="L10" s="8">
        <f>IF(OR(E10&lt;&gt;"Freezer",H10=""),"",COUNTIFS($E$5:$E$154,"Freezer",$H$5:$H$154,"&lt;"&amp;H10)+1)</f>
        <v>0</v>
      </c>
      <c r="M10" s="7"/>
      <c r="N10" s="26"/>
      <c r="O10" s="8">
        <f>IF(OR(A10="",G10=""),"",G10-1)</f>
        <v>0</v>
      </c>
      <c r="P10" s="27"/>
      <c r="Q10" s="25"/>
    </row>
    <row r="11" spans="1:17">
      <c r="A11" s="7"/>
      <c r="B11" s="7"/>
      <c r="C11" s="27"/>
      <c r="D11" s="26"/>
      <c r="E11" s="27"/>
      <c r="F11" s="30"/>
      <c r="G11" s="8">
        <f>IF(OR(A11="",F11=""),"",IF(E11="Freezer",F11+Freezer_Review_Days,F11+Leftover_Safe_Days))</f>
        <v>0</v>
      </c>
      <c r="H11" s="8">
        <f>IF(OR(A11="",G11=""),"",G11-TODAY())</f>
        <v>0</v>
      </c>
      <c r="I11" s="8">
        <f>IF(A11="","",IF(P11="Yes","Eaten",IF(H11="","",IF(H11&lt;0,"Past its best",IF(H11&lt;=1,"Eat today",IF(H11&lt;=3,"Eat this week","Keep"))))))</f>
        <v>0</v>
      </c>
      <c r="J11" s="8">
        <f>IF(OR(A11="",D11=""),"",IFERROR(D11*IFERROR(INDEX(Recipes!$Q$5:$Q$204,MATCH(C11,Recipes!$A$5:$A$204,0)),""),""))</f>
        <v>0</v>
      </c>
      <c r="K11" s="8">
        <f>IF(OR(E11&lt;&gt;"Fridge",H11=""),"",COUNTIFS($E$5:$E$154,"Fridge",$H$5:$H$154,"&lt;"&amp;H11)+1)</f>
        <v>0</v>
      </c>
      <c r="L11" s="8">
        <f>IF(OR(E11&lt;&gt;"Freezer",H11=""),"",COUNTIFS($E$5:$E$154,"Freezer",$H$5:$H$154,"&lt;"&amp;H11)+1)</f>
        <v>0</v>
      </c>
      <c r="M11" s="7"/>
      <c r="N11" s="26"/>
      <c r="O11" s="8">
        <f>IF(OR(A11="",G11=""),"",G11-1)</f>
        <v>0</v>
      </c>
      <c r="P11" s="27"/>
      <c r="Q11" s="25"/>
    </row>
    <row r="12" spans="1:17">
      <c r="A12" s="7"/>
      <c r="B12" s="7"/>
      <c r="C12" s="27"/>
      <c r="D12" s="26"/>
      <c r="E12" s="27"/>
      <c r="F12" s="30"/>
      <c r="G12" s="8">
        <f>IF(OR(A12="",F12=""),"",IF(E12="Freezer",F12+Freezer_Review_Days,F12+Leftover_Safe_Days))</f>
        <v>0</v>
      </c>
      <c r="H12" s="8">
        <f>IF(OR(A12="",G12=""),"",G12-TODAY())</f>
        <v>0</v>
      </c>
      <c r="I12" s="8">
        <f>IF(A12="","",IF(P12="Yes","Eaten",IF(H12="","",IF(H12&lt;0,"Past its best",IF(H12&lt;=1,"Eat today",IF(H12&lt;=3,"Eat this week","Keep"))))))</f>
        <v>0</v>
      </c>
      <c r="J12" s="8">
        <f>IF(OR(A12="",D12=""),"",IFERROR(D12*IFERROR(INDEX(Recipes!$Q$5:$Q$204,MATCH(C12,Recipes!$A$5:$A$204,0)),""),""))</f>
        <v>0</v>
      </c>
      <c r="K12" s="8">
        <f>IF(OR(E12&lt;&gt;"Fridge",H12=""),"",COUNTIFS($E$5:$E$154,"Fridge",$H$5:$H$154,"&lt;"&amp;H12)+1)</f>
        <v>0</v>
      </c>
      <c r="L12" s="8">
        <f>IF(OR(E12&lt;&gt;"Freezer",H12=""),"",COUNTIFS($E$5:$E$154,"Freezer",$H$5:$H$154,"&lt;"&amp;H12)+1)</f>
        <v>0</v>
      </c>
      <c r="M12" s="7"/>
      <c r="N12" s="26"/>
      <c r="O12" s="8">
        <f>IF(OR(A12="",G12=""),"",G12-1)</f>
        <v>0</v>
      </c>
      <c r="P12" s="27"/>
      <c r="Q12" s="25"/>
    </row>
    <row r="13" spans="1:17">
      <c r="A13" s="7"/>
      <c r="B13" s="7"/>
      <c r="C13" s="27"/>
      <c r="D13" s="26"/>
      <c r="E13" s="27"/>
      <c r="F13" s="30"/>
      <c r="G13" s="8">
        <f>IF(OR(A13="",F13=""),"",IF(E13="Freezer",F13+Freezer_Review_Days,F13+Leftover_Safe_Days))</f>
        <v>0</v>
      </c>
      <c r="H13" s="8">
        <f>IF(OR(A13="",G13=""),"",G13-TODAY())</f>
        <v>0</v>
      </c>
      <c r="I13" s="8">
        <f>IF(A13="","",IF(P13="Yes","Eaten",IF(H13="","",IF(H13&lt;0,"Past its best",IF(H13&lt;=1,"Eat today",IF(H13&lt;=3,"Eat this week","Keep"))))))</f>
        <v>0</v>
      </c>
      <c r="J13" s="8">
        <f>IF(OR(A13="",D13=""),"",IFERROR(D13*IFERROR(INDEX(Recipes!$Q$5:$Q$204,MATCH(C13,Recipes!$A$5:$A$204,0)),""),""))</f>
        <v>0</v>
      </c>
      <c r="K13" s="8">
        <f>IF(OR(E13&lt;&gt;"Fridge",H13=""),"",COUNTIFS($E$5:$E$154,"Fridge",$H$5:$H$154,"&lt;"&amp;H13)+1)</f>
        <v>0</v>
      </c>
      <c r="L13" s="8">
        <f>IF(OR(E13&lt;&gt;"Freezer",H13=""),"",COUNTIFS($E$5:$E$154,"Freezer",$H$5:$H$154,"&lt;"&amp;H13)+1)</f>
        <v>0</v>
      </c>
      <c r="M13" s="7"/>
      <c r="N13" s="26"/>
      <c r="O13" s="8">
        <f>IF(OR(A13="",G13=""),"",G13-1)</f>
        <v>0</v>
      </c>
      <c r="P13" s="27"/>
      <c r="Q13" s="25"/>
    </row>
    <row r="14" spans="1:17">
      <c r="A14" s="7"/>
      <c r="B14" s="7"/>
      <c r="C14" s="27"/>
      <c r="D14" s="26"/>
      <c r="E14" s="27"/>
      <c r="F14" s="30"/>
      <c r="G14" s="8">
        <f>IF(OR(A14="",F14=""),"",IF(E14="Freezer",F14+Freezer_Review_Days,F14+Leftover_Safe_Days))</f>
        <v>0</v>
      </c>
      <c r="H14" s="8">
        <f>IF(OR(A14="",G14=""),"",G14-TODAY())</f>
        <v>0</v>
      </c>
      <c r="I14" s="8">
        <f>IF(A14="","",IF(P14="Yes","Eaten",IF(H14="","",IF(H14&lt;0,"Past its best",IF(H14&lt;=1,"Eat today",IF(H14&lt;=3,"Eat this week","Keep"))))))</f>
        <v>0</v>
      </c>
      <c r="J14" s="8">
        <f>IF(OR(A14="",D14=""),"",IFERROR(D14*IFERROR(INDEX(Recipes!$Q$5:$Q$204,MATCH(C14,Recipes!$A$5:$A$204,0)),""),""))</f>
        <v>0</v>
      </c>
      <c r="K14" s="8">
        <f>IF(OR(E14&lt;&gt;"Fridge",H14=""),"",COUNTIFS($E$5:$E$154,"Fridge",$H$5:$H$154,"&lt;"&amp;H14)+1)</f>
        <v>0</v>
      </c>
      <c r="L14" s="8">
        <f>IF(OR(E14&lt;&gt;"Freezer",H14=""),"",COUNTIFS($E$5:$E$154,"Freezer",$H$5:$H$154,"&lt;"&amp;H14)+1)</f>
        <v>0</v>
      </c>
      <c r="M14" s="7"/>
      <c r="N14" s="26"/>
      <c r="O14" s="8">
        <f>IF(OR(A14="",G14=""),"",G14-1)</f>
        <v>0</v>
      </c>
      <c r="P14" s="27"/>
      <c r="Q14" s="25"/>
    </row>
    <row r="15" spans="1:17">
      <c r="A15" s="7"/>
      <c r="B15" s="7"/>
      <c r="C15" s="27"/>
      <c r="D15" s="26"/>
      <c r="E15" s="27"/>
      <c r="F15" s="30"/>
      <c r="G15" s="8">
        <f>IF(OR(A15="",F15=""),"",IF(E15="Freezer",F15+Freezer_Review_Days,F15+Leftover_Safe_Days))</f>
        <v>0</v>
      </c>
      <c r="H15" s="8">
        <f>IF(OR(A15="",G15=""),"",G15-TODAY())</f>
        <v>0</v>
      </c>
      <c r="I15" s="8">
        <f>IF(A15="","",IF(P15="Yes","Eaten",IF(H15="","",IF(H15&lt;0,"Past its best",IF(H15&lt;=1,"Eat today",IF(H15&lt;=3,"Eat this week","Keep"))))))</f>
        <v>0</v>
      </c>
      <c r="J15" s="8">
        <f>IF(OR(A15="",D15=""),"",IFERROR(D15*IFERROR(INDEX(Recipes!$Q$5:$Q$204,MATCH(C15,Recipes!$A$5:$A$204,0)),""),""))</f>
        <v>0</v>
      </c>
      <c r="K15" s="8">
        <f>IF(OR(E15&lt;&gt;"Fridge",H15=""),"",COUNTIFS($E$5:$E$154,"Fridge",$H$5:$H$154,"&lt;"&amp;H15)+1)</f>
        <v>0</v>
      </c>
      <c r="L15" s="8">
        <f>IF(OR(E15&lt;&gt;"Freezer",H15=""),"",COUNTIFS($E$5:$E$154,"Freezer",$H$5:$H$154,"&lt;"&amp;H15)+1)</f>
        <v>0</v>
      </c>
      <c r="M15" s="7"/>
      <c r="N15" s="26"/>
      <c r="O15" s="8">
        <f>IF(OR(A15="",G15=""),"",G15-1)</f>
        <v>0</v>
      </c>
      <c r="P15" s="27"/>
      <c r="Q15" s="25"/>
    </row>
    <row r="16" spans="1:17">
      <c r="A16" s="7"/>
      <c r="B16" s="7"/>
      <c r="C16" s="27"/>
      <c r="D16" s="26"/>
      <c r="E16" s="27"/>
      <c r="F16" s="30"/>
      <c r="G16" s="8">
        <f>IF(OR(A16="",F16=""),"",IF(E16="Freezer",F16+Freezer_Review_Days,F16+Leftover_Safe_Days))</f>
        <v>0</v>
      </c>
      <c r="H16" s="8">
        <f>IF(OR(A16="",G16=""),"",G16-TODAY())</f>
        <v>0</v>
      </c>
      <c r="I16" s="8">
        <f>IF(A16="","",IF(P16="Yes","Eaten",IF(H16="","",IF(H16&lt;0,"Past its best",IF(H16&lt;=1,"Eat today",IF(H16&lt;=3,"Eat this week","Keep"))))))</f>
        <v>0</v>
      </c>
      <c r="J16" s="8">
        <f>IF(OR(A16="",D16=""),"",IFERROR(D16*IFERROR(INDEX(Recipes!$Q$5:$Q$204,MATCH(C16,Recipes!$A$5:$A$204,0)),""),""))</f>
        <v>0</v>
      </c>
      <c r="K16" s="8">
        <f>IF(OR(E16&lt;&gt;"Fridge",H16=""),"",COUNTIFS($E$5:$E$154,"Fridge",$H$5:$H$154,"&lt;"&amp;H16)+1)</f>
        <v>0</v>
      </c>
      <c r="L16" s="8">
        <f>IF(OR(E16&lt;&gt;"Freezer",H16=""),"",COUNTIFS($E$5:$E$154,"Freezer",$H$5:$H$154,"&lt;"&amp;H16)+1)</f>
        <v>0</v>
      </c>
      <c r="M16" s="7"/>
      <c r="N16" s="26"/>
      <c r="O16" s="8">
        <f>IF(OR(A16="",G16=""),"",G16-1)</f>
        <v>0</v>
      </c>
      <c r="P16" s="27"/>
      <c r="Q16" s="25"/>
    </row>
    <row r="17" spans="1:17">
      <c r="A17" s="7"/>
      <c r="B17" s="7"/>
      <c r="C17" s="27"/>
      <c r="D17" s="26"/>
      <c r="E17" s="27"/>
      <c r="F17" s="30"/>
      <c r="G17" s="8">
        <f>IF(OR(A17="",F17=""),"",IF(E17="Freezer",F17+Freezer_Review_Days,F17+Leftover_Safe_Days))</f>
        <v>0</v>
      </c>
      <c r="H17" s="8">
        <f>IF(OR(A17="",G17=""),"",G17-TODAY())</f>
        <v>0</v>
      </c>
      <c r="I17" s="8">
        <f>IF(A17="","",IF(P17="Yes","Eaten",IF(H17="","",IF(H17&lt;0,"Past its best",IF(H17&lt;=1,"Eat today",IF(H17&lt;=3,"Eat this week","Keep"))))))</f>
        <v>0</v>
      </c>
      <c r="J17" s="8">
        <f>IF(OR(A17="",D17=""),"",IFERROR(D17*IFERROR(INDEX(Recipes!$Q$5:$Q$204,MATCH(C17,Recipes!$A$5:$A$204,0)),""),""))</f>
        <v>0</v>
      </c>
      <c r="K17" s="8">
        <f>IF(OR(E17&lt;&gt;"Fridge",H17=""),"",COUNTIFS($E$5:$E$154,"Fridge",$H$5:$H$154,"&lt;"&amp;H17)+1)</f>
        <v>0</v>
      </c>
      <c r="L17" s="8">
        <f>IF(OR(E17&lt;&gt;"Freezer",H17=""),"",COUNTIFS($E$5:$E$154,"Freezer",$H$5:$H$154,"&lt;"&amp;H17)+1)</f>
        <v>0</v>
      </c>
      <c r="M17" s="7"/>
      <c r="N17" s="26"/>
      <c r="O17" s="8">
        <f>IF(OR(A17="",G17=""),"",G17-1)</f>
        <v>0</v>
      </c>
      <c r="P17" s="27"/>
      <c r="Q17" s="25"/>
    </row>
    <row r="18" spans="1:17">
      <c r="A18" s="7"/>
      <c r="B18" s="7"/>
      <c r="C18" s="27"/>
      <c r="D18" s="26"/>
      <c r="E18" s="27"/>
      <c r="F18" s="30"/>
      <c r="G18" s="8">
        <f>IF(OR(A18="",F18=""),"",IF(E18="Freezer",F18+Freezer_Review_Days,F18+Leftover_Safe_Days))</f>
        <v>0</v>
      </c>
      <c r="H18" s="8">
        <f>IF(OR(A18="",G18=""),"",G18-TODAY())</f>
        <v>0</v>
      </c>
      <c r="I18" s="8">
        <f>IF(A18="","",IF(P18="Yes","Eaten",IF(H18="","",IF(H18&lt;0,"Past its best",IF(H18&lt;=1,"Eat today",IF(H18&lt;=3,"Eat this week","Keep"))))))</f>
        <v>0</v>
      </c>
      <c r="J18" s="8">
        <f>IF(OR(A18="",D18=""),"",IFERROR(D18*IFERROR(INDEX(Recipes!$Q$5:$Q$204,MATCH(C18,Recipes!$A$5:$A$204,0)),""),""))</f>
        <v>0</v>
      </c>
      <c r="K18" s="8">
        <f>IF(OR(E18&lt;&gt;"Fridge",H18=""),"",COUNTIFS($E$5:$E$154,"Fridge",$H$5:$H$154,"&lt;"&amp;H18)+1)</f>
        <v>0</v>
      </c>
      <c r="L18" s="8">
        <f>IF(OR(E18&lt;&gt;"Freezer",H18=""),"",COUNTIFS($E$5:$E$154,"Freezer",$H$5:$H$154,"&lt;"&amp;H18)+1)</f>
        <v>0</v>
      </c>
      <c r="M18" s="7"/>
      <c r="N18" s="26"/>
      <c r="O18" s="8">
        <f>IF(OR(A18="",G18=""),"",G18-1)</f>
        <v>0</v>
      </c>
      <c r="P18" s="27"/>
      <c r="Q18" s="25"/>
    </row>
    <row r="19" spans="1:17">
      <c r="A19" s="7"/>
      <c r="B19" s="7"/>
      <c r="C19" s="27"/>
      <c r="D19" s="26"/>
      <c r="E19" s="27"/>
      <c r="F19" s="30"/>
      <c r="G19" s="8">
        <f>IF(OR(A19="",F19=""),"",IF(E19="Freezer",F19+Freezer_Review_Days,F19+Leftover_Safe_Days))</f>
        <v>0</v>
      </c>
      <c r="H19" s="8">
        <f>IF(OR(A19="",G19=""),"",G19-TODAY())</f>
        <v>0</v>
      </c>
      <c r="I19" s="8">
        <f>IF(A19="","",IF(P19="Yes","Eaten",IF(H19="","",IF(H19&lt;0,"Past its best",IF(H19&lt;=1,"Eat today",IF(H19&lt;=3,"Eat this week","Keep"))))))</f>
        <v>0</v>
      </c>
      <c r="J19" s="8">
        <f>IF(OR(A19="",D19=""),"",IFERROR(D19*IFERROR(INDEX(Recipes!$Q$5:$Q$204,MATCH(C19,Recipes!$A$5:$A$204,0)),""),""))</f>
        <v>0</v>
      </c>
      <c r="K19" s="8">
        <f>IF(OR(E19&lt;&gt;"Fridge",H19=""),"",COUNTIFS($E$5:$E$154,"Fridge",$H$5:$H$154,"&lt;"&amp;H19)+1)</f>
        <v>0</v>
      </c>
      <c r="L19" s="8">
        <f>IF(OR(E19&lt;&gt;"Freezer",H19=""),"",COUNTIFS($E$5:$E$154,"Freezer",$H$5:$H$154,"&lt;"&amp;H19)+1)</f>
        <v>0</v>
      </c>
      <c r="M19" s="7"/>
      <c r="N19" s="26"/>
      <c r="O19" s="8">
        <f>IF(OR(A19="",G19=""),"",G19-1)</f>
        <v>0</v>
      </c>
      <c r="P19" s="27"/>
      <c r="Q19" s="25"/>
    </row>
    <row r="20" spans="1:17">
      <c r="A20" s="7"/>
      <c r="B20" s="7"/>
      <c r="C20" s="27"/>
      <c r="D20" s="26"/>
      <c r="E20" s="27"/>
      <c r="F20" s="30"/>
      <c r="G20" s="8">
        <f>IF(OR(A20="",F20=""),"",IF(E20="Freezer",F20+Freezer_Review_Days,F20+Leftover_Safe_Days))</f>
        <v>0</v>
      </c>
      <c r="H20" s="8">
        <f>IF(OR(A20="",G20=""),"",G20-TODAY())</f>
        <v>0</v>
      </c>
      <c r="I20" s="8">
        <f>IF(A20="","",IF(P20="Yes","Eaten",IF(H20="","",IF(H20&lt;0,"Past its best",IF(H20&lt;=1,"Eat today",IF(H20&lt;=3,"Eat this week","Keep"))))))</f>
        <v>0</v>
      </c>
      <c r="J20" s="8">
        <f>IF(OR(A20="",D20=""),"",IFERROR(D20*IFERROR(INDEX(Recipes!$Q$5:$Q$204,MATCH(C20,Recipes!$A$5:$A$204,0)),""),""))</f>
        <v>0</v>
      </c>
      <c r="K20" s="8">
        <f>IF(OR(E20&lt;&gt;"Fridge",H20=""),"",COUNTIFS($E$5:$E$154,"Fridge",$H$5:$H$154,"&lt;"&amp;H20)+1)</f>
        <v>0</v>
      </c>
      <c r="L20" s="8">
        <f>IF(OR(E20&lt;&gt;"Freezer",H20=""),"",COUNTIFS($E$5:$E$154,"Freezer",$H$5:$H$154,"&lt;"&amp;H20)+1)</f>
        <v>0</v>
      </c>
      <c r="M20" s="7"/>
      <c r="N20" s="26"/>
      <c r="O20" s="8">
        <f>IF(OR(A20="",G20=""),"",G20-1)</f>
        <v>0</v>
      </c>
      <c r="P20" s="27"/>
      <c r="Q20" s="25"/>
    </row>
    <row r="21" spans="1:17">
      <c r="A21" s="7"/>
      <c r="B21" s="7"/>
      <c r="C21" s="27"/>
      <c r="D21" s="26"/>
      <c r="E21" s="27"/>
      <c r="F21" s="30"/>
      <c r="G21" s="8">
        <f>IF(OR(A21="",F21=""),"",IF(E21="Freezer",F21+Freezer_Review_Days,F21+Leftover_Safe_Days))</f>
        <v>0</v>
      </c>
      <c r="H21" s="8">
        <f>IF(OR(A21="",G21=""),"",G21-TODAY())</f>
        <v>0</v>
      </c>
      <c r="I21" s="8">
        <f>IF(A21="","",IF(P21="Yes","Eaten",IF(H21="","",IF(H21&lt;0,"Past its best",IF(H21&lt;=1,"Eat today",IF(H21&lt;=3,"Eat this week","Keep"))))))</f>
        <v>0</v>
      </c>
      <c r="J21" s="8">
        <f>IF(OR(A21="",D21=""),"",IFERROR(D21*IFERROR(INDEX(Recipes!$Q$5:$Q$204,MATCH(C21,Recipes!$A$5:$A$204,0)),""),""))</f>
        <v>0</v>
      </c>
      <c r="K21" s="8">
        <f>IF(OR(E21&lt;&gt;"Fridge",H21=""),"",COUNTIFS($E$5:$E$154,"Fridge",$H$5:$H$154,"&lt;"&amp;H21)+1)</f>
        <v>0</v>
      </c>
      <c r="L21" s="8">
        <f>IF(OR(E21&lt;&gt;"Freezer",H21=""),"",COUNTIFS($E$5:$E$154,"Freezer",$H$5:$H$154,"&lt;"&amp;H21)+1)</f>
        <v>0</v>
      </c>
      <c r="M21" s="7"/>
      <c r="N21" s="26"/>
      <c r="O21" s="8">
        <f>IF(OR(A21="",G21=""),"",G21-1)</f>
        <v>0</v>
      </c>
      <c r="P21" s="27"/>
      <c r="Q21" s="25"/>
    </row>
    <row r="22" spans="1:17">
      <c r="A22" s="7"/>
      <c r="B22" s="7"/>
      <c r="C22" s="27"/>
      <c r="D22" s="26"/>
      <c r="E22" s="27"/>
      <c r="F22" s="30"/>
      <c r="G22" s="8">
        <f>IF(OR(A22="",F22=""),"",IF(E22="Freezer",F22+Freezer_Review_Days,F22+Leftover_Safe_Days))</f>
        <v>0</v>
      </c>
      <c r="H22" s="8">
        <f>IF(OR(A22="",G22=""),"",G22-TODAY())</f>
        <v>0</v>
      </c>
      <c r="I22" s="8">
        <f>IF(A22="","",IF(P22="Yes","Eaten",IF(H22="","",IF(H22&lt;0,"Past its best",IF(H22&lt;=1,"Eat today",IF(H22&lt;=3,"Eat this week","Keep"))))))</f>
        <v>0</v>
      </c>
      <c r="J22" s="8">
        <f>IF(OR(A22="",D22=""),"",IFERROR(D22*IFERROR(INDEX(Recipes!$Q$5:$Q$204,MATCH(C22,Recipes!$A$5:$A$204,0)),""),""))</f>
        <v>0</v>
      </c>
      <c r="K22" s="8">
        <f>IF(OR(E22&lt;&gt;"Fridge",H22=""),"",COUNTIFS($E$5:$E$154,"Fridge",$H$5:$H$154,"&lt;"&amp;H22)+1)</f>
        <v>0</v>
      </c>
      <c r="L22" s="8">
        <f>IF(OR(E22&lt;&gt;"Freezer",H22=""),"",COUNTIFS($E$5:$E$154,"Freezer",$H$5:$H$154,"&lt;"&amp;H22)+1)</f>
        <v>0</v>
      </c>
      <c r="M22" s="7"/>
      <c r="N22" s="26"/>
      <c r="O22" s="8">
        <f>IF(OR(A22="",G22=""),"",G22-1)</f>
        <v>0</v>
      </c>
      <c r="P22" s="27"/>
      <c r="Q22" s="25"/>
    </row>
    <row r="23" spans="1:17">
      <c r="A23" s="7"/>
      <c r="B23" s="7"/>
      <c r="C23" s="27"/>
      <c r="D23" s="26"/>
      <c r="E23" s="27"/>
      <c r="F23" s="30"/>
      <c r="G23" s="8">
        <f>IF(OR(A23="",F23=""),"",IF(E23="Freezer",F23+Freezer_Review_Days,F23+Leftover_Safe_Days))</f>
        <v>0</v>
      </c>
      <c r="H23" s="8">
        <f>IF(OR(A23="",G23=""),"",G23-TODAY())</f>
        <v>0</v>
      </c>
      <c r="I23" s="8">
        <f>IF(A23="","",IF(P23="Yes","Eaten",IF(H23="","",IF(H23&lt;0,"Past its best",IF(H23&lt;=1,"Eat today",IF(H23&lt;=3,"Eat this week","Keep"))))))</f>
        <v>0</v>
      </c>
      <c r="J23" s="8">
        <f>IF(OR(A23="",D23=""),"",IFERROR(D23*IFERROR(INDEX(Recipes!$Q$5:$Q$204,MATCH(C23,Recipes!$A$5:$A$204,0)),""),""))</f>
        <v>0</v>
      </c>
      <c r="K23" s="8">
        <f>IF(OR(E23&lt;&gt;"Fridge",H23=""),"",COUNTIFS($E$5:$E$154,"Fridge",$H$5:$H$154,"&lt;"&amp;H23)+1)</f>
        <v>0</v>
      </c>
      <c r="L23" s="8">
        <f>IF(OR(E23&lt;&gt;"Freezer",H23=""),"",COUNTIFS($E$5:$E$154,"Freezer",$H$5:$H$154,"&lt;"&amp;H23)+1)</f>
        <v>0</v>
      </c>
      <c r="M23" s="7"/>
      <c r="N23" s="26"/>
      <c r="O23" s="8">
        <f>IF(OR(A23="",G23=""),"",G23-1)</f>
        <v>0</v>
      </c>
      <c r="P23" s="27"/>
      <c r="Q23" s="25"/>
    </row>
    <row r="24" spans="1:17">
      <c r="A24" s="7"/>
      <c r="B24" s="7"/>
      <c r="C24" s="27"/>
      <c r="D24" s="26"/>
      <c r="E24" s="27"/>
      <c r="F24" s="30"/>
      <c r="G24" s="8">
        <f>IF(OR(A24="",F24=""),"",IF(E24="Freezer",F24+Freezer_Review_Days,F24+Leftover_Safe_Days))</f>
        <v>0</v>
      </c>
      <c r="H24" s="8">
        <f>IF(OR(A24="",G24=""),"",G24-TODAY())</f>
        <v>0</v>
      </c>
      <c r="I24" s="8">
        <f>IF(A24="","",IF(P24="Yes","Eaten",IF(H24="","",IF(H24&lt;0,"Past its best",IF(H24&lt;=1,"Eat today",IF(H24&lt;=3,"Eat this week","Keep"))))))</f>
        <v>0</v>
      </c>
      <c r="J24" s="8">
        <f>IF(OR(A24="",D24=""),"",IFERROR(D24*IFERROR(INDEX(Recipes!$Q$5:$Q$204,MATCH(C24,Recipes!$A$5:$A$204,0)),""),""))</f>
        <v>0</v>
      </c>
      <c r="K24" s="8">
        <f>IF(OR(E24&lt;&gt;"Fridge",H24=""),"",COUNTIFS($E$5:$E$154,"Fridge",$H$5:$H$154,"&lt;"&amp;H24)+1)</f>
        <v>0</v>
      </c>
      <c r="L24" s="8">
        <f>IF(OR(E24&lt;&gt;"Freezer",H24=""),"",COUNTIFS($E$5:$E$154,"Freezer",$H$5:$H$154,"&lt;"&amp;H24)+1)</f>
        <v>0</v>
      </c>
      <c r="M24" s="7"/>
      <c r="N24" s="26"/>
      <c r="O24" s="8">
        <f>IF(OR(A24="",G24=""),"",G24-1)</f>
        <v>0</v>
      </c>
      <c r="P24" s="27"/>
      <c r="Q24" s="25"/>
    </row>
    <row r="25" spans="1:17">
      <c r="A25" s="7"/>
      <c r="B25" s="7"/>
      <c r="C25" s="27"/>
      <c r="D25" s="26"/>
      <c r="E25" s="27"/>
      <c r="F25" s="30"/>
      <c r="G25" s="8">
        <f>IF(OR(A25="",F25=""),"",IF(E25="Freezer",F25+Freezer_Review_Days,F25+Leftover_Safe_Days))</f>
        <v>0</v>
      </c>
      <c r="H25" s="8">
        <f>IF(OR(A25="",G25=""),"",G25-TODAY())</f>
        <v>0</v>
      </c>
      <c r="I25" s="8">
        <f>IF(A25="","",IF(P25="Yes","Eaten",IF(H25="","",IF(H25&lt;0,"Past its best",IF(H25&lt;=1,"Eat today",IF(H25&lt;=3,"Eat this week","Keep"))))))</f>
        <v>0</v>
      </c>
      <c r="J25" s="8">
        <f>IF(OR(A25="",D25=""),"",IFERROR(D25*IFERROR(INDEX(Recipes!$Q$5:$Q$204,MATCH(C25,Recipes!$A$5:$A$204,0)),""),""))</f>
        <v>0</v>
      </c>
      <c r="K25" s="8">
        <f>IF(OR(E25&lt;&gt;"Fridge",H25=""),"",COUNTIFS($E$5:$E$154,"Fridge",$H$5:$H$154,"&lt;"&amp;H25)+1)</f>
        <v>0</v>
      </c>
      <c r="L25" s="8">
        <f>IF(OR(E25&lt;&gt;"Freezer",H25=""),"",COUNTIFS($E$5:$E$154,"Freezer",$H$5:$H$154,"&lt;"&amp;H25)+1)</f>
        <v>0</v>
      </c>
      <c r="M25" s="7"/>
      <c r="N25" s="26"/>
      <c r="O25" s="8">
        <f>IF(OR(A25="",G25=""),"",G25-1)</f>
        <v>0</v>
      </c>
      <c r="P25" s="27"/>
      <c r="Q25" s="25"/>
    </row>
    <row r="26" spans="1:17">
      <c r="A26" s="7"/>
      <c r="B26" s="7"/>
      <c r="C26" s="27"/>
      <c r="D26" s="26"/>
      <c r="E26" s="27"/>
      <c r="F26" s="30"/>
      <c r="G26" s="8">
        <f>IF(OR(A26="",F26=""),"",IF(E26="Freezer",F26+Freezer_Review_Days,F26+Leftover_Safe_Days))</f>
        <v>0</v>
      </c>
      <c r="H26" s="8">
        <f>IF(OR(A26="",G26=""),"",G26-TODAY())</f>
        <v>0</v>
      </c>
      <c r="I26" s="8">
        <f>IF(A26="","",IF(P26="Yes","Eaten",IF(H26="","",IF(H26&lt;0,"Past its best",IF(H26&lt;=1,"Eat today",IF(H26&lt;=3,"Eat this week","Keep"))))))</f>
        <v>0</v>
      </c>
      <c r="J26" s="8">
        <f>IF(OR(A26="",D26=""),"",IFERROR(D26*IFERROR(INDEX(Recipes!$Q$5:$Q$204,MATCH(C26,Recipes!$A$5:$A$204,0)),""),""))</f>
        <v>0</v>
      </c>
      <c r="K26" s="8">
        <f>IF(OR(E26&lt;&gt;"Fridge",H26=""),"",COUNTIFS($E$5:$E$154,"Fridge",$H$5:$H$154,"&lt;"&amp;H26)+1)</f>
        <v>0</v>
      </c>
      <c r="L26" s="8">
        <f>IF(OR(E26&lt;&gt;"Freezer",H26=""),"",COUNTIFS($E$5:$E$154,"Freezer",$H$5:$H$154,"&lt;"&amp;H26)+1)</f>
        <v>0</v>
      </c>
      <c r="M26" s="7"/>
      <c r="N26" s="26"/>
      <c r="O26" s="8">
        <f>IF(OR(A26="",G26=""),"",G26-1)</f>
        <v>0</v>
      </c>
      <c r="P26" s="27"/>
      <c r="Q26" s="25"/>
    </row>
    <row r="27" spans="1:17">
      <c r="A27" s="7"/>
      <c r="B27" s="7"/>
      <c r="C27" s="27"/>
      <c r="D27" s="26"/>
      <c r="E27" s="27"/>
      <c r="F27" s="30"/>
      <c r="G27" s="8">
        <f>IF(OR(A27="",F27=""),"",IF(E27="Freezer",F27+Freezer_Review_Days,F27+Leftover_Safe_Days))</f>
        <v>0</v>
      </c>
      <c r="H27" s="8">
        <f>IF(OR(A27="",G27=""),"",G27-TODAY())</f>
        <v>0</v>
      </c>
      <c r="I27" s="8">
        <f>IF(A27="","",IF(P27="Yes","Eaten",IF(H27="","",IF(H27&lt;0,"Past its best",IF(H27&lt;=1,"Eat today",IF(H27&lt;=3,"Eat this week","Keep"))))))</f>
        <v>0</v>
      </c>
      <c r="J27" s="8">
        <f>IF(OR(A27="",D27=""),"",IFERROR(D27*IFERROR(INDEX(Recipes!$Q$5:$Q$204,MATCH(C27,Recipes!$A$5:$A$204,0)),""),""))</f>
        <v>0</v>
      </c>
      <c r="K27" s="8">
        <f>IF(OR(E27&lt;&gt;"Fridge",H27=""),"",COUNTIFS($E$5:$E$154,"Fridge",$H$5:$H$154,"&lt;"&amp;H27)+1)</f>
        <v>0</v>
      </c>
      <c r="L27" s="8">
        <f>IF(OR(E27&lt;&gt;"Freezer",H27=""),"",COUNTIFS($E$5:$E$154,"Freezer",$H$5:$H$154,"&lt;"&amp;H27)+1)</f>
        <v>0</v>
      </c>
      <c r="M27" s="7"/>
      <c r="N27" s="26"/>
      <c r="O27" s="8">
        <f>IF(OR(A27="",G27=""),"",G27-1)</f>
        <v>0</v>
      </c>
      <c r="P27" s="27"/>
      <c r="Q27" s="25"/>
    </row>
    <row r="28" spans="1:17">
      <c r="A28" s="7"/>
      <c r="B28" s="7"/>
      <c r="C28" s="27"/>
      <c r="D28" s="26"/>
      <c r="E28" s="27"/>
      <c r="F28" s="30"/>
      <c r="G28" s="8">
        <f>IF(OR(A28="",F28=""),"",IF(E28="Freezer",F28+Freezer_Review_Days,F28+Leftover_Safe_Days))</f>
        <v>0</v>
      </c>
      <c r="H28" s="8">
        <f>IF(OR(A28="",G28=""),"",G28-TODAY())</f>
        <v>0</v>
      </c>
      <c r="I28" s="8">
        <f>IF(A28="","",IF(P28="Yes","Eaten",IF(H28="","",IF(H28&lt;0,"Past its best",IF(H28&lt;=1,"Eat today",IF(H28&lt;=3,"Eat this week","Keep"))))))</f>
        <v>0</v>
      </c>
      <c r="J28" s="8">
        <f>IF(OR(A28="",D28=""),"",IFERROR(D28*IFERROR(INDEX(Recipes!$Q$5:$Q$204,MATCH(C28,Recipes!$A$5:$A$204,0)),""),""))</f>
        <v>0</v>
      </c>
      <c r="K28" s="8">
        <f>IF(OR(E28&lt;&gt;"Fridge",H28=""),"",COUNTIFS($E$5:$E$154,"Fridge",$H$5:$H$154,"&lt;"&amp;H28)+1)</f>
        <v>0</v>
      </c>
      <c r="L28" s="8">
        <f>IF(OR(E28&lt;&gt;"Freezer",H28=""),"",COUNTIFS($E$5:$E$154,"Freezer",$H$5:$H$154,"&lt;"&amp;H28)+1)</f>
        <v>0</v>
      </c>
      <c r="M28" s="7"/>
      <c r="N28" s="26"/>
      <c r="O28" s="8">
        <f>IF(OR(A28="",G28=""),"",G28-1)</f>
        <v>0</v>
      </c>
      <c r="P28" s="27"/>
      <c r="Q28" s="25"/>
    </row>
    <row r="29" spans="1:17">
      <c r="A29" s="7"/>
      <c r="B29" s="7"/>
      <c r="C29" s="27"/>
      <c r="D29" s="26"/>
      <c r="E29" s="27"/>
      <c r="F29" s="30"/>
      <c r="G29" s="8">
        <f>IF(OR(A29="",F29=""),"",IF(E29="Freezer",F29+Freezer_Review_Days,F29+Leftover_Safe_Days))</f>
        <v>0</v>
      </c>
      <c r="H29" s="8">
        <f>IF(OR(A29="",G29=""),"",G29-TODAY())</f>
        <v>0</v>
      </c>
      <c r="I29" s="8">
        <f>IF(A29="","",IF(P29="Yes","Eaten",IF(H29="","",IF(H29&lt;0,"Past its best",IF(H29&lt;=1,"Eat today",IF(H29&lt;=3,"Eat this week","Keep"))))))</f>
        <v>0</v>
      </c>
      <c r="J29" s="8">
        <f>IF(OR(A29="",D29=""),"",IFERROR(D29*IFERROR(INDEX(Recipes!$Q$5:$Q$204,MATCH(C29,Recipes!$A$5:$A$204,0)),""),""))</f>
        <v>0</v>
      </c>
      <c r="K29" s="8">
        <f>IF(OR(E29&lt;&gt;"Fridge",H29=""),"",COUNTIFS($E$5:$E$154,"Fridge",$H$5:$H$154,"&lt;"&amp;H29)+1)</f>
        <v>0</v>
      </c>
      <c r="L29" s="8">
        <f>IF(OR(E29&lt;&gt;"Freezer",H29=""),"",COUNTIFS($E$5:$E$154,"Freezer",$H$5:$H$154,"&lt;"&amp;H29)+1)</f>
        <v>0</v>
      </c>
      <c r="M29" s="7"/>
      <c r="N29" s="26"/>
      <c r="O29" s="8">
        <f>IF(OR(A29="",G29=""),"",G29-1)</f>
        <v>0</v>
      </c>
      <c r="P29" s="27"/>
      <c r="Q29" s="25"/>
    </row>
    <row r="30" spans="1:17">
      <c r="A30" s="7"/>
      <c r="B30" s="7"/>
      <c r="C30" s="27"/>
      <c r="D30" s="26"/>
      <c r="E30" s="27"/>
      <c r="F30" s="30"/>
      <c r="G30" s="8">
        <f>IF(OR(A30="",F30=""),"",IF(E30="Freezer",F30+Freezer_Review_Days,F30+Leftover_Safe_Days))</f>
        <v>0</v>
      </c>
      <c r="H30" s="8">
        <f>IF(OR(A30="",G30=""),"",G30-TODAY())</f>
        <v>0</v>
      </c>
      <c r="I30" s="8">
        <f>IF(A30="","",IF(P30="Yes","Eaten",IF(H30="","",IF(H30&lt;0,"Past its best",IF(H30&lt;=1,"Eat today",IF(H30&lt;=3,"Eat this week","Keep"))))))</f>
        <v>0</v>
      </c>
      <c r="J30" s="8">
        <f>IF(OR(A30="",D30=""),"",IFERROR(D30*IFERROR(INDEX(Recipes!$Q$5:$Q$204,MATCH(C30,Recipes!$A$5:$A$204,0)),""),""))</f>
        <v>0</v>
      </c>
      <c r="K30" s="8">
        <f>IF(OR(E30&lt;&gt;"Fridge",H30=""),"",COUNTIFS($E$5:$E$154,"Fridge",$H$5:$H$154,"&lt;"&amp;H30)+1)</f>
        <v>0</v>
      </c>
      <c r="L30" s="8">
        <f>IF(OR(E30&lt;&gt;"Freezer",H30=""),"",COUNTIFS($E$5:$E$154,"Freezer",$H$5:$H$154,"&lt;"&amp;H30)+1)</f>
        <v>0</v>
      </c>
      <c r="M30" s="7"/>
      <c r="N30" s="26"/>
      <c r="O30" s="8">
        <f>IF(OR(A30="",G30=""),"",G30-1)</f>
        <v>0</v>
      </c>
      <c r="P30" s="27"/>
      <c r="Q30" s="25"/>
    </row>
    <row r="31" spans="1:17">
      <c r="A31" s="7"/>
      <c r="B31" s="7"/>
      <c r="C31" s="27"/>
      <c r="D31" s="26"/>
      <c r="E31" s="27"/>
      <c r="F31" s="30"/>
      <c r="G31" s="8">
        <f>IF(OR(A31="",F31=""),"",IF(E31="Freezer",F31+Freezer_Review_Days,F31+Leftover_Safe_Days))</f>
        <v>0</v>
      </c>
      <c r="H31" s="8">
        <f>IF(OR(A31="",G31=""),"",G31-TODAY())</f>
        <v>0</v>
      </c>
      <c r="I31" s="8">
        <f>IF(A31="","",IF(P31="Yes","Eaten",IF(H31="","",IF(H31&lt;0,"Past its best",IF(H31&lt;=1,"Eat today",IF(H31&lt;=3,"Eat this week","Keep"))))))</f>
        <v>0</v>
      </c>
      <c r="J31" s="8">
        <f>IF(OR(A31="",D31=""),"",IFERROR(D31*IFERROR(INDEX(Recipes!$Q$5:$Q$204,MATCH(C31,Recipes!$A$5:$A$204,0)),""),""))</f>
        <v>0</v>
      </c>
      <c r="K31" s="8">
        <f>IF(OR(E31&lt;&gt;"Fridge",H31=""),"",COUNTIFS($E$5:$E$154,"Fridge",$H$5:$H$154,"&lt;"&amp;H31)+1)</f>
        <v>0</v>
      </c>
      <c r="L31" s="8">
        <f>IF(OR(E31&lt;&gt;"Freezer",H31=""),"",COUNTIFS($E$5:$E$154,"Freezer",$H$5:$H$154,"&lt;"&amp;H31)+1)</f>
        <v>0</v>
      </c>
      <c r="M31" s="7"/>
      <c r="N31" s="26"/>
      <c r="O31" s="8">
        <f>IF(OR(A31="",G31=""),"",G31-1)</f>
        <v>0</v>
      </c>
      <c r="P31" s="27"/>
      <c r="Q31" s="25"/>
    </row>
    <row r="32" spans="1:17">
      <c r="A32" s="7"/>
      <c r="B32" s="7"/>
      <c r="C32" s="27"/>
      <c r="D32" s="26"/>
      <c r="E32" s="27"/>
      <c r="F32" s="30"/>
      <c r="G32" s="8">
        <f>IF(OR(A32="",F32=""),"",IF(E32="Freezer",F32+Freezer_Review_Days,F32+Leftover_Safe_Days))</f>
        <v>0</v>
      </c>
      <c r="H32" s="8">
        <f>IF(OR(A32="",G32=""),"",G32-TODAY())</f>
        <v>0</v>
      </c>
      <c r="I32" s="8">
        <f>IF(A32="","",IF(P32="Yes","Eaten",IF(H32="","",IF(H32&lt;0,"Past its best",IF(H32&lt;=1,"Eat today",IF(H32&lt;=3,"Eat this week","Keep"))))))</f>
        <v>0</v>
      </c>
      <c r="J32" s="8">
        <f>IF(OR(A32="",D32=""),"",IFERROR(D32*IFERROR(INDEX(Recipes!$Q$5:$Q$204,MATCH(C32,Recipes!$A$5:$A$204,0)),""),""))</f>
        <v>0</v>
      </c>
      <c r="K32" s="8">
        <f>IF(OR(E32&lt;&gt;"Fridge",H32=""),"",COUNTIFS($E$5:$E$154,"Fridge",$H$5:$H$154,"&lt;"&amp;H32)+1)</f>
        <v>0</v>
      </c>
      <c r="L32" s="8">
        <f>IF(OR(E32&lt;&gt;"Freezer",H32=""),"",COUNTIFS($E$5:$E$154,"Freezer",$H$5:$H$154,"&lt;"&amp;H32)+1)</f>
        <v>0</v>
      </c>
      <c r="M32" s="7"/>
      <c r="N32" s="26"/>
      <c r="O32" s="8">
        <f>IF(OR(A32="",G32=""),"",G32-1)</f>
        <v>0</v>
      </c>
      <c r="P32" s="27"/>
      <c r="Q32" s="25"/>
    </row>
    <row r="33" spans="1:17">
      <c r="A33" s="7"/>
      <c r="B33" s="7"/>
      <c r="C33" s="27"/>
      <c r="D33" s="26"/>
      <c r="E33" s="27"/>
      <c r="F33" s="30"/>
      <c r="G33" s="8">
        <f>IF(OR(A33="",F33=""),"",IF(E33="Freezer",F33+Freezer_Review_Days,F33+Leftover_Safe_Days))</f>
        <v>0</v>
      </c>
      <c r="H33" s="8">
        <f>IF(OR(A33="",G33=""),"",G33-TODAY())</f>
        <v>0</v>
      </c>
      <c r="I33" s="8">
        <f>IF(A33="","",IF(P33="Yes","Eaten",IF(H33="","",IF(H33&lt;0,"Past its best",IF(H33&lt;=1,"Eat today",IF(H33&lt;=3,"Eat this week","Keep"))))))</f>
        <v>0</v>
      </c>
      <c r="J33" s="8">
        <f>IF(OR(A33="",D33=""),"",IFERROR(D33*IFERROR(INDEX(Recipes!$Q$5:$Q$204,MATCH(C33,Recipes!$A$5:$A$204,0)),""),""))</f>
        <v>0</v>
      </c>
      <c r="K33" s="8">
        <f>IF(OR(E33&lt;&gt;"Fridge",H33=""),"",COUNTIFS($E$5:$E$154,"Fridge",$H$5:$H$154,"&lt;"&amp;H33)+1)</f>
        <v>0</v>
      </c>
      <c r="L33" s="8">
        <f>IF(OR(E33&lt;&gt;"Freezer",H33=""),"",COUNTIFS($E$5:$E$154,"Freezer",$H$5:$H$154,"&lt;"&amp;H33)+1)</f>
        <v>0</v>
      </c>
      <c r="M33" s="7"/>
      <c r="N33" s="26"/>
      <c r="O33" s="8">
        <f>IF(OR(A33="",G33=""),"",G33-1)</f>
        <v>0</v>
      </c>
      <c r="P33" s="27"/>
      <c r="Q33" s="25"/>
    </row>
    <row r="34" spans="1:17">
      <c r="A34" s="7"/>
      <c r="B34" s="7"/>
      <c r="C34" s="27"/>
      <c r="D34" s="26"/>
      <c r="E34" s="27"/>
      <c r="F34" s="30"/>
      <c r="G34" s="8">
        <f>IF(OR(A34="",F34=""),"",IF(E34="Freezer",F34+Freezer_Review_Days,F34+Leftover_Safe_Days))</f>
        <v>0</v>
      </c>
      <c r="H34" s="8">
        <f>IF(OR(A34="",G34=""),"",G34-TODAY())</f>
        <v>0</v>
      </c>
      <c r="I34" s="8">
        <f>IF(A34="","",IF(P34="Yes","Eaten",IF(H34="","",IF(H34&lt;0,"Past its best",IF(H34&lt;=1,"Eat today",IF(H34&lt;=3,"Eat this week","Keep"))))))</f>
        <v>0</v>
      </c>
      <c r="J34" s="8">
        <f>IF(OR(A34="",D34=""),"",IFERROR(D34*IFERROR(INDEX(Recipes!$Q$5:$Q$204,MATCH(C34,Recipes!$A$5:$A$204,0)),""),""))</f>
        <v>0</v>
      </c>
      <c r="K34" s="8">
        <f>IF(OR(E34&lt;&gt;"Fridge",H34=""),"",COUNTIFS($E$5:$E$154,"Fridge",$H$5:$H$154,"&lt;"&amp;H34)+1)</f>
        <v>0</v>
      </c>
      <c r="L34" s="8">
        <f>IF(OR(E34&lt;&gt;"Freezer",H34=""),"",COUNTIFS($E$5:$E$154,"Freezer",$H$5:$H$154,"&lt;"&amp;H34)+1)</f>
        <v>0</v>
      </c>
      <c r="M34" s="7"/>
      <c r="N34" s="26"/>
      <c r="O34" s="8">
        <f>IF(OR(A34="",G34=""),"",G34-1)</f>
        <v>0</v>
      </c>
      <c r="P34" s="27"/>
      <c r="Q34" s="25"/>
    </row>
    <row r="35" spans="1:17">
      <c r="A35" s="7"/>
      <c r="B35" s="7"/>
      <c r="C35" s="27"/>
      <c r="D35" s="26"/>
      <c r="E35" s="27"/>
      <c r="F35" s="30"/>
      <c r="G35" s="8">
        <f>IF(OR(A35="",F35=""),"",IF(E35="Freezer",F35+Freezer_Review_Days,F35+Leftover_Safe_Days))</f>
        <v>0</v>
      </c>
      <c r="H35" s="8">
        <f>IF(OR(A35="",G35=""),"",G35-TODAY())</f>
        <v>0</v>
      </c>
      <c r="I35" s="8">
        <f>IF(A35="","",IF(P35="Yes","Eaten",IF(H35="","",IF(H35&lt;0,"Past its best",IF(H35&lt;=1,"Eat today",IF(H35&lt;=3,"Eat this week","Keep"))))))</f>
        <v>0</v>
      </c>
      <c r="J35" s="8">
        <f>IF(OR(A35="",D35=""),"",IFERROR(D35*IFERROR(INDEX(Recipes!$Q$5:$Q$204,MATCH(C35,Recipes!$A$5:$A$204,0)),""),""))</f>
        <v>0</v>
      </c>
      <c r="K35" s="8">
        <f>IF(OR(E35&lt;&gt;"Fridge",H35=""),"",COUNTIFS($E$5:$E$154,"Fridge",$H$5:$H$154,"&lt;"&amp;H35)+1)</f>
        <v>0</v>
      </c>
      <c r="L35" s="8">
        <f>IF(OR(E35&lt;&gt;"Freezer",H35=""),"",COUNTIFS($E$5:$E$154,"Freezer",$H$5:$H$154,"&lt;"&amp;H35)+1)</f>
        <v>0</v>
      </c>
      <c r="M35" s="7"/>
      <c r="N35" s="26"/>
      <c r="O35" s="8">
        <f>IF(OR(A35="",G35=""),"",G35-1)</f>
        <v>0</v>
      </c>
      <c r="P35" s="27"/>
      <c r="Q35" s="25"/>
    </row>
    <row r="36" spans="1:17">
      <c r="A36" s="7"/>
      <c r="B36" s="7"/>
      <c r="C36" s="27"/>
      <c r="D36" s="26"/>
      <c r="E36" s="27"/>
      <c r="F36" s="30"/>
      <c r="G36" s="8">
        <f>IF(OR(A36="",F36=""),"",IF(E36="Freezer",F36+Freezer_Review_Days,F36+Leftover_Safe_Days))</f>
        <v>0</v>
      </c>
      <c r="H36" s="8">
        <f>IF(OR(A36="",G36=""),"",G36-TODAY())</f>
        <v>0</v>
      </c>
      <c r="I36" s="8">
        <f>IF(A36="","",IF(P36="Yes","Eaten",IF(H36="","",IF(H36&lt;0,"Past its best",IF(H36&lt;=1,"Eat today",IF(H36&lt;=3,"Eat this week","Keep"))))))</f>
        <v>0</v>
      </c>
      <c r="J36" s="8">
        <f>IF(OR(A36="",D36=""),"",IFERROR(D36*IFERROR(INDEX(Recipes!$Q$5:$Q$204,MATCH(C36,Recipes!$A$5:$A$204,0)),""),""))</f>
        <v>0</v>
      </c>
      <c r="K36" s="8">
        <f>IF(OR(E36&lt;&gt;"Fridge",H36=""),"",COUNTIFS($E$5:$E$154,"Fridge",$H$5:$H$154,"&lt;"&amp;H36)+1)</f>
        <v>0</v>
      </c>
      <c r="L36" s="8">
        <f>IF(OR(E36&lt;&gt;"Freezer",H36=""),"",COUNTIFS($E$5:$E$154,"Freezer",$H$5:$H$154,"&lt;"&amp;H36)+1)</f>
        <v>0</v>
      </c>
      <c r="M36" s="7"/>
      <c r="N36" s="26"/>
      <c r="O36" s="8">
        <f>IF(OR(A36="",G36=""),"",G36-1)</f>
        <v>0</v>
      </c>
      <c r="P36" s="27"/>
      <c r="Q36" s="25"/>
    </row>
    <row r="37" spans="1:17">
      <c r="A37" s="7"/>
      <c r="B37" s="7"/>
      <c r="C37" s="27"/>
      <c r="D37" s="26"/>
      <c r="E37" s="27"/>
      <c r="F37" s="30"/>
      <c r="G37" s="8">
        <f>IF(OR(A37="",F37=""),"",IF(E37="Freezer",F37+Freezer_Review_Days,F37+Leftover_Safe_Days))</f>
        <v>0</v>
      </c>
      <c r="H37" s="8">
        <f>IF(OR(A37="",G37=""),"",G37-TODAY())</f>
        <v>0</v>
      </c>
      <c r="I37" s="8">
        <f>IF(A37="","",IF(P37="Yes","Eaten",IF(H37="","",IF(H37&lt;0,"Past its best",IF(H37&lt;=1,"Eat today",IF(H37&lt;=3,"Eat this week","Keep"))))))</f>
        <v>0</v>
      </c>
      <c r="J37" s="8">
        <f>IF(OR(A37="",D37=""),"",IFERROR(D37*IFERROR(INDEX(Recipes!$Q$5:$Q$204,MATCH(C37,Recipes!$A$5:$A$204,0)),""),""))</f>
        <v>0</v>
      </c>
      <c r="K37" s="8">
        <f>IF(OR(E37&lt;&gt;"Fridge",H37=""),"",COUNTIFS($E$5:$E$154,"Fridge",$H$5:$H$154,"&lt;"&amp;H37)+1)</f>
        <v>0</v>
      </c>
      <c r="L37" s="8">
        <f>IF(OR(E37&lt;&gt;"Freezer",H37=""),"",COUNTIFS($E$5:$E$154,"Freezer",$H$5:$H$154,"&lt;"&amp;H37)+1)</f>
        <v>0</v>
      </c>
      <c r="M37" s="7"/>
      <c r="N37" s="26"/>
      <c r="O37" s="8">
        <f>IF(OR(A37="",G37=""),"",G37-1)</f>
        <v>0</v>
      </c>
      <c r="P37" s="27"/>
      <c r="Q37" s="25"/>
    </row>
    <row r="38" spans="1:17">
      <c r="A38" s="7"/>
      <c r="B38" s="7"/>
      <c r="C38" s="27"/>
      <c r="D38" s="26"/>
      <c r="E38" s="27"/>
      <c r="F38" s="30"/>
      <c r="G38" s="8">
        <f>IF(OR(A38="",F38=""),"",IF(E38="Freezer",F38+Freezer_Review_Days,F38+Leftover_Safe_Days))</f>
        <v>0</v>
      </c>
      <c r="H38" s="8">
        <f>IF(OR(A38="",G38=""),"",G38-TODAY())</f>
        <v>0</v>
      </c>
      <c r="I38" s="8">
        <f>IF(A38="","",IF(P38="Yes","Eaten",IF(H38="","",IF(H38&lt;0,"Past its best",IF(H38&lt;=1,"Eat today",IF(H38&lt;=3,"Eat this week","Keep"))))))</f>
        <v>0</v>
      </c>
      <c r="J38" s="8">
        <f>IF(OR(A38="",D38=""),"",IFERROR(D38*IFERROR(INDEX(Recipes!$Q$5:$Q$204,MATCH(C38,Recipes!$A$5:$A$204,0)),""),""))</f>
        <v>0</v>
      </c>
      <c r="K38" s="8">
        <f>IF(OR(E38&lt;&gt;"Fridge",H38=""),"",COUNTIFS($E$5:$E$154,"Fridge",$H$5:$H$154,"&lt;"&amp;H38)+1)</f>
        <v>0</v>
      </c>
      <c r="L38" s="8">
        <f>IF(OR(E38&lt;&gt;"Freezer",H38=""),"",COUNTIFS($E$5:$E$154,"Freezer",$H$5:$H$154,"&lt;"&amp;H38)+1)</f>
        <v>0</v>
      </c>
      <c r="M38" s="7"/>
      <c r="N38" s="26"/>
      <c r="O38" s="8">
        <f>IF(OR(A38="",G38=""),"",G38-1)</f>
        <v>0</v>
      </c>
      <c r="P38" s="27"/>
      <c r="Q38" s="25"/>
    </row>
    <row r="39" spans="1:17">
      <c r="A39" s="7"/>
      <c r="B39" s="7"/>
      <c r="C39" s="27"/>
      <c r="D39" s="26"/>
      <c r="E39" s="27"/>
      <c r="F39" s="30"/>
      <c r="G39" s="8">
        <f>IF(OR(A39="",F39=""),"",IF(E39="Freezer",F39+Freezer_Review_Days,F39+Leftover_Safe_Days))</f>
        <v>0</v>
      </c>
      <c r="H39" s="8">
        <f>IF(OR(A39="",G39=""),"",G39-TODAY())</f>
        <v>0</v>
      </c>
      <c r="I39" s="8">
        <f>IF(A39="","",IF(P39="Yes","Eaten",IF(H39="","",IF(H39&lt;0,"Past its best",IF(H39&lt;=1,"Eat today",IF(H39&lt;=3,"Eat this week","Keep"))))))</f>
        <v>0</v>
      </c>
      <c r="J39" s="8">
        <f>IF(OR(A39="",D39=""),"",IFERROR(D39*IFERROR(INDEX(Recipes!$Q$5:$Q$204,MATCH(C39,Recipes!$A$5:$A$204,0)),""),""))</f>
        <v>0</v>
      </c>
      <c r="K39" s="8">
        <f>IF(OR(E39&lt;&gt;"Fridge",H39=""),"",COUNTIFS($E$5:$E$154,"Fridge",$H$5:$H$154,"&lt;"&amp;H39)+1)</f>
        <v>0</v>
      </c>
      <c r="L39" s="8">
        <f>IF(OR(E39&lt;&gt;"Freezer",H39=""),"",COUNTIFS($E$5:$E$154,"Freezer",$H$5:$H$154,"&lt;"&amp;H39)+1)</f>
        <v>0</v>
      </c>
      <c r="M39" s="7"/>
      <c r="N39" s="26"/>
      <c r="O39" s="8">
        <f>IF(OR(A39="",G39=""),"",G39-1)</f>
        <v>0</v>
      </c>
      <c r="P39" s="27"/>
      <c r="Q39" s="25"/>
    </row>
    <row r="40" spans="1:17">
      <c r="A40" s="7"/>
      <c r="B40" s="7"/>
      <c r="C40" s="27"/>
      <c r="D40" s="26"/>
      <c r="E40" s="27"/>
      <c r="F40" s="30"/>
      <c r="G40" s="8">
        <f>IF(OR(A40="",F40=""),"",IF(E40="Freezer",F40+Freezer_Review_Days,F40+Leftover_Safe_Days))</f>
        <v>0</v>
      </c>
      <c r="H40" s="8">
        <f>IF(OR(A40="",G40=""),"",G40-TODAY())</f>
        <v>0</v>
      </c>
      <c r="I40" s="8">
        <f>IF(A40="","",IF(P40="Yes","Eaten",IF(H40="","",IF(H40&lt;0,"Past its best",IF(H40&lt;=1,"Eat today",IF(H40&lt;=3,"Eat this week","Keep"))))))</f>
        <v>0</v>
      </c>
      <c r="J40" s="8">
        <f>IF(OR(A40="",D40=""),"",IFERROR(D40*IFERROR(INDEX(Recipes!$Q$5:$Q$204,MATCH(C40,Recipes!$A$5:$A$204,0)),""),""))</f>
        <v>0</v>
      </c>
      <c r="K40" s="8">
        <f>IF(OR(E40&lt;&gt;"Fridge",H40=""),"",COUNTIFS($E$5:$E$154,"Fridge",$H$5:$H$154,"&lt;"&amp;H40)+1)</f>
        <v>0</v>
      </c>
      <c r="L40" s="8">
        <f>IF(OR(E40&lt;&gt;"Freezer",H40=""),"",COUNTIFS($E$5:$E$154,"Freezer",$H$5:$H$154,"&lt;"&amp;H40)+1)</f>
        <v>0</v>
      </c>
      <c r="M40" s="7"/>
      <c r="N40" s="26"/>
      <c r="O40" s="8">
        <f>IF(OR(A40="",G40=""),"",G40-1)</f>
        <v>0</v>
      </c>
      <c r="P40" s="27"/>
      <c r="Q40" s="25"/>
    </row>
    <row r="41" spans="1:17">
      <c r="A41" s="7"/>
      <c r="B41" s="7"/>
      <c r="C41" s="27"/>
      <c r="D41" s="26"/>
      <c r="E41" s="27"/>
      <c r="F41" s="30"/>
      <c r="G41" s="8">
        <f>IF(OR(A41="",F41=""),"",IF(E41="Freezer",F41+Freezer_Review_Days,F41+Leftover_Safe_Days))</f>
        <v>0</v>
      </c>
      <c r="H41" s="8">
        <f>IF(OR(A41="",G41=""),"",G41-TODAY())</f>
        <v>0</v>
      </c>
      <c r="I41" s="8">
        <f>IF(A41="","",IF(P41="Yes","Eaten",IF(H41="","",IF(H41&lt;0,"Past its best",IF(H41&lt;=1,"Eat today",IF(H41&lt;=3,"Eat this week","Keep"))))))</f>
        <v>0</v>
      </c>
      <c r="J41" s="8">
        <f>IF(OR(A41="",D41=""),"",IFERROR(D41*IFERROR(INDEX(Recipes!$Q$5:$Q$204,MATCH(C41,Recipes!$A$5:$A$204,0)),""),""))</f>
        <v>0</v>
      </c>
      <c r="K41" s="8">
        <f>IF(OR(E41&lt;&gt;"Fridge",H41=""),"",COUNTIFS($E$5:$E$154,"Fridge",$H$5:$H$154,"&lt;"&amp;H41)+1)</f>
        <v>0</v>
      </c>
      <c r="L41" s="8">
        <f>IF(OR(E41&lt;&gt;"Freezer",H41=""),"",COUNTIFS($E$5:$E$154,"Freezer",$H$5:$H$154,"&lt;"&amp;H41)+1)</f>
        <v>0</v>
      </c>
      <c r="M41" s="7"/>
      <c r="N41" s="26"/>
      <c r="O41" s="8">
        <f>IF(OR(A41="",G41=""),"",G41-1)</f>
        <v>0</v>
      </c>
      <c r="P41" s="27"/>
      <c r="Q41" s="25"/>
    </row>
    <row r="42" spans="1:17">
      <c r="A42" s="7"/>
      <c r="B42" s="7"/>
      <c r="C42" s="27"/>
      <c r="D42" s="26"/>
      <c r="E42" s="27"/>
      <c r="F42" s="30"/>
      <c r="G42" s="8">
        <f>IF(OR(A42="",F42=""),"",IF(E42="Freezer",F42+Freezer_Review_Days,F42+Leftover_Safe_Days))</f>
        <v>0</v>
      </c>
      <c r="H42" s="8">
        <f>IF(OR(A42="",G42=""),"",G42-TODAY())</f>
        <v>0</v>
      </c>
      <c r="I42" s="8">
        <f>IF(A42="","",IF(P42="Yes","Eaten",IF(H42="","",IF(H42&lt;0,"Past its best",IF(H42&lt;=1,"Eat today",IF(H42&lt;=3,"Eat this week","Keep"))))))</f>
        <v>0</v>
      </c>
      <c r="J42" s="8">
        <f>IF(OR(A42="",D42=""),"",IFERROR(D42*IFERROR(INDEX(Recipes!$Q$5:$Q$204,MATCH(C42,Recipes!$A$5:$A$204,0)),""),""))</f>
        <v>0</v>
      </c>
      <c r="K42" s="8">
        <f>IF(OR(E42&lt;&gt;"Fridge",H42=""),"",COUNTIFS($E$5:$E$154,"Fridge",$H$5:$H$154,"&lt;"&amp;H42)+1)</f>
        <v>0</v>
      </c>
      <c r="L42" s="8">
        <f>IF(OR(E42&lt;&gt;"Freezer",H42=""),"",COUNTIFS($E$5:$E$154,"Freezer",$H$5:$H$154,"&lt;"&amp;H42)+1)</f>
        <v>0</v>
      </c>
      <c r="M42" s="7"/>
      <c r="N42" s="26"/>
      <c r="O42" s="8">
        <f>IF(OR(A42="",G42=""),"",G42-1)</f>
        <v>0</v>
      </c>
      <c r="P42" s="27"/>
      <c r="Q42" s="25"/>
    </row>
    <row r="43" spans="1:17">
      <c r="A43" s="7"/>
      <c r="B43" s="7"/>
      <c r="C43" s="27"/>
      <c r="D43" s="26"/>
      <c r="E43" s="27"/>
      <c r="F43" s="30"/>
      <c r="G43" s="8">
        <f>IF(OR(A43="",F43=""),"",IF(E43="Freezer",F43+Freezer_Review_Days,F43+Leftover_Safe_Days))</f>
        <v>0</v>
      </c>
      <c r="H43" s="8">
        <f>IF(OR(A43="",G43=""),"",G43-TODAY())</f>
        <v>0</v>
      </c>
      <c r="I43" s="8">
        <f>IF(A43="","",IF(P43="Yes","Eaten",IF(H43="","",IF(H43&lt;0,"Past its best",IF(H43&lt;=1,"Eat today",IF(H43&lt;=3,"Eat this week","Keep"))))))</f>
        <v>0</v>
      </c>
      <c r="J43" s="8">
        <f>IF(OR(A43="",D43=""),"",IFERROR(D43*IFERROR(INDEX(Recipes!$Q$5:$Q$204,MATCH(C43,Recipes!$A$5:$A$204,0)),""),""))</f>
        <v>0</v>
      </c>
      <c r="K43" s="8">
        <f>IF(OR(E43&lt;&gt;"Fridge",H43=""),"",COUNTIFS($E$5:$E$154,"Fridge",$H$5:$H$154,"&lt;"&amp;H43)+1)</f>
        <v>0</v>
      </c>
      <c r="L43" s="8">
        <f>IF(OR(E43&lt;&gt;"Freezer",H43=""),"",COUNTIFS($E$5:$E$154,"Freezer",$H$5:$H$154,"&lt;"&amp;H43)+1)</f>
        <v>0</v>
      </c>
      <c r="M43" s="7"/>
      <c r="N43" s="26"/>
      <c r="O43" s="8">
        <f>IF(OR(A43="",G43=""),"",G43-1)</f>
        <v>0</v>
      </c>
      <c r="P43" s="27"/>
      <c r="Q43" s="25"/>
    </row>
    <row r="44" spans="1:17">
      <c r="A44" s="7"/>
      <c r="B44" s="7"/>
      <c r="C44" s="27"/>
      <c r="D44" s="26"/>
      <c r="E44" s="27"/>
      <c r="F44" s="30"/>
      <c r="G44" s="8">
        <f>IF(OR(A44="",F44=""),"",IF(E44="Freezer",F44+Freezer_Review_Days,F44+Leftover_Safe_Days))</f>
        <v>0</v>
      </c>
      <c r="H44" s="8">
        <f>IF(OR(A44="",G44=""),"",G44-TODAY())</f>
        <v>0</v>
      </c>
      <c r="I44" s="8">
        <f>IF(A44="","",IF(P44="Yes","Eaten",IF(H44="","",IF(H44&lt;0,"Past its best",IF(H44&lt;=1,"Eat today",IF(H44&lt;=3,"Eat this week","Keep"))))))</f>
        <v>0</v>
      </c>
      <c r="J44" s="8">
        <f>IF(OR(A44="",D44=""),"",IFERROR(D44*IFERROR(INDEX(Recipes!$Q$5:$Q$204,MATCH(C44,Recipes!$A$5:$A$204,0)),""),""))</f>
        <v>0</v>
      </c>
      <c r="K44" s="8">
        <f>IF(OR(E44&lt;&gt;"Fridge",H44=""),"",COUNTIFS($E$5:$E$154,"Fridge",$H$5:$H$154,"&lt;"&amp;H44)+1)</f>
        <v>0</v>
      </c>
      <c r="L44" s="8">
        <f>IF(OR(E44&lt;&gt;"Freezer",H44=""),"",COUNTIFS($E$5:$E$154,"Freezer",$H$5:$H$154,"&lt;"&amp;H44)+1)</f>
        <v>0</v>
      </c>
      <c r="M44" s="7"/>
      <c r="N44" s="26"/>
      <c r="O44" s="8">
        <f>IF(OR(A44="",G44=""),"",G44-1)</f>
        <v>0</v>
      </c>
      <c r="P44" s="27"/>
      <c r="Q44" s="25"/>
    </row>
    <row r="45" spans="1:17">
      <c r="A45" s="7"/>
      <c r="B45" s="7"/>
      <c r="C45" s="27"/>
      <c r="D45" s="26"/>
      <c r="E45" s="27"/>
      <c r="F45" s="30"/>
      <c r="G45" s="8">
        <f>IF(OR(A45="",F45=""),"",IF(E45="Freezer",F45+Freezer_Review_Days,F45+Leftover_Safe_Days))</f>
        <v>0</v>
      </c>
      <c r="H45" s="8">
        <f>IF(OR(A45="",G45=""),"",G45-TODAY())</f>
        <v>0</v>
      </c>
      <c r="I45" s="8">
        <f>IF(A45="","",IF(P45="Yes","Eaten",IF(H45="","",IF(H45&lt;0,"Past its best",IF(H45&lt;=1,"Eat today",IF(H45&lt;=3,"Eat this week","Keep"))))))</f>
        <v>0</v>
      </c>
      <c r="J45" s="8">
        <f>IF(OR(A45="",D45=""),"",IFERROR(D45*IFERROR(INDEX(Recipes!$Q$5:$Q$204,MATCH(C45,Recipes!$A$5:$A$204,0)),""),""))</f>
        <v>0</v>
      </c>
      <c r="K45" s="8">
        <f>IF(OR(E45&lt;&gt;"Fridge",H45=""),"",COUNTIFS($E$5:$E$154,"Fridge",$H$5:$H$154,"&lt;"&amp;H45)+1)</f>
        <v>0</v>
      </c>
      <c r="L45" s="8">
        <f>IF(OR(E45&lt;&gt;"Freezer",H45=""),"",COUNTIFS($E$5:$E$154,"Freezer",$H$5:$H$154,"&lt;"&amp;H45)+1)</f>
        <v>0</v>
      </c>
      <c r="M45" s="7"/>
      <c r="N45" s="26"/>
      <c r="O45" s="8">
        <f>IF(OR(A45="",G45=""),"",G45-1)</f>
        <v>0</v>
      </c>
      <c r="P45" s="27"/>
      <c r="Q45" s="25"/>
    </row>
    <row r="46" spans="1:17">
      <c r="A46" s="7"/>
      <c r="B46" s="7"/>
      <c r="C46" s="27"/>
      <c r="D46" s="26"/>
      <c r="E46" s="27"/>
      <c r="F46" s="30"/>
      <c r="G46" s="8">
        <f>IF(OR(A46="",F46=""),"",IF(E46="Freezer",F46+Freezer_Review_Days,F46+Leftover_Safe_Days))</f>
        <v>0</v>
      </c>
      <c r="H46" s="8">
        <f>IF(OR(A46="",G46=""),"",G46-TODAY())</f>
        <v>0</v>
      </c>
      <c r="I46" s="8">
        <f>IF(A46="","",IF(P46="Yes","Eaten",IF(H46="","",IF(H46&lt;0,"Past its best",IF(H46&lt;=1,"Eat today",IF(H46&lt;=3,"Eat this week","Keep"))))))</f>
        <v>0</v>
      </c>
      <c r="J46" s="8">
        <f>IF(OR(A46="",D46=""),"",IFERROR(D46*IFERROR(INDEX(Recipes!$Q$5:$Q$204,MATCH(C46,Recipes!$A$5:$A$204,0)),""),""))</f>
        <v>0</v>
      </c>
      <c r="K46" s="8">
        <f>IF(OR(E46&lt;&gt;"Fridge",H46=""),"",COUNTIFS($E$5:$E$154,"Fridge",$H$5:$H$154,"&lt;"&amp;H46)+1)</f>
        <v>0</v>
      </c>
      <c r="L46" s="8">
        <f>IF(OR(E46&lt;&gt;"Freezer",H46=""),"",COUNTIFS($E$5:$E$154,"Freezer",$H$5:$H$154,"&lt;"&amp;H46)+1)</f>
        <v>0</v>
      </c>
      <c r="M46" s="7"/>
      <c r="N46" s="26"/>
      <c r="O46" s="8">
        <f>IF(OR(A46="",G46=""),"",G46-1)</f>
        <v>0</v>
      </c>
      <c r="P46" s="27"/>
      <c r="Q46" s="25"/>
    </row>
    <row r="47" spans="1:17">
      <c r="A47" s="7"/>
      <c r="B47" s="7"/>
      <c r="C47" s="27"/>
      <c r="D47" s="26"/>
      <c r="E47" s="27"/>
      <c r="F47" s="30"/>
      <c r="G47" s="8">
        <f>IF(OR(A47="",F47=""),"",IF(E47="Freezer",F47+Freezer_Review_Days,F47+Leftover_Safe_Days))</f>
        <v>0</v>
      </c>
      <c r="H47" s="8">
        <f>IF(OR(A47="",G47=""),"",G47-TODAY())</f>
        <v>0</v>
      </c>
      <c r="I47" s="8">
        <f>IF(A47="","",IF(P47="Yes","Eaten",IF(H47="","",IF(H47&lt;0,"Past its best",IF(H47&lt;=1,"Eat today",IF(H47&lt;=3,"Eat this week","Keep"))))))</f>
        <v>0</v>
      </c>
      <c r="J47" s="8">
        <f>IF(OR(A47="",D47=""),"",IFERROR(D47*IFERROR(INDEX(Recipes!$Q$5:$Q$204,MATCH(C47,Recipes!$A$5:$A$204,0)),""),""))</f>
        <v>0</v>
      </c>
      <c r="K47" s="8">
        <f>IF(OR(E47&lt;&gt;"Fridge",H47=""),"",COUNTIFS($E$5:$E$154,"Fridge",$H$5:$H$154,"&lt;"&amp;H47)+1)</f>
        <v>0</v>
      </c>
      <c r="L47" s="8">
        <f>IF(OR(E47&lt;&gt;"Freezer",H47=""),"",COUNTIFS($E$5:$E$154,"Freezer",$H$5:$H$154,"&lt;"&amp;H47)+1)</f>
        <v>0</v>
      </c>
      <c r="M47" s="7"/>
      <c r="N47" s="26"/>
      <c r="O47" s="8">
        <f>IF(OR(A47="",G47=""),"",G47-1)</f>
        <v>0</v>
      </c>
      <c r="P47" s="27"/>
      <c r="Q47" s="25"/>
    </row>
    <row r="48" spans="1:17">
      <c r="A48" s="7"/>
      <c r="B48" s="7"/>
      <c r="C48" s="27"/>
      <c r="D48" s="26"/>
      <c r="E48" s="27"/>
      <c r="F48" s="30"/>
      <c r="G48" s="8">
        <f>IF(OR(A48="",F48=""),"",IF(E48="Freezer",F48+Freezer_Review_Days,F48+Leftover_Safe_Days))</f>
        <v>0</v>
      </c>
      <c r="H48" s="8">
        <f>IF(OR(A48="",G48=""),"",G48-TODAY())</f>
        <v>0</v>
      </c>
      <c r="I48" s="8">
        <f>IF(A48="","",IF(P48="Yes","Eaten",IF(H48="","",IF(H48&lt;0,"Past its best",IF(H48&lt;=1,"Eat today",IF(H48&lt;=3,"Eat this week","Keep"))))))</f>
        <v>0</v>
      </c>
      <c r="J48" s="8">
        <f>IF(OR(A48="",D48=""),"",IFERROR(D48*IFERROR(INDEX(Recipes!$Q$5:$Q$204,MATCH(C48,Recipes!$A$5:$A$204,0)),""),""))</f>
        <v>0</v>
      </c>
      <c r="K48" s="8">
        <f>IF(OR(E48&lt;&gt;"Fridge",H48=""),"",COUNTIFS($E$5:$E$154,"Fridge",$H$5:$H$154,"&lt;"&amp;H48)+1)</f>
        <v>0</v>
      </c>
      <c r="L48" s="8">
        <f>IF(OR(E48&lt;&gt;"Freezer",H48=""),"",COUNTIFS($E$5:$E$154,"Freezer",$H$5:$H$154,"&lt;"&amp;H48)+1)</f>
        <v>0</v>
      </c>
      <c r="M48" s="7"/>
      <c r="N48" s="26"/>
      <c r="O48" s="8">
        <f>IF(OR(A48="",G48=""),"",G48-1)</f>
        <v>0</v>
      </c>
      <c r="P48" s="27"/>
      <c r="Q48" s="25"/>
    </row>
    <row r="49" spans="1:17">
      <c r="A49" s="7"/>
      <c r="B49" s="7"/>
      <c r="C49" s="27"/>
      <c r="D49" s="26"/>
      <c r="E49" s="27"/>
      <c r="F49" s="30"/>
      <c r="G49" s="8">
        <f>IF(OR(A49="",F49=""),"",IF(E49="Freezer",F49+Freezer_Review_Days,F49+Leftover_Safe_Days))</f>
        <v>0</v>
      </c>
      <c r="H49" s="8">
        <f>IF(OR(A49="",G49=""),"",G49-TODAY())</f>
        <v>0</v>
      </c>
      <c r="I49" s="8">
        <f>IF(A49="","",IF(P49="Yes","Eaten",IF(H49="","",IF(H49&lt;0,"Past its best",IF(H49&lt;=1,"Eat today",IF(H49&lt;=3,"Eat this week","Keep"))))))</f>
        <v>0</v>
      </c>
      <c r="J49" s="8">
        <f>IF(OR(A49="",D49=""),"",IFERROR(D49*IFERROR(INDEX(Recipes!$Q$5:$Q$204,MATCH(C49,Recipes!$A$5:$A$204,0)),""),""))</f>
        <v>0</v>
      </c>
      <c r="K49" s="8">
        <f>IF(OR(E49&lt;&gt;"Fridge",H49=""),"",COUNTIFS($E$5:$E$154,"Fridge",$H$5:$H$154,"&lt;"&amp;H49)+1)</f>
        <v>0</v>
      </c>
      <c r="L49" s="8">
        <f>IF(OR(E49&lt;&gt;"Freezer",H49=""),"",COUNTIFS($E$5:$E$154,"Freezer",$H$5:$H$154,"&lt;"&amp;H49)+1)</f>
        <v>0</v>
      </c>
      <c r="M49" s="7"/>
      <c r="N49" s="26"/>
      <c r="O49" s="8">
        <f>IF(OR(A49="",G49=""),"",G49-1)</f>
        <v>0</v>
      </c>
      <c r="P49" s="27"/>
      <c r="Q49" s="25"/>
    </row>
    <row r="50" spans="1:17">
      <c r="A50" s="7"/>
      <c r="B50" s="7"/>
      <c r="C50" s="27"/>
      <c r="D50" s="26"/>
      <c r="E50" s="27"/>
      <c r="F50" s="30"/>
      <c r="G50" s="8">
        <f>IF(OR(A50="",F50=""),"",IF(E50="Freezer",F50+Freezer_Review_Days,F50+Leftover_Safe_Days))</f>
        <v>0</v>
      </c>
      <c r="H50" s="8">
        <f>IF(OR(A50="",G50=""),"",G50-TODAY())</f>
        <v>0</v>
      </c>
      <c r="I50" s="8">
        <f>IF(A50="","",IF(P50="Yes","Eaten",IF(H50="","",IF(H50&lt;0,"Past its best",IF(H50&lt;=1,"Eat today",IF(H50&lt;=3,"Eat this week","Keep"))))))</f>
        <v>0</v>
      </c>
      <c r="J50" s="8">
        <f>IF(OR(A50="",D50=""),"",IFERROR(D50*IFERROR(INDEX(Recipes!$Q$5:$Q$204,MATCH(C50,Recipes!$A$5:$A$204,0)),""),""))</f>
        <v>0</v>
      </c>
      <c r="K50" s="8">
        <f>IF(OR(E50&lt;&gt;"Fridge",H50=""),"",COUNTIFS($E$5:$E$154,"Fridge",$H$5:$H$154,"&lt;"&amp;H50)+1)</f>
        <v>0</v>
      </c>
      <c r="L50" s="8">
        <f>IF(OR(E50&lt;&gt;"Freezer",H50=""),"",COUNTIFS($E$5:$E$154,"Freezer",$H$5:$H$154,"&lt;"&amp;H50)+1)</f>
        <v>0</v>
      </c>
      <c r="M50" s="7"/>
      <c r="N50" s="26"/>
      <c r="O50" s="8">
        <f>IF(OR(A50="",G50=""),"",G50-1)</f>
        <v>0</v>
      </c>
      <c r="P50" s="27"/>
      <c r="Q50" s="25"/>
    </row>
    <row r="51" spans="1:17">
      <c r="A51" s="7"/>
      <c r="B51" s="7"/>
      <c r="C51" s="27"/>
      <c r="D51" s="26"/>
      <c r="E51" s="27"/>
      <c r="F51" s="30"/>
      <c r="G51" s="8">
        <f>IF(OR(A51="",F51=""),"",IF(E51="Freezer",F51+Freezer_Review_Days,F51+Leftover_Safe_Days))</f>
        <v>0</v>
      </c>
      <c r="H51" s="8">
        <f>IF(OR(A51="",G51=""),"",G51-TODAY())</f>
        <v>0</v>
      </c>
      <c r="I51" s="8">
        <f>IF(A51="","",IF(P51="Yes","Eaten",IF(H51="","",IF(H51&lt;0,"Past its best",IF(H51&lt;=1,"Eat today",IF(H51&lt;=3,"Eat this week","Keep"))))))</f>
        <v>0</v>
      </c>
      <c r="J51" s="8">
        <f>IF(OR(A51="",D51=""),"",IFERROR(D51*IFERROR(INDEX(Recipes!$Q$5:$Q$204,MATCH(C51,Recipes!$A$5:$A$204,0)),""),""))</f>
        <v>0</v>
      </c>
      <c r="K51" s="8">
        <f>IF(OR(E51&lt;&gt;"Fridge",H51=""),"",COUNTIFS($E$5:$E$154,"Fridge",$H$5:$H$154,"&lt;"&amp;H51)+1)</f>
        <v>0</v>
      </c>
      <c r="L51" s="8">
        <f>IF(OR(E51&lt;&gt;"Freezer",H51=""),"",COUNTIFS($E$5:$E$154,"Freezer",$H$5:$H$154,"&lt;"&amp;H51)+1)</f>
        <v>0</v>
      </c>
      <c r="M51" s="7"/>
      <c r="N51" s="26"/>
      <c r="O51" s="8">
        <f>IF(OR(A51="",G51=""),"",G51-1)</f>
        <v>0</v>
      </c>
      <c r="P51" s="27"/>
      <c r="Q51" s="25"/>
    </row>
    <row r="52" spans="1:17">
      <c r="A52" s="7"/>
      <c r="B52" s="7"/>
      <c r="C52" s="27"/>
      <c r="D52" s="26"/>
      <c r="E52" s="27"/>
      <c r="F52" s="30"/>
      <c r="G52" s="8">
        <f>IF(OR(A52="",F52=""),"",IF(E52="Freezer",F52+Freezer_Review_Days,F52+Leftover_Safe_Days))</f>
        <v>0</v>
      </c>
      <c r="H52" s="8">
        <f>IF(OR(A52="",G52=""),"",G52-TODAY())</f>
        <v>0</v>
      </c>
      <c r="I52" s="8">
        <f>IF(A52="","",IF(P52="Yes","Eaten",IF(H52="","",IF(H52&lt;0,"Past its best",IF(H52&lt;=1,"Eat today",IF(H52&lt;=3,"Eat this week","Keep"))))))</f>
        <v>0</v>
      </c>
      <c r="J52" s="8">
        <f>IF(OR(A52="",D52=""),"",IFERROR(D52*IFERROR(INDEX(Recipes!$Q$5:$Q$204,MATCH(C52,Recipes!$A$5:$A$204,0)),""),""))</f>
        <v>0</v>
      </c>
      <c r="K52" s="8">
        <f>IF(OR(E52&lt;&gt;"Fridge",H52=""),"",COUNTIFS($E$5:$E$154,"Fridge",$H$5:$H$154,"&lt;"&amp;H52)+1)</f>
        <v>0</v>
      </c>
      <c r="L52" s="8">
        <f>IF(OR(E52&lt;&gt;"Freezer",H52=""),"",COUNTIFS($E$5:$E$154,"Freezer",$H$5:$H$154,"&lt;"&amp;H52)+1)</f>
        <v>0</v>
      </c>
      <c r="M52" s="7"/>
      <c r="N52" s="26"/>
      <c r="O52" s="8">
        <f>IF(OR(A52="",G52=""),"",G52-1)</f>
        <v>0</v>
      </c>
      <c r="P52" s="27"/>
      <c r="Q52" s="25"/>
    </row>
    <row r="53" spans="1:17">
      <c r="A53" s="7"/>
      <c r="B53" s="7"/>
      <c r="C53" s="27"/>
      <c r="D53" s="26"/>
      <c r="E53" s="27"/>
      <c r="F53" s="30"/>
      <c r="G53" s="8">
        <f>IF(OR(A53="",F53=""),"",IF(E53="Freezer",F53+Freezer_Review_Days,F53+Leftover_Safe_Days))</f>
        <v>0</v>
      </c>
      <c r="H53" s="8">
        <f>IF(OR(A53="",G53=""),"",G53-TODAY())</f>
        <v>0</v>
      </c>
      <c r="I53" s="8">
        <f>IF(A53="","",IF(P53="Yes","Eaten",IF(H53="","",IF(H53&lt;0,"Past its best",IF(H53&lt;=1,"Eat today",IF(H53&lt;=3,"Eat this week","Keep"))))))</f>
        <v>0</v>
      </c>
      <c r="J53" s="8">
        <f>IF(OR(A53="",D53=""),"",IFERROR(D53*IFERROR(INDEX(Recipes!$Q$5:$Q$204,MATCH(C53,Recipes!$A$5:$A$204,0)),""),""))</f>
        <v>0</v>
      </c>
      <c r="K53" s="8">
        <f>IF(OR(E53&lt;&gt;"Fridge",H53=""),"",COUNTIFS($E$5:$E$154,"Fridge",$H$5:$H$154,"&lt;"&amp;H53)+1)</f>
        <v>0</v>
      </c>
      <c r="L53" s="8">
        <f>IF(OR(E53&lt;&gt;"Freezer",H53=""),"",COUNTIFS($E$5:$E$154,"Freezer",$H$5:$H$154,"&lt;"&amp;H53)+1)</f>
        <v>0</v>
      </c>
      <c r="M53" s="7"/>
      <c r="N53" s="26"/>
      <c r="O53" s="8">
        <f>IF(OR(A53="",G53=""),"",G53-1)</f>
        <v>0</v>
      </c>
      <c r="P53" s="27"/>
      <c r="Q53" s="25"/>
    </row>
    <row r="54" spans="1:17">
      <c r="A54" s="7"/>
      <c r="B54" s="7"/>
      <c r="C54" s="27"/>
      <c r="D54" s="26"/>
      <c r="E54" s="27"/>
      <c r="F54" s="30"/>
      <c r="G54" s="8">
        <f>IF(OR(A54="",F54=""),"",IF(E54="Freezer",F54+Freezer_Review_Days,F54+Leftover_Safe_Days))</f>
        <v>0</v>
      </c>
      <c r="H54" s="8">
        <f>IF(OR(A54="",G54=""),"",G54-TODAY())</f>
        <v>0</v>
      </c>
      <c r="I54" s="8">
        <f>IF(A54="","",IF(P54="Yes","Eaten",IF(H54="","",IF(H54&lt;0,"Past its best",IF(H54&lt;=1,"Eat today",IF(H54&lt;=3,"Eat this week","Keep"))))))</f>
        <v>0</v>
      </c>
      <c r="J54" s="8">
        <f>IF(OR(A54="",D54=""),"",IFERROR(D54*IFERROR(INDEX(Recipes!$Q$5:$Q$204,MATCH(C54,Recipes!$A$5:$A$204,0)),""),""))</f>
        <v>0</v>
      </c>
      <c r="K54" s="8">
        <f>IF(OR(E54&lt;&gt;"Fridge",H54=""),"",COUNTIFS($E$5:$E$154,"Fridge",$H$5:$H$154,"&lt;"&amp;H54)+1)</f>
        <v>0</v>
      </c>
      <c r="L54" s="8">
        <f>IF(OR(E54&lt;&gt;"Freezer",H54=""),"",COUNTIFS($E$5:$E$154,"Freezer",$H$5:$H$154,"&lt;"&amp;H54)+1)</f>
        <v>0</v>
      </c>
      <c r="M54" s="7"/>
      <c r="N54" s="26"/>
      <c r="O54" s="8">
        <f>IF(OR(A54="",G54=""),"",G54-1)</f>
        <v>0</v>
      </c>
      <c r="P54" s="27"/>
      <c r="Q54" s="25"/>
    </row>
    <row r="55" spans="1:17">
      <c r="A55" s="7"/>
      <c r="B55" s="7"/>
      <c r="C55" s="27"/>
      <c r="D55" s="26"/>
      <c r="E55" s="27"/>
      <c r="F55" s="30"/>
      <c r="G55" s="8">
        <f>IF(OR(A55="",F55=""),"",IF(E55="Freezer",F55+Freezer_Review_Days,F55+Leftover_Safe_Days))</f>
        <v>0</v>
      </c>
      <c r="H55" s="8">
        <f>IF(OR(A55="",G55=""),"",G55-TODAY())</f>
        <v>0</v>
      </c>
      <c r="I55" s="8">
        <f>IF(A55="","",IF(P55="Yes","Eaten",IF(H55="","",IF(H55&lt;0,"Past its best",IF(H55&lt;=1,"Eat today",IF(H55&lt;=3,"Eat this week","Keep"))))))</f>
        <v>0</v>
      </c>
      <c r="J55" s="8">
        <f>IF(OR(A55="",D55=""),"",IFERROR(D55*IFERROR(INDEX(Recipes!$Q$5:$Q$204,MATCH(C55,Recipes!$A$5:$A$204,0)),""),""))</f>
        <v>0</v>
      </c>
      <c r="K55" s="8">
        <f>IF(OR(E55&lt;&gt;"Fridge",H55=""),"",COUNTIFS($E$5:$E$154,"Fridge",$H$5:$H$154,"&lt;"&amp;H55)+1)</f>
        <v>0</v>
      </c>
      <c r="L55" s="8">
        <f>IF(OR(E55&lt;&gt;"Freezer",H55=""),"",COUNTIFS($E$5:$E$154,"Freezer",$H$5:$H$154,"&lt;"&amp;H55)+1)</f>
        <v>0</v>
      </c>
      <c r="M55" s="7"/>
      <c r="N55" s="26"/>
      <c r="O55" s="8">
        <f>IF(OR(A55="",G55=""),"",G55-1)</f>
        <v>0</v>
      </c>
      <c r="P55" s="27"/>
      <c r="Q55" s="25"/>
    </row>
    <row r="56" spans="1:17">
      <c r="A56" s="7"/>
      <c r="B56" s="7"/>
      <c r="C56" s="27"/>
      <c r="D56" s="26"/>
      <c r="E56" s="27"/>
      <c r="F56" s="30"/>
      <c r="G56" s="8">
        <f>IF(OR(A56="",F56=""),"",IF(E56="Freezer",F56+Freezer_Review_Days,F56+Leftover_Safe_Days))</f>
        <v>0</v>
      </c>
      <c r="H56" s="8">
        <f>IF(OR(A56="",G56=""),"",G56-TODAY())</f>
        <v>0</v>
      </c>
      <c r="I56" s="8">
        <f>IF(A56="","",IF(P56="Yes","Eaten",IF(H56="","",IF(H56&lt;0,"Past its best",IF(H56&lt;=1,"Eat today",IF(H56&lt;=3,"Eat this week","Keep"))))))</f>
        <v>0</v>
      </c>
      <c r="J56" s="8">
        <f>IF(OR(A56="",D56=""),"",IFERROR(D56*IFERROR(INDEX(Recipes!$Q$5:$Q$204,MATCH(C56,Recipes!$A$5:$A$204,0)),""),""))</f>
        <v>0</v>
      </c>
      <c r="K56" s="8">
        <f>IF(OR(E56&lt;&gt;"Fridge",H56=""),"",COUNTIFS($E$5:$E$154,"Fridge",$H$5:$H$154,"&lt;"&amp;H56)+1)</f>
        <v>0</v>
      </c>
      <c r="L56" s="8">
        <f>IF(OR(E56&lt;&gt;"Freezer",H56=""),"",COUNTIFS($E$5:$E$154,"Freezer",$H$5:$H$154,"&lt;"&amp;H56)+1)</f>
        <v>0</v>
      </c>
      <c r="M56" s="7"/>
      <c r="N56" s="26"/>
      <c r="O56" s="8">
        <f>IF(OR(A56="",G56=""),"",G56-1)</f>
        <v>0</v>
      </c>
      <c r="P56" s="27"/>
      <c r="Q56" s="25"/>
    </row>
    <row r="57" spans="1:17">
      <c r="A57" s="7"/>
      <c r="B57" s="7"/>
      <c r="C57" s="27"/>
      <c r="D57" s="26"/>
      <c r="E57" s="27"/>
      <c r="F57" s="30"/>
      <c r="G57" s="8">
        <f>IF(OR(A57="",F57=""),"",IF(E57="Freezer",F57+Freezer_Review_Days,F57+Leftover_Safe_Days))</f>
        <v>0</v>
      </c>
      <c r="H57" s="8">
        <f>IF(OR(A57="",G57=""),"",G57-TODAY())</f>
        <v>0</v>
      </c>
      <c r="I57" s="8">
        <f>IF(A57="","",IF(P57="Yes","Eaten",IF(H57="","",IF(H57&lt;0,"Past its best",IF(H57&lt;=1,"Eat today",IF(H57&lt;=3,"Eat this week","Keep"))))))</f>
        <v>0</v>
      </c>
      <c r="J57" s="8">
        <f>IF(OR(A57="",D57=""),"",IFERROR(D57*IFERROR(INDEX(Recipes!$Q$5:$Q$204,MATCH(C57,Recipes!$A$5:$A$204,0)),""),""))</f>
        <v>0</v>
      </c>
      <c r="K57" s="8">
        <f>IF(OR(E57&lt;&gt;"Fridge",H57=""),"",COUNTIFS($E$5:$E$154,"Fridge",$H$5:$H$154,"&lt;"&amp;H57)+1)</f>
        <v>0</v>
      </c>
      <c r="L57" s="8">
        <f>IF(OR(E57&lt;&gt;"Freezer",H57=""),"",COUNTIFS($E$5:$E$154,"Freezer",$H$5:$H$154,"&lt;"&amp;H57)+1)</f>
        <v>0</v>
      </c>
      <c r="M57" s="7"/>
      <c r="N57" s="26"/>
      <c r="O57" s="8">
        <f>IF(OR(A57="",G57=""),"",G57-1)</f>
        <v>0</v>
      </c>
      <c r="P57" s="27"/>
      <c r="Q57" s="25"/>
    </row>
    <row r="58" spans="1:17">
      <c r="A58" s="7"/>
      <c r="B58" s="7"/>
      <c r="C58" s="27"/>
      <c r="D58" s="26"/>
      <c r="E58" s="27"/>
      <c r="F58" s="30"/>
      <c r="G58" s="8">
        <f>IF(OR(A58="",F58=""),"",IF(E58="Freezer",F58+Freezer_Review_Days,F58+Leftover_Safe_Days))</f>
        <v>0</v>
      </c>
      <c r="H58" s="8">
        <f>IF(OR(A58="",G58=""),"",G58-TODAY())</f>
        <v>0</v>
      </c>
      <c r="I58" s="8">
        <f>IF(A58="","",IF(P58="Yes","Eaten",IF(H58="","",IF(H58&lt;0,"Past its best",IF(H58&lt;=1,"Eat today",IF(H58&lt;=3,"Eat this week","Keep"))))))</f>
        <v>0</v>
      </c>
      <c r="J58" s="8">
        <f>IF(OR(A58="",D58=""),"",IFERROR(D58*IFERROR(INDEX(Recipes!$Q$5:$Q$204,MATCH(C58,Recipes!$A$5:$A$204,0)),""),""))</f>
        <v>0</v>
      </c>
      <c r="K58" s="8">
        <f>IF(OR(E58&lt;&gt;"Fridge",H58=""),"",COUNTIFS($E$5:$E$154,"Fridge",$H$5:$H$154,"&lt;"&amp;H58)+1)</f>
        <v>0</v>
      </c>
      <c r="L58" s="8">
        <f>IF(OR(E58&lt;&gt;"Freezer",H58=""),"",COUNTIFS($E$5:$E$154,"Freezer",$H$5:$H$154,"&lt;"&amp;H58)+1)</f>
        <v>0</v>
      </c>
      <c r="M58" s="7"/>
      <c r="N58" s="26"/>
      <c r="O58" s="8">
        <f>IF(OR(A58="",G58=""),"",G58-1)</f>
        <v>0</v>
      </c>
      <c r="P58" s="27"/>
      <c r="Q58" s="25"/>
    </row>
    <row r="59" spans="1:17">
      <c r="A59" s="7"/>
      <c r="B59" s="7"/>
      <c r="C59" s="27"/>
      <c r="D59" s="26"/>
      <c r="E59" s="27"/>
      <c r="F59" s="30"/>
      <c r="G59" s="8">
        <f>IF(OR(A59="",F59=""),"",IF(E59="Freezer",F59+Freezer_Review_Days,F59+Leftover_Safe_Days))</f>
        <v>0</v>
      </c>
      <c r="H59" s="8">
        <f>IF(OR(A59="",G59=""),"",G59-TODAY())</f>
        <v>0</v>
      </c>
      <c r="I59" s="8">
        <f>IF(A59="","",IF(P59="Yes","Eaten",IF(H59="","",IF(H59&lt;0,"Past its best",IF(H59&lt;=1,"Eat today",IF(H59&lt;=3,"Eat this week","Keep"))))))</f>
        <v>0</v>
      </c>
      <c r="J59" s="8">
        <f>IF(OR(A59="",D59=""),"",IFERROR(D59*IFERROR(INDEX(Recipes!$Q$5:$Q$204,MATCH(C59,Recipes!$A$5:$A$204,0)),""),""))</f>
        <v>0</v>
      </c>
      <c r="K59" s="8">
        <f>IF(OR(E59&lt;&gt;"Fridge",H59=""),"",COUNTIFS($E$5:$E$154,"Fridge",$H$5:$H$154,"&lt;"&amp;H59)+1)</f>
        <v>0</v>
      </c>
      <c r="L59" s="8">
        <f>IF(OR(E59&lt;&gt;"Freezer",H59=""),"",COUNTIFS($E$5:$E$154,"Freezer",$H$5:$H$154,"&lt;"&amp;H59)+1)</f>
        <v>0</v>
      </c>
      <c r="M59" s="7"/>
      <c r="N59" s="26"/>
      <c r="O59" s="8">
        <f>IF(OR(A59="",G59=""),"",G59-1)</f>
        <v>0</v>
      </c>
      <c r="P59" s="27"/>
      <c r="Q59" s="25"/>
    </row>
    <row r="60" spans="1:17">
      <c r="A60" s="7"/>
      <c r="B60" s="7"/>
      <c r="C60" s="27"/>
      <c r="D60" s="26"/>
      <c r="E60" s="27"/>
      <c r="F60" s="30"/>
      <c r="G60" s="8">
        <f>IF(OR(A60="",F60=""),"",IF(E60="Freezer",F60+Freezer_Review_Days,F60+Leftover_Safe_Days))</f>
        <v>0</v>
      </c>
      <c r="H60" s="8">
        <f>IF(OR(A60="",G60=""),"",G60-TODAY())</f>
        <v>0</v>
      </c>
      <c r="I60" s="8">
        <f>IF(A60="","",IF(P60="Yes","Eaten",IF(H60="","",IF(H60&lt;0,"Past its best",IF(H60&lt;=1,"Eat today",IF(H60&lt;=3,"Eat this week","Keep"))))))</f>
        <v>0</v>
      </c>
      <c r="J60" s="8">
        <f>IF(OR(A60="",D60=""),"",IFERROR(D60*IFERROR(INDEX(Recipes!$Q$5:$Q$204,MATCH(C60,Recipes!$A$5:$A$204,0)),""),""))</f>
        <v>0</v>
      </c>
      <c r="K60" s="8">
        <f>IF(OR(E60&lt;&gt;"Fridge",H60=""),"",COUNTIFS($E$5:$E$154,"Fridge",$H$5:$H$154,"&lt;"&amp;H60)+1)</f>
        <v>0</v>
      </c>
      <c r="L60" s="8">
        <f>IF(OR(E60&lt;&gt;"Freezer",H60=""),"",COUNTIFS($E$5:$E$154,"Freezer",$H$5:$H$154,"&lt;"&amp;H60)+1)</f>
        <v>0</v>
      </c>
      <c r="M60" s="7"/>
      <c r="N60" s="26"/>
      <c r="O60" s="8">
        <f>IF(OR(A60="",G60=""),"",G60-1)</f>
        <v>0</v>
      </c>
      <c r="P60" s="27"/>
      <c r="Q60" s="25"/>
    </row>
    <row r="61" spans="1:17">
      <c r="A61" s="7"/>
      <c r="B61" s="7"/>
      <c r="C61" s="27"/>
      <c r="D61" s="26"/>
      <c r="E61" s="27"/>
      <c r="F61" s="30"/>
      <c r="G61" s="8">
        <f>IF(OR(A61="",F61=""),"",IF(E61="Freezer",F61+Freezer_Review_Days,F61+Leftover_Safe_Days))</f>
        <v>0</v>
      </c>
      <c r="H61" s="8">
        <f>IF(OR(A61="",G61=""),"",G61-TODAY())</f>
        <v>0</v>
      </c>
      <c r="I61" s="8">
        <f>IF(A61="","",IF(P61="Yes","Eaten",IF(H61="","",IF(H61&lt;0,"Past its best",IF(H61&lt;=1,"Eat today",IF(H61&lt;=3,"Eat this week","Keep"))))))</f>
        <v>0</v>
      </c>
      <c r="J61" s="8">
        <f>IF(OR(A61="",D61=""),"",IFERROR(D61*IFERROR(INDEX(Recipes!$Q$5:$Q$204,MATCH(C61,Recipes!$A$5:$A$204,0)),""),""))</f>
        <v>0</v>
      </c>
      <c r="K61" s="8">
        <f>IF(OR(E61&lt;&gt;"Fridge",H61=""),"",COUNTIFS($E$5:$E$154,"Fridge",$H$5:$H$154,"&lt;"&amp;H61)+1)</f>
        <v>0</v>
      </c>
      <c r="L61" s="8">
        <f>IF(OR(E61&lt;&gt;"Freezer",H61=""),"",COUNTIFS($E$5:$E$154,"Freezer",$H$5:$H$154,"&lt;"&amp;H61)+1)</f>
        <v>0</v>
      </c>
      <c r="M61" s="7"/>
      <c r="N61" s="26"/>
      <c r="O61" s="8">
        <f>IF(OR(A61="",G61=""),"",G61-1)</f>
        <v>0</v>
      </c>
      <c r="P61" s="27"/>
      <c r="Q61" s="25"/>
    </row>
    <row r="62" spans="1:17">
      <c r="A62" s="7"/>
      <c r="B62" s="7"/>
      <c r="C62" s="27"/>
      <c r="D62" s="26"/>
      <c r="E62" s="27"/>
      <c r="F62" s="30"/>
      <c r="G62" s="8">
        <f>IF(OR(A62="",F62=""),"",IF(E62="Freezer",F62+Freezer_Review_Days,F62+Leftover_Safe_Days))</f>
        <v>0</v>
      </c>
      <c r="H62" s="8">
        <f>IF(OR(A62="",G62=""),"",G62-TODAY())</f>
        <v>0</v>
      </c>
      <c r="I62" s="8">
        <f>IF(A62="","",IF(P62="Yes","Eaten",IF(H62="","",IF(H62&lt;0,"Past its best",IF(H62&lt;=1,"Eat today",IF(H62&lt;=3,"Eat this week","Keep"))))))</f>
        <v>0</v>
      </c>
      <c r="J62" s="8">
        <f>IF(OR(A62="",D62=""),"",IFERROR(D62*IFERROR(INDEX(Recipes!$Q$5:$Q$204,MATCH(C62,Recipes!$A$5:$A$204,0)),""),""))</f>
        <v>0</v>
      </c>
      <c r="K62" s="8">
        <f>IF(OR(E62&lt;&gt;"Fridge",H62=""),"",COUNTIFS($E$5:$E$154,"Fridge",$H$5:$H$154,"&lt;"&amp;H62)+1)</f>
        <v>0</v>
      </c>
      <c r="L62" s="8">
        <f>IF(OR(E62&lt;&gt;"Freezer",H62=""),"",COUNTIFS($E$5:$E$154,"Freezer",$H$5:$H$154,"&lt;"&amp;H62)+1)</f>
        <v>0</v>
      </c>
      <c r="M62" s="7"/>
      <c r="N62" s="26"/>
      <c r="O62" s="8">
        <f>IF(OR(A62="",G62=""),"",G62-1)</f>
        <v>0</v>
      </c>
      <c r="P62" s="27"/>
      <c r="Q62" s="25"/>
    </row>
    <row r="63" spans="1:17">
      <c r="A63" s="7"/>
      <c r="B63" s="7"/>
      <c r="C63" s="27"/>
      <c r="D63" s="26"/>
      <c r="E63" s="27"/>
      <c r="F63" s="30"/>
      <c r="G63" s="8">
        <f>IF(OR(A63="",F63=""),"",IF(E63="Freezer",F63+Freezer_Review_Days,F63+Leftover_Safe_Days))</f>
        <v>0</v>
      </c>
      <c r="H63" s="8">
        <f>IF(OR(A63="",G63=""),"",G63-TODAY())</f>
        <v>0</v>
      </c>
      <c r="I63" s="8">
        <f>IF(A63="","",IF(P63="Yes","Eaten",IF(H63="","",IF(H63&lt;0,"Past its best",IF(H63&lt;=1,"Eat today",IF(H63&lt;=3,"Eat this week","Keep"))))))</f>
        <v>0</v>
      </c>
      <c r="J63" s="8">
        <f>IF(OR(A63="",D63=""),"",IFERROR(D63*IFERROR(INDEX(Recipes!$Q$5:$Q$204,MATCH(C63,Recipes!$A$5:$A$204,0)),""),""))</f>
        <v>0</v>
      </c>
      <c r="K63" s="8">
        <f>IF(OR(E63&lt;&gt;"Fridge",H63=""),"",COUNTIFS($E$5:$E$154,"Fridge",$H$5:$H$154,"&lt;"&amp;H63)+1)</f>
        <v>0</v>
      </c>
      <c r="L63" s="8">
        <f>IF(OR(E63&lt;&gt;"Freezer",H63=""),"",COUNTIFS($E$5:$E$154,"Freezer",$H$5:$H$154,"&lt;"&amp;H63)+1)</f>
        <v>0</v>
      </c>
      <c r="M63" s="7"/>
      <c r="N63" s="26"/>
      <c r="O63" s="8">
        <f>IF(OR(A63="",G63=""),"",G63-1)</f>
        <v>0</v>
      </c>
      <c r="P63" s="27"/>
      <c r="Q63" s="25"/>
    </row>
    <row r="64" spans="1:17">
      <c r="A64" s="7"/>
      <c r="B64" s="7"/>
      <c r="C64" s="27"/>
      <c r="D64" s="26"/>
      <c r="E64" s="27"/>
      <c r="F64" s="30"/>
      <c r="G64" s="8">
        <f>IF(OR(A64="",F64=""),"",IF(E64="Freezer",F64+Freezer_Review_Days,F64+Leftover_Safe_Days))</f>
        <v>0</v>
      </c>
      <c r="H64" s="8">
        <f>IF(OR(A64="",G64=""),"",G64-TODAY())</f>
        <v>0</v>
      </c>
      <c r="I64" s="8">
        <f>IF(A64="","",IF(P64="Yes","Eaten",IF(H64="","",IF(H64&lt;0,"Past its best",IF(H64&lt;=1,"Eat today",IF(H64&lt;=3,"Eat this week","Keep"))))))</f>
        <v>0</v>
      </c>
      <c r="J64" s="8">
        <f>IF(OR(A64="",D64=""),"",IFERROR(D64*IFERROR(INDEX(Recipes!$Q$5:$Q$204,MATCH(C64,Recipes!$A$5:$A$204,0)),""),""))</f>
        <v>0</v>
      </c>
      <c r="K64" s="8">
        <f>IF(OR(E64&lt;&gt;"Fridge",H64=""),"",COUNTIFS($E$5:$E$154,"Fridge",$H$5:$H$154,"&lt;"&amp;H64)+1)</f>
        <v>0</v>
      </c>
      <c r="L64" s="8">
        <f>IF(OR(E64&lt;&gt;"Freezer",H64=""),"",COUNTIFS($E$5:$E$154,"Freezer",$H$5:$H$154,"&lt;"&amp;H64)+1)</f>
        <v>0</v>
      </c>
      <c r="M64" s="7"/>
      <c r="N64" s="26"/>
      <c r="O64" s="8">
        <f>IF(OR(A64="",G64=""),"",G64-1)</f>
        <v>0</v>
      </c>
      <c r="P64" s="27"/>
      <c r="Q64" s="25"/>
    </row>
    <row r="65" spans="1:17">
      <c r="A65" s="7"/>
      <c r="B65" s="7"/>
      <c r="C65" s="27"/>
      <c r="D65" s="26"/>
      <c r="E65" s="27"/>
      <c r="F65" s="30"/>
      <c r="G65" s="8">
        <f>IF(OR(A65="",F65=""),"",IF(E65="Freezer",F65+Freezer_Review_Days,F65+Leftover_Safe_Days))</f>
        <v>0</v>
      </c>
      <c r="H65" s="8">
        <f>IF(OR(A65="",G65=""),"",G65-TODAY())</f>
        <v>0</v>
      </c>
      <c r="I65" s="8">
        <f>IF(A65="","",IF(P65="Yes","Eaten",IF(H65="","",IF(H65&lt;0,"Past its best",IF(H65&lt;=1,"Eat today",IF(H65&lt;=3,"Eat this week","Keep"))))))</f>
        <v>0</v>
      </c>
      <c r="J65" s="8">
        <f>IF(OR(A65="",D65=""),"",IFERROR(D65*IFERROR(INDEX(Recipes!$Q$5:$Q$204,MATCH(C65,Recipes!$A$5:$A$204,0)),""),""))</f>
        <v>0</v>
      </c>
      <c r="K65" s="8">
        <f>IF(OR(E65&lt;&gt;"Fridge",H65=""),"",COUNTIFS($E$5:$E$154,"Fridge",$H$5:$H$154,"&lt;"&amp;H65)+1)</f>
        <v>0</v>
      </c>
      <c r="L65" s="8">
        <f>IF(OR(E65&lt;&gt;"Freezer",H65=""),"",COUNTIFS($E$5:$E$154,"Freezer",$H$5:$H$154,"&lt;"&amp;H65)+1)</f>
        <v>0</v>
      </c>
      <c r="M65" s="7"/>
      <c r="N65" s="26"/>
      <c r="O65" s="8">
        <f>IF(OR(A65="",G65=""),"",G65-1)</f>
        <v>0</v>
      </c>
      <c r="P65" s="27"/>
      <c r="Q65" s="25"/>
    </row>
    <row r="66" spans="1:17">
      <c r="A66" s="7"/>
      <c r="B66" s="7"/>
      <c r="C66" s="27"/>
      <c r="D66" s="26"/>
      <c r="E66" s="27"/>
      <c r="F66" s="30"/>
      <c r="G66" s="8">
        <f>IF(OR(A66="",F66=""),"",IF(E66="Freezer",F66+Freezer_Review_Days,F66+Leftover_Safe_Days))</f>
        <v>0</v>
      </c>
      <c r="H66" s="8">
        <f>IF(OR(A66="",G66=""),"",G66-TODAY())</f>
        <v>0</v>
      </c>
      <c r="I66" s="8">
        <f>IF(A66="","",IF(P66="Yes","Eaten",IF(H66="","",IF(H66&lt;0,"Past its best",IF(H66&lt;=1,"Eat today",IF(H66&lt;=3,"Eat this week","Keep"))))))</f>
        <v>0</v>
      </c>
      <c r="J66" s="8">
        <f>IF(OR(A66="",D66=""),"",IFERROR(D66*IFERROR(INDEX(Recipes!$Q$5:$Q$204,MATCH(C66,Recipes!$A$5:$A$204,0)),""),""))</f>
        <v>0</v>
      </c>
      <c r="K66" s="8">
        <f>IF(OR(E66&lt;&gt;"Fridge",H66=""),"",COUNTIFS($E$5:$E$154,"Fridge",$H$5:$H$154,"&lt;"&amp;H66)+1)</f>
        <v>0</v>
      </c>
      <c r="L66" s="8">
        <f>IF(OR(E66&lt;&gt;"Freezer",H66=""),"",COUNTIFS($E$5:$E$154,"Freezer",$H$5:$H$154,"&lt;"&amp;H66)+1)</f>
        <v>0</v>
      </c>
      <c r="M66" s="7"/>
      <c r="N66" s="26"/>
      <c r="O66" s="8">
        <f>IF(OR(A66="",G66=""),"",G66-1)</f>
        <v>0</v>
      </c>
      <c r="P66" s="27"/>
      <c r="Q66" s="25"/>
    </row>
    <row r="67" spans="1:17">
      <c r="A67" s="7"/>
      <c r="B67" s="7"/>
      <c r="C67" s="27"/>
      <c r="D67" s="26"/>
      <c r="E67" s="27"/>
      <c r="F67" s="30"/>
      <c r="G67" s="8">
        <f>IF(OR(A67="",F67=""),"",IF(E67="Freezer",F67+Freezer_Review_Days,F67+Leftover_Safe_Days))</f>
        <v>0</v>
      </c>
      <c r="H67" s="8">
        <f>IF(OR(A67="",G67=""),"",G67-TODAY())</f>
        <v>0</v>
      </c>
      <c r="I67" s="8">
        <f>IF(A67="","",IF(P67="Yes","Eaten",IF(H67="","",IF(H67&lt;0,"Past its best",IF(H67&lt;=1,"Eat today",IF(H67&lt;=3,"Eat this week","Keep"))))))</f>
        <v>0</v>
      </c>
      <c r="J67" s="8">
        <f>IF(OR(A67="",D67=""),"",IFERROR(D67*IFERROR(INDEX(Recipes!$Q$5:$Q$204,MATCH(C67,Recipes!$A$5:$A$204,0)),""),""))</f>
        <v>0</v>
      </c>
      <c r="K67" s="8">
        <f>IF(OR(E67&lt;&gt;"Fridge",H67=""),"",COUNTIFS($E$5:$E$154,"Fridge",$H$5:$H$154,"&lt;"&amp;H67)+1)</f>
        <v>0</v>
      </c>
      <c r="L67" s="8">
        <f>IF(OR(E67&lt;&gt;"Freezer",H67=""),"",COUNTIFS($E$5:$E$154,"Freezer",$H$5:$H$154,"&lt;"&amp;H67)+1)</f>
        <v>0</v>
      </c>
      <c r="M67" s="7"/>
      <c r="N67" s="26"/>
      <c r="O67" s="8">
        <f>IF(OR(A67="",G67=""),"",G67-1)</f>
        <v>0</v>
      </c>
      <c r="P67" s="27"/>
      <c r="Q67" s="25"/>
    </row>
    <row r="68" spans="1:17">
      <c r="A68" s="7"/>
      <c r="B68" s="7"/>
      <c r="C68" s="27"/>
      <c r="D68" s="26"/>
      <c r="E68" s="27"/>
      <c r="F68" s="30"/>
      <c r="G68" s="8">
        <f>IF(OR(A68="",F68=""),"",IF(E68="Freezer",F68+Freezer_Review_Days,F68+Leftover_Safe_Days))</f>
        <v>0</v>
      </c>
      <c r="H68" s="8">
        <f>IF(OR(A68="",G68=""),"",G68-TODAY())</f>
        <v>0</v>
      </c>
      <c r="I68" s="8">
        <f>IF(A68="","",IF(P68="Yes","Eaten",IF(H68="","",IF(H68&lt;0,"Past its best",IF(H68&lt;=1,"Eat today",IF(H68&lt;=3,"Eat this week","Keep"))))))</f>
        <v>0</v>
      </c>
      <c r="J68" s="8">
        <f>IF(OR(A68="",D68=""),"",IFERROR(D68*IFERROR(INDEX(Recipes!$Q$5:$Q$204,MATCH(C68,Recipes!$A$5:$A$204,0)),""),""))</f>
        <v>0</v>
      </c>
      <c r="K68" s="8">
        <f>IF(OR(E68&lt;&gt;"Fridge",H68=""),"",COUNTIFS($E$5:$E$154,"Fridge",$H$5:$H$154,"&lt;"&amp;H68)+1)</f>
        <v>0</v>
      </c>
      <c r="L68" s="8">
        <f>IF(OR(E68&lt;&gt;"Freezer",H68=""),"",COUNTIFS($E$5:$E$154,"Freezer",$H$5:$H$154,"&lt;"&amp;H68)+1)</f>
        <v>0</v>
      </c>
      <c r="M68" s="7"/>
      <c r="N68" s="26"/>
      <c r="O68" s="8">
        <f>IF(OR(A68="",G68=""),"",G68-1)</f>
        <v>0</v>
      </c>
      <c r="P68" s="27"/>
      <c r="Q68" s="25"/>
    </row>
    <row r="69" spans="1:17">
      <c r="A69" s="7"/>
      <c r="B69" s="7"/>
      <c r="C69" s="27"/>
      <c r="D69" s="26"/>
      <c r="E69" s="27"/>
      <c r="F69" s="30"/>
      <c r="G69" s="8">
        <f>IF(OR(A69="",F69=""),"",IF(E69="Freezer",F69+Freezer_Review_Days,F69+Leftover_Safe_Days))</f>
        <v>0</v>
      </c>
      <c r="H69" s="8">
        <f>IF(OR(A69="",G69=""),"",G69-TODAY())</f>
        <v>0</v>
      </c>
      <c r="I69" s="8">
        <f>IF(A69="","",IF(P69="Yes","Eaten",IF(H69="","",IF(H69&lt;0,"Past its best",IF(H69&lt;=1,"Eat today",IF(H69&lt;=3,"Eat this week","Keep"))))))</f>
        <v>0</v>
      </c>
      <c r="J69" s="8">
        <f>IF(OR(A69="",D69=""),"",IFERROR(D69*IFERROR(INDEX(Recipes!$Q$5:$Q$204,MATCH(C69,Recipes!$A$5:$A$204,0)),""),""))</f>
        <v>0</v>
      </c>
      <c r="K69" s="8">
        <f>IF(OR(E69&lt;&gt;"Fridge",H69=""),"",COUNTIFS($E$5:$E$154,"Fridge",$H$5:$H$154,"&lt;"&amp;H69)+1)</f>
        <v>0</v>
      </c>
      <c r="L69" s="8">
        <f>IF(OR(E69&lt;&gt;"Freezer",H69=""),"",COUNTIFS($E$5:$E$154,"Freezer",$H$5:$H$154,"&lt;"&amp;H69)+1)</f>
        <v>0</v>
      </c>
      <c r="M69" s="7"/>
      <c r="N69" s="26"/>
      <c r="O69" s="8">
        <f>IF(OR(A69="",G69=""),"",G69-1)</f>
        <v>0</v>
      </c>
      <c r="P69" s="27"/>
      <c r="Q69" s="25"/>
    </row>
    <row r="70" spans="1:17">
      <c r="A70" s="7"/>
      <c r="B70" s="7"/>
      <c r="C70" s="27"/>
      <c r="D70" s="26"/>
      <c r="E70" s="27"/>
      <c r="F70" s="30"/>
      <c r="G70" s="8">
        <f>IF(OR(A70="",F70=""),"",IF(E70="Freezer",F70+Freezer_Review_Days,F70+Leftover_Safe_Days))</f>
        <v>0</v>
      </c>
      <c r="H70" s="8">
        <f>IF(OR(A70="",G70=""),"",G70-TODAY())</f>
        <v>0</v>
      </c>
      <c r="I70" s="8">
        <f>IF(A70="","",IF(P70="Yes","Eaten",IF(H70="","",IF(H70&lt;0,"Past its best",IF(H70&lt;=1,"Eat today",IF(H70&lt;=3,"Eat this week","Keep"))))))</f>
        <v>0</v>
      </c>
      <c r="J70" s="8">
        <f>IF(OR(A70="",D70=""),"",IFERROR(D70*IFERROR(INDEX(Recipes!$Q$5:$Q$204,MATCH(C70,Recipes!$A$5:$A$204,0)),""),""))</f>
        <v>0</v>
      </c>
      <c r="K70" s="8">
        <f>IF(OR(E70&lt;&gt;"Fridge",H70=""),"",COUNTIFS($E$5:$E$154,"Fridge",$H$5:$H$154,"&lt;"&amp;H70)+1)</f>
        <v>0</v>
      </c>
      <c r="L70" s="8">
        <f>IF(OR(E70&lt;&gt;"Freezer",H70=""),"",COUNTIFS($E$5:$E$154,"Freezer",$H$5:$H$154,"&lt;"&amp;H70)+1)</f>
        <v>0</v>
      </c>
      <c r="M70" s="7"/>
      <c r="N70" s="26"/>
      <c r="O70" s="8">
        <f>IF(OR(A70="",G70=""),"",G70-1)</f>
        <v>0</v>
      </c>
      <c r="P70" s="27"/>
      <c r="Q70" s="25"/>
    </row>
    <row r="71" spans="1:17">
      <c r="A71" s="7"/>
      <c r="B71" s="7"/>
      <c r="C71" s="27"/>
      <c r="D71" s="26"/>
      <c r="E71" s="27"/>
      <c r="F71" s="30"/>
      <c r="G71" s="8">
        <f>IF(OR(A71="",F71=""),"",IF(E71="Freezer",F71+Freezer_Review_Days,F71+Leftover_Safe_Days))</f>
        <v>0</v>
      </c>
      <c r="H71" s="8">
        <f>IF(OR(A71="",G71=""),"",G71-TODAY())</f>
        <v>0</v>
      </c>
      <c r="I71" s="8">
        <f>IF(A71="","",IF(P71="Yes","Eaten",IF(H71="","",IF(H71&lt;0,"Past its best",IF(H71&lt;=1,"Eat today",IF(H71&lt;=3,"Eat this week","Keep"))))))</f>
        <v>0</v>
      </c>
      <c r="J71" s="8">
        <f>IF(OR(A71="",D71=""),"",IFERROR(D71*IFERROR(INDEX(Recipes!$Q$5:$Q$204,MATCH(C71,Recipes!$A$5:$A$204,0)),""),""))</f>
        <v>0</v>
      </c>
      <c r="K71" s="8">
        <f>IF(OR(E71&lt;&gt;"Fridge",H71=""),"",COUNTIFS($E$5:$E$154,"Fridge",$H$5:$H$154,"&lt;"&amp;H71)+1)</f>
        <v>0</v>
      </c>
      <c r="L71" s="8">
        <f>IF(OR(E71&lt;&gt;"Freezer",H71=""),"",COUNTIFS($E$5:$E$154,"Freezer",$H$5:$H$154,"&lt;"&amp;H71)+1)</f>
        <v>0</v>
      </c>
      <c r="M71" s="7"/>
      <c r="N71" s="26"/>
      <c r="O71" s="8">
        <f>IF(OR(A71="",G71=""),"",G71-1)</f>
        <v>0</v>
      </c>
      <c r="P71" s="27"/>
      <c r="Q71" s="25"/>
    </row>
    <row r="72" spans="1:17">
      <c r="A72" s="7"/>
      <c r="B72" s="7"/>
      <c r="C72" s="27"/>
      <c r="D72" s="26"/>
      <c r="E72" s="27"/>
      <c r="F72" s="30"/>
      <c r="G72" s="8">
        <f>IF(OR(A72="",F72=""),"",IF(E72="Freezer",F72+Freezer_Review_Days,F72+Leftover_Safe_Days))</f>
        <v>0</v>
      </c>
      <c r="H72" s="8">
        <f>IF(OR(A72="",G72=""),"",G72-TODAY())</f>
        <v>0</v>
      </c>
      <c r="I72" s="8">
        <f>IF(A72="","",IF(P72="Yes","Eaten",IF(H72="","",IF(H72&lt;0,"Past its best",IF(H72&lt;=1,"Eat today",IF(H72&lt;=3,"Eat this week","Keep"))))))</f>
        <v>0</v>
      </c>
      <c r="J72" s="8">
        <f>IF(OR(A72="",D72=""),"",IFERROR(D72*IFERROR(INDEX(Recipes!$Q$5:$Q$204,MATCH(C72,Recipes!$A$5:$A$204,0)),""),""))</f>
        <v>0</v>
      </c>
      <c r="K72" s="8">
        <f>IF(OR(E72&lt;&gt;"Fridge",H72=""),"",COUNTIFS($E$5:$E$154,"Fridge",$H$5:$H$154,"&lt;"&amp;H72)+1)</f>
        <v>0</v>
      </c>
      <c r="L72" s="8">
        <f>IF(OR(E72&lt;&gt;"Freezer",H72=""),"",COUNTIFS($E$5:$E$154,"Freezer",$H$5:$H$154,"&lt;"&amp;H72)+1)</f>
        <v>0</v>
      </c>
      <c r="M72" s="7"/>
      <c r="N72" s="26"/>
      <c r="O72" s="8">
        <f>IF(OR(A72="",G72=""),"",G72-1)</f>
        <v>0</v>
      </c>
      <c r="P72" s="27"/>
      <c r="Q72" s="25"/>
    </row>
    <row r="73" spans="1:17">
      <c r="A73" s="7"/>
      <c r="B73" s="7"/>
      <c r="C73" s="27"/>
      <c r="D73" s="26"/>
      <c r="E73" s="27"/>
      <c r="F73" s="30"/>
      <c r="G73" s="8">
        <f>IF(OR(A73="",F73=""),"",IF(E73="Freezer",F73+Freezer_Review_Days,F73+Leftover_Safe_Days))</f>
        <v>0</v>
      </c>
      <c r="H73" s="8">
        <f>IF(OR(A73="",G73=""),"",G73-TODAY())</f>
        <v>0</v>
      </c>
      <c r="I73" s="8">
        <f>IF(A73="","",IF(P73="Yes","Eaten",IF(H73="","",IF(H73&lt;0,"Past its best",IF(H73&lt;=1,"Eat today",IF(H73&lt;=3,"Eat this week","Keep"))))))</f>
        <v>0</v>
      </c>
      <c r="J73" s="8">
        <f>IF(OR(A73="",D73=""),"",IFERROR(D73*IFERROR(INDEX(Recipes!$Q$5:$Q$204,MATCH(C73,Recipes!$A$5:$A$204,0)),""),""))</f>
        <v>0</v>
      </c>
      <c r="K73" s="8">
        <f>IF(OR(E73&lt;&gt;"Fridge",H73=""),"",COUNTIFS($E$5:$E$154,"Fridge",$H$5:$H$154,"&lt;"&amp;H73)+1)</f>
        <v>0</v>
      </c>
      <c r="L73" s="8">
        <f>IF(OR(E73&lt;&gt;"Freezer",H73=""),"",COUNTIFS($E$5:$E$154,"Freezer",$H$5:$H$154,"&lt;"&amp;H73)+1)</f>
        <v>0</v>
      </c>
      <c r="M73" s="7"/>
      <c r="N73" s="26"/>
      <c r="O73" s="8">
        <f>IF(OR(A73="",G73=""),"",G73-1)</f>
        <v>0</v>
      </c>
      <c r="P73" s="27"/>
      <c r="Q73" s="25"/>
    </row>
    <row r="74" spans="1:17">
      <c r="A74" s="7"/>
      <c r="B74" s="7"/>
      <c r="C74" s="27"/>
      <c r="D74" s="26"/>
      <c r="E74" s="27"/>
      <c r="F74" s="30"/>
      <c r="G74" s="8">
        <f>IF(OR(A74="",F74=""),"",IF(E74="Freezer",F74+Freezer_Review_Days,F74+Leftover_Safe_Days))</f>
        <v>0</v>
      </c>
      <c r="H74" s="8">
        <f>IF(OR(A74="",G74=""),"",G74-TODAY())</f>
        <v>0</v>
      </c>
      <c r="I74" s="8">
        <f>IF(A74="","",IF(P74="Yes","Eaten",IF(H74="","",IF(H74&lt;0,"Past its best",IF(H74&lt;=1,"Eat today",IF(H74&lt;=3,"Eat this week","Keep"))))))</f>
        <v>0</v>
      </c>
      <c r="J74" s="8">
        <f>IF(OR(A74="",D74=""),"",IFERROR(D74*IFERROR(INDEX(Recipes!$Q$5:$Q$204,MATCH(C74,Recipes!$A$5:$A$204,0)),""),""))</f>
        <v>0</v>
      </c>
      <c r="K74" s="8">
        <f>IF(OR(E74&lt;&gt;"Fridge",H74=""),"",COUNTIFS($E$5:$E$154,"Fridge",$H$5:$H$154,"&lt;"&amp;H74)+1)</f>
        <v>0</v>
      </c>
      <c r="L74" s="8">
        <f>IF(OR(E74&lt;&gt;"Freezer",H74=""),"",COUNTIFS($E$5:$E$154,"Freezer",$H$5:$H$154,"&lt;"&amp;H74)+1)</f>
        <v>0</v>
      </c>
      <c r="M74" s="7"/>
      <c r="N74" s="26"/>
      <c r="O74" s="8">
        <f>IF(OR(A74="",G74=""),"",G74-1)</f>
        <v>0</v>
      </c>
      <c r="P74" s="27"/>
      <c r="Q74" s="25"/>
    </row>
    <row r="75" spans="1:17">
      <c r="A75" s="7"/>
      <c r="B75" s="7"/>
      <c r="C75" s="27"/>
      <c r="D75" s="26"/>
      <c r="E75" s="27"/>
      <c r="F75" s="30"/>
      <c r="G75" s="8">
        <f>IF(OR(A75="",F75=""),"",IF(E75="Freezer",F75+Freezer_Review_Days,F75+Leftover_Safe_Days))</f>
        <v>0</v>
      </c>
      <c r="H75" s="8">
        <f>IF(OR(A75="",G75=""),"",G75-TODAY())</f>
        <v>0</v>
      </c>
      <c r="I75" s="8">
        <f>IF(A75="","",IF(P75="Yes","Eaten",IF(H75="","",IF(H75&lt;0,"Past its best",IF(H75&lt;=1,"Eat today",IF(H75&lt;=3,"Eat this week","Keep"))))))</f>
        <v>0</v>
      </c>
      <c r="J75" s="8">
        <f>IF(OR(A75="",D75=""),"",IFERROR(D75*IFERROR(INDEX(Recipes!$Q$5:$Q$204,MATCH(C75,Recipes!$A$5:$A$204,0)),""),""))</f>
        <v>0</v>
      </c>
      <c r="K75" s="8">
        <f>IF(OR(E75&lt;&gt;"Fridge",H75=""),"",COUNTIFS($E$5:$E$154,"Fridge",$H$5:$H$154,"&lt;"&amp;H75)+1)</f>
        <v>0</v>
      </c>
      <c r="L75" s="8">
        <f>IF(OR(E75&lt;&gt;"Freezer",H75=""),"",COUNTIFS($E$5:$E$154,"Freezer",$H$5:$H$154,"&lt;"&amp;H75)+1)</f>
        <v>0</v>
      </c>
      <c r="M75" s="7"/>
      <c r="N75" s="26"/>
      <c r="O75" s="8">
        <f>IF(OR(A75="",G75=""),"",G75-1)</f>
        <v>0</v>
      </c>
      <c r="P75" s="27"/>
      <c r="Q75" s="25"/>
    </row>
    <row r="76" spans="1:17">
      <c r="A76" s="7"/>
      <c r="B76" s="7"/>
      <c r="C76" s="27"/>
      <c r="D76" s="26"/>
      <c r="E76" s="27"/>
      <c r="F76" s="30"/>
      <c r="G76" s="8">
        <f>IF(OR(A76="",F76=""),"",IF(E76="Freezer",F76+Freezer_Review_Days,F76+Leftover_Safe_Days))</f>
        <v>0</v>
      </c>
      <c r="H76" s="8">
        <f>IF(OR(A76="",G76=""),"",G76-TODAY())</f>
        <v>0</v>
      </c>
      <c r="I76" s="8">
        <f>IF(A76="","",IF(P76="Yes","Eaten",IF(H76="","",IF(H76&lt;0,"Past its best",IF(H76&lt;=1,"Eat today",IF(H76&lt;=3,"Eat this week","Keep"))))))</f>
        <v>0</v>
      </c>
      <c r="J76" s="8">
        <f>IF(OR(A76="",D76=""),"",IFERROR(D76*IFERROR(INDEX(Recipes!$Q$5:$Q$204,MATCH(C76,Recipes!$A$5:$A$204,0)),""),""))</f>
        <v>0</v>
      </c>
      <c r="K76" s="8">
        <f>IF(OR(E76&lt;&gt;"Fridge",H76=""),"",COUNTIFS($E$5:$E$154,"Fridge",$H$5:$H$154,"&lt;"&amp;H76)+1)</f>
        <v>0</v>
      </c>
      <c r="L76" s="8">
        <f>IF(OR(E76&lt;&gt;"Freezer",H76=""),"",COUNTIFS($E$5:$E$154,"Freezer",$H$5:$H$154,"&lt;"&amp;H76)+1)</f>
        <v>0</v>
      </c>
      <c r="M76" s="7"/>
      <c r="N76" s="26"/>
      <c r="O76" s="8">
        <f>IF(OR(A76="",G76=""),"",G76-1)</f>
        <v>0</v>
      </c>
      <c r="P76" s="27"/>
      <c r="Q76" s="25"/>
    </row>
    <row r="77" spans="1:17">
      <c r="A77" s="7"/>
      <c r="B77" s="7"/>
      <c r="C77" s="27"/>
      <c r="D77" s="26"/>
      <c r="E77" s="27"/>
      <c r="F77" s="30"/>
      <c r="G77" s="8">
        <f>IF(OR(A77="",F77=""),"",IF(E77="Freezer",F77+Freezer_Review_Days,F77+Leftover_Safe_Days))</f>
        <v>0</v>
      </c>
      <c r="H77" s="8">
        <f>IF(OR(A77="",G77=""),"",G77-TODAY())</f>
        <v>0</v>
      </c>
      <c r="I77" s="8">
        <f>IF(A77="","",IF(P77="Yes","Eaten",IF(H77="","",IF(H77&lt;0,"Past its best",IF(H77&lt;=1,"Eat today",IF(H77&lt;=3,"Eat this week","Keep"))))))</f>
        <v>0</v>
      </c>
      <c r="J77" s="8">
        <f>IF(OR(A77="",D77=""),"",IFERROR(D77*IFERROR(INDEX(Recipes!$Q$5:$Q$204,MATCH(C77,Recipes!$A$5:$A$204,0)),""),""))</f>
        <v>0</v>
      </c>
      <c r="K77" s="8">
        <f>IF(OR(E77&lt;&gt;"Fridge",H77=""),"",COUNTIFS($E$5:$E$154,"Fridge",$H$5:$H$154,"&lt;"&amp;H77)+1)</f>
        <v>0</v>
      </c>
      <c r="L77" s="8">
        <f>IF(OR(E77&lt;&gt;"Freezer",H77=""),"",COUNTIFS($E$5:$E$154,"Freezer",$H$5:$H$154,"&lt;"&amp;H77)+1)</f>
        <v>0</v>
      </c>
      <c r="M77" s="7"/>
      <c r="N77" s="26"/>
      <c r="O77" s="8">
        <f>IF(OR(A77="",G77=""),"",G77-1)</f>
        <v>0</v>
      </c>
      <c r="P77" s="27"/>
      <c r="Q77" s="25"/>
    </row>
    <row r="78" spans="1:17">
      <c r="A78" s="7"/>
      <c r="B78" s="7"/>
      <c r="C78" s="27"/>
      <c r="D78" s="26"/>
      <c r="E78" s="27"/>
      <c r="F78" s="30"/>
      <c r="G78" s="8">
        <f>IF(OR(A78="",F78=""),"",IF(E78="Freezer",F78+Freezer_Review_Days,F78+Leftover_Safe_Days))</f>
        <v>0</v>
      </c>
      <c r="H78" s="8">
        <f>IF(OR(A78="",G78=""),"",G78-TODAY())</f>
        <v>0</v>
      </c>
      <c r="I78" s="8">
        <f>IF(A78="","",IF(P78="Yes","Eaten",IF(H78="","",IF(H78&lt;0,"Past its best",IF(H78&lt;=1,"Eat today",IF(H78&lt;=3,"Eat this week","Keep"))))))</f>
        <v>0</v>
      </c>
      <c r="J78" s="8">
        <f>IF(OR(A78="",D78=""),"",IFERROR(D78*IFERROR(INDEX(Recipes!$Q$5:$Q$204,MATCH(C78,Recipes!$A$5:$A$204,0)),""),""))</f>
        <v>0</v>
      </c>
      <c r="K78" s="8">
        <f>IF(OR(E78&lt;&gt;"Fridge",H78=""),"",COUNTIFS($E$5:$E$154,"Fridge",$H$5:$H$154,"&lt;"&amp;H78)+1)</f>
        <v>0</v>
      </c>
      <c r="L78" s="8">
        <f>IF(OR(E78&lt;&gt;"Freezer",H78=""),"",COUNTIFS($E$5:$E$154,"Freezer",$H$5:$H$154,"&lt;"&amp;H78)+1)</f>
        <v>0</v>
      </c>
      <c r="M78" s="7"/>
      <c r="N78" s="26"/>
      <c r="O78" s="8">
        <f>IF(OR(A78="",G78=""),"",G78-1)</f>
        <v>0</v>
      </c>
      <c r="P78" s="27"/>
      <c r="Q78" s="25"/>
    </row>
    <row r="79" spans="1:17">
      <c r="A79" s="7"/>
      <c r="B79" s="7"/>
      <c r="C79" s="27"/>
      <c r="D79" s="26"/>
      <c r="E79" s="27"/>
      <c r="F79" s="30"/>
      <c r="G79" s="8">
        <f>IF(OR(A79="",F79=""),"",IF(E79="Freezer",F79+Freezer_Review_Days,F79+Leftover_Safe_Days))</f>
        <v>0</v>
      </c>
      <c r="H79" s="8">
        <f>IF(OR(A79="",G79=""),"",G79-TODAY())</f>
        <v>0</v>
      </c>
      <c r="I79" s="8">
        <f>IF(A79="","",IF(P79="Yes","Eaten",IF(H79="","",IF(H79&lt;0,"Past its best",IF(H79&lt;=1,"Eat today",IF(H79&lt;=3,"Eat this week","Keep"))))))</f>
        <v>0</v>
      </c>
      <c r="J79" s="8">
        <f>IF(OR(A79="",D79=""),"",IFERROR(D79*IFERROR(INDEX(Recipes!$Q$5:$Q$204,MATCH(C79,Recipes!$A$5:$A$204,0)),""),""))</f>
        <v>0</v>
      </c>
      <c r="K79" s="8">
        <f>IF(OR(E79&lt;&gt;"Fridge",H79=""),"",COUNTIFS($E$5:$E$154,"Fridge",$H$5:$H$154,"&lt;"&amp;H79)+1)</f>
        <v>0</v>
      </c>
      <c r="L79" s="8">
        <f>IF(OR(E79&lt;&gt;"Freezer",H79=""),"",COUNTIFS($E$5:$E$154,"Freezer",$H$5:$H$154,"&lt;"&amp;H79)+1)</f>
        <v>0</v>
      </c>
      <c r="M79" s="7"/>
      <c r="N79" s="26"/>
      <c r="O79" s="8">
        <f>IF(OR(A79="",G79=""),"",G79-1)</f>
        <v>0</v>
      </c>
      <c r="P79" s="27"/>
      <c r="Q79" s="25"/>
    </row>
    <row r="80" spans="1:17">
      <c r="A80" s="7"/>
      <c r="B80" s="7"/>
      <c r="C80" s="27"/>
      <c r="D80" s="26"/>
      <c r="E80" s="27"/>
      <c r="F80" s="30"/>
      <c r="G80" s="8">
        <f>IF(OR(A80="",F80=""),"",IF(E80="Freezer",F80+Freezer_Review_Days,F80+Leftover_Safe_Days))</f>
        <v>0</v>
      </c>
      <c r="H80" s="8">
        <f>IF(OR(A80="",G80=""),"",G80-TODAY())</f>
        <v>0</v>
      </c>
      <c r="I80" s="8">
        <f>IF(A80="","",IF(P80="Yes","Eaten",IF(H80="","",IF(H80&lt;0,"Past its best",IF(H80&lt;=1,"Eat today",IF(H80&lt;=3,"Eat this week","Keep"))))))</f>
        <v>0</v>
      </c>
      <c r="J80" s="8">
        <f>IF(OR(A80="",D80=""),"",IFERROR(D80*IFERROR(INDEX(Recipes!$Q$5:$Q$204,MATCH(C80,Recipes!$A$5:$A$204,0)),""),""))</f>
        <v>0</v>
      </c>
      <c r="K80" s="8">
        <f>IF(OR(E80&lt;&gt;"Fridge",H80=""),"",COUNTIFS($E$5:$E$154,"Fridge",$H$5:$H$154,"&lt;"&amp;H80)+1)</f>
        <v>0</v>
      </c>
      <c r="L80" s="8">
        <f>IF(OR(E80&lt;&gt;"Freezer",H80=""),"",COUNTIFS($E$5:$E$154,"Freezer",$H$5:$H$154,"&lt;"&amp;H80)+1)</f>
        <v>0</v>
      </c>
      <c r="M80" s="7"/>
      <c r="N80" s="26"/>
      <c r="O80" s="8">
        <f>IF(OR(A80="",G80=""),"",G80-1)</f>
        <v>0</v>
      </c>
      <c r="P80" s="27"/>
      <c r="Q80" s="25"/>
    </row>
    <row r="81" spans="1:17">
      <c r="A81" s="7"/>
      <c r="B81" s="7"/>
      <c r="C81" s="27"/>
      <c r="D81" s="26"/>
      <c r="E81" s="27"/>
      <c r="F81" s="30"/>
      <c r="G81" s="8">
        <f>IF(OR(A81="",F81=""),"",IF(E81="Freezer",F81+Freezer_Review_Days,F81+Leftover_Safe_Days))</f>
        <v>0</v>
      </c>
      <c r="H81" s="8">
        <f>IF(OR(A81="",G81=""),"",G81-TODAY())</f>
        <v>0</v>
      </c>
      <c r="I81" s="8">
        <f>IF(A81="","",IF(P81="Yes","Eaten",IF(H81="","",IF(H81&lt;0,"Past its best",IF(H81&lt;=1,"Eat today",IF(H81&lt;=3,"Eat this week","Keep"))))))</f>
        <v>0</v>
      </c>
      <c r="J81" s="8">
        <f>IF(OR(A81="",D81=""),"",IFERROR(D81*IFERROR(INDEX(Recipes!$Q$5:$Q$204,MATCH(C81,Recipes!$A$5:$A$204,0)),""),""))</f>
        <v>0</v>
      </c>
      <c r="K81" s="8">
        <f>IF(OR(E81&lt;&gt;"Fridge",H81=""),"",COUNTIFS($E$5:$E$154,"Fridge",$H$5:$H$154,"&lt;"&amp;H81)+1)</f>
        <v>0</v>
      </c>
      <c r="L81" s="8">
        <f>IF(OR(E81&lt;&gt;"Freezer",H81=""),"",COUNTIFS($E$5:$E$154,"Freezer",$H$5:$H$154,"&lt;"&amp;H81)+1)</f>
        <v>0</v>
      </c>
      <c r="M81" s="7"/>
      <c r="N81" s="26"/>
      <c r="O81" s="8">
        <f>IF(OR(A81="",G81=""),"",G81-1)</f>
        <v>0</v>
      </c>
      <c r="P81" s="27"/>
      <c r="Q81" s="25"/>
    </row>
    <row r="82" spans="1:17">
      <c r="A82" s="7"/>
      <c r="B82" s="7"/>
      <c r="C82" s="27"/>
      <c r="D82" s="26"/>
      <c r="E82" s="27"/>
      <c r="F82" s="30"/>
      <c r="G82" s="8">
        <f>IF(OR(A82="",F82=""),"",IF(E82="Freezer",F82+Freezer_Review_Days,F82+Leftover_Safe_Days))</f>
        <v>0</v>
      </c>
      <c r="H82" s="8">
        <f>IF(OR(A82="",G82=""),"",G82-TODAY())</f>
        <v>0</v>
      </c>
      <c r="I82" s="8">
        <f>IF(A82="","",IF(P82="Yes","Eaten",IF(H82="","",IF(H82&lt;0,"Past its best",IF(H82&lt;=1,"Eat today",IF(H82&lt;=3,"Eat this week","Keep"))))))</f>
        <v>0</v>
      </c>
      <c r="J82" s="8">
        <f>IF(OR(A82="",D82=""),"",IFERROR(D82*IFERROR(INDEX(Recipes!$Q$5:$Q$204,MATCH(C82,Recipes!$A$5:$A$204,0)),""),""))</f>
        <v>0</v>
      </c>
      <c r="K82" s="8">
        <f>IF(OR(E82&lt;&gt;"Fridge",H82=""),"",COUNTIFS($E$5:$E$154,"Fridge",$H$5:$H$154,"&lt;"&amp;H82)+1)</f>
        <v>0</v>
      </c>
      <c r="L82" s="8">
        <f>IF(OR(E82&lt;&gt;"Freezer",H82=""),"",COUNTIFS($E$5:$E$154,"Freezer",$H$5:$H$154,"&lt;"&amp;H82)+1)</f>
        <v>0</v>
      </c>
      <c r="M82" s="7"/>
      <c r="N82" s="26"/>
      <c r="O82" s="8">
        <f>IF(OR(A82="",G82=""),"",G82-1)</f>
        <v>0</v>
      </c>
      <c r="P82" s="27"/>
      <c r="Q82" s="25"/>
    </row>
    <row r="83" spans="1:17">
      <c r="A83" s="7"/>
      <c r="B83" s="7"/>
      <c r="C83" s="27"/>
      <c r="D83" s="26"/>
      <c r="E83" s="27"/>
      <c r="F83" s="30"/>
      <c r="G83" s="8">
        <f>IF(OR(A83="",F83=""),"",IF(E83="Freezer",F83+Freezer_Review_Days,F83+Leftover_Safe_Days))</f>
        <v>0</v>
      </c>
      <c r="H83" s="8">
        <f>IF(OR(A83="",G83=""),"",G83-TODAY())</f>
        <v>0</v>
      </c>
      <c r="I83" s="8">
        <f>IF(A83="","",IF(P83="Yes","Eaten",IF(H83="","",IF(H83&lt;0,"Past its best",IF(H83&lt;=1,"Eat today",IF(H83&lt;=3,"Eat this week","Keep"))))))</f>
        <v>0</v>
      </c>
      <c r="J83" s="8">
        <f>IF(OR(A83="",D83=""),"",IFERROR(D83*IFERROR(INDEX(Recipes!$Q$5:$Q$204,MATCH(C83,Recipes!$A$5:$A$204,0)),""),""))</f>
        <v>0</v>
      </c>
      <c r="K83" s="8">
        <f>IF(OR(E83&lt;&gt;"Fridge",H83=""),"",COUNTIFS($E$5:$E$154,"Fridge",$H$5:$H$154,"&lt;"&amp;H83)+1)</f>
        <v>0</v>
      </c>
      <c r="L83" s="8">
        <f>IF(OR(E83&lt;&gt;"Freezer",H83=""),"",COUNTIFS($E$5:$E$154,"Freezer",$H$5:$H$154,"&lt;"&amp;H83)+1)</f>
        <v>0</v>
      </c>
      <c r="M83" s="7"/>
      <c r="N83" s="26"/>
      <c r="O83" s="8">
        <f>IF(OR(A83="",G83=""),"",G83-1)</f>
        <v>0</v>
      </c>
      <c r="P83" s="27"/>
      <c r="Q83" s="25"/>
    </row>
    <row r="84" spans="1:17">
      <c r="A84" s="7"/>
      <c r="B84" s="7"/>
      <c r="C84" s="27"/>
      <c r="D84" s="26"/>
      <c r="E84" s="27"/>
      <c r="F84" s="30"/>
      <c r="G84" s="8">
        <f>IF(OR(A84="",F84=""),"",IF(E84="Freezer",F84+Freezer_Review_Days,F84+Leftover_Safe_Days))</f>
        <v>0</v>
      </c>
      <c r="H84" s="8">
        <f>IF(OR(A84="",G84=""),"",G84-TODAY())</f>
        <v>0</v>
      </c>
      <c r="I84" s="8">
        <f>IF(A84="","",IF(P84="Yes","Eaten",IF(H84="","",IF(H84&lt;0,"Past its best",IF(H84&lt;=1,"Eat today",IF(H84&lt;=3,"Eat this week","Keep"))))))</f>
        <v>0</v>
      </c>
      <c r="J84" s="8">
        <f>IF(OR(A84="",D84=""),"",IFERROR(D84*IFERROR(INDEX(Recipes!$Q$5:$Q$204,MATCH(C84,Recipes!$A$5:$A$204,0)),""),""))</f>
        <v>0</v>
      </c>
      <c r="K84" s="8">
        <f>IF(OR(E84&lt;&gt;"Fridge",H84=""),"",COUNTIFS($E$5:$E$154,"Fridge",$H$5:$H$154,"&lt;"&amp;H84)+1)</f>
        <v>0</v>
      </c>
      <c r="L84" s="8">
        <f>IF(OR(E84&lt;&gt;"Freezer",H84=""),"",COUNTIFS($E$5:$E$154,"Freezer",$H$5:$H$154,"&lt;"&amp;H84)+1)</f>
        <v>0</v>
      </c>
      <c r="M84" s="7"/>
      <c r="N84" s="26"/>
      <c r="O84" s="8">
        <f>IF(OR(A84="",G84=""),"",G84-1)</f>
        <v>0</v>
      </c>
      <c r="P84" s="27"/>
      <c r="Q84" s="25"/>
    </row>
    <row r="85" spans="1:17">
      <c r="A85" s="7"/>
      <c r="B85" s="7"/>
      <c r="C85" s="27"/>
      <c r="D85" s="26"/>
      <c r="E85" s="27"/>
      <c r="F85" s="30"/>
      <c r="G85" s="8">
        <f>IF(OR(A85="",F85=""),"",IF(E85="Freezer",F85+Freezer_Review_Days,F85+Leftover_Safe_Days))</f>
        <v>0</v>
      </c>
      <c r="H85" s="8">
        <f>IF(OR(A85="",G85=""),"",G85-TODAY())</f>
        <v>0</v>
      </c>
      <c r="I85" s="8">
        <f>IF(A85="","",IF(P85="Yes","Eaten",IF(H85="","",IF(H85&lt;0,"Past its best",IF(H85&lt;=1,"Eat today",IF(H85&lt;=3,"Eat this week","Keep"))))))</f>
        <v>0</v>
      </c>
      <c r="J85" s="8">
        <f>IF(OR(A85="",D85=""),"",IFERROR(D85*IFERROR(INDEX(Recipes!$Q$5:$Q$204,MATCH(C85,Recipes!$A$5:$A$204,0)),""),""))</f>
        <v>0</v>
      </c>
      <c r="K85" s="8">
        <f>IF(OR(E85&lt;&gt;"Fridge",H85=""),"",COUNTIFS($E$5:$E$154,"Fridge",$H$5:$H$154,"&lt;"&amp;H85)+1)</f>
        <v>0</v>
      </c>
      <c r="L85" s="8">
        <f>IF(OR(E85&lt;&gt;"Freezer",H85=""),"",COUNTIFS($E$5:$E$154,"Freezer",$H$5:$H$154,"&lt;"&amp;H85)+1)</f>
        <v>0</v>
      </c>
      <c r="M85" s="7"/>
      <c r="N85" s="26"/>
      <c r="O85" s="8">
        <f>IF(OR(A85="",G85=""),"",G85-1)</f>
        <v>0</v>
      </c>
      <c r="P85" s="27"/>
      <c r="Q85" s="25"/>
    </row>
    <row r="86" spans="1:17">
      <c r="A86" s="7"/>
      <c r="B86" s="7"/>
      <c r="C86" s="27"/>
      <c r="D86" s="26"/>
      <c r="E86" s="27"/>
      <c r="F86" s="30"/>
      <c r="G86" s="8">
        <f>IF(OR(A86="",F86=""),"",IF(E86="Freezer",F86+Freezer_Review_Days,F86+Leftover_Safe_Days))</f>
        <v>0</v>
      </c>
      <c r="H86" s="8">
        <f>IF(OR(A86="",G86=""),"",G86-TODAY())</f>
        <v>0</v>
      </c>
      <c r="I86" s="8">
        <f>IF(A86="","",IF(P86="Yes","Eaten",IF(H86="","",IF(H86&lt;0,"Past its best",IF(H86&lt;=1,"Eat today",IF(H86&lt;=3,"Eat this week","Keep"))))))</f>
        <v>0</v>
      </c>
      <c r="J86" s="8">
        <f>IF(OR(A86="",D86=""),"",IFERROR(D86*IFERROR(INDEX(Recipes!$Q$5:$Q$204,MATCH(C86,Recipes!$A$5:$A$204,0)),""),""))</f>
        <v>0</v>
      </c>
      <c r="K86" s="8">
        <f>IF(OR(E86&lt;&gt;"Fridge",H86=""),"",COUNTIFS($E$5:$E$154,"Fridge",$H$5:$H$154,"&lt;"&amp;H86)+1)</f>
        <v>0</v>
      </c>
      <c r="L86" s="8">
        <f>IF(OR(E86&lt;&gt;"Freezer",H86=""),"",COUNTIFS($E$5:$E$154,"Freezer",$H$5:$H$154,"&lt;"&amp;H86)+1)</f>
        <v>0</v>
      </c>
      <c r="M86" s="7"/>
      <c r="N86" s="26"/>
      <c r="O86" s="8">
        <f>IF(OR(A86="",G86=""),"",G86-1)</f>
        <v>0</v>
      </c>
      <c r="P86" s="27"/>
      <c r="Q86" s="25"/>
    </row>
    <row r="87" spans="1:17">
      <c r="A87" s="7"/>
      <c r="B87" s="7"/>
      <c r="C87" s="27"/>
      <c r="D87" s="26"/>
      <c r="E87" s="27"/>
      <c r="F87" s="30"/>
      <c r="G87" s="8">
        <f>IF(OR(A87="",F87=""),"",IF(E87="Freezer",F87+Freezer_Review_Days,F87+Leftover_Safe_Days))</f>
        <v>0</v>
      </c>
      <c r="H87" s="8">
        <f>IF(OR(A87="",G87=""),"",G87-TODAY())</f>
        <v>0</v>
      </c>
      <c r="I87" s="8">
        <f>IF(A87="","",IF(P87="Yes","Eaten",IF(H87="","",IF(H87&lt;0,"Past its best",IF(H87&lt;=1,"Eat today",IF(H87&lt;=3,"Eat this week","Keep"))))))</f>
        <v>0</v>
      </c>
      <c r="J87" s="8">
        <f>IF(OR(A87="",D87=""),"",IFERROR(D87*IFERROR(INDEX(Recipes!$Q$5:$Q$204,MATCH(C87,Recipes!$A$5:$A$204,0)),""),""))</f>
        <v>0</v>
      </c>
      <c r="K87" s="8">
        <f>IF(OR(E87&lt;&gt;"Fridge",H87=""),"",COUNTIFS($E$5:$E$154,"Fridge",$H$5:$H$154,"&lt;"&amp;H87)+1)</f>
        <v>0</v>
      </c>
      <c r="L87" s="8">
        <f>IF(OR(E87&lt;&gt;"Freezer",H87=""),"",COUNTIFS($E$5:$E$154,"Freezer",$H$5:$H$154,"&lt;"&amp;H87)+1)</f>
        <v>0</v>
      </c>
      <c r="M87" s="7"/>
      <c r="N87" s="26"/>
      <c r="O87" s="8">
        <f>IF(OR(A87="",G87=""),"",G87-1)</f>
        <v>0</v>
      </c>
      <c r="P87" s="27"/>
      <c r="Q87" s="25"/>
    </row>
    <row r="88" spans="1:17">
      <c r="A88" s="7"/>
      <c r="B88" s="7"/>
      <c r="C88" s="27"/>
      <c r="D88" s="26"/>
      <c r="E88" s="27"/>
      <c r="F88" s="30"/>
      <c r="G88" s="8">
        <f>IF(OR(A88="",F88=""),"",IF(E88="Freezer",F88+Freezer_Review_Days,F88+Leftover_Safe_Days))</f>
        <v>0</v>
      </c>
      <c r="H88" s="8">
        <f>IF(OR(A88="",G88=""),"",G88-TODAY())</f>
        <v>0</v>
      </c>
      <c r="I88" s="8">
        <f>IF(A88="","",IF(P88="Yes","Eaten",IF(H88="","",IF(H88&lt;0,"Past its best",IF(H88&lt;=1,"Eat today",IF(H88&lt;=3,"Eat this week","Keep"))))))</f>
        <v>0</v>
      </c>
      <c r="J88" s="8">
        <f>IF(OR(A88="",D88=""),"",IFERROR(D88*IFERROR(INDEX(Recipes!$Q$5:$Q$204,MATCH(C88,Recipes!$A$5:$A$204,0)),""),""))</f>
        <v>0</v>
      </c>
      <c r="K88" s="8">
        <f>IF(OR(E88&lt;&gt;"Fridge",H88=""),"",COUNTIFS($E$5:$E$154,"Fridge",$H$5:$H$154,"&lt;"&amp;H88)+1)</f>
        <v>0</v>
      </c>
      <c r="L88" s="8">
        <f>IF(OR(E88&lt;&gt;"Freezer",H88=""),"",COUNTIFS($E$5:$E$154,"Freezer",$H$5:$H$154,"&lt;"&amp;H88)+1)</f>
        <v>0</v>
      </c>
      <c r="M88" s="7"/>
      <c r="N88" s="26"/>
      <c r="O88" s="8">
        <f>IF(OR(A88="",G88=""),"",G88-1)</f>
        <v>0</v>
      </c>
      <c r="P88" s="27"/>
      <c r="Q88" s="25"/>
    </row>
    <row r="89" spans="1:17">
      <c r="A89" s="7"/>
      <c r="B89" s="7"/>
      <c r="C89" s="27"/>
      <c r="D89" s="26"/>
      <c r="E89" s="27"/>
      <c r="F89" s="30"/>
      <c r="G89" s="8">
        <f>IF(OR(A89="",F89=""),"",IF(E89="Freezer",F89+Freezer_Review_Days,F89+Leftover_Safe_Days))</f>
        <v>0</v>
      </c>
      <c r="H89" s="8">
        <f>IF(OR(A89="",G89=""),"",G89-TODAY())</f>
        <v>0</v>
      </c>
      <c r="I89" s="8">
        <f>IF(A89="","",IF(P89="Yes","Eaten",IF(H89="","",IF(H89&lt;0,"Past its best",IF(H89&lt;=1,"Eat today",IF(H89&lt;=3,"Eat this week","Keep"))))))</f>
        <v>0</v>
      </c>
      <c r="J89" s="8">
        <f>IF(OR(A89="",D89=""),"",IFERROR(D89*IFERROR(INDEX(Recipes!$Q$5:$Q$204,MATCH(C89,Recipes!$A$5:$A$204,0)),""),""))</f>
        <v>0</v>
      </c>
      <c r="K89" s="8">
        <f>IF(OR(E89&lt;&gt;"Fridge",H89=""),"",COUNTIFS($E$5:$E$154,"Fridge",$H$5:$H$154,"&lt;"&amp;H89)+1)</f>
        <v>0</v>
      </c>
      <c r="L89" s="8">
        <f>IF(OR(E89&lt;&gt;"Freezer",H89=""),"",COUNTIFS($E$5:$E$154,"Freezer",$H$5:$H$154,"&lt;"&amp;H89)+1)</f>
        <v>0</v>
      </c>
      <c r="M89" s="7"/>
      <c r="N89" s="26"/>
      <c r="O89" s="8">
        <f>IF(OR(A89="",G89=""),"",G89-1)</f>
        <v>0</v>
      </c>
      <c r="P89" s="27"/>
      <c r="Q89" s="25"/>
    </row>
    <row r="90" spans="1:17">
      <c r="A90" s="7"/>
      <c r="B90" s="7"/>
      <c r="C90" s="27"/>
      <c r="D90" s="26"/>
      <c r="E90" s="27"/>
      <c r="F90" s="30"/>
      <c r="G90" s="8">
        <f>IF(OR(A90="",F90=""),"",IF(E90="Freezer",F90+Freezer_Review_Days,F90+Leftover_Safe_Days))</f>
        <v>0</v>
      </c>
      <c r="H90" s="8">
        <f>IF(OR(A90="",G90=""),"",G90-TODAY())</f>
        <v>0</v>
      </c>
      <c r="I90" s="8">
        <f>IF(A90="","",IF(P90="Yes","Eaten",IF(H90="","",IF(H90&lt;0,"Past its best",IF(H90&lt;=1,"Eat today",IF(H90&lt;=3,"Eat this week","Keep"))))))</f>
        <v>0</v>
      </c>
      <c r="J90" s="8">
        <f>IF(OR(A90="",D90=""),"",IFERROR(D90*IFERROR(INDEX(Recipes!$Q$5:$Q$204,MATCH(C90,Recipes!$A$5:$A$204,0)),""),""))</f>
        <v>0</v>
      </c>
      <c r="K90" s="8">
        <f>IF(OR(E90&lt;&gt;"Fridge",H90=""),"",COUNTIFS($E$5:$E$154,"Fridge",$H$5:$H$154,"&lt;"&amp;H90)+1)</f>
        <v>0</v>
      </c>
      <c r="L90" s="8">
        <f>IF(OR(E90&lt;&gt;"Freezer",H90=""),"",COUNTIFS($E$5:$E$154,"Freezer",$H$5:$H$154,"&lt;"&amp;H90)+1)</f>
        <v>0</v>
      </c>
      <c r="M90" s="7"/>
      <c r="N90" s="26"/>
      <c r="O90" s="8">
        <f>IF(OR(A90="",G90=""),"",G90-1)</f>
        <v>0</v>
      </c>
      <c r="P90" s="27"/>
      <c r="Q90" s="25"/>
    </row>
    <row r="91" spans="1:17">
      <c r="A91" s="7"/>
      <c r="B91" s="7"/>
      <c r="C91" s="27"/>
      <c r="D91" s="26"/>
      <c r="E91" s="27"/>
      <c r="F91" s="30"/>
      <c r="G91" s="8">
        <f>IF(OR(A91="",F91=""),"",IF(E91="Freezer",F91+Freezer_Review_Days,F91+Leftover_Safe_Days))</f>
        <v>0</v>
      </c>
      <c r="H91" s="8">
        <f>IF(OR(A91="",G91=""),"",G91-TODAY())</f>
        <v>0</v>
      </c>
      <c r="I91" s="8">
        <f>IF(A91="","",IF(P91="Yes","Eaten",IF(H91="","",IF(H91&lt;0,"Past its best",IF(H91&lt;=1,"Eat today",IF(H91&lt;=3,"Eat this week","Keep"))))))</f>
        <v>0</v>
      </c>
      <c r="J91" s="8">
        <f>IF(OR(A91="",D91=""),"",IFERROR(D91*IFERROR(INDEX(Recipes!$Q$5:$Q$204,MATCH(C91,Recipes!$A$5:$A$204,0)),""),""))</f>
        <v>0</v>
      </c>
      <c r="K91" s="8">
        <f>IF(OR(E91&lt;&gt;"Fridge",H91=""),"",COUNTIFS($E$5:$E$154,"Fridge",$H$5:$H$154,"&lt;"&amp;H91)+1)</f>
        <v>0</v>
      </c>
      <c r="L91" s="8">
        <f>IF(OR(E91&lt;&gt;"Freezer",H91=""),"",COUNTIFS($E$5:$E$154,"Freezer",$H$5:$H$154,"&lt;"&amp;H91)+1)</f>
        <v>0</v>
      </c>
      <c r="M91" s="7"/>
      <c r="N91" s="26"/>
      <c r="O91" s="8">
        <f>IF(OR(A91="",G91=""),"",G91-1)</f>
        <v>0</v>
      </c>
      <c r="P91" s="27"/>
      <c r="Q91" s="25"/>
    </row>
    <row r="92" spans="1:17">
      <c r="A92" s="7"/>
      <c r="B92" s="7"/>
      <c r="C92" s="27"/>
      <c r="D92" s="26"/>
      <c r="E92" s="27"/>
      <c r="F92" s="30"/>
      <c r="G92" s="8">
        <f>IF(OR(A92="",F92=""),"",IF(E92="Freezer",F92+Freezer_Review_Days,F92+Leftover_Safe_Days))</f>
        <v>0</v>
      </c>
      <c r="H92" s="8">
        <f>IF(OR(A92="",G92=""),"",G92-TODAY())</f>
        <v>0</v>
      </c>
      <c r="I92" s="8">
        <f>IF(A92="","",IF(P92="Yes","Eaten",IF(H92="","",IF(H92&lt;0,"Past its best",IF(H92&lt;=1,"Eat today",IF(H92&lt;=3,"Eat this week","Keep"))))))</f>
        <v>0</v>
      </c>
      <c r="J92" s="8">
        <f>IF(OR(A92="",D92=""),"",IFERROR(D92*IFERROR(INDEX(Recipes!$Q$5:$Q$204,MATCH(C92,Recipes!$A$5:$A$204,0)),""),""))</f>
        <v>0</v>
      </c>
      <c r="K92" s="8">
        <f>IF(OR(E92&lt;&gt;"Fridge",H92=""),"",COUNTIFS($E$5:$E$154,"Fridge",$H$5:$H$154,"&lt;"&amp;H92)+1)</f>
        <v>0</v>
      </c>
      <c r="L92" s="8">
        <f>IF(OR(E92&lt;&gt;"Freezer",H92=""),"",COUNTIFS($E$5:$E$154,"Freezer",$H$5:$H$154,"&lt;"&amp;H92)+1)</f>
        <v>0</v>
      </c>
      <c r="M92" s="7"/>
      <c r="N92" s="26"/>
      <c r="O92" s="8">
        <f>IF(OR(A92="",G92=""),"",G92-1)</f>
        <v>0</v>
      </c>
      <c r="P92" s="27"/>
      <c r="Q92" s="25"/>
    </row>
    <row r="93" spans="1:17">
      <c r="A93" s="7"/>
      <c r="B93" s="7"/>
      <c r="C93" s="27"/>
      <c r="D93" s="26"/>
      <c r="E93" s="27"/>
      <c r="F93" s="30"/>
      <c r="G93" s="8">
        <f>IF(OR(A93="",F93=""),"",IF(E93="Freezer",F93+Freezer_Review_Days,F93+Leftover_Safe_Days))</f>
        <v>0</v>
      </c>
      <c r="H93" s="8">
        <f>IF(OR(A93="",G93=""),"",G93-TODAY())</f>
        <v>0</v>
      </c>
      <c r="I93" s="8">
        <f>IF(A93="","",IF(P93="Yes","Eaten",IF(H93="","",IF(H93&lt;0,"Past its best",IF(H93&lt;=1,"Eat today",IF(H93&lt;=3,"Eat this week","Keep"))))))</f>
        <v>0</v>
      </c>
      <c r="J93" s="8">
        <f>IF(OR(A93="",D93=""),"",IFERROR(D93*IFERROR(INDEX(Recipes!$Q$5:$Q$204,MATCH(C93,Recipes!$A$5:$A$204,0)),""),""))</f>
        <v>0</v>
      </c>
      <c r="K93" s="8">
        <f>IF(OR(E93&lt;&gt;"Fridge",H93=""),"",COUNTIFS($E$5:$E$154,"Fridge",$H$5:$H$154,"&lt;"&amp;H93)+1)</f>
        <v>0</v>
      </c>
      <c r="L93" s="8">
        <f>IF(OR(E93&lt;&gt;"Freezer",H93=""),"",COUNTIFS($E$5:$E$154,"Freezer",$H$5:$H$154,"&lt;"&amp;H93)+1)</f>
        <v>0</v>
      </c>
      <c r="M93" s="7"/>
      <c r="N93" s="26"/>
      <c r="O93" s="8">
        <f>IF(OR(A93="",G93=""),"",G93-1)</f>
        <v>0</v>
      </c>
      <c r="P93" s="27"/>
      <c r="Q93" s="25"/>
    </row>
    <row r="94" spans="1:17">
      <c r="A94" s="7"/>
      <c r="B94" s="7"/>
      <c r="C94" s="27"/>
      <c r="D94" s="26"/>
      <c r="E94" s="27"/>
      <c r="F94" s="30"/>
      <c r="G94" s="8">
        <f>IF(OR(A94="",F94=""),"",IF(E94="Freezer",F94+Freezer_Review_Days,F94+Leftover_Safe_Days))</f>
        <v>0</v>
      </c>
      <c r="H94" s="8">
        <f>IF(OR(A94="",G94=""),"",G94-TODAY())</f>
        <v>0</v>
      </c>
      <c r="I94" s="8">
        <f>IF(A94="","",IF(P94="Yes","Eaten",IF(H94="","",IF(H94&lt;0,"Past its best",IF(H94&lt;=1,"Eat today",IF(H94&lt;=3,"Eat this week","Keep"))))))</f>
        <v>0</v>
      </c>
      <c r="J94" s="8">
        <f>IF(OR(A94="",D94=""),"",IFERROR(D94*IFERROR(INDEX(Recipes!$Q$5:$Q$204,MATCH(C94,Recipes!$A$5:$A$204,0)),""),""))</f>
        <v>0</v>
      </c>
      <c r="K94" s="8">
        <f>IF(OR(E94&lt;&gt;"Fridge",H94=""),"",COUNTIFS($E$5:$E$154,"Fridge",$H$5:$H$154,"&lt;"&amp;H94)+1)</f>
        <v>0</v>
      </c>
      <c r="L94" s="8">
        <f>IF(OR(E94&lt;&gt;"Freezer",H94=""),"",COUNTIFS($E$5:$E$154,"Freezer",$H$5:$H$154,"&lt;"&amp;H94)+1)</f>
        <v>0</v>
      </c>
      <c r="M94" s="7"/>
      <c r="N94" s="26"/>
      <c r="O94" s="8">
        <f>IF(OR(A94="",G94=""),"",G94-1)</f>
        <v>0</v>
      </c>
      <c r="P94" s="27"/>
      <c r="Q94" s="25"/>
    </row>
    <row r="95" spans="1:17">
      <c r="A95" s="7"/>
      <c r="B95" s="7"/>
      <c r="C95" s="27"/>
      <c r="D95" s="26"/>
      <c r="E95" s="27"/>
      <c r="F95" s="30"/>
      <c r="G95" s="8">
        <f>IF(OR(A95="",F95=""),"",IF(E95="Freezer",F95+Freezer_Review_Days,F95+Leftover_Safe_Days))</f>
        <v>0</v>
      </c>
      <c r="H95" s="8">
        <f>IF(OR(A95="",G95=""),"",G95-TODAY())</f>
        <v>0</v>
      </c>
      <c r="I95" s="8">
        <f>IF(A95="","",IF(P95="Yes","Eaten",IF(H95="","",IF(H95&lt;0,"Past its best",IF(H95&lt;=1,"Eat today",IF(H95&lt;=3,"Eat this week","Keep"))))))</f>
        <v>0</v>
      </c>
      <c r="J95" s="8">
        <f>IF(OR(A95="",D95=""),"",IFERROR(D95*IFERROR(INDEX(Recipes!$Q$5:$Q$204,MATCH(C95,Recipes!$A$5:$A$204,0)),""),""))</f>
        <v>0</v>
      </c>
      <c r="K95" s="8">
        <f>IF(OR(E95&lt;&gt;"Fridge",H95=""),"",COUNTIFS($E$5:$E$154,"Fridge",$H$5:$H$154,"&lt;"&amp;H95)+1)</f>
        <v>0</v>
      </c>
      <c r="L95" s="8">
        <f>IF(OR(E95&lt;&gt;"Freezer",H95=""),"",COUNTIFS($E$5:$E$154,"Freezer",$H$5:$H$154,"&lt;"&amp;H95)+1)</f>
        <v>0</v>
      </c>
      <c r="M95" s="7"/>
      <c r="N95" s="26"/>
      <c r="O95" s="8">
        <f>IF(OR(A95="",G95=""),"",G95-1)</f>
        <v>0</v>
      </c>
      <c r="P95" s="27"/>
      <c r="Q95" s="25"/>
    </row>
    <row r="96" spans="1:17">
      <c r="A96" s="7"/>
      <c r="B96" s="7"/>
      <c r="C96" s="27"/>
      <c r="D96" s="26"/>
      <c r="E96" s="27"/>
      <c r="F96" s="30"/>
      <c r="G96" s="8">
        <f>IF(OR(A96="",F96=""),"",IF(E96="Freezer",F96+Freezer_Review_Days,F96+Leftover_Safe_Days))</f>
        <v>0</v>
      </c>
      <c r="H96" s="8">
        <f>IF(OR(A96="",G96=""),"",G96-TODAY())</f>
        <v>0</v>
      </c>
      <c r="I96" s="8">
        <f>IF(A96="","",IF(P96="Yes","Eaten",IF(H96="","",IF(H96&lt;0,"Past its best",IF(H96&lt;=1,"Eat today",IF(H96&lt;=3,"Eat this week","Keep"))))))</f>
        <v>0</v>
      </c>
      <c r="J96" s="8">
        <f>IF(OR(A96="",D96=""),"",IFERROR(D96*IFERROR(INDEX(Recipes!$Q$5:$Q$204,MATCH(C96,Recipes!$A$5:$A$204,0)),""),""))</f>
        <v>0</v>
      </c>
      <c r="K96" s="8">
        <f>IF(OR(E96&lt;&gt;"Fridge",H96=""),"",COUNTIFS($E$5:$E$154,"Fridge",$H$5:$H$154,"&lt;"&amp;H96)+1)</f>
        <v>0</v>
      </c>
      <c r="L96" s="8">
        <f>IF(OR(E96&lt;&gt;"Freezer",H96=""),"",COUNTIFS($E$5:$E$154,"Freezer",$H$5:$H$154,"&lt;"&amp;H96)+1)</f>
        <v>0</v>
      </c>
      <c r="M96" s="7"/>
      <c r="N96" s="26"/>
      <c r="O96" s="8">
        <f>IF(OR(A96="",G96=""),"",G96-1)</f>
        <v>0</v>
      </c>
      <c r="P96" s="27"/>
      <c r="Q96" s="25"/>
    </row>
    <row r="97" spans="1:17">
      <c r="A97" s="7"/>
      <c r="B97" s="7"/>
      <c r="C97" s="27"/>
      <c r="D97" s="26"/>
      <c r="E97" s="27"/>
      <c r="F97" s="30"/>
      <c r="G97" s="8">
        <f>IF(OR(A97="",F97=""),"",IF(E97="Freezer",F97+Freezer_Review_Days,F97+Leftover_Safe_Days))</f>
        <v>0</v>
      </c>
      <c r="H97" s="8">
        <f>IF(OR(A97="",G97=""),"",G97-TODAY())</f>
        <v>0</v>
      </c>
      <c r="I97" s="8">
        <f>IF(A97="","",IF(P97="Yes","Eaten",IF(H97="","",IF(H97&lt;0,"Past its best",IF(H97&lt;=1,"Eat today",IF(H97&lt;=3,"Eat this week","Keep"))))))</f>
        <v>0</v>
      </c>
      <c r="J97" s="8">
        <f>IF(OR(A97="",D97=""),"",IFERROR(D97*IFERROR(INDEX(Recipes!$Q$5:$Q$204,MATCH(C97,Recipes!$A$5:$A$204,0)),""),""))</f>
        <v>0</v>
      </c>
      <c r="K97" s="8">
        <f>IF(OR(E97&lt;&gt;"Fridge",H97=""),"",COUNTIFS($E$5:$E$154,"Fridge",$H$5:$H$154,"&lt;"&amp;H97)+1)</f>
        <v>0</v>
      </c>
      <c r="L97" s="8">
        <f>IF(OR(E97&lt;&gt;"Freezer",H97=""),"",COUNTIFS($E$5:$E$154,"Freezer",$H$5:$H$154,"&lt;"&amp;H97)+1)</f>
        <v>0</v>
      </c>
      <c r="M97" s="7"/>
      <c r="N97" s="26"/>
      <c r="O97" s="8">
        <f>IF(OR(A97="",G97=""),"",G97-1)</f>
        <v>0</v>
      </c>
      <c r="P97" s="27"/>
      <c r="Q97" s="25"/>
    </row>
    <row r="98" spans="1:17">
      <c r="A98" s="7"/>
      <c r="B98" s="7"/>
      <c r="C98" s="27"/>
      <c r="D98" s="26"/>
      <c r="E98" s="27"/>
      <c r="F98" s="30"/>
      <c r="G98" s="8">
        <f>IF(OR(A98="",F98=""),"",IF(E98="Freezer",F98+Freezer_Review_Days,F98+Leftover_Safe_Days))</f>
        <v>0</v>
      </c>
      <c r="H98" s="8">
        <f>IF(OR(A98="",G98=""),"",G98-TODAY())</f>
        <v>0</v>
      </c>
      <c r="I98" s="8">
        <f>IF(A98="","",IF(P98="Yes","Eaten",IF(H98="","",IF(H98&lt;0,"Past its best",IF(H98&lt;=1,"Eat today",IF(H98&lt;=3,"Eat this week","Keep"))))))</f>
        <v>0</v>
      </c>
      <c r="J98" s="8">
        <f>IF(OR(A98="",D98=""),"",IFERROR(D98*IFERROR(INDEX(Recipes!$Q$5:$Q$204,MATCH(C98,Recipes!$A$5:$A$204,0)),""),""))</f>
        <v>0</v>
      </c>
      <c r="K98" s="8">
        <f>IF(OR(E98&lt;&gt;"Fridge",H98=""),"",COUNTIFS($E$5:$E$154,"Fridge",$H$5:$H$154,"&lt;"&amp;H98)+1)</f>
        <v>0</v>
      </c>
      <c r="L98" s="8">
        <f>IF(OR(E98&lt;&gt;"Freezer",H98=""),"",COUNTIFS($E$5:$E$154,"Freezer",$H$5:$H$154,"&lt;"&amp;H98)+1)</f>
        <v>0</v>
      </c>
      <c r="M98" s="7"/>
      <c r="N98" s="26"/>
      <c r="O98" s="8">
        <f>IF(OR(A98="",G98=""),"",G98-1)</f>
        <v>0</v>
      </c>
      <c r="P98" s="27"/>
      <c r="Q98" s="25"/>
    </row>
    <row r="99" spans="1:17">
      <c r="A99" s="7"/>
      <c r="B99" s="7"/>
      <c r="C99" s="27"/>
      <c r="D99" s="26"/>
      <c r="E99" s="27"/>
      <c r="F99" s="30"/>
      <c r="G99" s="8">
        <f>IF(OR(A99="",F99=""),"",IF(E99="Freezer",F99+Freezer_Review_Days,F99+Leftover_Safe_Days))</f>
        <v>0</v>
      </c>
      <c r="H99" s="8">
        <f>IF(OR(A99="",G99=""),"",G99-TODAY())</f>
        <v>0</v>
      </c>
      <c r="I99" s="8">
        <f>IF(A99="","",IF(P99="Yes","Eaten",IF(H99="","",IF(H99&lt;0,"Past its best",IF(H99&lt;=1,"Eat today",IF(H99&lt;=3,"Eat this week","Keep"))))))</f>
        <v>0</v>
      </c>
      <c r="J99" s="8">
        <f>IF(OR(A99="",D99=""),"",IFERROR(D99*IFERROR(INDEX(Recipes!$Q$5:$Q$204,MATCH(C99,Recipes!$A$5:$A$204,0)),""),""))</f>
        <v>0</v>
      </c>
      <c r="K99" s="8">
        <f>IF(OR(E99&lt;&gt;"Fridge",H99=""),"",COUNTIFS($E$5:$E$154,"Fridge",$H$5:$H$154,"&lt;"&amp;H99)+1)</f>
        <v>0</v>
      </c>
      <c r="L99" s="8">
        <f>IF(OR(E99&lt;&gt;"Freezer",H99=""),"",COUNTIFS($E$5:$E$154,"Freezer",$H$5:$H$154,"&lt;"&amp;H99)+1)</f>
        <v>0</v>
      </c>
      <c r="M99" s="7"/>
      <c r="N99" s="26"/>
      <c r="O99" s="8">
        <f>IF(OR(A99="",G99=""),"",G99-1)</f>
        <v>0</v>
      </c>
      <c r="P99" s="27"/>
      <c r="Q99" s="25"/>
    </row>
    <row r="100" spans="1:17">
      <c r="A100" s="7"/>
      <c r="B100" s="7"/>
      <c r="C100" s="27"/>
      <c r="D100" s="26"/>
      <c r="E100" s="27"/>
      <c r="F100" s="30"/>
      <c r="G100" s="8">
        <f>IF(OR(A100="",F100=""),"",IF(E100="Freezer",F100+Freezer_Review_Days,F100+Leftover_Safe_Days))</f>
        <v>0</v>
      </c>
      <c r="H100" s="8">
        <f>IF(OR(A100="",G100=""),"",G100-TODAY())</f>
        <v>0</v>
      </c>
      <c r="I100" s="8">
        <f>IF(A100="","",IF(P100="Yes","Eaten",IF(H100="","",IF(H100&lt;0,"Past its best",IF(H100&lt;=1,"Eat today",IF(H100&lt;=3,"Eat this week","Keep"))))))</f>
        <v>0</v>
      </c>
      <c r="J100" s="8">
        <f>IF(OR(A100="",D100=""),"",IFERROR(D100*IFERROR(INDEX(Recipes!$Q$5:$Q$204,MATCH(C100,Recipes!$A$5:$A$204,0)),""),""))</f>
        <v>0</v>
      </c>
      <c r="K100" s="8">
        <f>IF(OR(E100&lt;&gt;"Fridge",H100=""),"",COUNTIFS($E$5:$E$154,"Fridge",$H$5:$H$154,"&lt;"&amp;H100)+1)</f>
        <v>0</v>
      </c>
      <c r="L100" s="8">
        <f>IF(OR(E100&lt;&gt;"Freezer",H100=""),"",COUNTIFS($E$5:$E$154,"Freezer",$H$5:$H$154,"&lt;"&amp;H100)+1)</f>
        <v>0</v>
      </c>
      <c r="M100" s="7"/>
      <c r="N100" s="26"/>
      <c r="O100" s="8">
        <f>IF(OR(A100="",G100=""),"",G100-1)</f>
        <v>0</v>
      </c>
      <c r="P100" s="27"/>
      <c r="Q100" s="25"/>
    </row>
    <row r="101" spans="1:17">
      <c r="A101" s="7"/>
      <c r="B101" s="7"/>
      <c r="C101" s="27"/>
      <c r="D101" s="26"/>
      <c r="E101" s="27"/>
      <c r="F101" s="30"/>
      <c r="G101" s="8">
        <f>IF(OR(A101="",F101=""),"",IF(E101="Freezer",F101+Freezer_Review_Days,F101+Leftover_Safe_Days))</f>
        <v>0</v>
      </c>
      <c r="H101" s="8">
        <f>IF(OR(A101="",G101=""),"",G101-TODAY())</f>
        <v>0</v>
      </c>
      <c r="I101" s="8">
        <f>IF(A101="","",IF(P101="Yes","Eaten",IF(H101="","",IF(H101&lt;0,"Past its best",IF(H101&lt;=1,"Eat today",IF(H101&lt;=3,"Eat this week","Keep"))))))</f>
        <v>0</v>
      </c>
      <c r="J101" s="8">
        <f>IF(OR(A101="",D101=""),"",IFERROR(D101*IFERROR(INDEX(Recipes!$Q$5:$Q$204,MATCH(C101,Recipes!$A$5:$A$204,0)),""),""))</f>
        <v>0</v>
      </c>
      <c r="K101" s="8">
        <f>IF(OR(E101&lt;&gt;"Fridge",H101=""),"",COUNTIFS($E$5:$E$154,"Fridge",$H$5:$H$154,"&lt;"&amp;H101)+1)</f>
        <v>0</v>
      </c>
      <c r="L101" s="8">
        <f>IF(OR(E101&lt;&gt;"Freezer",H101=""),"",COUNTIFS($E$5:$E$154,"Freezer",$H$5:$H$154,"&lt;"&amp;H101)+1)</f>
        <v>0</v>
      </c>
      <c r="M101" s="7"/>
      <c r="N101" s="26"/>
      <c r="O101" s="8">
        <f>IF(OR(A101="",G101=""),"",G101-1)</f>
        <v>0</v>
      </c>
      <c r="P101" s="27"/>
      <c r="Q101" s="25"/>
    </row>
    <row r="102" spans="1:17">
      <c r="A102" s="7"/>
      <c r="B102" s="7"/>
      <c r="C102" s="27"/>
      <c r="D102" s="26"/>
      <c r="E102" s="27"/>
      <c r="F102" s="30"/>
      <c r="G102" s="8">
        <f>IF(OR(A102="",F102=""),"",IF(E102="Freezer",F102+Freezer_Review_Days,F102+Leftover_Safe_Days))</f>
        <v>0</v>
      </c>
      <c r="H102" s="8">
        <f>IF(OR(A102="",G102=""),"",G102-TODAY())</f>
        <v>0</v>
      </c>
      <c r="I102" s="8">
        <f>IF(A102="","",IF(P102="Yes","Eaten",IF(H102="","",IF(H102&lt;0,"Past its best",IF(H102&lt;=1,"Eat today",IF(H102&lt;=3,"Eat this week","Keep"))))))</f>
        <v>0</v>
      </c>
      <c r="J102" s="8">
        <f>IF(OR(A102="",D102=""),"",IFERROR(D102*IFERROR(INDEX(Recipes!$Q$5:$Q$204,MATCH(C102,Recipes!$A$5:$A$204,0)),""),""))</f>
        <v>0</v>
      </c>
      <c r="K102" s="8">
        <f>IF(OR(E102&lt;&gt;"Fridge",H102=""),"",COUNTIFS($E$5:$E$154,"Fridge",$H$5:$H$154,"&lt;"&amp;H102)+1)</f>
        <v>0</v>
      </c>
      <c r="L102" s="8">
        <f>IF(OR(E102&lt;&gt;"Freezer",H102=""),"",COUNTIFS($E$5:$E$154,"Freezer",$H$5:$H$154,"&lt;"&amp;H102)+1)</f>
        <v>0</v>
      </c>
      <c r="M102" s="7"/>
      <c r="N102" s="26"/>
      <c r="O102" s="8">
        <f>IF(OR(A102="",G102=""),"",G102-1)</f>
        <v>0</v>
      </c>
      <c r="P102" s="27"/>
      <c r="Q102" s="25"/>
    </row>
    <row r="103" spans="1:17">
      <c r="A103" s="7"/>
      <c r="B103" s="7"/>
      <c r="C103" s="27"/>
      <c r="D103" s="26"/>
      <c r="E103" s="27"/>
      <c r="F103" s="30"/>
      <c r="G103" s="8">
        <f>IF(OR(A103="",F103=""),"",IF(E103="Freezer",F103+Freezer_Review_Days,F103+Leftover_Safe_Days))</f>
        <v>0</v>
      </c>
      <c r="H103" s="8">
        <f>IF(OR(A103="",G103=""),"",G103-TODAY())</f>
        <v>0</v>
      </c>
      <c r="I103" s="8">
        <f>IF(A103="","",IF(P103="Yes","Eaten",IF(H103="","",IF(H103&lt;0,"Past its best",IF(H103&lt;=1,"Eat today",IF(H103&lt;=3,"Eat this week","Keep"))))))</f>
        <v>0</v>
      </c>
      <c r="J103" s="8">
        <f>IF(OR(A103="",D103=""),"",IFERROR(D103*IFERROR(INDEX(Recipes!$Q$5:$Q$204,MATCH(C103,Recipes!$A$5:$A$204,0)),""),""))</f>
        <v>0</v>
      </c>
      <c r="K103" s="8">
        <f>IF(OR(E103&lt;&gt;"Fridge",H103=""),"",COUNTIFS($E$5:$E$154,"Fridge",$H$5:$H$154,"&lt;"&amp;H103)+1)</f>
        <v>0</v>
      </c>
      <c r="L103" s="8">
        <f>IF(OR(E103&lt;&gt;"Freezer",H103=""),"",COUNTIFS($E$5:$E$154,"Freezer",$H$5:$H$154,"&lt;"&amp;H103)+1)</f>
        <v>0</v>
      </c>
      <c r="M103" s="7"/>
      <c r="N103" s="26"/>
      <c r="O103" s="8">
        <f>IF(OR(A103="",G103=""),"",G103-1)</f>
        <v>0</v>
      </c>
      <c r="P103" s="27"/>
      <c r="Q103" s="25"/>
    </row>
    <row r="104" spans="1:17">
      <c r="A104" s="7"/>
      <c r="B104" s="7"/>
      <c r="C104" s="27"/>
      <c r="D104" s="26"/>
      <c r="E104" s="27"/>
      <c r="F104" s="30"/>
      <c r="G104" s="8">
        <f>IF(OR(A104="",F104=""),"",IF(E104="Freezer",F104+Freezer_Review_Days,F104+Leftover_Safe_Days))</f>
        <v>0</v>
      </c>
      <c r="H104" s="8">
        <f>IF(OR(A104="",G104=""),"",G104-TODAY())</f>
        <v>0</v>
      </c>
      <c r="I104" s="8">
        <f>IF(A104="","",IF(P104="Yes","Eaten",IF(H104="","",IF(H104&lt;0,"Past its best",IF(H104&lt;=1,"Eat today",IF(H104&lt;=3,"Eat this week","Keep"))))))</f>
        <v>0</v>
      </c>
      <c r="J104" s="8">
        <f>IF(OR(A104="",D104=""),"",IFERROR(D104*IFERROR(INDEX(Recipes!$Q$5:$Q$204,MATCH(C104,Recipes!$A$5:$A$204,0)),""),""))</f>
        <v>0</v>
      </c>
      <c r="K104" s="8">
        <f>IF(OR(E104&lt;&gt;"Fridge",H104=""),"",COUNTIFS($E$5:$E$154,"Fridge",$H$5:$H$154,"&lt;"&amp;H104)+1)</f>
        <v>0</v>
      </c>
      <c r="L104" s="8">
        <f>IF(OR(E104&lt;&gt;"Freezer",H104=""),"",COUNTIFS($E$5:$E$154,"Freezer",$H$5:$H$154,"&lt;"&amp;H104)+1)</f>
        <v>0</v>
      </c>
      <c r="M104" s="7"/>
      <c r="N104" s="26"/>
      <c r="O104" s="8">
        <f>IF(OR(A104="",G104=""),"",G104-1)</f>
        <v>0</v>
      </c>
      <c r="P104" s="27"/>
      <c r="Q104" s="25"/>
    </row>
    <row r="105" spans="1:17">
      <c r="A105" s="7"/>
      <c r="B105" s="7"/>
      <c r="C105" s="27"/>
      <c r="D105" s="26"/>
      <c r="E105" s="27"/>
      <c r="F105" s="30"/>
      <c r="G105" s="8">
        <f>IF(OR(A105="",F105=""),"",IF(E105="Freezer",F105+Freezer_Review_Days,F105+Leftover_Safe_Days))</f>
        <v>0</v>
      </c>
      <c r="H105" s="8">
        <f>IF(OR(A105="",G105=""),"",G105-TODAY())</f>
        <v>0</v>
      </c>
      <c r="I105" s="8">
        <f>IF(A105="","",IF(P105="Yes","Eaten",IF(H105="","",IF(H105&lt;0,"Past its best",IF(H105&lt;=1,"Eat today",IF(H105&lt;=3,"Eat this week","Keep"))))))</f>
        <v>0</v>
      </c>
      <c r="J105" s="8">
        <f>IF(OR(A105="",D105=""),"",IFERROR(D105*IFERROR(INDEX(Recipes!$Q$5:$Q$204,MATCH(C105,Recipes!$A$5:$A$204,0)),""),""))</f>
        <v>0</v>
      </c>
      <c r="K105" s="8">
        <f>IF(OR(E105&lt;&gt;"Fridge",H105=""),"",COUNTIFS($E$5:$E$154,"Fridge",$H$5:$H$154,"&lt;"&amp;H105)+1)</f>
        <v>0</v>
      </c>
      <c r="L105" s="8">
        <f>IF(OR(E105&lt;&gt;"Freezer",H105=""),"",COUNTIFS($E$5:$E$154,"Freezer",$H$5:$H$154,"&lt;"&amp;H105)+1)</f>
        <v>0</v>
      </c>
      <c r="M105" s="7"/>
      <c r="N105" s="26"/>
      <c r="O105" s="8">
        <f>IF(OR(A105="",G105=""),"",G105-1)</f>
        <v>0</v>
      </c>
      <c r="P105" s="27"/>
      <c r="Q105" s="25"/>
    </row>
    <row r="106" spans="1:17">
      <c r="A106" s="7"/>
      <c r="B106" s="7"/>
      <c r="C106" s="27"/>
      <c r="D106" s="26"/>
      <c r="E106" s="27"/>
      <c r="F106" s="30"/>
      <c r="G106" s="8">
        <f>IF(OR(A106="",F106=""),"",IF(E106="Freezer",F106+Freezer_Review_Days,F106+Leftover_Safe_Days))</f>
        <v>0</v>
      </c>
      <c r="H106" s="8">
        <f>IF(OR(A106="",G106=""),"",G106-TODAY())</f>
        <v>0</v>
      </c>
      <c r="I106" s="8">
        <f>IF(A106="","",IF(P106="Yes","Eaten",IF(H106="","",IF(H106&lt;0,"Past its best",IF(H106&lt;=1,"Eat today",IF(H106&lt;=3,"Eat this week","Keep"))))))</f>
        <v>0</v>
      </c>
      <c r="J106" s="8">
        <f>IF(OR(A106="",D106=""),"",IFERROR(D106*IFERROR(INDEX(Recipes!$Q$5:$Q$204,MATCH(C106,Recipes!$A$5:$A$204,0)),""),""))</f>
        <v>0</v>
      </c>
      <c r="K106" s="8">
        <f>IF(OR(E106&lt;&gt;"Fridge",H106=""),"",COUNTIFS($E$5:$E$154,"Fridge",$H$5:$H$154,"&lt;"&amp;H106)+1)</f>
        <v>0</v>
      </c>
      <c r="L106" s="8">
        <f>IF(OR(E106&lt;&gt;"Freezer",H106=""),"",COUNTIFS($E$5:$E$154,"Freezer",$H$5:$H$154,"&lt;"&amp;H106)+1)</f>
        <v>0</v>
      </c>
      <c r="M106" s="7"/>
      <c r="N106" s="26"/>
      <c r="O106" s="8">
        <f>IF(OR(A106="",G106=""),"",G106-1)</f>
        <v>0</v>
      </c>
      <c r="P106" s="27"/>
      <c r="Q106" s="25"/>
    </row>
    <row r="107" spans="1:17">
      <c r="A107" s="7"/>
      <c r="B107" s="7"/>
      <c r="C107" s="27"/>
      <c r="D107" s="26"/>
      <c r="E107" s="27"/>
      <c r="F107" s="30"/>
      <c r="G107" s="8">
        <f>IF(OR(A107="",F107=""),"",IF(E107="Freezer",F107+Freezer_Review_Days,F107+Leftover_Safe_Days))</f>
        <v>0</v>
      </c>
      <c r="H107" s="8">
        <f>IF(OR(A107="",G107=""),"",G107-TODAY())</f>
        <v>0</v>
      </c>
      <c r="I107" s="8">
        <f>IF(A107="","",IF(P107="Yes","Eaten",IF(H107="","",IF(H107&lt;0,"Past its best",IF(H107&lt;=1,"Eat today",IF(H107&lt;=3,"Eat this week","Keep"))))))</f>
        <v>0</v>
      </c>
      <c r="J107" s="8">
        <f>IF(OR(A107="",D107=""),"",IFERROR(D107*IFERROR(INDEX(Recipes!$Q$5:$Q$204,MATCH(C107,Recipes!$A$5:$A$204,0)),""),""))</f>
        <v>0</v>
      </c>
      <c r="K107" s="8">
        <f>IF(OR(E107&lt;&gt;"Fridge",H107=""),"",COUNTIFS($E$5:$E$154,"Fridge",$H$5:$H$154,"&lt;"&amp;H107)+1)</f>
        <v>0</v>
      </c>
      <c r="L107" s="8">
        <f>IF(OR(E107&lt;&gt;"Freezer",H107=""),"",COUNTIFS($E$5:$E$154,"Freezer",$H$5:$H$154,"&lt;"&amp;H107)+1)</f>
        <v>0</v>
      </c>
      <c r="M107" s="7"/>
      <c r="N107" s="26"/>
      <c r="O107" s="8">
        <f>IF(OR(A107="",G107=""),"",G107-1)</f>
        <v>0</v>
      </c>
      <c r="P107" s="27"/>
      <c r="Q107" s="25"/>
    </row>
    <row r="108" spans="1:17">
      <c r="A108" s="7"/>
      <c r="B108" s="7"/>
      <c r="C108" s="27"/>
      <c r="D108" s="26"/>
      <c r="E108" s="27"/>
      <c r="F108" s="30"/>
      <c r="G108" s="8">
        <f>IF(OR(A108="",F108=""),"",IF(E108="Freezer",F108+Freezer_Review_Days,F108+Leftover_Safe_Days))</f>
        <v>0</v>
      </c>
      <c r="H108" s="8">
        <f>IF(OR(A108="",G108=""),"",G108-TODAY())</f>
        <v>0</v>
      </c>
      <c r="I108" s="8">
        <f>IF(A108="","",IF(P108="Yes","Eaten",IF(H108="","",IF(H108&lt;0,"Past its best",IF(H108&lt;=1,"Eat today",IF(H108&lt;=3,"Eat this week","Keep"))))))</f>
        <v>0</v>
      </c>
      <c r="J108" s="8">
        <f>IF(OR(A108="",D108=""),"",IFERROR(D108*IFERROR(INDEX(Recipes!$Q$5:$Q$204,MATCH(C108,Recipes!$A$5:$A$204,0)),""),""))</f>
        <v>0</v>
      </c>
      <c r="K108" s="8">
        <f>IF(OR(E108&lt;&gt;"Fridge",H108=""),"",COUNTIFS($E$5:$E$154,"Fridge",$H$5:$H$154,"&lt;"&amp;H108)+1)</f>
        <v>0</v>
      </c>
      <c r="L108" s="8">
        <f>IF(OR(E108&lt;&gt;"Freezer",H108=""),"",COUNTIFS($E$5:$E$154,"Freezer",$H$5:$H$154,"&lt;"&amp;H108)+1)</f>
        <v>0</v>
      </c>
      <c r="M108" s="7"/>
      <c r="N108" s="26"/>
      <c r="O108" s="8">
        <f>IF(OR(A108="",G108=""),"",G108-1)</f>
        <v>0</v>
      </c>
      <c r="P108" s="27"/>
      <c r="Q108" s="25"/>
    </row>
    <row r="109" spans="1:17">
      <c r="A109" s="7"/>
      <c r="B109" s="7"/>
      <c r="C109" s="27"/>
      <c r="D109" s="26"/>
      <c r="E109" s="27"/>
      <c r="F109" s="30"/>
      <c r="G109" s="8">
        <f>IF(OR(A109="",F109=""),"",IF(E109="Freezer",F109+Freezer_Review_Days,F109+Leftover_Safe_Days))</f>
        <v>0</v>
      </c>
      <c r="H109" s="8">
        <f>IF(OR(A109="",G109=""),"",G109-TODAY())</f>
        <v>0</v>
      </c>
      <c r="I109" s="8">
        <f>IF(A109="","",IF(P109="Yes","Eaten",IF(H109="","",IF(H109&lt;0,"Past its best",IF(H109&lt;=1,"Eat today",IF(H109&lt;=3,"Eat this week","Keep"))))))</f>
        <v>0</v>
      </c>
      <c r="J109" s="8">
        <f>IF(OR(A109="",D109=""),"",IFERROR(D109*IFERROR(INDEX(Recipes!$Q$5:$Q$204,MATCH(C109,Recipes!$A$5:$A$204,0)),""),""))</f>
        <v>0</v>
      </c>
      <c r="K109" s="8">
        <f>IF(OR(E109&lt;&gt;"Fridge",H109=""),"",COUNTIFS($E$5:$E$154,"Fridge",$H$5:$H$154,"&lt;"&amp;H109)+1)</f>
        <v>0</v>
      </c>
      <c r="L109" s="8">
        <f>IF(OR(E109&lt;&gt;"Freezer",H109=""),"",COUNTIFS($E$5:$E$154,"Freezer",$H$5:$H$154,"&lt;"&amp;H109)+1)</f>
        <v>0</v>
      </c>
      <c r="M109" s="7"/>
      <c r="N109" s="26"/>
      <c r="O109" s="8">
        <f>IF(OR(A109="",G109=""),"",G109-1)</f>
        <v>0</v>
      </c>
      <c r="P109" s="27"/>
      <c r="Q109" s="25"/>
    </row>
    <row r="110" spans="1:17">
      <c r="A110" s="7"/>
      <c r="B110" s="7"/>
      <c r="C110" s="27"/>
      <c r="D110" s="26"/>
      <c r="E110" s="27"/>
      <c r="F110" s="30"/>
      <c r="G110" s="8">
        <f>IF(OR(A110="",F110=""),"",IF(E110="Freezer",F110+Freezer_Review_Days,F110+Leftover_Safe_Days))</f>
        <v>0</v>
      </c>
      <c r="H110" s="8">
        <f>IF(OR(A110="",G110=""),"",G110-TODAY())</f>
        <v>0</v>
      </c>
      <c r="I110" s="8">
        <f>IF(A110="","",IF(P110="Yes","Eaten",IF(H110="","",IF(H110&lt;0,"Past its best",IF(H110&lt;=1,"Eat today",IF(H110&lt;=3,"Eat this week","Keep"))))))</f>
        <v>0</v>
      </c>
      <c r="J110" s="8">
        <f>IF(OR(A110="",D110=""),"",IFERROR(D110*IFERROR(INDEX(Recipes!$Q$5:$Q$204,MATCH(C110,Recipes!$A$5:$A$204,0)),""),""))</f>
        <v>0</v>
      </c>
      <c r="K110" s="8">
        <f>IF(OR(E110&lt;&gt;"Fridge",H110=""),"",COUNTIFS($E$5:$E$154,"Fridge",$H$5:$H$154,"&lt;"&amp;H110)+1)</f>
        <v>0</v>
      </c>
      <c r="L110" s="8">
        <f>IF(OR(E110&lt;&gt;"Freezer",H110=""),"",COUNTIFS($E$5:$E$154,"Freezer",$H$5:$H$154,"&lt;"&amp;H110)+1)</f>
        <v>0</v>
      </c>
      <c r="M110" s="7"/>
      <c r="N110" s="26"/>
      <c r="O110" s="8">
        <f>IF(OR(A110="",G110=""),"",G110-1)</f>
        <v>0</v>
      </c>
      <c r="P110" s="27"/>
      <c r="Q110" s="25"/>
    </row>
    <row r="111" spans="1:17">
      <c r="A111" s="7"/>
      <c r="B111" s="7"/>
      <c r="C111" s="27"/>
      <c r="D111" s="26"/>
      <c r="E111" s="27"/>
      <c r="F111" s="30"/>
      <c r="G111" s="8">
        <f>IF(OR(A111="",F111=""),"",IF(E111="Freezer",F111+Freezer_Review_Days,F111+Leftover_Safe_Days))</f>
        <v>0</v>
      </c>
      <c r="H111" s="8">
        <f>IF(OR(A111="",G111=""),"",G111-TODAY())</f>
        <v>0</v>
      </c>
      <c r="I111" s="8">
        <f>IF(A111="","",IF(P111="Yes","Eaten",IF(H111="","",IF(H111&lt;0,"Past its best",IF(H111&lt;=1,"Eat today",IF(H111&lt;=3,"Eat this week","Keep"))))))</f>
        <v>0</v>
      </c>
      <c r="J111" s="8">
        <f>IF(OR(A111="",D111=""),"",IFERROR(D111*IFERROR(INDEX(Recipes!$Q$5:$Q$204,MATCH(C111,Recipes!$A$5:$A$204,0)),""),""))</f>
        <v>0</v>
      </c>
      <c r="K111" s="8">
        <f>IF(OR(E111&lt;&gt;"Fridge",H111=""),"",COUNTIFS($E$5:$E$154,"Fridge",$H$5:$H$154,"&lt;"&amp;H111)+1)</f>
        <v>0</v>
      </c>
      <c r="L111" s="8">
        <f>IF(OR(E111&lt;&gt;"Freezer",H111=""),"",COUNTIFS($E$5:$E$154,"Freezer",$H$5:$H$154,"&lt;"&amp;H111)+1)</f>
        <v>0</v>
      </c>
      <c r="M111" s="7"/>
      <c r="N111" s="26"/>
      <c r="O111" s="8">
        <f>IF(OR(A111="",G111=""),"",G111-1)</f>
        <v>0</v>
      </c>
      <c r="P111" s="27"/>
      <c r="Q111" s="25"/>
    </row>
    <row r="112" spans="1:17">
      <c r="A112" s="7"/>
      <c r="B112" s="7"/>
      <c r="C112" s="27"/>
      <c r="D112" s="26"/>
      <c r="E112" s="27"/>
      <c r="F112" s="30"/>
      <c r="G112" s="8">
        <f>IF(OR(A112="",F112=""),"",IF(E112="Freezer",F112+Freezer_Review_Days,F112+Leftover_Safe_Days))</f>
        <v>0</v>
      </c>
      <c r="H112" s="8">
        <f>IF(OR(A112="",G112=""),"",G112-TODAY())</f>
        <v>0</v>
      </c>
      <c r="I112" s="8">
        <f>IF(A112="","",IF(P112="Yes","Eaten",IF(H112="","",IF(H112&lt;0,"Past its best",IF(H112&lt;=1,"Eat today",IF(H112&lt;=3,"Eat this week","Keep"))))))</f>
        <v>0</v>
      </c>
      <c r="J112" s="8">
        <f>IF(OR(A112="",D112=""),"",IFERROR(D112*IFERROR(INDEX(Recipes!$Q$5:$Q$204,MATCH(C112,Recipes!$A$5:$A$204,0)),""),""))</f>
        <v>0</v>
      </c>
      <c r="K112" s="8">
        <f>IF(OR(E112&lt;&gt;"Fridge",H112=""),"",COUNTIFS($E$5:$E$154,"Fridge",$H$5:$H$154,"&lt;"&amp;H112)+1)</f>
        <v>0</v>
      </c>
      <c r="L112" s="8">
        <f>IF(OR(E112&lt;&gt;"Freezer",H112=""),"",COUNTIFS($E$5:$E$154,"Freezer",$H$5:$H$154,"&lt;"&amp;H112)+1)</f>
        <v>0</v>
      </c>
      <c r="M112" s="7"/>
      <c r="N112" s="26"/>
      <c r="O112" s="8">
        <f>IF(OR(A112="",G112=""),"",G112-1)</f>
        <v>0</v>
      </c>
      <c r="P112" s="27"/>
      <c r="Q112" s="25"/>
    </row>
    <row r="113" spans="1:17">
      <c r="A113" s="7"/>
      <c r="B113" s="7"/>
      <c r="C113" s="27"/>
      <c r="D113" s="26"/>
      <c r="E113" s="27"/>
      <c r="F113" s="30"/>
      <c r="G113" s="8">
        <f>IF(OR(A113="",F113=""),"",IF(E113="Freezer",F113+Freezer_Review_Days,F113+Leftover_Safe_Days))</f>
        <v>0</v>
      </c>
      <c r="H113" s="8">
        <f>IF(OR(A113="",G113=""),"",G113-TODAY())</f>
        <v>0</v>
      </c>
      <c r="I113" s="8">
        <f>IF(A113="","",IF(P113="Yes","Eaten",IF(H113="","",IF(H113&lt;0,"Past its best",IF(H113&lt;=1,"Eat today",IF(H113&lt;=3,"Eat this week","Keep"))))))</f>
        <v>0</v>
      </c>
      <c r="J113" s="8">
        <f>IF(OR(A113="",D113=""),"",IFERROR(D113*IFERROR(INDEX(Recipes!$Q$5:$Q$204,MATCH(C113,Recipes!$A$5:$A$204,0)),""),""))</f>
        <v>0</v>
      </c>
      <c r="K113" s="8">
        <f>IF(OR(E113&lt;&gt;"Fridge",H113=""),"",COUNTIFS($E$5:$E$154,"Fridge",$H$5:$H$154,"&lt;"&amp;H113)+1)</f>
        <v>0</v>
      </c>
      <c r="L113" s="8">
        <f>IF(OR(E113&lt;&gt;"Freezer",H113=""),"",COUNTIFS($E$5:$E$154,"Freezer",$H$5:$H$154,"&lt;"&amp;H113)+1)</f>
        <v>0</v>
      </c>
      <c r="M113" s="7"/>
      <c r="N113" s="26"/>
      <c r="O113" s="8">
        <f>IF(OR(A113="",G113=""),"",G113-1)</f>
        <v>0</v>
      </c>
      <c r="P113" s="27"/>
      <c r="Q113" s="25"/>
    </row>
    <row r="114" spans="1:17">
      <c r="A114" s="7"/>
      <c r="B114" s="7"/>
      <c r="C114" s="27"/>
      <c r="D114" s="26"/>
      <c r="E114" s="27"/>
      <c r="F114" s="30"/>
      <c r="G114" s="8">
        <f>IF(OR(A114="",F114=""),"",IF(E114="Freezer",F114+Freezer_Review_Days,F114+Leftover_Safe_Days))</f>
        <v>0</v>
      </c>
      <c r="H114" s="8">
        <f>IF(OR(A114="",G114=""),"",G114-TODAY())</f>
        <v>0</v>
      </c>
      <c r="I114" s="8">
        <f>IF(A114="","",IF(P114="Yes","Eaten",IF(H114="","",IF(H114&lt;0,"Past its best",IF(H114&lt;=1,"Eat today",IF(H114&lt;=3,"Eat this week","Keep"))))))</f>
        <v>0</v>
      </c>
      <c r="J114" s="8">
        <f>IF(OR(A114="",D114=""),"",IFERROR(D114*IFERROR(INDEX(Recipes!$Q$5:$Q$204,MATCH(C114,Recipes!$A$5:$A$204,0)),""),""))</f>
        <v>0</v>
      </c>
      <c r="K114" s="8">
        <f>IF(OR(E114&lt;&gt;"Fridge",H114=""),"",COUNTIFS($E$5:$E$154,"Fridge",$H$5:$H$154,"&lt;"&amp;H114)+1)</f>
        <v>0</v>
      </c>
      <c r="L114" s="8">
        <f>IF(OR(E114&lt;&gt;"Freezer",H114=""),"",COUNTIFS($E$5:$E$154,"Freezer",$H$5:$H$154,"&lt;"&amp;H114)+1)</f>
        <v>0</v>
      </c>
      <c r="M114" s="7"/>
      <c r="N114" s="26"/>
      <c r="O114" s="8">
        <f>IF(OR(A114="",G114=""),"",G114-1)</f>
        <v>0</v>
      </c>
      <c r="P114" s="27"/>
      <c r="Q114" s="25"/>
    </row>
    <row r="115" spans="1:17">
      <c r="A115" s="7"/>
      <c r="B115" s="7"/>
      <c r="C115" s="27"/>
      <c r="D115" s="26"/>
      <c r="E115" s="27"/>
      <c r="F115" s="30"/>
      <c r="G115" s="8">
        <f>IF(OR(A115="",F115=""),"",IF(E115="Freezer",F115+Freezer_Review_Days,F115+Leftover_Safe_Days))</f>
        <v>0</v>
      </c>
      <c r="H115" s="8">
        <f>IF(OR(A115="",G115=""),"",G115-TODAY())</f>
        <v>0</v>
      </c>
      <c r="I115" s="8">
        <f>IF(A115="","",IF(P115="Yes","Eaten",IF(H115="","",IF(H115&lt;0,"Past its best",IF(H115&lt;=1,"Eat today",IF(H115&lt;=3,"Eat this week","Keep"))))))</f>
        <v>0</v>
      </c>
      <c r="J115" s="8">
        <f>IF(OR(A115="",D115=""),"",IFERROR(D115*IFERROR(INDEX(Recipes!$Q$5:$Q$204,MATCH(C115,Recipes!$A$5:$A$204,0)),""),""))</f>
        <v>0</v>
      </c>
      <c r="K115" s="8">
        <f>IF(OR(E115&lt;&gt;"Fridge",H115=""),"",COUNTIFS($E$5:$E$154,"Fridge",$H$5:$H$154,"&lt;"&amp;H115)+1)</f>
        <v>0</v>
      </c>
      <c r="L115" s="8">
        <f>IF(OR(E115&lt;&gt;"Freezer",H115=""),"",COUNTIFS($E$5:$E$154,"Freezer",$H$5:$H$154,"&lt;"&amp;H115)+1)</f>
        <v>0</v>
      </c>
      <c r="M115" s="7"/>
      <c r="N115" s="26"/>
      <c r="O115" s="8">
        <f>IF(OR(A115="",G115=""),"",G115-1)</f>
        <v>0</v>
      </c>
      <c r="P115" s="27"/>
      <c r="Q115" s="25"/>
    </row>
    <row r="116" spans="1:17">
      <c r="A116" s="7"/>
      <c r="B116" s="7"/>
      <c r="C116" s="27"/>
      <c r="D116" s="26"/>
      <c r="E116" s="27"/>
      <c r="F116" s="30"/>
      <c r="G116" s="8">
        <f>IF(OR(A116="",F116=""),"",IF(E116="Freezer",F116+Freezer_Review_Days,F116+Leftover_Safe_Days))</f>
        <v>0</v>
      </c>
      <c r="H116" s="8">
        <f>IF(OR(A116="",G116=""),"",G116-TODAY())</f>
        <v>0</v>
      </c>
      <c r="I116" s="8">
        <f>IF(A116="","",IF(P116="Yes","Eaten",IF(H116="","",IF(H116&lt;0,"Past its best",IF(H116&lt;=1,"Eat today",IF(H116&lt;=3,"Eat this week","Keep"))))))</f>
        <v>0</v>
      </c>
      <c r="J116" s="8">
        <f>IF(OR(A116="",D116=""),"",IFERROR(D116*IFERROR(INDEX(Recipes!$Q$5:$Q$204,MATCH(C116,Recipes!$A$5:$A$204,0)),""),""))</f>
        <v>0</v>
      </c>
      <c r="K116" s="8">
        <f>IF(OR(E116&lt;&gt;"Fridge",H116=""),"",COUNTIFS($E$5:$E$154,"Fridge",$H$5:$H$154,"&lt;"&amp;H116)+1)</f>
        <v>0</v>
      </c>
      <c r="L116" s="8">
        <f>IF(OR(E116&lt;&gt;"Freezer",H116=""),"",COUNTIFS($E$5:$E$154,"Freezer",$H$5:$H$154,"&lt;"&amp;H116)+1)</f>
        <v>0</v>
      </c>
      <c r="M116" s="7"/>
      <c r="N116" s="26"/>
      <c r="O116" s="8">
        <f>IF(OR(A116="",G116=""),"",G116-1)</f>
        <v>0</v>
      </c>
      <c r="P116" s="27"/>
      <c r="Q116" s="25"/>
    </row>
    <row r="117" spans="1:17">
      <c r="A117" s="7"/>
      <c r="B117" s="7"/>
      <c r="C117" s="27"/>
      <c r="D117" s="26"/>
      <c r="E117" s="27"/>
      <c r="F117" s="30"/>
      <c r="G117" s="8">
        <f>IF(OR(A117="",F117=""),"",IF(E117="Freezer",F117+Freezer_Review_Days,F117+Leftover_Safe_Days))</f>
        <v>0</v>
      </c>
      <c r="H117" s="8">
        <f>IF(OR(A117="",G117=""),"",G117-TODAY())</f>
        <v>0</v>
      </c>
      <c r="I117" s="8">
        <f>IF(A117="","",IF(P117="Yes","Eaten",IF(H117="","",IF(H117&lt;0,"Past its best",IF(H117&lt;=1,"Eat today",IF(H117&lt;=3,"Eat this week","Keep"))))))</f>
        <v>0</v>
      </c>
      <c r="J117" s="8">
        <f>IF(OR(A117="",D117=""),"",IFERROR(D117*IFERROR(INDEX(Recipes!$Q$5:$Q$204,MATCH(C117,Recipes!$A$5:$A$204,0)),""),""))</f>
        <v>0</v>
      </c>
      <c r="K117" s="8">
        <f>IF(OR(E117&lt;&gt;"Fridge",H117=""),"",COUNTIFS($E$5:$E$154,"Fridge",$H$5:$H$154,"&lt;"&amp;H117)+1)</f>
        <v>0</v>
      </c>
      <c r="L117" s="8">
        <f>IF(OR(E117&lt;&gt;"Freezer",H117=""),"",COUNTIFS($E$5:$E$154,"Freezer",$H$5:$H$154,"&lt;"&amp;H117)+1)</f>
        <v>0</v>
      </c>
      <c r="M117" s="7"/>
      <c r="N117" s="26"/>
      <c r="O117" s="8">
        <f>IF(OR(A117="",G117=""),"",G117-1)</f>
        <v>0</v>
      </c>
      <c r="P117" s="27"/>
      <c r="Q117" s="25"/>
    </row>
    <row r="118" spans="1:17">
      <c r="A118" s="7"/>
      <c r="B118" s="7"/>
      <c r="C118" s="27"/>
      <c r="D118" s="26"/>
      <c r="E118" s="27"/>
      <c r="F118" s="30"/>
      <c r="G118" s="8">
        <f>IF(OR(A118="",F118=""),"",IF(E118="Freezer",F118+Freezer_Review_Days,F118+Leftover_Safe_Days))</f>
        <v>0</v>
      </c>
      <c r="H118" s="8">
        <f>IF(OR(A118="",G118=""),"",G118-TODAY())</f>
        <v>0</v>
      </c>
      <c r="I118" s="8">
        <f>IF(A118="","",IF(P118="Yes","Eaten",IF(H118="","",IF(H118&lt;0,"Past its best",IF(H118&lt;=1,"Eat today",IF(H118&lt;=3,"Eat this week","Keep"))))))</f>
        <v>0</v>
      </c>
      <c r="J118" s="8">
        <f>IF(OR(A118="",D118=""),"",IFERROR(D118*IFERROR(INDEX(Recipes!$Q$5:$Q$204,MATCH(C118,Recipes!$A$5:$A$204,0)),""),""))</f>
        <v>0</v>
      </c>
      <c r="K118" s="8">
        <f>IF(OR(E118&lt;&gt;"Fridge",H118=""),"",COUNTIFS($E$5:$E$154,"Fridge",$H$5:$H$154,"&lt;"&amp;H118)+1)</f>
        <v>0</v>
      </c>
      <c r="L118" s="8">
        <f>IF(OR(E118&lt;&gt;"Freezer",H118=""),"",COUNTIFS($E$5:$E$154,"Freezer",$H$5:$H$154,"&lt;"&amp;H118)+1)</f>
        <v>0</v>
      </c>
      <c r="M118" s="7"/>
      <c r="N118" s="26"/>
      <c r="O118" s="8">
        <f>IF(OR(A118="",G118=""),"",G118-1)</f>
        <v>0</v>
      </c>
      <c r="P118" s="27"/>
      <c r="Q118" s="25"/>
    </row>
    <row r="119" spans="1:17">
      <c r="A119" s="7"/>
      <c r="B119" s="7"/>
      <c r="C119" s="27"/>
      <c r="D119" s="26"/>
      <c r="E119" s="27"/>
      <c r="F119" s="30"/>
      <c r="G119" s="8">
        <f>IF(OR(A119="",F119=""),"",IF(E119="Freezer",F119+Freezer_Review_Days,F119+Leftover_Safe_Days))</f>
        <v>0</v>
      </c>
      <c r="H119" s="8">
        <f>IF(OR(A119="",G119=""),"",G119-TODAY())</f>
        <v>0</v>
      </c>
      <c r="I119" s="8">
        <f>IF(A119="","",IF(P119="Yes","Eaten",IF(H119="","",IF(H119&lt;0,"Past its best",IF(H119&lt;=1,"Eat today",IF(H119&lt;=3,"Eat this week","Keep"))))))</f>
        <v>0</v>
      </c>
      <c r="J119" s="8">
        <f>IF(OR(A119="",D119=""),"",IFERROR(D119*IFERROR(INDEX(Recipes!$Q$5:$Q$204,MATCH(C119,Recipes!$A$5:$A$204,0)),""),""))</f>
        <v>0</v>
      </c>
      <c r="K119" s="8">
        <f>IF(OR(E119&lt;&gt;"Fridge",H119=""),"",COUNTIFS($E$5:$E$154,"Fridge",$H$5:$H$154,"&lt;"&amp;H119)+1)</f>
        <v>0</v>
      </c>
      <c r="L119" s="8">
        <f>IF(OR(E119&lt;&gt;"Freezer",H119=""),"",COUNTIFS($E$5:$E$154,"Freezer",$H$5:$H$154,"&lt;"&amp;H119)+1)</f>
        <v>0</v>
      </c>
      <c r="M119" s="7"/>
      <c r="N119" s="26"/>
      <c r="O119" s="8">
        <f>IF(OR(A119="",G119=""),"",G119-1)</f>
        <v>0</v>
      </c>
      <c r="P119" s="27"/>
      <c r="Q119" s="25"/>
    </row>
    <row r="120" spans="1:17">
      <c r="A120" s="7"/>
      <c r="B120" s="7"/>
      <c r="C120" s="27"/>
      <c r="D120" s="26"/>
      <c r="E120" s="27"/>
      <c r="F120" s="30"/>
      <c r="G120" s="8">
        <f>IF(OR(A120="",F120=""),"",IF(E120="Freezer",F120+Freezer_Review_Days,F120+Leftover_Safe_Days))</f>
        <v>0</v>
      </c>
      <c r="H120" s="8">
        <f>IF(OR(A120="",G120=""),"",G120-TODAY())</f>
        <v>0</v>
      </c>
      <c r="I120" s="8">
        <f>IF(A120="","",IF(P120="Yes","Eaten",IF(H120="","",IF(H120&lt;0,"Past its best",IF(H120&lt;=1,"Eat today",IF(H120&lt;=3,"Eat this week","Keep"))))))</f>
        <v>0</v>
      </c>
      <c r="J120" s="8">
        <f>IF(OR(A120="",D120=""),"",IFERROR(D120*IFERROR(INDEX(Recipes!$Q$5:$Q$204,MATCH(C120,Recipes!$A$5:$A$204,0)),""),""))</f>
        <v>0</v>
      </c>
      <c r="K120" s="8">
        <f>IF(OR(E120&lt;&gt;"Fridge",H120=""),"",COUNTIFS($E$5:$E$154,"Fridge",$H$5:$H$154,"&lt;"&amp;H120)+1)</f>
        <v>0</v>
      </c>
      <c r="L120" s="8">
        <f>IF(OR(E120&lt;&gt;"Freezer",H120=""),"",COUNTIFS($E$5:$E$154,"Freezer",$H$5:$H$154,"&lt;"&amp;H120)+1)</f>
        <v>0</v>
      </c>
      <c r="M120" s="7"/>
      <c r="N120" s="26"/>
      <c r="O120" s="8">
        <f>IF(OR(A120="",G120=""),"",G120-1)</f>
        <v>0</v>
      </c>
      <c r="P120" s="27"/>
      <c r="Q120" s="25"/>
    </row>
    <row r="121" spans="1:17">
      <c r="A121" s="7"/>
      <c r="B121" s="7"/>
      <c r="C121" s="27"/>
      <c r="D121" s="26"/>
      <c r="E121" s="27"/>
      <c r="F121" s="30"/>
      <c r="G121" s="8">
        <f>IF(OR(A121="",F121=""),"",IF(E121="Freezer",F121+Freezer_Review_Days,F121+Leftover_Safe_Days))</f>
        <v>0</v>
      </c>
      <c r="H121" s="8">
        <f>IF(OR(A121="",G121=""),"",G121-TODAY())</f>
        <v>0</v>
      </c>
      <c r="I121" s="8">
        <f>IF(A121="","",IF(P121="Yes","Eaten",IF(H121="","",IF(H121&lt;0,"Past its best",IF(H121&lt;=1,"Eat today",IF(H121&lt;=3,"Eat this week","Keep"))))))</f>
        <v>0</v>
      </c>
      <c r="J121" s="8">
        <f>IF(OR(A121="",D121=""),"",IFERROR(D121*IFERROR(INDEX(Recipes!$Q$5:$Q$204,MATCH(C121,Recipes!$A$5:$A$204,0)),""),""))</f>
        <v>0</v>
      </c>
      <c r="K121" s="8">
        <f>IF(OR(E121&lt;&gt;"Fridge",H121=""),"",COUNTIFS($E$5:$E$154,"Fridge",$H$5:$H$154,"&lt;"&amp;H121)+1)</f>
        <v>0</v>
      </c>
      <c r="L121" s="8">
        <f>IF(OR(E121&lt;&gt;"Freezer",H121=""),"",COUNTIFS($E$5:$E$154,"Freezer",$H$5:$H$154,"&lt;"&amp;H121)+1)</f>
        <v>0</v>
      </c>
      <c r="M121" s="7"/>
      <c r="N121" s="26"/>
      <c r="O121" s="8">
        <f>IF(OR(A121="",G121=""),"",G121-1)</f>
        <v>0</v>
      </c>
      <c r="P121" s="27"/>
      <c r="Q121" s="25"/>
    </row>
    <row r="122" spans="1:17">
      <c r="A122" s="7"/>
      <c r="B122" s="7"/>
      <c r="C122" s="27"/>
      <c r="D122" s="26"/>
      <c r="E122" s="27"/>
      <c r="F122" s="30"/>
      <c r="G122" s="8">
        <f>IF(OR(A122="",F122=""),"",IF(E122="Freezer",F122+Freezer_Review_Days,F122+Leftover_Safe_Days))</f>
        <v>0</v>
      </c>
      <c r="H122" s="8">
        <f>IF(OR(A122="",G122=""),"",G122-TODAY())</f>
        <v>0</v>
      </c>
      <c r="I122" s="8">
        <f>IF(A122="","",IF(P122="Yes","Eaten",IF(H122="","",IF(H122&lt;0,"Past its best",IF(H122&lt;=1,"Eat today",IF(H122&lt;=3,"Eat this week","Keep"))))))</f>
        <v>0</v>
      </c>
      <c r="J122" s="8">
        <f>IF(OR(A122="",D122=""),"",IFERROR(D122*IFERROR(INDEX(Recipes!$Q$5:$Q$204,MATCH(C122,Recipes!$A$5:$A$204,0)),""),""))</f>
        <v>0</v>
      </c>
      <c r="K122" s="8">
        <f>IF(OR(E122&lt;&gt;"Fridge",H122=""),"",COUNTIFS($E$5:$E$154,"Fridge",$H$5:$H$154,"&lt;"&amp;H122)+1)</f>
        <v>0</v>
      </c>
      <c r="L122" s="8">
        <f>IF(OR(E122&lt;&gt;"Freezer",H122=""),"",COUNTIFS($E$5:$E$154,"Freezer",$H$5:$H$154,"&lt;"&amp;H122)+1)</f>
        <v>0</v>
      </c>
      <c r="M122" s="7"/>
      <c r="N122" s="26"/>
      <c r="O122" s="8">
        <f>IF(OR(A122="",G122=""),"",G122-1)</f>
        <v>0</v>
      </c>
      <c r="P122" s="27"/>
      <c r="Q122" s="25"/>
    </row>
    <row r="123" spans="1:17">
      <c r="A123" s="7"/>
      <c r="B123" s="7"/>
      <c r="C123" s="27"/>
      <c r="D123" s="26"/>
      <c r="E123" s="27"/>
      <c r="F123" s="30"/>
      <c r="G123" s="8">
        <f>IF(OR(A123="",F123=""),"",IF(E123="Freezer",F123+Freezer_Review_Days,F123+Leftover_Safe_Days))</f>
        <v>0</v>
      </c>
      <c r="H123" s="8">
        <f>IF(OR(A123="",G123=""),"",G123-TODAY())</f>
        <v>0</v>
      </c>
      <c r="I123" s="8">
        <f>IF(A123="","",IF(P123="Yes","Eaten",IF(H123="","",IF(H123&lt;0,"Past its best",IF(H123&lt;=1,"Eat today",IF(H123&lt;=3,"Eat this week","Keep"))))))</f>
        <v>0</v>
      </c>
      <c r="J123" s="8">
        <f>IF(OR(A123="",D123=""),"",IFERROR(D123*IFERROR(INDEX(Recipes!$Q$5:$Q$204,MATCH(C123,Recipes!$A$5:$A$204,0)),""),""))</f>
        <v>0</v>
      </c>
      <c r="K123" s="8">
        <f>IF(OR(E123&lt;&gt;"Fridge",H123=""),"",COUNTIFS($E$5:$E$154,"Fridge",$H$5:$H$154,"&lt;"&amp;H123)+1)</f>
        <v>0</v>
      </c>
      <c r="L123" s="8">
        <f>IF(OR(E123&lt;&gt;"Freezer",H123=""),"",COUNTIFS($E$5:$E$154,"Freezer",$H$5:$H$154,"&lt;"&amp;H123)+1)</f>
        <v>0</v>
      </c>
      <c r="M123" s="7"/>
      <c r="N123" s="26"/>
      <c r="O123" s="8">
        <f>IF(OR(A123="",G123=""),"",G123-1)</f>
        <v>0</v>
      </c>
      <c r="P123" s="27"/>
      <c r="Q123" s="25"/>
    </row>
    <row r="124" spans="1:17">
      <c r="A124" s="7"/>
      <c r="B124" s="7"/>
      <c r="C124" s="27"/>
      <c r="D124" s="26"/>
      <c r="E124" s="27"/>
      <c r="F124" s="30"/>
      <c r="G124" s="8">
        <f>IF(OR(A124="",F124=""),"",IF(E124="Freezer",F124+Freezer_Review_Days,F124+Leftover_Safe_Days))</f>
        <v>0</v>
      </c>
      <c r="H124" s="8">
        <f>IF(OR(A124="",G124=""),"",G124-TODAY())</f>
        <v>0</v>
      </c>
      <c r="I124" s="8">
        <f>IF(A124="","",IF(P124="Yes","Eaten",IF(H124="","",IF(H124&lt;0,"Past its best",IF(H124&lt;=1,"Eat today",IF(H124&lt;=3,"Eat this week","Keep"))))))</f>
        <v>0</v>
      </c>
      <c r="J124" s="8">
        <f>IF(OR(A124="",D124=""),"",IFERROR(D124*IFERROR(INDEX(Recipes!$Q$5:$Q$204,MATCH(C124,Recipes!$A$5:$A$204,0)),""),""))</f>
        <v>0</v>
      </c>
      <c r="K124" s="8">
        <f>IF(OR(E124&lt;&gt;"Fridge",H124=""),"",COUNTIFS($E$5:$E$154,"Fridge",$H$5:$H$154,"&lt;"&amp;H124)+1)</f>
        <v>0</v>
      </c>
      <c r="L124" s="8">
        <f>IF(OR(E124&lt;&gt;"Freezer",H124=""),"",COUNTIFS($E$5:$E$154,"Freezer",$H$5:$H$154,"&lt;"&amp;H124)+1)</f>
        <v>0</v>
      </c>
      <c r="M124" s="7"/>
      <c r="N124" s="26"/>
      <c r="O124" s="8">
        <f>IF(OR(A124="",G124=""),"",G124-1)</f>
        <v>0</v>
      </c>
      <c r="P124" s="27"/>
      <c r="Q124" s="25"/>
    </row>
    <row r="125" spans="1:17">
      <c r="A125" s="7"/>
      <c r="B125" s="7"/>
      <c r="C125" s="27"/>
      <c r="D125" s="26"/>
      <c r="E125" s="27"/>
      <c r="F125" s="30"/>
      <c r="G125" s="8">
        <f>IF(OR(A125="",F125=""),"",IF(E125="Freezer",F125+Freezer_Review_Days,F125+Leftover_Safe_Days))</f>
        <v>0</v>
      </c>
      <c r="H125" s="8">
        <f>IF(OR(A125="",G125=""),"",G125-TODAY())</f>
        <v>0</v>
      </c>
      <c r="I125" s="8">
        <f>IF(A125="","",IF(P125="Yes","Eaten",IF(H125="","",IF(H125&lt;0,"Past its best",IF(H125&lt;=1,"Eat today",IF(H125&lt;=3,"Eat this week","Keep"))))))</f>
        <v>0</v>
      </c>
      <c r="J125" s="8">
        <f>IF(OR(A125="",D125=""),"",IFERROR(D125*IFERROR(INDEX(Recipes!$Q$5:$Q$204,MATCH(C125,Recipes!$A$5:$A$204,0)),""),""))</f>
        <v>0</v>
      </c>
      <c r="K125" s="8">
        <f>IF(OR(E125&lt;&gt;"Fridge",H125=""),"",COUNTIFS($E$5:$E$154,"Fridge",$H$5:$H$154,"&lt;"&amp;H125)+1)</f>
        <v>0</v>
      </c>
      <c r="L125" s="8">
        <f>IF(OR(E125&lt;&gt;"Freezer",H125=""),"",COUNTIFS($E$5:$E$154,"Freezer",$H$5:$H$154,"&lt;"&amp;H125)+1)</f>
        <v>0</v>
      </c>
      <c r="M125" s="7"/>
      <c r="N125" s="26"/>
      <c r="O125" s="8">
        <f>IF(OR(A125="",G125=""),"",G125-1)</f>
        <v>0</v>
      </c>
      <c r="P125" s="27"/>
      <c r="Q125" s="25"/>
    </row>
    <row r="126" spans="1:17">
      <c r="A126" s="7"/>
      <c r="B126" s="7"/>
      <c r="C126" s="27"/>
      <c r="D126" s="26"/>
      <c r="E126" s="27"/>
      <c r="F126" s="30"/>
      <c r="G126" s="8">
        <f>IF(OR(A126="",F126=""),"",IF(E126="Freezer",F126+Freezer_Review_Days,F126+Leftover_Safe_Days))</f>
        <v>0</v>
      </c>
      <c r="H126" s="8">
        <f>IF(OR(A126="",G126=""),"",G126-TODAY())</f>
        <v>0</v>
      </c>
      <c r="I126" s="8">
        <f>IF(A126="","",IF(P126="Yes","Eaten",IF(H126="","",IF(H126&lt;0,"Past its best",IF(H126&lt;=1,"Eat today",IF(H126&lt;=3,"Eat this week","Keep"))))))</f>
        <v>0</v>
      </c>
      <c r="J126" s="8">
        <f>IF(OR(A126="",D126=""),"",IFERROR(D126*IFERROR(INDEX(Recipes!$Q$5:$Q$204,MATCH(C126,Recipes!$A$5:$A$204,0)),""),""))</f>
        <v>0</v>
      </c>
      <c r="K126" s="8">
        <f>IF(OR(E126&lt;&gt;"Fridge",H126=""),"",COUNTIFS($E$5:$E$154,"Fridge",$H$5:$H$154,"&lt;"&amp;H126)+1)</f>
        <v>0</v>
      </c>
      <c r="L126" s="8">
        <f>IF(OR(E126&lt;&gt;"Freezer",H126=""),"",COUNTIFS($E$5:$E$154,"Freezer",$H$5:$H$154,"&lt;"&amp;H126)+1)</f>
        <v>0</v>
      </c>
      <c r="M126" s="7"/>
      <c r="N126" s="26"/>
      <c r="O126" s="8">
        <f>IF(OR(A126="",G126=""),"",G126-1)</f>
        <v>0</v>
      </c>
      <c r="P126" s="27"/>
      <c r="Q126" s="25"/>
    </row>
    <row r="127" spans="1:17">
      <c r="A127" s="7"/>
      <c r="B127" s="7"/>
      <c r="C127" s="27"/>
      <c r="D127" s="26"/>
      <c r="E127" s="27"/>
      <c r="F127" s="30"/>
      <c r="G127" s="8">
        <f>IF(OR(A127="",F127=""),"",IF(E127="Freezer",F127+Freezer_Review_Days,F127+Leftover_Safe_Days))</f>
        <v>0</v>
      </c>
      <c r="H127" s="8">
        <f>IF(OR(A127="",G127=""),"",G127-TODAY())</f>
        <v>0</v>
      </c>
      <c r="I127" s="8">
        <f>IF(A127="","",IF(P127="Yes","Eaten",IF(H127="","",IF(H127&lt;0,"Past its best",IF(H127&lt;=1,"Eat today",IF(H127&lt;=3,"Eat this week","Keep"))))))</f>
        <v>0</v>
      </c>
      <c r="J127" s="8">
        <f>IF(OR(A127="",D127=""),"",IFERROR(D127*IFERROR(INDEX(Recipes!$Q$5:$Q$204,MATCH(C127,Recipes!$A$5:$A$204,0)),""),""))</f>
        <v>0</v>
      </c>
      <c r="K127" s="8">
        <f>IF(OR(E127&lt;&gt;"Fridge",H127=""),"",COUNTIFS($E$5:$E$154,"Fridge",$H$5:$H$154,"&lt;"&amp;H127)+1)</f>
        <v>0</v>
      </c>
      <c r="L127" s="8">
        <f>IF(OR(E127&lt;&gt;"Freezer",H127=""),"",COUNTIFS($E$5:$E$154,"Freezer",$H$5:$H$154,"&lt;"&amp;H127)+1)</f>
        <v>0</v>
      </c>
      <c r="M127" s="7"/>
      <c r="N127" s="26"/>
      <c r="O127" s="8">
        <f>IF(OR(A127="",G127=""),"",G127-1)</f>
        <v>0</v>
      </c>
      <c r="P127" s="27"/>
      <c r="Q127" s="25"/>
    </row>
    <row r="128" spans="1:17">
      <c r="A128" s="7"/>
      <c r="B128" s="7"/>
      <c r="C128" s="27"/>
      <c r="D128" s="26"/>
      <c r="E128" s="27"/>
      <c r="F128" s="30"/>
      <c r="G128" s="8">
        <f>IF(OR(A128="",F128=""),"",IF(E128="Freezer",F128+Freezer_Review_Days,F128+Leftover_Safe_Days))</f>
        <v>0</v>
      </c>
      <c r="H128" s="8">
        <f>IF(OR(A128="",G128=""),"",G128-TODAY())</f>
        <v>0</v>
      </c>
      <c r="I128" s="8">
        <f>IF(A128="","",IF(P128="Yes","Eaten",IF(H128="","",IF(H128&lt;0,"Past its best",IF(H128&lt;=1,"Eat today",IF(H128&lt;=3,"Eat this week","Keep"))))))</f>
        <v>0</v>
      </c>
      <c r="J128" s="8">
        <f>IF(OR(A128="",D128=""),"",IFERROR(D128*IFERROR(INDEX(Recipes!$Q$5:$Q$204,MATCH(C128,Recipes!$A$5:$A$204,0)),""),""))</f>
        <v>0</v>
      </c>
      <c r="K128" s="8">
        <f>IF(OR(E128&lt;&gt;"Fridge",H128=""),"",COUNTIFS($E$5:$E$154,"Fridge",$H$5:$H$154,"&lt;"&amp;H128)+1)</f>
        <v>0</v>
      </c>
      <c r="L128" s="8">
        <f>IF(OR(E128&lt;&gt;"Freezer",H128=""),"",COUNTIFS($E$5:$E$154,"Freezer",$H$5:$H$154,"&lt;"&amp;H128)+1)</f>
        <v>0</v>
      </c>
      <c r="M128" s="7"/>
      <c r="N128" s="26"/>
      <c r="O128" s="8">
        <f>IF(OR(A128="",G128=""),"",G128-1)</f>
        <v>0</v>
      </c>
      <c r="P128" s="27"/>
      <c r="Q128" s="25"/>
    </row>
    <row r="129" spans="1:17">
      <c r="A129" s="7"/>
      <c r="B129" s="7"/>
      <c r="C129" s="27"/>
      <c r="D129" s="26"/>
      <c r="E129" s="27"/>
      <c r="F129" s="30"/>
      <c r="G129" s="8">
        <f>IF(OR(A129="",F129=""),"",IF(E129="Freezer",F129+Freezer_Review_Days,F129+Leftover_Safe_Days))</f>
        <v>0</v>
      </c>
      <c r="H129" s="8">
        <f>IF(OR(A129="",G129=""),"",G129-TODAY())</f>
        <v>0</v>
      </c>
      <c r="I129" s="8">
        <f>IF(A129="","",IF(P129="Yes","Eaten",IF(H129="","",IF(H129&lt;0,"Past its best",IF(H129&lt;=1,"Eat today",IF(H129&lt;=3,"Eat this week","Keep"))))))</f>
        <v>0</v>
      </c>
      <c r="J129" s="8">
        <f>IF(OR(A129="",D129=""),"",IFERROR(D129*IFERROR(INDEX(Recipes!$Q$5:$Q$204,MATCH(C129,Recipes!$A$5:$A$204,0)),""),""))</f>
        <v>0</v>
      </c>
      <c r="K129" s="8">
        <f>IF(OR(E129&lt;&gt;"Fridge",H129=""),"",COUNTIFS($E$5:$E$154,"Fridge",$H$5:$H$154,"&lt;"&amp;H129)+1)</f>
        <v>0</v>
      </c>
      <c r="L129" s="8">
        <f>IF(OR(E129&lt;&gt;"Freezer",H129=""),"",COUNTIFS($E$5:$E$154,"Freezer",$H$5:$H$154,"&lt;"&amp;H129)+1)</f>
        <v>0</v>
      </c>
      <c r="M129" s="7"/>
      <c r="N129" s="26"/>
      <c r="O129" s="8">
        <f>IF(OR(A129="",G129=""),"",G129-1)</f>
        <v>0</v>
      </c>
      <c r="P129" s="27"/>
      <c r="Q129" s="25"/>
    </row>
    <row r="130" spans="1:17">
      <c r="A130" s="7"/>
      <c r="B130" s="7"/>
      <c r="C130" s="27"/>
      <c r="D130" s="26"/>
      <c r="E130" s="27"/>
      <c r="F130" s="30"/>
      <c r="G130" s="8">
        <f>IF(OR(A130="",F130=""),"",IF(E130="Freezer",F130+Freezer_Review_Days,F130+Leftover_Safe_Days))</f>
        <v>0</v>
      </c>
      <c r="H130" s="8">
        <f>IF(OR(A130="",G130=""),"",G130-TODAY())</f>
        <v>0</v>
      </c>
      <c r="I130" s="8">
        <f>IF(A130="","",IF(P130="Yes","Eaten",IF(H130="","",IF(H130&lt;0,"Past its best",IF(H130&lt;=1,"Eat today",IF(H130&lt;=3,"Eat this week","Keep"))))))</f>
        <v>0</v>
      </c>
      <c r="J130" s="8">
        <f>IF(OR(A130="",D130=""),"",IFERROR(D130*IFERROR(INDEX(Recipes!$Q$5:$Q$204,MATCH(C130,Recipes!$A$5:$A$204,0)),""),""))</f>
        <v>0</v>
      </c>
      <c r="K130" s="8">
        <f>IF(OR(E130&lt;&gt;"Fridge",H130=""),"",COUNTIFS($E$5:$E$154,"Fridge",$H$5:$H$154,"&lt;"&amp;H130)+1)</f>
        <v>0</v>
      </c>
      <c r="L130" s="8">
        <f>IF(OR(E130&lt;&gt;"Freezer",H130=""),"",COUNTIFS($E$5:$E$154,"Freezer",$H$5:$H$154,"&lt;"&amp;H130)+1)</f>
        <v>0</v>
      </c>
      <c r="M130" s="7"/>
      <c r="N130" s="26"/>
      <c r="O130" s="8">
        <f>IF(OR(A130="",G130=""),"",G130-1)</f>
        <v>0</v>
      </c>
      <c r="P130" s="27"/>
      <c r="Q130" s="25"/>
    </row>
    <row r="131" spans="1:17">
      <c r="A131" s="7"/>
      <c r="B131" s="7"/>
      <c r="C131" s="27"/>
      <c r="D131" s="26"/>
      <c r="E131" s="27"/>
      <c r="F131" s="30"/>
      <c r="G131" s="8">
        <f>IF(OR(A131="",F131=""),"",IF(E131="Freezer",F131+Freezer_Review_Days,F131+Leftover_Safe_Days))</f>
        <v>0</v>
      </c>
      <c r="H131" s="8">
        <f>IF(OR(A131="",G131=""),"",G131-TODAY())</f>
        <v>0</v>
      </c>
      <c r="I131" s="8">
        <f>IF(A131="","",IF(P131="Yes","Eaten",IF(H131="","",IF(H131&lt;0,"Past its best",IF(H131&lt;=1,"Eat today",IF(H131&lt;=3,"Eat this week","Keep"))))))</f>
        <v>0</v>
      </c>
      <c r="J131" s="8">
        <f>IF(OR(A131="",D131=""),"",IFERROR(D131*IFERROR(INDEX(Recipes!$Q$5:$Q$204,MATCH(C131,Recipes!$A$5:$A$204,0)),""),""))</f>
        <v>0</v>
      </c>
      <c r="K131" s="8">
        <f>IF(OR(E131&lt;&gt;"Fridge",H131=""),"",COUNTIFS($E$5:$E$154,"Fridge",$H$5:$H$154,"&lt;"&amp;H131)+1)</f>
        <v>0</v>
      </c>
      <c r="L131" s="8">
        <f>IF(OR(E131&lt;&gt;"Freezer",H131=""),"",COUNTIFS($E$5:$E$154,"Freezer",$H$5:$H$154,"&lt;"&amp;H131)+1)</f>
        <v>0</v>
      </c>
      <c r="M131" s="7"/>
      <c r="N131" s="26"/>
      <c r="O131" s="8">
        <f>IF(OR(A131="",G131=""),"",G131-1)</f>
        <v>0</v>
      </c>
      <c r="P131" s="27"/>
      <c r="Q131" s="25"/>
    </row>
    <row r="132" spans="1:17">
      <c r="A132" s="7"/>
      <c r="B132" s="7"/>
      <c r="C132" s="27"/>
      <c r="D132" s="26"/>
      <c r="E132" s="27"/>
      <c r="F132" s="30"/>
      <c r="G132" s="8">
        <f>IF(OR(A132="",F132=""),"",IF(E132="Freezer",F132+Freezer_Review_Days,F132+Leftover_Safe_Days))</f>
        <v>0</v>
      </c>
      <c r="H132" s="8">
        <f>IF(OR(A132="",G132=""),"",G132-TODAY())</f>
        <v>0</v>
      </c>
      <c r="I132" s="8">
        <f>IF(A132="","",IF(P132="Yes","Eaten",IF(H132="","",IF(H132&lt;0,"Past its best",IF(H132&lt;=1,"Eat today",IF(H132&lt;=3,"Eat this week","Keep"))))))</f>
        <v>0</v>
      </c>
      <c r="J132" s="8">
        <f>IF(OR(A132="",D132=""),"",IFERROR(D132*IFERROR(INDEX(Recipes!$Q$5:$Q$204,MATCH(C132,Recipes!$A$5:$A$204,0)),""),""))</f>
        <v>0</v>
      </c>
      <c r="K132" s="8">
        <f>IF(OR(E132&lt;&gt;"Fridge",H132=""),"",COUNTIFS($E$5:$E$154,"Fridge",$H$5:$H$154,"&lt;"&amp;H132)+1)</f>
        <v>0</v>
      </c>
      <c r="L132" s="8">
        <f>IF(OR(E132&lt;&gt;"Freezer",H132=""),"",COUNTIFS($E$5:$E$154,"Freezer",$H$5:$H$154,"&lt;"&amp;H132)+1)</f>
        <v>0</v>
      </c>
      <c r="M132" s="7"/>
      <c r="N132" s="26"/>
      <c r="O132" s="8">
        <f>IF(OR(A132="",G132=""),"",G132-1)</f>
        <v>0</v>
      </c>
      <c r="P132" s="27"/>
      <c r="Q132" s="25"/>
    </row>
    <row r="133" spans="1:17">
      <c r="A133" s="7"/>
      <c r="B133" s="7"/>
      <c r="C133" s="27"/>
      <c r="D133" s="26"/>
      <c r="E133" s="27"/>
      <c r="F133" s="30"/>
      <c r="G133" s="8">
        <f>IF(OR(A133="",F133=""),"",IF(E133="Freezer",F133+Freezer_Review_Days,F133+Leftover_Safe_Days))</f>
        <v>0</v>
      </c>
      <c r="H133" s="8">
        <f>IF(OR(A133="",G133=""),"",G133-TODAY())</f>
        <v>0</v>
      </c>
      <c r="I133" s="8">
        <f>IF(A133="","",IF(P133="Yes","Eaten",IF(H133="","",IF(H133&lt;0,"Past its best",IF(H133&lt;=1,"Eat today",IF(H133&lt;=3,"Eat this week","Keep"))))))</f>
        <v>0</v>
      </c>
      <c r="J133" s="8">
        <f>IF(OR(A133="",D133=""),"",IFERROR(D133*IFERROR(INDEX(Recipes!$Q$5:$Q$204,MATCH(C133,Recipes!$A$5:$A$204,0)),""),""))</f>
        <v>0</v>
      </c>
      <c r="K133" s="8">
        <f>IF(OR(E133&lt;&gt;"Fridge",H133=""),"",COUNTIFS($E$5:$E$154,"Fridge",$H$5:$H$154,"&lt;"&amp;H133)+1)</f>
        <v>0</v>
      </c>
      <c r="L133" s="8">
        <f>IF(OR(E133&lt;&gt;"Freezer",H133=""),"",COUNTIFS($E$5:$E$154,"Freezer",$H$5:$H$154,"&lt;"&amp;H133)+1)</f>
        <v>0</v>
      </c>
      <c r="M133" s="7"/>
      <c r="N133" s="26"/>
      <c r="O133" s="8">
        <f>IF(OR(A133="",G133=""),"",G133-1)</f>
        <v>0</v>
      </c>
      <c r="P133" s="27"/>
      <c r="Q133" s="25"/>
    </row>
    <row r="134" spans="1:17">
      <c r="A134" s="7"/>
      <c r="B134" s="7"/>
      <c r="C134" s="27"/>
      <c r="D134" s="26"/>
      <c r="E134" s="27"/>
      <c r="F134" s="30"/>
      <c r="G134" s="8">
        <f>IF(OR(A134="",F134=""),"",IF(E134="Freezer",F134+Freezer_Review_Days,F134+Leftover_Safe_Days))</f>
        <v>0</v>
      </c>
      <c r="H134" s="8">
        <f>IF(OR(A134="",G134=""),"",G134-TODAY())</f>
        <v>0</v>
      </c>
      <c r="I134" s="8">
        <f>IF(A134="","",IF(P134="Yes","Eaten",IF(H134="","",IF(H134&lt;0,"Past its best",IF(H134&lt;=1,"Eat today",IF(H134&lt;=3,"Eat this week","Keep"))))))</f>
        <v>0</v>
      </c>
      <c r="J134" s="8">
        <f>IF(OR(A134="",D134=""),"",IFERROR(D134*IFERROR(INDEX(Recipes!$Q$5:$Q$204,MATCH(C134,Recipes!$A$5:$A$204,0)),""),""))</f>
        <v>0</v>
      </c>
      <c r="K134" s="8">
        <f>IF(OR(E134&lt;&gt;"Fridge",H134=""),"",COUNTIFS($E$5:$E$154,"Fridge",$H$5:$H$154,"&lt;"&amp;H134)+1)</f>
        <v>0</v>
      </c>
      <c r="L134" s="8">
        <f>IF(OR(E134&lt;&gt;"Freezer",H134=""),"",COUNTIFS($E$5:$E$154,"Freezer",$H$5:$H$154,"&lt;"&amp;H134)+1)</f>
        <v>0</v>
      </c>
      <c r="M134" s="7"/>
      <c r="N134" s="26"/>
      <c r="O134" s="8">
        <f>IF(OR(A134="",G134=""),"",G134-1)</f>
        <v>0</v>
      </c>
      <c r="P134" s="27"/>
      <c r="Q134" s="25"/>
    </row>
    <row r="135" spans="1:17">
      <c r="A135" s="7"/>
      <c r="B135" s="7"/>
      <c r="C135" s="27"/>
      <c r="D135" s="26"/>
      <c r="E135" s="27"/>
      <c r="F135" s="30"/>
      <c r="G135" s="8">
        <f>IF(OR(A135="",F135=""),"",IF(E135="Freezer",F135+Freezer_Review_Days,F135+Leftover_Safe_Days))</f>
        <v>0</v>
      </c>
      <c r="H135" s="8">
        <f>IF(OR(A135="",G135=""),"",G135-TODAY())</f>
        <v>0</v>
      </c>
      <c r="I135" s="8">
        <f>IF(A135="","",IF(P135="Yes","Eaten",IF(H135="","",IF(H135&lt;0,"Past its best",IF(H135&lt;=1,"Eat today",IF(H135&lt;=3,"Eat this week","Keep"))))))</f>
        <v>0</v>
      </c>
      <c r="J135" s="8">
        <f>IF(OR(A135="",D135=""),"",IFERROR(D135*IFERROR(INDEX(Recipes!$Q$5:$Q$204,MATCH(C135,Recipes!$A$5:$A$204,0)),""),""))</f>
        <v>0</v>
      </c>
      <c r="K135" s="8">
        <f>IF(OR(E135&lt;&gt;"Fridge",H135=""),"",COUNTIFS($E$5:$E$154,"Fridge",$H$5:$H$154,"&lt;"&amp;H135)+1)</f>
        <v>0</v>
      </c>
      <c r="L135" s="8">
        <f>IF(OR(E135&lt;&gt;"Freezer",H135=""),"",COUNTIFS($E$5:$E$154,"Freezer",$H$5:$H$154,"&lt;"&amp;H135)+1)</f>
        <v>0</v>
      </c>
      <c r="M135" s="7"/>
      <c r="N135" s="26"/>
      <c r="O135" s="8">
        <f>IF(OR(A135="",G135=""),"",G135-1)</f>
        <v>0</v>
      </c>
      <c r="P135" s="27"/>
      <c r="Q135" s="25"/>
    </row>
    <row r="136" spans="1:17">
      <c r="A136" s="7"/>
      <c r="B136" s="7"/>
      <c r="C136" s="27"/>
      <c r="D136" s="26"/>
      <c r="E136" s="27"/>
      <c r="F136" s="30"/>
      <c r="G136" s="8">
        <f>IF(OR(A136="",F136=""),"",IF(E136="Freezer",F136+Freezer_Review_Days,F136+Leftover_Safe_Days))</f>
        <v>0</v>
      </c>
      <c r="H136" s="8">
        <f>IF(OR(A136="",G136=""),"",G136-TODAY())</f>
        <v>0</v>
      </c>
      <c r="I136" s="8">
        <f>IF(A136="","",IF(P136="Yes","Eaten",IF(H136="","",IF(H136&lt;0,"Past its best",IF(H136&lt;=1,"Eat today",IF(H136&lt;=3,"Eat this week","Keep"))))))</f>
        <v>0</v>
      </c>
      <c r="J136" s="8">
        <f>IF(OR(A136="",D136=""),"",IFERROR(D136*IFERROR(INDEX(Recipes!$Q$5:$Q$204,MATCH(C136,Recipes!$A$5:$A$204,0)),""),""))</f>
        <v>0</v>
      </c>
      <c r="K136" s="8">
        <f>IF(OR(E136&lt;&gt;"Fridge",H136=""),"",COUNTIFS($E$5:$E$154,"Fridge",$H$5:$H$154,"&lt;"&amp;H136)+1)</f>
        <v>0</v>
      </c>
      <c r="L136" s="8">
        <f>IF(OR(E136&lt;&gt;"Freezer",H136=""),"",COUNTIFS($E$5:$E$154,"Freezer",$H$5:$H$154,"&lt;"&amp;H136)+1)</f>
        <v>0</v>
      </c>
      <c r="M136" s="7"/>
      <c r="N136" s="26"/>
      <c r="O136" s="8">
        <f>IF(OR(A136="",G136=""),"",G136-1)</f>
        <v>0</v>
      </c>
      <c r="P136" s="27"/>
      <c r="Q136" s="25"/>
    </row>
    <row r="137" spans="1:17">
      <c r="A137" s="7"/>
      <c r="B137" s="7"/>
      <c r="C137" s="27"/>
      <c r="D137" s="26"/>
      <c r="E137" s="27"/>
      <c r="F137" s="30"/>
      <c r="G137" s="8">
        <f>IF(OR(A137="",F137=""),"",IF(E137="Freezer",F137+Freezer_Review_Days,F137+Leftover_Safe_Days))</f>
        <v>0</v>
      </c>
      <c r="H137" s="8">
        <f>IF(OR(A137="",G137=""),"",G137-TODAY())</f>
        <v>0</v>
      </c>
      <c r="I137" s="8">
        <f>IF(A137="","",IF(P137="Yes","Eaten",IF(H137="","",IF(H137&lt;0,"Past its best",IF(H137&lt;=1,"Eat today",IF(H137&lt;=3,"Eat this week","Keep"))))))</f>
        <v>0</v>
      </c>
      <c r="J137" s="8">
        <f>IF(OR(A137="",D137=""),"",IFERROR(D137*IFERROR(INDEX(Recipes!$Q$5:$Q$204,MATCH(C137,Recipes!$A$5:$A$204,0)),""),""))</f>
        <v>0</v>
      </c>
      <c r="K137" s="8">
        <f>IF(OR(E137&lt;&gt;"Fridge",H137=""),"",COUNTIFS($E$5:$E$154,"Fridge",$H$5:$H$154,"&lt;"&amp;H137)+1)</f>
        <v>0</v>
      </c>
      <c r="L137" s="8">
        <f>IF(OR(E137&lt;&gt;"Freezer",H137=""),"",COUNTIFS($E$5:$E$154,"Freezer",$H$5:$H$154,"&lt;"&amp;H137)+1)</f>
        <v>0</v>
      </c>
      <c r="M137" s="7"/>
      <c r="N137" s="26"/>
      <c r="O137" s="8">
        <f>IF(OR(A137="",G137=""),"",G137-1)</f>
        <v>0</v>
      </c>
      <c r="P137" s="27"/>
      <c r="Q137" s="25"/>
    </row>
    <row r="138" spans="1:17">
      <c r="A138" s="7"/>
      <c r="B138" s="7"/>
      <c r="C138" s="27"/>
      <c r="D138" s="26"/>
      <c r="E138" s="27"/>
      <c r="F138" s="30"/>
      <c r="G138" s="8">
        <f>IF(OR(A138="",F138=""),"",IF(E138="Freezer",F138+Freezer_Review_Days,F138+Leftover_Safe_Days))</f>
        <v>0</v>
      </c>
      <c r="H138" s="8">
        <f>IF(OR(A138="",G138=""),"",G138-TODAY())</f>
        <v>0</v>
      </c>
      <c r="I138" s="8">
        <f>IF(A138="","",IF(P138="Yes","Eaten",IF(H138="","",IF(H138&lt;0,"Past its best",IF(H138&lt;=1,"Eat today",IF(H138&lt;=3,"Eat this week","Keep"))))))</f>
        <v>0</v>
      </c>
      <c r="J138" s="8">
        <f>IF(OR(A138="",D138=""),"",IFERROR(D138*IFERROR(INDEX(Recipes!$Q$5:$Q$204,MATCH(C138,Recipes!$A$5:$A$204,0)),""),""))</f>
        <v>0</v>
      </c>
      <c r="K138" s="8">
        <f>IF(OR(E138&lt;&gt;"Fridge",H138=""),"",COUNTIFS($E$5:$E$154,"Fridge",$H$5:$H$154,"&lt;"&amp;H138)+1)</f>
        <v>0</v>
      </c>
      <c r="L138" s="8">
        <f>IF(OR(E138&lt;&gt;"Freezer",H138=""),"",COUNTIFS($E$5:$E$154,"Freezer",$H$5:$H$154,"&lt;"&amp;H138)+1)</f>
        <v>0</v>
      </c>
      <c r="M138" s="7"/>
      <c r="N138" s="26"/>
      <c r="O138" s="8">
        <f>IF(OR(A138="",G138=""),"",G138-1)</f>
        <v>0</v>
      </c>
      <c r="P138" s="27"/>
      <c r="Q138" s="25"/>
    </row>
    <row r="139" spans="1:17">
      <c r="A139" s="7"/>
      <c r="B139" s="7"/>
      <c r="C139" s="27"/>
      <c r="D139" s="26"/>
      <c r="E139" s="27"/>
      <c r="F139" s="30"/>
      <c r="G139" s="8">
        <f>IF(OR(A139="",F139=""),"",IF(E139="Freezer",F139+Freezer_Review_Days,F139+Leftover_Safe_Days))</f>
        <v>0</v>
      </c>
      <c r="H139" s="8">
        <f>IF(OR(A139="",G139=""),"",G139-TODAY())</f>
        <v>0</v>
      </c>
      <c r="I139" s="8">
        <f>IF(A139="","",IF(P139="Yes","Eaten",IF(H139="","",IF(H139&lt;0,"Past its best",IF(H139&lt;=1,"Eat today",IF(H139&lt;=3,"Eat this week","Keep"))))))</f>
        <v>0</v>
      </c>
      <c r="J139" s="8">
        <f>IF(OR(A139="",D139=""),"",IFERROR(D139*IFERROR(INDEX(Recipes!$Q$5:$Q$204,MATCH(C139,Recipes!$A$5:$A$204,0)),""),""))</f>
        <v>0</v>
      </c>
      <c r="K139" s="8">
        <f>IF(OR(E139&lt;&gt;"Fridge",H139=""),"",COUNTIFS($E$5:$E$154,"Fridge",$H$5:$H$154,"&lt;"&amp;H139)+1)</f>
        <v>0</v>
      </c>
      <c r="L139" s="8">
        <f>IF(OR(E139&lt;&gt;"Freezer",H139=""),"",COUNTIFS($E$5:$E$154,"Freezer",$H$5:$H$154,"&lt;"&amp;H139)+1)</f>
        <v>0</v>
      </c>
      <c r="M139" s="7"/>
      <c r="N139" s="26"/>
      <c r="O139" s="8">
        <f>IF(OR(A139="",G139=""),"",G139-1)</f>
        <v>0</v>
      </c>
      <c r="P139" s="27"/>
      <c r="Q139" s="25"/>
    </row>
    <row r="140" spans="1:17">
      <c r="A140" s="7"/>
      <c r="B140" s="7"/>
      <c r="C140" s="27"/>
      <c r="D140" s="26"/>
      <c r="E140" s="27"/>
      <c r="F140" s="30"/>
      <c r="G140" s="8">
        <f>IF(OR(A140="",F140=""),"",IF(E140="Freezer",F140+Freezer_Review_Days,F140+Leftover_Safe_Days))</f>
        <v>0</v>
      </c>
      <c r="H140" s="8">
        <f>IF(OR(A140="",G140=""),"",G140-TODAY())</f>
        <v>0</v>
      </c>
      <c r="I140" s="8">
        <f>IF(A140="","",IF(P140="Yes","Eaten",IF(H140="","",IF(H140&lt;0,"Past its best",IF(H140&lt;=1,"Eat today",IF(H140&lt;=3,"Eat this week","Keep"))))))</f>
        <v>0</v>
      </c>
      <c r="J140" s="8">
        <f>IF(OR(A140="",D140=""),"",IFERROR(D140*IFERROR(INDEX(Recipes!$Q$5:$Q$204,MATCH(C140,Recipes!$A$5:$A$204,0)),""),""))</f>
        <v>0</v>
      </c>
      <c r="K140" s="8">
        <f>IF(OR(E140&lt;&gt;"Fridge",H140=""),"",COUNTIFS($E$5:$E$154,"Fridge",$H$5:$H$154,"&lt;"&amp;H140)+1)</f>
        <v>0</v>
      </c>
      <c r="L140" s="8">
        <f>IF(OR(E140&lt;&gt;"Freezer",H140=""),"",COUNTIFS($E$5:$E$154,"Freezer",$H$5:$H$154,"&lt;"&amp;H140)+1)</f>
        <v>0</v>
      </c>
      <c r="M140" s="7"/>
      <c r="N140" s="26"/>
      <c r="O140" s="8">
        <f>IF(OR(A140="",G140=""),"",G140-1)</f>
        <v>0</v>
      </c>
      <c r="P140" s="27"/>
      <c r="Q140" s="25"/>
    </row>
    <row r="141" spans="1:17">
      <c r="A141" s="7"/>
      <c r="B141" s="7"/>
      <c r="C141" s="27"/>
      <c r="D141" s="26"/>
      <c r="E141" s="27"/>
      <c r="F141" s="30"/>
      <c r="G141" s="8">
        <f>IF(OR(A141="",F141=""),"",IF(E141="Freezer",F141+Freezer_Review_Days,F141+Leftover_Safe_Days))</f>
        <v>0</v>
      </c>
      <c r="H141" s="8">
        <f>IF(OR(A141="",G141=""),"",G141-TODAY())</f>
        <v>0</v>
      </c>
      <c r="I141" s="8">
        <f>IF(A141="","",IF(P141="Yes","Eaten",IF(H141="","",IF(H141&lt;0,"Past its best",IF(H141&lt;=1,"Eat today",IF(H141&lt;=3,"Eat this week","Keep"))))))</f>
        <v>0</v>
      </c>
      <c r="J141" s="8">
        <f>IF(OR(A141="",D141=""),"",IFERROR(D141*IFERROR(INDEX(Recipes!$Q$5:$Q$204,MATCH(C141,Recipes!$A$5:$A$204,0)),""),""))</f>
        <v>0</v>
      </c>
      <c r="K141" s="8">
        <f>IF(OR(E141&lt;&gt;"Fridge",H141=""),"",COUNTIFS($E$5:$E$154,"Fridge",$H$5:$H$154,"&lt;"&amp;H141)+1)</f>
        <v>0</v>
      </c>
      <c r="L141" s="8">
        <f>IF(OR(E141&lt;&gt;"Freezer",H141=""),"",COUNTIFS($E$5:$E$154,"Freezer",$H$5:$H$154,"&lt;"&amp;H141)+1)</f>
        <v>0</v>
      </c>
      <c r="M141" s="7"/>
      <c r="N141" s="26"/>
      <c r="O141" s="8">
        <f>IF(OR(A141="",G141=""),"",G141-1)</f>
        <v>0</v>
      </c>
      <c r="P141" s="27"/>
      <c r="Q141" s="25"/>
    </row>
    <row r="142" spans="1:17">
      <c r="A142" s="7"/>
      <c r="B142" s="7"/>
      <c r="C142" s="27"/>
      <c r="D142" s="26"/>
      <c r="E142" s="27"/>
      <c r="F142" s="30"/>
      <c r="G142" s="8">
        <f>IF(OR(A142="",F142=""),"",IF(E142="Freezer",F142+Freezer_Review_Days,F142+Leftover_Safe_Days))</f>
        <v>0</v>
      </c>
      <c r="H142" s="8">
        <f>IF(OR(A142="",G142=""),"",G142-TODAY())</f>
        <v>0</v>
      </c>
      <c r="I142" s="8">
        <f>IF(A142="","",IF(P142="Yes","Eaten",IF(H142="","",IF(H142&lt;0,"Past its best",IF(H142&lt;=1,"Eat today",IF(H142&lt;=3,"Eat this week","Keep"))))))</f>
        <v>0</v>
      </c>
      <c r="J142" s="8">
        <f>IF(OR(A142="",D142=""),"",IFERROR(D142*IFERROR(INDEX(Recipes!$Q$5:$Q$204,MATCH(C142,Recipes!$A$5:$A$204,0)),""),""))</f>
        <v>0</v>
      </c>
      <c r="K142" s="8">
        <f>IF(OR(E142&lt;&gt;"Fridge",H142=""),"",COUNTIFS($E$5:$E$154,"Fridge",$H$5:$H$154,"&lt;"&amp;H142)+1)</f>
        <v>0</v>
      </c>
      <c r="L142" s="8">
        <f>IF(OR(E142&lt;&gt;"Freezer",H142=""),"",COUNTIFS($E$5:$E$154,"Freezer",$H$5:$H$154,"&lt;"&amp;H142)+1)</f>
        <v>0</v>
      </c>
      <c r="M142" s="7"/>
      <c r="N142" s="26"/>
      <c r="O142" s="8">
        <f>IF(OR(A142="",G142=""),"",G142-1)</f>
        <v>0</v>
      </c>
      <c r="P142" s="27"/>
      <c r="Q142" s="25"/>
    </row>
    <row r="143" spans="1:17">
      <c r="A143" s="7"/>
      <c r="B143" s="7"/>
      <c r="C143" s="27"/>
      <c r="D143" s="26"/>
      <c r="E143" s="27"/>
      <c r="F143" s="30"/>
      <c r="G143" s="8">
        <f>IF(OR(A143="",F143=""),"",IF(E143="Freezer",F143+Freezer_Review_Days,F143+Leftover_Safe_Days))</f>
        <v>0</v>
      </c>
      <c r="H143" s="8">
        <f>IF(OR(A143="",G143=""),"",G143-TODAY())</f>
        <v>0</v>
      </c>
      <c r="I143" s="8">
        <f>IF(A143="","",IF(P143="Yes","Eaten",IF(H143="","",IF(H143&lt;0,"Past its best",IF(H143&lt;=1,"Eat today",IF(H143&lt;=3,"Eat this week","Keep"))))))</f>
        <v>0</v>
      </c>
      <c r="J143" s="8">
        <f>IF(OR(A143="",D143=""),"",IFERROR(D143*IFERROR(INDEX(Recipes!$Q$5:$Q$204,MATCH(C143,Recipes!$A$5:$A$204,0)),""),""))</f>
        <v>0</v>
      </c>
      <c r="K143" s="8">
        <f>IF(OR(E143&lt;&gt;"Fridge",H143=""),"",COUNTIFS($E$5:$E$154,"Fridge",$H$5:$H$154,"&lt;"&amp;H143)+1)</f>
        <v>0</v>
      </c>
      <c r="L143" s="8">
        <f>IF(OR(E143&lt;&gt;"Freezer",H143=""),"",COUNTIFS($E$5:$E$154,"Freezer",$H$5:$H$154,"&lt;"&amp;H143)+1)</f>
        <v>0</v>
      </c>
      <c r="M143" s="7"/>
      <c r="N143" s="26"/>
      <c r="O143" s="8">
        <f>IF(OR(A143="",G143=""),"",G143-1)</f>
        <v>0</v>
      </c>
      <c r="P143" s="27"/>
      <c r="Q143" s="25"/>
    </row>
    <row r="144" spans="1:17">
      <c r="A144" s="7"/>
      <c r="B144" s="7"/>
      <c r="C144" s="27"/>
      <c r="D144" s="26"/>
      <c r="E144" s="27"/>
      <c r="F144" s="30"/>
      <c r="G144" s="8">
        <f>IF(OR(A144="",F144=""),"",IF(E144="Freezer",F144+Freezer_Review_Days,F144+Leftover_Safe_Days))</f>
        <v>0</v>
      </c>
      <c r="H144" s="8">
        <f>IF(OR(A144="",G144=""),"",G144-TODAY())</f>
        <v>0</v>
      </c>
      <c r="I144" s="8">
        <f>IF(A144="","",IF(P144="Yes","Eaten",IF(H144="","",IF(H144&lt;0,"Past its best",IF(H144&lt;=1,"Eat today",IF(H144&lt;=3,"Eat this week","Keep"))))))</f>
        <v>0</v>
      </c>
      <c r="J144" s="8">
        <f>IF(OR(A144="",D144=""),"",IFERROR(D144*IFERROR(INDEX(Recipes!$Q$5:$Q$204,MATCH(C144,Recipes!$A$5:$A$204,0)),""),""))</f>
        <v>0</v>
      </c>
      <c r="K144" s="8">
        <f>IF(OR(E144&lt;&gt;"Fridge",H144=""),"",COUNTIFS($E$5:$E$154,"Fridge",$H$5:$H$154,"&lt;"&amp;H144)+1)</f>
        <v>0</v>
      </c>
      <c r="L144" s="8">
        <f>IF(OR(E144&lt;&gt;"Freezer",H144=""),"",COUNTIFS($E$5:$E$154,"Freezer",$H$5:$H$154,"&lt;"&amp;H144)+1)</f>
        <v>0</v>
      </c>
      <c r="M144" s="7"/>
      <c r="N144" s="26"/>
      <c r="O144" s="8">
        <f>IF(OR(A144="",G144=""),"",G144-1)</f>
        <v>0</v>
      </c>
      <c r="P144" s="27"/>
      <c r="Q144" s="25"/>
    </row>
    <row r="145" spans="1:17">
      <c r="A145" s="7"/>
      <c r="B145" s="7"/>
      <c r="C145" s="27"/>
      <c r="D145" s="26"/>
      <c r="E145" s="27"/>
      <c r="F145" s="30"/>
      <c r="G145" s="8">
        <f>IF(OR(A145="",F145=""),"",IF(E145="Freezer",F145+Freezer_Review_Days,F145+Leftover_Safe_Days))</f>
        <v>0</v>
      </c>
      <c r="H145" s="8">
        <f>IF(OR(A145="",G145=""),"",G145-TODAY())</f>
        <v>0</v>
      </c>
      <c r="I145" s="8">
        <f>IF(A145="","",IF(P145="Yes","Eaten",IF(H145="","",IF(H145&lt;0,"Past its best",IF(H145&lt;=1,"Eat today",IF(H145&lt;=3,"Eat this week","Keep"))))))</f>
        <v>0</v>
      </c>
      <c r="J145" s="8">
        <f>IF(OR(A145="",D145=""),"",IFERROR(D145*IFERROR(INDEX(Recipes!$Q$5:$Q$204,MATCH(C145,Recipes!$A$5:$A$204,0)),""),""))</f>
        <v>0</v>
      </c>
      <c r="K145" s="8">
        <f>IF(OR(E145&lt;&gt;"Fridge",H145=""),"",COUNTIFS($E$5:$E$154,"Fridge",$H$5:$H$154,"&lt;"&amp;H145)+1)</f>
        <v>0</v>
      </c>
      <c r="L145" s="8">
        <f>IF(OR(E145&lt;&gt;"Freezer",H145=""),"",COUNTIFS($E$5:$E$154,"Freezer",$H$5:$H$154,"&lt;"&amp;H145)+1)</f>
        <v>0</v>
      </c>
      <c r="M145" s="7"/>
      <c r="N145" s="26"/>
      <c r="O145" s="8">
        <f>IF(OR(A145="",G145=""),"",G145-1)</f>
        <v>0</v>
      </c>
      <c r="P145" s="27"/>
      <c r="Q145" s="25"/>
    </row>
    <row r="146" spans="1:17">
      <c r="A146" s="7"/>
      <c r="B146" s="7"/>
      <c r="C146" s="27"/>
      <c r="D146" s="26"/>
      <c r="E146" s="27"/>
      <c r="F146" s="30"/>
      <c r="G146" s="8">
        <f>IF(OR(A146="",F146=""),"",IF(E146="Freezer",F146+Freezer_Review_Days,F146+Leftover_Safe_Days))</f>
        <v>0</v>
      </c>
      <c r="H146" s="8">
        <f>IF(OR(A146="",G146=""),"",G146-TODAY())</f>
        <v>0</v>
      </c>
      <c r="I146" s="8">
        <f>IF(A146="","",IF(P146="Yes","Eaten",IF(H146="","",IF(H146&lt;0,"Past its best",IF(H146&lt;=1,"Eat today",IF(H146&lt;=3,"Eat this week","Keep"))))))</f>
        <v>0</v>
      </c>
      <c r="J146" s="8">
        <f>IF(OR(A146="",D146=""),"",IFERROR(D146*IFERROR(INDEX(Recipes!$Q$5:$Q$204,MATCH(C146,Recipes!$A$5:$A$204,0)),""),""))</f>
        <v>0</v>
      </c>
      <c r="K146" s="8">
        <f>IF(OR(E146&lt;&gt;"Fridge",H146=""),"",COUNTIFS($E$5:$E$154,"Fridge",$H$5:$H$154,"&lt;"&amp;H146)+1)</f>
        <v>0</v>
      </c>
      <c r="L146" s="8">
        <f>IF(OR(E146&lt;&gt;"Freezer",H146=""),"",COUNTIFS($E$5:$E$154,"Freezer",$H$5:$H$154,"&lt;"&amp;H146)+1)</f>
        <v>0</v>
      </c>
      <c r="M146" s="7"/>
      <c r="N146" s="26"/>
      <c r="O146" s="8">
        <f>IF(OR(A146="",G146=""),"",G146-1)</f>
        <v>0</v>
      </c>
      <c r="P146" s="27"/>
      <c r="Q146" s="25"/>
    </row>
    <row r="147" spans="1:17">
      <c r="A147" s="7"/>
      <c r="B147" s="7"/>
      <c r="C147" s="27"/>
      <c r="D147" s="26"/>
      <c r="E147" s="27"/>
      <c r="F147" s="30"/>
      <c r="G147" s="8">
        <f>IF(OR(A147="",F147=""),"",IF(E147="Freezer",F147+Freezer_Review_Days,F147+Leftover_Safe_Days))</f>
        <v>0</v>
      </c>
      <c r="H147" s="8">
        <f>IF(OR(A147="",G147=""),"",G147-TODAY())</f>
        <v>0</v>
      </c>
      <c r="I147" s="8">
        <f>IF(A147="","",IF(P147="Yes","Eaten",IF(H147="","",IF(H147&lt;0,"Past its best",IF(H147&lt;=1,"Eat today",IF(H147&lt;=3,"Eat this week","Keep"))))))</f>
        <v>0</v>
      </c>
      <c r="J147" s="8">
        <f>IF(OR(A147="",D147=""),"",IFERROR(D147*IFERROR(INDEX(Recipes!$Q$5:$Q$204,MATCH(C147,Recipes!$A$5:$A$204,0)),""),""))</f>
        <v>0</v>
      </c>
      <c r="K147" s="8">
        <f>IF(OR(E147&lt;&gt;"Fridge",H147=""),"",COUNTIFS($E$5:$E$154,"Fridge",$H$5:$H$154,"&lt;"&amp;H147)+1)</f>
        <v>0</v>
      </c>
      <c r="L147" s="8">
        <f>IF(OR(E147&lt;&gt;"Freezer",H147=""),"",COUNTIFS($E$5:$E$154,"Freezer",$H$5:$H$154,"&lt;"&amp;H147)+1)</f>
        <v>0</v>
      </c>
      <c r="M147" s="7"/>
      <c r="N147" s="26"/>
      <c r="O147" s="8">
        <f>IF(OR(A147="",G147=""),"",G147-1)</f>
        <v>0</v>
      </c>
      <c r="P147" s="27"/>
      <c r="Q147" s="25"/>
    </row>
    <row r="148" spans="1:17">
      <c r="A148" s="7"/>
      <c r="B148" s="7"/>
      <c r="C148" s="27"/>
      <c r="D148" s="26"/>
      <c r="E148" s="27"/>
      <c r="F148" s="30"/>
      <c r="G148" s="8">
        <f>IF(OR(A148="",F148=""),"",IF(E148="Freezer",F148+Freezer_Review_Days,F148+Leftover_Safe_Days))</f>
        <v>0</v>
      </c>
      <c r="H148" s="8">
        <f>IF(OR(A148="",G148=""),"",G148-TODAY())</f>
        <v>0</v>
      </c>
      <c r="I148" s="8">
        <f>IF(A148="","",IF(P148="Yes","Eaten",IF(H148="","",IF(H148&lt;0,"Past its best",IF(H148&lt;=1,"Eat today",IF(H148&lt;=3,"Eat this week","Keep"))))))</f>
        <v>0</v>
      </c>
      <c r="J148" s="8">
        <f>IF(OR(A148="",D148=""),"",IFERROR(D148*IFERROR(INDEX(Recipes!$Q$5:$Q$204,MATCH(C148,Recipes!$A$5:$A$204,0)),""),""))</f>
        <v>0</v>
      </c>
      <c r="K148" s="8">
        <f>IF(OR(E148&lt;&gt;"Fridge",H148=""),"",COUNTIFS($E$5:$E$154,"Fridge",$H$5:$H$154,"&lt;"&amp;H148)+1)</f>
        <v>0</v>
      </c>
      <c r="L148" s="8">
        <f>IF(OR(E148&lt;&gt;"Freezer",H148=""),"",COUNTIFS($E$5:$E$154,"Freezer",$H$5:$H$154,"&lt;"&amp;H148)+1)</f>
        <v>0</v>
      </c>
      <c r="M148" s="7"/>
      <c r="N148" s="26"/>
      <c r="O148" s="8">
        <f>IF(OR(A148="",G148=""),"",G148-1)</f>
        <v>0</v>
      </c>
      <c r="P148" s="27"/>
      <c r="Q148" s="25"/>
    </row>
    <row r="149" spans="1:17">
      <c r="A149" s="7"/>
      <c r="B149" s="7"/>
      <c r="C149" s="27"/>
      <c r="D149" s="26"/>
      <c r="E149" s="27"/>
      <c r="F149" s="30"/>
      <c r="G149" s="8">
        <f>IF(OR(A149="",F149=""),"",IF(E149="Freezer",F149+Freezer_Review_Days,F149+Leftover_Safe_Days))</f>
        <v>0</v>
      </c>
      <c r="H149" s="8">
        <f>IF(OR(A149="",G149=""),"",G149-TODAY())</f>
        <v>0</v>
      </c>
      <c r="I149" s="8">
        <f>IF(A149="","",IF(P149="Yes","Eaten",IF(H149="","",IF(H149&lt;0,"Past its best",IF(H149&lt;=1,"Eat today",IF(H149&lt;=3,"Eat this week","Keep"))))))</f>
        <v>0</v>
      </c>
      <c r="J149" s="8">
        <f>IF(OR(A149="",D149=""),"",IFERROR(D149*IFERROR(INDEX(Recipes!$Q$5:$Q$204,MATCH(C149,Recipes!$A$5:$A$204,0)),""),""))</f>
        <v>0</v>
      </c>
      <c r="K149" s="8">
        <f>IF(OR(E149&lt;&gt;"Fridge",H149=""),"",COUNTIFS($E$5:$E$154,"Fridge",$H$5:$H$154,"&lt;"&amp;H149)+1)</f>
        <v>0</v>
      </c>
      <c r="L149" s="8">
        <f>IF(OR(E149&lt;&gt;"Freezer",H149=""),"",COUNTIFS($E$5:$E$154,"Freezer",$H$5:$H$154,"&lt;"&amp;H149)+1)</f>
        <v>0</v>
      </c>
      <c r="M149" s="7"/>
      <c r="N149" s="26"/>
      <c r="O149" s="8">
        <f>IF(OR(A149="",G149=""),"",G149-1)</f>
        <v>0</v>
      </c>
      <c r="P149" s="27"/>
      <c r="Q149" s="25"/>
    </row>
    <row r="150" spans="1:17">
      <c r="A150" s="7"/>
      <c r="B150" s="7"/>
      <c r="C150" s="27"/>
      <c r="D150" s="26"/>
      <c r="E150" s="27"/>
      <c r="F150" s="30"/>
      <c r="G150" s="8">
        <f>IF(OR(A150="",F150=""),"",IF(E150="Freezer",F150+Freezer_Review_Days,F150+Leftover_Safe_Days))</f>
        <v>0</v>
      </c>
      <c r="H150" s="8">
        <f>IF(OR(A150="",G150=""),"",G150-TODAY())</f>
        <v>0</v>
      </c>
      <c r="I150" s="8">
        <f>IF(A150="","",IF(P150="Yes","Eaten",IF(H150="","",IF(H150&lt;0,"Past its best",IF(H150&lt;=1,"Eat today",IF(H150&lt;=3,"Eat this week","Keep"))))))</f>
        <v>0</v>
      </c>
      <c r="J150" s="8">
        <f>IF(OR(A150="",D150=""),"",IFERROR(D150*IFERROR(INDEX(Recipes!$Q$5:$Q$204,MATCH(C150,Recipes!$A$5:$A$204,0)),""),""))</f>
        <v>0</v>
      </c>
      <c r="K150" s="8">
        <f>IF(OR(E150&lt;&gt;"Fridge",H150=""),"",COUNTIFS($E$5:$E$154,"Fridge",$H$5:$H$154,"&lt;"&amp;H150)+1)</f>
        <v>0</v>
      </c>
      <c r="L150" s="8">
        <f>IF(OR(E150&lt;&gt;"Freezer",H150=""),"",COUNTIFS($E$5:$E$154,"Freezer",$H$5:$H$154,"&lt;"&amp;H150)+1)</f>
        <v>0</v>
      </c>
      <c r="M150" s="7"/>
      <c r="N150" s="26"/>
      <c r="O150" s="8">
        <f>IF(OR(A150="",G150=""),"",G150-1)</f>
        <v>0</v>
      </c>
      <c r="P150" s="27"/>
      <c r="Q150" s="25"/>
    </row>
    <row r="151" spans="1:17">
      <c r="A151" s="7"/>
      <c r="B151" s="7"/>
      <c r="C151" s="27"/>
      <c r="D151" s="26"/>
      <c r="E151" s="27"/>
      <c r="F151" s="30"/>
      <c r="G151" s="8">
        <f>IF(OR(A151="",F151=""),"",IF(E151="Freezer",F151+Freezer_Review_Days,F151+Leftover_Safe_Days))</f>
        <v>0</v>
      </c>
      <c r="H151" s="8">
        <f>IF(OR(A151="",G151=""),"",G151-TODAY())</f>
        <v>0</v>
      </c>
      <c r="I151" s="8">
        <f>IF(A151="","",IF(P151="Yes","Eaten",IF(H151="","",IF(H151&lt;0,"Past its best",IF(H151&lt;=1,"Eat today",IF(H151&lt;=3,"Eat this week","Keep"))))))</f>
        <v>0</v>
      </c>
      <c r="J151" s="8">
        <f>IF(OR(A151="",D151=""),"",IFERROR(D151*IFERROR(INDEX(Recipes!$Q$5:$Q$204,MATCH(C151,Recipes!$A$5:$A$204,0)),""),""))</f>
        <v>0</v>
      </c>
      <c r="K151" s="8">
        <f>IF(OR(E151&lt;&gt;"Fridge",H151=""),"",COUNTIFS($E$5:$E$154,"Fridge",$H$5:$H$154,"&lt;"&amp;H151)+1)</f>
        <v>0</v>
      </c>
      <c r="L151" s="8">
        <f>IF(OR(E151&lt;&gt;"Freezer",H151=""),"",COUNTIFS($E$5:$E$154,"Freezer",$H$5:$H$154,"&lt;"&amp;H151)+1)</f>
        <v>0</v>
      </c>
      <c r="M151" s="7"/>
      <c r="N151" s="26"/>
      <c r="O151" s="8">
        <f>IF(OR(A151="",G151=""),"",G151-1)</f>
        <v>0</v>
      </c>
      <c r="P151" s="27"/>
      <c r="Q151" s="25"/>
    </row>
    <row r="152" spans="1:17">
      <c r="A152" s="7"/>
      <c r="B152" s="7"/>
      <c r="C152" s="27"/>
      <c r="D152" s="26"/>
      <c r="E152" s="27"/>
      <c r="F152" s="30"/>
      <c r="G152" s="8">
        <f>IF(OR(A152="",F152=""),"",IF(E152="Freezer",F152+Freezer_Review_Days,F152+Leftover_Safe_Days))</f>
        <v>0</v>
      </c>
      <c r="H152" s="8">
        <f>IF(OR(A152="",G152=""),"",G152-TODAY())</f>
        <v>0</v>
      </c>
      <c r="I152" s="8">
        <f>IF(A152="","",IF(P152="Yes","Eaten",IF(H152="","",IF(H152&lt;0,"Past its best",IF(H152&lt;=1,"Eat today",IF(H152&lt;=3,"Eat this week","Keep"))))))</f>
        <v>0</v>
      </c>
      <c r="J152" s="8">
        <f>IF(OR(A152="",D152=""),"",IFERROR(D152*IFERROR(INDEX(Recipes!$Q$5:$Q$204,MATCH(C152,Recipes!$A$5:$A$204,0)),""),""))</f>
        <v>0</v>
      </c>
      <c r="K152" s="8">
        <f>IF(OR(E152&lt;&gt;"Fridge",H152=""),"",COUNTIFS($E$5:$E$154,"Fridge",$H$5:$H$154,"&lt;"&amp;H152)+1)</f>
        <v>0</v>
      </c>
      <c r="L152" s="8">
        <f>IF(OR(E152&lt;&gt;"Freezer",H152=""),"",COUNTIFS($E$5:$E$154,"Freezer",$H$5:$H$154,"&lt;"&amp;H152)+1)</f>
        <v>0</v>
      </c>
      <c r="M152" s="7"/>
      <c r="N152" s="26"/>
      <c r="O152" s="8">
        <f>IF(OR(A152="",G152=""),"",G152-1)</f>
        <v>0</v>
      </c>
      <c r="P152" s="27"/>
      <c r="Q152" s="25"/>
    </row>
    <row r="153" spans="1:17">
      <c r="A153" s="7"/>
      <c r="B153" s="7"/>
      <c r="C153" s="27"/>
      <c r="D153" s="26"/>
      <c r="E153" s="27"/>
      <c r="F153" s="30"/>
      <c r="G153" s="8">
        <f>IF(OR(A153="",F153=""),"",IF(E153="Freezer",F153+Freezer_Review_Days,F153+Leftover_Safe_Days))</f>
        <v>0</v>
      </c>
      <c r="H153" s="8">
        <f>IF(OR(A153="",G153=""),"",G153-TODAY())</f>
        <v>0</v>
      </c>
      <c r="I153" s="8">
        <f>IF(A153="","",IF(P153="Yes","Eaten",IF(H153="","",IF(H153&lt;0,"Past its best",IF(H153&lt;=1,"Eat today",IF(H153&lt;=3,"Eat this week","Keep"))))))</f>
        <v>0</v>
      </c>
      <c r="J153" s="8">
        <f>IF(OR(A153="",D153=""),"",IFERROR(D153*IFERROR(INDEX(Recipes!$Q$5:$Q$204,MATCH(C153,Recipes!$A$5:$A$204,0)),""),""))</f>
        <v>0</v>
      </c>
      <c r="K153" s="8">
        <f>IF(OR(E153&lt;&gt;"Fridge",H153=""),"",COUNTIFS($E$5:$E$154,"Fridge",$H$5:$H$154,"&lt;"&amp;H153)+1)</f>
        <v>0</v>
      </c>
      <c r="L153" s="8">
        <f>IF(OR(E153&lt;&gt;"Freezer",H153=""),"",COUNTIFS($E$5:$E$154,"Freezer",$H$5:$H$154,"&lt;"&amp;H153)+1)</f>
        <v>0</v>
      </c>
      <c r="M153" s="7"/>
      <c r="N153" s="26"/>
      <c r="O153" s="8">
        <f>IF(OR(A153="",G153=""),"",G153-1)</f>
        <v>0</v>
      </c>
      <c r="P153" s="27"/>
      <c r="Q153" s="25"/>
    </row>
    <row r="154" spans="1:17">
      <c r="A154" s="7"/>
      <c r="B154" s="7"/>
      <c r="C154" s="27"/>
      <c r="D154" s="26"/>
      <c r="E154" s="27"/>
      <c r="F154" s="30"/>
      <c r="G154" s="8">
        <f>IF(OR(A154="",F154=""),"",IF(E154="Freezer",F154+Freezer_Review_Days,F154+Leftover_Safe_Days))</f>
        <v>0</v>
      </c>
      <c r="H154" s="8">
        <f>IF(OR(A154="",G154=""),"",G154-TODAY())</f>
        <v>0</v>
      </c>
      <c r="I154" s="8">
        <f>IF(A154="","",IF(P154="Yes","Eaten",IF(H154="","",IF(H154&lt;0,"Past its best",IF(H154&lt;=1,"Eat today",IF(H154&lt;=3,"Eat this week","Keep"))))))</f>
        <v>0</v>
      </c>
      <c r="J154" s="8">
        <f>IF(OR(A154="",D154=""),"",IFERROR(D154*IFERROR(INDEX(Recipes!$Q$5:$Q$204,MATCH(C154,Recipes!$A$5:$A$204,0)),""),""))</f>
        <v>0</v>
      </c>
      <c r="K154" s="8">
        <f>IF(OR(E154&lt;&gt;"Fridge",H154=""),"",COUNTIFS($E$5:$E$154,"Fridge",$H$5:$H$154,"&lt;"&amp;H154)+1)</f>
        <v>0</v>
      </c>
      <c r="L154" s="8">
        <f>IF(OR(E154&lt;&gt;"Freezer",H154=""),"",COUNTIFS($E$5:$E$154,"Freezer",$H$5:$H$154,"&lt;"&amp;H154)+1)</f>
        <v>0</v>
      </c>
      <c r="M154" s="7"/>
      <c r="N154" s="26"/>
      <c r="O154" s="8">
        <f>IF(OR(A154="",G154=""),"",G154-1)</f>
        <v>0</v>
      </c>
      <c r="P154" s="27"/>
      <c r="Q154" s="25"/>
    </row>
  </sheetData>
  <sheetProtection password="EC7C" sheet="1" objects="1" scenarios="1" selectLockedCells="1" selectUnlockedCells="1"/>
  <autoFilter ref="A4:Q154"/>
  <conditionalFormatting sqref="A101:Q101">
    <cfRule type="expression" dxfId="0" priority="49">
      <formula>MOD(ROW(),2)=0</formula>
    </cfRule>
  </conditionalFormatting>
  <conditionalFormatting sqref="A103:Q103">
    <cfRule type="expression" dxfId="0" priority="50">
      <formula>MOD(ROW(),2)=0</formula>
    </cfRule>
  </conditionalFormatting>
  <conditionalFormatting sqref="A105:Q105">
    <cfRule type="expression" dxfId="0" priority="51">
      <formula>MOD(ROW(),2)=0</formula>
    </cfRule>
  </conditionalFormatting>
  <conditionalFormatting sqref="A107:Q107">
    <cfRule type="expression" dxfId="0" priority="52">
      <formula>MOD(ROW(),2)=0</formula>
    </cfRule>
  </conditionalFormatting>
  <conditionalFormatting sqref="A109:Q109">
    <cfRule type="expression" dxfId="0" priority="53">
      <formula>MOD(ROW(),2)=0</formula>
    </cfRule>
  </conditionalFormatting>
  <conditionalFormatting sqref="A111:Q111">
    <cfRule type="expression" dxfId="0" priority="54">
      <formula>MOD(ROW(),2)=0</formula>
    </cfRule>
  </conditionalFormatting>
  <conditionalFormatting sqref="A113:Q113">
    <cfRule type="expression" dxfId="0" priority="55">
      <formula>MOD(ROW(),2)=0</formula>
    </cfRule>
  </conditionalFormatting>
  <conditionalFormatting sqref="A115:Q115">
    <cfRule type="expression" dxfId="0" priority="56">
      <formula>MOD(ROW(),2)=0</formula>
    </cfRule>
  </conditionalFormatting>
  <conditionalFormatting sqref="A117:Q117">
    <cfRule type="expression" dxfId="0" priority="57">
      <formula>MOD(ROW(),2)=0</formula>
    </cfRule>
  </conditionalFormatting>
  <conditionalFormatting sqref="A119:Q119">
    <cfRule type="expression" dxfId="0" priority="58">
      <formula>MOD(ROW(),2)=0</formula>
    </cfRule>
  </conditionalFormatting>
  <conditionalFormatting sqref="A11:Q11">
    <cfRule type="expression" dxfId="0" priority="4">
      <formula>MOD(ROW(),2)=0</formula>
    </cfRule>
  </conditionalFormatting>
  <conditionalFormatting sqref="A121:Q121">
    <cfRule type="expression" dxfId="0" priority="59">
      <formula>MOD(ROW(),2)=0</formula>
    </cfRule>
  </conditionalFormatting>
  <conditionalFormatting sqref="A123:Q123">
    <cfRule type="expression" dxfId="0" priority="60">
      <formula>MOD(ROW(),2)=0</formula>
    </cfRule>
  </conditionalFormatting>
  <conditionalFormatting sqref="A125:Q125">
    <cfRule type="expression" dxfId="0" priority="61">
      <formula>MOD(ROW(),2)=0</formula>
    </cfRule>
  </conditionalFormatting>
  <conditionalFormatting sqref="A127:Q127">
    <cfRule type="expression" dxfId="0" priority="62">
      <formula>MOD(ROW(),2)=0</formula>
    </cfRule>
  </conditionalFormatting>
  <conditionalFormatting sqref="A129:Q129">
    <cfRule type="expression" dxfId="0" priority="63">
      <formula>MOD(ROW(),2)=0</formula>
    </cfRule>
  </conditionalFormatting>
  <conditionalFormatting sqref="A131:Q131">
    <cfRule type="expression" dxfId="0" priority="64">
      <formula>MOD(ROW(),2)=0</formula>
    </cfRule>
  </conditionalFormatting>
  <conditionalFormatting sqref="A133:Q133">
    <cfRule type="expression" dxfId="0" priority="65">
      <formula>MOD(ROW(),2)=0</formula>
    </cfRule>
  </conditionalFormatting>
  <conditionalFormatting sqref="A135:Q135">
    <cfRule type="expression" dxfId="0" priority="66">
      <formula>MOD(ROW(),2)=0</formula>
    </cfRule>
  </conditionalFormatting>
  <conditionalFormatting sqref="A137:Q137">
    <cfRule type="expression" dxfId="0" priority="67">
      <formula>MOD(ROW(),2)=0</formula>
    </cfRule>
  </conditionalFormatting>
  <conditionalFormatting sqref="A139:Q139">
    <cfRule type="expression" dxfId="0" priority="68">
      <formula>MOD(ROW(),2)=0</formula>
    </cfRule>
  </conditionalFormatting>
  <conditionalFormatting sqref="A13:Q13">
    <cfRule type="expression" dxfId="0" priority="5">
      <formula>MOD(ROW(),2)=0</formula>
    </cfRule>
  </conditionalFormatting>
  <conditionalFormatting sqref="A141:Q141">
    <cfRule type="expression" dxfId="0" priority="69">
      <formula>MOD(ROW(),2)=0</formula>
    </cfRule>
  </conditionalFormatting>
  <conditionalFormatting sqref="A143:Q143">
    <cfRule type="expression" dxfId="0" priority="70">
      <formula>MOD(ROW(),2)=0</formula>
    </cfRule>
  </conditionalFormatting>
  <conditionalFormatting sqref="A145:Q145">
    <cfRule type="expression" dxfId="0" priority="71">
      <formula>MOD(ROW(),2)=0</formula>
    </cfRule>
  </conditionalFormatting>
  <conditionalFormatting sqref="A147:Q147">
    <cfRule type="expression" dxfId="0" priority="72">
      <formula>MOD(ROW(),2)=0</formula>
    </cfRule>
  </conditionalFormatting>
  <conditionalFormatting sqref="A149:Q149">
    <cfRule type="expression" dxfId="0" priority="73">
      <formula>MOD(ROW(),2)=0</formula>
    </cfRule>
  </conditionalFormatting>
  <conditionalFormatting sqref="A151:Q151">
    <cfRule type="expression" dxfId="0" priority="74">
      <formula>MOD(ROW(),2)=0</formula>
    </cfRule>
  </conditionalFormatting>
  <conditionalFormatting sqref="A153:Q153">
    <cfRule type="expression" dxfId="0" priority="75">
      <formula>MOD(ROW(),2)=0</formula>
    </cfRule>
  </conditionalFormatting>
  <conditionalFormatting sqref="A15:Q15">
    <cfRule type="expression" dxfId="0" priority="6">
      <formula>MOD(ROW(),2)=0</formula>
    </cfRule>
  </conditionalFormatting>
  <conditionalFormatting sqref="A17:Q17">
    <cfRule type="expression" dxfId="0" priority="7">
      <formula>MOD(ROW(),2)=0</formula>
    </cfRule>
  </conditionalFormatting>
  <conditionalFormatting sqref="A19:Q19">
    <cfRule type="expression" dxfId="0" priority="8">
      <formula>MOD(ROW(),2)=0</formula>
    </cfRule>
  </conditionalFormatting>
  <conditionalFormatting sqref="A21:Q21">
    <cfRule type="expression" dxfId="0" priority="9">
      <formula>MOD(ROW(),2)=0</formula>
    </cfRule>
  </conditionalFormatting>
  <conditionalFormatting sqref="A23:Q23">
    <cfRule type="expression" dxfId="0" priority="10">
      <formula>MOD(ROW(),2)=0</formula>
    </cfRule>
  </conditionalFormatting>
  <conditionalFormatting sqref="A25:Q25">
    <cfRule type="expression" dxfId="0" priority="11">
      <formula>MOD(ROW(),2)=0</formula>
    </cfRule>
  </conditionalFormatting>
  <conditionalFormatting sqref="A27:Q27">
    <cfRule type="expression" dxfId="0" priority="12">
      <formula>MOD(ROW(),2)=0</formula>
    </cfRule>
  </conditionalFormatting>
  <conditionalFormatting sqref="A29:Q29">
    <cfRule type="expression" dxfId="0" priority="13">
      <formula>MOD(ROW(),2)=0</formula>
    </cfRule>
  </conditionalFormatting>
  <conditionalFormatting sqref="A31:Q31">
    <cfRule type="expression" dxfId="0" priority="14">
      <formula>MOD(ROW(),2)=0</formula>
    </cfRule>
  </conditionalFormatting>
  <conditionalFormatting sqref="A33:Q33">
    <cfRule type="expression" dxfId="0" priority="15">
      <formula>MOD(ROW(),2)=0</formula>
    </cfRule>
  </conditionalFormatting>
  <conditionalFormatting sqref="A35:Q35">
    <cfRule type="expression" dxfId="0" priority="16">
      <formula>MOD(ROW(),2)=0</formula>
    </cfRule>
  </conditionalFormatting>
  <conditionalFormatting sqref="A37:Q37">
    <cfRule type="expression" dxfId="0" priority="17">
      <formula>MOD(ROW(),2)=0</formula>
    </cfRule>
  </conditionalFormatting>
  <conditionalFormatting sqref="A39:Q39">
    <cfRule type="expression" dxfId="0" priority="18">
      <formula>MOD(ROW(),2)=0</formula>
    </cfRule>
  </conditionalFormatting>
  <conditionalFormatting sqref="A41:Q41">
    <cfRule type="expression" dxfId="0" priority="19">
      <formula>MOD(ROW(),2)=0</formula>
    </cfRule>
  </conditionalFormatting>
  <conditionalFormatting sqref="A43:Q43">
    <cfRule type="expression" dxfId="0" priority="20">
      <formula>MOD(ROW(),2)=0</formula>
    </cfRule>
  </conditionalFormatting>
  <conditionalFormatting sqref="A45:Q45">
    <cfRule type="expression" dxfId="0" priority="21">
      <formula>MOD(ROW(),2)=0</formula>
    </cfRule>
  </conditionalFormatting>
  <conditionalFormatting sqref="A47:Q47">
    <cfRule type="expression" dxfId="0" priority="22">
      <formula>MOD(ROW(),2)=0</formula>
    </cfRule>
  </conditionalFormatting>
  <conditionalFormatting sqref="A49:Q49">
    <cfRule type="expression" dxfId="0" priority="23">
      <formula>MOD(ROW(),2)=0</formula>
    </cfRule>
  </conditionalFormatting>
  <conditionalFormatting sqref="A51:Q51">
    <cfRule type="expression" dxfId="0" priority="24">
      <formula>MOD(ROW(),2)=0</formula>
    </cfRule>
  </conditionalFormatting>
  <conditionalFormatting sqref="A53:Q53">
    <cfRule type="expression" dxfId="0" priority="25">
      <formula>MOD(ROW(),2)=0</formula>
    </cfRule>
  </conditionalFormatting>
  <conditionalFormatting sqref="A55:Q55">
    <cfRule type="expression" dxfId="0" priority="26">
      <formula>MOD(ROW(),2)=0</formula>
    </cfRule>
  </conditionalFormatting>
  <conditionalFormatting sqref="A57:Q57">
    <cfRule type="expression" dxfId="0" priority="27">
      <formula>MOD(ROW(),2)=0</formula>
    </cfRule>
  </conditionalFormatting>
  <conditionalFormatting sqref="A59:Q59">
    <cfRule type="expression" dxfId="0" priority="28">
      <formula>MOD(ROW(),2)=0</formula>
    </cfRule>
  </conditionalFormatting>
  <conditionalFormatting sqref="A5:Q5">
    <cfRule type="expression" dxfId="0" priority="1">
      <formula>MOD(ROW(),2)=0</formula>
    </cfRule>
  </conditionalFormatting>
  <conditionalFormatting sqref="A61:Q61">
    <cfRule type="expression" dxfId="0" priority="29">
      <formula>MOD(ROW(),2)=0</formula>
    </cfRule>
  </conditionalFormatting>
  <conditionalFormatting sqref="A63:Q63">
    <cfRule type="expression" dxfId="0" priority="30">
      <formula>MOD(ROW(),2)=0</formula>
    </cfRule>
  </conditionalFormatting>
  <conditionalFormatting sqref="A65:Q65">
    <cfRule type="expression" dxfId="0" priority="31">
      <formula>MOD(ROW(),2)=0</formula>
    </cfRule>
  </conditionalFormatting>
  <conditionalFormatting sqref="A67:Q67">
    <cfRule type="expression" dxfId="0" priority="32">
      <formula>MOD(ROW(),2)=0</formula>
    </cfRule>
  </conditionalFormatting>
  <conditionalFormatting sqref="A69:Q69">
    <cfRule type="expression" dxfId="0" priority="33">
      <formula>MOD(ROW(),2)=0</formula>
    </cfRule>
  </conditionalFormatting>
  <conditionalFormatting sqref="A71:Q71">
    <cfRule type="expression" dxfId="0" priority="34">
      <formula>MOD(ROW(),2)=0</formula>
    </cfRule>
  </conditionalFormatting>
  <conditionalFormatting sqref="A73:Q73">
    <cfRule type="expression" dxfId="0" priority="35">
      <formula>MOD(ROW(),2)=0</formula>
    </cfRule>
  </conditionalFormatting>
  <conditionalFormatting sqref="A75:Q75">
    <cfRule type="expression" dxfId="0" priority="36">
      <formula>MOD(ROW(),2)=0</formula>
    </cfRule>
  </conditionalFormatting>
  <conditionalFormatting sqref="A77:Q77">
    <cfRule type="expression" dxfId="0" priority="37">
      <formula>MOD(ROW(),2)=0</formula>
    </cfRule>
  </conditionalFormatting>
  <conditionalFormatting sqref="A79:Q79">
    <cfRule type="expression" dxfId="0" priority="38">
      <formula>MOD(ROW(),2)=0</formula>
    </cfRule>
  </conditionalFormatting>
  <conditionalFormatting sqref="A7:Q7">
    <cfRule type="expression" dxfId="0" priority="2">
      <formula>MOD(ROW(),2)=0</formula>
    </cfRule>
  </conditionalFormatting>
  <conditionalFormatting sqref="A81:Q81">
    <cfRule type="expression" dxfId="0" priority="39">
      <formula>MOD(ROW(),2)=0</formula>
    </cfRule>
  </conditionalFormatting>
  <conditionalFormatting sqref="A83:Q83">
    <cfRule type="expression" dxfId="0" priority="40">
      <formula>MOD(ROW(),2)=0</formula>
    </cfRule>
  </conditionalFormatting>
  <conditionalFormatting sqref="A85:Q85">
    <cfRule type="expression" dxfId="0" priority="41">
      <formula>MOD(ROW(),2)=0</formula>
    </cfRule>
  </conditionalFormatting>
  <conditionalFormatting sqref="A87:Q87">
    <cfRule type="expression" dxfId="0" priority="42">
      <formula>MOD(ROW(),2)=0</formula>
    </cfRule>
  </conditionalFormatting>
  <conditionalFormatting sqref="A89:Q89">
    <cfRule type="expression" dxfId="0" priority="43">
      <formula>MOD(ROW(),2)=0</formula>
    </cfRule>
  </conditionalFormatting>
  <conditionalFormatting sqref="A91:Q91">
    <cfRule type="expression" dxfId="0" priority="44">
      <formula>MOD(ROW(),2)=0</formula>
    </cfRule>
  </conditionalFormatting>
  <conditionalFormatting sqref="A93:Q93">
    <cfRule type="expression" dxfId="0" priority="45">
      <formula>MOD(ROW(),2)=0</formula>
    </cfRule>
  </conditionalFormatting>
  <conditionalFormatting sqref="A95:Q95">
    <cfRule type="expression" dxfId="0" priority="46">
      <formula>MOD(ROW(),2)=0</formula>
    </cfRule>
  </conditionalFormatting>
  <conditionalFormatting sqref="A97:Q97">
    <cfRule type="expression" dxfId="0" priority="47">
      <formula>MOD(ROW(),2)=0</formula>
    </cfRule>
  </conditionalFormatting>
  <conditionalFormatting sqref="A99:Q99">
    <cfRule type="expression" dxfId="0" priority="48">
      <formula>MOD(ROW(),2)=0</formula>
    </cfRule>
  </conditionalFormatting>
  <conditionalFormatting sqref="A9:Q9">
    <cfRule type="expression" dxfId="0" priority="3">
      <formula>MOD(ROW(),2)=0</formula>
    </cfRule>
  </conditionalFormatting>
  <dataValidations count="750">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Spreadsheet&amp;R&amp;"Calibri,Italic"Fridge &amp; Freezer</oddHeader>
    <oddFooter>&amp;LPage &amp;P of &amp;N&amp;R&amp;D</oddFooter>
  </headerFooter>
  <legacyDrawing r:id="rId1"/>
</worksheet>
</file>

<file path=xl/worksheets/sheet26.xml><?xml version="1.0" encoding="utf-8"?>
<worksheet xmlns="http://schemas.openxmlformats.org/spreadsheetml/2006/main" xmlns:r="http://schemas.openxmlformats.org/officeDocument/2006/relationships">
  <sheetPr>
    <tabColor rgb="FFD9703C"/>
    <pageSetUpPr fitToPage="1"/>
  </sheetPr>
  <dimension ref="A4:V4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2" width="12.7109375" customWidth="1"/>
    <col min="3" max="3" width="11.7109375" customWidth="1"/>
    <col min="4" max="4" width="18.7109375" customWidth="1"/>
    <col min="5" max="5" width="24.7109375" customWidth="1"/>
    <col min="6" max="6" width="16.7109375" customWidth="1"/>
    <col min="7" max="8" width="10.7109375" customWidth="1"/>
    <col min="9" max="11" width="11.7109375" customWidth="1"/>
    <col min="12" max="15" width="12.7109375" customWidth="1"/>
    <col min="16" max="16" width="13.7109375" customWidth="1"/>
    <col min="17" max="17" width="9.7109375" customWidth="1"/>
    <col min="18" max="18" width="11.7109375" customWidth="1"/>
    <col min="19" max="19" width="10.7109375" customWidth="1"/>
    <col min="20" max="21" width="13.7109375" customWidth="1"/>
    <col min="22" max="22" width="30.7109375" customWidth="1"/>
  </cols>
  <sheetData>
    <row r="4" spans="1:22" ht="32" customHeight="1">
      <c r="A4" s="9" t="s">
        <v>128</v>
      </c>
      <c r="B4" s="9" t="s">
        <v>107</v>
      </c>
      <c r="C4" s="9" t="s">
        <v>109</v>
      </c>
      <c r="D4" s="9" t="s">
        <v>384</v>
      </c>
      <c r="E4" s="9" t="s">
        <v>147</v>
      </c>
      <c r="F4" s="9" t="s">
        <v>282</v>
      </c>
      <c r="G4" s="9" t="s">
        <v>149</v>
      </c>
      <c r="H4" s="9" t="s">
        <v>323</v>
      </c>
      <c r="I4" s="9" t="s">
        <v>393</v>
      </c>
      <c r="J4" s="9" t="s">
        <v>386</v>
      </c>
      <c r="K4" s="9" t="s">
        <v>563</v>
      </c>
      <c r="L4" s="9" t="s">
        <v>564</v>
      </c>
      <c r="M4" s="9" t="s">
        <v>565</v>
      </c>
      <c r="N4" s="9" t="s">
        <v>520</v>
      </c>
      <c r="O4" s="9" t="s">
        <v>566</v>
      </c>
      <c r="P4" s="9" t="s">
        <v>567</v>
      </c>
      <c r="Q4" s="9" t="s">
        <v>568</v>
      </c>
      <c r="R4" s="9" t="s">
        <v>569</v>
      </c>
      <c r="S4" s="9" t="s">
        <v>358</v>
      </c>
      <c r="T4" s="9" t="s">
        <v>570</v>
      </c>
      <c r="U4" s="9" t="s">
        <v>135</v>
      </c>
      <c r="V4" s="9" t="s">
        <v>173</v>
      </c>
    </row>
    <row r="5" spans="1:22">
      <c r="A5" s="30"/>
      <c r="B5" s="8">
        <f>IF(A5="","",A5-WEEKDAY(A5,2)+1)</f>
        <v>0</v>
      </c>
      <c r="C5" s="8">
        <f>IF(A5="","",TEXT(A5,"mmm yyyy"))</f>
        <v>0</v>
      </c>
      <c r="D5" s="27"/>
      <c r="E5" s="7"/>
      <c r="F5" s="8">
        <f>IF(E5="","",IFERROR(INDEX(Ingredients!$B$5:$B$304,MATCH(E5,Ingredients!$A$5:$A$304,0)),""))</f>
        <v>0</v>
      </c>
      <c r="G5" s="26"/>
      <c r="H5" s="27"/>
      <c r="I5" s="28"/>
      <c r="J5" s="8">
        <f>IF(OR(E5="",G5="",I5=""),"",G5*I5)</f>
        <v>0</v>
      </c>
      <c r="K5" s="8">
        <f>IF(OR(A5="",J5=""),"",SUMIFS($J$5:$J$404,$B$5:$B$404,B5))</f>
        <v>0</v>
      </c>
      <c r="L5" s="8">
        <f>IF(OR(J5="",K5="",K5=0),"",J5/K5)</f>
        <v>0</v>
      </c>
      <c r="M5" s="8">
        <f>IF(K5="","",K5-Weekly_Budget)</f>
        <v>0</v>
      </c>
      <c r="N5" s="8">
        <f>IF(K5="","",IF(K5&gt;Weekly_Budget,"Over budget",IF(K5&gt;Weekly_Budget*0.9,"Close","Within budget")))</f>
        <v>0</v>
      </c>
      <c r="O5" s="7"/>
      <c r="P5" s="27"/>
      <c r="Q5" s="27"/>
      <c r="R5" s="28"/>
      <c r="S5" s="8">
        <f>IF(J5="","",COUNTIFS($J$5:$J$404,"&gt;"&amp;J5)+1)</f>
        <v>0</v>
      </c>
      <c r="T5" s="8">
        <f>IF(OR(A5="",J5=""),"",SUMIFS($J$5:$J$404,$C$5:$C$404,C5,$A$5:$A$404,"&lt;="&amp;A5))</f>
        <v>0</v>
      </c>
      <c r="U5" s="8">
        <f>IF(E5="","",IF(Q5="Yes","On offer","Full price"))</f>
        <v>0</v>
      </c>
      <c r="V5" s="25"/>
    </row>
    <row r="6" spans="1:22">
      <c r="A6" s="30"/>
      <c r="B6" s="8">
        <f>IF(A6="","",A6-WEEKDAY(A6,2)+1)</f>
        <v>0</v>
      </c>
      <c r="C6" s="8">
        <f>IF(A6="","",TEXT(A6,"mmm yyyy"))</f>
        <v>0</v>
      </c>
      <c r="D6" s="27"/>
      <c r="E6" s="7"/>
      <c r="F6" s="8">
        <f>IF(E6="","",IFERROR(INDEX(Ingredients!$B$5:$B$304,MATCH(E6,Ingredients!$A$5:$A$304,0)),""))</f>
        <v>0</v>
      </c>
      <c r="G6" s="26"/>
      <c r="H6" s="27"/>
      <c r="I6" s="28"/>
      <c r="J6" s="8">
        <f>IF(OR(E6="",G6="",I6=""),"",G6*I6)</f>
        <v>0</v>
      </c>
      <c r="K6" s="8">
        <f>IF(OR(A6="",J6=""),"",SUMIFS($J$5:$J$404,$B$5:$B$404,B6))</f>
        <v>0</v>
      </c>
      <c r="L6" s="8">
        <f>IF(OR(J6="",K6="",K6=0),"",J6/K6)</f>
        <v>0</v>
      </c>
      <c r="M6" s="8">
        <f>IF(K6="","",K6-Weekly_Budget)</f>
        <v>0</v>
      </c>
      <c r="N6" s="8">
        <f>IF(K6="","",IF(K6&gt;Weekly_Budget,"Over budget",IF(K6&gt;Weekly_Budget*0.9,"Close","Within budget")))</f>
        <v>0</v>
      </c>
      <c r="O6" s="7"/>
      <c r="P6" s="27"/>
      <c r="Q6" s="27"/>
      <c r="R6" s="28"/>
      <c r="S6" s="8">
        <f>IF(J6="","",COUNTIFS($J$5:$J$404,"&gt;"&amp;J6)+1)</f>
        <v>0</v>
      </c>
      <c r="T6" s="8">
        <f>IF(OR(A6="",J6=""),"",SUMIFS($J$5:$J$404,$C$5:$C$404,C6,$A$5:$A$404,"&lt;="&amp;A6))</f>
        <v>0</v>
      </c>
      <c r="U6" s="8">
        <f>IF(E6="","",IF(Q6="Yes","On offer","Full price"))</f>
        <v>0</v>
      </c>
      <c r="V6" s="25"/>
    </row>
    <row r="7" spans="1:22">
      <c r="A7" s="30"/>
      <c r="B7" s="8">
        <f>IF(A7="","",A7-WEEKDAY(A7,2)+1)</f>
        <v>0</v>
      </c>
      <c r="C7" s="8">
        <f>IF(A7="","",TEXT(A7,"mmm yyyy"))</f>
        <v>0</v>
      </c>
      <c r="D7" s="27"/>
      <c r="E7" s="7"/>
      <c r="F7" s="8">
        <f>IF(E7="","",IFERROR(INDEX(Ingredients!$B$5:$B$304,MATCH(E7,Ingredients!$A$5:$A$304,0)),""))</f>
        <v>0</v>
      </c>
      <c r="G7" s="26"/>
      <c r="H7" s="27"/>
      <c r="I7" s="28"/>
      <c r="J7" s="8">
        <f>IF(OR(E7="",G7="",I7=""),"",G7*I7)</f>
        <v>0</v>
      </c>
      <c r="K7" s="8">
        <f>IF(OR(A7="",J7=""),"",SUMIFS($J$5:$J$404,$B$5:$B$404,B7))</f>
        <v>0</v>
      </c>
      <c r="L7" s="8">
        <f>IF(OR(J7="",K7="",K7=0),"",J7/K7)</f>
        <v>0</v>
      </c>
      <c r="M7" s="8">
        <f>IF(K7="","",K7-Weekly_Budget)</f>
        <v>0</v>
      </c>
      <c r="N7" s="8">
        <f>IF(K7="","",IF(K7&gt;Weekly_Budget,"Over budget",IF(K7&gt;Weekly_Budget*0.9,"Close","Within budget")))</f>
        <v>0</v>
      </c>
      <c r="O7" s="7"/>
      <c r="P7" s="27"/>
      <c r="Q7" s="27"/>
      <c r="R7" s="28"/>
      <c r="S7" s="8">
        <f>IF(J7="","",COUNTIFS($J$5:$J$404,"&gt;"&amp;J7)+1)</f>
        <v>0</v>
      </c>
      <c r="T7" s="8">
        <f>IF(OR(A7="",J7=""),"",SUMIFS($J$5:$J$404,$C$5:$C$404,C7,$A$5:$A$404,"&lt;="&amp;A7))</f>
        <v>0</v>
      </c>
      <c r="U7" s="8">
        <f>IF(E7="","",IF(Q7="Yes","On offer","Full price"))</f>
        <v>0</v>
      </c>
      <c r="V7" s="25"/>
    </row>
    <row r="8" spans="1:22">
      <c r="A8" s="30"/>
      <c r="B8" s="8">
        <f>IF(A8="","",A8-WEEKDAY(A8,2)+1)</f>
        <v>0</v>
      </c>
      <c r="C8" s="8">
        <f>IF(A8="","",TEXT(A8,"mmm yyyy"))</f>
        <v>0</v>
      </c>
      <c r="D8" s="27"/>
      <c r="E8" s="7"/>
      <c r="F8" s="8">
        <f>IF(E8="","",IFERROR(INDEX(Ingredients!$B$5:$B$304,MATCH(E8,Ingredients!$A$5:$A$304,0)),""))</f>
        <v>0</v>
      </c>
      <c r="G8" s="26"/>
      <c r="H8" s="27"/>
      <c r="I8" s="28"/>
      <c r="J8" s="8">
        <f>IF(OR(E8="",G8="",I8=""),"",G8*I8)</f>
        <v>0</v>
      </c>
      <c r="K8" s="8">
        <f>IF(OR(A8="",J8=""),"",SUMIFS($J$5:$J$404,$B$5:$B$404,B8))</f>
        <v>0</v>
      </c>
      <c r="L8" s="8">
        <f>IF(OR(J8="",K8="",K8=0),"",J8/K8)</f>
        <v>0</v>
      </c>
      <c r="M8" s="8">
        <f>IF(K8="","",K8-Weekly_Budget)</f>
        <v>0</v>
      </c>
      <c r="N8" s="8">
        <f>IF(K8="","",IF(K8&gt;Weekly_Budget,"Over budget",IF(K8&gt;Weekly_Budget*0.9,"Close","Within budget")))</f>
        <v>0</v>
      </c>
      <c r="O8" s="7"/>
      <c r="P8" s="27"/>
      <c r="Q8" s="27"/>
      <c r="R8" s="28"/>
      <c r="S8" s="8">
        <f>IF(J8="","",COUNTIFS($J$5:$J$404,"&gt;"&amp;J8)+1)</f>
        <v>0</v>
      </c>
      <c r="T8" s="8">
        <f>IF(OR(A8="",J8=""),"",SUMIFS($J$5:$J$404,$C$5:$C$404,C8,$A$5:$A$404,"&lt;="&amp;A8))</f>
        <v>0</v>
      </c>
      <c r="U8" s="8">
        <f>IF(E8="","",IF(Q8="Yes","On offer","Full price"))</f>
        <v>0</v>
      </c>
      <c r="V8" s="25"/>
    </row>
    <row r="9" spans="1:22">
      <c r="A9" s="30"/>
      <c r="B9" s="8">
        <f>IF(A9="","",A9-WEEKDAY(A9,2)+1)</f>
        <v>0</v>
      </c>
      <c r="C9" s="8">
        <f>IF(A9="","",TEXT(A9,"mmm yyyy"))</f>
        <v>0</v>
      </c>
      <c r="D9" s="27"/>
      <c r="E9" s="7"/>
      <c r="F9" s="8">
        <f>IF(E9="","",IFERROR(INDEX(Ingredients!$B$5:$B$304,MATCH(E9,Ingredients!$A$5:$A$304,0)),""))</f>
        <v>0</v>
      </c>
      <c r="G9" s="26"/>
      <c r="H9" s="27"/>
      <c r="I9" s="28"/>
      <c r="J9" s="8">
        <f>IF(OR(E9="",G9="",I9=""),"",G9*I9)</f>
        <v>0</v>
      </c>
      <c r="K9" s="8">
        <f>IF(OR(A9="",J9=""),"",SUMIFS($J$5:$J$404,$B$5:$B$404,B9))</f>
        <v>0</v>
      </c>
      <c r="L9" s="8">
        <f>IF(OR(J9="",K9="",K9=0),"",J9/K9)</f>
        <v>0</v>
      </c>
      <c r="M9" s="8">
        <f>IF(K9="","",K9-Weekly_Budget)</f>
        <v>0</v>
      </c>
      <c r="N9" s="8">
        <f>IF(K9="","",IF(K9&gt;Weekly_Budget,"Over budget",IF(K9&gt;Weekly_Budget*0.9,"Close","Within budget")))</f>
        <v>0</v>
      </c>
      <c r="O9" s="7"/>
      <c r="P9" s="27"/>
      <c r="Q9" s="27"/>
      <c r="R9" s="28"/>
      <c r="S9" s="8">
        <f>IF(J9="","",COUNTIFS($J$5:$J$404,"&gt;"&amp;J9)+1)</f>
        <v>0</v>
      </c>
      <c r="T9" s="8">
        <f>IF(OR(A9="",J9=""),"",SUMIFS($J$5:$J$404,$C$5:$C$404,C9,$A$5:$A$404,"&lt;="&amp;A9))</f>
        <v>0</v>
      </c>
      <c r="U9" s="8">
        <f>IF(E9="","",IF(Q9="Yes","On offer","Full price"))</f>
        <v>0</v>
      </c>
      <c r="V9" s="25"/>
    </row>
    <row r="10" spans="1:22">
      <c r="A10" s="30"/>
      <c r="B10" s="8">
        <f>IF(A10="","",A10-WEEKDAY(A10,2)+1)</f>
        <v>0</v>
      </c>
      <c r="C10" s="8">
        <f>IF(A10="","",TEXT(A10,"mmm yyyy"))</f>
        <v>0</v>
      </c>
      <c r="D10" s="27"/>
      <c r="E10" s="7"/>
      <c r="F10" s="8">
        <f>IF(E10="","",IFERROR(INDEX(Ingredients!$B$5:$B$304,MATCH(E10,Ingredients!$A$5:$A$304,0)),""))</f>
        <v>0</v>
      </c>
      <c r="G10" s="26"/>
      <c r="H10" s="27"/>
      <c r="I10" s="28"/>
      <c r="J10" s="8">
        <f>IF(OR(E10="",G10="",I10=""),"",G10*I10)</f>
        <v>0</v>
      </c>
      <c r="K10" s="8">
        <f>IF(OR(A10="",J10=""),"",SUMIFS($J$5:$J$404,$B$5:$B$404,B10))</f>
        <v>0</v>
      </c>
      <c r="L10" s="8">
        <f>IF(OR(J10="",K10="",K10=0),"",J10/K10)</f>
        <v>0</v>
      </c>
      <c r="M10" s="8">
        <f>IF(K10="","",K10-Weekly_Budget)</f>
        <v>0</v>
      </c>
      <c r="N10" s="8">
        <f>IF(K10="","",IF(K10&gt;Weekly_Budget,"Over budget",IF(K10&gt;Weekly_Budget*0.9,"Close","Within budget")))</f>
        <v>0</v>
      </c>
      <c r="O10" s="7"/>
      <c r="P10" s="27"/>
      <c r="Q10" s="27"/>
      <c r="R10" s="28"/>
      <c r="S10" s="8">
        <f>IF(J10="","",COUNTIFS($J$5:$J$404,"&gt;"&amp;J10)+1)</f>
        <v>0</v>
      </c>
      <c r="T10" s="8">
        <f>IF(OR(A10="",J10=""),"",SUMIFS($J$5:$J$404,$C$5:$C$404,C10,$A$5:$A$404,"&lt;="&amp;A10))</f>
        <v>0</v>
      </c>
      <c r="U10" s="8">
        <f>IF(E10="","",IF(Q10="Yes","On offer","Full price"))</f>
        <v>0</v>
      </c>
      <c r="V10" s="25"/>
    </row>
    <row r="11" spans="1:22">
      <c r="A11" s="30"/>
      <c r="B11" s="8">
        <f>IF(A11="","",A11-WEEKDAY(A11,2)+1)</f>
        <v>0</v>
      </c>
      <c r="C11" s="8">
        <f>IF(A11="","",TEXT(A11,"mmm yyyy"))</f>
        <v>0</v>
      </c>
      <c r="D11" s="27"/>
      <c r="E11" s="7"/>
      <c r="F11" s="8">
        <f>IF(E11="","",IFERROR(INDEX(Ingredients!$B$5:$B$304,MATCH(E11,Ingredients!$A$5:$A$304,0)),""))</f>
        <v>0</v>
      </c>
      <c r="G11" s="26"/>
      <c r="H11" s="27"/>
      <c r="I11" s="28"/>
      <c r="J11" s="8">
        <f>IF(OR(E11="",G11="",I11=""),"",G11*I11)</f>
        <v>0</v>
      </c>
      <c r="K11" s="8">
        <f>IF(OR(A11="",J11=""),"",SUMIFS($J$5:$J$404,$B$5:$B$404,B11))</f>
        <v>0</v>
      </c>
      <c r="L11" s="8">
        <f>IF(OR(J11="",K11="",K11=0),"",J11/K11)</f>
        <v>0</v>
      </c>
      <c r="M11" s="8">
        <f>IF(K11="","",K11-Weekly_Budget)</f>
        <v>0</v>
      </c>
      <c r="N11" s="8">
        <f>IF(K11="","",IF(K11&gt;Weekly_Budget,"Over budget",IF(K11&gt;Weekly_Budget*0.9,"Close","Within budget")))</f>
        <v>0</v>
      </c>
      <c r="O11" s="7"/>
      <c r="P11" s="27"/>
      <c r="Q11" s="27"/>
      <c r="R11" s="28"/>
      <c r="S11" s="8">
        <f>IF(J11="","",COUNTIFS($J$5:$J$404,"&gt;"&amp;J11)+1)</f>
        <v>0</v>
      </c>
      <c r="T11" s="8">
        <f>IF(OR(A11="",J11=""),"",SUMIFS($J$5:$J$404,$C$5:$C$404,C11,$A$5:$A$404,"&lt;="&amp;A11))</f>
        <v>0</v>
      </c>
      <c r="U11" s="8">
        <f>IF(E11="","",IF(Q11="Yes","On offer","Full price"))</f>
        <v>0</v>
      </c>
      <c r="V11" s="25"/>
    </row>
    <row r="12" spans="1:22">
      <c r="A12" s="30"/>
      <c r="B12" s="8">
        <f>IF(A12="","",A12-WEEKDAY(A12,2)+1)</f>
        <v>0</v>
      </c>
      <c r="C12" s="8">
        <f>IF(A12="","",TEXT(A12,"mmm yyyy"))</f>
        <v>0</v>
      </c>
      <c r="D12" s="27"/>
      <c r="E12" s="7"/>
      <c r="F12" s="8">
        <f>IF(E12="","",IFERROR(INDEX(Ingredients!$B$5:$B$304,MATCH(E12,Ingredients!$A$5:$A$304,0)),""))</f>
        <v>0</v>
      </c>
      <c r="G12" s="26"/>
      <c r="H12" s="27"/>
      <c r="I12" s="28"/>
      <c r="J12" s="8">
        <f>IF(OR(E12="",G12="",I12=""),"",G12*I12)</f>
        <v>0</v>
      </c>
      <c r="K12" s="8">
        <f>IF(OR(A12="",J12=""),"",SUMIFS($J$5:$J$404,$B$5:$B$404,B12))</f>
        <v>0</v>
      </c>
      <c r="L12" s="8">
        <f>IF(OR(J12="",K12="",K12=0),"",J12/K12)</f>
        <v>0</v>
      </c>
      <c r="M12" s="8">
        <f>IF(K12="","",K12-Weekly_Budget)</f>
        <v>0</v>
      </c>
      <c r="N12" s="8">
        <f>IF(K12="","",IF(K12&gt;Weekly_Budget,"Over budget",IF(K12&gt;Weekly_Budget*0.9,"Close","Within budget")))</f>
        <v>0</v>
      </c>
      <c r="O12" s="7"/>
      <c r="P12" s="27"/>
      <c r="Q12" s="27"/>
      <c r="R12" s="28"/>
      <c r="S12" s="8">
        <f>IF(J12="","",COUNTIFS($J$5:$J$404,"&gt;"&amp;J12)+1)</f>
        <v>0</v>
      </c>
      <c r="T12" s="8">
        <f>IF(OR(A12="",J12=""),"",SUMIFS($J$5:$J$404,$C$5:$C$404,C12,$A$5:$A$404,"&lt;="&amp;A12))</f>
        <v>0</v>
      </c>
      <c r="U12" s="8">
        <f>IF(E12="","",IF(Q12="Yes","On offer","Full price"))</f>
        <v>0</v>
      </c>
      <c r="V12" s="25"/>
    </row>
    <row r="13" spans="1:22">
      <c r="A13" s="30"/>
      <c r="B13" s="8">
        <f>IF(A13="","",A13-WEEKDAY(A13,2)+1)</f>
        <v>0</v>
      </c>
      <c r="C13" s="8">
        <f>IF(A13="","",TEXT(A13,"mmm yyyy"))</f>
        <v>0</v>
      </c>
      <c r="D13" s="27"/>
      <c r="E13" s="7"/>
      <c r="F13" s="8">
        <f>IF(E13="","",IFERROR(INDEX(Ingredients!$B$5:$B$304,MATCH(E13,Ingredients!$A$5:$A$304,0)),""))</f>
        <v>0</v>
      </c>
      <c r="G13" s="26"/>
      <c r="H13" s="27"/>
      <c r="I13" s="28"/>
      <c r="J13" s="8">
        <f>IF(OR(E13="",G13="",I13=""),"",G13*I13)</f>
        <v>0</v>
      </c>
      <c r="K13" s="8">
        <f>IF(OR(A13="",J13=""),"",SUMIFS($J$5:$J$404,$B$5:$B$404,B13))</f>
        <v>0</v>
      </c>
      <c r="L13" s="8">
        <f>IF(OR(J13="",K13="",K13=0),"",J13/K13)</f>
        <v>0</v>
      </c>
      <c r="M13" s="8">
        <f>IF(K13="","",K13-Weekly_Budget)</f>
        <v>0</v>
      </c>
      <c r="N13" s="8">
        <f>IF(K13="","",IF(K13&gt;Weekly_Budget,"Over budget",IF(K13&gt;Weekly_Budget*0.9,"Close","Within budget")))</f>
        <v>0</v>
      </c>
      <c r="O13" s="7"/>
      <c r="P13" s="27"/>
      <c r="Q13" s="27"/>
      <c r="R13" s="28"/>
      <c r="S13" s="8">
        <f>IF(J13="","",COUNTIFS($J$5:$J$404,"&gt;"&amp;J13)+1)</f>
        <v>0</v>
      </c>
      <c r="T13" s="8">
        <f>IF(OR(A13="",J13=""),"",SUMIFS($J$5:$J$404,$C$5:$C$404,C13,$A$5:$A$404,"&lt;="&amp;A13))</f>
        <v>0</v>
      </c>
      <c r="U13" s="8">
        <f>IF(E13="","",IF(Q13="Yes","On offer","Full price"))</f>
        <v>0</v>
      </c>
      <c r="V13" s="25"/>
    </row>
    <row r="14" spans="1:22">
      <c r="A14" s="30"/>
      <c r="B14" s="8">
        <f>IF(A14="","",A14-WEEKDAY(A14,2)+1)</f>
        <v>0</v>
      </c>
      <c r="C14" s="8">
        <f>IF(A14="","",TEXT(A14,"mmm yyyy"))</f>
        <v>0</v>
      </c>
      <c r="D14" s="27"/>
      <c r="E14" s="7"/>
      <c r="F14" s="8">
        <f>IF(E14="","",IFERROR(INDEX(Ingredients!$B$5:$B$304,MATCH(E14,Ingredients!$A$5:$A$304,0)),""))</f>
        <v>0</v>
      </c>
      <c r="G14" s="26"/>
      <c r="H14" s="27"/>
      <c r="I14" s="28"/>
      <c r="J14" s="8">
        <f>IF(OR(E14="",G14="",I14=""),"",G14*I14)</f>
        <v>0</v>
      </c>
      <c r="K14" s="8">
        <f>IF(OR(A14="",J14=""),"",SUMIFS($J$5:$J$404,$B$5:$B$404,B14))</f>
        <v>0</v>
      </c>
      <c r="L14" s="8">
        <f>IF(OR(J14="",K14="",K14=0),"",J14/K14)</f>
        <v>0</v>
      </c>
      <c r="M14" s="8">
        <f>IF(K14="","",K14-Weekly_Budget)</f>
        <v>0</v>
      </c>
      <c r="N14" s="8">
        <f>IF(K14="","",IF(K14&gt;Weekly_Budget,"Over budget",IF(K14&gt;Weekly_Budget*0.9,"Close","Within budget")))</f>
        <v>0</v>
      </c>
      <c r="O14" s="7"/>
      <c r="P14" s="27"/>
      <c r="Q14" s="27"/>
      <c r="R14" s="28"/>
      <c r="S14" s="8">
        <f>IF(J14="","",COUNTIFS($J$5:$J$404,"&gt;"&amp;J14)+1)</f>
        <v>0</v>
      </c>
      <c r="T14" s="8">
        <f>IF(OR(A14="",J14=""),"",SUMIFS($J$5:$J$404,$C$5:$C$404,C14,$A$5:$A$404,"&lt;="&amp;A14))</f>
        <v>0</v>
      </c>
      <c r="U14" s="8">
        <f>IF(E14="","",IF(Q14="Yes","On offer","Full price"))</f>
        <v>0</v>
      </c>
      <c r="V14" s="25"/>
    </row>
    <row r="15" spans="1:22">
      <c r="A15" s="30"/>
      <c r="B15" s="8">
        <f>IF(A15="","",A15-WEEKDAY(A15,2)+1)</f>
        <v>0</v>
      </c>
      <c r="C15" s="8">
        <f>IF(A15="","",TEXT(A15,"mmm yyyy"))</f>
        <v>0</v>
      </c>
      <c r="D15" s="27"/>
      <c r="E15" s="7"/>
      <c r="F15" s="8">
        <f>IF(E15="","",IFERROR(INDEX(Ingredients!$B$5:$B$304,MATCH(E15,Ingredients!$A$5:$A$304,0)),""))</f>
        <v>0</v>
      </c>
      <c r="G15" s="26"/>
      <c r="H15" s="27"/>
      <c r="I15" s="28"/>
      <c r="J15" s="8">
        <f>IF(OR(E15="",G15="",I15=""),"",G15*I15)</f>
        <v>0</v>
      </c>
      <c r="K15" s="8">
        <f>IF(OR(A15="",J15=""),"",SUMIFS($J$5:$J$404,$B$5:$B$404,B15))</f>
        <v>0</v>
      </c>
      <c r="L15" s="8">
        <f>IF(OR(J15="",K15="",K15=0),"",J15/K15)</f>
        <v>0</v>
      </c>
      <c r="M15" s="8">
        <f>IF(K15="","",K15-Weekly_Budget)</f>
        <v>0</v>
      </c>
      <c r="N15" s="8">
        <f>IF(K15="","",IF(K15&gt;Weekly_Budget,"Over budget",IF(K15&gt;Weekly_Budget*0.9,"Close","Within budget")))</f>
        <v>0</v>
      </c>
      <c r="O15" s="7"/>
      <c r="P15" s="27"/>
      <c r="Q15" s="27"/>
      <c r="R15" s="28"/>
      <c r="S15" s="8">
        <f>IF(J15="","",COUNTIFS($J$5:$J$404,"&gt;"&amp;J15)+1)</f>
        <v>0</v>
      </c>
      <c r="T15" s="8">
        <f>IF(OR(A15="",J15=""),"",SUMIFS($J$5:$J$404,$C$5:$C$404,C15,$A$5:$A$404,"&lt;="&amp;A15))</f>
        <v>0</v>
      </c>
      <c r="U15" s="8">
        <f>IF(E15="","",IF(Q15="Yes","On offer","Full price"))</f>
        <v>0</v>
      </c>
      <c r="V15" s="25"/>
    </row>
    <row r="16" spans="1:22">
      <c r="A16" s="30"/>
      <c r="B16" s="8">
        <f>IF(A16="","",A16-WEEKDAY(A16,2)+1)</f>
        <v>0</v>
      </c>
      <c r="C16" s="8">
        <f>IF(A16="","",TEXT(A16,"mmm yyyy"))</f>
        <v>0</v>
      </c>
      <c r="D16" s="27"/>
      <c r="E16" s="7"/>
      <c r="F16" s="8">
        <f>IF(E16="","",IFERROR(INDEX(Ingredients!$B$5:$B$304,MATCH(E16,Ingredients!$A$5:$A$304,0)),""))</f>
        <v>0</v>
      </c>
      <c r="G16" s="26"/>
      <c r="H16" s="27"/>
      <c r="I16" s="28"/>
      <c r="J16" s="8">
        <f>IF(OR(E16="",G16="",I16=""),"",G16*I16)</f>
        <v>0</v>
      </c>
      <c r="K16" s="8">
        <f>IF(OR(A16="",J16=""),"",SUMIFS($J$5:$J$404,$B$5:$B$404,B16))</f>
        <v>0</v>
      </c>
      <c r="L16" s="8">
        <f>IF(OR(J16="",K16="",K16=0),"",J16/K16)</f>
        <v>0</v>
      </c>
      <c r="M16" s="8">
        <f>IF(K16="","",K16-Weekly_Budget)</f>
        <v>0</v>
      </c>
      <c r="N16" s="8">
        <f>IF(K16="","",IF(K16&gt;Weekly_Budget,"Over budget",IF(K16&gt;Weekly_Budget*0.9,"Close","Within budget")))</f>
        <v>0</v>
      </c>
      <c r="O16" s="7"/>
      <c r="P16" s="27"/>
      <c r="Q16" s="27"/>
      <c r="R16" s="28"/>
      <c r="S16" s="8">
        <f>IF(J16="","",COUNTIFS($J$5:$J$404,"&gt;"&amp;J16)+1)</f>
        <v>0</v>
      </c>
      <c r="T16" s="8">
        <f>IF(OR(A16="",J16=""),"",SUMIFS($J$5:$J$404,$C$5:$C$404,C16,$A$5:$A$404,"&lt;="&amp;A16))</f>
        <v>0</v>
      </c>
      <c r="U16" s="8">
        <f>IF(E16="","",IF(Q16="Yes","On offer","Full price"))</f>
        <v>0</v>
      </c>
      <c r="V16" s="25"/>
    </row>
    <row r="17" spans="1:22">
      <c r="A17" s="30"/>
      <c r="B17" s="8">
        <f>IF(A17="","",A17-WEEKDAY(A17,2)+1)</f>
        <v>0</v>
      </c>
      <c r="C17" s="8">
        <f>IF(A17="","",TEXT(A17,"mmm yyyy"))</f>
        <v>0</v>
      </c>
      <c r="D17" s="27"/>
      <c r="E17" s="7"/>
      <c r="F17" s="8">
        <f>IF(E17="","",IFERROR(INDEX(Ingredients!$B$5:$B$304,MATCH(E17,Ingredients!$A$5:$A$304,0)),""))</f>
        <v>0</v>
      </c>
      <c r="G17" s="26"/>
      <c r="H17" s="27"/>
      <c r="I17" s="28"/>
      <c r="J17" s="8">
        <f>IF(OR(E17="",G17="",I17=""),"",G17*I17)</f>
        <v>0</v>
      </c>
      <c r="K17" s="8">
        <f>IF(OR(A17="",J17=""),"",SUMIFS($J$5:$J$404,$B$5:$B$404,B17))</f>
        <v>0</v>
      </c>
      <c r="L17" s="8">
        <f>IF(OR(J17="",K17="",K17=0),"",J17/K17)</f>
        <v>0</v>
      </c>
      <c r="M17" s="8">
        <f>IF(K17="","",K17-Weekly_Budget)</f>
        <v>0</v>
      </c>
      <c r="N17" s="8">
        <f>IF(K17="","",IF(K17&gt;Weekly_Budget,"Over budget",IF(K17&gt;Weekly_Budget*0.9,"Close","Within budget")))</f>
        <v>0</v>
      </c>
      <c r="O17" s="7"/>
      <c r="P17" s="27"/>
      <c r="Q17" s="27"/>
      <c r="R17" s="28"/>
      <c r="S17" s="8">
        <f>IF(J17="","",COUNTIFS($J$5:$J$404,"&gt;"&amp;J17)+1)</f>
        <v>0</v>
      </c>
      <c r="T17" s="8">
        <f>IF(OR(A17="",J17=""),"",SUMIFS($J$5:$J$404,$C$5:$C$404,C17,$A$5:$A$404,"&lt;="&amp;A17))</f>
        <v>0</v>
      </c>
      <c r="U17" s="8">
        <f>IF(E17="","",IF(Q17="Yes","On offer","Full price"))</f>
        <v>0</v>
      </c>
      <c r="V17" s="25"/>
    </row>
    <row r="18" spans="1:22">
      <c r="A18" s="30"/>
      <c r="B18" s="8">
        <f>IF(A18="","",A18-WEEKDAY(A18,2)+1)</f>
        <v>0</v>
      </c>
      <c r="C18" s="8">
        <f>IF(A18="","",TEXT(A18,"mmm yyyy"))</f>
        <v>0</v>
      </c>
      <c r="D18" s="27"/>
      <c r="E18" s="7"/>
      <c r="F18" s="8">
        <f>IF(E18="","",IFERROR(INDEX(Ingredients!$B$5:$B$304,MATCH(E18,Ingredients!$A$5:$A$304,0)),""))</f>
        <v>0</v>
      </c>
      <c r="G18" s="26"/>
      <c r="H18" s="27"/>
      <c r="I18" s="28"/>
      <c r="J18" s="8">
        <f>IF(OR(E18="",G18="",I18=""),"",G18*I18)</f>
        <v>0</v>
      </c>
      <c r="K18" s="8">
        <f>IF(OR(A18="",J18=""),"",SUMIFS($J$5:$J$404,$B$5:$B$404,B18))</f>
        <v>0</v>
      </c>
      <c r="L18" s="8">
        <f>IF(OR(J18="",K18="",K18=0),"",J18/K18)</f>
        <v>0</v>
      </c>
      <c r="M18" s="8">
        <f>IF(K18="","",K18-Weekly_Budget)</f>
        <v>0</v>
      </c>
      <c r="N18" s="8">
        <f>IF(K18="","",IF(K18&gt;Weekly_Budget,"Over budget",IF(K18&gt;Weekly_Budget*0.9,"Close","Within budget")))</f>
        <v>0</v>
      </c>
      <c r="O18" s="7"/>
      <c r="P18" s="27"/>
      <c r="Q18" s="27"/>
      <c r="R18" s="28"/>
      <c r="S18" s="8">
        <f>IF(J18="","",COUNTIFS($J$5:$J$404,"&gt;"&amp;J18)+1)</f>
        <v>0</v>
      </c>
      <c r="T18" s="8">
        <f>IF(OR(A18="",J18=""),"",SUMIFS($J$5:$J$404,$C$5:$C$404,C18,$A$5:$A$404,"&lt;="&amp;A18))</f>
        <v>0</v>
      </c>
      <c r="U18" s="8">
        <f>IF(E18="","",IF(Q18="Yes","On offer","Full price"))</f>
        <v>0</v>
      </c>
      <c r="V18" s="25"/>
    </row>
    <row r="19" spans="1:22">
      <c r="A19" s="30"/>
      <c r="B19" s="8">
        <f>IF(A19="","",A19-WEEKDAY(A19,2)+1)</f>
        <v>0</v>
      </c>
      <c r="C19" s="8">
        <f>IF(A19="","",TEXT(A19,"mmm yyyy"))</f>
        <v>0</v>
      </c>
      <c r="D19" s="27"/>
      <c r="E19" s="7"/>
      <c r="F19" s="8">
        <f>IF(E19="","",IFERROR(INDEX(Ingredients!$B$5:$B$304,MATCH(E19,Ingredients!$A$5:$A$304,0)),""))</f>
        <v>0</v>
      </c>
      <c r="G19" s="26"/>
      <c r="H19" s="27"/>
      <c r="I19" s="28"/>
      <c r="J19" s="8">
        <f>IF(OR(E19="",G19="",I19=""),"",G19*I19)</f>
        <v>0</v>
      </c>
      <c r="K19" s="8">
        <f>IF(OR(A19="",J19=""),"",SUMIFS($J$5:$J$404,$B$5:$B$404,B19))</f>
        <v>0</v>
      </c>
      <c r="L19" s="8">
        <f>IF(OR(J19="",K19="",K19=0),"",J19/K19)</f>
        <v>0</v>
      </c>
      <c r="M19" s="8">
        <f>IF(K19="","",K19-Weekly_Budget)</f>
        <v>0</v>
      </c>
      <c r="N19" s="8">
        <f>IF(K19="","",IF(K19&gt;Weekly_Budget,"Over budget",IF(K19&gt;Weekly_Budget*0.9,"Close","Within budget")))</f>
        <v>0</v>
      </c>
      <c r="O19" s="7"/>
      <c r="P19" s="27"/>
      <c r="Q19" s="27"/>
      <c r="R19" s="28"/>
      <c r="S19" s="8">
        <f>IF(J19="","",COUNTIFS($J$5:$J$404,"&gt;"&amp;J19)+1)</f>
        <v>0</v>
      </c>
      <c r="T19" s="8">
        <f>IF(OR(A19="",J19=""),"",SUMIFS($J$5:$J$404,$C$5:$C$404,C19,$A$5:$A$404,"&lt;="&amp;A19))</f>
        <v>0</v>
      </c>
      <c r="U19" s="8">
        <f>IF(E19="","",IF(Q19="Yes","On offer","Full price"))</f>
        <v>0</v>
      </c>
      <c r="V19" s="25"/>
    </row>
    <row r="20" spans="1:22">
      <c r="A20" s="30"/>
      <c r="B20" s="8">
        <f>IF(A20="","",A20-WEEKDAY(A20,2)+1)</f>
        <v>0</v>
      </c>
      <c r="C20" s="8">
        <f>IF(A20="","",TEXT(A20,"mmm yyyy"))</f>
        <v>0</v>
      </c>
      <c r="D20" s="27"/>
      <c r="E20" s="7"/>
      <c r="F20" s="8">
        <f>IF(E20="","",IFERROR(INDEX(Ingredients!$B$5:$B$304,MATCH(E20,Ingredients!$A$5:$A$304,0)),""))</f>
        <v>0</v>
      </c>
      <c r="G20" s="26"/>
      <c r="H20" s="27"/>
      <c r="I20" s="28"/>
      <c r="J20" s="8">
        <f>IF(OR(E20="",G20="",I20=""),"",G20*I20)</f>
        <v>0</v>
      </c>
      <c r="K20" s="8">
        <f>IF(OR(A20="",J20=""),"",SUMIFS($J$5:$J$404,$B$5:$B$404,B20))</f>
        <v>0</v>
      </c>
      <c r="L20" s="8">
        <f>IF(OR(J20="",K20="",K20=0),"",J20/K20)</f>
        <v>0</v>
      </c>
      <c r="M20" s="8">
        <f>IF(K20="","",K20-Weekly_Budget)</f>
        <v>0</v>
      </c>
      <c r="N20" s="8">
        <f>IF(K20="","",IF(K20&gt;Weekly_Budget,"Over budget",IF(K20&gt;Weekly_Budget*0.9,"Close","Within budget")))</f>
        <v>0</v>
      </c>
      <c r="O20" s="7"/>
      <c r="P20" s="27"/>
      <c r="Q20" s="27"/>
      <c r="R20" s="28"/>
      <c r="S20" s="8">
        <f>IF(J20="","",COUNTIFS($J$5:$J$404,"&gt;"&amp;J20)+1)</f>
        <v>0</v>
      </c>
      <c r="T20" s="8">
        <f>IF(OR(A20="",J20=""),"",SUMIFS($J$5:$J$404,$C$5:$C$404,C20,$A$5:$A$404,"&lt;="&amp;A20))</f>
        <v>0</v>
      </c>
      <c r="U20" s="8">
        <f>IF(E20="","",IF(Q20="Yes","On offer","Full price"))</f>
        <v>0</v>
      </c>
      <c r="V20" s="25"/>
    </row>
    <row r="21" spans="1:22">
      <c r="A21" s="30"/>
      <c r="B21" s="8">
        <f>IF(A21="","",A21-WEEKDAY(A21,2)+1)</f>
        <v>0</v>
      </c>
      <c r="C21" s="8">
        <f>IF(A21="","",TEXT(A21,"mmm yyyy"))</f>
        <v>0</v>
      </c>
      <c r="D21" s="27"/>
      <c r="E21" s="7"/>
      <c r="F21" s="8">
        <f>IF(E21="","",IFERROR(INDEX(Ingredients!$B$5:$B$304,MATCH(E21,Ingredients!$A$5:$A$304,0)),""))</f>
        <v>0</v>
      </c>
      <c r="G21" s="26"/>
      <c r="H21" s="27"/>
      <c r="I21" s="28"/>
      <c r="J21" s="8">
        <f>IF(OR(E21="",G21="",I21=""),"",G21*I21)</f>
        <v>0</v>
      </c>
      <c r="K21" s="8">
        <f>IF(OR(A21="",J21=""),"",SUMIFS($J$5:$J$404,$B$5:$B$404,B21))</f>
        <v>0</v>
      </c>
      <c r="L21" s="8">
        <f>IF(OR(J21="",K21="",K21=0),"",J21/K21)</f>
        <v>0</v>
      </c>
      <c r="M21" s="8">
        <f>IF(K21="","",K21-Weekly_Budget)</f>
        <v>0</v>
      </c>
      <c r="N21" s="8">
        <f>IF(K21="","",IF(K21&gt;Weekly_Budget,"Over budget",IF(K21&gt;Weekly_Budget*0.9,"Close","Within budget")))</f>
        <v>0</v>
      </c>
      <c r="O21" s="7"/>
      <c r="P21" s="27"/>
      <c r="Q21" s="27"/>
      <c r="R21" s="28"/>
      <c r="S21" s="8">
        <f>IF(J21="","",COUNTIFS($J$5:$J$404,"&gt;"&amp;J21)+1)</f>
        <v>0</v>
      </c>
      <c r="T21" s="8">
        <f>IF(OR(A21="",J21=""),"",SUMIFS($J$5:$J$404,$C$5:$C$404,C21,$A$5:$A$404,"&lt;="&amp;A21))</f>
        <v>0</v>
      </c>
      <c r="U21" s="8">
        <f>IF(E21="","",IF(Q21="Yes","On offer","Full price"))</f>
        <v>0</v>
      </c>
      <c r="V21" s="25"/>
    </row>
    <row r="22" spans="1:22">
      <c r="A22" s="30"/>
      <c r="B22" s="8">
        <f>IF(A22="","",A22-WEEKDAY(A22,2)+1)</f>
        <v>0</v>
      </c>
      <c r="C22" s="8">
        <f>IF(A22="","",TEXT(A22,"mmm yyyy"))</f>
        <v>0</v>
      </c>
      <c r="D22" s="27"/>
      <c r="E22" s="7"/>
      <c r="F22" s="8">
        <f>IF(E22="","",IFERROR(INDEX(Ingredients!$B$5:$B$304,MATCH(E22,Ingredients!$A$5:$A$304,0)),""))</f>
        <v>0</v>
      </c>
      <c r="G22" s="26"/>
      <c r="H22" s="27"/>
      <c r="I22" s="28"/>
      <c r="J22" s="8">
        <f>IF(OR(E22="",G22="",I22=""),"",G22*I22)</f>
        <v>0</v>
      </c>
      <c r="K22" s="8">
        <f>IF(OR(A22="",J22=""),"",SUMIFS($J$5:$J$404,$B$5:$B$404,B22))</f>
        <v>0</v>
      </c>
      <c r="L22" s="8">
        <f>IF(OR(J22="",K22="",K22=0),"",J22/K22)</f>
        <v>0</v>
      </c>
      <c r="M22" s="8">
        <f>IF(K22="","",K22-Weekly_Budget)</f>
        <v>0</v>
      </c>
      <c r="N22" s="8">
        <f>IF(K22="","",IF(K22&gt;Weekly_Budget,"Over budget",IF(K22&gt;Weekly_Budget*0.9,"Close","Within budget")))</f>
        <v>0</v>
      </c>
      <c r="O22" s="7"/>
      <c r="P22" s="27"/>
      <c r="Q22" s="27"/>
      <c r="R22" s="28"/>
      <c r="S22" s="8">
        <f>IF(J22="","",COUNTIFS($J$5:$J$404,"&gt;"&amp;J22)+1)</f>
        <v>0</v>
      </c>
      <c r="T22" s="8">
        <f>IF(OR(A22="",J22=""),"",SUMIFS($J$5:$J$404,$C$5:$C$404,C22,$A$5:$A$404,"&lt;="&amp;A22))</f>
        <v>0</v>
      </c>
      <c r="U22" s="8">
        <f>IF(E22="","",IF(Q22="Yes","On offer","Full price"))</f>
        <v>0</v>
      </c>
      <c r="V22" s="25"/>
    </row>
    <row r="23" spans="1:22">
      <c r="A23" s="30"/>
      <c r="B23" s="8">
        <f>IF(A23="","",A23-WEEKDAY(A23,2)+1)</f>
        <v>0</v>
      </c>
      <c r="C23" s="8">
        <f>IF(A23="","",TEXT(A23,"mmm yyyy"))</f>
        <v>0</v>
      </c>
      <c r="D23" s="27"/>
      <c r="E23" s="7"/>
      <c r="F23" s="8">
        <f>IF(E23="","",IFERROR(INDEX(Ingredients!$B$5:$B$304,MATCH(E23,Ingredients!$A$5:$A$304,0)),""))</f>
        <v>0</v>
      </c>
      <c r="G23" s="26"/>
      <c r="H23" s="27"/>
      <c r="I23" s="28"/>
      <c r="J23" s="8">
        <f>IF(OR(E23="",G23="",I23=""),"",G23*I23)</f>
        <v>0</v>
      </c>
      <c r="K23" s="8">
        <f>IF(OR(A23="",J23=""),"",SUMIFS($J$5:$J$404,$B$5:$B$404,B23))</f>
        <v>0</v>
      </c>
      <c r="L23" s="8">
        <f>IF(OR(J23="",K23="",K23=0),"",J23/K23)</f>
        <v>0</v>
      </c>
      <c r="M23" s="8">
        <f>IF(K23="","",K23-Weekly_Budget)</f>
        <v>0</v>
      </c>
      <c r="N23" s="8">
        <f>IF(K23="","",IF(K23&gt;Weekly_Budget,"Over budget",IF(K23&gt;Weekly_Budget*0.9,"Close","Within budget")))</f>
        <v>0</v>
      </c>
      <c r="O23" s="7"/>
      <c r="P23" s="27"/>
      <c r="Q23" s="27"/>
      <c r="R23" s="28"/>
      <c r="S23" s="8">
        <f>IF(J23="","",COUNTIFS($J$5:$J$404,"&gt;"&amp;J23)+1)</f>
        <v>0</v>
      </c>
      <c r="T23" s="8">
        <f>IF(OR(A23="",J23=""),"",SUMIFS($J$5:$J$404,$C$5:$C$404,C23,$A$5:$A$404,"&lt;="&amp;A23))</f>
        <v>0</v>
      </c>
      <c r="U23" s="8">
        <f>IF(E23="","",IF(Q23="Yes","On offer","Full price"))</f>
        <v>0</v>
      </c>
      <c r="V23" s="25"/>
    </row>
    <row r="24" spans="1:22">
      <c r="A24" s="30"/>
      <c r="B24" s="8">
        <f>IF(A24="","",A24-WEEKDAY(A24,2)+1)</f>
        <v>0</v>
      </c>
      <c r="C24" s="8">
        <f>IF(A24="","",TEXT(A24,"mmm yyyy"))</f>
        <v>0</v>
      </c>
      <c r="D24" s="27"/>
      <c r="E24" s="7"/>
      <c r="F24" s="8">
        <f>IF(E24="","",IFERROR(INDEX(Ingredients!$B$5:$B$304,MATCH(E24,Ingredients!$A$5:$A$304,0)),""))</f>
        <v>0</v>
      </c>
      <c r="G24" s="26"/>
      <c r="H24" s="27"/>
      <c r="I24" s="28"/>
      <c r="J24" s="8">
        <f>IF(OR(E24="",G24="",I24=""),"",G24*I24)</f>
        <v>0</v>
      </c>
      <c r="K24" s="8">
        <f>IF(OR(A24="",J24=""),"",SUMIFS($J$5:$J$404,$B$5:$B$404,B24))</f>
        <v>0</v>
      </c>
      <c r="L24" s="8">
        <f>IF(OR(J24="",K24="",K24=0),"",J24/K24)</f>
        <v>0</v>
      </c>
      <c r="M24" s="8">
        <f>IF(K24="","",K24-Weekly_Budget)</f>
        <v>0</v>
      </c>
      <c r="N24" s="8">
        <f>IF(K24="","",IF(K24&gt;Weekly_Budget,"Over budget",IF(K24&gt;Weekly_Budget*0.9,"Close","Within budget")))</f>
        <v>0</v>
      </c>
      <c r="O24" s="7"/>
      <c r="P24" s="27"/>
      <c r="Q24" s="27"/>
      <c r="R24" s="28"/>
      <c r="S24" s="8">
        <f>IF(J24="","",COUNTIFS($J$5:$J$404,"&gt;"&amp;J24)+1)</f>
        <v>0</v>
      </c>
      <c r="T24" s="8">
        <f>IF(OR(A24="",J24=""),"",SUMIFS($J$5:$J$404,$C$5:$C$404,C24,$A$5:$A$404,"&lt;="&amp;A24))</f>
        <v>0</v>
      </c>
      <c r="U24" s="8">
        <f>IF(E24="","",IF(Q24="Yes","On offer","Full price"))</f>
        <v>0</v>
      </c>
      <c r="V24" s="25"/>
    </row>
    <row r="25" spans="1:22">
      <c r="A25" s="30"/>
      <c r="B25" s="8">
        <f>IF(A25="","",A25-WEEKDAY(A25,2)+1)</f>
        <v>0</v>
      </c>
      <c r="C25" s="8">
        <f>IF(A25="","",TEXT(A25,"mmm yyyy"))</f>
        <v>0</v>
      </c>
      <c r="D25" s="27"/>
      <c r="E25" s="7"/>
      <c r="F25" s="8">
        <f>IF(E25="","",IFERROR(INDEX(Ingredients!$B$5:$B$304,MATCH(E25,Ingredients!$A$5:$A$304,0)),""))</f>
        <v>0</v>
      </c>
      <c r="G25" s="26"/>
      <c r="H25" s="27"/>
      <c r="I25" s="28"/>
      <c r="J25" s="8">
        <f>IF(OR(E25="",G25="",I25=""),"",G25*I25)</f>
        <v>0</v>
      </c>
      <c r="K25" s="8">
        <f>IF(OR(A25="",J25=""),"",SUMIFS($J$5:$J$404,$B$5:$B$404,B25))</f>
        <v>0</v>
      </c>
      <c r="L25" s="8">
        <f>IF(OR(J25="",K25="",K25=0),"",J25/K25)</f>
        <v>0</v>
      </c>
      <c r="M25" s="8">
        <f>IF(K25="","",K25-Weekly_Budget)</f>
        <v>0</v>
      </c>
      <c r="N25" s="8">
        <f>IF(K25="","",IF(K25&gt;Weekly_Budget,"Over budget",IF(K25&gt;Weekly_Budget*0.9,"Close","Within budget")))</f>
        <v>0</v>
      </c>
      <c r="O25" s="7"/>
      <c r="P25" s="27"/>
      <c r="Q25" s="27"/>
      <c r="R25" s="28"/>
      <c r="S25" s="8">
        <f>IF(J25="","",COUNTIFS($J$5:$J$404,"&gt;"&amp;J25)+1)</f>
        <v>0</v>
      </c>
      <c r="T25" s="8">
        <f>IF(OR(A25="",J25=""),"",SUMIFS($J$5:$J$404,$C$5:$C$404,C25,$A$5:$A$404,"&lt;="&amp;A25))</f>
        <v>0</v>
      </c>
      <c r="U25" s="8">
        <f>IF(E25="","",IF(Q25="Yes","On offer","Full price"))</f>
        <v>0</v>
      </c>
      <c r="V25" s="25"/>
    </row>
    <row r="26" spans="1:22">
      <c r="A26" s="30"/>
      <c r="B26" s="8">
        <f>IF(A26="","",A26-WEEKDAY(A26,2)+1)</f>
        <v>0</v>
      </c>
      <c r="C26" s="8">
        <f>IF(A26="","",TEXT(A26,"mmm yyyy"))</f>
        <v>0</v>
      </c>
      <c r="D26" s="27"/>
      <c r="E26" s="7"/>
      <c r="F26" s="8">
        <f>IF(E26="","",IFERROR(INDEX(Ingredients!$B$5:$B$304,MATCH(E26,Ingredients!$A$5:$A$304,0)),""))</f>
        <v>0</v>
      </c>
      <c r="G26" s="26"/>
      <c r="H26" s="27"/>
      <c r="I26" s="28"/>
      <c r="J26" s="8">
        <f>IF(OR(E26="",G26="",I26=""),"",G26*I26)</f>
        <v>0</v>
      </c>
      <c r="K26" s="8">
        <f>IF(OR(A26="",J26=""),"",SUMIFS($J$5:$J$404,$B$5:$B$404,B26))</f>
        <v>0</v>
      </c>
      <c r="L26" s="8">
        <f>IF(OR(J26="",K26="",K26=0),"",J26/K26)</f>
        <v>0</v>
      </c>
      <c r="M26" s="8">
        <f>IF(K26="","",K26-Weekly_Budget)</f>
        <v>0</v>
      </c>
      <c r="N26" s="8">
        <f>IF(K26="","",IF(K26&gt;Weekly_Budget,"Over budget",IF(K26&gt;Weekly_Budget*0.9,"Close","Within budget")))</f>
        <v>0</v>
      </c>
      <c r="O26" s="7"/>
      <c r="P26" s="27"/>
      <c r="Q26" s="27"/>
      <c r="R26" s="28"/>
      <c r="S26" s="8">
        <f>IF(J26="","",COUNTIFS($J$5:$J$404,"&gt;"&amp;J26)+1)</f>
        <v>0</v>
      </c>
      <c r="T26" s="8">
        <f>IF(OR(A26="",J26=""),"",SUMIFS($J$5:$J$404,$C$5:$C$404,C26,$A$5:$A$404,"&lt;="&amp;A26))</f>
        <v>0</v>
      </c>
      <c r="U26" s="8">
        <f>IF(E26="","",IF(Q26="Yes","On offer","Full price"))</f>
        <v>0</v>
      </c>
      <c r="V26" s="25"/>
    </row>
    <row r="27" spans="1:22">
      <c r="A27" s="30"/>
      <c r="B27" s="8">
        <f>IF(A27="","",A27-WEEKDAY(A27,2)+1)</f>
        <v>0</v>
      </c>
      <c r="C27" s="8">
        <f>IF(A27="","",TEXT(A27,"mmm yyyy"))</f>
        <v>0</v>
      </c>
      <c r="D27" s="27"/>
      <c r="E27" s="7"/>
      <c r="F27" s="8">
        <f>IF(E27="","",IFERROR(INDEX(Ingredients!$B$5:$B$304,MATCH(E27,Ingredients!$A$5:$A$304,0)),""))</f>
        <v>0</v>
      </c>
      <c r="G27" s="26"/>
      <c r="H27" s="27"/>
      <c r="I27" s="28"/>
      <c r="J27" s="8">
        <f>IF(OR(E27="",G27="",I27=""),"",G27*I27)</f>
        <v>0</v>
      </c>
      <c r="K27" s="8">
        <f>IF(OR(A27="",J27=""),"",SUMIFS($J$5:$J$404,$B$5:$B$404,B27))</f>
        <v>0</v>
      </c>
      <c r="L27" s="8">
        <f>IF(OR(J27="",K27="",K27=0),"",J27/K27)</f>
        <v>0</v>
      </c>
      <c r="M27" s="8">
        <f>IF(K27="","",K27-Weekly_Budget)</f>
        <v>0</v>
      </c>
      <c r="N27" s="8">
        <f>IF(K27="","",IF(K27&gt;Weekly_Budget,"Over budget",IF(K27&gt;Weekly_Budget*0.9,"Close","Within budget")))</f>
        <v>0</v>
      </c>
      <c r="O27" s="7"/>
      <c r="P27" s="27"/>
      <c r="Q27" s="27"/>
      <c r="R27" s="28"/>
      <c r="S27" s="8">
        <f>IF(J27="","",COUNTIFS($J$5:$J$404,"&gt;"&amp;J27)+1)</f>
        <v>0</v>
      </c>
      <c r="T27" s="8">
        <f>IF(OR(A27="",J27=""),"",SUMIFS($J$5:$J$404,$C$5:$C$404,C27,$A$5:$A$404,"&lt;="&amp;A27))</f>
        <v>0</v>
      </c>
      <c r="U27" s="8">
        <f>IF(E27="","",IF(Q27="Yes","On offer","Full price"))</f>
        <v>0</v>
      </c>
      <c r="V27" s="25"/>
    </row>
    <row r="28" spans="1:22">
      <c r="A28" s="30"/>
      <c r="B28" s="8">
        <f>IF(A28="","",A28-WEEKDAY(A28,2)+1)</f>
        <v>0</v>
      </c>
      <c r="C28" s="8">
        <f>IF(A28="","",TEXT(A28,"mmm yyyy"))</f>
        <v>0</v>
      </c>
      <c r="D28" s="27"/>
      <c r="E28" s="7"/>
      <c r="F28" s="8">
        <f>IF(E28="","",IFERROR(INDEX(Ingredients!$B$5:$B$304,MATCH(E28,Ingredients!$A$5:$A$304,0)),""))</f>
        <v>0</v>
      </c>
      <c r="G28" s="26"/>
      <c r="H28" s="27"/>
      <c r="I28" s="28"/>
      <c r="J28" s="8">
        <f>IF(OR(E28="",G28="",I28=""),"",G28*I28)</f>
        <v>0</v>
      </c>
      <c r="K28" s="8">
        <f>IF(OR(A28="",J28=""),"",SUMIFS($J$5:$J$404,$B$5:$B$404,B28))</f>
        <v>0</v>
      </c>
      <c r="L28" s="8">
        <f>IF(OR(J28="",K28="",K28=0),"",J28/K28)</f>
        <v>0</v>
      </c>
      <c r="M28" s="8">
        <f>IF(K28="","",K28-Weekly_Budget)</f>
        <v>0</v>
      </c>
      <c r="N28" s="8">
        <f>IF(K28="","",IF(K28&gt;Weekly_Budget,"Over budget",IF(K28&gt;Weekly_Budget*0.9,"Close","Within budget")))</f>
        <v>0</v>
      </c>
      <c r="O28" s="7"/>
      <c r="P28" s="27"/>
      <c r="Q28" s="27"/>
      <c r="R28" s="28"/>
      <c r="S28" s="8">
        <f>IF(J28="","",COUNTIFS($J$5:$J$404,"&gt;"&amp;J28)+1)</f>
        <v>0</v>
      </c>
      <c r="T28" s="8">
        <f>IF(OR(A28="",J28=""),"",SUMIFS($J$5:$J$404,$C$5:$C$404,C28,$A$5:$A$404,"&lt;="&amp;A28))</f>
        <v>0</v>
      </c>
      <c r="U28" s="8">
        <f>IF(E28="","",IF(Q28="Yes","On offer","Full price"))</f>
        <v>0</v>
      </c>
      <c r="V28" s="25"/>
    </row>
    <row r="29" spans="1:22">
      <c r="A29" s="30"/>
      <c r="B29" s="8">
        <f>IF(A29="","",A29-WEEKDAY(A29,2)+1)</f>
        <v>0</v>
      </c>
      <c r="C29" s="8">
        <f>IF(A29="","",TEXT(A29,"mmm yyyy"))</f>
        <v>0</v>
      </c>
      <c r="D29" s="27"/>
      <c r="E29" s="7"/>
      <c r="F29" s="8">
        <f>IF(E29="","",IFERROR(INDEX(Ingredients!$B$5:$B$304,MATCH(E29,Ingredients!$A$5:$A$304,0)),""))</f>
        <v>0</v>
      </c>
      <c r="G29" s="26"/>
      <c r="H29" s="27"/>
      <c r="I29" s="28"/>
      <c r="J29" s="8">
        <f>IF(OR(E29="",G29="",I29=""),"",G29*I29)</f>
        <v>0</v>
      </c>
      <c r="K29" s="8">
        <f>IF(OR(A29="",J29=""),"",SUMIFS($J$5:$J$404,$B$5:$B$404,B29))</f>
        <v>0</v>
      </c>
      <c r="L29" s="8">
        <f>IF(OR(J29="",K29="",K29=0),"",J29/K29)</f>
        <v>0</v>
      </c>
      <c r="M29" s="8">
        <f>IF(K29="","",K29-Weekly_Budget)</f>
        <v>0</v>
      </c>
      <c r="N29" s="8">
        <f>IF(K29="","",IF(K29&gt;Weekly_Budget,"Over budget",IF(K29&gt;Weekly_Budget*0.9,"Close","Within budget")))</f>
        <v>0</v>
      </c>
      <c r="O29" s="7"/>
      <c r="P29" s="27"/>
      <c r="Q29" s="27"/>
      <c r="R29" s="28"/>
      <c r="S29" s="8">
        <f>IF(J29="","",COUNTIFS($J$5:$J$404,"&gt;"&amp;J29)+1)</f>
        <v>0</v>
      </c>
      <c r="T29" s="8">
        <f>IF(OR(A29="",J29=""),"",SUMIFS($J$5:$J$404,$C$5:$C$404,C29,$A$5:$A$404,"&lt;="&amp;A29))</f>
        <v>0</v>
      </c>
      <c r="U29" s="8">
        <f>IF(E29="","",IF(Q29="Yes","On offer","Full price"))</f>
        <v>0</v>
      </c>
      <c r="V29" s="25"/>
    </row>
    <row r="30" spans="1:22">
      <c r="A30" s="30"/>
      <c r="B30" s="8">
        <f>IF(A30="","",A30-WEEKDAY(A30,2)+1)</f>
        <v>0</v>
      </c>
      <c r="C30" s="8">
        <f>IF(A30="","",TEXT(A30,"mmm yyyy"))</f>
        <v>0</v>
      </c>
      <c r="D30" s="27"/>
      <c r="E30" s="7"/>
      <c r="F30" s="8">
        <f>IF(E30="","",IFERROR(INDEX(Ingredients!$B$5:$B$304,MATCH(E30,Ingredients!$A$5:$A$304,0)),""))</f>
        <v>0</v>
      </c>
      <c r="G30" s="26"/>
      <c r="H30" s="27"/>
      <c r="I30" s="28"/>
      <c r="J30" s="8">
        <f>IF(OR(E30="",G30="",I30=""),"",G30*I30)</f>
        <v>0</v>
      </c>
      <c r="K30" s="8">
        <f>IF(OR(A30="",J30=""),"",SUMIFS($J$5:$J$404,$B$5:$B$404,B30))</f>
        <v>0</v>
      </c>
      <c r="L30" s="8">
        <f>IF(OR(J30="",K30="",K30=0),"",J30/K30)</f>
        <v>0</v>
      </c>
      <c r="M30" s="8">
        <f>IF(K30="","",K30-Weekly_Budget)</f>
        <v>0</v>
      </c>
      <c r="N30" s="8">
        <f>IF(K30="","",IF(K30&gt;Weekly_Budget,"Over budget",IF(K30&gt;Weekly_Budget*0.9,"Close","Within budget")))</f>
        <v>0</v>
      </c>
      <c r="O30" s="7"/>
      <c r="P30" s="27"/>
      <c r="Q30" s="27"/>
      <c r="R30" s="28"/>
      <c r="S30" s="8">
        <f>IF(J30="","",COUNTIFS($J$5:$J$404,"&gt;"&amp;J30)+1)</f>
        <v>0</v>
      </c>
      <c r="T30" s="8">
        <f>IF(OR(A30="",J30=""),"",SUMIFS($J$5:$J$404,$C$5:$C$404,C30,$A$5:$A$404,"&lt;="&amp;A30))</f>
        <v>0</v>
      </c>
      <c r="U30" s="8">
        <f>IF(E30="","",IF(Q30="Yes","On offer","Full price"))</f>
        <v>0</v>
      </c>
      <c r="V30" s="25"/>
    </row>
    <row r="31" spans="1:22">
      <c r="A31" s="30"/>
      <c r="B31" s="8">
        <f>IF(A31="","",A31-WEEKDAY(A31,2)+1)</f>
        <v>0</v>
      </c>
      <c r="C31" s="8">
        <f>IF(A31="","",TEXT(A31,"mmm yyyy"))</f>
        <v>0</v>
      </c>
      <c r="D31" s="27"/>
      <c r="E31" s="7"/>
      <c r="F31" s="8">
        <f>IF(E31="","",IFERROR(INDEX(Ingredients!$B$5:$B$304,MATCH(E31,Ingredients!$A$5:$A$304,0)),""))</f>
        <v>0</v>
      </c>
      <c r="G31" s="26"/>
      <c r="H31" s="27"/>
      <c r="I31" s="28"/>
      <c r="J31" s="8">
        <f>IF(OR(E31="",G31="",I31=""),"",G31*I31)</f>
        <v>0</v>
      </c>
      <c r="K31" s="8">
        <f>IF(OR(A31="",J31=""),"",SUMIFS($J$5:$J$404,$B$5:$B$404,B31))</f>
        <v>0</v>
      </c>
      <c r="L31" s="8">
        <f>IF(OR(J31="",K31="",K31=0),"",J31/K31)</f>
        <v>0</v>
      </c>
      <c r="M31" s="8">
        <f>IF(K31="","",K31-Weekly_Budget)</f>
        <v>0</v>
      </c>
      <c r="N31" s="8">
        <f>IF(K31="","",IF(K31&gt;Weekly_Budget,"Over budget",IF(K31&gt;Weekly_Budget*0.9,"Close","Within budget")))</f>
        <v>0</v>
      </c>
      <c r="O31" s="7"/>
      <c r="P31" s="27"/>
      <c r="Q31" s="27"/>
      <c r="R31" s="28"/>
      <c r="S31" s="8">
        <f>IF(J31="","",COUNTIFS($J$5:$J$404,"&gt;"&amp;J31)+1)</f>
        <v>0</v>
      </c>
      <c r="T31" s="8">
        <f>IF(OR(A31="",J31=""),"",SUMIFS($J$5:$J$404,$C$5:$C$404,C31,$A$5:$A$404,"&lt;="&amp;A31))</f>
        <v>0</v>
      </c>
      <c r="U31" s="8">
        <f>IF(E31="","",IF(Q31="Yes","On offer","Full price"))</f>
        <v>0</v>
      </c>
      <c r="V31" s="25"/>
    </row>
    <row r="32" spans="1:22">
      <c r="A32" s="30"/>
      <c r="B32" s="8">
        <f>IF(A32="","",A32-WEEKDAY(A32,2)+1)</f>
        <v>0</v>
      </c>
      <c r="C32" s="8">
        <f>IF(A32="","",TEXT(A32,"mmm yyyy"))</f>
        <v>0</v>
      </c>
      <c r="D32" s="27"/>
      <c r="E32" s="7"/>
      <c r="F32" s="8">
        <f>IF(E32="","",IFERROR(INDEX(Ingredients!$B$5:$B$304,MATCH(E32,Ingredients!$A$5:$A$304,0)),""))</f>
        <v>0</v>
      </c>
      <c r="G32" s="26"/>
      <c r="H32" s="27"/>
      <c r="I32" s="28"/>
      <c r="J32" s="8">
        <f>IF(OR(E32="",G32="",I32=""),"",G32*I32)</f>
        <v>0</v>
      </c>
      <c r="K32" s="8">
        <f>IF(OR(A32="",J32=""),"",SUMIFS($J$5:$J$404,$B$5:$B$404,B32))</f>
        <v>0</v>
      </c>
      <c r="L32" s="8">
        <f>IF(OR(J32="",K32="",K32=0),"",J32/K32)</f>
        <v>0</v>
      </c>
      <c r="M32" s="8">
        <f>IF(K32="","",K32-Weekly_Budget)</f>
        <v>0</v>
      </c>
      <c r="N32" s="8">
        <f>IF(K32="","",IF(K32&gt;Weekly_Budget,"Over budget",IF(K32&gt;Weekly_Budget*0.9,"Close","Within budget")))</f>
        <v>0</v>
      </c>
      <c r="O32" s="7"/>
      <c r="P32" s="27"/>
      <c r="Q32" s="27"/>
      <c r="R32" s="28"/>
      <c r="S32" s="8">
        <f>IF(J32="","",COUNTIFS($J$5:$J$404,"&gt;"&amp;J32)+1)</f>
        <v>0</v>
      </c>
      <c r="T32" s="8">
        <f>IF(OR(A32="",J32=""),"",SUMIFS($J$5:$J$404,$C$5:$C$404,C32,$A$5:$A$404,"&lt;="&amp;A32))</f>
        <v>0</v>
      </c>
      <c r="U32" s="8">
        <f>IF(E32="","",IF(Q32="Yes","On offer","Full price"))</f>
        <v>0</v>
      </c>
      <c r="V32" s="25"/>
    </row>
    <row r="33" spans="1:22">
      <c r="A33" s="30"/>
      <c r="B33" s="8">
        <f>IF(A33="","",A33-WEEKDAY(A33,2)+1)</f>
        <v>0</v>
      </c>
      <c r="C33" s="8">
        <f>IF(A33="","",TEXT(A33,"mmm yyyy"))</f>
        <v>0</v>
      </c>
      <c r="D33" s="27"/>
      <c r="E33" s="7"/>
      <c r="F33" s="8">
        <f>IF(E33="","",IFERROR(INDEX(Ingredients!$B$5:$B$304,MATCH(E33,Ingredients!$A$5:$A$304,0)),""))</f>
        <v>0</v>
      </c>
      <c r="G33" s="26"/>
      <c r="H33" s="27"/>
      <c r="I33" s="28"/>
      <c r="J33" s="8">
        <f>IF(OR(E33="",G33="",I33=""),"",G33*I33)</f>
        <v>0</v>
      </c>
      <c r="K33" s="8">
        <f>IF(OR(A33="",J33=""),"",SUMIFS($J$5:$J$404,$B$5:$B$404,B33))</f>
        <v>0</v>
      </c>
      <c r="L33" s="8">
        <f>IF(OR(J33="",K33="",K33=0),"",J33/K33)</f>
        <v>0</v>
      </c>
      <c r="M33" s="8">
        <f>IF(K33="","",K33-Weekly_Budget)</f>
        <v>0</v>
      </c>
      <c r="N33" s="8">
        <f>IF(K33="","",IF(K33&gt;Weekly_Budget,"Over budget",IF(K33&gt;Weekly_Budget*0.9,"Close","Within budget")))</f>
        <v>0</v>
      </c>
      <c r="O33" s="7"/>
      <c r="P33" s="27"/>
      <c r="Q33" s="27"/>
      <c r="R33" s="28"/>
      <c r="S33" s="8">
        <f>IF(J33="","",COUNTIFS($J$5:$J$404,"&gt;"&amp;J33)+1)</f>
        <v>0</v>
      </c>
      <c r="T33" s="8">
        <f>IF(OR(A33="",J33=""),"",SUMIFS($J$5:$J$404,$C$5:$C$404,C33,$A$5:$A$404,"&lt;="&amp;A33))</f>
        <v>0</v>
      </c>
      <c r="U33" s="8">
        <f>IF(E33="","",IF(Q33="Yes","On offer","Full price"))</f>
        <v>0</v>
      </c>
      <c r="V33" s="25"/>
    </row>
    <row r="34" spans="1:22">
      <c r="A34" s="30"/>
      <c r="B34" s="8">
        <f>IF(A34="","",A34-WEEKDAY(A34,2)+1)</f>
        <v>0</v>
      </c>
      <c r="C34" s="8">
        <f>IF(A34="","",TEXT(A34,"mmm yyyy"))</f>
        <v>0</v>
      </c>
      <c r="D34" s="27"/>
      <c r="E34" s="7"/>
      <c r="F34" s="8">
        <f>IF(E34="","",IFERROR(INDEX(Ingredients!$B$5:$B$304,MATCH(E34,Ingredients!$A$5:$A$304,0)),""))</f>
        <v>0</v>
      </c>
      <c r="G34" s="26"/>
      <c r="H34" s="27"/>
      <c r="I34" s="28"/>
      <c r="J34" s="8">
        <f>IF(OR(E34="",G34="",I34=""),"",G34*I34)</f>
        <v>0</v>
      </c>
      <c r="K34" s="8">
        <f>IF(OR(A34="",J34=""),"",SUMIFS($J$5:$J$404,$B$5:$B$404,B34))</f>
        <v>0</v>
      </c>
      <c r="L34" s="8">
        <f>IF(OR(J34="",K34="",K34=0),"",J34/K34)</f>
        <v>0</v>
      </c>
      <c r="M34" s="8">
        <f>IF(K34="","",K34-Weekly_Budget)</f>
        <v>0</v>
      </c>
      <c r="N34" s="8">
        <f>IF(K34="","",IF(K34&gt;Weekly_Budget,"Over budget",IF(K34&gt;Weekly_Budget*0.9,"Close","Within budget")))</f>
        <v>0</v>
      </c>
      <c r="O34" s="7"/>
      <c r="P34" s="27"/>
      <c r="Q34" s="27"/>
      <c r="R34" s="28"/>
      <c r="S34" s="8">
        <f>IF(J34="","",COUNTIFS($J$5:$J$404,"&gt;"&amp;J34)+1)</f>
        <v>0</v>
      </c>
      <c r="T34" s="8">
        <f>IF(OR(A34="",J34=""),"",SUMIFS($J$5:$J$404,$C$5:$C$404,C34,$A$5:$A$404,"&lt;="&amp;A34))</f>
        <v>0</v>
      </c>
      <c r="U34" s="8">
        <f>IF(E34="","",IF(Q34="Yes","On offer","Full price"))</f>
        <v>0</v>
      </c>
      <c r="V34" s="25"/>
    </row>
    <row r="35" spans="1:22">
      <c r="A35" s="30"/>
      <c r="B35" s="8">
        <f>IF(A35="","",A35-WEEKDAY(A35,2)+1)</f>
        <v>0</v>
      </c>
      <c r="C35" s="8">
        <f>IF(A35="","",TEXT(A35,"mmm yyyy"))</f>
        <v>0</v>
      </c>
      <c r="D35" s="27"/>
      <c r="E35" s="7"/>
      <c r="F35" s="8">
        <f>IF(E35="","",IFERROR(INDEX(Ingredients!$B$5:$B$304,MATCH(E35,Ingredients!$A$5:$A$304,0)),""))</f>
        <v>0</v>
      </c>
      <c r="G35" s="26"/>
      <c r="H35" s="27"/>
      <c r="I35" s="28"/>
      <c r="J35" s="8">
        <f>IF(OR(E35="",G35="",I35=""),"",G35*I35)</f>
        <v>0</v>
      </c>
      <c r="K35" s="8">
        <f>IF(OR(A35="",J35=""),"",SUMIFS($J$5:$J$404,$B$5:$B$404,B35))</f>
        <v>0</v>
      </c>
      <c r="L35" s="8">
        <f>IF(OR(J35="",K35="",K35=0),"",J35/K35)</f>
        <v>0</v>
      </c>
      <c r="M35" s="8">
        <f>IF(K35="","",K35-Weekly_Budget)</f>
        <v>0</v>
      </c>
      <c r="N35" s="8">
        <f>IF(K35="","",IF(K35&gt;Weekly_Budget,"Over budget",IF(K35&gt;Weekly_Budget*0.9,"Close","Within budget")))</f>
        <v>0</v>
      </c>
      <c r="O35" s="7"/>
      <c r="P35" s="27"/>
      <c r="Q35" s="27"/>
      <c r="R35" s="28"/>
      <c r="S35" s="8">
        <f>IF(J35="","",COUNTIFS($J$5:$J$404,"&gt;"&amp;J35)+1)</f>
        <v>0</v>
      </c>
      <c r="T35" s="8">
        <f>IF(OR(A35="",J35=""),"",SUMIFS($J$5:$J$404,$C$5:$C$404,C35,$A$5:$A$404,"&lt;="&amp;A35))</f>
        <v>0</v>
      </c>
      <c r="U35" s="8">
        <f>IF(E35="","",IF(Q35="Yes","On offer","Full price"))</f>
        <v>0</v>
      </c>
      <c r="V35" s="25"/>
    </row>
    <row r="36" spans="1:22">
      <c r="A36" s="30"/>
      <c r="B36" s="8">
        <f>IF(A36="","",A36-WEEKDAY(A36,2)+1)</f>
        <v>0</v>
      </c>
      <c r="C36" s="8">
        <f>IF(A36="","",TEXT(A36,"mmm yyyy"))</f>
        <v>0</v>
      </c>
      <c r="D36" s="27"/>
      <c r="E36" s="7"/>
      <c r="F36" s="8">
        <f>IF(E36="","",IFERROR(INDEX(Ingredients!$B$5:$B$304,MATCH(E36,Ingredients!$A$5:$A$304,0)),""))</f>
        <v>0</v>
      </c>
      <c r="G36" s="26"/>
      <c r="H36" s="27"/>
      <c r="I36" s="28"/>
      <c r="J36" s="8">
        <f>IF(OR(E36="",G36="",I36=""),"",G36*I36)</f>
        <v>0</v>
      </c>
      <c r="K36" s="8">
        <f>IF(OR(A36="",J36=""),"",SUMIFS($J$5:$J$404,$B$5:$B$404,B36))</f>
        <v>0</v>
      </c>
      <c r="L36" s="8">
        <f>IF(OR(J36="",K36="",K36=0),"",J36/K36)</f>
        <v>0</v>
      </c>
      <c r="M36" s="8">
        <f>IF(K36="","",K36-Weekly_Budget)</f>
        <v>0</v>
      </c>
      <c r="N36" s="8">
        <f>IF(K36="","",IF(K36&gt;Weekly_Budget,"Over budget",IF(K36&gt;Weekly_Budget*0.9,"Close","Within budget")))</f>
        <v>0</v>
      </c>
      <c r="O36" s="7"/>
      <c r="P36" s="27"/>
      <c r="Q36" s="27"/>
      <c r="R36" s="28"/>
      <c r="S36" s="8">
        <f>IF(J36="","",COUNTIFS($J$5:$J$404,"&gt;"&amp;J36)+1)</f>
        <v>0</v>
      </c>
      <c r="T36" s="8">
        <f>IF(OR(A36="",J36=""),"",SUMIFS($J$5:$J$404,$C$5:$C$404,C36,$A$5:$A$404,"&lt;="&amp;A36))</f>
        <v>0</v>
      </c>
      <c r="U36" s="8">
        <f>IF(E36="","",IF(Q36="Yes","On offer","Full price"))</f>
        <v>0</v>
      </c>
      <c r="V36" s="25"/>
    </row>
    <row r="37" spans="1:22">
      <c r="A37" s="30"/>
      <c r="B37" s="8">
        <f>IF(A37="","",A37-WEEKDAY(A37,2)+1)</f>
        <v>0</v>
      </c>
      <c r="C37" s="8">
        <f>IF(A37="","",TEXT(A37,"mmm yyyy"))</f>
        <v>0</v>
      </c>
      <c r="D37" s="27"/>
      <c r="E37" s="7"/>
      <c r="F37" s="8">
        <f>IF(E37="","",IFERROR(INDEX(Ingredients!$B$5:$B$304,MATCH(E37,Ingredients!$A$5:$A$304,0)),""))</f>
        <v>0</v>
      </c>
      <c r="G37" s="26"/>
      <c r="H37" s="27"/>
      <c r="I37" s="28"/>
      <c r="J37" s="8">
        <f>IF(OR(E37="",G37="",I37=""),"",G37*I37)</f>
        <v>0</v>
      </c>
      <c r="K37" s="8">
        <f>IF(OR(A37="",J37=""),"",SUMIFS($J$5:$J$404,$B$5:$B$404,B37))</f>
        <v>0</v>
      </c>
      <c r="L37" s="8">
        <f>IF(OR(J37="",K37="",K37=0),"",J37/K37)</f>
        <v>0</v>
      </c>
      <c r="M37" s="8">
        <f>IF(K37="","",K37-Weekly_Budget)</f>
        <v>0</v>
      </c>
      <c r="N37" s="8">
        <f>IF(K37="","",IF(K37&gt;Weekly_Budget,"Over budget",IF(K37&gt;Weekly_Budget*0.9,"Close","Within budget")))</f>
        <v>0</v>
      </c>
      <c r="O37" s="7"/>
      <c r="P37" s="27"/>
      <c r="Q37" s="27"/>
      <c r="R37" s="28"/>
      <c r="S37" s="8">
        <f>IF(J37="","",COUNTIFS($J$5:$J$404,"&gt;"&amp;J37)+1)</f>
        <v>0</v>
      </c>
      <c r="T37" s="8">
        <f>IF(OR(A37="",J37=""),"",SUMIFS($J$5:$J$404,$C$5:$C$404,C37,$A$5:$A$404,"&lt;="&amp;A37))</f>
        <v>0</v>
      </c>
      <c r="U37" s="8">
        <f>IF(E37="","",IF(Q37="Yes","On offer","Full price"))</f>
        <v>0</v>
      </c>
      <c r="V37" s="25"/>
    </row>
    <row r="38" spans="1:22">
      <c r="A38" s="30"/>
      <c r="B38" s="8">
        <f>IF(A38="","",A38-WEEKDAY(A38,2)+1)</f>
        <v>0</v>
      </c>
      <c r="C38" s="8">
        <f>IF(A38="","",TEXT(A38,"mmm yyyy"))</f>
        <v>0</v>
      </c>
      <c r="D38" s="27"/>
      <c r="E38" s="7"/>
      <c r="F38" s="8">
        <f>IF(E38="","",IFERROR(INDEX(Ingredients!$B$5:$B$304,MATCH(E38,Ingredients!$A$5:$A$304,0)),""))</f>
        <v>0</v>
      </c>
      <c r="G38" s="26"/>
      <c r="H38" s="27"/>
      <c r="I38" s="28"/>
      <c r="J38" s="8">
        <f>IF(OR(E38="",G38="",I38=""),"",G38*I38)</f>
        <v>0</v>
      </c>
      <c r="K38" s="8">
        <f>IF(OR(A38="",J38=""),"",SUMIFS($J$5:$J$404,$B$5:$B$404,B38))</f>
        <v>0</v>
      </c>
      <c r="L38" s="8">
        <f>IF(OR(J38="",K38="",K38=0),"",J38/K38)</f>
        <v>0</v>
      </c>
      <c r="M38" s="8">
        <f>IF(K38="","",K38-Weekly_Budget)</f>
        <v>0</v>
      </c>
      <c r="N38" s="8">
        <f>IF(K38="","",IF(K38&gt;Weekly_Budget,"Over budget",IF(K38&gt;Weekly_Budget*0.9,"Close","Within budget")))</f>
        <v>0</v>
      </c>
      <c r="O38" s="7"/>
      <c r="P38" s="27"/>
      <c r="Q38" s="27"/>
      <c r="R38" s="28"/>
      <c r="S38" s="8">
        <f>IF(J38="","",COUNTIFS($J$5:$J$404,"&gt;"&amp;J38)+1)</f>
        <v>0</v>
      </c>
      <c r="T38" s="8">
        <f>IF(OR(A38="",J38=""),"",SUMIFS($J$5:$J$404,$C$5:$C$404,C38,$A$5:$A$404,"&lt;="&amp;A38))</f>
        <v>0</v>
      </c>
      <c r="U38" s="8">
        <f>IF(E38="","",IF(Q38="Yes","On offer","Full price"))</f>
        <v>0</v>
      </c>
      <c r="V38" s="25"/>
    </row>
    <row r="39" spans="1:22">
      <c r="A39" s="30"/>
      <c r="B39" s="8">
        <f>IF(A39="","",A39-WEEKDAY(A39,2)+1)</f>
        <v>0</v>
      </c>
      <c r="C39" s="8">
        <f>IF(A39="","",TEXT(A39,"mmm yyyy"))</f>
        <v>0</v>
      </c>
      <c r="D39" s="27"/>
      <c r="E39" s="7"/>
      <c r="F39" s="8">
        <f>IF(E39="","",IFERROR(INDEX(Ingredients!$B$5:$B$304,MATCH(E39,Ingredients!$A$5:$A$304,0)),""))</f>
        <v>0</v>
      </c>
      <c r="G39" s="26"/>
      <c r="H39" s="27"/>
      <c r="I39" s="28"/>
      <c r="J39" s="8">
        <f>IF(OR(E39="",G39="",I39=""),"",G39*I39)</f>
        <v>0</v>
      </c>
      <c r="K39" s="8">
        <f>IF(OR(A39="",J39=""),"",SUMIFS($J$5:$J$404,$B$5:$B$404,B39))</f>
        <v>0</v>
      </c>
      <c r="L39" s="8">
        <f>IF(OR(J39="",K39="",K39=0),"",J39/K39)</f>
        <v>0</v>
      </c>
      <c r="M39" s="8">
        <f>IF(K39="","",K39-Weekly_Budget)</f>
        <v>0</v>
      </c>
      <c r="N39" s="8">
        <f>IF(K39="","",IF(K39&gt;Weekly_Budget,"Over budget",IF(K39&gt;Weekly_Budget*0.9,"Close","Within budget")))</f>
        <v>0</v>
      </c>
      <c r="O39" s="7"/>
      <c r="P39" s="27"/>
      <c r="Q39" s="27"/>
      <c r="R39" s="28"/>
      <c r="S39" s="8">
        <f>IF(J39="","",COUNTIFS($J$5:$J$404,"&gt;"&amp;J39)+1)</f>
        <v>0</v>
      </c>
      <c r="T39" s="8">
        <f>IF(OR(A39="",J39=""),"",SUMIFS($J$5:$J$404,$C$5:$C$404,C39,$A$5:$A$404,"&lt;="&amp;A39))</f>
        <v>0</v>
      </c>
      <c r="U39" s="8">
        <f>IF(E39="","",IF(Q39="Yes","On offer","Full price"))</f>
        <v>0</v>
      </c>
      <c r="V39" s="25"/>
    </row>
    <row r="40" spans="1:22">
      <c r="A40" s="30"/>
      <c r="B40" s="8">
        <f>IF(A40="","",A40-WEEKDAY(A40,2)+1)</f>
        <v>0</v>
      </c>
      <c r="C40" s="8">
        <f>IF(A40="","",TEXT(A40,"mmm yyyy"))</f>
        <v>0</v>
      </c>
      <c r="D40" s="27"/>
      <c r="E40" s="7"/>
      <c r="F40" s="8">
        <f>IF(E40="","",IFERROR(INDEX(Ingredients!$B$5:$B$304,MATCH(E40,Ingredients!$A$5:$A$304,0)),""))</f>
        <v>0</v>
      </c>
      <c r="G40" s="26"/>
      <c r="H40" s="27"/>
      <c r="I40" s="28"/>
      <c r="J40" s="8">
        <f>IF(OR(E40="",G40="",I40=""),"",G40*I40)</f>
        <v>0</v>
      </c>
      <c r="K40" s="8">
        <f>IF(OR(A40="",J40=""),"",SUMIFS($J$5:$J$404,$B$5:$B$404,B40))</f>
        <v>0</v>
      </c>
      <c r="L40" s="8">
        <f>IF(OR(J40="",K40="",K40=0),"",J40/K40)</f>
        <v>0</v>
      </c>
      <c r="M40" s="8">
        <f>IF(K40="","",K40-Weekly_Budget)</f>
        <v>0</v>
      </c>
      <c r="N40" s="8">
        <f>IF(K40="","",IF(K40&gt;Weekly_Budget,"Over budget",IF(K40&gt;Weekly_Budget*0.9,"Close","Within budget")))</f>
        <v>0</v>
      </c>
      <c r="O40" s="7"/>
      <c r="P40" s="27"/>
      <c r="Q40" s="27"/>
      <c r="R40" s="28"/>
      <c r="S40" s="8">
        <f>IF(J40="","",COUNTIFS($J$5:$J$404,"&gt;"&amp;J40)+1)</f>
        <v>0</v>
      </c>
      <c r="T40" s="8">
        <f>IF(OR(A40="",J40=""),"",SUMIFS($J$5:$J$404,$C$5:$C$404,C40,$A$5:$A$404,"&lt;="&amp;A40))</f>
        <v>0</v>
      </c>
      <c r="U40" s="8">
        <f>IF(E40="","",IF(Q40="Yes","On offer","Full price"))</f>
        <v>0</v>
      </c>
      <c r="V40" s="25"/>
    </row>
    <row r="41" spans="1:22">
      <c r="A41" s="30"/>
      <c r="B41" s="8">
        <f>IF(A41="","",A41-WEEKDAY(A41,2)+1)</f>
        <v>0</v>
      </c>
      <c r="C41" s="8">
        <f>IF(A41="","",TEXT(A41,"mmm yyyy"))</f>
        <v>0</v>
      </c>
      <c r="D41" s="27"/>
      <c r="E41" s="7"/>
      <c r="F41" s="8">
        <f>IF(E41="","",IFERROR(INDEX(Ingredients!$B$5:$B$304,MATCH(E41,Ingredients!$A$5:$A$304,0)),""))</f>
        <v>0</v>
      </c>
      <c r="G41" s="26"/>
      <c r="H41" s="27"/>
      <c r="I41" s="28"/>
      <c r="J41" s="8">
        <f>IF(OR(E41="",G41="",I41=""),"",G41*I41)</f>
        <v>0</v>
      </c>
      <c r="K41" s="8">
        <f>IF(OR(A41="",J41=""),"",SUMIFS($J$5:$J$404,$B$5:$B$404,B41))</f>
        <v>0</v>
      </c>
      <c r="L41" s="8">
        <f>IF(OR(J41="",K41="",K41=0),"",J41/K41)</f>
        <v>0</v>
      </c>
      <c r="M41" s="8">
        <f>IF(K41="","",K41-Weekly_Budget)</f>
        <v>0</v>
      </c>
      <c r="N41" s="8">
        <f>IF(K41="","",IF(K41&gt;Weekly_Budget,"Over budget",IF(K41&gt;Weekly_Budget*0.9,"Close","Within budget")))</f>
        <v>0</v>
      </c>
      <c r="O41" s="7"/>
      <c r="P41" s="27"/>
      <c r="Q41" s="27"/>
      <c r="R41" s="28"/>
      <c r="S41" s="8">
        <f>IF(J41="","",COUNTIFS($J$5:$J$404,"&gt;"&amp;J41)+1)</f>
        <v>0</v>
      </c>
      <c r="T41" s="8">
        <f>IF(OR(A41="",J41=""),"",SUMIFS($J$5:$J$404,$C$5:$C$404,C41,$A$5:$A$404,"&lt;="&amp;A41))</f>
        <v>0</v>
      </c>
      <c r="U41" s="8">
        <f>IF(E41="","",IF(Q41="Yes","On offer","Full price"))</f>
        <v>0</v>
      </c>
      <c r="V41" s="25"/>
    </row>
    <row r="42" spans="1:22">
      <c r="A42" s="30"/>
      <c r="B42" s="8">
        <f>IF(A42="","",A42-WEEKDAY(A42,2)+1)</f>
        <v>0</v>
      </c>
      <c r="C42" s="8">
        <f>IF(A42="","",TEXT(A42,"mmm yyyy"))</f>
        <v>0</v>
      </c>
      <c r="D42" s="27"/>
      <c r="E42" s="7"/>
      <c r="F42" s="8">
        <f>IF(E42="","",IFERROR(INDEX(Ingredients!$B$5:$B$304,MATCH(E42,Ingredients!$A$5:$A$304,0)),""))</f>
        <v>0</v>
      </c>
      <c r="G42" s="26"/>
      <c r="H42" s="27"/>
      <c r="I42" s="28"/>
      <c r="J42" s="8">
        <f>IF(OR(E42="",G42="",I42=""),"",G42*I42)</f>
        <v>0</v>
      </c>
      <c r="K42" s="8">
        <f>IF(OR(A42="",J42=""),"",SUMIFS($J$5:$J$404,$B$5:$B$404,B42))</f>
        <v>0</v>
      </c>
      <c r="L42" s="8">
        <f>IF(OR(J42="",K42="",K42=0),"",J42/K42)</f>
        <v>0</v>
      </c>
      <c r="M42" s="8">
        <f>IF(K42="","",K42-Weekly_Budget)</f>
        <v>0</v>
      </c>
      <c r="N42" s="8">
        <f>IF(K42="","",IF(K42&gt;Weekly_Budget,"Over budget",IF(K42&gt;Weekly_Budget*0.9,"Close","Within budget")))</f>
        <v>0</v>
      </c>
      <c r="O42" s="7"/>
      <c r="P42" s="27"/>
      <c r="Q42" s="27"/>
      <c r="R42" s="28"/>
      <c r="S42" s="8">
        <f>IF(J42="","",COUNTIFS($J$5:$J$404,"&gt;"&amp;J42)+1)</f>
        <v>0</v>
      </c>
      <c r="T42" s="8">
        <f>IF(OR(A42="",J42=""),"",SUMIFS($J$5:$J$404,$C$5:$C$404,C42,$A$5:$A$404,"&lt;="&amp;A42))</f>
        <v>0</v>
      </c>
      <c r="U42" s="8">
        <f>IF(E42="","",IF(Q42="Yes","On offer","Full price"))</f>
        <v>0</v>
      </c>
      <c r="V42" s="25"/>
    </row>
    <row r="43" spans="1:22">
      <c r="A43" s="30"/>
      <c r="B43" s="8">
        <f>IF(A43="","",A43-WEEKDAY(A43,2)+1)</f>
        <v>0</v>
      </c>
      <c r="C43" s="8">
        <f>IF(A43="","",TEXT(A43,"mmm yyyy"))</f>
        <v>0</v>
      </c>
      <c r="D43" s="27"/>
      <c r="E43" s="7"/>
      <c r="F43" s="8">
        <f>IF(E43="","",IFERROR(INDEX(Ingredients!$B$5:$B$304,MATCH(E43,Ingredients!$A$5:$A$304,0)),""))</f>
        <v>0</v>
      </c>
      <c r="G43" s="26"/>
      <c r="H43" s="27"/>
      <c r="I43" s="28"/>
      <c r="J43" s="8">
        <f>IF(OR(E43="",G43="",I43=""),"",G43*I43)</f>
        <v>0</v>
      </c>
      <c r="K43" s="8">
        <f>IF(OR(A43="",J43=""),"",SUMIFS($J$5:$J$404,$B$5:$B$404,B43))</f>
        <v>0</v>
      </c>
      <c r="L43" s="8">
        <f>IF(OR(J43="",K43="",K43=0),"",J43/K43)</f>
        <v>0</v>
      </c>
      <c r="M43" s="8">
        <f>IF(K43="","",K43-Weekly_Budget)</f>
        <v>0</v>
      </c>
      <c r="N43" s="8">
        <f>IF(K43="","",IF(K43&gt;Weekly_Budget,"Over budget",IF(K43&gt;Weekly_Budget*0.9,"Close","Within budget")))</f>
        <v>0</v>
      </c>
      <c r="O43" s="7"/>
      <c r="P43" s="27"/>
      <c r="Q43" s="27"/>
      <c r="R43" s="28"/>
      <c r="S43" s="8">
        <f>IF(J43="","",COUNTIFS($J$5:$J$404,"&gt;"&amp;J43)+1)</f>
        <v>0</v>
      </c>
      <c r="T43" s="8">
        <f>IF(OR(A43="",J43=""),"",SUMIFS($J$5:$J$404,$C$5:$C$404,C43,$A$5:$A$404,"&lt;="&amp;A43))</f>
        <v>0</v>
      </c>
      <c r="U43" s="8">
        <f>IF(E43="","",IF(Q43="Yes","On offer","Full price"))</f>
        <v>0</v>
      </c>
      <c r="V43" s="25"/>
    </row>
    <row r="44" spans="1:22">
      <c r="A44" s="30"/>
      <c r="B44" s="8">
        <f>IF(A44="","",A44-WEEKDAY(A44,2)+1)</f>
        <v>0</v>
      </c>
      <c r="C44" s="8">
        <f>IF(A44="","",TEXT(A44,"mmm yyyy"))</f>
        <v>0</v>
      </c>
      <c r="D44" s="27"/>
      <c r="E44" s="7"/>
      <c r="F44" s="8">
        <f>IF(E44="","",IFERROR(INDEX(Ingredients!$B$5:$B$304,MATCH(E44,Ingredients!$A$5:$A$304,0)),""))</f>
        <v>0</v>
      </c>
      <c r="G44" s="26"/>
      <c r="H44" s="27"/>
      <c r="I44" s="28"/>
      <c r="J44" s="8">
        <f>IF(OR(E44="",G44="",I44=""),"",G44*I44)</f>
        <v>0</v>
      </c>
      <c r="K44" s="8">
        <f>IF(OR(A44="",J44=""),"",SUMIFS($J$5:$J$404,$B$5:$B$404,B44))</f>
        <v>0</v>
      </c>
      <c r="L44" s="8">
        <f>IF(OR(J44="",K44="",K44=0),"",J44/K44)</f>
        <v>0</v>
      </c>
      <c r="M44" s="8">
        <f>IF(K44="","",K44-Weekly_Budget)</f>
        <v>0</v>
      </c>
      <c r="N44" s="8">
        <f>IF(K44="","",IF(K44&gt;Weekly_Budget,"Over budget",IF(K44&gt;Weekly_Budget*0.9,"Close","Within budget")))</f>
        <v>0</v>
      </c>
      <c r="O44" s="7"/>
      <c r="P44" s="27"/>
      <c r="Q44" s="27"/>
      <c r="R44" s="28"/>
      <c r="S44" s="8">
        <f>IF(J44="","",COUNTIFS($J$5:$J$404,"&gt;"&amp;J44)+1)</f>
        <v>0</v>
      </c>
      <c r="T44" s="8">
        <f>IF(OR(A44="",J44=""),"",SUMIFS($J$5:$J$404,$C$5:$C$404,C44,$A$5:$A$404,"&lt;="&amp;A44))</f>
        <v>0</v>
      </c>
      <c r="U44" s="8">
        <f>IF(E44="","",IF(Q44="Yes","On offer","Full price"))</f>
        <v>0</v>
      </c>
      <c r="V44" s="25"/>
    </row>
    <row r="45" spans="1:22">
      <c r="A45" s="30"/>
      <c r="B45" s="8">
        <f>IF(A45="","",A45-WEEKDAY(A45,2)+1)</f>
        <v>0</v>
      </c>
      <c r="C45" s="8">
        <f>IF(A45="","",TEXT(A45,"mmm yyyy"))</f>
        <v>0</v>
      </c>
      <c r="D45" s="27"/>
      <c r="E45" s="7"/>
      <c r="F45" s="8">
        <f>IF(E45="","",IFERROR(INDEX(Ingredients!$B$5:$B$304,MATCH(E45,Ingredients!$A$5:$A$304,0)),""))</f>
        <v>0</v>
      </c>
      <c r="G45" s="26"/>
      <c r="H45" s="27"/>
      <c r="I45" s="28"/>
      <c r="J45" s="8">
        <f>IF(OR(E45="",G45="",I45=""),"",G45*I45)</f>
        <v>0</v>
      </c>
      <c r="K45" s="8">
        <f>IF(OR(A45="",J45=""),"",SUMIFS($J$5:$J$404,$B$5:$B$404,B45))</f>
        <v>0</v>
      </c>
      <c r="L45" s="8">
        <f>IF(OR(J45="",K45="",K45=0),"",J45/K45)</f>
        <v>0</v>
      </c>
      <c r="M45" s="8">
        <f>IF(K45="","",K45-Weekly_Budget)</f>
        <v>0</v>
      </c>
      <c r="N45" s="8">
        <f>IF(K45="","",IF(K45&gt;Weekly_Budget,"Over budget",IF(K45&gt;Weekly_Budget*0.9,"Close","Within budget")))</f>
        <v>0</v>
      </c>
      <c r="O45" s="7"/>
      <c r="P45" s="27"/>
      <c r="Q45" s="27"/>
      <c r="R45" s="28"/>
      <c r="S45" s="8">
        <f>IF(J45="","",COUNTIFS($J$5:$J$404,"&gt;"&amp;J45)+1)</f>
        <v>0</v>
      </c>
      <c r="T45" s="8">
        <f>IF(OR(A45="",J45=""),"",SUMIFS($J$5:$J$404,$C$5:$C$404,C45,$A$5:$A$404,"&lt;="&amp;A45))</f>
        <v>0</v>
      </c>
      <c r="U45" s="8">
        <f>IF(E45="","",IF(Q45="Yes","On offer","Full price"))</f>
        <v>0</v>
      </c>
      <c r="V45" s="25"/>
    </row>
    <row r="46" spans="1:22">
      <c r="A46" s="30"/>
      <c r="B46" s="8">
        <f>IF(A46="","",A46-WEEKDAY(A46,2)+1)</f>
        <v>0</v>
      </c>
      <c r="C46" s="8">
        <f>IF(A46="","",TEXT(A46,"mmm yyyy"))</f>
        <v>0</v>
      </c>
      <c r="D46" s="27"/>
      <c r="E46" s="7"/>
      <c r="F46" s="8">
        <f>IF(E46="","",IFERROR(INDEX(Ingredients!$B$5:$B$304,MATCH(E46,Ingredients!$A$5:$A$304,0)),""))</f>
        <v>0</v>
      </c>
      <c r="G46" s="26"/>
      <c r="H46" s="27"/>
      <c r="I46" s="28"/>
      <c r="J46" s="8">
        <f>IF(OR(E46="",G46="",I46=""),"",G46*I46)</f>
        <v>0</v>
      </c>
      <c r="K46" s="8">
        <f>IF(OR(A46="",J46=""),"",SUMIFS($J$5:$J$404,$B$5:$B$404,B46))</f>
        <v>0</v>
      </c>
      <c r="L46" s="8">
        <f>IF(OR(J46="",K46="",K46=0),"",J46/K46)</f>
        <v>0</v>
      </c>
      <c r="M46" s="8">
        <f>IF(K46="","",K46-Weekly_Budget)</f>
        <v>0</v>
      </c>
      <c r="N46" s="8">
        <f>IF(K46="","",IF(K46&gt;Weekly_Budget,"Over budget",IF(K46&gt;Weekly_Budget*0.9,"Close","Within budget")))</f>
        <v>0</v>
      </c>
      <c r="O46" s="7"/>
      <c r="P46" s="27"/>
      <c r="Q46" s="27"/>
      <c r="R46" s="28"/>
      <c r="S46" s="8">
        <f>IF(J46="","",COUNTIFS($J$5:$J$404,"&gt;"&amp;J46)+1)</f>
        <v>0</v>
      </c>
      <c r="T46" s="8">
        <f>IF(OR(A46="",J46=""),"",SUMIFS($J$5:$J$404,$C$5:$C$404,C46,$A$5:$A$404,"&lt;="&amp;A46))</f>
        <v>0</v>
      </c>
      <c r="U46" s="8">
        <f>IF(E46="","",IF(Q46="Yes","On offer","Full price"))</f>
        <v>0</v>
      </c>
      <c r="V46" s="25"/>
    </row>
    <row r="47" spans="1:22">
      <c r="A47" s="30"/>
      <c r="B47" s="8">
        <f>IF(A47="","",A47-WEEKDAY(A47,2)+1)</f>
        <v>0</v>
      </c>
      <c r="C47" s="8">
        <f>IF(A47="","",TEXT(A47,"mmm yyyy"))</f>
        <v>0</v>
      </c>
      <c r="D47" s="27"/>
      <c r="E47" s="7"/>
      <c r="F47" s="8">
        <f>IF(E47="","",IFERROR(INDEX(Ingredients!$B$5:$B$304,MATCH(E47,Ingredients!$A$5:$A$304,0)),""))</f>
        <v>0</v>
      </c>
      <c r="G47" s="26"/>
      <c r="H47" s="27"/>
      <c r="I47" s="28"/>
      <c r="J47" s="8">
        <f>IF(OR(E47="",G47="",I47=""),"",G47*I47)</f>
        <v>0</v>
      </c>
      <c r="K47" s="8">
        <f>IF(OR(A47="",J47=""),"",SUMIFS($J$5:$J$404,$B$5:$B$404,B47))</f>
        <v>0</v>
      </c>
      <c r="L47" s="8">
        <f>IF(OR(J47="",K47="",K47=0),"",J47/K47)</f>
        <v>0</v>
      </c>
      <c r="M47" s="8">
        <f>IF(K47="","",K47-Weekly_Budget)</f>
        <v>0</v>
      </c>
      <c r="N47" s="8">
        <f>IF(K47="","",IF(K47&gt;Weekly_Budget,"Over budget",IF(K47&gt;Weekly_Budget*0.9,"Close","Within budget")))</f>
        <v>0</v>
      </c>
      <c r="O47" s="7"/>
      <c r="P47" s="27"/>
      <c r="Q47" s="27"/>
      <c r="R47" s="28"/>
      <c r="S47" s="8">
        <f>IF(J47="","",COUNTIFS($J$5:$J$404,"&gt;"&amp;J47)+1)</f>
        <v>0</v>
      </c>
      <c r="T47" s="8">
        <f>IF(OR(A47="",J47=""),"",SUMIFS($J$5:$J$404,$C$5:$C$404,C47,$A$5:$A$404,"&lt;="&amp;A47))</f>
        <v>0</v>
      </c>
      <c r="U47" s="8">
        <f>IF(E47="","",IF(Q47="Yes","On offer","Full price"))</f>
        <v>0</v>
      </c>
      <c r="V47" s="25"/>
    </row>
    <row r="48" spans="1:22">
      <c r="A48" s="30"/>
      <c r="B48" s="8">
        <f>IF(A48="","",A48-WEEKDAY(A48,2)+1)</f>
        <v>0</v>
      </c>
      <c r="C48" s="8">
        <f>IF(A48="","",TEXT(A48,"mmm yyyy"))</f>
        <v>0</v>
      </c>
      <c r="D48" s="27"/>
      <c r="E48" s="7"/>
      <c r="F48" s="8">
        <f>IF(E48="","",IFERROR(INDEX(Ingredients!$B$5:$B$304,MATCH(E48,Ingredients!$A$5:$A$304,0)),""))</f>
        <v>0</v>
      </c>
      <c r="G48" s="26"/>
      <c r="H48" s="27"/>
      <c r="I48" s="28"/>
      <c r="J48" s="8">
        <f>IF(OR(E48="",G48="",I48=""),"",G48*I48)</f>
        <v>0</v>
      </c>
      <c r="K48" s="8">
        <f>IF(OR(A48="",J48=""),"",SUMIFS($J$5:$J$404,$B$5:$B$404,B48))</f>
        <v>0</v>
      </c>
      <c r="L48" s="8">
        <f>IF(OR(J48="",K48="",K48=0),"",J48/K48)</f>
        <v>0</v>
      </c>
      <c r="M48" s="8">
        <f>IF(K48="","",K48-Weekly_Budget)</f>
        <v>0</v>
      </c>
      <c r="N48" s="8">
        <f>IF(K48="","",IF(K48&gt;Weekly_Budget,"Over budget",IF(K48&gt;Weekly_Budget*0.9,"Close","Within budget")))</f>
        <v>0</v>
      </c>
      <c r="O48" s="7"/>
      <c r="P48" s="27"/>
      <c r="Q48" s="27"/>
      <c r="R48" s="28"/>
      <c r="S48" s="8">
        <f>IF(J48="","",COUNTIFS($J$5:$J$404,"&gt;"&amp;J48)+1)</f>
        <v>0</v>
      </c>
      <c r="T48" s="8">
        <f>IF(OR(A48="",J48=""),"",SUMIFS($J$5:$J$404,$C$5:$C$404,C48,$A$5:$A$404,"&lt;="&amp;A48))</f>
        <v>0</v>
      </c>
      <c r="U48" s="8">
        <f>IF(E48="","",IF(Q48="Yes","On offer","Full price"))</f>
        <v>0</v>
      </c>
      <c r="V48" s="25"/>
    </row>
    <row r="49" spans="1:22">
      <c r="A49" s="30"/>
      <c r="B49" s="8">
        <f>IF(A49="","",A49-WEEKDAY(A49,2)+1)</f>
        <v>0</v>
      </c>
      <c r="C49" s="8">
        <f>IF(A49="","",TEXT(A49,"mmm yyyy"))</f>
        <v>0</v>
      </c>
      <c r="D49" s="27"/>
      <c r="E49" s="7"/>
      <c r="F49" s="8">
        <f>IF(E49="","",IFERROR(INDEX(Ingredients!$B$5:$B$304,MATCH(E49,Ingredients!$A$5:$A$304,0)),""))</f>
        <v>0</v>
      </c>
      <c r="G49" s="26"/>
      <c r="H49" s="27"/>
      <c r="I49" s="28"/>
      <c r="J49" s="8">
        <f>IF(OR(E49="",G49="",I49=""),"",G49*I49)</f>
        <v>0</v>
      </c>
      <c r="K49" s="8">
        <f>IF(OR(A49="",J49=""),"",SUMIFS($J$5:$J$404,$B$5:$B$404,B49))</f>
        <v>0</v>
      </c>
      <c r="L49" s="8">
        <f>IF(OR(J49="",K49="",K49=0),"",J49/K49)</f>
        <v>0</v>
      </c>
      <c r="M49" s="8">
        <f>IF(K49="","",K49-Weekly_Budget)</f>
        <v>0</v>
      </c>
      <c r="N49" s="8">
        <f>IF(K49="","",IF(K49&gt;Weekly_Budget,"Over budget",IF(K49&gt;Weekly_Budget*0.9,"Close","Within budget")))</f>
        <v>0</v>
      </c>
      <c r="O49" s="7"/>
      <c r="P49" s="27"/>
      <c r="Q49" s="27"/>
      <c r="R49" s="28"/>
      <c r="S49" s="8">
        <f>IF(J49="","",COUNTIFS($J$5:$J$404,"&gt;"&amp;J49)+1)</f>
        <v>0</v>
      </c>
      <c r="T49" s="8">
        <f>IF(OR(A49="",J49=""),"",SUMIFS($J$5:$J$404,$C$5:$C$404,C49,$A$5:$A$404,"&lt;="&amp;A49))</f>
        <v>0</v>
      </c>
      <c r="U49" s="8">
        <f>IF(E49="","",IF(Q49="Yes","On offer","Full price"))</f>
        <v>0</v>
      </c>
      <c r="V49" s="25"/>
    </row>
    <row r="50" spans="1:22">
      <c r="A50" s="30"/>
      <c r="B50" s="8">
        <f>IF(A50="","",A50-WEEKDAY(A50,2)+1)</f>
        <v>0</v>
      </c>
      <c r="C50" s="8">
        <f>IF(A50="","",TEXT(A50,"mmm yyyy"))</f>
        <v>0</v>
      </c>
      <c r="D50" s="27"/>
      <c r="E50" s="7"/>
      <c r="F50" s="8">
        <f>IF(E50="","",IFERROR(INDEX(Ingredients!$B$5:$B$304,MATCH(E50,Ingredients!$A$5:$A$304,0)),""))</f>
        <v>0</v>
      </c>
      <c r="G50" s="26"/>
      <c r="H50" s="27"/>
      <c r="I50" s="28"/>
      <c r="J50" s="8">
        <f>IF(OR(E50="",G50="",I50=""),"",G50*I50)</f>
        <v>0</v>
      </c>
      <c r="K50" s="8">
        <f>IF(OR(A50="",J50=""),"",SUMIFS($J$5:$J$404,$B$5:$B$404,B50))</f>
        <v>0</v>
      </c>
      <c r="L50" s="8">
        <f>IF(OR(J50="",K50="",K50=0),"",J50/K50)</f>
        <v>0</v>
      </c>
      <c r="M50" s="8">
        <f>IF(K50="","",K50-Weekly_Budget)</f>
        <v>0</v>
      </c>
      <c r="N50" s="8">
        <f>IF(K50="","",IF(K50&gt;Weekly_Budget,"Over budget",IF(K50&gt;Weekly_Budget*0.9,"Close","Within budget")))</f>
        <v>0</v>
      </c>
      <c r="O50" s="7"/>
      <c r="P50" s="27"/>
      <c r="Q50" s="27"/>
      <c r="R50" s="28"/>
      <c r="S50" s="8">
        <f>IF(J50="","",COUNTIFS($J$5:$J$404,"&gt;"&amp;J50)+1)</f>
        <v>0</v>
      </c>
      <c r="T50" s="8">
        <f>IF(OR(A50="",J50=""),"",SUMIFS($J$5:$J$404,$C$5:$C$404,C50,$A$5:$A$404,"&lt;="&amp;A50))</f>
        <v>0</v>
      </c>
      <c r="U50" s="8">
        <f>IF(E50="","",IF(Q50="Yes","On offer","Full price"))</f>
        <v>0</v>
      </c>
      <c r="V50" s="25"/>
    </row>
    <row r="51" spans="1:22">
      <c r="A51" s="30"/>
      <c r="B51" s="8">
        <f>IF(A51="","",A51-WEEKDAY(A51,2)+1)</f>
        <v>0</v>
      </c>
      <c r="C51" s="8">
        <f>IF(A51="","",TEXT(A51,"mmm yyyy"))</f>
        <v>0</v>
      </c>
      <c r="D51" s="27"/>
      <c r="E51" s="7"/>
      <c r="F51" s="8">
        <f>IF(E51="","",IFERROR(INDEX(Ingredients!$B$5:$B$304,MATCH(E51,Ingredients!$A$5:$A$304,0)),""))</f>
        <v>0</v>
      </c>
      <c r="G51" s="26"/>
      <c r="H51" s="27"/>
      <c r="I51" s="28"/>
      <c r="J51" s="8">
        <f>IF(OR(E51="",G51="",I51=""),"",G51*I51)</f>
        <v>0</v>
      </c>
      <c r="K51" s="8">
        <f>IF(OR(A51="",J51=""),"",SUMIFS($J$5:$J$404,$B$5:$B$404,B51))</f>
        <v>0</v>
      </c>
      <c r="L51" s="8">
        <f>IF(OR(J51="",K51="",K51=0),"",J51/K51)</f>
        <v>0</v>
      </c>
      <c r="M51" s="8">
        <f>IF(K51="","",K51-Weekly_Budget)</f>
        <v>0</v>
      </c>
      <c r="N51" s="8">
        <f>IF(K51="","",IF(K51&gt;Weekly_Budget,"Over budget",IF(K51&gt;Weekly_Budget*0.9,"Close","Within budget")))</f>
        <v>0</v>
      </c>
      <c r="O51" s="7"/>
      <c r="P51" s="27"/>
      <c r="Q51" s="27"/>
      <c r="R51" s="28"/>
      <c r="S51" s="8">
        <f>IF(J51="","",COUNTIFS($J$5:$J$404,"&gt;"&amp;J51)+1)</f>
        <v>0</v>
      </c>
      <c r="T51" s="8">
        <f>IF(OR(A51="",J51=""),"",SUMIFS($J$5:$J$404,$C$5:$C$404,C51,$A$5:$A$404,"&lt;="&amp;A51))</f>
        <v>0</v>
      </c>
      <c r="U51" s="8">
        <f>IF(E51="","",IF(Q51="Yes","On offer","Full price"))</f>
        <v>0</v>
      </c>
      <c r="V51" s="25"/>
    </row>
    <row r="52" spans="1:22">
      <c r="A52" s="30"/>
      <c r="B52" s="8">
        <f>IF(A52="","",A52-WEEKDAY(A52,2)+1)</f>
        <v>0</v>
      </c>
      <c r="C52" s="8">
        <f>IF(A52="","",TEXT(A52,"mmm yyyy"))</f>
        <v>0</v>
      </c>
      <c r="D52" s="27"/>
      <c r="E52" s="7"/>
      <c r="F52" s="8">
        <f>IF(E52="","",IFERROR(INDEX(Ingredients!$B$5:$B$304,MATCH(E52,Ingredients!$A$5:$A$304,0)),""))</f>
        <v>0</v>
      </c>
      <c r="G52" s="26"/>
      <c r="H52" s="27"/>
      <c r="I52" s="28"/>
      <c r="J52" s="8">
        <f>IF(OR(E52="",G52="",I52=""),"",G52*I52)</f>
        <v>0</v>
      </c>
      <c r="K52" s="8">
        <f>IF(OR(A52="",J52=""),"",SUMIFS($J$5:$J$404,$B$5:$B$404,B52))</f>
        <v>0</v>
      </c>
      <c r="L52" s="8">
        <f>IF(OR(J52="",K52="",K52=0),"",J52/K52)</f>
        <v>0</v>
      </c>
      <c r="M52" s="8">
        <f>IF(K52="","",K52-Weekly_Budget)</f>
        <v>0</v>
      </c>
      <c r="N52" s="8">
        <f>IF(K52="","",IF(K52&gt;Weekly_Budget,"Over budget",IF(K52&gt;Weekly_Budget*0.9,"Close","Within budget")))</f>
        <v>0</v>
      </c>
      <c r="O52" s="7"/>
      <c r="P52" s="27"/>
      <c r="Q52" s="27"/>
      <c r="R52" s="28"/>
      <c r="S52" s="8">
        <f>IF(J52="","",COUNTIFS($J$5:$J$404,"&gt;"&amp;J52)+1)</f>
        <v>0</v>
      </c>
      <c r="T52" s="8">
        <f>IF(OR(A52="",J52=""),"",SUMIFS($J$5:$J$404,$C$5:$C$404,C52,$A$5:$A$404,"&lt;="&amp;A52))</f>
        <v>0</v>
      </c>
      <c r="U52" s="8">
        <f>IF(E52="","",IF(Q52="Yes","On offer","Full price"))</f>
        <v>0</v>
      </c>
      <c r="V52" s="25"/>
    </row>
    <row r="53" spans="1:22">
      <c r="A53" s="30"/>
      <c r="B53" s="8">
        <f>IF(A53="","",A53-WEEKDAY(A53,2)+1)</f>
        <v>0</v>
      </c>
      <c r="C53" s="8">
        <f>IF(A53="","",TEXT(A53,"mmm yyyy"))</f>
        <v>0</v>
      </c>
      <c r="D53" s="27"/>
      <c r="E53" s="7"/>
      <c r="F53" s="8">
        <f>IF(E53="","",IFERROR(INDEX(Ingredients!$B$5:$B$304,MATCH(E53,Ingredients!$A$5:$A$304,0)),""))</f>
        <v>0</v>
      </c>
      <c r="G53" s="26"/>
      <c r="H53" s="27"/>
      <c r="I53" s="28"/>
      <c r="J53" s="8">
        <f>IF(OR(E53="",G53="",I53=""),"",G53*I53)</f>
        <v>0</v>
      </c>
      <c r="K53" s="8">
        <f>IF(OR(A53="",J53=""),"",SUMIFS($J$5:$J$404,$B$5:$B$404,B53))</f>
        <v>0</v>
      </c>
      <c r="L53" s="8">
        <f>IF(OR(J53="",K53="",K53=0),"",J53/K53)</f>
        <v>0</v>
      </c>
      <c r="M53" s="8">
        <f>IF(K53="","",K53-Weekly_Budget)</f>
        <v>0</v>
      </c>
      <c r="N53" s="8">
        <f>IF(K53="","",IF(K53&gt;Weekly_Budget,"Over budget",IF(K53&gt;Weekly_Budget*0.9,"Close","Within budget")))</f>
        <v>0</v>
      </c>
      <c r="O53" s="7"/>
      <c r="P53" s="27"/>
      <c r="Q53" s="27"/>
      <c r="R53" s="28"/>
      <c r="S53" s="8">
        <f>IF(J53="","",COUNTIFS($J$5:$J$404,"&gt;"&amp;J53)+1)</f>
        <v>0</v>
      </c>
      <c r="T53" s="8">
        <f>IF(OR(A53="",J53=""),"",SUMIFS($J$5:$J$404,$C$5:$C$404,C53,$A$5:$A$404,"&lt;="&amp;A53))</f>
        <v>0</v>
      </c>
      <c r="U53" s="8">
        <f>IF(E53="","",IF(Q53="Yes","On offer","Full price"))</f>
        <v>0</v>
      </c>
      <c r="V53" s="25"/>
    </row>
    <row r="54" spans="1:22">
      <c r="A54" s="30"/>
      <c r="B54" s="8">
        <f>IF(A54="","",A54-WEEKDAY(A54,2)+1)</f>
        <v>0</v>
      </c>
      <c r="C54" s="8">
        <f>IF(A54="","",TEXT(A54,"mmm yyyy"))</f>
        <v>0</v>
      </c>
      <c r="D54" s="27"/>
      <c r="E54" s="7"/>
      <c r="F54" s="8">
        <f>IF(E54="","",IFERROR(INDEX(Ingredients!$B$5:$B$304,MATCH(E54,Ingredients!$A$5:$A$304,0)),""))</f>
        <v>0</v>
      </c>
      <c r="G54" s="26"/>
      <c r="H54" s="27"/>
      <c r="I54" s="28"/>
      <c r="J54" s="8">
        <f>IF(OR(E54="",G54="",I54=""),"",G54*I54)</f>
        <v>0</v>
      </c>
      <c r="K54" s="8">
        <f>IF(OR(A54="",J54=""),"",SUMIFS($J$5:$J$404,$B$5:$B$404,B54))</f>
        <v>0</v>
      </c>
      <c r="L54" s="8">
        <f>IF(OR(J54="",K54="",K54=0),"",J54/K54)</f>
        <v>0</v>
      </c>
      <c r="M54" s="8">
        <f>IF(K54="","",K54-Weekly_Budget)</f>
        <v>0</v>
      </c>
      <c r="N54" s="8">
        <f>IF(K54="","",IF(K54&gt;Weekly_Budget,"Over budget",IF(K54&gt;Weekly_Budget*0.9,"Close","Within budget")))</f>
        <v>0</v>
      </c>
      <c r="O54" s="7"/>
      <c r="P54" s="27"/>
      <c r="Q54" s="27"/>
      <c r="R54" s="28"/>
      <c r="S54" s="8">
        <f>IF(J54="","",COUNTIFS($J$5:$J$404,"&gt;"&amp;J54)+1)</f>
        <v>0</v>
      </c>
      <c r="T54" s="8">
        <f>IF(OR(A54="",J54=""),"",SUMIFS($J$5:$J$404,$C$5:$C$404,C54,$A$5:$A$404,"&lt;="&amp;A54))</f>
        <v>0</v>
      </c>
      <c r="U54" s="8">
        <f>IF(E54="","",IF(Q54="Yes","On offer","Full price"))</f>
        <v>0</v>
      </c>
      <c r="V54" s="25"/>
    </row>
    <row r="55" spans="1:22">
      <c r="A55" s="30"/>
      <c r="B55" s="8">
        <f>IF(A55="","",A55-WEEKDAY(A55,2)+1)</f>
        <v>0</v>
      </c>
      <c r="C55" s="8">
        <f>IF(A55="","",TEXT(A55,"mmm yyyy"))</f>
        <v>0</v>
      </c>
      <c r="D55" s="27"/>
      <c r="E55" s="7"/>
      <c r="F55" s="8">
        <f>IF(E55="","",IFERROR(INDEX(Ingredients!$B$5:$B$304,MATCH(E55,Ingredients!$A$5:$A$304,0)),""))</f>
        <v>0</v>
      </c>
      <c r="G55" s="26"/>
      <c r="H55" s="27"/>
      <c r="I55" s="28"/>
      <c r="J55" s="8">
        <f>IF(OR(E55="",G55="",I55=""),"",G55*I55)</f>
        <v>0</v>
      </c>
      <c r="K55" s="8">
        <f>IF(OR(A55="",J55=""),"",SUMIFS($J$5:$J$404,$B$5:$B$404,B55))</f>
        <v>0</v>
      </c>
      <c r="L55" s="8">
        <f>IF(OR(J55="",K55="",K55=0),"",J55/K55)</f>
        <v>0</v>
      </c>
      <c r="M55" s="8">
        <f>IF(K55="","",K55-Weekly_Budget)</f>
        <v>0</v>
      </c>
      <c r="N55" s="8">
        <f>IF(K55="","",IF(K55&gt;Weekly_Budget,"Over budget",IF(K55&gt;Weekly_Budget*0.9,"Close","Within budget")))</f>
        <v>0</v>
      </c>
      <c r="O55" s="7"/>
      <c r="P55" s="27"/>
      <c r="Q55" s="27"/>
      <c r="R55" s="28"/>
      <c r="S55" s="8">
        <f>IF(J55="","",COUNTIFS($J$5:$J$404,"&gt;"&amp;J55)+1)</f>
        <v>0</v>
      </c>
      <c r="T55" s="8">
        <f>IF(OR(A55="",J55=""),"",SUMIFS($J$5:$J$404,$C$5:$C$404,C55,$A$5:$A$404,"&lt;="&amp;A55))</f>
        <v>0</v>
      </c>
      <c r="U55" s="8">
        <f>IF(E55="","",IF(Q55="Yes","On offer","Full price"))</f>
        <v>0</v>
      </c>
      <c r="V55" s="25"/>
    </row>
    <row r="56" spans="1:22">
      <c r="A56" s="30"/>
      <c r="B56" s="8">
        <f>IF(A56="","",A56-WEEKDAY(A56,2)+1)</f>
        <v>0</v>
      </c>
      <c r="C56" s="8">
        <f>IF(A56="","",TEXT(A56,"mmm yyyy"))</f>
        <v>0</v>
      </c>
      <c r="D56" s="27"/>
      <c r="E56" s="7"/>
      <c r="F56" s="8">
        <f>IF(E56="","",IFERROR(INDEX(Ingredients!$B$5:$B$304,MATCH(E56,Ingredients!$A$5:$A$304,0)),""))</f>
        <v>0</v>
      </c>
      <c r="G56" s="26"/>
      <c r="H56" s="27"/>
      <c r="I56" s="28"/>
      <c r="J56" s="8">
        <f>IF(OR(E56="",G56="",I56=""),"",G56*I56)</f>
        <v>0</v>
      </c>
      <c r="K56" s="8">
        <f>IF(OR(A56="",J56=""),"",SUMIFS($J$5:$J$404,$B$5:$B$404,B56))</f>
        <v>0</v>
      </c>
      <c r="L56" s="8">
        <f>IF(OR(J56="",K56="",K56=0),"",J56/K56)</f>
        <v>0</v>
      </c>
      <c r="M56" s="8">
        <f>IF(K56="","",K56-Weekly_Budget)</f>
        <v>0</v>
      </c>
      <c r="N56" s="8">
        <f>IF(K56="","",IF(K56&gt;Weekly_Budget,"Over budget",IF(K56&gt;Weekly_Budget*0.9,"Close","Within budget")))</f>
        <v>0</v>
      </c>
      <c r="O56" s="7"/>
      <c r="P56" s="27"/>
      <c r="Q56" s="27"/>
      <c r="R56" s="28"/>
      <c r="S56" s="8">
        <f>IF(J56="","",COUNTIFS($J$5:$J$404,"&gt;"&amp;J56)+1)</f>
        <v>0</v>
      </c>
      <c r="T56" s="8">
        <f>IF(OR(A56="",J56=""),"",SUMIFS($J$5:$J$404,$C$5:$C$404,C56,$A$5:$A$404,"&lt;="&amp;A56))</f>
        <v>0</v>
      </c>
      <c r="U56" s="8">
        <f>IF(E56="","",IF(Q56="Yes","On offer","Full price"))</f>
        <v>0</v>
      </c>
      <c r="V56" s="25"/>
    </row>
    <row r="57" spans="1:22">
      <c r="A57" s="30"/>
      <c r="B57" s="8">
        <f>IF(A57="","",A57-WEEKDAY(A57,2)+1)</f>
        <v>0</v>
      </c>
      <c r="C57" s="8">
        <f>IF(A57="","",TEXT(A57,"mmm yyyy"))</f>
        <v>0</v>
      </c>
      <c r="D57" s="27"/>
      <c r="E57" s="7"/>
      <c r="F57" s="8">
        <f>IF(E57="","",IFERROR(INDEX(Ingredients!$B$5:$B$304,MATCH(E57,Ingredients!$A$5:$A$304,0)),""))</f>
        <v>0</v>
      </c>
      <c r="G57" s="26"/>
      <c r="H57" s="27"/>
      <c r="I57" s="28"/>
      <c r="J57" s="8">
        <f>IF(OR(E57="",G57="",I57=""),"",G57*I57)</f>
        <v>0</v>
      </c>
      <c r="K57" s="8">
        <f>IF(OR(A57="",J57=""),"",SUMIFS($J$5:$J$404,$B$5:$B$404,B57))</f>
        <v>0</v>
      </c>
      <c r="L57" s="8">
        <f>IF(OR(J57="",K57="",K57=0),"",J57/K57)</f>
        <v>0</v>
      </c>
      <c r="M57" s="8">
        <f>IF(K57="","",K57-Weekly_Budget)</f>
        <v>0</v>
      </c>
      <c r="N57" s="8">
        <f>IF(K57="","",IF(K57&gt;Weekly_Budget,"Over budget",IF(K57&gt;Weekly_Budget*0.9,"Close","Within budget")))</f>
        <v>0</v>
      </c>
      <c r="O57" s="7"/>
      <c r="P57" s="27"/>
      <c r="Q57" s="27"/>
      <c r="R57" s="28"/>
      <c r="S57" s="8">
        <f>IF(J57="","",COUNTIFS($J$5:$J$404,"&gt;"&amp;J57)+1)</f>
        <v>0</v>
      </c>
      <c r="T57" s="8">
        <f>IF(OR(A57="",J57=""),"",SUMIFS($J$5:$J$404,$C$5:$C$404,C57,$A$5:$A$404,"&lt;="&amp;A57))</f>
        <v>0</v>
      </c>
      <c r="U57" s="8">
        <f>IF(E57="","",IF(Q57="Yes","On offer","Full price"))</f>
        <v>0</v>
      </c>
      <c r="V57" s="25"/>
    </row>
    <row r="58" spans="1:22">
      <c r="A58" s="30"/>
      <c r="B58" s="8">
        <f>IF(A58="","",A58-WEEKDAY(A58,2)+1)</f>
        <v>0</v>
      </c>
      <c r="C58" s="8">
        <f>IF(A58="","",TEXT(A58,"mmm yyyy"))</f>
        <v>0</v>
      </c>
      <c r="D58" s="27"/>
      <c r="E58" s="7"/>
      <c r="F58" s="8">
        <f>IF(E58="","",IFERROR(INDEX(Ingredients!$B$5:$B$304,MATCH(E58,Ingredients!$A$5:$A$304,0)),""))</f>
        <v>0</v>
      </c>
      <c r="G58" s="26"/>
      <c r="H58" s="27"/>
      <c r="I58" s="28"/>
      <c r="J58" s="8">
        <f>IF(OR(E58="",G58="",I58=""),"",G58*I58)</f>
        <v>0</v>
      </c>
      <c r="K58" s="8">
        <f>IF(OR(A58="",J58=""),"",SUMIFS($J$5:$J$404,$B$5:$B$404,B58))</f>
        <v>0</v>
      </c>
      <c r="L58" s="8">
        <f>IF(OR(J58="",K58="",K58=0),"",J58/K58)</f>
        <v>0</v>
      </c>
      <c r="M58" s="8">
        <f>IF(K58="","",K58-Weekly_Budget)</f>
        <v>0</v>
      </c>
      <c r="N58" s="8">
        <f>IF(K58="","",IF(K58&gt;Weekly_Budget,"Over budget",IF(K58&gt;Weekly_Budget*0.9,"Close","Within budget")))</f>
        <v>0</v>
      </c>
      <c r="O58" s="7"/>
      <c r="P58" s="27"/>
      <c r="Q58" s="27"/>
      <c r="R58" s="28"/>
      <c r="S58" s="8">
        <f>IF(J58="","",COUNTIFS($J$5:$J$404,"&gt;"&amp;J58)+1)</f>
        <v>0</v>
      </c>
      <c r="T58" s="8">
        <f>IF(OR(A58="",J58=""),"",SUMIFS($J$5:$J$404,$C$5:$C$404,C58,$A$5:$A$404,"&lt;="&amp;A58))</f>
        <v>0</v>
      </c>
      <c r="U58" s="8">
        <f>IF(E58="","",IF(Q58="Yes","On offer","Full price"))</f>
        <v>0</v>
      </c>
      <c r="V58" s="25"/>
    </row>
    <row r="59" spans="1:22">
      <c r="A59" s="30"/>
      <c r="B59" s="8">
        <f>IF(A59="","",A59-WEEKDAY(A59,2)+1)</f>
        <v>0</v>
      </c>
      <c r="C59" s="8">
        <f>IF(A59="","",TEXT(A59,"mmm yyyy"))</f>
        <v>0</v>
      </c>
      <c r="D59" s="27"/>
      <c r="E59" s="7"/>
      <c r="F59" s="8">
        <f>IF(E59="","",IFERROR(INDEX(Ingredients!$B$5:$B$304,MATCH(E59,Ingredients!$A$5:$A$304,0)),""))</f>
        <v>0</v>
      </c>
      <c r="G59" s="26"/>
      <c r="H59" s="27"/>
      <c r="I59" s="28"/>
      <c r="J59" s="8">
        <f>IF(OR(E59="",G59="",I59=""),"",G59*I59)</f>
        <v>0</v>
      </c>
      <c r="K59" s="8">
        <f>IF(OR(A59="",J59=""),"",SUMIFS($J$5:$J$404,$B$5:$B$404,B59))</f>
        <v>0</v>
      </c>
      <c r="L59" s="8">
        <f>IF(OR(J59="",K59="",K59=0),"",J59/K59)</f>
        <v>0</v>
      </c>
      <c r="M59" s="8">
        <f>IF(K59="","",K59-Weekly_Budget)</f>
        <v>0</v>
      </c>
      <c r="N59" s="8">
        <f>IF(K59="","",IF(K59&gt;Weekly_Budget,"Over budget",IF(K59&gt;Weekly_Budget*0.9,"Close","Within budget")))</f>
        <v>0</v>
      </c>
      <c r="O59" s="7"/>
      <c r="P59" s="27"/>
      <c r="Q59" s="27"/>
      <c r="R59" s="28"/>
      <c r="S59" s="8">
        <f>IF(J59="","",COUNTIFS($J$5:$J$404,"&gt;"&amp;J59)+1)</f>
        <v>0</v>
      </c>
      <c r="T59" s="8">
        <f>IF(OR(A59="",J59=""),"",SUMIFS($J$5:$J$404,$C$5:$C$404,C59,$A$5:$A$404,"&lt;="&amp;A59))</f>
        <v>0</v>
      </c>
      <c r="U59" s="8">
        <f>IF(E59="","",IF(Q59="Yes","On offer","Full price"))</f>
        <v>0</v>
      </c>
      <c r="V59" s="25"/>
    </row>
    <row r="60" spans="1:22">
      <c r="A60" s="30"/>
      <c r="B60" s="8">
        <f>IF(A60="","",A60-WEEKDAY(A60,2)+1)</f>
        <v>0</v>
      </c>
      <c r="C60" s="8">
        <f>IF(A60="","",TEXT(A60,"mmm yyyy"))</f>
        <v>0</v>
      </c>
      <c r="D60" s="27"/>
      <c r="E60" s="7"/>
      <c r="F60" s="8">
        <f>IF(E60="","",IFERROR(INDEX(Ingredients!$B$5:$B$304,MATCH(E60,Ingredients!$A$5:$A$304,0)),""))</f>
        <v>0</v>
      </c>
      <c r="G60" s="26"/>
      <c r="H60" s="27"/>
      <c r="I60" s="28"/>
      <c r="J60" s="8">
        <f>IF(OR(E60="",G60="",I60=""),"",G60*I60)</f>
        <v>0</v>
      </c>
      <c r="K60" s="8">
        <f>IF(OR(A60="",J60=""),"",SUMIFS($J$5:$J$404,$B$5:$B$404,B60))</f>
        <v>0</v>
      </c>
      <c r="L60" s="8">
        <f>IF(OR(J60="",K60="",K60=0),"",J60/K60)</f>
        <v>0</v>
      </c>
      <c r="M60" s="8">
        <f>IF(K60="","",K60-Weekly_Budget)</f>
        <v>0</v>
      </c>
      <c r="N60" s="8">
        <f>IF(K60="","",IF(K60&gt;Weekly_Budget,"Over budget",IF(K60&gt;Weekly_Budget*0.9,"Close","Within budget")))</f>
        <v>0</v>
      </c>
      <c r="O60" s="7"/>
      <c r="P60" s="27"/>
      <c r="Q60" s="27"/>
      <c r="R60" s="28"/>
      <c r="S60" s="8">
        <f>IF(J60="","",COUNTIFS($J$5:$J$404,"&gt;"&amp;J60)+1)</f>
        <v>0</v>
      </c>
      <c r="T60" s="8">
        <f>IF(OR(A60="",J60=""),"",SUMIFS($J$5:$J$404,$C$5:$C$404,C60,$A$5:$A$404,"&lt;="&amp;A60))</f>
        <v>0</v>
      </c>
      <c r="U60" s="8">
        <f>IF(E60="","",IF(Q60="Yes","On offer","Full price"))</f>
        <v>0</v>
      </c>
      <c r="V60" s="25"/>
    </row>
    <row r="61" spans="1:22">
      <c r="A61" s="30"/>
      <c r="B61" s="8">
        <f>IF(A61="","",A61-WEEKDAY(A61,2)+1)</f>
        <v>0</v>
      </c>
      <c r="C61" s="8">
        <f>IF(A61="","",TEXT(A61,"mmm yyyy"))</f>
        <v>0</v>
      </c>
      <c r="D61" s="27"/>
      <c r="E61" s="7"/>
      <c r="F61" s="8">
        <f>IF(E61="","",IFERROR(INDEX(Ingredients!$B$5:$B$304,MATCH(E61,Ingredients!$A$5:$A$304,0)),""))</f>
        <v>0</v>
      </c>
      <c r="G61" s="26"/>
      <c r="H61" s="27"/>
      <c r="I61" s="28"/>
      <c r="J61" s="8">
        <f>IF(OR(E61="",G61="",I61=""),"",G61*I61)</f>
        <v>0</v>
      </c>
      <c r="K61" s="8">
        <f>IF(OR(A61="",J61=""),"",SUMIFS($J$5:$J$404,$B$5:$B$404,B61))</f>
        <v>0</v>
      </c>
      <c r="L61" s="8">
        <f>IF(OR(J61="",K61="",K61=0),"",J61/K61)</f>
        <v>0</v>
      </c>
      <c r="M61" s="8">
        <f>IF(K61="","",K61-Weekly_Budget)</f>
        <v>0</v>
      </c>
      <c r="N61" s="8">
        <f>IF(K61="","",IF(K61&gt;Weekly_Budget,"Over budget",IF(K61&gt;Weekly_Budget*0.9,"Close","Within budget")))</f>
        <v>0</v>
      </c>
      <c r="O61" s="7"/>
      <c r="P61" s="27"/>
      <c r="Q61" s="27"/>
      <c r="R61" s="28"/>
      <c r="S61" s="8">
        <f>IF(J61="","",COUNTIFS($J$5:$J$404,"&gt;"&amp;J61)+1)</f>
        <v>0</v>
      </c>
      <c r="T61" s="8">
        <f>IF(OR(A61="",J61=""),"",SUMIFS($J$5:$J$404,$C$5:$C$404,C61,$A$5:$A$404,"&lt;="&amp;A61))</f>
        <v>0</v>
      </c>
      <c r="U61" s="8">
        <f>IF(E61="","",IF(Q61="Yes","On offer","Full price"))</f>
        <v>0</v>
      </c>
      <c r="V61" s="25"/>
    </row>
    <row r="62" spans="1:22">
      <c r="A62" s="30"/>
      <c r="B62" s="8">
        <f>IF(A62="","",A62-WEEKDAY(A62,2)+1)</f>
        <v>0</v>
      </c>
      <c r="C62" s="8">
        <f>IF(A62="","",TEXT(A62,"mmm yyyy"))</f>
        <v>0</v>
      </c>
      <c r="D62" s="27"/>
      <c r="E62" s="7"/>
      <c r="F62" s="8">
        <f>IF(E62="","",IFERROR(INDEX(Ingredients!$B$5:$B$304,MATCH(E62,Ingredients!$A$5:$A$304,0)),""))</f>
        <v>0</v>
      </c>
      <c r="G62" s="26"/>
      <c r="H62" s="27"/>
      <c r="I62" s="28"/>
      <c r="J62" s="8">
        <f>IF(OR(E62="",G62="",I62=""),"",G62*I62)</f>
        <v>0</v>
      </c>
      <c r="K62" s="8">
        <f>IF(OR(A62="",J62=""),"",SUMIFS($J$5:$J$404,$B$5:$B$404,B62))</f>
        <v>0</v>
      </c>
      <c r="L62" s="8">
        <f>IF(OR(J62="",K62="",K62=0),"",J62/K62)</f>
        <v>0</v>
      </c>
      <c r="M62" s="8">
        <f>IF(K62="","",K62-Weekly_Budget)</f>
        <v>0</v>
      </c>
      <c r="N62" s="8">
        <f>IF(K62="","",IF(K62&gt;Weekly_Budget,"Over budget",IF(K62&gt;Weekly_Budget*0.9,"Close","Within budget")))</f>
        <v>0</v>
      </c>
      <c r="O62" s="7"/>
      <c r="P62" s="27"/>
      <c r="Q62" s="27"/>
      <c r="R62" s="28"/>
      <c r="S62" s="8">
        <f>IF(J62="","",COUNTIFS($J$5:$J$404,"&gt;"&amp;J62)+1)</f>
        <v>0</v>
      </c>
      <c r="T62" s="8">
        <f>IF(OR(A62="",J62=""),"",SUMIFS($J$5:$J$404,$C$5:$C$404,C62,$A$5:$A$404,"&lt;="&amp;A62))</f>
        <v>0</v>
      </c>
      <c r="U62" s="8">
        <f>IF(E62="","",IF(Q62="Yes","On offer","Full price"))</f>
        <v>0</v>
      </c>
      <c r="V62" s="25"/>
    </row>
    <row r="63" spans="1:22">
      <c r="A63" s="30"/>
      <c r="B63" s="8">
        <f>IF(A63="","",A63-WEEKDAY(A63,2)+1)</f>
        <v>0</v>
      </c>
      <c r="C63" s="8">
        <f>IF(A63="","",TEXT(A63,"mmm yyyy"))</f>
        <v>0</v>
      </c>
      <c r="D63" s="27"/>
      <c r="E63" s="7"/>
      <c r="F63" s="8">
        <f>IF(E63="","",IFERROR(INDEX(Ingredients!$B$5:$B$304,MATCH(E63,Ingredients!$A$5:$A$304,0)),""))</f>
        <v>0</v>
      </c>
      <c r="G63" s="26"/>
      <c r="H63" s="27"/>
      <c r="I63" s="28"/>
      <c r="J63" s="8">
        <f>IF(OR(E63="",G63="",I63=""),"",G63*I63)</f>
        <v>0</v>
      </c>
      <c r="K63" s="8">
        <f>IF(OR(A63="",J63=""),"",SUMIFS($J$5:$J$404,$B$5:$B$404,B63))</f>
        <v>0</v>
      </c>
      <c r="L63" s="8">
        <f>IF(OR(J63="",K63="",K63=0),"",J63/K63)</f>
        <v>0</v>
      </c>
      <c r="M63" s="8">
        <f>IF(K63="","",K63-Weekly_Budget)</f>
        <v>0</v>
      </c>
      <c r="N63" s="8">
        <f>IF(K63="","",IF(K63&gt;Weekly_Budget,"Over budget",IF(K63&gt;Weekly_Budget*0.9,"Close","Within budget")))</f>
        <v>0</v>
      </c>
      <c r="O63" s="7"/>
      <c r="P63" s="27"/>
      <c r="Q63" s="27"/>
      <c r="R63" s="28"/>
      <c r="S63" s="8">
        <f>IF(J63="","",COUNTIFS($J$5:$J$404,"&gt;"&amp;J63)+1)</f>
        <v>0</v>
      </c>
      <c r="T63" s="8">
        <f>IF(OR(A63="",J63=""),"",SUMIFS($J$5:$J$404,$C$5:$C$404,C63,$A$5:$A$404,"&lt;="&amp;A63))</f>
        <v>0</v>
      </c>
      <c r="U63" s="8">
        <f>IF(E63="","",IF(Q63="Yes","On offer","Full price"))</f>
        <v>0</v>
      </c>
      <c r="V63" s="25"/>
    </row>
    <row r="64" spans="1:22">
      <c r="A64" s="30"/>
      <c r="B64" s="8">
        <f>IF(A64="","",A64-WEEKDAY(A64,2)+1)</f>
        <v>0</v>
      </c>
      <c r="C64" s="8">
        <f>IF(A64="","",TEXT(A64,"mmm yyyy"))</f>
        <v>0</v>
      </c>
      <c r="D64" s="27"/>
      <c r="E64" s="7"/>
      <c r="F64" s="8">
        <f>IF(E64="","",IFERROR(INDEX(Ingredients!$B$5:$B$304,MATCH(E64,Ingredients!$A$5:$A$304,0)),""))</f>
        <v>0</v>
      </c>
      <c r="G64" s="26"/>
      <c r="H64" s="27"/>
      <c r="I64" s="28"/>
      <c r="J64" s="8">
        <f>IF(OR(E64="",G64="",I64=""),"",G64*I64)</f>
        <v>0</v>
      </c>
      <c r="K64" s="8">
        <f>IF(OR(A64="",J64=""),"",SUMIFS($J$5:$J$404,$B$5:$B$404,B64))</f>
        <v>0</v>
      </c>
      <c r="L64" s="8">
        <f>IF(OR(J64="",K64="",K64=0),"",J64/K64)</f>
        <v>0</v>
      </c>
      <c r="M64" s="8">
        <f>IF(K64="","",K64-Weekly_Budget)</f>
        <v>0</v>
      </c>
      <c r="N64" s="8">
        <f>IF(K64="","",IF(K64&gt;Weekly_Budget,"Over budget",IF(K64&gt;Weekly_Budget*0.9,"Close","Within budget")))</f>
        <v>0</v>
      </c>
      <c r="O64" s="7"/>
      <c r="P64" s="27"/>
      <c r="Q64" s="27"/>
      <c r="R64" s="28"/>
      <c r="S64" s="8">
        <f>IF(J64="","",COUNTIFS($J$5:$J$404,"&gt;"&amp;J64)+1)</f>
        <v>0</v>
      </c>
      <c r="T64" s="8">
        <f>IF(OR(A64="",J64=""),"",SUMIFS($J$5:$J$404,$C$5:$C$404,C64,$A$5:$A$404,"&lt;="&amp;A64))</f>
        <v>0</v>
      </c>
      <c r="U64" s="8">
        <f>IF(E64="","",IF(Q64="Yes","On offer","Full price"))</f>
        <v>0</v>
      </c>
      <c r="V64" s="25"/>
    </row>
    <row r="65" spans="1:22">
      <c r="A65" s="30"/>
      <c r="B65" s="8">
        <f>IF(A65="","",A65-WEEKDAY(A65,2)+1)</f>
        <v>0</v>
      </c>
      <c r="C65" s="8">
        <f>IF(A65="","",TEXT(A65,"mmm yyyy"))</f>
        <v>0</v>
      </c>
      <c r="D65" s="27"/>
      <c r="E65" s="7"/>
      <c r="F65" s="8">
        <f>IF(E65="","",IFERROR(INDEX(Ingredients!$B$5:$B$304,MATCH(E65,Ingredients!$A$5:$A$304,0)),""))</f>
        <v>0</v>
      </c>
      <c r="G65" s="26"/>
      <c r="H65" s="27"/>
      <c r="I65" s="28"/>
      <c r="J65" s="8">
        <f>IF(OR(E65="",G65="",I65=""),"",G65*I65)</f>
        <v>0</v>
      </c>
      <c r="K65" s="8">
        <f>IF(OR(A65="",J65=""),"",SUMIFS($J$5:$J$404,$B$5:$B$404,B65))</f>
        <v>0</v>
      </c>
      <c r="L65" s="8">
        <f>IF(OR(J65="",K65="",K65=0),"",J65/K65)</f>
        <v>0</v>
      </c>
      <c r="M65" s="8">
        <f>IF(K65="","",K65-Weekly_Budget)</f>
        <v>0</v>
      </c>
      <c r="N65" s="8">
        <f>IF(K65="","",IF(K65&gt;Weekly_Budget,"Over budget",IF(K65&gt;Weekly_Budget*0.9,"Close","Within budget")))</f>
        <v>0</v>
      </c>
      <c r="O65" s="7"/>
      <c r="P65" s="27"/>
      <c r="Q65" s="27"/>
      <c r="R65" s="28"/>
      <c r="S65" s="8">
        <f>IF(J65="","",COUNTIFS($J$5:$J$404,"&gt;"&amp;J65)+1)</f>
        <v>0</v>
      </c>
      <c r="T65" s="8">
        <f>IF(OR(A65="",J65=""),"",SUMIFS($J$5:$J$404,$C$5:$C$404,C65,$A$5:$A$404,"&lt;="&amp;A65))</f>
        <v>0</v>
      </c>
      <c r="U65" s="8">
        <f>IF(E65="","",IF(Q65="Yes","On offer","Full price"))</f>
        <v>0</v>
      </c>
      <c r="V65" s="25"/>
    </row>
    <row r="66" spans="1:22">
      <c r="A66" s="30"/>
      <c r="B66" s="8">
        <f>IF(A66="","",A66-WEEKDAY(A66,2)+1)</f>
        <v>0</v>
      </c>
      <c r="C66" s="8">
        <f>IF(A66="","",TEXT(A66,"mmm yyyy"))</f>
        <v>0</v>
      </c>
      <c r="D66" s="27"/>
      <c r="E66" s="7"/>
      <c r="F66" s="8">
        <f>IF(E66="","",IFERROR(INDEX(Ingredients!$B$5:$B$304,MATCH(E66,Ingredients!$A$5:$A$304,0)),""))</f>
        <v>0</v>
      </c>
      <c r="G66" s="26"/>
      <c r="H66" s="27"/>
      <c r="I66" s="28"/>
      <c r="J66" s="8">
        <f>IF(OR(E66="",G66="",I66=""),"",G66*I66)</f>
        <v>0</v>
      </c>
      <c r="K66" s="8">
        <f>IF(OR(A66="",J66=""),"",SUMIFS($J$5:$J$404,$B$5:$B$404,B66))</f>
        <v>0</v>
      </c>
      <c r="L66" s="8">
        <f>IF(OR(J66="",K66="",K66=0),"",J66/K66)</f>
        <v>0</v>
      </c>
      <c r="M66" s="8">
        <f>IF(K66="","",K66-Weekly_Budget)</f>
        <v>0</v>
      </c>
      <c r="N66" s="8">
        <f>IF(K66="","",IF(K66&gt;Weekly_Budget,"Over budget",IF(K66&gt;Weekly_Budget*0.9,"Close","Within budget")))</f>
        <v>0</v>
      </c>
      <c r="O66" s="7"/>
      <c r="P66" s="27"/>
      <c r="Q66" s="27"/>
      <c r="R66" s="28"/>
      <c r="S66" s="8">
        <f>IF(J66="","",COUNTIFS($J$5:$J$404,"&gt;"&amp;J66)+1)</f>
        <v>0</v>
      </c>
      <c r="T66" s="8">
        <f>IF(OR(A66="",J66=""),"",SUMIFS($J$5:$J$404,$C$5:$C$404,C66,$A$5:$A$404,"&lt;="&amp;A66))</f>
        <v>0</v>
      </c>
      <c r="U66" s="8">
        <f>IF(E66="","",IF(Q66="Yes","On offer","Full price"))</f>
        <v>0</v>
      </c>
      <c r="V66" s="25"/>
    </row>
    <row r="67" spans="1:22">
      <c r="A67" s="30"/>
      <c r="B67" s="8">
        <f>IF(A67="","",A67-WEEKDAY(A67,2)+1)</f>
        <v>0</v>
      </c>
      <c r="C67" s="8">
        <f>IF(A67="","",TEXT(A67,"mmm yyyy"))</f>
        <v>0</v>
      </c>
      <c r="D67" s="27"/>
      <c r="E67" s="7"/>
      <c r="F67" s="8">
        <f>IF(E67="","",IFERROR(INDEX(Ingredients!$B$5:$B$304,MATCH(E67,Ingredients!$A$5:$A$304,0)),""))</f>
        <v>0</v>
      </c>
      <c r="G67" s="26"/>
      <c r="H67" s="27"/>
      <c r="I67" s="28"/>
      <c r="J67" s="8">
        <f>IF(OR(E67="",G67="",I67=""),"",G67*I67)</f>
        <v>0</v>
      </c>
      <c r="K67" s="8">
        <f>IF(OR(A67="",J67=""),"",SUMIFS($J$5:$J$404,$B$5:$B$404,B67))</f>
        <v>0</v>
      </c>
      <c r="L67" s="8">
        <f>IF(OR(J67="",K67="",K67=0),"",J67/K67)</f>
        <v>0</v>
      </c>
      <c r="M67" s="8">
        <f>IF(K67="","",K67-Weekly_Budget)</f>
        <v>0</v>
      </c>
      <c r="N67" s="8">
        <f>IF(K67="","",IF(K67&gt;Weekly_Budget,"Over budget",IF(K67&gt;Weekly_Budget*0.9,"Close","Within budget")))</f>
        <v>0</v>
      </c>
      <c r="O67" s="7"/>
      <c r="P67" s="27"/>
      <c r="Q67" s="27"/>
      <c r="R67" s="28"/>
      <c r="S67" s="8">
        <f>IF(J67="","",COUNTIFS($J$5:$J$404,"&gt;"&amp;J67)+1)</f>
        <v>0</v>
      </c>
      <c r="T67" s="8">
        <f>IF(OR(A67="",J67=""),"",SUMIFS($J$5:$J$404,$C$5:$C$404,C67,$A$5:$A$404,"&lt;="&amp;A67))</f>
        <v>0</v>
      </c>
      <c r="U67" s="8">
        <f>IF(E67="","",IF(Q67="Yes","On offer","Full price"))</f>
        <v>0</v>
      </c>
      <c r="V67" s="25"/>
    </row>
    <row r="68" spans="1:22">
      <c r="A68" s="30"/>
      <c r="B68" s="8">
        <f>IF(A68="","",A68-WEEKDAY(A68,2)+1)</f>
        <v>0</v>
      </c>
      <c r="C68" s="8">
        <f>IF(A68="","",TEXT(A68,"mmm yyyy"))</f>
        <v>0</v>
      </c>
      <c r="D68" s="27"/>
      <c r="E68" s="7"/>
      <c r="F68" s="8">
        <f>IF(E68="","",IFERROR(INDEX(Ingredients!$B$5:$B$304,MATCH(E68,Ingredients!$A$5:$A$304,0)),""))</f>
        <v>0</v>
      </c>
      <c r="G68" s="26"/>
      <c r="H68" s="27"/>
      <c r="I68" s="28"/>
      <c r="J68" s="8">
        <f>IF(OR(E68="",G68="",I68=""),"",G68*I68)</f>
        <v>0</v>
      </c>
      <c r="K68" s="8">
        <f>IF(OR(A68="",J68=""),"",SUMIFS($J$5:$J$404,$B$5:$B$404,B68))</f>
        <v>0</v>
      </c>
      <c r="L68" s="8">
        <f>IF(OR(J68="",K68="",K68=0),"",J68/K68)</f>
        <v>0</v>
      </c>
      <c r="M68" s="8">
        <f>IF(K68="","",K68-Weekly_Budget)</f>
        <v>0</v>
      </c>
      <c r="N68" s="8">
        <f>IF(K68="","",IF(K68&gt;Weekly_Budget,"Over budget",IF(K68&gt;Weekly_Budget*0.9,"Close","Within budget")))</f>
        <v>0</v>
      </c>
      <c r="O68" s="7"/>
      <c r="P68" s="27"/>
      <c r="Q68" s="27"/>
      <c r="R68" s="28"/>
      <c r="S68" s="8">
        <f>IF(J68="","",COUNTIFS($J$5:$J$404,"&gt;"&amp;J68)+1)</f>
        <v>0</v>
      </c>
      <c r="T68" s="8">
        <f>IF(OR(A68="",J68=""),"",SUMIFS($J$5:$J$404,$C$5:$C$404,C68,$A$5:$A$404,"&lt;="&amp;A68))</f>
        <v>0</v>
      </c>
      <c r="U68" s="8">
        <f>IF(E68="","",IF(Q68="Yes","On offer","Full price"))</f>
        <v>0</v>
      </c>
      <c r="V68" s="25"/>
    </row>
    <row r="69" spans="1:22">
      <c r="A69" s="30"/>
      <c r="B69" s="8">
        <f>IF(A69="","",A69-WEEKDAY(A69,2)+1)</f>
        <v>0</v>
      </c>
      <c r="C69" s="8">
        <f>IF(A69="","",TEXT(A69,"mmm yyyy"))</f>
        <v>0</v>
      </c>
      <c r="D69" s="27"/>
      <c r="E69" s="7"/>
      <c r="F69" s="8">
        <f>IF(E69="","",IFERROR(INDEX(Ingredients!$B$5:$B$304,MATCH(E69,Ingredients!$A$5:$A$304,0)),""))</f>
        <v>0</v>
      </c>
      <c r="G69" s="26"/>
      <c r="H69" s="27"/>
      <c r="I69" s="28"/>
      <c r="J69" s="8">
        <f>IF(OR(E69="",G69="",I69=""),"",G69*I69)</f>
        <v>0</v>
      </c>
      <c r="K69" s="8">
        <f>IF(OR(A69="",J69=""),"",SUMIFS($J$5:$J$404,$B$5:$B$404,B69))</f>
        <v>0</v>
      </c>
      <c r="L69" s="8">
        <f>IF(OR(J69="",K69="",K69=0),"",J69/K69)</f>
        <v>0</v>
      </c>
      <c r="M69" s="8">
        <f>IF(K69="","",K69-Weekly_Budget)</f>
        <v>0</v>
      </c>
      <c r="N69" s="8">
        <f>IF(K69="","",IF(K69&gt;Weekly_Budget,"Over budget",IF(K69&gt;Weekly_Budget*0.9,"Close","Within budget")))</f>
        <v>0</v>
      </c>
      <c r="O69" s="7"/>
      <c r="P69" s="27"/>
      <c r="Q69" s="27"/>
      <c r="R69" s="28"/>
      <c r="S69" s="8">
        <f>IF(J69="","",COUNTIFS($J$5:$J$404,"&gt;"&amp;J69)+1)</f>
        <v>0</v>
      </c>
      <c r="T69" s="8">
        <f>IF(OR(A69="",J69=""),"",SUMIFS($J$5:$J$404,$C$5:$C$404,C69,$A$5:$A$404,"&lt;="&amp;A69))</f>
        <v>0</v>
      </c>
      <c r="U69" s="8">
        <f>IF(E69="","",IF(Q69="Yes","On offer","Full price"))</f>
        <v>0</v>
      </c>
      <c r="V69" s="25"/>
    </row>
    <row r="70" spans="1:22">
      <c r="A70" s="30"/>
      <c r="B70" s="8">
        <f>IF(A70="","",A70-WEEKDAY(A70,2)+1)</f>
        <v>0</v>
      </c>
      <c r="C70" s="8">
        <f>IF(A70="","",TEXT(A70,"mmm yyyy"))</f>
        <v>0</v>
      </c>
      <c r="D70" s="27"/>
      <c r="E70" s="7"/>
      <c r="F70" s="8">
        <f>IF(E70="","",IFERROR(INDEX(Ingredients!$B$5:$B$304,MATCH(E70,Ingredients!$A$5:$A$304,0)),""))</f>
        <v>0</v>
      </c>
      <c r="G70" s="26"/>
      <c r="H70" s="27"/>
      <c r="I70" s="28"/>
      <c r="J70" s="8">
        <f>IF(OR(E70="",G70="",I70=""),"",G70*I70)</f>
        <v>0</v>
      </c>
      <c r="K70" s="8">
        <f>IF(OR(A70="",J70=""),"",SUMIFS($J$5:$J$404,$B$5:$B$404,B70))</f>
        <v>0</v>
      </c>
      <c r="L70" s="8">
        <f>IF(OR(J70="",K70="",K70=0),"",J70/K70)</f>
        <v>0</v>
      </c>
      <c r="M70" s="8">
        <f>IF(K70="","",K70-Weekly_Budget)</f>
        <v>0</v>
      </c>
      <c r="N70" s="8">
        <f>IF(K70="","",IF(K70&gt;Weekly_Budget,"Over budget",IF(K70&gt;Weekly_Budget*0.9,"Close","Within budget")))</f>
        <v>0</v>
      </c>
      <c r="O70" s="7"/>
      <c r="P70" s="27"/>
      <c r="Q70" s="27"/>
      <c r="R70" s="28"/>
      <c r="S70" s="8">
        <f>IF(J70="","",COUNTIFS($J$5:$J$404,"&gt;"&amp;J70)+1)</f>
        <v>0</v>
      </c>
      <c r="T70" s="8">
        <f>IF(OR(A70="",J70=""),"",SUMIFS($J$5:$J$404,$C$5:$C$404,C70,$A$5:$A$404,"&lt;="&amp;A70))</f>
        <v>0</v>
      </c>
      <c r="U70" s="8">
        <f>IF(E70="","",IF(Q70="Yes","On offer","Full price"))</f>
        <v>0</v>
      </c>
      <c r="V70" s="25"/>
    </row>
    <row r="71" spans="1:22">
      <c r="A71" s="30"/>
      <c r="B71" s="8">
        <f>IF(A71="","",A71-WEEKDAY(A71,2)+1)</f>
        <v>0</v>
      </c>
      <c r="C71" s="8">
        <f>IF(A71="","",TEXT(A71,"mmm yyyy"))</f>
        <v>0</v>
      </c>
      <c r="D71" s="27"/>
      <c r="E71" s="7"/>
      <c r="F71" s="8">
        <f>IF(E71="","",IFERROR(INDEX(Ingredients!$B$5:$B$304,MATCH(E71,Ingredients!$A$5:$A$304,0)),""))</f>
        <v>0</v>
      </c>
      <c r="G71" s="26"/>
      <c r="H71" s="27"/>
      <c r="I71" s="28"/>
      <c r="J71" s="8">
        <f>IF(OR(E71="",G71="",I71=""),"",G71*I71)</f>
        <v>0</v>
      </c>
      <c r="K71" s="8">
        <f>IF(OR(A71="",J71=""),"",SUMIFS($J$5:$J$404,$B$5:$B$404,B71))</f>
        <v>0</v>
      </c>
      <c r="L71" s="8">
        <f>IF(OR(J71="",K71="",K71=0),"",J71/K71)</f>
        <v>0</v>
      </c>
      <c r="M71" s="8">
        <f>IF(K71="","",K71-Weekly_Budget)</f>
        <v>0</v>
      </c>
      <c r="N71" s="8">
        <f>IF(K71="","",IF(K71&gt;Weekly_Budget,"Over budget",IF(K71&gt;Weekly_Budget*0.9,"Close","Within budget")))</f>
        <v>0</v>
      </c>
      <c r="O71" s="7"/>
      <c r="P71" s="27"/>
      <c r="Q71" s="27"/>
      <c r="R71" s="28"/>
      <c r="S71" s="8">
        <f>IF(J71="","",COUNTIFS($J$5:$J$404,"&gt;"&amp;J71)+1)</f>
        <v>0</v>
      </c>
      <c r="T71" s="8">
        <f>IF(OR(A71="",J71=""),"",SUMIFS($J$5:$J$404,$C$5:$C$404,C71,$A$5:$A$404,"&lt;="&amp;A71))</f>
        <v>0</v>
      </c>
      <c r="U71" s="8">
        <f>IF(E71="","",IF(Q71="Yes","On offer","Full price"))</f>
        <v>0</v>
      </c>
      <c r="V71" s="25"/>
    </row>
    <row r="72" spans="1:22">
      <c r="A72" s="30"/>
      <c r="B72" s="8">
        <f>IF(A72="","",A72-WEEKDAY(A72,2)+1)</f>
        <v>0</v>
      </c>
      <c r="C72" s="8">
        <f>IF(A72="","",TEXT(A72,"mmm yyyy"))</f>
        <v>0</v>
      </c>
      <c r="D72" s="27"/>
      <c r="E72" s="7"/>
      <c r="F72" s="8">
        <f>IF(E72="","",IFERROR(INDEX(Ingredients!$B$5:$B$304,MATCH(E72,Ingredients!$A$5:$A$304,0)),""))</f>
        <v>0</v>
      </c>
      <c r="G72" s="26"/>
      <c r="H72" s="27"/>
      <c r="I72" s="28"/>
      <c r="J72" s="8">
        <f>IF(OR(E72="",G72="",I72=""),"",G72*I72)</f>
        <v>0</v>
      </c>
      <c r="K72" s="8">
        <f>IF(OR(A72="",J72=""),"",SUMIFS($J$5:$J$404,$B$5:$B$404,B72))</f>
        <v>0</v>
      </c>
      <c r="L72" s="8">
        <f>IF(OR(J72="",K72="",K72=0),"",J72/K72)</f>
        <v>0</v>
      </c>
      <c r="M72" s="8">
        <f>IF(K72="","",K72-Weekly_Budget)</f>
        <v>0</v>
      </c>
      <c r="N72" s="8">
        <f>IF(K72="","",IF(K72&gt;Weekly_Budget,"Over budget",IF(K72&gt;Weekly_Budget*0.9,"Close","Within budget")))</f>
        <v>0</v>
      </c>
      <c r="O72" s="7"/>
      <c r="P72" s="27"/>
      <c r="Q72" s="27"/>
      <c r="R72" s="28"/>
      <c r="S72" s="8">
        <f>IF(J72="","",COUNTIFS($J$5:$J$404,"&gt;"&amp;J72)+1)</f>
        <v>0</v>
      </c>
      <c r="T72" s="8">
        <f>IF(OR(A72="",J72=""),"",SUMIFS($J$5:$J$404,$C$5:$C$404,C72,$A$5:$A$404,"&lt;="&amp;A72))</f>
        <v>0</v>
      </c>
      <c r="U72" s="8">
        <f>IF(E72="","",IF(Q72="Yes","On offer","Full price"))</f>
        <v>0</v>
      </c>
      <c r="V72" s="25"/>
    </row>
    <row r="73" spans="1:22">
      <c r="A73" s="30"/>
      <c r="B73" s="8">
        <f>IF(A73="","",A73-WEEKDAY(A73,2)+1)</f>
        <v>0</v>
      </c>
      <c r="C73" s="8">
        <f>IF(A73="","",TEXT(A73,"mmm yyyy"))</f>
        <v>0</v>
      </c>
      <c r="D73" s="27"/>
      <c r="E73" s="7"/>
      <c r="F73" s="8">
        <f>IF(E73="","",IFERROR(INDEX(Ingredients!$B$5:$B$304,MATCH(E73,Ingredients!$A$5:$A$304,0)),""))</f>
        <v>0</v>
      </c>
      <c r="G73" s="26"/>
      <c r="H73" s="27"/>
      <c r="I73" s="28"/>
      <c r="J73" s="8">
        <f>IF(OR(E73="",G73="",I73=""),"",G73*I73)</f>
        <v>0</v>
      </c>
      <c r="K73" s="8">
        <f>IF(OR(A73="",J73=""),"",SUMIFS($J$5:$J$404,$B$5:$B$404,B73))</f>
        <v>0</v>
      </c>
      <c r="L73" s="8">
        <f>IF(OR(J73="",K73="",K73=0),"",J73/K73)</f>
        <v>0</v>
      </c>
      <c r="M73" s="8">
        <f>IF(K73="","",K73-Weekly_Budget)</f>
        <v>0</v>
      </c>
      <c r="N73" s="8">
        <f>IF(K73="","",IF(K73&gt;Weekly_Budget,"Over budget",IF(K73&gt;Weekly_Budget*0.9,"Close","Within budget")))</f>
        <v>0</v>
      </c>
      <c r="O73" s="7"/>
      <c r="P73" s="27"/>
      <c r="Q73" s="27"/>
      <c r="R73" s="28"/>
      <c r="S73" s="8">
        <f>IF(J73="","",COUNTIFS($J$5:$J$404,"&gt;"&amp;J73)+1)</f>
        <v>0</v>
      </c>
      <c r="T73" s="8">
        <f>IF(OR(A73="",J73=""),"",SUMIFS($J$5:$J$404,$C$5:$C$404,C73,$A$5:$A$404,"&lt;="&amp;A73))</f>
        <v>0</v>
      </c>
      <c r="U73" s="8">
        <f>IF(E73="","",IF(Q73="Yes","On offer","Full price"))</f>
        <v>0</v>
      </c>
      <c r="V73" s="25"/>
    </row>
    <row r="74" spans="1:22">
      <c r="A74" s="30"/>
      <c r="B74" s="8">
        <f>IF(A74="","",A74-WEEKDAY(A74,2)+1)</f>
        <v>0</v>
      </c>
      <c r="C74" s="8">
        <f>IF(A74="","",TEXT(A74,"mmm yyyy"))</f>
        <v>0</v>
      </c>
      <c r="D74" s="27"/>
      <c r="E74" s="7"/>
      <c r="F74" s="8">
        <f>IF(E74="","",IFERROR(INDEX(Ingredients!$B$5:$B$304,MATCH(E74,Ingredients!$A$5:$A$304,0)),""))</f>
        <v>0</v>
      </c>
      <c r="G74" s="26"/>
      <c r="H74" s="27"/>
      <c r="I74" s="28"/>
      <c r="J74" s="8">
        <f>IF(OR(E74="",G74="",I74=""),"",G74*I74)</f>
        <v>0</v>
      </c>
      <c r="K74" s="8">
        <f>IF(OR(A74="",J74=""),"",SUMIFS($J$5:$J$404,$B$5:$B$404,B74))</f>
        <v>0</v>
      </c>
      <c r="L74" s="8">
        <f>IF(OR(J74="",K74="",K74=0),"",J74/K74)</f>
        <v>0</v>
      </c>
      <c r="M74" s="8">
        <f>IF(K74="","",K74-Weekly_Budget)</f>
        <v>0</v>
      </c>
      <c r="N74" s="8">
        <f>IF(K74="","",IF(K74&gt;Weekly_Budget,"Over budget",IF(K74&gt;Weekly_Budget*0.9,"Close","Within budget")))</f>
        <v>0</v>
      </c>
      <c r="O74" s="7"/>
      <c r="P74" s="27"/>
      <c r="Q74" s="27"/>
      <c r="R74" s="28"/>
      <c r="S74" s="8">
        <f>IF(J74="","",COUNTIFS($J$5:$J$404,"&gt;"&amp;J74)+1)</f>
        <v>0</v>
      </c>
      <c r="T74" s="8">
        <f>IF(OR(A74="",J74=""),"",SUMIFS($J$5:$J$404,$C$5:$C$404,C74,$A$5:$A$404,"&lt;="&amp;A74))</f>
        <v>0</v>
      </c>
      <c r="U74" s="8">
        <f>IF(E74="","",IF(Q74="Yes","On offer","Full price"))</f>
        <v>0</v>
      </c>
      <c r="V74" s="25"/>
    </row>
    <row r="75" spans="1:22">
      <c r="A75" s="30"/>
      <c r="B75" s="8">
        <f>IF(A75="","",A75-WEEKDAY(A75,2)+1)</f>
        <v>0</v>
      </c>
      <c r="C75" s="8">
        <f>IF(A75="","",TEXT(A75,"mmm yyyy"))</f>
        <v>0</v>
      </c>
      <c r="D75" s="27"/>
      <c r="E75" s="7"/>
      <c r="F75" s="8">
        <f>IF(E75="","",IFERROR(INDEX(Ingredients!$B$5:$B$304,MATCH(E75,Ingredients!$A$5:$A$304,0)),""))</f>
        <v>0</v>
      </c>
      <c r="G75" s="26"/>
      <c r="H75" s="27"/>
      <c r="I75" s="28"/>
      <c r="J75" s="8">
        <f>IF(OR(E75="",G75="",I75=""),"",G75*I75)</f>
        <v>0</v>
      </c>
      <c r="K75" s="8">
        <f>IF(OR(A75="",J75=""),"",SUMIFS($J$5:$J$404,$B$5:$B$404,B75))</f>
        <v>0</v>
      </c>
      <c r="L75" s="8">
        <f>IF(OR(J75="",K75="",K75=0),"",J75/K75)</f>
        <v>0</v>
      </c>
      <c r="M75" s="8">
        <f>IF(K75="","",K75-Weekly_Budget)</f>
        <v>0</v>
      </c>
      <c r="N75" s="8">
        <f>IF(K75="","",IF(K75&gt;Weekly_Budget,"Over budget",IF(K75&gt;Weekly_Budget*0.9,"Close","Within budget")))</f>
        <v>0</v>
      </c>
      <c r="O75" s="7"/>
      <c r="P75" s="27"/>
      <c r="Q75" s="27"/>
      <c r="R75" s="28"/>
      <c r="S75" s="8">
        <f>IF(J75="","",COUNTIFS($J$5:$J$404,"&gt;"&amp;J75)+1)</f>
        <v>0</v>
      </c>
      <c r="T75" s="8">
        <f>IF(OR(A75="",J75=""),"",SUMIFS($J$5:$J$404,$C$5:$C$404,C75,$A$5:$A$404,"&lt;="&amp;A75))</f>
        <v>0</v>
      </c>
      <c r="U75" s="8">
        <f>IF(E75="","",IF(Q75="Yes","On offer","Full price"))</f>
        <v>0</v>
      </c>
      <c r="V75" s="25"/>
    </row>
    <row r="76" spans="1:22">
      <c r="A76" s="30"/>
      <c r="B76" s="8">
        <f>IF(A76="","",A76-WEEKDAY(A76,2)+1)</f>
        <v>0</v>
      </c>
      <c r="C76" s="8">
        <f>IF(A76="","",TEXT(A76,"mmm yyyy"))</f>
        <v>0</v>
      </c>
      <c r="D76" s="27"/>
      <c r="E76" s="7"/>
      <c r="F76" s="8">
        <f>IF(E76="","",IFERROR(INDEX(Ingredients!$B$5:$B$304,MATCH(E76,Ingredients!$A$5:$A$304,0)),""))</f>
        <v>0</v>
      </c>
      <c r="G76" s="26"/>
      <c r="H76" s="27"/>
      <c r="I76" s="28"/>
      <c r="J76" s="8">
        <f>IF(OR(E76="",G76="",I76=""),"",G76*I76)</f>
        <v>0</v>
      </c>
      <c r="K76" s="8">
        <f>IF(OR(A76="",J76=""),"",SUMIFS($J$5:$J$404,$B$5:$B$404,B76))</f>
        <v>0</v>
      </c>
      <c r="L76" s="8">
        <f>IF(OR(J76="",K76="",K76=0),"",J76/K76)</f>
        <v>0</v>
      </c>
      <c r="M76" s="8">
        <f>IF(K76="","",K76-Weekly_Budget)</f>
        <v>0</v>
      </c>
      <c r="N76" s="8">
        <f>IF(K76="","",IF(K76&gt;Weekly_Budget,"Over budget",IF(K76&gt;Weekly_Budget*0.9,"Close","Within budget")))</f>
        <v>0</v>
      </c>
      <c r="O76" s="7"/>
      <c r="P76" s="27"/>
      <c r="Q76" s="27"/>
      <c r="R76" s="28"/>
      <c r="S76" s="8">
        <f>IF(J76="","",COUNTIFS($J$5:$J$404,"&gt;"&amp;J76)+1)</f>
        <v>0</v>
      </c>
      <c r="T76" s="8">
        <f>IF(OR(A76="",J76=""),"",SUMIFS($J$5:$J$404,$C$5:$C$404,C76,$A$5:$A$404,"&lt;="&amp;A76))</f>
        <v>0</v>
      </c>
      <c r="U76" s="8">
        <f>IF(E76="","",IF(Q76="Yes","On offer","Full price"))</f>
        <v>0</v>
      </c>
      <c r="V76" s="25"/>
    </row>
    <row r="77" spans="1:22">
      <c r="A77" s="30"/>
      <c r="B77" s="8">
        <f>IF(A77="","",A77-WEEKDAY(A77,2)+1)</f>
        <v>0</v>
      </c>
      <c r="C77" s="8">
        <f>IF(A77="","",TEXT(A77,"mmm yyyy"))</f>
        <v>0</v>
      </c>
      <c r="D77" s="27"/>
      <c r="E77" s="7"/>
      <c r="F77" s="8">
        <f>IF(E77="","",IFERROR(INDEX(Ingredients!$B$5:$B$304,MATCH(E77,Ingredients!$A$5:$A$304,0)),""))</f>
        <v>0</v>
      </c>
      <c r="G77" s="26"/>
      <c r="H77" s="27"/>
      <c r="I77" s="28"/>
      <c r="J77" s="8">
        <f>IF(OR(E77="",G77="",I77=""),"",G77*I77)</f>
        <v>0</v>
      </c>
      <c r="K77" s="8">
        <f>IF(OR(A77="",J77=""),"",SUMIFS($J$5:$J$404,$B$5:$B$404,B77))</f>
        <v>0</v>
      </c>
      <c r="L77" s="8">
        <f>IF(OR(J77="",K77="",K77=0),"",J77/K77)</f>
        <v>0</v>
      </c>
      <c r="M77" s="8">
        <f>IF(K77="","",K77-Weekly_Budget)</f>
        <v>0</v>
      </c>
      <c r="N77" s="8">
        <f>IF(K77="","",IF(K77&gt;Weekly_Budget,"Over budget",IF(K77&gt;Weekly_Budget*0.9,"Close","Within budget")))</f>
        <v>0</v>
      </c>
      <c r="O77" s="7"/>
      <c r="P77" s="27"/>
      <c r="Q77" s="27"/>
      <c r="R77" s="28"/>
      <c r="S77" s="8">
        <f>IF(J77="","",COUNTIFS($J$5:$J$404,"&gt;"&amp;J77)+1)</f>
        <v>0</v>
      </c>
      <c r="T77" s="8">
        <f>IF(OR(A77="",J77=""),"",SUMIFS($J$5:$J$404,$C$5:$C$404,C77,$A$5:$A$404,"&lt;="&amp;A77))</f>
        <v>0</v>
      </c>
      <c r="U77" s="8">
        <f>IF(E77="","",IF(Q77="Yes","On offer","Full price"))</f>
        <v>0</v>
      </c>
      <c r="V77" s="25"/>
    </row>
    <row r="78" spans="1:22">
      <c r="A78" s="30"/>
      <c r="B78" s="8">
        <f>IF(A78="","",A78-WEEKDAY(A78,2)+1)</f>
        <v>0</v>
      </c>
      <c r="C78" s="8">
        <f>IF(A78="","",TEXT(A78,"mmm yyyy"))</f>
        <v>0</v>
      </c>
      <c r="D78" s="27"/>
      <c r="E78" s="7"/>
      <c r="F78" s="8">
        <f>IF(E78="","",IFERROR(INDEX(Ingredients!$B$5:$B$304,MATCH(E78,Ingredients!$A$5:$A$304,0)),""))</f>
        <v>0</v>
      </c>
      <c r="G78" s="26"/>
      <c r="H78" s="27"/>
      <c r="I78" s="28"/>
      <c r="J78" s="8">
        <f>IF(OR(E78="",G78="",I78=""),"",G78*I78)</f>
        <v>0</v>
      </c>
      <c r="K78" s="8">
        <f>IF(OR(A78="",J78=""),"",SUMIFS($J$5:$J$404,$B$5:$B$404,B78))</f>
        <v>0</v>
      </c>
      <c r="L78" s="8">
        <f>IF(OR(J78="",K78="",K78=0),"",J78/K78)</f>
        <v>0</v>
      </c>
      <c r="M78" s="8">
        <f>IF(K78="","",K78-Weekly_Budget)</f>
        <v>0</v>
      </c>
      <c r="N78" s="8">
        <f>IF(K78="","",IF(K78&gt;Weekly_Budget,"Over budget",IF(K78&gt;Weekly_Budget*0.9,"Close","Within budget")))</f>
        <v>0</v>
      </c>
      <c r="O78" s="7"/>
      <c r="P78" s="27"/>
      <c r="Q78" s="27"/>
      <c r="R78" s="28"/>
      <c r="S78" s="8">
        <f>IF(J78="","",COUNTIFS($J$5:$J$404,"&gt;"&amp;J78)+1)</f>
        <v>0</v>
      </c>
      <c r="T78" s="8">
        <f>IF(OR(A78="",J78=""),"",SUMIFS($J$5:$J$404,$C$5:$C$404,C78,$A$5:$A$404,"&lt;="&amp;A78))</f>
        <v>0</v>
      </c>
      <c r="U78" s="8">
        <f>IF(E78="","",IF(Q78="Yes","On offer","Full price"))</f>
        <v>0</v>
      </c>
      <c r="V78" s="25"/>
    </row>
    <row r="79" spans="1:22">
      <c r="A79" s="30"/>
      <c r="B79" s="8">
        <f>IF(A79="","",A79-WEEKDAY(A79,2)+1)</f>
        <v>0</v>
      </c>
      <c r="C79" s="8">
        <f>IF(A79="","",TEXT(A79,"mmm yyyy"))</f>
        <v>0</v>
      </c>
      <c r="D79" s="27"/>
      <c r="E79" s="7"/>
      <c r="F79" s="8">
        <f>IF(E79="","",IFERROR(INDEX(Ingredients!$B$5:$B$304,MATCH(E79,Ingredients!$A$5:$A$304,0)),""))</f>
        <v>0</v>
      </c>
      <c r="G79" s="26"/>
      <c r="H79" s="27"/>
      <c r="I79" s="28"/>
      <c r="J79" s="8">
        <f>IF(OR(E79="",G79="",I79=""),"",G79*I79)</f>
        <v>0</v>
      </c>
      <c r="K79" s="8">
        <f>IF(OR(A79="",J79=""),"",SUMIFS($J$5:$J$404,$B$5:$B$404,B79))</f>
        <v>0</v>
      </c>
      <c r="L79" s="8">
        <f>IF(OR(J79="",K79="",K79=0),"",J79/K79)</f>
        <v>0</v>
      </c>
      <c r="M79" s="8">
        <f>IF(K79="","",K79-Weekly_Budget)</f>
        <v>0</v>
      </c>
      <c r="N79" s="8">
        <f>IF(K79="","",IF(K79&gt;Weekly_Budget,"Over budget",IF(K79&gt;Weekly_Budget*0.9,"Close","Within budget")))</f>
        <v>0</v>
      </c>
      <c r="O79" s="7"/>
      <c r="P79" s="27"/>
      <c r="Q79" s="27"/>
      <c r="R79" s="28"/>
      <c r="S79" s="8">
        <f>IF(J79="","",COUNTIFS($J$5:$J$404,"&gt;"&amp;J79)+1)</f>
        <v>0</v>
      </c>
      <c r="T79" s="8">
        <f>IF(OR(A79="",J79=""),"",SUMIFS($J$5:$J$404,$C$5:$C$404,C79,$A$5:$A$404,"&lt;="&amp;A79))</f>
        <v>0</v>
      </c>
      <c r="U79" s="8">
        <f>IF(E79="","",IF(Q79="Yes","On offer","Full price"))</f>
        <v>0</v>
      </c>
      <c r="V79" s="25"/>
    </row>
    <row r="80" spans="1:22">
      <c r="A80" s="30"/>
      <c r="B80" s="8">
        <f>IF(A80="","",A80-WEEKDAY(A80,2)+1)</f>
        <v>0</v>
      </c>
      <c r="C80" s="8">
        <f>IF(A80="","",TEXT(A80,"mmm yyyy"))</f>
        <v>0</v>
      </c>
      <c r="D80" s="27"/>
      <c r="E80" s="7"/>
      <c r="F80" s="8">
        <f>IF(E80="","",IFERROR(INDEX(Ingredients!$B$5:$B$304,MATCH(E80,Ingredients!$A$5:$A$304,0)),""))</f>
        <v>0</v>
      </c>
      <c r="G80" s="26"/>
      <c r="H80" s="27"/>
      <c r="I80" s="28"/>
      <c r="J80" s="8">
        <f>IF(OR(E80="",G80="",I80=""),"",G80*I80)</f>
        <v>0</v>
      </c>
      <c r="K80" s="8">
        <f>IF(OR(A80="",J80=""),"",SUMIFS($J$5:$J$404,$B$5:$B$404,B80))</f>
        <v>0</v>
      </c>
      <c r="L80" s="8">
        <f>IF(OR(J80="",K80="",K80=0),"",J80/K80)</f>
        <v>0</v>
      </c>
      <c r="M80" s="8">
        <f>IF(K80="","",K80-Weekly_Budget)</f>
        <v>0</v>
      </c>
      <c r="N80" s="8">
        <f>IF(K80="","",IF(K80&gt;Weekly_Budget,"Over budget",IF(K80&gt;Weekly_Budget*0.9,"Close","Within budget")))</f>
        <v>0</v>
      </c>
      <c r="O80" s="7"/>
      <c r="P80" s="27"/>
      <c r="Q80" s="27"/>
      <c r="R80" s="28"/>
      <c r="S80" s="8">
        <f>IF(J80="","",COUNTIFS($J$5:$J$404,"&gt;"&amp;J80)+1)</f>
        <v>0</v>
      </c>
      <c r="T80" s="8">
        <f>IF(OR(A80="",J80=""),"",SUMIFS($J$5:$J$404,$C$5:$C$404,C80,$A$5:$A$404,"&lt;="&amp;A80))</f>
        <v>0</v>
      </c>
      <c r="U80" s="8">
        <f>IF(E80="","",IF(Q80="Yes","On offer","Full price"))</f>
        <v>0</v>
      </c>
      <c r="V80" s="25"/>
    </row>
    <row r="81" spans="1:22">
      <c r="A81" s="30"/>
      <c r="B81" s="8">
        <f>IF(A81="","",A81-WEEKDAY(A81,2)+1)</f>
        <v>0</v>
      </c>
      <c r="C81" s="8">
        <f>IF(A81="","",TEXT(A81,"mmm yyyy"))</f>
        <v>0</v>
      </c>
      <c r="D81" s="27"/>
      <c r="E81" s="7"/>
      <c r="F81" s="8">
        <f>IF(E81="","",IFERROR(INDEX(Ingredients!$B$5:$B$304,MATCH(E81,Ingredients!$A$5:$A$304,0)),""))</f>
        <v>0</v>
      </c>
      <c r="G81" s="26"/>
      <c r="H81" s="27"/>
      <c r="I81" s="28"/>
      <c r="J81" s="8">
        <f>IF(OR(E81="",G81="",I81=""),"",G81*I81)</f>
        <v>0</v>
      </c>
      <c r="K81" s="8">
        <f>IF(OR(A81="",J81=""),"",SUMIFS($J$5:$J$404,$B$5:$B$404,B81))</f>
        <v>0</v>
      </c>
      <c r="L81" s="8">
        <f>IF(OR(J81="",K81="",K81=0),"",J81/K81)</f>
        <v>0</v>
      </c>
      <c r="M81" s="8">
        <f>IF(K81="","",K81-Weekly_Budget)</f>
        <v>0</v>
      </c>
      <c r="N81" s="8">
        <f>IF(K81="","",IF(K81&gt;Weekly_Budget,"Over budget",IF(K81&gt;Weekly_Budget*0.9,"Close","Within budget")))</f>
        <v>0</v>
      </c>
      <c r="O81" s="7"/>
      <c r="P81" s="27"/>
      <c r="Q81" s="27"/>
      <c r="R81" s="28"/>
      <c r="S81" s="8">
        <f>IF(J81="","",COUNTIFS($J$5:$J$404,"&gt;"&amp;J81)+1)</f>
        <v>0</v>
      </c>
      <c r="T81" s="8">
        <f>IF(OR(A81="",J81=""),"",SUMIFS($J$5:$J$404,$C$5:$C$404,C81,$A$5:$A$404,"&lt;="&amp;A81))</f>
        <v>0</v>
      </c>
      <c r="U81" s="8">
        <f>IF(E81="","",IF(Q81="Yes","On offer","Full price"))</f>
        <v>0</v>
      </c>
      <c r="V81" s="25"/>
    </row>
    <row r="82" spans="1:22">
      <c r="A82" s="30"/>
      <c r="B82" s="8">
        <f>IF(A82="","",A82-WEEKDAY(A82,2)+1)</f>
        <v>0</v>
      </c>
      <c r="C82" s="8">
        <f>IF(A82="","",TEXT(A82,"mmm yyyy"))</f>
        <v>0</v>
      </c>
      <c r="D82" s="27"/>
      <c r="E82" s="7"/>
      <c r="F82" s="8">
        <f>IF(E82="","",IFERROR(INDEX(Ingredients!$B$5:$B$304,MATCH(E82,Ingredients!$A$5:$A$304,0)),""))</f>
        <v>0</v>
      </c>
      <c r="G82" s="26"/>
      <c r="H82" s="27"/>
      <c r="I82" s="28"/>
      <c r="J82" s="8">
        <f>IF(OR(E82="",G82="",I82=""),"",G82*I82)</f>
        <v>0</v>
      </c>
      <c r="K82" s="8">
        <f>IF(OR(A82="",J82=""),"",SUMIFS($J$5:$J$404,$B$5:$B$404,B82))</f>
        <v>0</v>
      </c>
      <c r="L82" s="8">
        <f>IF(OR(J82="",K82="",K82=0),"",J82/K82)</f>
        <v>0</v>
      </c>
      <c r="M82" s="8">
        <f>IF(K82="","",K82-Weekly_Budget)</f>
        <v>0</v>
      </c>
      <c r="N82" s="8">
        <f>IF(K82="","",IF(K82&gt;Weekly_Budget,"Over budget",IF(K82&gt;Weekly_Budget*0.9,"Close","Within budget")))</f>
        <v>0</v>
      </c>
      <c r="O82" s="7"/>
      <c r="P82" s="27"/>
      <c r="Q82" s="27"/>
      <c r="R82" s="28"/>
      <c r="S82" s="8">
        <f>IF(J82="","",COUNTIFS($J$5:$J$404,"&gt;"&amp;J82)+1)</f>
        <v>0</v>
      </c>
      <c r="T82" s="8">
        <f>IF(OR(A82="",J82=""),"",SUMIFS($J$5:$J$404,$C$5:$C$404,C82,$A$5:$A$404,"&lt;="&amp;A82))</f>
        <v>0</v>
      </c>
      <c r="U82" s="8">
        <f>IF(E82="","",IF(Q82="Yes","On offer","Full price"))</f>
        <v>0</v>
      </c>
      <c r="V82" s="25"/>
    </row>
    <row r="83" spans="1:22">
      <c r="A83" s="30"/>
      <c r="B83" s="8">
        <f>IF(A83="","",A83-WEEKDAY(A83,2)+1)</f>
        <v>0</v>
      </c>
      <c r="C83" s="8">
        <f>IF(A83="","",TEXT(A83,"mmm yyyy"))</f>
        <v>0</v>
      </c>
      <c r="D83" s="27"/>
      <c r="E83" s="7"/>
      <c r="F83" s="8">
        <f>IF(E83="","",IFERROR(INDEX(Ingredients!$B$5:$B$304,MATCH(E83,Ingredients!$A$5:$A$304,0)),""))</f>
        <v>0</v>
      </c>
      <c r="G83" s="26"/>
      <c r="H83" s="27"/>
      <c r="I83" s="28"/>
      <c r="J83" s="8">
        <f>IF(OR(E83="",G83="",I83=""),"",G83*I83)</f>
        <v>0</v>
      </c>
      <c r="K83" s="8">
        <f>IF(OR(A83="",J83=""),"",SUMIFS($J$5:$J$404,$B$5:$B$404,B83))</f>
        <v>0</v>
      </c>
      <c r="L83" s="8">
        <f>IF(OR(J83="",K83="",K83=0),"",J83/K83)</f>
        <v>0</v>
      </c>
      <c r="M83" s="8">
        <f>IF(K83="","",K83-Weekly_Budget)</f>
        <v>0</v>
      </c>
      <c r="N83" s="8">
        <f>IF(K83="","",IF(K83&gt;Weekly_Budget,"Over budget",IF(K83&gt;Weekly_Budget*0.9,"Close","Within budget")))</f>
        <v>0</v>
      </c>
      <c r="O83" s="7"/>
      <c r="P83" s="27"/>
      <c r="Q83" s="27"/>
      <c r="R83" s="28"/>
      <c r="S83" s="8">
        <f>IF(J83="","",COUNTIFS($J$5:$J$404,"&gt;"&amp;J83)+1)</f>
        <v>0</v>
      </c>
      <c r="T83" s="8">
        <f>IF(OR(A83="",J83=""),"",SUMIFS($J$5:$J$404,$C$5:$C$404,C83,$A$5:$A$404,"&lt;="&amp;A83))</f>
        <v>0</v>
      </c>
      <c r="U83" s="8">
        <f>IF(E83="","",IF(Q83="Yes","On offer","Full price"))</f>
        <v>0</v>
      </c>
      <c r="V83" s="25"/>
    </row>
    <row r="84" spans="1:22">
      <c r="A84" s="30"/>
      <c r="B84" s="8">
        <f>IF(A84="","",A84-WEEKDAY(A84,2)+1)</f>
        <v>0</v>
      </c>
      <c r="C84" s="8">
        <f>IF(A84="","",TEXT(A84,"mmm yyyy"))</f>
        <v>0</v>
      </c>
      <c r="D84" s="27"/>
      <c r="E84" s="7"/>
      <c r="F84" s="8">
        <f>IF(E84="","",IFERROR(INDEX(Ingredients!$B$5:$B$304,MATCH(E84,Ingredients!$A$5:$A$304,0)),""))</f>
        <v>0</v>
      </c>
      <c r="G84" s="26"/>
      <c r="H84" s="27"/>
      <c r="I84" s="28"/>
      <c r="J84" s="8">
        <f>IF(OR(E84="",G84="",I84=""),"",G84*I84)</f>
        <v>0</v>
      </c>
      <c r="K84" s="8">
        <f>IF(OR(A84="",J84=""),"",SUMIFS($J$5:$J$404,$B$5:$B$404,B84))</f>
        <v>0</v>
      </c>
      <c r="L84" s="8">
        <f>IF(OR(J84="",K84="",K84=0),"",J84/K84)</f>
        <v>0</v>
      </c>
      <c r="M84" s="8">
        <f>IF(K84="","",K84-Weekly_Budget)</f>
        <v>0</v>
      </c>
      <c r="N84" s="8">
        <f>IF(K84="","",IF(K84&gt;Weekly_Budget,"Over budget",IF(K84&gt;Weekly_Budget*0.9,"Close","Within budget")))</f>
        <v>0</v>
      </c>
      <c r="O84" s="7"/>
      <c r="P84" s="27"/>
      <c r="Q84" s="27"/>
      <c r="R84" s="28"/>
      <c r="S84" s="8">
        <f>IF(J84="","",COUNTIFS($J$5:$J$404,"&gt;"&amp;J84)+1)</f>
        <v>0</v>
      </c>
      <c r="T84" s="8">
        <f>IF(OR(A84="",J84=""),"",SUMIFS($J$5:$J$404,$C$5:$C$404,C84,$A$5:$A$404,"&lt;="&amp;A84))</f>
        <v>0</v>
      </c>
      <c r="U84" s="8">
        <f>IF(E84="","",IF(Q84="Yes","On offer","Full price"))</f>
        <v>0</v>
      </c>
      <c r="V84" s="25"/>
    </row>
    <row r="85" spans="1:22">
      <c r="A85" s="30"/>
      <c r="B85" s="8">
        <f>IF(A85="","",A85-WEEKDAY(A85,2)+1)</f>
        <v>0</v>
      </c>
      <c r="C85" s="8">
        <f>IF(A85="","",TEXT(A85,"mmm yyyy"))</f>
        <v>0</v>
      </c>
      <c r="D85" s="27"/>
      <c r="E85" s="7"/>
      <c r="F85" s="8">
        <f>IF(E85="","",IFERROR(INDEX(Ingredients!$B$5:$B$304,MATCH(E85,Ingredients!$A$5:$A$304,0)),""))</f>
        <v>0</v>
      </c>
      <c r="G85" s="26"/>
      <c r="H85" s="27"/>
      <c r="I85" s="28"/>
      <c r="J85" s="8">
        <f>IF(OR(E85="",G85="",I85=""),"",G85*I85)</f>
        <v>0</v>
      </c>
      <c r="K85" s="8">
        <f>IF(OR(A85="",J85=""),"",SUMIFS($J$5:$J$404,$B$5:$B$404,B85))</f>
        <v>0</v>
      </c>
      <c r="L85" s="8">
        <f>IF(OR(J85="",K85="",K85=0),"",J85/K85)</f>
        <v>0</v>
      </c>
      <c r="M85" s="8">
        <f>IF(K85="","",K85-Weekly_Budget)</f>
        <v>0</v>
      </c>
      <c r="N85" s="8">
        <f>IF(K85="","",IF(K85&gt;Weekly_Budget,"Over budget",IF(K85&gt;Weekly_Budget*0.9,"Close","Within budget")))</f>
        <v>0</v>
      </c>
      <c r="O85" s="7"/>
      <c r="P85" s="27"/>
      <c r="Q85" s="27"/>
      <c r="R85" s="28"/>
      <c r="S85" s="8">
        <f>IF(J85="","",COUNTIFS($J$5:$J$404,"&gt;"&amp;J85)+1)</f>
        <v>0</v>
      </c>
      <c r="T85" s="8">
        <f>IF(OR(A85="",J85=""),"",SUMIFS($J$5:$J$404,$C$5:$C$404,C85,$A$5:$A$404,"&lt;="&amp;A85))</f>
        <v>0</v>
      </c>
      <c r="U85" s="8">
        <f>IF(E85="","",IF(Q85="Yes","On offer","Full price"))</f>
        <v>0</v>
      </c>
      <c r="V85" s="25"/>
    </row>
    <row r="86" spans="1:22">
      <c r="A86" s="30"/>
      <c r="B86" s="8">
        <f>IF(A86="","",A86-WEEKDAY(A86,2)+1)</f>
        <v>0</v>
      </c>
      <c r="C86" s="8">
        <f>IF(A86="","",TEXT(A86,"mmm yyyy"))</f>
        <v>0</v>
      </c>
      <c r="D86" s="27"/>
      <c r="E86" s="7"/>
      <c r="F86" s="8">
        <f>IF(E86="","",IFERROR(INDEX(Ingredients!$B$5:$B$304,MATCH(E86,Ingredients!$A$5:$A$304,0)),""))</f>
        <v>0</v>
      </c>
      <c r="G86" s="26"/>
      <c r="H86" s="27"/>
      <c r="I86" s="28"/>
      <c r="J86" s="8">
        <f>IF(OR(E86="",G86="",I86=""),"",G86*I86)</f>
        <v>0</v>
      </c>
      <c r="K86" s="8">
        <f>IF(OR(A86="",J86=""),"",SUMIFS($J$5:$J$404,$B$5:$B$404,B86))</f>
        <v>0</v>
      </c>
      <c r="L86" s="8">
        <f>IF(OR(J86="",K86="",K86=0),"",J86/K86)</f>
        <v>0</v>
      </c>
      <c r="M86" s="8">
        <f>IF(K86="","",K86-Weekly_Budget)</f>
        <v>0</v>
      </c>
      <c r="N86" s="8">
        <f>IF(K86="","",IF(K86&gt;Weekly_Budget,"Over budget",IF(K86&gt;Weekly_Budget*0.9,"Close","Within budget")))</f>
        <v>0</v>
      </c>
      <c r="O86" s="7"/>
      <c r="P86" s="27"/>
      <c r="Q86" s="27"/>
      <c r="R86" s="28"/>
      <c r="S86" s="8">
        <f>IF(J86="","",COUNTIFS($J$5:$J$404,"&gt;"&amp;J86)+1)</f>
        <v>0</v>
      </c>
      <c r="T86" s="8">
        <f>IF(OR(A86="",J86=""),"",SUMIFS($J$5:$J$404,$C$5:$C$404,C86,$A$5:$A$404,"&lt;="&amp;A86))</f>
        <v>0</v>
      </c>
      <c r="U86" s="8">
        <f>IF(E86="","",IF(Q86="Yes","On offer","Full price"))</f>
        <v>0</v>
      </c>
      <c r="V86" s="25"/>
    </row>
    <row r="87" spans="1:22">
      <c r="A87" s="30"/>
      <c r="B87" s="8">
        <f>IF(A87="","",A87-WEEKDAY(A87,2)+1)</f>
        <v>0</v>
      </c>
      <c r="C87" s="8">
        <f>IF(A87="","",TEXT(A87,"mmm yyyy"))</f>
        <v>0</v>
      </c>
      <c r="D87" s="27"/>
      <c r="E87" s="7"/>
      <c r="F87" s="8">
        <f>IF(E87="","",IFERROR(INDEX(Ingredients!$B$5:$B$304,MATCH(E87,Ingredients!$A$5:$A$304,0)),""))</f>
        <v>0</v>
      </c>
      <c r="G87" s="26"/>
      <c r="H87" s="27"/>
      <c r="I87" s="28"/>
      <c r="J87" s="8">
        <f>IF(OR(E87="",G87="",I87=""),"",G87*I87)</f>
        <v>0</v>
      </c>
      <c r="K87" s="8">
        <f>IF(OR(A87="",J87=""),"",SUMIFS($J$5:$J$404,$B$5:$B$404,B87))</f>
        <v>0</v>
      </c>
      <c r="L87" s="8">
        <f>IF(OR(J87="",K87="",K87=0),"",J87/K87)</f>
        <v>0</v>
      </c>
      <c r="M87" s="8">
        <f>IF(K87="","",K87-Weekly_Budget)</f>
        <v>0</v>
      </c>
      <c r="N87" s="8">
        <f>IF(K87="","",IF(K87&gt;Weekly_Budget,"Over budget",IF(K87&gt;Weekly_Budget*0.9,"Close","Within budget")))</f>
        <v>0</v>
      </c>
      <c r="O87" s="7"/>
      <c r="P87" s="27"/>
      <c r="Q87" s="27"/>
      <c r="R87" s="28"/>
      <c r="S87" s="8">
        <f>IF(J87="","",COUNTIFS($J$5:$J$404,"&gt;"&amp;J87)+1)</f>
        <v>0</v>
      </c>
      <c r="T87" s="8">
        <f>IF(OR(A87="",J87=""),"",SUMIFS($J$5:$J$404,$C$5:$C$404,C87,$A$5:$A$404,"&lt;="&amp;A87))</f>
        <v>0</v>
      </c>
      <c r="U87" s="8">
        <f>IF(E87="","",IF(Q87="Yes","On offer","Full price"))</f>
        <v>0</v>
      </c>
      <c r="V87" s="25"/>
    </row>
    <row r="88" spans="1:22">
      <c r="A88" s="30"/>
      <c r="B88" s="8">
        <f>IF(A88="","",A88-WEEKDAY(A88,2)+1)</f>
        <v>0</v>
      </c>
      <c r="C88" s="8">
        <f>IF(A88="","",TEXT(A88,"mmm yyyy"))</f>
        <v>0</v>
      </c>
      <c r="D88" s="27"/>
      <c r="E88" s="7"/>
      <c r="F88" s="8">
        <f>IF(E88="","",IFERROR(INDEX(Ingredients!$B$5:$B$304,MATCH(E88,Ingredients!$A$5:$A$304,0)),""))</f>
        <v>0</v>
      </c>
      <c r="G88" s="26"/>
      <c r="H88" s="27"/>
      <c r="I88" s="28"/>
      <c r="J88" s="8">
        <f>IF(OR(E88="",G88="",I88=""),"",G88*I88)</f>
        <v>0</v>
      </c>
      <c r="K88" s="8">
        <f>IF(OR(A88="",J88=""),"",SUMIFS($J$5:$J$404,$B$5:$B$404,B88))</f>
        <v>0</v>
      </c>
      <c r="L88" s="8">
        <f>IF(OR(J88="",K88="",K88=0),"",J88/K88)</f>
        <v>0</v>
      </c>
      <c r="M88" s="8">
        <f>IF(K88="","",K88-Weekly_Budget)</f>
        <v>0</v>
      </c>
      <c r="N88" s="8">
        <f>IF(K88="","",IF(K88&gt;Weekly_Budget,"Over budget",IF(K88&gt;Weekly_Budget*0.9,"Close","Within budget")))</f>
        <v>0</v>
      </c>
      <c r="O88" s="7"/>
      <c r="P88" s="27"/>
      <c r="Q88" s="27"/>
      <c r="R88" s="28"/>
      <c r="S88" s="8">
        <f>IF(J88="","",COUNTIFS($J$5:$J$404,"&gt;"&amp;J88)+1)</f>
        <v>0</v>
      </c>
      <c r="T88" s="8">
        <f>IF(OR(A88="",J88=""),"",SUMIFS($J$5:$J$404,$C$5:$C$404,C88,$A$5:$A$404,"&lt;="&amp;A88))</f>
        <v>0</v>
      </c>
      <c r="U88" s="8">
        <f>IF(E88="","",IF(Q88="Yes","On offer","Full price"))</f>
        <v>0</v>
      </c>
      <c r="V88" s="25"/>
    </row>
    <row r="89" spans="1:22">
      <c r="A89" s="30"/>
      <c r="B89" s="8">
        <f>IF(A89="","",A89-WEEKDAY(A89,2)+1)</f>
        <v>0</v>
      </c>
      <c r="C89" s="8">
        <f>IF(A89="","",TEXT(A89,"mmm yyyy"))</f>
        <v>0</v>
      </c>
      <c r="D89" s="27"/>
      <c r="E89" s="7"/>
      <c r="F89" s="8">
        <f>IF(E89="","",IFERROR(INDEX(Ingredients!$B$5:$B$304,MATCH(E89,Ingredients!$A$5:$A$304,0)),""))</f>
        <v>0</v>
      </c>
      <c r="G89" s="26"/>
      <c r="H89" s="27"/>
      <c r="I89" s="28"/>
      <c r="J89" s="8">
        <f>IF(OR(E89="",G89="",I89=""),"",G89*I89)</f>
        <v>0</v>
      </c>
      <c r="K89" s="8">
        <f>IF(OR(A89="",J89=""),"",SUMIFS($J$5:$J$404,$B$5:$B$404,B89))</f>
        <v>0</v>
      </c>
      <c r="L89" s="8">
        <f>IF(OR(J89="",K89="",K89=0),"",J89/K89)</f>
        <v>0</v>
      </c>
      <c r="M89" s="8">
        <f>IF(K89="","",K89-Weekly_Budget)</f>
        <v>0</v>
      </c>
      <c r="N89" s="8">
        <f>IF(K89="","",IF(K89&gt;Weekly_Budget,"Over budget",IF(K89&gt;Weekly_Budget*0.9,"Close","Within budget")))</f>
        <v>0</v>
      </c>
      <c r="O89" s="7"/>
      <c r="P89" s="27"/>
      <c r="Q89" s="27"/>
      <c r="R89" s="28"/>
      <c r="S89" s="8">
        <f>IF(J89="","",COUNTIFS($J$5:$J$404,"&gt;"&amp;J89)+1)</f>
        <v>0</v>
      </c>
      <c r="T89" s="8">
        <f>IF(OR(A89="",J89=""),"",SUMIFS($J$5:$J$404,$C$5:$C$404,C89,$A$5:$A$404,"&lt;="&amp;A89))</f>
        <v>0</v>
      </c>
      <c r="U89" s="8">
        <f>IF(E89="","",IF(Q89="Yes","On offer","Full price"))</f>
        <v>0</v>
      </c>
      <c r="V89" s="25"/>
    </row>
    <row r="90" spans="1:22">
      <c r="A90" s="30"/>
      <c r="B90" s="8">
        <f>IF(A90="","",A90-WEEKDAY(A90,2)+1)</f>
        <v>0</v>
      </c>
      <c r="C90" s="8">
        <f>IF(A90="","",TEXT(A90,"mmm yyyy"))</f>
        <v>0</v>
      </c>
      <c r="D90" s="27"/>
      <c r="E90" s="7"/>
      <c r="F90" s="8">
        <f>IF(E90="","",IFERROR(INDEX(Ingredients!$B$5:$B$304,MATCH(E90,Ingredients!$A$5:$A$304,0)),""))</f>
        <v>0</v>
      </c>
      <c r="G90" s="26"/>
      <c r="H90" s="27"/>
      <c r="I90" s="28"/>
      <c r="J90" s="8">
        <f>IF(OR(E90="",G90="",I90=""),"",G90*I90)</f>
        <v>0</v>
      </c>
      <c r="K90" s="8">
        <f>IF(OR(A90="",J90=""),"",SUMIFS($J$5:$J$404,$B$5:$B$404,B90))</f>
        <v>0</v>
      </c>
      <c r="L90" s="8">
        <f>IF(OR(J90="",K90="",K90=0),"",J90/K90)</f>
        <v>0</v>
      </c>
      <c r="M90" s="8">
        <f>IF(K90="","",K90-Weekly_Budget)</f>
        <v>0</v>
      </c>
      <c r="N90" s="8">
        <f>IF(K90="","",IF(K90&gt;Weekly_Budget,"Over budget",IF(K90&gt;Weekly_Budget*0.9,"Close","Within budget")))</f>
        <v>0</v>
      </c>
      <c r="O90" s="7"/>
      <c r="P90" s="27"/>
      <c r="Q90" s="27"/>
      <c r="R90" s="28"/>
      <c r="S90" s="8">
        <f>IF(J90="","",COUNTIFS($J$5:$J$404,"&gt;"&amp;J90)+1)</f>
        <v>0</v>
      </c>
      <c r="T90" s="8">
        <f>IF(OR(A90="",J90=""),"",SUMIFS($J$5:$J$404,$C$5:$C$404,C90,$A$5:$A$404,"&lt;="&amp;A90))</f>
        <v>0</v>
      </c>
      <c r="U90" s="8">
        <f>IF(E90="","",IF(Q90="Yes","On offer","Full price"))</f>
        <v>0</v>
      </c>
      <c r="V90" s="25"/>
    </row>
    <row r="91" spans="1:22">
      <c r="A91" s="30"/>
      <c r="B91" s="8">
        <f>IF(A91="","",A91-WEEKDAY(A91,2)+1)</f>
        <v>0</v>
      </c>
      <c r="C91" s="8">
        <f>IF(A91="","",TEXT(A91,"mmm yyyy"))</f>
        <v>0</v>
      </c>
      <c r="D91" s="27"/>
      <c r="E91" s="7"/>
      <c r="F91" s="8">
        <f>IF(E91="","",IFERROR(INDEX(Ingredients!$B$5:$B$304,MATCH(E91,Ingredients!$A$5:$A$304,0)),""))</f>
        <v>0</v>
      </c>
      <c r="G91" s="26"/>
      <c r="H91" s="27"/>
      <c r="I91" s="28"/>
      <c r="J91" s="8">
        <f>IF(OR(E91="",G91="",I91=""),"",G91*I91)</f>
        <v>0</v>
      </c>
      <c r="K91" s="8">
        <f>IF(OR(A91="",J91=""),"",SUMIFS($J$5:$J$404,$B$5:$B$404,B91))</f>
        <v>0</v>
      </c>
      <c r="L91" s="8">
        <f>IF(OR(J91="",K91="",K91=0),"",J91/K91)</f>
        <v>0</v>
      </c>
      <c r="M91" s="8">
        <f>IF(K91="","",K91-Weekly_Budget)</f>
        <v>0</v>
      </c>
      <c r="N91" s="8">
        <f>IF(K91="","",IF(K91&gt;Weekly_Budget,"Over budget",IF(K91&gt;Weekly_Budget*0.9,"Close","Within budget")))</f>
        <v>0</v>
      </c>
      <c r="O91" s="7"/>
      <c r="P91" s="27"/>
      <c r="Q91" s="27"/>
      <c r="R91" s="28"/>
      <c r="S91" s="8">
        <f>IF(J91="","",COUNTIFS($J$5:$J$404,"&gt;"&amp;J91)+1)</f>
        <v>0</v>
      </c>
      <c r="T91" s="8">
        <f>IF(OR(A91="",J91=""),"",SUMIFS($J$5:$J$404,$C$5:$C$404,C91,$A$5:$A$404,"&lt;="&amp;A91))</f>
        <v>0</v>
      </c>
      <c r="U91" s="8">
        <f>IF(E91="","",IF(Q91="Yes","On offer","Full price"))</f>
        <v>0</v>
      </c>
      <c r="V91" s="25"/>
    </row>
    <row r="92" spans="1:22">
      <c r="A92" s="30"/>
      <c r="B92" s="8">
        <f>IF(A92="","",A92-WEEKDAY(A92,2)+1)</f>
        <v>0</v>
      </c>
      <c r="C92" s="8">
        <f>IF(A92="","",TEXT(A92,"mmm yyyy"))</f>
        <v>0</v>
      </c>
      <c r="D92" s="27"/>
      <c r="E92" s="7"/>
      <c r="F92" s="8">
        <f>IF(E92="","",IFERROR(INDEX(Ingredients!$B$5:$B$304,MATCH(E92,Ingredients!$A$5:$A$304,0)),""))</f>
        <v>0</v>
      </c>
      <c r="G92" s="26"/>
      <c r="H92" s="27"/>
      <c r="I92" s="28"/>
      <c r="J92" s="8">
        <f>IF(OR(E92="",G92="",I92=""),"",G92*I92)</f>
        <v>0</v>
      </c>
      <c r="K92" s="8">
        <f>IF(OR(A92="",J92=""),"",SUMIFS($J$5:$J$404,$B$5:$B$404,B92))</f>
        <v>0</v>
      </c>
      <c r="L92" s="8">
        <f>IF(OR(J92="",K92="",K92=0),"",J92/K92)</f>
        <v>0</v>
      </c>
      <c r="M92" s="8">
        <f>IF(K92="","",K92-Weekly_Budget)</f>
        <v>0</v>
      </c>
      <c r="N92" s="8">
        <f>IF(K92="","",IF(K92&gt;Weekly_Budget,"Over budget",IF(K92&gt;Weekly_Budget*0.9,"Close","Within budget")))</f>
        <v>0</v>
      </c>
      <c r="O92" s="7"/>
      <c r="P92" s="27"/>
      <c r="Q92" s="27"/>
      <c r="R92" s="28"/>
      <c r="S92" s="8">
        <f>IF(J92="","",COUNTIFS($J$5:$J$404,"&gt;"&amp;J92)+1)</f>
        <v>0</v>
      </c>
      <c r="T92" s="8">
        <f>IF(OR(A92="",J92=""),"",SUMIFS($J$5:$J$404,$C$5:$C$404,C92,$A$5:$A$404,"&lt;="&amp;A92))</f>
        <v>0</v>
      </c>
      <c r="U92" s="8">
        <f>IF(E92="","",IF(Q92="Yes","On offer","Full price"))</f>
        <v>0</v>
      </c>
      <c r="V92" s="25"/>
    </row>
    <row r="93" spans="1:22">
      <c r="A93" s="30"/>
      <c r="B93" s="8">
        <f>IF(A93="","",A93-WEEKDAY(A93,2)+1)</f>
        <v>0</v>
      </c>
      <c r="C93" s="8">
        <f>IF(A93="","",TEXT(A93,"mmm yyyy"))</f>
        <v>0</v>
      </c>
      <c r="D93" s="27"/>
      <c r="E93" s="7"/>
      <c r="F93" s="8">
        <f>IF(E93="","",IFERROR(INDEX(Ingredients!$B$5:$B$304,MATCH(E93,Ingredients!$A$5:$A$304,0)),""))</f>
        <v>0</v>
      </c>
      <c r="G93" s="26"/>
      <c r="H93" s="27"/>
      <c r="I93" s="28"/>
      <c r="J93" s="8">
        <f>IF(OR(E93="",G93="",I93=""),"",G93*I93)</f>
        <v>0</v>
      </c>
      <c r="K93" s="8">
        <f>IF(OR(A93="",J93=""),"",SUMIFS($J$5:$J$404,$B$5:$B$404,B93))</f>
        <v>0</v>
      </c>
      <c r="L93" s="8">
        <f>IF(OR(J93="",K93="",K93=0),"",J93/K93)</f>
        <v>0</v>
      </c>
      <c r="M93" s="8">
        <f>IF(K93="","",K93-Weekly_Budget)</f>
        <v>0</v>
      </c>
      <c r="N93" s="8">
        <f>IF(K93="","",IF(K93&gt;Weekly_Budget,"Over budget",IF(K93&gt;Weekly_Budget*0.9,"Close","Within budget")))</f>
        <v>0</v>
      </c>
      <c r="O93" s="7"/>
      <c r="P93" s="27"/>
      <c r="Q93" s="27"/>
      <c r="R93" s="28"/>
      <c r="S93" s="8">
        <f>IF(J93="","",COUNTIFS($J$5:$J$404,"&gt;"&amp;J93)+1)</f>
        <v>0</v>
      </c>
      <c r="T93" s="8">
        <f>IF(OR(A93="",J93=""),"",SUMIFS($J$5:$J$404,$C$5:$C$404,C93,$A$5:$A$404,"&lt;="&amp;A93))</f>
        <v>0</v>
      </c>
      <c r="U93" s="8">
        <f>IF(E93="","",IF(Q93="Yes","On offer","Full price"))</f>
        <v>0</v>
      </c>
      <c r="V93" s="25"/>
    </row>
    <row r="94" spans="1:22">
      <c r="A94" s="30"/>
      <c r="B94" s="8">
        <f>IF(A94="","",A94-WEEKDAY(A94,2)+1)</f>
        <v>0</v>
      </c>
      <c r="C94" s="8">
        <f>IF(A94="","",TEXT(A94,"mmm yyyy"))</f>
        <v>0</v>
      </c>
      <c r="D94" s="27"/>
      <c r="E94" s="7"/>
      <c r="F94" s="8">
        <f>IF(E94="","",IFERROR(INDEX(Ingredients!$B$5:$B$304,MATCH(E94,Ingredients!$A$5:$A$304,0)),""))</f>
        <v>0</v>
      </c>
      <c r="G94" s="26"/>
      <c r="H94" s="27"/>
      <c r="I94" s="28"/>
      <c r="J94" s="8">
        <f>IF(OR(E94="",G94="",I94=""),"",G94*I94)</f>
        <v>0</v>
      </c>
      <c r="K94" s="8">
        <f>IF(OR(A94="",J94=""),"",SUMIFS($J$5:$J$404,$B$5:$B$404,B94))</f>
        <v>0</v>
      </c>
      <c r="L94" s="8">
        <f>IF(OR(J94="",K94="",K94=0),"",J94/K94)</f>
        <v>0</v>
      </c>
      <c r="M94" s="8">
        <f>IF(K94="","",K94-Weekly_Budget)</f>
        <v>0</v>
      </c>
      <c r="N94" s="8">
        <f>IF(K94="","",IF(K94&gt;Weekly_Budget,"Over budget",IF(K94&gt;Weekly_Budget*0.9,"Close","Within budget")))</f>
        <v>0</v>
      </c>
      <c r="O94" s="7"/>
      <c r="P94" s="27"/>
      <c r="Q94" s="27"/>
      <c r="R94" s="28"/>
      <c r="S94" s="8">
        <f>IF(J94="","",COUNTIFS($J$5:$J$404,"&gt;"&amp;J94)+1)</f>
        <v>0</v>
      </c>
      <c r="T94" s="8">
        <f>IF(OR(A94="",J94=""),"",SUMIFS($J$5:$J$404,$C$5:$C$404,C94,$A$5:$A$404,"&lt;="&amp;A94))</f>
        <v>0</v>
      </c>
      <c r="U94" s="8">
        <f>IF(E94="","",IF(Q94="Yes","On offer","Full price"))</f>
        <v>0</v>
      </c>
      <c r="V94" s="25"/>
    </row>
    <row r="95" spans="1:22">
      <c r="A95" s="30"/>
      <c r="B95" s="8">
        <f>IF(A95="","",A95-WEEKDAY(A95,2)+1)</f>
        <v>0</v>
      </c>
      <c r="C95" s="8">
        <f>IF(A95="","",TEXT(A95,"mmm yyyy"))</f>
        <v>0</v>
      </c>
      <c r="D95" s="27"/>
      <c r="E95" s="7"/>
      <c r="F95" s="8">
        <f>IF(E95="","",IFERROR(INDEX(Ingredients!$B$5:$B$304,MATCH(E95,Ingredients!$A$5:$A$304,0)),""))</f>
        <v>0</v>
      </c>
      <c r="G95" s="26"/>
      <c r="H95" s="27"/>
      <c r="I95" s="28"/>
      <c r="J95" s="8">
        <f>IF(OR(E95="",G95="",I95=""),"",G95*I95)</f>
        <v>0</v>
      </c>
      <c r="K95" s="8">
        <f>IF(OR(A95="",J95=""),"",SUMIFS($J$5:$J$404,$B$5:$B$404,B95))</f>
        <v>0</v>
      </c>
      <c r="L95" s="8">
        <f>IF(OR(J95="",K95="",K95=0),"",J95/K95)</f>
        <v>0</v>
      </c>
      <c r="M95" s="8">
        <f>IF(K95="","",K95-Weekly_Budget)</f>
        <v>0</v>
      </c>
      <c r="N95" s="8">
        <f>IF(K95="","",IF(K95&gt;Weekly_Budget,"Over budget",IF(K95&gt;Weekly_Budget*0.9,"Close","Within budget")))</f>
        <v>0</v>
      </c>
      <c r="O95" s="7"/>
      <c r="P95" s="27"/>
      <c r="Q95" s="27"/>
      <c r="R95" s="28"/>
      <c r="S95" s="8">
        <f>IF(J95="","",COUNTIFS($J$5:$J$404,"&gt;"&amp;J95)+1)</f>
        <v>0</v>
      </c>
      <c r="T95" s="8">
        <f>IF(OR(A95="",J95=""),"",SUMIFS($J$5:$J$404,$C$5:$C$404,C95,$A$5:$A$404,"&lt;="&amp;A95))</f>
        <v>0</v>
      </c>
      <c r="U95" s="8">
        <f>IF(E95="","",IF(Q95="Yes","On offer","Full price"))</f>
        <v>0</v>
      </c>
      <c r="V95" s="25"/>
    </row>
    <row r="96" spans="1:22">
      <c r="A96" s="30"/>
      <c r="B96" s="8">
        <f>IF(A96="","",A96-WEEKDAY(A96,2)+1)</f>
        <v>0</v>
      </c>
      <c r="C96" s="8">
        <f>IF(A96="","",TEXT(A96,"mmm yyyy"))</f>
        <v>0</v>
      </c>
      <c r="D96" s="27"/>
      <c r="E96" s="7"/>
      <c r="F96" s="8">
        <f>IF(E96="","",IFERROR(INDEX(Ingredients!$B$5:$B$304,MATCH(E96,Ingredients!$A$5:$A$304,0)),""))</f>
        <v>0</v>
      </c>
      <c r="G96" s="26"/>
      <c r="H96" s="27"/>
      <c r="I96" s="28"/>
      <c r="J96" s="8">
        <f>IF(OR(E96="",G96="",I96=""),"",G96*I96)</f>
        <v>0</v>
      </c>
      <c r="K96" s="8">
        <f>IF(OR(A96="",J96=""),"",SUMIFS($J$5:$J$404,$B$5:$B$404,B96))</f>
        <v>0</v>
      </c>
      <c r="L96" s="8">
        <f>IF(OR(J96="",K96="",K96=0),"",J96/K96)</f>
        <v>0</v>
      </c>
      <c r="M96" s="8">
        <f>IF(K96="","",K96-Weekly_Budget)</f>
        <v>0</v>
      </c>
      <c r="N96" s="8">
        <f>IF(K96="","",IF(K96&gt;Weekly_Budget,"Over budget",IF(K96&gt;Weekly_Budget*0.9,"Close","Within budget")))</f>
        <v>0</v>
      </c>
      <c r="O96" s="7"/>
      <c r="P96" s="27"/>
      <c r="Q96" s="27"/>
      <c r="R96" s="28"/>
      <c r="S96" s="8">
        <f>IF(J96="","",COUNTIFS($J$5:$J$404,"&gt;"&amp;J96)+1)</f>
        <v>0</v>
      </c>
      <c r="T96" s="8">
        <f>IF(OR(A96="",J96=""),"",SUMIFS($J$5:$J$404,$C$5:$C$404,C96,$A$5:$A$404,"&lt;="&amp;A96))</f>
        <v>0</v>
      </c>
      <c r="U96" s="8">
        <f>IF(E96="","",IF(Q96="Yes","On offer","Full price"))</f>
        <v>0</v>
      </c>
      <c r="V96" s="25"/>
    </row>
    <row r="97" spans="1:22">
      <c r="A97" s="30"/>
      <c r="B97" s="8">
        <f>IF(A97="","",A97-WEEKDAY(A97,2)+1)</f>
        <v>0</v>
      </c>
      <c r="C97" s="8">
        <f>IF(A97="","",TEXT(A97,"mmm yyyy"))</f>
        <v>0</v>
      </c>
      <c r="D97" s="27"/>
      <c r="E97" s="7"/>
      <c r="F97" s="8">
        <f>IF(E97="","",IFERROR(INDEX(Ingredients!$B$5:$B$304,MATCH(E97,Ingredients!$A$5:$A$304,0)),""))</f>
        <v>0</v>
      </c>
      <c r="G97" s="26"/>
      <c r="H97" s="27"/>
      <c r="I97" s="28"/>
      <c r="J97" s="8">
        <f>IF(OR(E97="",G97="",I97=""),"",G97*I97)</f>
        <v>0</v>
      </c>
      <c r="K97" s="8">
        <f>IF(OR(A97="",J97=""),"",SUMIFS($J$5:$J$404,$B$5:$B$404,B97))</f>
        <v>0</v>
      </c>
      <c r="L97" s="8">
        <f>IF(OR(J97="",K97="",K97=0),"",J97/K97)</f>
        <v>0</v>
      </c>
      <c r="M97" s="8">
        <f>IF(K97="","",K97-Weekly_Budget)</f>
        <v>0</v>
      </c>
      <c r="N97" s="8">
        <f>IF(K97="","",IF(K97&gt;Weekly_Budget,"Over budget",IF(K97&gt;Weekly_Budget*0.9,"Close","Within budget")))</f>
        <v>0</v>
      </c>
      <c r="O97" s="7"/>
      <c r="P97" s="27"/>
      <c r="Q97" s="27"/>
      <c r="R97" s="28"/>
      <c r="S97" s="8">
        <f>IF(J97="","",COUNTIFS($J$5:$J$404,"&gt;"&amp;J97)+1)</f>
        <v>0</v>
      </c>
      <c r="T97" s="8">
        <f>IF(OR(A97="",J97=""),"",SUMIFS($J$5:$J$404,$C$5:$C$404,C97,$A$5:$A$404,"&lt;="&amp;A97))</f>
        <v>0</v>
      </c>
      <c r="U97" s="8">
        <f>IF(E97="","",IF(Q97="Yes","On offer","Full price"))</f>
        <v>0</v>
      </c>
      <c r="V97" s="25"/>
    </row>
    <row r="98" spans="1:22">
      <c r="A98" s="30"/>
      <c r="B98" s="8">
        <f>IF(A98="","",A98-WEEKDAY(A98,2)+1)</f>
        <v>0</v>
      </c>
      <c r="C98" s="8">
        <f>IF(A98="","",TEXT(A98,"mmm yyyy"))</f>
        <v>0</v>
      </c>
      <c r="D98" s="27"/>
      <c r="E98" s="7"/>
      <c r="F98" s="8">
        <f>IF(E98="","",IFERROR(INDEX(Ingredients!$B$5:$B$304,MATCH(E98,Ingredients!$A$5:$A$304,0)),""))</f>
        <v>0</v>
      </c>
      <c r="G98" s="26"/>
      <c r="H98" s="27"/>
      <c r="I98" s="28"/>
      <c r="J98" s="8">
        <f>IF(OR(E98="",G98="",I98=""),"",G98*I98)</f>
        <v>0</v>
      </c>
      <c r="K98" s="8">
        <f>IF(OR(A98="",J98=""),"",SUMIFS($J$5:$J$404,$B$5:$B$404,B98))</f>
        <v>0</v>
      </c>
      <c r="L98" s="8">
        <f>IF(OR(J98="",K98="",K98=0),"",J98/K98)</f>
        <v>0</v>
      </c>
      <c r="M98" s="8">
        <f>IF(K98="","",K98-Weekly_Budget)</f>
        <v>0</v>
      </c>
      <c r="N98" s="8">
        <f>IF(K98="","",IF(K98&gt;Weekly_Budget,"Over budget",IF(K98&gt;Weekly_Budget*0.9,"Close","Within budget")))</f>
        <v>0</v>
      </c>
      <c r="O98" s="7"/>
      <c r="P98" s="27"/>
      <c r="Q98" s="27"/>
      <c r="R98" s="28"/>
      <c r="S98" s="8">
        <f>IF(J98="","",COUNTIFS($J$5:$J$404,"&gt;"&amp;J98)+1)</f>
        <v>0</v>
      </c>
      <c r="T98" s="8">
        <f>IF(OR(A98="",J98=""),"",SUMIFS($J$5:$J$404,$C$5:$C$404,C98,$A$5:$A$404,"&lt;="&amp;A98))</f>
        <v>0</v>
      </c>
      <c r="U98" s="8">
        <f>IF(E98="","",IF(Q98="Yes","On offer","Full price"))</f>
        <v>0</v>
      </c>
      <c r="V98" s="25"/>
    </row>
    <row r="99" spans="1:22">
      <c r="A99" s="30"/>
      <c r="B99" s="8">
        <f>IF(A99="","",A99-WEEKDAY(A99,2)+1)</f>
        <v>0</v>
      </c>
      <c r="C99" s="8">
        <f>IF(A99="","",TEXT(A99,"mmm yyyy"))</f>
        <v>0</v>
      </c>
      <c r="D99" s="27"/>
      <c r="E99" s="7"/>
      <c r="F99" s="8">
        <f>IF(E99="","",IFERROR(INDEX(Ingredients!$B$5:$B$304,MATCH(E99,Ingredients!$A$5:$A$304,0)),""))</f>
        <v>0</v>
      </c>
      <c r="G99" s="26"/>
      <c r="H99" s="27"/>
      <c r="I99" s="28"/>
      <c r="J99" s="8">
        <f>IF(OR(E99="",G99="",I99=""),"",G99*I99)</f>
        <v>0</v>
      </c>
      <c r="K99" s="8">
        <f>IF(OR(A99="",J99=""),"",SUMIFS($J$5:$J$404,$B$5:$B$404,B99))</f>
        <v>0</v>
      </c>
      <c r="L99" s="8">
        <f>IF(OR(J99="",K99="",K99=0),"",J99/K99)</f>
        <v>0</v>
      </c>
      <c r="M99" s="8">
        <f>IF(K99="","",K99-Weekly_Budget)</f>
        <v>0</v>
      </c>
      <c r="N99" s="8">
        <f>IF(K99="","",IF(K99&gt;Weekly_Budget,"Over budget",IF(K99&gt;Weekly_Budget*0.9,"Close","Within budget")))</f>
        <v>0</v>
      </c>
      <c r="O99" s="7"/>
      <c r="P99" s="27"/>
      <c r="Q99" s="27"/>
      <c r="R99" s="28"/>
      <c r="S99" s="8">
        <f>IF(J99="","",COUNTIFS($J$5:$J$404,"&gt;"&amp;J99)+1)</f>
        <v>0</v>
      </c>
      <c r="T99" s="8">
        <f>IF(OR(A99="",J99=""),"",SUMIFS($J$5:$J$404,$C$5:$C$404,C99,$A$5:$A$404,"&lt;="&amp;A99))</f>
        <v>0</v>
      </c>
      <c r="U99" s="8">
        <f>IF(E99="","",IF(Q99="Yes","On offer","Full price"))</f>
        <v>0</v>
      </c>
      <c r="V99" s="25"/>
    </row>
    <row r="100" spans="1:22">
      <c r="A100" s="30"/>
      <c r="B100" s="8">
        <f>IF(A100="","",A100-WEEKDAY(A100,2)+1)</f>
        <v>0</v>
      </c>
      <c r="C100" s="8">
        <f>IF(A100="","",TEXT(A100,"mmm yyyy"))</f>
        <v>0</v>
      </c>
      <c r="D100" s="27"/>
      <c r="E100" s="7"/>
      <c r="F100" s="8">
        <f>IF(E100="","",IFERROR(INDEX(Ingredients!$B$5:$B$304,MATCH(E100,Ingredients!$A$5:$A$304,0)),""))</f>
        <v>0</v>
      </c>
      <c r="G100" s="26"/>
      <c r="H100" s="27"/>
      <c r="I100" s="28"/>
      <c r="J100" s="8">
        <f>IF(OR(E100="",G100="",I100=""),"",G100*I100)</f>
        <v>0</v>
      </c>
      <c r="K100" s="8">
        <f>IF(OR(A100="",J100=""),"",SUMIFS($J$5:$J$404,$B$5:$B$404,B100))</f>
        <v>0</v>
      </c>
      <c r="L100" s="8">
        <f>IF(OR(J100="",K100="",K100=0),"",J100/K100)</f>
        <v>0</v>
      </c>
      <c r="M100" s="8">
        <f>IF(K100="","",K100-Weekly_Budget)</f>
        <v>0</v>
      </c>
      <c r="N100" s="8">
        <f>IF(K100="","",IF(K100&gt;Weekly_Budget,"Over budget",IF(K100&gt;Weekly_Budget*0.9,"Close","Within budget")))</f>
        <v>0</v>
      </c>
      <c r="O100" s="7"/>
      <c r="P100" s="27"/>
      <c r="Q100" s="27"/>
      <c r="R100" s="28"/>
      <c r="S100" s="8">
        <f>IF(J100="","",COUNTIFS($J$5:$J$404,"&gt;"&amp;J100)+1)</f>
        <v>0</v>
      </c>
      <c r="T100" s="8">
        <f>IF(OR(A100="",J100=""),"",SUMIFS($J$5:$J$404,$C$5:$C$404,C100,$A$5:$A$404,"&lt;="&amp;A100))</f>
        <v>0</v>
      </c>
      <c r="U100" s="8">
        <f>IF(E100="","",IF(Q100="Yes","On offer","Full price"))</f>
        <v>0</v>
      </c>
      <c r="V100" s="25"/>
    </row>
    <row r="101" spans="1:22">
      <c r="A101" s="30"/>
      <c r="B101" s="8">
        <f>IF(A101="","",A101-WEEKDAY(A101,2)+1)</f>
        <v>0</v>
      </c>
      <c r="C101" s="8">
        <f>IF(A101="","",TEXT(A101,"mmm yyyy"))</f>
        <v>0</v>
      </c>
      <c r="D101" s="27"/>
      <c r="E101" s="7"/>
      <c r="F101" s="8">
        <f>IF(E101="","",IFERROR(INDEX(Ingredients!$B$5:$B$304,MATCH(E101,Ingredients!$A$5:$A$304,0)),""))</f>
        <v>0</v>
      </c>
      <c r="G101" s="26"/>
      <c r="H101" s="27"/>
      <c r="I101" s="28"/>
      <c r="J101" s="8">
        <f>IF(OR(E101="",G101="",I101=""),"",G101*I101)</f>
        <v>0</v>
      </c>
      <c r="K101" s="8">
        <f>IF(OR(A101="",J101=""),"",SUMIFS($J$5:$J$404,$B$5:$B$404,B101))</f>
        <v>0</v>
      </c>
      <c r="L101" s="8">
        <f>IF(OR(J101="",K101="",K101=0),"",J101/K101)</f>
        <v>0</v>
      </c>
      <c r="M101" s="8">
        <f>IF(K101="","",K101-Weekly_Budget)</f>
        <v>0</v>
      </c>
      <c r="N101" s="8">
        <f>IF(K101="","",IF(K101&gt;Weekly_Budget,"Over budget",IF(K101&gt;Weekly_Budget*0.9,"Close","Within budget")))</f>
        <v>0</v>
      </c>
      <c r="O101" s="7"/>
      <c r="P101" s="27"/>
      <c r="Q101" s="27"/>
      <c r="R101" s="28"/>
      <c r="S101" s="8">
        <f>IF(J101="","",COUNTIFS($J$5:$J$404,"&gt;"&amp;J101)+1)</f>
        <v>0</v>
      </c>
      <c r="T101" s="8">
        <f>IF(OR(A101="",J101=""),"",SUMIFS($J$5:$J$404,$C$5:$C$404,C101,$A$5:$A$404,"&lt;="&amp;A101))</f>
        <v>0</v>
      </c>
      <c r="U101" s="8">
        <f>IF(E101="","",IF(Q101="Yes","On offer","Full price"))</f>
        <v>0</v>
      </c>
      <c r="V101" s="25"/>
    </row>
    <row r="102" spans="1:22">
      <c r="A102" s="30"/>
      <c r="B102" s="8">
        <f>IF(A102="","",A102-WEEKDAY(A102,2)+1)</f>
        <v>0</v>
      </c>
      <c r="C102" s="8">
        <f>IF(A102="","",TEXT(A102,"mmm yyyy"))</f>
        <v>0</v>
      </c>
      <c r="D102" s="27"/>
      <c r="E102" s="7"/>
      <c r="F102" s="8">
        <f>IF(E102="","",IFERROR(INDEX(Ingredients!$B$5:$B$304,MATCH(E102,Ingredients!$A$5:$A$304,0)),""))</f>
        <v>0</v>
      </c>
      <c r="G102" s="26"/>
      <c r="H102" s="27"/>
      <c r="I102" s="28"/>
      <c r="J102" s="8">
        <f>IF(OR(E102="",G102="",I102=""),"",G102*I102)</f>
        <v>0</v>
      </c>
      <c r="K102" s="8">
        <f>IF(OR(A102="",J102=""),"",SUMIFS($J$5:$J$404,$B$5:$B$404,B102))</f>
        <v>0</v>
      </c>
      <c r="L102" s="8">
        <f>IF(OR(J102="",K102="",K102=0),"",J102/K102)</f>
        <v>0</v>
      </c>
      <c r="M102" s="8">
        <f>IF(K102="","",K102-Weekly_Budget)</f>
        <v>0</v>
      </c>
      <c r="N102" s="8">
        <f>IF(K102="","",IF(K102&gt;Weekly_Budget,"Over budget",IF(K102&gt;Weekly_Budget*0.9,"Close","Within budget")))</f>
        <v>0</v>
      </c>
      <c r="O102" s="7"/>
      <c r="P102" s="27"/>
      <c r="Q102" s="27"/>
      <c r="R102" s="28"/>
      <c r="S102" s="8">
        <f>IF(J102="","",COUNTIFS($J$5:$J$404,"&gt;"&amp;J102)+1)</f>
        <v>0</v>
      </c>
      <c r="T102" s="8">
        <f>IF(OR(A102="",J102=""),"",SUMIFS($J$5:$J$404,$C$5:$C$404,C102,$A$5:$A$404,"&lt;="&amp;A102))</f>
        <v>0</v>
      </c>
      <c r="U102" s="8">
        <f>IF(E102="","",IF(Q102="Yes","On offer","Full price"))</f>
        <v>0</v>
      </c>
      <c r="V102" s="25"/>
    </row>
    <row r="103" spans="1:22">
      <c r="A103" s="30"/>
      <c r="B103" s="8">
        <f>IF(A103="","",A103-WEEKDAY(A103,2)+1)</f>
        <v>0</v>
      </c>
      <c r="C103" s="8">
        <f>IF(A103="","",TEXT(A103,"mmm yyyy"))</f>
        <v>0</v>
      </c>
      <c r="D103" s="27"/>
      <c r="E103" s="7"/>
      <c r="F103" s="8">
        <f>IF(E103="","",IFERROR(INDEX(Ingredients!$B$5:$B$304,MATCH(E103,Ingredients!$A$5:$A$304,0)),""))</f>
        <v>0</v>
      </c>
      <c r="G103" s="26"/>
      <c r="H103" s="27"/>
      <c r="I103" s="28"/>
      <c r="J103" s="8">
        <f>IF(OR(E103="",G103="",I103=""),"",G103*I103)</f>
        <v>0</v>
      </c>
      <c r="K103" s="8">
        <f>IF(OR(A103="",J103=""),"",SUMIFS($J$5:$J$404,$B$5:$B$404,B103))</f>
        <v>0</v>
      </c>
      <c r="L103" s="8">
        <f>IF(OR(J103="",K103="",K103=0),"",J103/K103)</f>
        <v>0</v>
      </c>
      <c r="M103" s="8">
        <f>IF(K103="","",K103-Weekly_Budget)</f>
        <v>0</v>
      </c>
      <c r="N103" s="8">
        <f>IF(K103="","",IF(K103&gt;Weekly_Budget,"Over budget",IF(K103&gt;Weekly_Budget*0.9,"Close","Within budget")))</f>
        <v>0</v>
      </c>
      <c r="O103" s="7"/>
      <c r="P103" s="27"/>
      <c r="Q103" s="27"/>
      <c r="R103" s="28"/>
      <c r="S103" s="8">
        <f>IF(J103="","",COUNTIFS($J$5:$J$404,"&gt;"&amp;J103)+1)</f>
        <v>0</v>
      </c>
      <c r="T103" s="8">
        <f>IF(OR(A103="",J103=""),"",SUMIFS($J$5:$J$404,$C$5:$C$404,C103,$A$5:$A$404,"&lt;="&amp;A103))</f>
        <v>0</v>
      </c>
      <c r="U103" s="8">
        <f>IF(E103="","",IF(Q103="Yes","On offer","Full price"))</f>
        <v>0</v>
      </c>
      <c r="V103" s="25"/>
    </row>
    <row r="104" spans="1:22">
      <c r="A104" s="30"/>
      <c r="B104" s="8">
        <f>IF(A104="","",A104-WEEKDAY(A104,2)+1)</f>
        <v>0</v>
      </c>
      <c r="C104" s="8">
        <f>IF(A104="","",TEXT(A104,"mmm yyyy"))</f>
        <v>0</v>
      </c>
      <c r="D104" s="27"/>
      <c r="E104" s="7"/>
      <c r="F104" s="8">
        <f>IF(E104="","",IFERROR(INDEX(Ingredients!$B$5:$B$304,MATCH(E104,Ingredients!$A$5:$A$304,0)),""))</f>
        <v>0</v>
      </c>
      <c r="G104" s="26"/>
      <c r="H104" s="27"/>
      <c r="I104" s="28"/>
      <c r="J104" s="8">
        <f>IF(OR(E104="",G104="",I104=""),"",G104*I104)</f>
        <v>0</v>
      </c>
      <c r="K104" s="8">
        <f>IF(OR(A104="",J104=""),"",SUMIFS($J$5:$J$404,$B$5:$B$404,B104))</f>
        <v>0</v>
      </c>
      <c r="L104" s="8">
        <f>IF(OR(J104="",K104="",K104=0),"",J104/K104)</f>
        <v>0</v>
      </c>
      <c r="M104" s="8">
        <f>IF(K104="","",K104-Weekly_Budget)</f>
        <v>0</v>
      </c>
      <c r="N104" s="8">
        <f>IF(K104="","",IF(K104&gt;Weekly_Budget,"Over budget",IF(K104&gt;Weekly_Budget*0.9,"Close","Within budget")))</f>
        <v>0</v>
      </c>
      <c r="O104" s="7"/>
      <c r="P104" s="27"/>
      <c r="Q104" s="27"/>
      <c r="R104" s="28"/>
      <c r="S104" s="8">
        <f>IF(J104="","",COUNTIFS($J$5:$J$404,"&gt;"&amp;J104)+1)</f>
        <v>0</v>
      </c>
      <c r="T104" s="8">
        <f>IF(OR(A104="",J104=""),"",SUMIFS($J$5:$J$404,$C$5:$C$404,C104,$A$5:$A$404,"&lt;="&amp;A104))</f>
        <v>0</v>
      </c>
      <c r="U104" s="8">
        <f>IF(E104="","",IF(Q104="Yes","On offer","Full price"))</f>
        <v>0</v>
      </c>
      <c r="V104" s="25"/>
    </row>
    <row r="105" spans="1:22">
      <c r="A105" s="30"/>
      <c r="B105" s="8">
        <f>IF(A105="","",A105-WEEKDAY(A105,2)+1)</f>
        <v>0</v>
      </c>
      <c r="C105" s="8">
        <f>IF(A105="","",TEXT(A105,"mmm yyyy"))</f>
        <v>0</v>
      </c>
      <c r="D105" s="27"/>
      <c r="E105" s="7"/>
      <c r="F105" s="8">
        <f>IF(E105="","",IFERROR(INDEX(Ingredients!$B$5:$B$304,MATCH(E105,Ingredients!$A$5:$A$304,0)),""))</f>
        <v>0</v>
      </c>
      <c r="G105" s="26"/>
      <c r="H105" s="27"/>
      <c r="I105" s="28"/>
      <c r="J105" s="8">
        <f>IF(OR(E105="",G105="",I105=""),"",G105*I105)</f>
        <v>0</v>
      </c>
      <c r="K105" s="8">
        <f>IF(OR(A105="",J105=""),"",SUMIFS($J$5:$J$404,$B$5:$B$404,B105))</f>
        <v>0</v>
      </c>
      <c r="L105" s="8">
        <f>IF(OR(J105="",K105="",K105=0),"",J105/K105)</f>
        <v>0</v>
      </c>
      <c r="M105" s="8">
        <f>IF(K105="","",K105-Weekly_Budget)</f>
        <v>0</v>
      </c>
      <c r="N105" s="8">
        <f>IF(K105="","",IF(K105&gt;Weekly_Budget,"Over budget",IF(K105&gt;Weekly_Budget*0.9,"Close","Within budget")))</f>
        <v>0</v>
      </c>
      <c r="O105" s="7"/>
      <c r="P105" s="27"/>
      <c r="Q105" s="27"/>
      <c r="R105" s="28"/>
      <c r="S105" s="8">
        <f>IF(J105="","",COUNTIFS($J$5:$J$404,"&gt;"&amp;J105)+1)</f>
        <v>0</v>
      </c>
      <c r="T105" s="8">
        <f>IF(OR(A105="",J105=""),"",SUMIFS($J$5:$J$404,$C$5:$C$404,C105,$A$5:$A$404,"&lt;="&amp;A105))</f>
        <v>0</v>
      </c>
      <c r="U105" s="8">
        <f>IF(E105="","",IF(Q105="Yes","On offer","Full price"))</f>
        <v>0</v>
      </c>
      <c r="V105" s="25"/>
    </row>
    <row r="106" spans="1:22">
      <c r="A106" s="30"/>
      <c r="B106" s="8">
        <f>IF(A106="","",A106-WEEKDAY(A106,2)+1)</f>
        <v>0</v>
      </c>
      <c r="C106" s="8">
        <f>IF(A106="","",TEXT(A106,"mmm yyyy"))</f>
        <v>0</v>
      </c>
      <c r="D106" s="27"/>
      <c r="E106" s="7"/>
      <c r="F106" s="8">
        <f>IF(E106="","",IFERROR(INDEX(Ingredients!$B$5:$B$304,MATCH(E106,Ingredients!$A$5:$A$304,0)),""))</f>
        <v>0</v>
      </c>
      <c r="G106" s="26"/>
      <c r="H106" s="27"/>
      <c r="I106" s="28"/>
      <c r="J106" s="8">
        <f>IF(OR(E106="",G106="",I106=""),"",G106*I106)</f>
        <v>0</v>
      </c>
      <c r="K106" s="8">
        <f>IF(OR(A106="",J106=""),"",SUMIFS($J$5:$J$404,$B$5:$B$404,B106))</f>
        <v>0</v>
      </c>
      <c r="L106" s="8">
        <f>IF(OR(J106="",K106="",K106=0),"",J106/K106)</f>
        <v>0</v>
      </c>
      <c r="M106" s="8">
        <f>IF(K106="","",K106-Weekly_Budget)</f>
        <v>0</v>
      </c>
      <c r="N106" s="8">
        <f>IF(K106="","",IF(K106&gt;Weekly_Budget,"Over budget",IF(K106&gt;Weekly_Budget*0.9,"Close","Within budget")))</f>
        <v>0</v>
      </c>
      <c r="O106" s="7"/>
      <c r="P106" s="27"/>
      <c r="Q106" s="27"/>
      <c r="R106" s="28"/>
      <c r="S106" s="8">
        <f>IF(J106="","",COUNTIFS($J$5:$J$404,"&gt;"&amp;J106)+1)</f>
        <v>0</v>
      </c>
      <c r="T106" s="8">
        <f>IF(OR(A106="",J106=""),"",SUMIFS($J$5:$J$404,$C$5:$C$404,C106,$A$5:$A$404,"&lt;="&amp;A106))</f>
        <v>0</v>
      </c>
      <c r="U106" s="8">
        <f>IF(E106="","",IF(Q106="Yes","On offer","Full price"))</f>
        <v>0</v>
      </c>
      <c r="V106" s="25"/>
    </row>
    <row r="107" spans="1:22">
      <c r="A107" s="30"/>
      <c r="B107" s="8">
        <f>IF(A107="","",A107-WEEKDAY(A107,2)+1)</f>
        <v>0</v>
      </c>
      <c r="C107" s="8">
        <f>IF(A107="","",TEXT(A107,"mmm yyyy"))</f>
        <v>0</v>
      </c>
      <c r="D107" s="27"/>
      <c r="E107" s="7"/>
      <c r="F107" s="8">
        <f>IF(E107="","",IFERROR(INDEX(Ingredients!$B$5:$B$304,MATCH(E107,Ingredients!$A$5:$A$304,0)),""))</f>
        <v>0</v>
      </c>
      <c r="G107" s="26"/>
      <c r="H107" s="27"/>
      <c r="I107" s="28"/>
      <c r="J107" s="8">
        <f>IF(OR(E107="",G107="",I107=""),"",G107*I107)</f>
        <v>0</v>
      </c>
      <c r="K107" s="8">
        <f>IF(OR(A107="",J107=""),"",SUMIFS($J$5:$J$404,$B$5:$B$404,B107))</f>
        <v>0</v>
      </c>
      <c r="L107" s="8">
        <f>IF(OR(J107="",K107="",K107=0),"",J107/K107)</f>
        <v>0</v>
      </c>
      <c r="M107" s="8">
        <f>IF(K107="","",K107-Weekly_Budget)</f>
        <v>0</v>
      </c>
      <c r="N107" s="8">
        <f>IF(K107="","",IF(K107&gt;Weekly_Budget,"Over budget",IF(K107&gt;Weekly_Budget*0.9,"Close","Within budget")))</f>
        <v>0</v>
      </c>
      <c r="O107" s="7"/>
      <c r="P107" s="27"/>
      <c r="Q107" s="27"/>
      <c r="R107" s="28"/>
      <c r="S107" s="8">
        <f>IF(J107="","",COUNTIFS($J$5:$J$404,"&gt;"&amp;J107)+1)</f>
        <v>0</v>
      </c>
      <c r="T107" s="8">
        <f>IF(OR(A107="",J107=""),"",SUMIFS($J$5:$J$404,$C$5:$C$404,C107,$A$5:$A$404,"&lt;="&amp;A107))</f>
        <v>0</v>
      </c>
      <c r="U107" s="8">
        <f>IF(E107="","",IF(Q107="Yes","On offer","Full price"))</f>
        <v>0</v>
      </c>
      <c r="V107" s="25"/>
    </row>
    <row r="108" spans="1:22">
      <c r="A108" s="30"/>
      <c r="B108" s="8">
        <f>IF(A108="","",A108-WEEKDAY(A108,2)+1)</f>
        <v>0</v>
      </c>
      <c r="C108" s="8">
        <f>IF(A108="","",TEXT(A108,"mmm yyyy"))</f>
        <v>0</v>
      </c>
      <c r="D108" s="27"/>
      <c r="E108" s="7"/>
      <c r="F108" s="8">
        <f>IF(E108="","",IFERROR(INDEX(Ingredients!$B$5:$B$304,MATCH(E108,Ingredients!$A$5:$A$304,0)),""))</f>
        <v>0</v>
      </c>
      <c r="G108" s="26"/>
      <c r="H108" s="27"/>
      <c r="I108" s="28"/>
      <c r="J108" s="8">
        <f>IF(OR(E108="",G108="",I108=""),"",G108*I108)</f>
        <v>0</v>
      </c>
      <c r="K108" s="8">
        <f>IF(OR(A108="",J108=""),"",SUMIFS($J$5:$J$404,$B$5:$B$404,B108))</f>
        <v>0</v>
      </c>
      <c r="L108" s="8">
        <f>IF(OR(J108="",K108="",K108=0),"",J108/K108)</f>
        <v>0</v>
      </c>
      <c r="M108" s="8">
        <f>IF(K108="","",K108-Weekly_Budget)</f>
        <v>0</v>
      </c>
      <c r="N108" s="8">
        <f>IF(K108="","",IF(K108&gt;Weekly_Budget,"Over budget",IF(K108&gt;Weekly_Budget*0.9,"Close","Within budget")))</f>
        <v>0</v>
      </c>
      <c r="O108" s="7"/>
      <c r="P108" s="27"/>
      <c r="Q108" s="27"/>
      <c r="R108" s="28"/>
      <c r="S108" s="8">
        <f>IF(J108="","",COUNTIFS($J$5:$J$404,"&gt;"&amp;J108)+1)</f>
        <v>0</v>
      </c>
      <c r="T108" s="8">
        <f>IF(OR(A108="",J108=""),"",SUMIFS($J$5:$J$404,$C$5:$C$404,C108,$A$5:$A$404,"&lt;="&amp;A108))</f>
        <v>0</v>
      </c>
      <c r="U108" s="8">
        <f>IF(E108="","",IF(Q108="Yes","On offer","Full price"))</f>
        <v>0</v>
      </c>
      <c r="V108" s="25"/>
    </row>
    <row r="109" spans="1:22">
      <c r="A109" s="30"/>
      <c r="B109" s="8">
        <f>IF(A109="","",A109-WEEKDAY(A109,2)+1)</f>
        <v>0</v>
      </c>
      <c r="C109" s="8">
        <f>IF(A109="","",TEXT(A109,"mmm yyyy"))</f>
        <v>0</v>
      </c>
      <c r="D109" s="27"/>
      <c r="E109" s="7"/>
      <c r="F109" s="8">
        <f>IF(E109="","",IFERROR(INDEX(Ingredients!$B$5:$B$304,MATCH(E109,Ingredients!$A$5:$A$304,0)),""))</f>
        <v>0</v>
      </c>
      <c r="G109" s="26"/>
      <c r="H109" s="27"/>
      <c r="I109" s="28"/>
      <c r="J109" s="8">
        <f>IF(OR(E109="",G109="",I109=""),"",G109*I109)</f>
        <v>0</v>
      </c>
      <c r="K109" s="8">
        <f>IF(OR(A109="",J109=""),"",SUMIFS($J$5:$J$404,$B$5:$B$404,B109))</f>
        <v>0</v>
      </c>
      <c r="L109" s="8">
        <f>IF(OR(J109="",K109="",K109=0),"",J109/K109)</f>
        <v>0</v>
      </c>
      <c r="M109" s="8">
        <f>IF(K109="","",K109-Weekly_Budget)</f>
        <v>0</v>
      </c>
      <c r="N109" s="8">
        <f>IF(K109="","",IF(K109&gt;Weekly_Budget,"Over budget",IF(K109&gt;Weekly_Budget*0.9,"Close","Within budget")))</f>
        <v>0</v>
      </c>
      <c r="O109" s="7"/>
      <c r="P109" s="27"/>
      <c r="Q109" s="27"/>
      <c r="R109" s="28"/>
      <c r="S109" s="8">
        <f>IF(J109="","",COUNTIFS($J$5:$J$404,"&gt;"&amp;J109)+1)</f>
        <v>0</v>
      </c>
      <c r="T109" s="8">
        <f>IF(OR(A109="",J109=""),"",SUMIFS($J$5:$J$404,$C$5:$C$404,C109,$A$5:$A$404,"&lt;="&amp;A109))</f>
        <v>0</v>
      </c>
      <c r="U109" s="8">
        <f>IF(E109="","",IF(Q109="Yes","On offer","Full price"))</f>
        <v>0</v>
      </c>
      <c r="V109" s="25"/>
    </row>
    <row r="110" spans="1:22">
      <c r="A110" s="30"/>
      <c r="B110" s="8">
        <f>IF(A110="","",A110-WEEKDAY(A110,2)+1)</f>
        <v>0</v>
      </c>
      <c r="C110" s="8">
        <f>IF(A110="","",TEXT(A110,"mmm yyyy"))</f>
        <v>0</v>
      </c>
      <c r="D110" s="27"/>
      <c r="E110" s="7"/>
      <c r="F110" s="8">
        <f>IF(E110="","",IFERROR(INDEX(Ingredients!$B$5:$B$304,MATCH(E110,Ingredients!$A$5:$A$304,0)),""))</f>
        <v>0</v>
      </c>
      <c r="G110" s="26"/>
      <c r="H110" s="27"/>
      <c r="I110" s="28"/>
      <c r="J110" s="8">
        <f>IF(OR(E110="",G110="",I110=""),"",G110*I110)</f>
        <v>0</v>
      </c>
      <c r="K110" s="8">
        <f>IF(OR(A110="",J110=""),"",SUMIFS($J$5:$J$404,$B$5:$B$404,B110))</f>
        <v>0</v>
      </c>
      <c r="L110" s="8">
        <f>IF(OR(J110="",K110="",K110=0),"",J110/K110)</f>
        <v>0</v>
      </c>
      <c r="M110" s="8">
        <f>IF(K110="","",K110-Weekly_Budget)</f>
        <v>0</v>
      </c>
      <c r="N110" s="8">
        <f>IF(K110="","",IF(K110&gt;Weekly_Budget,"Over budget",IF(K110&gt;Weekly_Budget*0.9,"Close","Within budget")))</f>
        <v>0</v>
      </c>
      <c r="O110" s="7"/>
      <c r="P110" s="27"/>
      <c r="Q110" s="27"/>
      <c r="R110" s="28"/>
      <c r="S110" s="8">
        <f>IF(J110="","",COUNTIFS($J$5:$J$404,"&gt;"&amp;J110)+1)</f>
        <v>0</v>
      </c>
      <c r="T110" s="8">
        <f>IF(OR(A110="",J110=""),"",SUMIFS($J$5:$J$404,$C$5:$C$404,C110,$A$5:$A$404,"&lt;="&amp;A110))</f>
        <v>0</v>
      </c>
      <c r="U110" s="8">
        <f>IF(E110="","",IF(Q110="Yes","On offer","Full price"))</f>
        <v>0</v>
      </c>
      <c r="V110" s="25"/>
    </row>
    <row r="111" spans="1:22">
      <c r="A111" s="30"/>
      <c r="B111" s="8">
        <f>IF(A111="","",A111-WEEKDAY(A111,2)+1)</f>
        <v>0</v>
      </c>
      <c r="C111" s="8">
        <f>IF(A111="","",TEXT(A111,"mmm yyyy"))</f>
        <v>0</v>
      </c>
      <c r="D111" s="27"/>
      <c r="E111" s="7"/>
      <c r="F111" s="8">
        <f>IF(E111="","",IFERROR(INDEX(Ingredients!$B$5:$B$304,MATCH(E111,Ingredients!$A$5:$A$304,0)),""))</f>
        <v>0</v>
      </c>
      <c r="G111" s="26"/>
      <c r="H111" s="27"/>
      <c r="I111" s="28"/>
      <c r="J111" s="8">
        <f>IF(OR(E111="",G111="",I111=""),"",G111*I111)</f>
        <v>0</v>
      </c>
      <c r="K111" s="8">
        <f>IF(OR(A111="",J111=""),"",SUMIFS($J$5:$J$404,$B$5:$B$404,B111))</f>
        <v>0</v>
      </c>
      <c r="L111" s="8">
        <f>IF(OR(J111="",K111="",K111=0),"",J111/K111)</f>
        <v>0</v>
      </c>
      <c r="M111" s="8">
        <f>IF(K111="","",K111-Weekly_Budget)</f>
        <v>0</v>
      </c>
      <c r="N111" s="8">
        <f>IF(K111="","",IF(K111&gt;Weekly_Budget,"Over budget",IF(K111&gt;Weekly_Budget*0.9,"Close","Within budget")))</f>
        <v>0</v>
      </c>
      <c r="O111" s="7"/>
      <c r="P111" s="27"/>
      <c r="Q111" s="27"/>
      <c r="R111" s="28"/>
      <c r="S111" s="8">
        <f>IF(J111="","",COUNTIFS($J$5:$J$404,"&gt;"&amp;J111)+1)</f>
        <v>0</v>
      </c>
      <c r="T111" s="8">
        <f>IF(OR(A111="",J111=""),"",SUMIFS($J$5:$J$404,$C$5:$C$404,C111,$A$5:$A$404,"&lt;="&amp;A111))</f>
        <v>0</v>
      </c>
      <c r="U111" s="8">
        <f>IF(E111="","",IF(Q111="Yes","On offer","Full price"))</f>
        <v>0</v>
      </c>
      <c r="V111" s="25"/>
    </row>
    <row r="112" spans="1:22">
      <c r="A112" s="30"/>
      <c r="B112" s="8">
        <f>IF(A112="","",A112-WEEKDAY(A112,2)+1)</f>
        <v>0</v>
      </c>
      <c r="C112" s="8">
        <f>IF(A112="","",TEXT(A112,"mmm yyyy"))</f>
        <v>0</v>
      </c>
      <c r="D112" s="27"/>
      <c r="E112" s="7"/>
      <c r="F112" s="8">
        <f>IF(E112="","",IFERROR(INDEX(Ingredients!$B$5:$B$304,MATCH(E112,Ingredients!$A$5:$A$304,0)),""))</f>
        <v>0</v>
      </c>
      <c r="G112" s="26"/>
      <c r="H112" s="27"/>
      <c r="I112" s="28"/>
      <c r="J112" s="8">
        <f>IF(OR(E112="",G112="",I112=""),"",G112*I112)</f>
        <v>0</v>
      </c>
      <c r="K112" s="8">
        <f>IF(OR(A112="",J112=""),"",SUMIFS($J$5:$J$404,$B$5:$B$404,B112))</f>
        <v>0</v>
      </c>
      <c r="L112" s="8">
        <f>IF(OR(J112="",K112="",K112=0),"",J112/K112)</f>
        <v>0</v>
      </c>
      <c r="M112" s="8">
        <f>IF(K112="","",K112-Weekly_Budget)</f>
        <v>0</v>
      </c>
      <c r="N112" s="8">
        <f>IF(K112="","",IF(K112&gt;Weekly_Budget,"Over budget",IF(K112&gt;Weekly_Budget*0.9,"Close","Within budget")))</f>
        <v>0</v>
      </c>
      <c r="O112" s="7"/>
      <c r="P112" s="27"/>
      <c r="Q112" s="27"/>
      <c r="R112" s="28"/>
      <c r="S112" s="8">
        <f>IF(J112="","",COUNTIFS($J$5:$J$404,"&gt;"&amp;J112)+1)</f>
        <v>0</v>
      </c>
      <c r="T112" s="8">
        <f>IF(OR(A112="",J112=""),"",SUMIFS($J$5:$J$404,$C$5:$C$404,C112,$A$5:$A$404,"&lt;="&amp;A112))</f>
        <v>0</v>
      </c>
      <c r="U112" s="8">
        <f>IF(E112="","",IF(Q112="Yes","On offer","Full price"))</f>
        <v>0</v>
      </c>
      <c r="V112" s="25"/>
    </row>
    <row r="113" spans="1:22">
      <c r="A113" s="30"/>
      <c r="B113" s="8">
        <f>IF(A113="","",A113-WEEKDAY(A113,2)+1)</f>
        <v>0</v>
      </c>
      <c r="C113" s="8">
        <f>IF(A113="","",TEXT(A113,"mmm yyyy"))</f>
        <v>0</v>
      </c>
      <c r="D113" s="27"/>
      <c r="E113" s="7"/>
      <c r="F113" s="8">
        <f>IF(E113="","",IFERROR(INDEX(Ingredients!$B$5:$B$304,MATCH(E113,Ingredients!$A$5:$A$304,0)),""))</f>
        <v>0</v>
      </c>
      <c r="G113" s="26"/>
      <c r="H113" s="27"/>
      <c r="I113" s="28"/>
      <c r="J113" s="8">
        <f>IF(OR(E113="",G113="",I113=""),"",G113*I113)</f>
        <v>0</v>
      </c>
      <c r="K113" s="8">
        <f>IF(OR(A113="",J113=""),"",SUMIFS($J$5:$J$404,$B$5:$B$404,B113))</f>
        <v>0</v>
      </c>
      <c r="L113" s="8">
        <f>IF(OR(J113="",K113="",K113=0),"",J113/K113)</f>
        <v>0</v>
      </c>
      <c r="M113" s="8">
        <f>IF(K113="","",K113-Weekly_Budget)</f>
        <v>0</v>
      </c>
      <c r="N113" s="8">
        <f>IF(K113="","",IF(K113&gt;Weekly_Budget,"Over budget",IF(K113&gt;Weekly_Budget*0.9,"Close","Within budget")))</f>
        <v>0</v>
      </c>
      <c r="O113" s="7"/>
      <c r="P113" s="27"/>
      <c r="Q113" s="27"/>
      <c r="R113" s="28"/>
      <c r="S113" s="8">
        <f>IF(J113="","",COUNTIFS($J$5:$J$404,"&gt;"&amp;J113)+1)</f>
        <v>0</v>
      </c>
      <c r="T113" s="8">
        <f>IF(OR(A113="",J113=""),"",SUMIFS($J$5:$J$404,$C$5:$C$404,C113,$A$5:$A$404,"&lt;="&amp;A113))</f>
        <v>0</v>
      </c>
      <c r="U113" s="8">
        <f>IF(E113="","",IF(Q113="Yes","On offer","Full price"))</f>
        <v>0</v>
      </c>
      <c r="V113" s="25"/>
    </row>
    <row r="114" spans="1:22">
      <c r="A114" s="30"/>
      <c r="B114" s="8">
        <f>IF(A114="","",A114-WEEKDAY(A114,2)+1)</f>
        <v>0</v>
      </c>
      <c r="C114" s="8">
        <f>IF(A114="","",TEXT(A114,"mmm yyyy"))</f>
        <v>0</v>
      </c>
      <c r="D114" s="27"/>
      <c r="E114" s="7"/>
      <c r="F114" s="8">
        <f>IF(E114="","",IFERROR(INDEX(Ingredients!$B$5:$B$304,MATCH(E114,Ingredients!$A$5:$A$304,0)),""))</f>
        <v>0</v>
      </c>
      <c r="G114" s="26"/>
      <c r="H114" s="27"/>
      <c r="I114" s="28"/>
      <c r="J114" s="8">
        <f>IF(OR(E114="",G114="",I114=""),"",G114*I114)</f>
        <v>0</v>
      </c>
      <c r="K114" s="8">
        <f>IF(OR(A114="",J114=""),"",SUMIFS($J$5:$J$404,$B$5:$B$404,B114))</f>
        <v>0</v>
      </c>
      <c r="L114" s="8">
        <f>IF(OR(J114="",K114="",K114=0),"",J114/K114)</f>
        <v>0</v>
      </c>
      <c r="M114" s="8">
        <f>IF(K114="","",K114-Weekly_Budget)</f>
        <v>0</v>
      </c>
      <c r="N114" s="8">
        <f>IF(K114="","",IF(K114&gt;Weekly_Budget,"Over budget",IF(K114&gt;Weekly_Budget*0.9,"Close","Within budget")))</f>
        <v>0</v>
      </c>
      <c r="O114" s="7"/>
      <c r="P114" s="27"/>
      <c r="Q114" s="27"/>
      <c r="R114" s="28"/>
      <c r="S114" s="8">
        <f>IF(J114="","",COUNTIFS($J$5:$J$404,"&gt;"&amp;J114)+1)</f>
        <v>0</v>
      </c>
      <c r="T114" s="8">
        <f>IF(OR(A114="",J114=""),"",SUMIFS($J$5:$J$404,$C$5:$C$404,C114,$A$5:$A$404,"&lt;="&amp;A114))</f>
        <v>0</v>
      </c>
      <c r="U114" s="8">
        <f>IF(E114="","",IF(Q114="Yes","On offer","Full price"))</f>
        <v>0</v>
      </c>
      <c r="V114" s="25"/>
    </row>
    <row r="115" spans="1:22">
      <c r="A115" s="30"/>
      <c r="B115" s="8">
        <f>IF(A115="","",A115-WEEKDAY(A115,2)+1)</f>
        <v>0</v>
      </c>
      <c r="C115" s="8">
        <f>IF(A115="","",TEXT(A115,"mmm yyyy"))</f>
        <v>0</v>
      </c>
      <c r="D115" s="27"/>
      <c r="E115" s="7"/>
      <c r="F115" s="8">
        <f>IF(E115="","",IFERROR(INDEX(Ingredients!$B$5:$B$304,MATCH(E115,Ingredients!$A$5:$A$304,0)),""))</f>
        <v>0</v>
      </c>
      <c r="G115" s="26"/>
      <c r="H115" s="27"/>
      <c r="I115" s="28"/>
      <c r="J115" s="8">
        <f>IF(OR(E115="",G115="",I115=""),"",G115*I115)</f>
        <v>0</v>
      </c>
      <c r="K115" s="8">
        <f>IF(OR(A115="",J115=""),"",SUMIFS($J$5:$J$404,$B$5:$B$404,B115))</f>
        <v>0</v>
      </c>
      <c r="L115" s="8">
        <f>IF(OR(J115="",K115="",K115=0),"",J115/K115)</f>
        <v>0</v>
      </c>
      <c r="M115" s="8">
        <f>IF(K115="","",K115-Weekly_Budget)</f>
        <v>0</v>
      </c>
      <c r="N115" s="8">
        <f>IF(K115="","",IF(K115&gt;Weekly_Budget,"Over budget",IF(K115&gt;Weekly_Budget*0.9,"Close","Within budget")))</f>
        <v>0</v>
      </c>
      <c r="O115" s="7"/>
      <c r="P115" s="27"/>
      <c r="Q115" s="27"/>
      <c r="R115" s="28"/>
      <c r="S115" s="8">
        <f>IF(J115="","",COUNTIFS($J$5:$J$404,"&gt;"&amp;J115)+1)</f>
        <v>0</v>
      </c>
      <c r="T115" s="8">
        <f>IF(OR(A115="",J115=""),"",SUMIFS($J$5:$J$404,$C$5:$C$404,C115,$A$5:$A$404,"&lt;="&amp;A115))</f>
        <v>0</v>
      </c>
      <c r="U115" s="8">
        <f>IF(E115="","",IF(Q115="Yes","On offer","Full price"))</f>
        <v>0</v>
      </c>
      <c r="V115" s="25"/>
    </row>
    <row r="116" spans="1:22">
      <c r="A116" s="30"/>
      <c r="B116" s="8">
        <f>IF(A116="","",A116-WEEKDAY(A116,2)+1)</f>
        <v>0</v>
      </c>
      <c r="C116" s="8">
        <f>IF(A116="","",TEXT(A116,"mmm yyyy"))</f>
        <v>0</v>
      </c>
      <c r="D116" s="27"/>
      <c r="E116" s="7"/>
      <c r="F116" s="8">
        <f>IF(E116="","",IFERROR(INDEX(Ingredients!$B$5:$B$304,MATCH(E116,Ingredients!$A$5:$A$304,0)),""))</f>
        <v>0</v>
      </c>
      <c r="G116" s="26"/>
      <c r="H116" s="27"/>
      <c r="I116" s="28"/>
      <c r="J116" s="8">
        <f>IF(OR(E116="",G116="",I116=""),"",G116*I116)</f>
        <v>0</v>
      </c>
      <c r="K116" s="8">
        <f>IF(OR(A116="",J116=""),"",SUMIFS($J$5:$J$404,$B$5:$B$404,B116))</f>
        <v>0</v>
      </c>
      <c r="L116" s="8">
        <f>IF(OR(J116="",K116="",K116=0),"",J116/K116)</f>
        <v>0</v>
      </c>
      <c r="M116" s="8">
        <f>IF(K116="","",K116-Weekly_Budget)</f>
        <v>0</v>
      </c>
      <c r="N116" s="8">
        <f>IF(K116="","",IF(K116&gt;Weekly_Budget,"Over budget",IF(K116&gt;Weekly_Budget*0.9,"Close","Within budget")))</f>
        <v>0</v>
      </c>
      <c r="O116" s="7"/>
      <c r="P116" s="27"/>
      <c r="Q116" s="27"/>
      <c r="R116" s="28"/>
      <c r="S116" s="8">
        <f>IF(J116="","",COUNTIFS($J$5:$J$404,"&gt;"&amp;J116)+1)</f>
        <v>0</v>
      </c>
      <c r="T116" s="8">
        <f>IF(OR(A116="",J116=""),"",SUMIFS($J$5:$J$404,$C$5:$C$404,C116,$A$5:$A$404,"&lt;="&amp;A116))</f>
        <v>0</v>
      </c>
      <c r="U116" s="8">
        <f>IF(E116="","",IF(Q116="Yes","On offer","Full price"))</f>
        <v>0</v>
      </c>
      <c r="V116" s="25"/>
    </row>
    <row r="117" spans="1:22">
      <c r="A117" s="30"/>
      <c r="B117" s="8">
        <f>IF(A117="","",A117-WEEKDAY(A117,2)+1)</f>
        <v>0</v>
      </c>
      <c r="C117" s="8">
        <f>IF(A117="","",TEXT(A117,"mmm yyyy"))</f>
        <v>0</v>
      </c>
      <c r="D117" s="27"/>
      <c r="E117" s="7"/>
      <c r="F117" s="8">
        <f>IF(E117="","",IFERROR(INDEX(Ingredients!$B$5:$B$304,MATCH(E117,Ingredients!$A$5:$A$304,0)),""))</f>
        <v>0</v>
      </c>
      <c r="G117" s="26"/>
      <c r="H117" s="27"/>
      <c r="I117" s="28"/>
      <c r="J117" s="8">
        <f>IF(OR(E117="",G117="",I117=""),"",G117*I117)</f>
        <v>0</v>
      </c>
      <c r="K117" s="8">
        <f>IF(OR(A117="",J117=""),"",SUMIFS($J$5:$J$404,$B$5:$B$404,B117))</f>
        <v>0</v>
      </c>
      <c r="L117" s="8">
        <f>IF(OR(J117="",K117="",K117=0),"",J117/K117)</f>
        <v>0</v>
      </c>
      <c r="M117" s="8">
        <f>IF(K117="","",K117-Weekly_Budget)</f>
        <v>0</v>
      </c>
      <c r="N117" s="8">
        <f>IF(K117="","",IF(K117&gt;Weekly_Budget,"Over budget",IF(K117&gt;Weekly_Budget*0.9,"Close","Within budget")))</f>
        <v>0</v>
      </c>
      <c r="O117" s="7"/>
      <c r="P117" s="27"/>
      <c r="Q117" s="27"/>
      <c r="R117" s="28"/>
      <c r="S117" s="8">
        <f>IF(J117="","",COUNTIFS($J$5:$J$404,"&gt;"&amp;J117)+1)</f>
        <v>0</v>
      </c>
      <c r="T117" s="8">
        <f>IF(OR(A117="",J117=""),"",SUMIFS($J$5:$J$404,$C$5:$C$404,C117,$A$5:$A$404,"&lt;="&amp;A117))</f>
        <v>0</v>
      </c>
      <c r="U117" s="8">
        <f>IF(E117="","",IF(Q117="Yes","On offer","Full price"))</f>
        <v>0</v>
      </c>
      <c r="V117" s="25"/>
    </row>
    <row r="118" spans="1:22">
      <c r="A118" s="30"/>
      <c r="B118" s="8">
        <f>IF(A118="","",A118-WEEKDAY(A118,2)+1)</f>
        <v>0</v>
      </c>
      <c r="C118" s="8">
        <f>IF(A118="","",TEXT(A118,"mmm yyyy"))</f>
        <v>0</v>
      </c>
      <c r="D118" s="27"/>
      <c r="E118" s="7"/>
      <c r="F118" s="8">
        <f>IF(E118="","",IFERROR(INDEX(Ingredients!$B$5:$B$304,MATCH(E118,Ingredients!$A$5:$A$304,0)),""))</f>
        <v>0</v>
      </c>
      <c r="G118" s="26"/>
      <c r="H118" s="27"/>
      <c r="I118" s="28"/>
      <c r="J118" s="8">
        <f>IF(OR(E118="",G118="",I118=""),"",G118*I118)</f>
        <v>0</v>
      </c>
      <c r="K118" s="8">
        <f>IF(OR(A118="",J118=""),"",SUMIFS($J$5:$J$404,$B$5:$B$404,B118))</f>
        <v>0</v>
      </c>
      <c r="L118" s="8">
        <f>IF(OR(J118="",K118="",K118=0),"",J118/K118)</f>
        <v>0</v>
      </c>
      <c r="M118" s="8">
        <f>IF(K118="","",K118-Weekly_Budget)</f>
        <v>0</v>
      </c>
      <c r="N118" s="8">
        <f>IF(K118="","",IF(K118&gt;Weekly_Budget,"Over budget",IF(K118&gt;Weekly_Budget*0.9,"Close","Within budget")))</f>
        <v>0</v>
      </c>
      <c r="O118" s="7"/>
      <c r="P118" s="27"/>
      <c r="Q118" s="27"/>
      <c r="R118" s="28"/>
      <c r="S118" s="8">
        <f>IF(J118="","",COUNTIFS($J$5:$J$404,"&gt;"&amp;J118)+1)</f>
        <v>0</v>
      </c>
      <c r="T118" s="8">
        <f>IF(OR(A118="",J118=""),"",SUMIFS($J$5:$J$404,$C$5:$C$404,C118,$A$5:$A$404,"&lt;="&amp;A118))</f>
        <v>0</v>
      </c>
      <c r="U118" s="8">
        <f>IF(E118="","",IF(Q118="Yes","On offer","Full price"))</f>
        <v>0</v>
      </c>
      <c r="V118" s="25"/>
    </row>
    <row r="119" spans="1:22">
      <c r="A119" s="30"/>
      <c r="B119" s="8">
        <f>IF(A119="","",A119-WEEKDAY(A119,2)+1)</f>
        <v>0</v>
      </c>
      <c r="C119" s="8">
        <f>IF(A119="","",TEXT(A119,"mmm yyyy"))</f>
        <v>0</v>
      </c>
      <c r="D119" s="27"/>
      <c r="E119" s="7"/>
      <c r="F119" s="8">
        <f>IF(E119="","",IFERROR(INDEX(Ingredients!$B$5:$B$304,MATCH(E119,Ingredients!$A$5:$A$304,0)),""))</f>
        <v>0</v>
      </c>
      <c r="G119" s="26"/>
      <c r="H119" s="27"/>
      <c r="I119" s="28"/>
      <c r="J119" s="8">
        <f>IF(OR(E119="",G119="",I119=""),"",G119*I119)</f>
        <v>0</v>
      </c>
      <c r="K119" s="8">
        <f>IF(OR(A119="",J119=""),"",SUMIFS($J$5:$J$404,$B$5:$B$404,B119))</f>
        <v>0</v>
      </c>
      <c r="L119" s="8">
        <f>IF(OR(J119="",K119="",K119=0),"",J119/K119)</f>
        <v>0</v>
      </c>
      <c r="M119" s="8">
        <f>IF(K119="","",K119-Weekly_Budget)</f>
        <v>0</v>
      </c>
      <c r="N119" s="8">
        <f>IF(K119="","",IF(K119&gt;Weekly_Budget,"Over budget",IF(K119&gt;Weekly_Budget*0.9,"Close","Within budget")))</f>
        <v>0</v>
      </c>
      <c r="O119" s="7"/>
      <c r="P119" s="27"/>
      <c r="Q119" s="27"/>
      <c r="R119" s="28"/>
      <c r="S119" s="8">
        <f>IF(J119="","",COUNTIFS($J$5:$J$404,"&gt;"&amp;J119)+1)</f>
        <v>0</v>
      </c>
      <c r="T119" s="8">
        <f>IF(OR(A119="",J119=""),"",SUMIFS($J$5:$J$404,$C$5:$C$404,C119,$A$5:$A$404,"&lt;="&amp;A119))</f>
        <v>0</v>
      </c>
      <c r="U119" s="8">
        <f>IF(E119="","",IF(Q119="Yes","On offer","Full price"))</f>
        <v>0</v>
      </c>
      <c r="V119" s="25"/>
    </row>
    <row r="120" spans="1:22">
      <c r="A120" s="30"/>
      <c r="B120" s="8">
        <f>IF(A120="","",A120-WEEKDAY(A120,2)+1)</f>
        <v>0</v>
      </c>
      <c r="C120" s="8">
        <f>IF(A120="","",TEXT(A120,"mmm yyyy"))</f>
        <v>0</v>
      </c>
      <c r="D120" s="27"/>
      <c r="E120" s="7"/>
      <c r="F120" s="8">
        <f>IF(E120="","",IFERROR(INDEX(Ingredients!$B$5:$B$304,MATCH(E120,Ingredients!$A$5:$A$304,0)),""))</f>
        <v>0</v>
      </c>
      <c r="G120" s="26"/>
      <c r="H120" s="27"/>
      <c r="I120" s="28"/>
      <c r="J120" s="8">
        <f>IF(OR(E120="",G120="",I120=""),"",G120*I120)</f>
        <v>0</v>
      </c>
      <c r="K120" s="8">
        <f>IF(OR(A120="",J120=""),"",SUMIFS($J$5:$J$404,$B$5:$B$404,B120))</f>
        <v>0</v>
      </c>
      <c r="L120" s="8">
        <f>IF(OR(J120="",K120="",K120=0),"",J120/K120)</f>
        <v>0</v>
      </c>
      <c r="M120" s="8">
        <f>IF(K120="","",K120-Weekly_Budget)</f>
        <v>0</v>
      </c>
      <c r="N120" s="8">
        <f>IF(K120="","",IF(K120&gt;Weekly_Budget,"Over budget",IF(K120&gt;Weekly_Budget*0.9,"Close","Within budget")))</f>
        <v>0</v>
      </c>
      <c r="O120" s="7"/>
      <c r="P120" s="27"/>
      <c r="Q120" s="27"/>
      <c r="R120" s="28"/>
      <c r="S120" s="8">
        <f>IF(J120="","",COUNTIFS($J$5:$J$404,"&gt;"&amp;J120)+1)</f>
        <v>0</v>
      </c>
      <c r="T120" s="8">
        <f>IF(OR(A120="",J120=""),"",SUMIFS($J$5:$J$404,$C$5:$C$404,C120,$A$5:$A$404,"&lt;="&amp;A120))</f>
        <v>0</v>
      </c>
      <c r="U120" s="8">
        <f>IF(E120="","",IF(Q120="Yes","On offer","Full price"))</f>
        <v>0</v>
      </c>
      <c r="V120" s="25"/>
    </row>
    <row r="121" spans="1:22">
      <c r="A121" s="30"/>
      <c r="B121" s="8">
        <f>IF(A121="","",A121-WEEKDAY(A121,2)+1)</f>
        <v>0</v>
      </c>
      <c r="C121" s="8">
        <f>IF(A121="","",TEXT(A121,"mmm yyyy"))</f>
        <v>0</v>
      </c>
      <c r="D121" s="27"/>
      <c r="E121" s="7"/>
      <c r="F121" s="8">
        <f>IF(E121="","",IFERROR(INDEX(Ingredients!$B$5:$B$304,MATCH(E121,Ingredients!$A$5:$A$304,0)),""))</f>
        <v>0</v>
      </c>
      <c r="G121" s="26"/>
      <c r="H121" s="27"/>
      <c r="I121" s="28"/>
      <c r="J121" s="8">
        <f>IF(OR(E121="",G121="",I121=""),"",G121*I121)</f>
        <v>0</v>
      </c>
      <c r="K121" s="8">
        <f>IF(OR(A121="",J121=""),"",SUMIFS($J$5:$J$404,$B$5:$B$404,B121))</f>
        <v>0</v>
      </c>
      <c r="L121" s="8">
        <f>IF(OR(J121="",K121="",K121=0),"",J121/K121)</f>
        <v>0</v>
      </c>
      <c r="M121" s="8">
        <f>IF(K121="","",K121-Weekly_Budget)</f>
        <v>0</v>
      </c>
      <c r="N121" s="8">
        <f>IF(K121="","",IF(K121&gt;Weekly_Budget,"Over budget",IF(K121&gt;Weekly_Budget*0.9,"Close","Within budget")))</f>
        <v>0</v>
      </c>
      <c r="O121" s="7"/>
      <c r="P121" s="27"/>
      <c r="Q121" s="27"/>
      <c r="R121" s="28"/>
      <c r="S121" s="8">
        <f>IF(J121="","",COUNTIFS($J$5:$J$404,"&gt;"&amp;J121)+1)</f>
        <v>0</v>
      </c>
      <c r="T121" s="8">
        <f>IF(OR(A121="",J121=""),"",SUMIFS($J$5:$J$404,$C$5:$C$404,C121,$A$5:$A$404,"&lt;="&amp;A121))</f>
        <v>0</v>
      </c>
      <c r="U121" s="8">
        <f>IF(E121="","",IF(Q121="Yes","On offer","Full price"))</f>
        <v>0</v>
      </c>
      <c r="V121" s="25"/>
    </row>
    <row r="122" spans="1:22">
      <c r="A122" s="30"/>
      <c r="B122" s="8">
        <f>IF(A122="","",A122-WEEKDAY(A122,2)+1)</f>
        <v>0</v>
      </c>
      <c r="C122" s="8">
        <f>IF(A122="","",TEXT(A122,"mmm yyyy"))</f>
        <v>0</v>
      </c>
      <c r="D122" s="27"/>
      <c r="E122" s="7"/>
      <c r="F122" s="8">
        <f>IF(E122="","",IFERROR(INDEX(Ingredients!$B$5:$B$304,MATCH(E122,Ingredients!$A$5:$A$304,0)),""))</f>
        <v>0</v>
      </c>
      <c r="G122" s="26"/>
      <c r="H122" s="27"/>
      <c r="I122" s="28"/>
      <c r="J122" s="8">
        <f>IF(OR(E122="",G122="",I122=""),"",G122*I122)</f>
        <v>0</v>
      </c>
      <c r="K122" s="8">
        <f>IF(OR(A122="",J122=""),"",SUMIFS($J$5:$J$404,$B$5:$B$404,B122))</f>
        <v>0</v>
      </c>
      <c r="L122" s="8">
        <f>IF(OR(J122="",K122="",K122=0),"",J122/K122)</f>
        <v>0</v>
      </c>
      <c r="M122" s="8">
        <f>IF(K122="","",K122-Weekly_Budget)</f>
        <v>0</v>
      </c>
      <c r="N122" s="8">
        <f>IF(K122="","",IF(K122&gt;Weekly_Budget,"Over budget",IF(K122&gt;Weekly_Budget*0.9,"Close","Within budget")))</f>
        <v>0</v>
      </c>
      <c r="O122" s="7"/>
      <c r="P122" s="27"/>
      <c r="Q122" s="27"/>
      <c r="R122" s="28"/>
      <c r="S122" s="8">
        <f>IF(J122="","",COUNTIFS($J$5:$J$404,"&gt;"&amp;J122)+1)</f>
        <v>0</v>
      </c>
      <c r="T122" s="8">
        <f>IF(OR(A122="",J122=""),"",SUMIFS($J$5:$J$404,$C$5:$C$404,C122,$A$5:$A$404,"&lt;="&amp;A122))</f>
        <v>0</v>
      </c>
      <c r="U122" s="8">
        <f>IF(E122="","",IF(Q122="Yes","On offer","Full price"))</f>
        <v>0</v>
      </c>
      <c r="V122" s="25"/>
    </row>
    <row r="123" spans="1:22">
      <c r="A123" s="30"/>
      <c r="B123" s="8">
        <f>IF(A123="","",A123-WEEKDAY(A123,2)+1)</f>
        <v>0</v>
      </c>
      <c r="C123" s="8">
        <f>IF(A123="","",TEXT(A123,"mmm yyyy"))</f>
        <v>0</v>
      </c>
      <c r="D123" s="27"/>
      <c r="E123" s="7"/>
      <c r="F123" s="8">
        <f>IF(E123="","",IFERROR(INDEX(Ingredients!$B$5:$B$304,MATCH(E123,Ingredients!$A$5:$A$304,0)),""))</f>
        <v>0</v>
      </c>
      <c r="G123" s="26"/>
      <c r="H123" s="27"/>
      <c r="I123" s="28"/>
      <c r="J123" s="8">
        <f>IF(OR(E123="",G123="",I123=""),"",G123*I123)</f>
        <v>0</v>
      </c>
      <c r="K123" s="8">
        <f>IF(OR(A123="",J123=""),"",SUMIFS($J$5:$J$404,$B$5:$B$404,B123))</f>
        <v>0</v>
      </c>
      <c r="L123" s="8">
        <f>IF(OR(J123="",K123="",K123=0),"",J123/K123)</f>
        <v>0</v>
      </c>
      <c r="M123" s="8">
        <f>IF(K123="","",K123-Weekly_Budget)</f>
        <v>0</v>
      </c>
      <c r="N123" s="8">
        <f>IF(K123="","",IF(K123&gt;Weekly_Budget,"Over budget",IF(K123&gt;Weekly_Budget*0.9,"Close","Within budget")))</f>
        <v>0</v>
      </c>
      <c r="O123" s="7"/>
      <c r="P123" s="27"/>
      <c r="Q123" s="27"/>
      <c r="R123" s="28"/>
      <c r="S123" s="8">
        <f>IF(J123="","",COUNTIFS($J$5:$J$404,"&gt;"&amp;J123)+1)</f>
        <v>0</v>
      </c>
      <c r="T123" s="8">
        <f>IF(OR(A123="",J123=""),"",SUMIFS($J$5:$J$404,$C$5:$C$404,C123,$A$5:$A$404,"&lt;="&amp;A123))</f>
        <v>0</v>
      </c>
      <c r="U123" s="8">
        <f>IF(E123="","",IF(Q123="Yes","On offer","Full price"))</f>
        <v>0</v>
      </c>
      <c r="V123" s="25"/>
    </row>
    <row r="124" spans="1:22">
      <c r="A124" s="30"/>
      <c r="B124" s="8">
        <f>IF(A124="","",A124-WEEKDAY(A124,2)+1)</f>
        <v>0</v>
      </c>
      <c r="C124" s="8">
        <f>IF(A124="","",TEXT(A124,"mmm yyyy"))</f>
        <v>0</v>
      </c>
      <c r="D124" s="27"/>
      <c r="E124" s="7"/>
      <c r="F124" s="8">
        <f>IF(E124="","",IFERROR(INDEX(Ingredients!$B$5:$B$304,MATCH(E124,Ingredients!$A$5:$A$304,0)),""))</f>
        <v>0</v>
      </c>
      <c r="G124" s="26"/>
      <c r="H124" s="27"/>
      <c r="I124" s="28"/>
      <c r="J124" s="8">
        <f>IF(OR(E124="",G124="",I124=""),"",G124*I124)</f>
        <v>0</v>
      </c>
      <c r="K124" s="8">
        <f>IF(OR(A124="",J124=""),"",SUMIFS($J$5:$J$404,$B$5:$B$404,B124))</f>
        <v>0</v>
      </c>
      <c r="L124" s="8">
        <f>IF(OR(J124="",K124="",K124=0),"",J124/K124)</f>
        <v>0</v>
      </c>
      <c r="M124" s="8">
        <f>IF(K124="","",K124-Weekly_Budget)</f>
        <v>0</v>
      </c>
      <c r="N124" s="8">
        <f>IF(K124="","",IF(K124&gt;Weekly_Budget,"Over budget",IF(K124&gt;Weekly_Budget*0.9,"Close","Within budget")))</f>
        <v>0</v>
      </c>
      <c r="O124" s="7"/>
      <c r="P124" s="27"/>
      <c r="Q124" s="27"/>
      <c r="R124" s="28"/>
      <c r="S124" s="8">
        <f>IF(J124="","",COUNTIFS($J$5:$J$404,"&gt;"&amp;J124)+1)</f>
        <v>0</v>
      </c>
      <c r="T124" s="8">
        <f>IF(OR(A124="",J124=""),"",SUMIFS($J$5:$J$404,$C$5:$C$404,C124,$A$5:$A$404,"&lt;="&amp;A124))</f>
        <v>0</v>
      </c>
      <c r="U124" s="8">
        <f>IF(E124="","",IF(Q124="Yes","On offer","Full price"))</f>
        <v>0</v>
      </c>
      <c r="V124" s="25"/>
    </row>
    <row r="125" spans="1:22">
      <c r="A125" s="30"/>
      <c r="B125" s="8">
        <f>IF(A125="","",A125-WEEKDAY(A125,2)+1)</f>
        <v>0</v>
      </c>
      <c r="C125" s="8">
        <f>IF(A125="","",TEXT(A125,"mmm yyyy"))</f>
        <v>0</v>
      </c>
      <c r="D125" s="27"/>
      <c r="E125" s="7"/>
      <c r="F125" s="8">
        <f>IF(E125="","",IFERROR(INDEX(Ingredients!$B$5:$B$304,MATCH(E125,Ingredients!$A$5:$A$304,0)),""))</f>
        <v>0</v>
      </c>
      <c r="G125" s="26"/>
      <c r="H125" s="27"/>
      <c r="I125" s="28"/>
      <c r="J125" s="8">
        <f>IF(OR(E125="",G125="",I125=""),"",G125*I125)</f>
        <v>0</v>
      </c>
      <c r="K125" s="8">
        <f>IF(OR(A125="",J125=""),"",SUMIFS($J$5:$J$404,$B$5:$B$404,B125))</f>
        <v>0</v>
      </c>
      <c r="L125" s="8">
        <f>IF(OR(J125="",K125="",K125=0),"",J125/K125)</f>
        <v>0</v>
      </c>
      <c r="M125" s="8">
        <f>IF(K125="","",K125-Weekly_Budget)</f>
        <v>0</v>
      </c>
      <c r="N125" s="8">
        <f>IF(K125="","",IF(K125&gt;Weekly_Budget,"Over budget",IF(K125&gt;Weekly_Budget*0.9,"Close","Within budget")))</f>
        <v>0</v>
      </c>
      <c r="O125" s="7"/>
      <c r="P125" s="27"/>
      <c r="Q125" s="27"/>
      <c r="R125" s="28"/>
      <c r="S125" s="8">
        <f>IF(J125="","",COUNTIFS($J$5:$J$404,"&gt;"&amp;J125)+1)</f>
        <v>0</v>
      </c>
      <c r="T125" s="8">
        <f>IF(OR(A125="",J125=""),"",SUMIFS($J$5:$J$404,$C$5:$C$404,C125,$A$5:$A$404,"&lt;="&amp;A125))</f>
        <v>0</v>
      </c>
      <c r="U125" s="8">
        <f>IF(E125="","",IF(Q125="Yes","On offer","Full price"))</f>
        <v>0</v>
      </c>
      <c r="V125" s="25"/>
    </row>
    <row r="126" spans="1:22">
      <c r="A126" s="30"/>
      <c r="B126" s="8">
        <f>IF(A126="","",A126-WEEKDAY(A126,2)+1)</f>
        <v>0</v>
      </c>
      <c r="C126" s="8">
        <f>IF(A126="","",TEXT(A126,"mmm yyyy"))</f>
        <v>0</v>
      </c>
      <c r="D126" s="27"/>
      <c r="E126" s="7"/>
      <c r="F126" s="8">
        <f>IF(E126="","",IFERROR(INDEX(Ingredients!$B$5:$B$304,MATCH(E126,Ingredients!$A$5:$A$304,0)),""))</f>
        <v>0</v>
      </c>
      <c r="G126" s="26"/>
      <c r="H126" s="27"/>
      <c r="I126" s="28"/>
      <c r="J126" s="8">
        <f>IF(OR(E126="",G126="",I126=""),"",G126*I126)</f>
        <v>0</v>
      </c>
      <c r="K126" s="8">
        <f>IF(OR(A126="",J126=""),"",SUMIFS($J$5:$J$404,$B$5:$B$404,B126))</f>
        <v>0</v>
      </c>
      <c r="L126" s="8">
        <f>IF(OR(J126="",K126="",K126=0),"",J126/K126)</f>
        <v>0</v>
      </c>
      <c r="M126" s="8">
        <f>IF(K126="","",K126-Weekly_Budget)</f>
        <v>0</v>
      </c>
      <c r="N126" s="8">
        <f>IF(K126="","",IF(K126&gt;Weekly_Budget,"Over budget",IF(K126&gt;Weekly_Budget*0.9,"Close","Within budget")))</f>
        <v>0</v>
      </c>
      <c r="O126" s="7"/>
      <c r="P126" s="27"/>
      <c r="Q126" s="27"/>
      <c r="R126" s="28"/>
      <c r="S126" s="8">
        <f>IF(J126="","",COUNTIFS($J$5:$J$404,"&gt;"&amp;J126)+1)</f>
        <v>0</v>
      </c>
      <c r="T126" s="8">
        <f>IF(OR(A126="",J126=""),"",SUMIFS($J$5:$J$404,$C$5:$C$404,C126,$A$5:$A$404,"&lt;="&amp;A126))</f>
        <v>0</v>
      </c>
      <c r="U126" s="8">
        <f>IF(E126="","",IF(Q126="Yes","On offer","Full price"))</f>
        <v>0</v>
      </c>
      <c r="V126" s="25"/>
    </row>
    <row r="127" spans="1:22">
      <c r="A127" s="30"/>
      <c r="B127" s="8">
        <f>IF(A127="","",A127-WEEKDAY(A127,2)+1)</f>
        <v>0</v>
      </c>
      <c r="C127" s="8">
        <f>IF(A127="","",TEXT(A127,"mmm yyyy"))</f>
        <v>0</v>
      </c>
      <c r="D127" s="27"/>
      <c r="E127" s="7"/>
      <c r="F127" s="8">
        <f>IF(E127="","",IFERROR(INDEX(Ingredients!$B$5:$B$304,MATCH(E127,Ingredients!$A$5:$A$304,0)),""))</f>
        <v>0</v>
      </c>
      <c r="G127" s="26"/>
      <c r="H127" s="27"/>
      <c r="I127" s="28"/>
      <c r="J127" s="8">
        <f>IF(OR(E127="",G127="",I127=""),"",G127*I127)</f>
        <v>0</v>
      </c>
      <c r="K127" s="8">
        <f>IF(OR(A127="",J127=""),"",SUMIFS($J$5:$J$404,$B$5:$B$404,B127))</f>
        <v>0</v>
      </c>
      <c r="L127" s="8">
        <f>IF(OR(J127="",K127="",K127=0),"",J127/K127)</f>
        <v>0</v>
      </c>
      <c r="M127" s="8">
        <f>IF(K127="","",K127-Weekly_Budget)</f>
        <v>0</v>
      </c>
      <c r="N127" s="8">
        <f>IF(K127="","",IF(K127&gt;Weekly_Budget,"Over budget",IF(K127&gt;Weekly_Budget*0.9,"Close","Within budget")))</f>
        <v>0</v>
      </c>
      <c r="O127" s="7"/>
      <c r="P127" s="27"/>
      <c r="Q127" s="27"/>
      <c r="R127" s="28"/>
      <c r="S127" s="8">
        <f>IF(J127="","",COUNTIFS($J$5:$J$404,"&gt;"&amp;J127)+1)</f>
        <v>0</v>
      </c>
      <c r="T127" s="8">
        <f>IF(OR(A127="",J127=""),"",SUMIFS($J$5:$J$404,$C$5:$C$404,C127,$A$5:$A$404,"&lt;="&amp;A127))</f>
        <v>0</v>
      </c>
      <c r="U127" s="8">
        <f>IF(E127="","",IF(Q127="Yes","On offer","Full price"))</f>
        <v>0</v>
      </c>
      <c r="V127" s="25"/>
    </row>
    <row r="128" spans="1:22">
      <c r="A128" s="30"/>
      <c r="B128" s="8">
        <f>IF(A128="","",A128-WEEKDAY(A128,2)+1)</f>
        <v>0</v>
      </c>
      <c r="C128" s="8">
        <f>IF(A128="","",TEXT(A128,"mmm yyyy"))</f>
        <v>0</v>
      </c>
      <c r="D128" s="27"/>
      <c r="E128" s="7"/>
      <c r="F128" s="8">
        <f>IF(E128="","",IFERROR(INDEX(Ingredients!$B$5:$B$304,MATCH(E128,Ingredients!$A$5:$A$304,0)),""))</f>
        <v>0</v>
      </c>
      <c r="G128" s="26"/>
      <c r="H128" s="27"/>
      <c r="I128" s="28"/>
      <c r="J128" s="8">
        <f>IF(OR(E128="",G128="",I128=""),"",G128*I128)</f>
        <v>0</v>
      </c>
      <c r="K128" s="8">
        <f>IF(OR(A128="",J128=""),"",SUMIFS($J$5:$J$404,$B$5:$B$404,B128))</f>
        <v>0</v>
      </c>
      <c r="L128" s="8">
        <f>IF(OR(J128="",K128="",K128=0),"",J128/K128)</f>
        <v>0</v>
      </c>
      <c r="M128" s="8">
        <f>IF(K128="","",K128-Weekly_Budget)</f>
        <v>0</v>
      </c>
      <c r="N128" s="8">
        <f>IF(K128="","",IF(K128&gt;Weekly_Budget,"Over budget",IF(K128&gt;Weekly_Budget*0.9,"Close","Within budget")))</f>
        <v>0</v>
      </c>
      <c r="O128" s="7"/>
      <c r="P128" s="27"/>
      <c r="Q128" s="27"/>
      <c r="R128" s="28"/>
      <c r="S128" s="8">
        <f>IF(J128="","",COUNTIFS($J$5:$J$404,"&gt;"&amp;J128)+1)</f>
        <v>0</v>
      </c>
      <c r="T128" s="8">
        <f>IF(OR(A128="",J128=""),"",SUMIFS($J$5:$J$404,$C$5:$C$404,C128,$A$5:$A$404,"&lt;="&amp;A128))</f>
        <v>0</v>
      </c>
      <c r="U128" s="8">
        <f>IF(E128="","",IF(Q128="Yes","On offer","Full price"))</f>
        <v>0</v>
      </c>
      <c r="V128" s="25"/>
    </row>
    <row r="129" spans="1:22">
      <c r="A129" s="30"/>
      <c r="B129" s="8">
        <f>IF(A129="","",A129-WEEKDAY(A129,2)+1)</f>
        <v>0</v>
      </c>
      <c r="C129" s="8">
        <f>IF(A129="","",TEXT(A129,"mmm yyyy"))</f>
        <v>0</v>
      </c>
      <c r="D129" s="27"/>
      <c r="E129" s="7"/>
      <c r="F129" s="8">
        <f>IF(E129="","",IFERROR(INDEX(Ingredients!$B$5:$B$304,MATCH(E129,Ingredients!$A$5:$A$304,0)),""))</f>
        <v>0</v>
      </c>
      <c r="G129" s="26"/>
      <c r="H129" s="27"/>
      <c r="I129" s="28"/>
      <c r="J129" s="8">
        <f>IF(OR(E129="",G129="",I129=""),"",G129*I129)</f>
        <v>0</v>
      </c>
      <c r="K129" s="8">
        <f>IF(OR(A129="",J129=""),"",SUMIFS($J$5:$J$404,$B$5:$B$404,B129))</f>
        <v>0</v>
      </c>
      <c r="L129" s="8">
        <f>IF(OR(J129="",K129="",K129=0),"",J129/K129)</f>
        <v>0</v>
      </c>
      <c r="M129" s="8">
        <f>IF(K129="","",K129-Weekly_Budget)</f>
        <v>0</v>
      </c>
      <c r="N129" s="8">
        <f>IF(K129="","",IF(K129&gt;Weekly_Budget,"Over budget",IF(K129&gt;Weekly_Budget*0.9,"Close","Within budget")))</f>
        <v>0</v>
      </c>
      <c r="O129" s="7"/>
      <c r="P129" s="27"/>
      <c r="Q129" s="27"/>
      <c r="R129" s="28"/>
      <c r="S129" s="8">
        <f>IF(J129="","",COUNTIFS($J$5:$J$404,"&gt;"&amp;J129)+1)</f>
        <v>0</v>
      </c>
      <c r="T129" s="8">
        <f>IF(OR(A129="",J129=""),"",SUMIFS($J$5:$J$404,$C$5:$C$404,C129,$A$5:$A$404,"&lt;="&amp;A129))</f>
        <v>0</v>
      </c>
      <c r="U129" s="8">
        <f>IF(E129="","",IF(Q129="Yes","On offer","Full price"))</f>
        <v>0</v>
      </c>
      <c r="V129" s="25"/>
    </row>
    <row r="130" spans="1:22">
      <c r="A130" s="30"/>
      <c r="B130" s="8">
        <f>IF(A130="","",A130-WEEKDAY(A130,2)+1)</f>
        <v>0</v>
      </c>
      <c r="C130" s="8">
        <f>IF(A130="","",TEXT(A130,"mmm yyyy"))</f>
        <v>0</v>
      </c>
      <c r="D130" s="27"/>
      <c r="E130" s="7"/>
      <c r="F130" s="8">
        <f>IF(E130="","",IFERROR(INDEX(Ingredients!$B$5:$B$304,MATCH(E130,Ingredients!$A$5:$A$304,0)),""))</f>
        <v>0</v>
      </c>
      <c r="G130" s="26"/>
      <c r="H130" s="27"/>
      <c r="I130" s="28"/>
      <c r="J130" s="8">
        <f>IF(OR(E130="",G130="",I130=""),"",G130*I130)</f>
        <v>0</v>
      </c>
      <c r="K130" s="8">
        <f>IF(OR(A130="",J130=""),"",SUMIFS($J$5:$J$404,$B$5:$B$404,B130))</f>
        <v>0</v>
      </c>
      <c r="L130" s="8">
        <f>IF(OR(J130="",K130="",K130=0),"",J130/K130)</f>
        <v>0</v>
      </c>
      <c r="M130" s="8">
        <f>IF(K130="","",K130-Weekly_Budget)</f>
        <v>0</v>
      </c>
      <c r="N130" s="8">
        <f>IF(K130="","",IF(K130&gt;Weekly_Budget,"Over budget",IF(K130&gt;Weekly_Budget*0.9,"Close","Within budget")))</f>
        <v>0</v>
      </c>
      <c r="O130" s="7"/>
      <c r="P130" s="27"/>
      <c r="Q130" s="27"/>
      <c r="R130" s="28"/>
      <c r="S130" s="8">
        <f>IF(J130="","",COUNTIFS($J$5:$J$404,"&gt;"&amp;J130)+1)</f>
        <v>0</v>
      </c>
      <c r="T130" s="8">
        <f>IF(OR(A130="",J130=""),"",SUMIFS($J$5:$J$404,$C$5:$C$404,C130,$A$5:$A$404,"&lt;="&amp;A130))</f>
        <v>0</v>
      </c>
      <c r="U130" s="8">
        <f>IF(E130="","",IF(Q130="Yes","On offer","Full price"))</f>
        <v>0</v>
      </c>
      <c r="V130" s="25"/>
    </row>
    <row r="131" spans="1:22">
      <c r="A131" s="30"/>
      <c r="B131" s="8">
        <f>IF(A131="","",A131-WEEKDAY(A131,2)+1)</f>
        <v>0</v>
      </c>
      <c r="C131" s="8">
        <f>IF(A131="","",TEXT(A131,"mmm yyyy"))</f>
        <v>0</v>
      </c>
      <c r="D131" s="27"/>
      <c r="E131" s="7"/>
      <c r="F131" s="8">
        <f>IF(E131="","",IFERROR(INDEX(Ingredients!$B$5:$B$304,MATCH(E131,Ingredients!$A$5:$A$304,0)),""))</f>
        <v>0</v>
      </c>
      <c r="G131" s="26"/>
      <c r="H131" s="27"/>
      <c r="I131" s="28"/>
      <c r="J131" s="8">
        <f>IF(OR(E131="",G131="",I131=""),"",G131*I131)</f>
        <v>0</v>
      </c>
      <c r="K131" s="8">
        <f>IF(OR(A131="",J131=""),"",SUMIFS($J$5:$J$404,$B$5:$B$404,B131))</f>
        <v>0</v>
      </c>
      <c r="L131" s="8">
        <f>IF(OR(J131="",K131="",K131=0),"",J131/K131)</f>
        <v>0</v>
      </c>
      <c r="M131" s="8">
        <f>IF(K131="","",K131-Weekly_Budget)</f>
        <v>0</v>
      </c>
      <c r="N131" s="8">
        <f>IF(K131="","",IF(K131&gt;Weekly_Budget,"Over budget",IF(K131&gt;Weekly_Budget*0.9,"Close","Within budget")))</f>
        <v>0</v>
      </c>
      <c r="O131" s="7"/>
      <c r="P131" s="27"/>
      <c r="Q131" s="27"/>
      <c r="R131" s="28"/>
      <c r="S131" s="8">
        <f>IF(J131="","",COUNTIFS($J$5:$J$404,"&gt;"&amp;J131)+1)</f>
        <v>0</v>
      </c>
      <c r="T131" s="8">
        <f>IF(OR(A131="",J131=""),"",SUMIFS($J$5:$J$404,$C$5:$C$404,C131,$A$5:$A$404,"&lt;="&amp;A131))</f>
        <v>0</v>
      </c>
      <c r="U131" s="8">
        <f>IF(E131="","",IF(Q131="Yes","On offer","Full price"))</f>
        <v>0</v>
      </c>
      <c r="V131" s="25"/>
    </row>
    <row r="132" spans="1:22">
      <c r="A132" s="30"/>
      <c r="B132" s="8">
        <f>IF(A132="","",A132-WEEKDAY(A132,2)+1)</f>
        <v>0</v>
      </c>
      <c r="C132" s="8">
        <f>IF(A132="","",TEXT(A132,"mmm yyyy"))</f>
        <v>0</v>
      </c>
      <c r="D132" s="27"/>
      <c r="E132" s="7"/>
      <c r="F132" s="8">
        <f>IF(E132="","",IFERROR(INDEX(Ingredients!$B$5:$B$304,MATCH(E132,Ingredients!$A$5:$A$304,0)),""))</f>
        <v>0</v>
      </c>
      <c r="G132" s="26"/>
      <c r="H132" s="27"/>
      <c r="I132" s="28"/>
      <c r="J132" s="8">
        <f>IF(OR(E132="",G132="",I132=""),"",G132*I132)</f>
        <v>0</v>
      </c>
      <c r="K132" s="8">
        <f>IF(OR(A132="",J132=""),"",SUMIFS($J$5:$J$404,$B$5:$B$404,B132))</f>
        <v>0</v>
      </c>
      <c r="L132" s="8">
        <f>IF(OR(J132="",K132="",K132=0),"",J132/K132)</f>
        <v>0</v>
      </c>
      <c r="M132" s="8">
        <f>IF(K132="","",K132-Weekly_Budget)</f>
        <v>0</v>
      </c>
      <c r="N132" s="8">
        <f>IF(K132="","",IF(K132&gt;Weekly_Budget,"Over budget",IF(K132&gt;Weekly_Budget*0.9,"Close","Within budget")))</f>
        <v>0</v>
      </c>
      <c r="O132" s="7"/>
      <c r="P132" s="27"/>
      <c r="Q132" s="27"/>
      <c r="R132" s="28"/>
      <c r="S132" s="8">
        <f>IF(J132="","",COUNTIFS($J$5:$J$404,"&gt;"&amp;J132)+1)</f>
        <v>0</v>
      </c>
      <c r="T132" s="8">
        <f>IF(OR(A132="",J132=""),"",SUMIFS($J$5:$J$404,$C$5:$C$404,C132,$A$5:$A$404,"&lt;="&amp;A132))</f>
        <v>0</v>
      </c>
      <c r="U132" s="8">
        <f>IF(E132="","",IF(Q132="Yes","On offer","Full price"))</f>
        <v>0</v>
      </c>
      <c r="V132" s="25"/>
    </row>
    <row r="133" spans="1:22">
      <c r="A133" s="30"/>
      <c r="B133" s="8">
        <f>IF(A133="","",A133-WEEKDAY(A133,2)+1)</f>
        <v>0</v>
      </c>
      <c r="C133" s="8">
        <f>IF(A133="","",TEXT(A133,"mmm yyyy"))</f>
        <v>0</v>
      </c>
      <c r="D133" s="27"/>
      <c r="E133" s="7"/>
      <c r="F133" s="8">
        <f>IF(E133="","",IFERROR(INDEX(Ingredients!$B$5:$B$304,MATCH(E133,Ingredients!$A$5:$A$304,0)),""))</f>
        <v>0</v>
      </c>
      <c r="G133" s="26"/>
      <c r="H133" s="27"/>
      <c r="I133" s="28"/>
      <c r="J133" s="8">
        <f>IF(OR(E133="",G133="",I133=""),"",G133*I133)</f>
        <v>0</v>
      </c>
      <c r="K133" s="8">
        <f>IF(OR(A133="",J133=""),"",SUMIFS($J$5:$J$404,$B$5:$B$404,B133))</f>
        <v>0</v>
      </c>
      <c r="L133" s="8">
        <f>IF(OR(J133="",K133="",K133=0),"",J133/K133)</f>
        <v>0</v>
      </c>
      <c r="M133" s="8">
        <f>IF(K133="","",K133-Weekly_Budget)</f>
        <v>0</v>
      </c>
      <c r="N133" s="8">
        <f>IF(K133="","",IF(K133&gt;Weekly_Budget,"Over budget",IF(K133&gt;Weekly_Budget*0.9,"Close","Within budget")))</f>
        <v>0</v>
      </c>
      <c r="O133" s="7"/>
      <c r="P133" s="27"/>
      <c r="Q133" s="27"/>
      <c r="R133" s="28"/>
      <c r="S133" s="8">
        <f>IF(J133="","",COUNTIFS($J$5:$J$404,"&gt;"&amp;J133)+1)</f>
        <v>0</v>
      </c>
      <c r="T133" s="8">
        <f>IF(OR(A133="",J133=""),"",SUMIFS($J$5:$J$404,$C$5:$C$404,C133,$A$5:$A$404,"&lt;="&amp;A133))</f>
        <v>0</v>
      </c>
      <c r="U133" s="8">
        <f>IF(E133="","",IF(Q133="Yes","On offer","Full price"))</f>
        <v>0</v>
      </c>
      <c r="V133" s="25"/>
    </row>
    <row r="134" spans="1:22">
      <c r="A134" s="30"/>
      <c r="B134" s="8">
        <f>IF(A134="","",A134-WEEKDAY(A134,2)+1)</f>
        <v>0</v>
      </c>
      <c r="C134" s="8">
        <f>IF(A134="","",TEXT(A134,"mmm yyyy"))</f>
        <v>0</v>
      </c>
      <c r="D134" s="27"/>
      <c r="E134" s="7"/>
      <c r="F134" s="8">
        <f>IF(E134="","",IFERROR(INDEX(Ingredients!$B$5:$B$304,MATCH(E134,Ingredients!$A$5:$A$304,0)),""))</f>
        <v>0</v>
      </c>
      <c r="G134" s="26"/>
      <c r="H134" s="27"/>
      <c r="I134" s="28"/>
      <c r="J134" s="8">
        <f>IF(OR(E134="",G134="",I134=""),"",G134*I134)</f>
        <v>0</v>
      </c>
      <c r="K134" s="8">
        <f>IF(OR(A134="",J134=""),"",SUMIFS($J$5:$J$404,$B$5:$B$404,B134))</f>
        <v>0</v>
      </c>
      <c r="L134" s="8">
        <f>IF(OR(J134="",K134="",K134=0),"",J134/K134)</f>
        <v>0</v>
      </c>
      <c r="M134" s="8">
        <f>IF(K134="","",K134-Weekly_Budget)</f>
        <v>0</v>
      </c>
      <c r="N134" s="8">
        <f>IF(K134="","",IF(K134&gt;Weekly_Budget,"Over budget",IF(K134&gt;Weekly_Budget*0.9,"Close","Within budget")))</f>
        <v>0</v>
      </c>
      <c r="O134" s="7"/>
      <c r="P134" s="27"/>
      <c r="Q134" s="27"/>
      <c r="R134" s="28"/>
      <c r="S134" s="8">
        <f>IF(J134="","",COUNTIFS($J$5:$J$404,"&gt;"&amp;J134)+1)</f>
        <v>0</v>
      </c>
      <c r="T134" s="8">
        <f>IF(OR(A134="",J134=""),"",SUMIFS($J$5:$J$404,$C$5:$C$404,C134,$A$5:$A$404,"&lt;="&amp;A134))</f>
        <v>0</v>
      </c>
      <c r="U134" s="8">
        <f>IF(E134="","",IF(Q134="Yes","On offer","Full price"))</f>
        <v>0</v>
      </c>
      <c r="V134" s="25"/>
    </row>
    <row r="135" spans="1:22">
      <c r="A135" s="30"/>
      <c r="B135" s="8">
        <f>IF(A135="","",A135-WEEKDAY(A135,2)+1)</f>
        <v>0</v>
      </c>
      <c r="C135" s="8">
        <f>IF(A135="","",TEXT(A135,"mmm yyyy"))</f>
        <v>0</v>
      </c>
      <c r="D135" s="27"/>
      <c r="E135" s="7"/>
      <c r="F135" s="8">
        <f>IF(E135="","",IFERROR(INDEX(Ingredients!$B$5:$B$304,MATCH(E135,Ingredients!$A$5:$A$304,0)),""))</f>
        <v>0</v>
      </c>
      <c r="G135" s="26"/>
      <c r="H135" s="27"/>
      <c r="I135" s="28"/>
      <c r="J135" s="8">
        <f>IF(OR(E135="",G135="",I135=""),"",G135*I135)</f>
        <v>0</v>
      </c>
      <c r="K135" s="8">
        <f>IF(OR(A135="",J135=""),"",SUMIFS($J$5:$J$404,$B$5:$B$404,B135))</f>
        <v>0</v>
      </c>
      <c r="L135" s="8">
        <f>IF(OR(J135="",K135="",K135=0),"",J135/K135)</f>
        <v>0</v>
      </c>
      <c r="M135" s="8">
        <f>IF(K135="","",K135-Weekly_Budget)</f>
        <v>0</v>
      </c>
      <c r="N135" s="8">
        <f>IF(K135="","",IF(K135&gt;Weekly_Budget,"Over budget",IF(K135&gt;Weekly_Budget*0.9,"Close","Within budget")))</f>
        <v>0</v>
      </c>
      <c r="O135" s="7"/>
      <c r="P135" s="27"/>
      <c r="Q135" s="27"/>
      <c r="R135" s="28"/>
      <c r="S135" s="8">
        <f>IF(J135="","",COUNTIFS($J$5:$J$404,"&gt;"&amp;J135)+1)</f>
        <v>0</v>
      </c>
      <c r="T135" s="8">
        <f>IF(OR(A135="",J135=""),"",SUMIFS($J$5:$J$404,$C$5:$C$404,C135,$A$5:$A$404,"&lt;="&amp;A135))</f>
        <v>0</v>
      </c>
      <c r="U135" s="8">
        <f>IF(E135="","",IF(Q135="Yes","On offer","Full price"))</f>
        <v>0</v>
      </c>
      <c r="V135" s="25"/>
    </row>
    <row r="136" spans="1:22">
      <c r="A136" s="30"/>
      <c r="B136" s="8">
        <f>IF(A136="","",A136-WEEKDAY(A136,2)+1)</f>
        <v>0</v>
      </c>
      <c r="C136" s="8">
        <f>IF(A136="","",TEXT(A136,"mmm yyyy"))</f>
        <v>0</v>
      </c>
      <c r="D136" s="27"/>
      <c r="E136" s="7"/>
      <c r="F136" s="8">
        <f>IF(E136="","",IFERROR(INDEX(Ingredients!$B$5:$B$304,MATCH(E136,Ingredients!$A$5:$A$304,0)),""))</f>
        <v>0</v>
      </c>
      <c r="G136" s="26"/>
      <c r="H136" s="27"/>
      <c r="I136" s="28"/>
      <c r="J136" s="8">
        <f>IF(OR(E136="",G136="",I136=""),"",G136*I136)</f>
        <v>0</v>
      </c>
      <c r="K136" s="8">
        <f>IF(OR(A136="",J136=""),"",SUMIFS($J$5:$J$404,$B$5:$B$404,B136))</f>
        <v>0</v>
      </c>
      <c r="L136" s="8">
        <f>IF(OR(J136="",K136="",K136=0),"",J136/K136)</f>
        <v>0</v>
      </c>
      <c r="M136" s="8">
        <f>IF(K136="","",K136-Weekly_Budget)</f>
        <v>0</v>
      </c>
      <c r="N136" s="8">
        <f>IF(K136="","",IF(K136&gt;Weekly_Budget,"Over budget",IF(K136&gt;Weekly_Budget*0.9,"Close","Within budget")))</f>
        <v>0</v>
      </c>
      <c r="O136" s="7"/>
      <c r="P136" s="27"/>
      <c r="Q136" s="27"/>
      <c r="R136" s="28"/>
      <c r="S136" s="8">
        <f>IF(J136="","",COUNTIFS($J$5:$J$404,"&gt;"&amp;J136)+1)</f>
        <v>0</v>
      </c>
      <c r="T136" s="8">
        <f>IF(OR(A136="",J136=""),"",SUMIFS($J$5:$J$404,$C$5:$C$404,C136,$A$5:$A$404,"&lt;="&amp;A136))</f>
        <v>0</v>
      </c>
      <c r="U136" s="8">
        <f>IF(E136="","",IF(Q136="Yes","On offer","Full price"))</f>
        <v>0</v>
      </c>
      <c r="V136" s="25"/>
    </row>
    <row r="137" spans="1:22">
      <c r="A137" s="30"/>
      <c r="B137" s="8">
        <f>IF(A137="","",A137-WEEKDAY(A137,2)+1)</f>
        <v>0</v>
      </c>
      <c r="C137" s="8">
        <f>IF(A137="","",TEXT(A137,"mmm yyyy"))</f>
        <v>0</v>
      </c>
      <c r="D137" s="27"/>
      <c r="E137" s="7"/>
      <c r="F137" s="8">
        <f>IF(E137="","",IFERROR(INDEX(Ingredients!$B$5:$B$304,MATCH(E137,Ingredients!$A$5:$A$304,0)),""))</f>
        <v>0</v>
      </c>
      <c r="G137" s="26"/>
      <c r="H137" s="27"/>
      <c r="I137" s="28"/>
      <c r="J137" s="8">
        <f>IF(OR(E137="",G137="",I137=""),"",G137*I137)</f>
        <v>0</v>
      </c>
      <c r="K137" s="8">
        <f>IF(OR(A137="",J137=""),"",SUMIFS($J$5:$J$404,$B$5:$B$404,B137))</f>
        <v>0</v>
      </c>
      <c r="L137" s="8">
        <f>IF(OR(J137="",K137="",K137=0),"",J137/K137)</f>
        <v>0</v>
      </c>
      <c r="M137" s="8">
        <f>IF(K137="","",K137-Weekly_Budget)</f>
        <v>0</v>
      </c>
      <c r="N137" s="8">
        <f>IF(K137="","",IF(K137&gt;Weekly_Budget,"Over budget",IF(K137&gt;Weekly_Budget*0.9,"Close","Within budget")))</f>
        <v>0</v>
      </c>
      <c r="O137" s="7"/>
      <c r="P137" s="27"/>
      <c r="Q137" s="27"/>
      <c r="R137" s="28"/>
      <c r="S137" s="8">
        <f>IF(J137="","",COUNTIFS($J$5:$J$404,"&gt;"&amp;J137)+1)</f>
        <v>0</v>
      </c>
      <c r="T137" s="8">
        <f>IF(OR(A137="",J137=""),"",SUMIFS($J$5:$J$404,$C$5:$C$404,C137,$A$5:$A$404,"&lt;="&amp;A137))</f>
        <v>0</v>
      </c>
      <c r="U137" s="8">
        <f>IF(E137="","",IF(Q137="Yes","On offer","Full price"))</f>
        <v>0</v>
      </c>
      <c r="V137" s="25"/>
    </row>
    <row r="138" spans="1:22">
      <c r="A138" s="30"/>
      <c r="B138" s="8">
        <f>IF(A138="","",A138-WEEKDAY(A138,2)+1)</f>
        <v>0</v>
      </c>
      <c r="C138" s="8">
        <f>IF(A138="","",TEXT(A138,"mmm yyyy"))</f>
        <v>0</v>
      </c>
      <c r="D138" s="27"/>
      <c r="E138" s="7"/>
      <c r="F138" s="8">
        <f>IF(E138="","",IFERROR(INDEX(Ingredients!$B$5:$B$304,MATCH(E138,Ingredients!$A$5:$A$304,0)),""))</f>
        <v>0</v>
      </c>
      <c r="G138" s="26"/>
      <c r="H138" s="27"/>
      <c r="I138" s="28"/>
      <c r="J138" s="8">
        <f>IF(OR(E138="",G138="",I138=""),"",G138*I138)</f>
        <v>0</v>
      </c>
      <c r="K138" s="8">
        <f>IF(OR(A138="",J138=""),"",SUMIFS($J$5:$J$404,$B$5:$B$404,B138))</f>
        <v>0</v>
      </c>
      <c r="L138" s="8">
        <f>IF(OR(J138="",K138="",K138=0),"",J138/K138)</f>
        <v>0</v>
      </c>
      <c r="M138" s="8">
        <f>IF(K138="","",K138-Weekly_Budget)</f>
        <v>0</v>
      </c>
      <c r="N138" s="8">
        <f>IF(K138="","",IF(K138&gt;Weekly_Budget,"Over budget",IF(K138&gt;Weekly_Budget*0.9,"Close","Within budget")))</f>
        <v>0</v>
      </c>
      <c r="O138" s="7"/>
      <c r="P138" s="27"/>
      <c r="Q138" s="27"/>
      <c r="R138" s="28"/>
      <c r="S138" s="8">
        <f>IF(J138="","",COUNTIFS($J$5:$J$404,"&gt;"&amp;J138)+1)</f>
        <v>0</v>
      </c>
      <c r="T138" s="8">
        <f>IF(OR(A138="",J138=""),"",SUMIFS($J$5:$J$404,$C$5:$C$404,C138,$A$5:$A$404,"&lt;="&amp;A138))</f>
        <v>0</v>
      </c>
      <c r="U138" s="8">
        <f>IF(E138="","",IF(Q138="Yes","On offer","Full price"))</f>
        <v>0</v>
      </c>
      <c r="V138" s="25"/>
    </row>
    <row r="139" spans="1:22">
      <c r="A139" s="30"/>
      <c r="B139" s="8">
        <f>IF(A139="","",A139-WEEKDAY(A139,2)+1)</f>
        <v>0</v>
      </c>
      <c r="C139" s="8">
        <f>IF(A139="","",TEXT(A139,"mmm yyyy"))</f>
        <v>0</v>
      </c>
      <c r="D139" s="27"/>
      <c r="E139" s="7"/>
      <c r="F139" s="8">
        <f>IF(E139="","",IFERROR(INDEX(Ingredients!$B$5:$B$304,MATCH(E139,Ingredients!$A$5:$A$304,0)),""))</f>
        <v>0</v>
      </c>
      <c r="G139" s="26"/>
      <c r="H139" s="27"/>
      <c r="I139" s="28"/>
      <c r="J139" s="8">
        <f>IF(OR(E139="",G139="",I139=""),"",G139*I139)</f>
        <v>0</v>
      </c>
      <c r="K139" s="8">
        <f>IF(OR(A139="",J139=""),"",SUMIFS($J$5:$J$404,$B$5:$B$404,B139))</f>
        <v>0</v>
      </c>
      <c r="L139" s="8">
        <f>IF(OR(J139="",K139="",K139=0),"",J139/K139)</f>
        <v>0</v>
      </c>
      <c r="M139" s="8">
        <f>IF(K139="","",K139-Weekly_Budget)</f>
        <v>0</v>
      </c>
      <c r="N139" s="8">
        <f>IF(K139="","",IF(K139&gt;Weekly_Budget,"Over budget",IF(K139&gt;Weekly_Budget*0.9,"Close","Within budget")))</f>
        <v>0</v>
      </c>
      <c r="O139" s="7"/>
      <c r="P139" s="27"/>
      <c r="Q139" s="27"/>
      <c r="R139" s="28"/>
      <c r="S139" s="8">
        <f>IF(J139="","",COUNTIFS($J$5:$J$404,"&gt;"&amp;J139)+1)</f>
        <v>0</v>
      </c>
      <c r="T139" s="8">
        <f>IF(OR(A139="",J139=""),"",SUMIFS($J$5:$J$404,$C$5:$C$404,C139,$A$5:$A$404,"&lt;="&amp;A139))</f>
        <v>0</v>
      </c>
      <c r="U139" s="8">
        <f>IF(E139="","",IF(Q139="Yes","On offer","Full price"))</f>
        <v>0</v>
      </c>
      <c r="V139" s="25"/>
    </row>
    <row r="140" spans="1:22">
      <c r="A140" s="30"/>
      <c r="B140" s="8">
        <f>IF(A140="","",A140-WEEKDAY(A140,2)+1)</f>
        <v>0</v>
      </c>
      <c r="C140" s="8">
        <f>IF(A140="","",TEXT(A140,"mmm yyyy"))</f>
        <v>0</v>
      </c>
      <c r="D140" s="27"/>
      <c r="E140" s="7"/>
      <c r="F140" s="8">
        <f>IF(E140="","",IFERROR(INDEX(Ingredients!$B$5:$B$304,MATCH(E140,Ingredients!$A$5:$A$304,0)),""))</f>
        <v>0</v>
      </c>
      <c r="G140" s="26"/>
      <c r="H140" s="27"/>
      <c r="I140" s="28"/>
      <c r="J140" s="8">
        <f>IF(OR(E140="",G140="",I140=""),"",G140*I140)</f>
        <v>0</v>
      </c>
      <c r="K140" s="8">
        <f>IF(OR(A140="",J140=""),"",SUMIFS($J$5:$J$404,$B$5:$B$404,B140))</f>
        <v>0</v>
      </c>
      <c r="L140" s="8">
        <f>IF(OR(J140="",K140="",K140=0),"",J140/K140)</f>
        <v>0</v>
      </c>
      <c r="M140" s="8">
        <f>IF(K140="","",K140-Weekly_Budget)</f>
        <v>0</v>
      </c>
      <c r="N140" s="8">
        <f>IF(K140="","",IF(K140&gt;Weekly_Budget,"Over budget",IF(K140&gt;Weekly_Budget*0.9,"Close","Within budget")))</f>
        <v>0</v>
      </c>
      <c r="O140" s="7"/>
      <c r="P140" s="27"/>
      <c r="Q140" s="27"/>
      <c r="R140" s="28"/>
      <c r="S140" s="8">
        <f>IF(J140="","",COUNTIFS($J$5:$J$404,"&gt;"&amp;J140)+1)</f>
        <v>0</v>
      </c>
      <c r="T140" s="8">
        <f>IF(OR(A140="",J140=""),"",SUMIFS($J$5:$J$404,$C$5:$C$404,C140,$A$5:$A$404,"&lt;="&amp;A140))</f>
        <v>0</v>
      </c>
      <c r="U140" s="8">
        <f>IF(E140="","",IF(Q140="Yes","On offer","Full price"))</f>
        <v>0</v>
      </c>
      <c r="V140" s="25"/>
    </row>
    <row r="141" spans="1:22">
      <c r="A141" s="30"/>
      <c r="B141" s="8">
        <f>IF(A141="","",A141-WEEKDAY(A141,2)+1)</f>
        <v>0</v>
      </c>
      <c r="C141" s="8">
        <f>IF(A141="","",TEXT(A141,"mmm yyyy"))</f>
        <v>0</v>
      </c>
      <c r="D141" s="27"/>
      <c r="E141" s="7"/>
      <c r="F141" s="8">
        <f>IF(E141="","",IFERROR(INDEX(Ingredients!$B$5:$B$304,MATCH(E141,Ingredients!$A$5:$A$304,0)),""))</f>
        <v>0</v>
      </c>
      <c r="G141" s="26"/>
      <c r="H141" s="27"/>
      <c r="I141" s="28"/>
      <c r="J141" s="8">
        <f>IF(OR(E141="",G141="",I141=""),"",G141*I141)</f>
        <v>0</v>
      </c>
      <c r="K141" s="8">
        <f>IF(OR(A141="",J141=""),"",SUMIFS($J$5:$J$404,$B$5:$B$404,B141))</f>
        <v>0</v>
      </c>
      <c r="L141" s="8">
        <f>IF(OR(J141="",K141="",K141=0),"",J141/K141)</f>
        <v>0</v>
      </c>
      <c r="M141" s="8">
        <f>IF(K141="","",K141-Weekly_Budget)</f>
        <v>0</v>
      </c>
      <c r="N141" s="8">
        <f>IF(K141="","",IF(K141&gt;Weekly_Budget,"Over budget",IF(K141&gt;Weekly_Budget*0.9,"Close","Within budget")))</f>
        <v>0</v>
      </c>
      <c r="O141" s="7"/>
      <c r="P141" s="27"/>
      <c r="Q141" s="27"/>
      <c r="R141" s="28"/>
      <c r="S141" s="8">
        <f>IF(J141="","",COUNTIFS($J$5:$J$404,"&gt;"&amp;J141)+1)</f>
        <v>0</v>
      </c>
      <c r="T141" s="8">
        <f>IF(OR(A141="",J141=""),"",SUMIFS($J$5:$J$404,$C$5:$C$404,C141,$A$5:$A$404,"&lt;="&amp;A141))</f>
        <v>0</v>
      </c>
      <c r="U141" s="8">
        <f>IF(E141="","",IF(Q141="Yes","On offer","Full price"))</f>
        <v>0</v>
      </c>
      <c r="V141" s="25"/>
    </row>
    <row r="142" spans="1:22">
      <c r="A142" s="30"/>
      <c r="B142" s="8">
        <f>IF(A142="","",A142-WEEKDAY(A142,2)+1)</f>
        <v>0</v>
      </c>
      <c r="C142" s="8">
        <f>IF(A142="","",TEXT(A142,"mmm yyyy"))</f>
        <v>0</v>
      </c>
      <c r="D142" s="27"/>
      <c r="E142" s="7"/>
      <c r="F142" s="8">
        <f>IF(E142="","",IFERROR(INDEX(Ingredients!$B$5:$B$304,MATCH(E142,Ingredients!$A$5:$A$304,0)),""))</f>
        <v>0</v>
      </c>
      <c r="G142" s="26"/>
      <c r="H142" s="27"/>
      <c r="I142" s="28"/>
      <c r="J142" s="8">
        <f>IF(OR(E142="",G142="",I142=""),"",G142*I142)</f>
        <v>0</v>
      </c>
      <c r="K142" s="8">
        <f>IF(OR(A142="",J142=""),"",SUMIFS($J$5:$J$404,$B$5:$B$404,B142))</f>
        <v>0</v>
      </c>
      <c r="L142" s="8">
        <f>IF(OR(J142="",K142="",K142=0),"",J142/K142)</f>
        <v>0</v>
      </c>
      <c r="M142" s="8">
        <f>IF(K142="","",K142-Weekly_Budget)</f>
        <v>0</v>
      </c>
      <c r="N142" s="8">
        <f>IF(K142="","",IF(K142&gt;Weekly_Budget,"Over budget",IF(K142&gt;Weekly_Budget*0.9,"Close","Within budget")))</f>
        <v>0</v>
      </c>
      <c r="O142" s="7"/>
      <c r="P142" s="27"/>
      <c r="Q142" s="27"/>
      <c r="R142" s="28"/>
      <c r="S142" s="8">
        <f>IF(J142="","",COUNTIFS($J$5:$J$404,"&gt;"&amp;J142)+1)</f>
        <v>0</v>
      </c>
      <c r="T142" s="8">
        <f>IF(OR(A142="",J142=""),"",SUMIFS($J$5:$J$404,$C$5:$C$404,C142,$A$5:$A$404,"&lt;="&amp;A142))</f>
        <v>0</v>
      </c>
      <c r="U142" s="8">
        <f>IF(E142="","",IF(Q142="Yes","On offer","Full price"))</f>
        <v>0</v>
      </c>
      <c r="V142" s="25"/>
    </row>
    <row r="143" spans="1:22">
      <c r="A143" s="30"/>
      <c r="B143" s="8">
        <f>IF(A143="","",A143-WEEKDAY(A143,2)+1)</f>
        <v>0</v>
      </c>
      <c r="C143" s="8">
        <f>IF(A143="","",TEXT(A143,"mmm yyyy"))</f>
        <v>0</v>
      </c>
      <c r="D143" s="27"/>
      <c r="E143" s="7"/>
      <c r="F143" s="8">
        <f>IF(E143="","",IFERROR(INDEX(Ingredients!$B$5:$B$304,MATCH(E143,Ingredients!$A$5:$A$304,0)),""))</f>
        <v>0</v>
      </c>
      <c r="G143" s="26"/>
      <c r="H143" s="27"/>
      <c r="I143" s="28"/>
      <c r="J143" s="8">
        <f>IF(OR(E143="",G143="",I143=""),"",G143*I143)</f>
        <v>0</v>
      </c>
      <c r="K143" s="8">
        <f>IF(OR(A143="",J143=""),"",SUMIFS($J$5:$J$404,$B$5:$B$404,B143))</f>
        <v>0</v>
      </c>
      <c r="L143" s="8">
        <f>IF(OR(J143="",K143="",K143=0),"",J143/K143)</f>
        <v>0</v>
      </c>
      <c r="M143" s="8">
        <f>IF(K143="","",K143-Weekly_Budget)</f>
        <v>0</v>
      </c>
      <c r="N143" s="8">
        <f>IF(K143="","",IF(K143&gt;Weekly_Budget,"Over budget",IF(K143&gt;Weekly_Budget*0.9,"Close","Within budget")))</f>
        <v>0</v>
      </c>
      <c r="O143" s="7"/>
      <c r="P143" s="27"/>
      <c r="Q143" s="27"/>
      <c r="R143" s="28"/>
      <c r="S143" s="8">
        <f>IF(J143="","",COUNTIFS($J$5:$J$404,"&gt;"&amp;J143)+1)</f>
        <v>0</v>
      </c>
      <c r="T143" s="8">
        <f>IF(OR(A143="",J143=""),"",SUMIFS($J$5:$J$404,$C$5:$C$404,C143,$A$5:$A$404,"&lt;="&amp;A143))</f>
        <v>0</v>
      </c>
      <c r="U143" s="8">
        <f>IF(E143="","",IF(Q143="Yes","On offer","Full price"))</f>
        <v>0</v>
      </c>
      <c r="V143" s="25"/>
    </row>
    <row r="144" spans="1:22">
      <c r="A144" s="30"/>
      <c r="B144" s="8">
        <f>IF(A144="","",A144-WEEKDAY(A144,2)+1)</f>
        <v>0</v>
      </c>
      <c r="C144" s="8">
        <f>IF(A144="","",TEXT(A144,"mmm yyyy"))</f>
        <v>0</v>
      </c>
      <c r="D144" s="27"/>
      <c r="E144" s="7"/>
      <c r="F144" s="8">
        <f>IF(E144="","",IFERROR(INDEX(Ingredients!$B$5:$B$304,MATCH(E144,Ingredients!$A$5:$A$304,0)),""))</f>
        <v>0</v>
      </c>
      <c r="G144" s="26"/>
      <c r="H144" s="27"/>
      <c r="I144" s="28"/>
      <c r="J144" s="8">
        <f>IF(OR(E144="",G144="",I144=""),"",G144*I144)</f>
        <v>0</v>
      </c>
      <c r="K144" s="8">
        <f>IF(OR(A144="",J144=""),"",SUMIFS($J$5:$J$404,$B$5:$B$404,B144))</f>
        <v>0</v>
      </c>
      <c r="L144" s="8">
        <f>IF(OR(J144="",K144="",K144=0),"",J144/K144)</f>
        <v>0</v>
      </c>
      <c r="M144" s="8">
        <f>IF(K144="","",K144-Weekly_Budget)</f>
        <v>0</v>
      </c>
      <c r="N144" s="8">
        <f>IF(K144="","",IF(K144&gt;Weekly_Budget,"Over budget",IF(K144&gt;Weekly_Budget*0.9,"Close","Within budget")))</f>
        <v>0</v>
      </c>
      <c r="O144" s="7"/>
      <c r="P144" s="27"/>
      <c r="Q144" s="27"/>
      <c r="R144" s="28"/>
      <c r="S144" s="8">
        <f>IF(J144="","",COUNTIFS($J$5:$J$404,"&gt;"&amp;J144)+1)</f>
        <v>0</v>
      </c>
      <c r="T144" s="8">
        <f>IF(OR(A144="",J144=""),"",SUMIFS($J$5:$J$404,$C$5:$C$404,C144,$A$5:$A$404,"&lt;="&amp;A144))</f>
        <v>0</v>
      </c>
      <c r="U144" s="8">
        <f>IF(E144="","",IF(Q144="Yes","On offer","Full price"))</f>
        <v>0</v>
      </c>
      <c r="V144" s="25"/>
    </row>
    <row r="145" spans="1:22">
      <c r="A145" s="30"/>
      <c r="B145" s="8">
        <f>IF(A145="","",A145-WEEKDAY(A145,2)+1)</f>
        <v>0</v>
      </c>
      <c r="C145" s="8">
        <f>IF(A145="","",TEXT(A145,"mmm yyyy"))</f>
        <v>0</v>
      </c>
      <c r="D145" s="27"/>
      <c r="E145" s="7"/>
      <c r="F145" s="8">
        <f>IF(E145="","",IFERROR(INDEX(Ingredients!$B$5:$B$304,MATCH(E145,Ingredients!$A$5:$A$304,0)),""))</f>
        <v>0</v>
      </c>
      <c r="G145" s="26"/>
      <c r="H145" s="27"/>
      <c r="I145" s="28"/>
      <c r="J145" s="8">
        <f>IF(OR(E145="",G145="",I145=""),"",G145*I145)</f>
        <v>0</v>
      </c>
      <c r="K145" s="8">
        <f>IF(OR(A145="",J145=""),"",SUMIFS($J$5:$J$404,$B$5:$B$404,B145))</f>
        <v>0</v>
      </c>
      <c r="L145" s="8">
        <f>IF(OR(J145="",K145="",K145=0),"",J145/K145)</f>
        <v>0</v>
      </c>
      <c r="M145" s="8">
        <f>IF(K145="","",K145-Weekly_Budget)</f>
        <v>0</v>
      </c>
      <c r="N145" s="8">
        <f>IF(K145="","",IF(K145&gt;Weekly_Budget,"Over budget",IF(K145&gt;Weekly_Budget*0.9,"Close","Within budget")))</f>
        <v>0</v>
      </c>
      <c r="O145" s="7"/>
      <c r="P145" s="27"/>
      <c r="Q145" s="27"/>
      <c r="R145" s="28"/>
      <c r="S145" s="8">
        <f>IF(J145="","",COUNTIFS($J$5:$J$404,"&gt;"&amp;J145)+1)</f>
        <v>0</v>
      </c>
      <c r="T145" s="8">
        <f>IF(OR(A145="",J145=""),"",SUMIFS($J$5:$J$404,$C$5:$C$404,C145,$A$5:$A$404,"&lt;="&amp;A145))</f>
        <v>0</v>
      </c>
      <c r="U145" s="8">
        <f>IF(E145="","",IF(Q145="Yes","On offer","Full price"))</f>
        <v>0</v>
      </c>
      <c r="V145" s="25"/>
    </row>
    <row r="146" spans="1:22">
      <c r="A146" s="30"/>
      <c r="B146" s="8">
        <f>IF(A146="","",A146-WEEKDAY(A146,2)+1)</f>
        <v>0</v>
      </c>
      <c r="C146" s="8">
        <f>IF(A146="","",TEXT(A146,"mmm yyyy"))</f>
        <v>0</v>
      </c>
      <c r="D146" s="27"/>
      <c r="E146" s="7"/>
      <c r="F146" s="8">
        <f>IF(E146="","",IFERROR(INDEX(Ingredients!$B$5:$B$304,MATCH(E146,Ingredients!$A$5:$A$304,0)),""))</f>
        <v>0</v>
      </c>
      <c r="G146" s="26"/>
      <c r="H146" s="27"/>
      <c r="I146" s="28"/>
      <c r="J146" s="8">
        <f>IF(OR(E146="",G146="",I146=""),"",G146*I146)</f>
        <v>0</v>
      </c>
      <c r="K146" s="8">
        <f>IF(OR(A146="",J146=""),"",SUMIFS($J$5:$J$404,$B$5:$B$404,B146))</f>
        <v>0</v>
      </c>
      <c r="L146" s="8">
        <f>IF(OR(J146="",K146="",K146=0),"",J146/K146)</f>
        <v>0</v>
      </c>
      <c r="M146" s="8">
        <f>IF(K146="","",K146-Weekly_Budget)</f>
        <v>0</v>
      </c>
      <c r="N146" s="8">
        <f>IF(K146="","",IF(K146&gt;Weekly_Budget,"Over budget",IF(K146&gt;Weekly_Budget*0.9,"Close","Within budget")))</f>
        <v>0</v>
      </c>
      <c r="O146" s="7"/>
      <c r="P146" s="27"/>
      <c r="Q146" s="27"/>
      <c r="R146" s="28"/>
      <c r="S146" s="8">
        <f>IF(J146="","",COUNTIFS($J$5:$J$404,"&gt;"&amp;J146)+1)</f>
        <v>0</v>
      </c>
      <c r="T146" s="8">
        <f>IF(OR(A146="",J146=""),"",SUMIFS($J$5:$J$404,$C$5:$C$404,C146,$A$5:$A$404,"&lt;="&amp;A146))</f>
        <v>0</v>
      </c>
      <c r="U146" s="8">
        <f>IF(E146="","",IF(Q146="Yes","On offer","Full price"))</f>
        <v>0</v>
      </c>
      <c r="V146" s="25"/>
    </row>
    <row r="147" spans="1:22">
      <c r="A147" s="30"/>
      <c r="B147" s="8">
        <f>IF(A147="","",A147-WEEKDAY(A147,2)+1)</f>
        <v>0</v>
      </c>
      <c r="C147" s="8">
        <f>IF(A147="","",TEXT(A147,"mmm yyyy"))</f>
        <v>0</v>
      </c>
      <c r="D147" s="27"/>
      <c r="E147" s="7"/>
      <c r="F147" s="8">
        <f>IF(E147="","",IFERROR(INDEX(Ingredients!$B$5:$B$304,MATCH(E147,Ingredients!$A$5:$A$304,0)),""))</f>
        <v>0</v>
      </c>
      <c r="G147" s="26"/>
      <c r="H147" s="27"/>
      <c r="I147" s="28"/>
      <c r="J147" s="8">
        <f>IF(OR(E147="",G147="",I147=""),"",G147*I147)</f>
        <v>0</v>
      </c>
      <c r="K147" s="8">
        <f>IF(OR(A147="",J147=""),"",SUMIFS($J$5:$J$404,$B$5:$B$404,B147))</f>
        <v>0</v>
      </c>
      <c r="L147" s="8">
        <f>IF(OR(J147="",K147="",K147=0),"",J147/K147)</f>
        <v>0</v>
      </c>
      <c r="M147" s="8">
        <f>IF(K147="","",K147-Weekly_Budget)</f>
        <v>0</v>
      </c>
      <c r="N147" s="8">
        <f>IF(K147="","",IF(K147&gt;Weekly_Budget,"Over budget",IF(K147&gt;Weekly_Budget*0.9,"Close","Within budget")))</f>
        <v>0</v>
      </c>
      <c r="O147" s="7"/>
      <c r="P147" s="27"/>
      <c r="Q147" s="27"/>
      <c r="R147" s="28"/>
      <c r="S147" s="8">
        <f>IF(J147="","",COUNTIFS($J$5:$J$404,"&gt;"&amp;J147)+1)</f>
        <v>0</v>
      </c>
      <c r="T147" s="8">
        <f>IF(OR(A147="",J147=""),"",SUMIFS($J$5:$J$404,$C$5:$C$404,C147,$A$5:$A$404,"&lt;="&amp;A147))</f>
        <v>0</v>
      </c>
      <c r="U147" s="8">
        <f>IF(E147="","",IF(Q147="Yes","On offer","Full price"))</f>
        <v>0</v>
      </c>
      <c r="V147" s="25"/>
    </row>
    <row r="148" spans="1:22">
      <c r="A148" s="30"/>
      <c r="B148" s="8">
        <f>IF(A148="","",A148-WEEKDAY(A148,2)+1)</f>
        <v>0</v>
      </c>
      <c r="C148" s="8">
        <f>IF(A148="","",TEXT(A148,"mmm yyyy"))</f>
        <v>0</v>
      </c>
      <c r="D148" s="27"/>
      <c r="E148" s="7"/>
      <c r="F148" s="8">
        <f>IF(E148="","",IFERROR(INDEX(Ingredients!$B$5:$B$304,MATCH(E148,Ingredients!$A$5:$A$304,0)),""))</f>
        <v>0</v>
      </c>
      <c r="G148" s="26"/>
      <c r="H148" s="27"/>
      <c r="I148" s="28"/>
      <c r="J148" s="8">
        <f>IF(OR(E148="",G148="",I148=""),"",G148*I148)</f>
        <v>0</v>
      </c>
      <c r="K148" s="8">
        <f>IF(OR(A148="",J148=""),"",SUMIFS($J$5:$J$404,$B$5:$B$404,B148))</f>
        <v>0</v>
      </c>
      <c r="L148" s="8">
        <f>IF(OR(J148="",K148="",K148=0),"",J148/K148)</f>
        <v>0</v>
      </c>
      <c r="M148" s="8">
        <f>IF(K148="","",K148-Weekly_Budget)</f>
        <v>0</v>
      </c>
      <c r="N148" s="8">
        <f>IF(K148="","",IF(K148&gt;Weekly_Budget,"Over budget",IF(K148&gt;Weekly_Budget*0.9,"Close","Within budget")))</f>
        <v>0</v>
      </c>
      <c r="O148" s="7"/>
      <c r="P148" s="27"/>
      <c r="Q148" s="27"/>
      <c r="R148" s="28"/>
      <c r="S148" s="8">
        <f>IF(J148="","",COUNTIFS($J$5:$J$404,"&gt;"&amp;J148)+1)</f>
        <v>0</v>
      </c>
      <c r="T148" s="8">
        <f>IF(OR(A148="",J148=""),"",SUMIFS($J$5:$J$404,$C$5:$C$404,C148,$A$5:$A$404,"&lt;="&amp;A148))</f>
        <v>0</v>
      </c>
      <c r="U148" s="8">
        <f>IF(E148="","",IF(Q148="Yes","On offer","Full price"))</f>
        <v>0</v>
      </c>
      <c r="V148" s="25"/>
    </row>
    <row r="149" spans="1:22">
      <c r="A149" s="30"/>
      <c r="B149" s="8">
        <f>IF(A149="","",A149-WEEKDAY(A149,2)+1)</f>
        <v>0</v>
      </c>
      <c r="C149" s="8">
        <f>IF(A149="","",TEXT(A149,"mmm yyyy"))</f>
        <v>0</v>
      </c>
      <c r="D149" s="27"/>
      <c r="E149" s="7"/>
      <c r="F149" s="8">
        <f>IF(E149="","",IFERROR(INDEX(Ingredients!$B$5:$B$304,MATCH(E149,Ingredients!$A$5:$A$304,0)),""))</f>
        <v>0</v>
      </c>
      <c r="G149" s="26"/>
      <c r="H149" s="27"/>
      <c r="I149" s="28"/>
      <c r="J149" s="8">
        <f>IF(OR(E149="",G149="",I149=""),"",G149*I149)</f>
        <v>0</v>
      </c>
      <c r="K149" s="8">
        <f>IF(OR(A149="",J149=""),"",SUMIFS($J$5:$J$404,$B$5:$B$404,B149))</f>
        <v>0</v>
      </c>
      <c r="L149" s="8">
        <f>IF(OR(J149="",K149="",K149=0),"",J149/K149)</f>
        <v>0</v>
      </c>
      <c r="M149" s="8">
        <f>IF(K149="","",K149-Weekly_Budget)</f>
        <v>0</v>
      </c>
      <c r="N149" s="8">
        <f>IF(K149="","",IF(K149&gt;Weekly_Budget,"Over budget",IF(K149&gt;Weekly_Budget*0.9,"Close","Within budget")))</f>
        <v>0</v>
      </c>
      <c r="O149" s="7"/>
      <c r="P149" s="27"/>
      <c r="Q149" s="27"/>
      <c r="R149" s="28"/>
      <c r="S149" s="8">
        <f>IF(J149="","",COUNTIFS($J$5:$J$404,"&gt;"&amp;J149)+1)</f>
        <v>0</v>
      </c>
      <c r="T149" s="8">
        <f>IF(OR(A149="",J149=""),"",SUMIFS($J$5:$J$404,$C$5:$C$404,C149,$A$5:$A$404,"&lt;="&amp;A149))</f>
        <v>0</v>
      </c>
      <c r="U149" s="8">
        <f>IF(E149="","",IF(Q149="Yes","On offer","Full price"))</f>
        <v>0</v>
      </c>
      <c r="V149" s="25"/>
    </row>
    <row r="150" spans="1:22">
      <c r="A150" s="30"/>
      <c r="B150" s="8">
        <f>IF(A150="","",A150-WEEKDAY(A150,2)+1)</f>
        <v>0</v>
      </c>
      <c r="C150" s="8">
        <f>IF(A150="","",TEXT(A150,"mmm yyyy"))</f>
        <v>0</v>
      </c>
      <c r="D150" s="27"/>
      <c r="E150" s="7"/>
      <c r="F150" s="8">
        <f>IF(E150="","",IFERROR(INDEX(Ingredients!$B$5:$B$304,MATCH(E150,Ingredients!$A$5:$A$304,0)),""))</f>
        <v>0</v>
      </c>
      <c r="G150" s="26"/>
      <c r="H150" s="27"/>
      <c r="I150" s="28"/>
      <c r="J150" s="8">
        <f>IF(OR(E150="",G150="",I150=""),"",G150*I150)</f>
        <v>0</v>
      </c>
      <c r="K150" s="8">
        <f>IF(OR(A150="",J150=""),"",SUMIFS($J$5:$J$404,$B$5:$B$404,B150))</f>
        <v>0</v>
      </c>
      <c r="L150" s="8">
        <f>IF(OR(J150="",K150="",K150=0),"",J150/K150)</f>
        <v>0</v>
      </c>
      <c r="M150" s="8">
        <f>IF(K150="","",K150-Weekly_Budget)</f>
        <v>0</v>
      </c>
      <c r="N150" s="8">
        <f>IF(K150="","",IF(K150&gt;Weekly_Budget,"Over budget",IF(K150&gt;Weekly_Budget*0.9,"Close","Within budget")))</f>
        <v>0</v>
      </c>
      <c r="O150" s="7"/>
      <c r="P150" s="27"/>
      <c r="Q150" s="27"/>
      <c r="R150" s="28"/>
      <c r="S150" s="8">
        <f>IF(J150="","",COUNTIFS($J$5:$J$404,"&gt;"&amp;J150)+1)</f>
        <v>0</v>
      </c>
      <c r="T150" s="8">
        <f>IF(OR(A150="",J150=""),"",SUMIFS($J$5:$J$404,$C$5:$C$404,C150,$A$5:$A$404,"&lt;="&amp;A150))</f>
        <v>0</v>
      </c>
      <c r="U150" s="8">
        <f>IF(E150="","",IF(Q150="Yes","On offer","Full price"))</f>
        <v>0</v>
      </c>
      <c r="V150" s="25"/>
    </row>
    <row r="151" spans="1:22">
      <c r="A151" s="30"/>
      <c r="B151" s="8">
        <f>IF(A151="","",A151-WEEKDAY(A151,2)+1)</f>
        <v>0</v>
      </c>
      <c r="C151" s="8">
        <f>IF(A151="","",TEXT(A151,"mmm yyyy"))</f>
        <v>0</v>
      </c>
      <c r="D151" s="27"/>
      <c r="E151" s="7"/>
      <c r="F151" s="8">
        <f>IF(E151="","",IFERROR(INDEX(Ingredients!$B$5:$B$304,MATCH(E151,Ingredients!$A$5:$A$304,0)),""))</f>
        <v>0</v>
      </c>
      <c r="G151" s="26"/>
      <c r="H151" s="27"/>
      <c r="I151" s="28"/>
      <c r="J151" s="8">
        <f>IF(OR(E151="",G151="",I151=""),"",G151*I151)</f>
        <v>0</v>
      </c>
      <c r="K151" s="8">
        <f>IF(OR(A151="",J151=""),"",SUMIFS($J$5:$J$404,$B$5:$B$404,B151))</f>
        <v>0</v>
      </c>
      <c r="L151" s="8">
        <f>IF(OR(J151="",K151="",K151=0),"",J151/K151)</f>
        <v>0</v>
      </c>
      <c r="M151" s="8">
        <f>IF(K151="","",K151-Weekly_Budget)</f>
        <v>0</v>
      </c>
      <c r="N151" s="8">
        <f>IF(K151="","",IF(K151&gt;Weekly_Budget,"Over budget",IF(K151&gt;Weekly_Budget*0.9,"Close","Within budget")))</f>
        <v>0</v>
      </c>
      <c r="O151" s="7"/>
      <c r="P151" s="27"/>
      <c r="Q151" s="27"/>
      <c r="R151" s="28"/>
      <c r="S151" s="8">
        <f>IF(J151="","",COUNTIFS($J$5:$J$404,"&gt;"&amp;J151)+1)</f>
        <v>0</v>
      </c>
      <c r="T151" s="8">
        <f>IF(OR(A151="",J151=""),"",SUMIFS($J$5:$J$404,$C$5:$C$404,C151,$A$5:$A$404,"&lt;="&amp;A151))</f>
        <v>0</v>
      </c>
      <c r="U151" s="8">
        <f>IF(E151="","",IF(Q151="Yes","On offer","Full price"))</f>
        <v>0</v>
      </c>
      <c r="V151" s="25"/>
    </row>
    <row r="152" spans="1:22">
      <c r="A152" s="30"/>
      <c r="B152" s="8">
        <f>IF(A152="","",A152-WEEKDAY(A152,2)+1)</f>
        <v>0</v>
      </c>
      <c r="C152" s="8">
        <f>IF(A152="","",TEXT(A152,"mmm yyyy"))</f>
        <v>0</v>
      </c>
      <c r="D152" s="27"/>
      <c r="E152" s="7"/>
      <c r="F152" s="8">
        <f>IF(E152="","",IFERROR(INDEX(Ingredients!$B$5:$B$304,MATCH(E152,Ingredients!$A$5:$A$304,0)),""))</f>
        <v>0</v>
      </c>
      <c r="G152" s="26"/>
      <c r="H152" s="27"/>
      <c r="I152" s="28"/>
      <c r="J152" s="8">
        <f>IF(OR(E152="",G152="",I152=""),"",G152*I152)</f>
        <v>0</v>
      </c>
      <c r="K152" s="8">
        <f>IF(OR(A152="",J152=""),"",SUMIFS($J$5:$J$404,$B$5:$B$404,B152))</f>
        <v>0</v>
      </c>
      <c r="L152" s="8">
        <f>IF(OR(J152="",K152="",K152=0),"",J152/K152)</f>
        <v>0</v>
      </c>
      <c r="M152" s="8">
        <f>IF(K152="","",K152-Weekly_Budget)</f>
        <v>0</v>
      </c>
      <c r="N152" s="8">
        <f>IF(K152="","",IF(K152&gt;Weekly_Budget,"Over budget",IF(K152&gt;Weekly_Budget*0.9,"Close","Within budget")))</f>
        <v>0</v>
      </c>
      <c r="O152" s="7"/>
      <c r="P152" s="27"/>
      <c r="Q152" s="27"/>
      <c r="R152" s="28"/>
      <c r="S152" s="8">
        <f>IF(J152="","",COUNTIFS($J$5:$J$404,"&gt;"&amp;J152)+1)</f>
        <v>0</v>
      </c>
      <c r="T152" s="8">
        <f>IF(OR(A152="",J152=""),"",SUMIFS($J$5:$J$404,$C$5:$C$404,C152,$A$5:$A$404,"&lt;="&amp;A152))</f>
        <v>0</v>
      </c>
      <c r="U152" s="8">
        <f>IF(E152="","",IF(Q152="Yes","On offer","Full price"))</f>
        <v>0</v>
      </c>
      <c r="V152" s="25"/>
    </row>
    <row r="153" spans="1:22">
      <c r="A153" s="30"/>
      <c r="B153" s="8">
        <f>IF(A153="","",A153-WEEKDAY(A153,2)+1)</f>
        <v>0</v>
      </c>
      <c r="C153" s="8">
        <f>IF(A153="","",TEXT(A153,"mmm yyyy"))</f>
        <v>0</v>
      </c>
      <c r="D153" s="27"/>
      <c r="E153" s="7"/>
      <c r="F153" s="8">
        <f>IF(E153="","",IFERROR(INDEX(Ingredients!$B$5:$B$304,MATCH(E153,Ingredients!$A$5:$A$304,0)),""))</f>
        <v>0</v>
      </c>
      <c r="G153" s="26"/>
      <c r="H153" s="27"/>
      <c r="I153" s="28"/>
      <c r="J153" s="8">
        <f>IF(OR(E153="",G153="",I153=""),"",G153*I153)</f>
        <v>0</v>
      </c>
      <c r="K153" s="8">
        <f>IF(OR(A153="",J153=""),"",SUMIFS($J$5:$J$404,$B$5:$B$404,B153))</f>
        <v>0</v>
      </c>
      <c r="L153" s="8">
        <f>IF(OR(J153="",K153="",K153=0),"",J153/K153)</f>
        <v>0</v>
      </c>
      <c r="M153" s="8">
        <f>IF(K153="","",K153-Weekly_Budget)</f>
        <v>0</v>
      </c>
      <c r="N153" s="8">
        <f>IF(K153="","",IF(K153&gt;Weekly_Budget,"Over budget",IF(K153&gt;Weekly_Budget*0.9,"Close","Within budget")))</f>
        <v>0</v>
      </c>
      <c r="O153" s="7"/>
      <c r="P153" s="27"/>
      <c r="Q153" s="27"/>
      <c r="R153" s="28"/>
      <c r="S153" s="8">
        <f>IF(J153="","",COUNTIFS($J$5:$J$404,"&gt;"&amp;J153)+1)</f>
        <v>0</v>
      </c>
      <c r="T153" s="8">
        <f>IF(OR(A153="",J153=""),"",SUMIFS($J$5:$J$404,$C$5:$C$404,C153,$A$5:$A$404,"&lt;="&amp;A153))</f>
        <v>0</v>
      </c>
      <c r="U153" s="8">
        <f>IF(E153="","",IF(Q153="Yes","On offer","Full price"))</f>
        <v>0</v>
      </c>
      <c r="V153" s="25"/>
    </row>
    <row r="154" spans="1:22">
      <c r="A154" s="30"/>
      <c r="B154" s="8">
        <f>IF(A154="","",A154-WEEKDAY(A154,2)+1)</f>
        <v>0</v>
      </c>
      <c r="C154" s="8">
        <f>IF(A154="","",TEXT(A154,"mmm yyyy"))</f>
        <v>0</v>
      </c>
      <c r="D154" s="27"/>
      <c r="E154" s="7"/>
      <c r="F154" s="8">
        <f>IF(E154="","",IFERROR(INDEX(Ingredients!$B$5:$B$304,MATCH(E154,Ingredients!$A$5:$A$304,0)),""))</f>
        <v>0</v>
      </c>
      <c r="G154" s="26"/>
      <c r="H154" s="27"/>
      <c r="I154" s="28"/>
      <c r="J154" s="8">
        <f>IF(OR(E154="",G154="",I154=""),"",G154*I154)</f>
        <v>0</v>
      </c>
      <c r="K154" s="8">
        <f>IF(OR(A154="",J154=""),"",SUMIFS($J$5:$J$404,$B$5:$B$404,B154))</f>
        <v>0</v>
      </c>
      <c r="L154" s="8">
        <f>IF(OR(J154="",K154="",K154=0),"",J154/K154)</f>
        <v>0</v>
      </c>
      <c r="M154" s="8">
        <f>IF(K154="","",K154-Weekly_Budget)</f>
        <v>0</v>
      </c>
      <c r="N154" s="8">
        <f>IF(K154="","",IF(K154&gt;Weekly_Budget,"Over budget",IF(K154&gt;Weekly_Budget*0.9,"Close","Within budget")))</f>
        <v>0</v>
      </c>
      <c r="O154" s="7"/>
      <c r="P154" s="27"/>
      <c r="Q154" s="27"/>
      <c r="R154" s="28"/>
      <c r="S154" s="8">
        <f>IF(J154="","",COUNTIFS($J$5:$J$404,"&gt;"&amp;J154)+1)</f>
        <v>0</v>
      </c>
      <c r="T154" s="8">
        <f>IF(OR(A154="",J154=""),"",SUMIFS($J$5:$J$404,$C$5:$C$404,C154,$A$5:$A$404,"&lt;="&amp;A154))</f>
        <v>0</v>
      </c>
      <c r="U154" s="8">
        <f>IF(E154="","",IF(Q154="Yes","On offer","Full price"))</f>
        <v>0</v>
      </c>
      <c r="V154" s="25"/>
    </row>
    <row r="155" spans="1:22">
      <c r="A155" s="30"/>
      <c r="B155" s="8">
        <f>IF(A155="","",A155-WEEKDAY(A155,2)+1)</f>
        <v>0</v>
      </c>
      <c r="C155" s="8">
        <f>IF(A155="","",TEXT(A155,"mmm yyyy"))</f>
        <v>0</v>
      </c>
      <c r="D155" s="27"/>
      <c r="E155" s="7"/>
      <c r="F155" s="8">
        <f>IF(E155="","",IFERROR(INDEX(Ingredients!$B$5:$B$304,MATCH(E155,Ingredients!$A$5:$A$304,0)),""))</f>
        <v>0</v>
      </c>
      <c r="G155" s="26"/>
      <c r="H155" s="27"/>
      <c r="I155" s="28"/>
      <c r="J155" s="8">
        <f>IF(OR(E155="",G155="",I155=""),"",G155*I155)</f>
        <v>0</v>
      </c>
      <c r="K155" s="8">
        <f>IF(OR(A155="",J155=""),"",SUMIFS($J$5:$J$404,$B$5:$B$404,B155))</f>
        <v>0</v>
      </c>
      <c r="L155" s="8">
        <f>IF(OR(J155="",K155="",K155=0),"",J155/K155)</f>
        <v>0</v>
      </c>
      <c r="M155" s="8">
        <f>IF(K155="","",K155-Weekly_Budget)</f>
        <v>0</v>
      </c>
      <c r="N155" s="8">
        <f>IF(K155="","",IF(K155&gt;Weekly_Budget,"Over budget",IF(K155&gt;Weekly_Budget*0.9,"Close","Within budget")))</f>
        <v>0</v>
      </c>
      <c r="O155" s="7"/>
      <c r="P155" s="27"/>
      <c r="Q155" s="27"/>
      <c r="R155" s="28"/>
      <c r="S155" s="8">
        <f>IF(J155="","",COUNTIFS($J$5:$J$404,"&gt;"&amp;J155)+1)</f>
        <v>0</v>
      </c>
      <c r="T155" s="8">
        <f>IF(OR(A155="",J155=""),"",SUMIFS($J$5:$J$404,$C$5:$C$404,C155,$A$5:$A$404,"&lt;="&amp;A155))</f>
        <v>0</v>
      </c>
      <c r="U155" s="8">
        <f>IF(E155="","",IF(Q155="Yes","On offer","Full price"))</f>
        <v>0</v>
      </c>
      <c r="V155" s="25"/>
    </row>
    <row r="156" spans="1:22">
      <c r="A156" s="30"/>
      <c r="B156" s="8">
        <f>IF(A156="","",A156-WEEKDAY(A156,2)+1)</f>
        <v>0</v>
      </c>
      <c r="C156" s="8">
        <f>IF(A156="","",TEXT(A156,"mmm yyyy"))</f>
        <v>0</v>
      </c>
      <c r="D156" s="27"/>
      <c r="E156" s="7"/>
      <c r="F156" s="8">
        <f>IF(E156="","",IFERROR(INDEX(Ingredients!$B$5:$B$304,MATCH(E156,Ingredients!$A$5:$A$304,0)),""))</f>
        <v>0</v>
      </c>
      <c r="G156" s="26"/>
      <c r="H156" s="27"/>
      <c r="I156" s="28"/>
      <c r="J156" s="8">
        <f>IF(OR(E156="",G156="",I156=""),"",G156*I156)</f>
        <v>0</v>
      </c>
      <c r="K156" s="8">
        <f>IF(OR(A156="",J156=""),"",SUMIFS($J$5:$J$404,$B$5:$B$404,B156))</f>
        <v>0</v>
      </c>
      <c r="L156" s="8">
        <f>IF(OR(J156="",K156="",K156=0),"",J156/K156)</f>
        <v>0</v>
      </c>
      <c r="M156" s="8">
        <f>IF(K156="","",K156-Weekly_Budget)</f>
        <v>0</v>
      </c>
      <c r="N156" s="8">
        <f>IF(K156="","",IF(K156&gt;Weekly_Budget,"Over budget",IF(K156&gt;Weekly_Budget*0.9,"Close","Within budget")))</f>
        <v>0</v>
      </c>
      <c r="O156" s="7"/>
      <c r="P156" s="27"/>
      <c r="Q156" s="27"/>
      <c r="R156" s="28"/>
      <c r="S156" s="8">
        <f>IF(J156="","",COUNTIFS($J$5:$J$404,"&gt;"&amp;J156)+1)</f>
        <v>0</v>
      </c>
      <c r="T156" s="8">
        <f>IF(OR(A156="",J156=""),"",SUMIFS($J$5:$J$404,$C$5:$C$404,C156,$A$5:$A$404,"&lt;="&amp;A156))</f>
        <v>0</v>
      </c>
      <c r="U156" s="8">
        <f>IF(E156="","",IF(Q156="Yes","On offer","Full price"))</f>
        <v>0</v>
      </c>
      <c r="V156" s="25"/>
    </row>
    <row r="157" spans="1:22">
      <c r="A157" s="30"/>
      <c r="B157" s="8">
        <f>IF(A157="","",A157-WEEKDAY(A157,2)+1)</f>
        <v>0</v>
      </c>
      <c r="C157" s="8">
        <f>IF(A157="","",TEXT(A157,"mmm yyyy"))</f>
        <v>0</v>
      </c>
      <c r="D157" s="27"/>
      <c r="E157" s="7"/>
      <c r="F157" s="8">
        <f>IF(E157="","",IFERROR(INDEX(Ingredients!$B$5:$B$304,MATCH(E157,Ingredients!$A$5:$A$304,0)),""))</f>
        <v>0</v>
      </c>
      <c r="G157" s="26"/>
      <c r="H157" s="27"/>
      <c r="I157" s="28"/>
      <c r="J157" s="8">
        <f>IF(OR(E157="",G157="",I157=""),"",G157*I157)</f>
        <v>0</v>
      </c>
      <c r="K157" s="8">
        <f>IF(OR(A157="",J157=""),"",SUMIFS($J$5:$J$404,$B$5:$B$404,B157))</f>
        <v>0</v>
      </c>
      <c r="L157" s="8">
        <f>IF(OR(J157="",K157="",K157=0),"",J157/K157)</f>
        <v>0</v>
      </c>
      <c r="M157" s="8">
        <f>IF(K157="","",K157-Weekly_Budget)</f>
        <v>0</v>
      </c>
      <c r="N157" s="8">
        <f>IF(K157="","",IF(K157&gt;Weekly_Budget,"Over budget",IF(K157&gt;Weekly_Budget*0.9,"Close","Within budget")))</f>
        <v>0</v>
      </c>
      <c r="O157" s="7"/>
      <c r="P157" s="27"/>
      <c r="Q157" s="27"/>
      <c r="R157" s="28"/>
      <c r="S157" s="8">
        <f>IF(J157="","",COUNTIFS($J$5:$J$404,"&gt;"&amp;J157)+1)</f>
        <v>0</v>
      </c>
      <c r="T157" s="8">
        <f>IF(OR(A157="",J157=""),"",SUMIFS($J$5:$J$404,$C$5:$C$404,C157,$A$5:$A$404,"&lt;="&amp;A157))</f>
        <v>0</v>
      </c>
      <c r="U157" s="8">
        <f>IF(E157="","",IF(Q157="Yes","On offer","Full price"))</f>
        <v>0</v>
      </c>
      <c r="V157" s="25"/>
    </row>
    <row r="158" spans="1:22">
      <c r="A158" s="30"/>
      <c r="B158" s="8">
        <f>IF(A158="","",A158-WEEKDAY(A158,2)+1)</f>
        <v>0</v>
      </c>
      <c r="C158" s="8">
        <f>IF(A158="","",TEXT(A158,"mmm yyyy"))</f>
        <v>0</v>
      </c>
      <c r="D158" s="27"/>
      <c r="E158" s="7"/>
      <c r="F158" s="8">
        <f>IF(E158="","",IFERROR(INDEX(Ingredients!$B$5:$B$304,MATCH(E158,Ingredients!$A$5:$A$304,0)),""))</f>
        <v>0</v>
      </c>
      <c r="G158" s="26"/>
      <c r="H158" s="27"/>
      <c r="I158" s="28"/>
      <c r="J158" s="8">
        <f>IF(OR(E158="",G158="",I158=""),"",G158*I158)</f>
        <v>0</v>
      </c>
      <c r="K158" s="8">
        <f>IF(OR(A158="",J158=""),"",SUMIFS($J$5:$J$404,$B$5:$B$404,B158))</f>
        <v>0</v>
      </c>
      <c r="L158" s="8">
        <f>IF(OR(J158="",K158="",K158=0),"",J158/K158)</f>
        <v>0</v>
      </c>
      <c r="M158" s="8">
        <f>IF(K158="","",K158-Weekly_Budget)</f>
        <v>0</v>
      </c>
      <c r="N158" s="8">
        <f>IF(K158="","",IF(K158&gt;Weekly_Budget,"Over budget",IF(K158&gt;Weekly_Budget*0.9,"Close","Within budget")))</f>
        <v>0</v>
      </c>
      <c r="O158" s="7"/>
      <c r="P158" s="27"/>
      <c r="Q158" s="27"/>
      <c r="R158" s="28"/>
      <c r="S158" s="8">
        <f>IF(J158="","",COUNTIFS($J$5:$J$404,"&gt;"&amp;J158)+1)</f>
        <v>0</v>
      </c>
      <c r="T158" s="8">
        <f>IF(OR(A158="",J158=""),"",SUMIFS($J$5:$J$404,$C$5:$C$404,C158,$A$5:$A$404,"&lt;="&amp;A158))</f>
        <v>0</v>
      </c>
      <c r="U158" s="8">
        <f>IF(E158="","",IF(Q158="Yes","On offer","Full price"))</f>
        <v>0</v>
      </c>
      <c r="V158" s="25"/>
    </row>
    <row r="159" spans="1:22">
      <c r="A159" s="30"/>
      <c r="B159" s="8">
        <f>IF(A159="","",A159-WEEKDAY(A159,2)+1)</f>
        <v>0</v>
      </c>
      <c r="C159" s="8">
        <f>IF(A159="","",TEXT(A159,"mmm yyyy"))</f>
        <v>0</v>
      </c>
      <c r="D159" s="27"/>
      <c r="E159" s="7"/>
      <c r="F159" s="8">
        <f>IF(E159="","",IFERROR(INDEX(Ingredients!$B$5:$B$304,MATCH(E159,Ingredients!$A$5:$A$304,0)),""))</f>
        <v>0</v>
      </c>
      <c r="G159" s="26"/>
      <c r="H159" s="27"/>
      <c r="I159" s="28"/>
      <c r="J159" s="8">
        <f>IF(OR(E159="",G159="",I159=""),"",G159*I159)</f>
        <v>0</v>
      </c>
      <c r="K159" s="8">
        <f>IF(OR(A159="",J159=""),"",SUMIFS($J$5:$J$404,$B$5:$B$404,B159))</f>
        <v>0</v>
      </c>
      <c r="L159" s="8">
        <f>IF(OR(J159="",K159="",K159=0),"",J159/K159)</f>
        <v>0</v>
      </c>
      <c r="M159" s="8">
        <f>IF(K159="","",K159-Weekly_Budget)</f>
        <v>0</v>
      </c>
      <c r="N159" s="8">
        <f>IF(K159="","",IF(K159&gt;Weekly_Budget,"Over budget",IF(K159&gt;Weekly_Budget*0.9,"Close","Within budget")))</f>
        <v>0</v>
      </c>
      <c r="O159" s="7"/>
      <c r="P159" s="27"/>
      <c r="Q159" s="27"/>
      <c r="R159" s="28"/>
      <c r="S159" s="8">
        <f>IF(J159="","",COUNTIFS($J$5:$J$404,"&gt;"&amp;J159)+1)</f>
        <v>0</v>
      </c>
      <c r="T159" s="8">
        <f>IF(OR(A159="",J159=""),"",SUMIFS($J$5:$J$404,$C$5:$C$404,C159,$A$5:$A$404,"&lt;="&amp;A159))</f>
        <v>0</v>
      </c>
      <c r="U159" s="8">
        <f>IF(E159="","",IF(Q159="Yes","On offer","Full price"))</f>
        <v>0</v>
      </c>
      <c r="V159" s="25"/>
    </row>
    <row r="160" spans="1:22">
      <c r="A160" s="30"/>
      <c r="B160" s="8">
        <f>IF(A160="","",A160-WEEKDAY(A160,2)+1)</f>
        <v>0</v>
      </c>
      <c r="C160" s="8">
        <f>IF(A160="","",TEXT(A160,"mmm yyyy"))</f>
        <v>0</v>
      </c>
      <c r="D160" s="27"/>
      <c r="E160" s="7"/>
      <c r="F160" s="8">
        <f>IF(E160="","",IFERROR(INDEX(Ingredients!$B$5:$B$304,MATCH(E160,Ingredients!$A$5:$A$304,0)),""))</f>
        <v>0</v>
      </c>
      <c r="G160" s="26"/>
      <c r="H160" s="27"/>
      <c r="I160" s="28"/>
      <c r="J160" s="8">
        <f>IF(OR(E160="",G160="",I160=""),"",G160*I160)</f>
        <v>0</v>
      </c>
      <c r="K160" s="8">
        <f>IF(OR(A160="",J160=""),"",SUMIFS($J$5:$J$404,$B$5:$B$404,B160))</f>
        <v>0</v>
      </c>
      <c r="L160" s="8">
        <f>IF(OR(J160="",K160="",K160=0),"",J160/K160)</f>
        <v>0</v>
      </c>
      <c r="M160" s="8">
        <f>IF(K160="","",K160-Weekly_Budget)</f>
        <v>0</v>
      </c>
      <c r="N160" s="8">
        <f>IF(K160="","",IF(K160&gt;Weekly_Budget,"Over budget",IF(K160&gt;Weekly_Budget*0.9,"Close","Within budget")))</f>
        <v>0</v>
      </c>
      <c r="O160" s="7"/>
      <c r="P160" s="27"/>
      <c r="Q160" s="27"/>
      <c r="R160" s="28"/>
      <c r="S160" s="8">
        <f>IF(J160="","",COUNTIFS($J$5:$J$404,"&gt;"&amp;J160)+1)</f>
        <v>0</v>
      </c>
      <c r="T160" s="8">
        <f>IF(OR(A160="",J160=""),"",SUMIFS($J$5:$J$404,$C$5:$C$404,C160,$A$5:$A$404,"&lt;="&amp;A160))</f>
        <v>0</v>
      </c>
      <c r="U160" s="8">
        <f>IF(E160="","",IF(Q160="Yes","On offer","Full price"))</f>
        <v>0</v>
      </c>
      <c r="V160" s="25"/>
    </row>
    <row r="161" spans="1:22">
      <c r="A161" s="30"/>
      <c r="B161" s="8">
        <f>IF(A161="","",A161-WEEKDAY(A161,2)+1)</f>
        <v>0</v>
      </c>
      <c r="C161" s="8">
        <f>IF(A161="","",TEXT(A161,"mmm yyyy"))</f>
        <v>0</v>
      </c>
      <c r="D161" s="27"/>
      <c r="E161" s="7"/>
      <c r="F161" s="8">
        <f>IF(E161="","",IFERROR(INDEX(Ingredients!$B$5:$B$304,MATCH(E161,Ingredients!$A$5:$A$304,0)),""))</f>
        <v>0</v>
      </c>
      <c r="G161" s="26"/>
      <c r="H161" s="27"/>
      <c r="I161" s="28"/>
      <c r="J161" s="8">
        <f>IF(OR(E161="",G161="",I161=""),"",G161*I161)</f>
        <v>0</v>
      </c>
      <c r="K161" s="8">
        <f>IF(OR(A161="",J161=""),"",SUMIFS($J$5:$J$404,$B$5:$B$404,B161))</f>
        <v>0</v>
      </c>
      <c r="L161" s="8">
        <f>IF(OR(J161="",K161="",K161=0),"",J161/K161)</f>
        <v>0</v>
      </c>
      <c r="M161" s="8">
        <f>IF(K161="","",K161-Weekly_Budget)</f>
        <v>0</v>
      </c>
      <c r="N161" s="8">
        <f>IF(K161="","",IF(K161&gt;Weekly_Budget,"Over budget",IF(K161&gt;Weekly_Budget*0.9,"Close","Within budget")))</f>
        <v>0</v>
      </c>
      <c r="O161" s="7"/>
      <c r="P161" s="27"/>
      <c r="Q161" s="27"/>
      <c r="R161" s="28"/>
      <c r="S161" s="8">
        <f>IF(J161="","",COUNTIFS($J$5:$J$404,"&gt;"&amp;J161)+1)</f>
        <v>0</v>
      </c>
      <c r="T161" s="8">
        <f>IF(OR(A161="",J161=""),"",SUMIFS($J$5:$J$404,$C$5:$C$404,C161,$A$5:$A$404,"&lt;="&amp;A161))</f>
        <v>0</v>
      </c>
      <c r="U161" s="8">
        <f>IF(E161="","",IF(Q161="Yes","On offer","Full price"))</f>
        <v>0</v>
      </c>
      <c r="V161" s="25"/>
    </row>
    <row r="162" spans="1:22">
      <c r="A162" s="30"/>
      <c r="B162" s="8">
        <f>IF(A162="","",A162-WEEKDAY(A162,2)+1)</f>
        <v>0</v>
      </c>
      <c r="C162" s="8">
        <f>IF(A162="","",TEXT(A162,"mmm yyyy"))</f>
        <v>0</v>
      </c>
      <c r="D162" s="27"/>
      <c r="E162" s="7"/>
      <c r="F162" s="8">
        <f>IF(E162="","",IFERROR(INDEX(Ingredients!$B$5:$B$304,MATCH(E162,Ingredients!$A$5:$A$304,0)),""))</f>
        <v>0</v>
      </c>
      <c r="G162" s="26"/>
      <c r="H162" s="27"/>
      <c r="I162" s="28"/>
      <c r="J162" s="8">
        <f>IF(OR(E162="",G162="",I162=""),"",G162*I162)</f>
        <v>0</v>
      </c>
      <c r="K162" s="8">
        <f>IF(OR(A162="",J162=""),"",SUMIFS($J$5:$J$404,$B$5:$B$404,B162))</f>
        <v>0</v>
      </c>
      <c r="L162" s="8">
        <f>IF(OR(J162="",K162="",K162=0),"",J162/K162)</f>
        <v>0</v>
      </c>
      <c r="M162" s="8">
        <f>IF(K162="","",K162-Weekly_Budget)</f>
        <v>0</v>
      </c>
      <c r="N162" s="8">
        <f>IF(K162="","",IF(K162&gt;Weekly_Budget,"Over budget",IF(K162&gt;Weekly_Budget*0.9,"Close","Within budget")))</f>
        <v>0</v>
      </c>
      <c r="O162" s="7"/>
      <c r="P162" s="27"/>
      <c r="Q162" s="27"/>
      <c r="R162" s="28"/>
      <c r="S162" s="8">
        <f>IF(J162="","",COUNTIFS($J$5:$J$404,"&gt;"&amp;J162)+1)</f>
        <v>0</v>
      </c>
      <c r="T162" s="8">
        <f>IF(OR(A162="",J162=""),"",SUMIFS($J$5:$J$404,$C$5:$C$404,C162,$A$5:$A$404,"&lt;="&amp;A162))</f>
        <v>0</v>
      </c>
      <c r="U162" s="8">
        <f>IF(E162="","",IF(Q162="Yes","On offer","Full price"))</f>
        <v>0</v>
      </c>
      <c r="V162" s="25"/>
    </row>
    <row r="163" spans="1:22">
      <c r="A163" s="30"/>
      <c r="B163" s="8">
        <f>IF(A163="","",A163-WEEKDAY(A163,2)+1)</f>
        <v>0</v>
      </c>
      <c r="C163" s="8">
        <f>IF(A163="","",TEXT(A163,"mmm yyyy"))</f>
        <v>0</v>
      </c>
      <c r="D163" s="27"/>
      <c r="E163" s="7"/>
      <c r="F163" s="8">
        <f>IF(E163="","",IFERROR(INDEX(Ingredients!$B$5:$B$304,MATCH(E163,Ingredients!$A$5:$A$304,0)),""))</f>
        <v>0</v>
      </c>
      <c r="G163" s="26"/>
      <c r="H163" s="27"/>
      <c r="I163" s="28"/>
      <c r="J163" s="8">
        <f>IF(OR(E163="",G163="",I163=""),"",G163*I163)</f>
        <v>0</v>
      </c>
      <c r="K163" s="8">
        <f>IF(OR(A163="",J163=""),"",SUMIFS($J$5:$J$404,$B$5:$B$404,B163))</f>
        <v>0</v>
      </c>
      <c r="L163" s="8">
        <f>IF(OR(J163="",K163="",K163=0),"",J163/K163)</f>
        <v>0</v>
      </c>
      <c r="M163" s="8">
        <f>IF(K163="","",K163-Weekly_Budget)</f>
        <v>0</v>
      </c>
      <c r="N163" s="8">
        <f>IF(K163="","",IF(K163&gt;Weekly_Budget,"Over budget",IF(K163&gt;Weekly_Budget*0.9,"Close","Within budget")))</f>
        <v>0</v>
      </c>
      <c r="O163" s="7"/>
      <c r="P163" s="27"/>
      <c r="Q163" s="27"/>
      <c r="R163" s="28"/>
      <c r="S163" s="8">
        <f>IF(J163="","",COUNTIFS($J$5:$J$404,"&gt;"&amp;J163)+1)</f>
        <v>0</v>
      </c>
      <c r="T163" s="8">
        <f>IF(OR(A163="",J163=""),"",SUMIFS($J$5:$J$404,$C$5:$C$404,C163,$A$5:$A$404,"&lt;="&amp;A163))</f>
        <v>0</v>
      </c>
      <c r="U163" s="8">
        <f>IF(E163="","",IF(Q163="Yes","On offer","Full price"))</f>
        <v>0</v>
      </c>
      <c r="V163" s="25"/>
    </row>
    <row r="164" spans="1:22">
      <c r="A164" s="30"/>
      <c r="B164" s="8">
        <f>IF(A164="","",A164-WEEKDAY(A164,2)+1)</f>
        <v>0</v>
      </c>
      <c r="C164" s="8">
        <f>IF(A164="","",TEXT(A164,"mmm yyyy"))</f>
        <v>0</v>
      </c>
      <c r="D164" s="27"/>
      <c r="E164" s="7"/>
      <c r="F164" s="8">
        <f>IF(E164="","",IFERROR(INDEX(Ingredients!$B$5:$B$304,MATCH(E164,Ingredients!$A$5:$A$304,0)),""))</f>
        <v>0</v>
      </c>
      <c r="G164" s="26"/>
      <c r="H164" s="27"/>
      <c r="I164" s="28"/>
      <c r="J164" s="8">
        <f>IF(OR(E164="",G164="",I164=""),"",G164*I164)</f>
        <v>0</v>
      </c>
      <c r="K164" s="8">
        <f>IF(OR(A164="",J164=""),"",SUMIFS($J$5:$J$404,$B$5:$B$404,B164))</f>
        <v>0</v>
      </c>
      <c r="L164" s="8">
        <f>IF(OR(J164="",K164="",K164=0),"",J164/K164)</f>
        <v>0</v>
      </c>
      <c r="M164" s="8">
        <f>IF(K164="","",K164-Weekly_Budget)</f>
        <v>0</v>
      </c>
      <c r="N164" s="8">
        <f>IF(K164="","",IF(K164&gt;Weekly_Budget,"Over budget",IF(K164&gt;Weekly_Budget*0.9,"Close","Within budget")))</f>
        <v>0</v>
      </c>
      <c r="O164" s="7"/>
      <c r="P164" s="27"/>
      <c r="Q164" s="27"/>
      <c r="R164" s="28"/>
      <c r="S164" s="8">
        <f>IF(J164="","",COUNTIFS($J$5:$J$404,"&gt;"&amp;J164)+1)</f>
        <v>0</v>
      </c>
      <c r="T164" s="8">
        <f>IF(OR(A164="",J164=""),"",SUMIFS($J$5:$J$404,$C$5:$C$404,C164,$A$5:$A$404,"&lt;="&amp;A164))</f>
        <v>0</v>
      </c>
      <c r="U164" s="8">
        <f>IF(E164="","",IF(Q164="Yes","On offer","Full price"))</f>
        <v>0</v>
      </c>
      <c r="V164" s="25"/>
    </row>
    <row r="165" spans="1:22">
      <c r="A165" s="30"/>
      <c r="B165" s="8">
        <f>IF(A165="","",A165-WEEKDAY(A165,2)+1)</f>
        <v>0</v>
      </c>
      <c r="C165" s="8">
        <f>IF(A165="","",TEXT(A165,"mmm yyyy"))</f>
        <v>0</v>
      </c>
      <c r="D165" s="27"/>
      <c r="E165" s="7"/>
      <c r="F165" s="8">
        <f>IF(E165="","",IFERROR(INDEX(Ingredients!$B$5:$B$304,MATCH(E165,Ingredients!$A$5:$A$304,0)),""))</f>
        <v>0</v>
      </c>
      <c r="G165" s="26"/>
      <c r="H165" s="27"/>
      <c r="I165" s="28"/>
      <c r="J165" s="8">
        <f>IF(OR(E165="",G165="",I165=""),"",G165*I165)</f>
        <v>0</v>
      </c>
      <c r="K165" s="8">
        <f>IF(OR(A165="",J165=""),"",SUMIFS($J$5:$J$404,$B$5:$B$404,B165))</f>
        <v>0</v>
      </c>
      <c r="L165" s="8">
        <f>IF(OR(J165="",K165="",K165=0),"",J165/K165)</f>
        <v>0</v>
      </c>
      <c r="M165" s="8">
        <f>IF(K165="","",K165-Weekly_Budget)</f>
        <v>0</v>
      </c>
      <c r="N165" s="8">
        <f>IF(K165="","",IF(K165&gt;Weekly_Budget,"Over budget",IF(K165&gt;Weekly_Budget*0.9,"Close","Within budget")))</f>
        <v>0</v>
      </c>
      <c r="O165" s="7"/>
      <c r="P165" s="27"/>
      <c r="Q165" s="27"/>
      <c r="R165" s="28"/>
      <c r="S165" s="8">
        <f>IF(J165="","",COUNTIFS($J$5:$J$404,"&gt;"&amp;J165)+1)</f>
        <v>0</v>
      </c>
      <c r="T165" s="8">
        <f>IF(OR(A165="",J165=""),"",SUMIFS($J$5:$J$404,$C$5:$C$404,C165,$A$5:$A$404,"&lt;="&amp;A165))</f>
        <v>0</v>
      </c>
      <c r="U165" s="8">
        <f>IF(E165="","",IF(Q165="Yes","On offer","Full price"))</f>
        <v>0</v>
      </c>
      <c r="V165" s="25"/>
    </row>
    <row r="166" spans="1:22">
      <c r="A166" s="30"/>
      <c r="B166" s="8">
        <f>IF(A166="","",A166-WEEKDAY(A166,2)+1)</f>
        <v>0</v>
      </c>
      <c r="C166" s="8">
        <f>IF(A166="","",TEXT(A166,"mmm yyyy"))</f>
        <v>0</v>
      </c>
      <c r="D166" s="27"/>
      <c r="E166" s="7"/>
      <c r="F166" s="8">
        <f>IF(E166="","",IFERROR(INDEX(Ingredients!$B$5:$B$304,MATCH(E166,Ingredients!$A$5:$A$304,0)),""))</f>
        <v>0</v>
      </c>
      <c r="G166" s="26"/>
      <c r="H166" s="27"/>
      <c r="I166" s="28"/>
      <c r="J166" s="8">
        <f>IF(OR(E166="",G166="",I166=""),"",G166*I166)</f>
        <v>0</v>
      </c>
      <c r="K166" s="8">
        <f>IF(OR(A166="",J166=""),"",SUMIFS($J$5:$J$404,$B$5:$B$404,B166))</f>
        <v>0</v>
      </c>
      <c r="L166" s="8">
        <f>IF(OR(J166="",K166="",K166=0),"",J166/K166)</f>
        <v>0</v>
      </c>
      <c r="M166" s="8">
        <f>IF(K166="","",K166-Weekly_Budget)</f>
        <v>0</v>
      </c>
      <c r="N166" s="8">
        <f>IF(K166="","",IF(K166&gt;Weekly_Budget,"Over budget",IF(K166&gt;Weekly_Budget*0.9,"Close","Within budget")))</f>
        <v>0</v>
      </c>
      <c r="O166" s="7"/>
      <c r="P166" s="27"/>
      <c r="Q166" s="27"/>
      <c r="R166" s="28"/>
      <c r="S166" s="8">
        <f>IF(J166="","",COUNTIFS($J$5:$J$404,"&gt;"&amp;J166)+1)</f>
        <v>0</v>
      </c>
      <c r="T166" s="8">
        <f>IF(OR(A166="",J166=""),"",SUMIFS($J$5:$J$404,$C$5:$C$404,C166,$A$5:$A$404,"&lt;="&amp;A166))</f>
        <v>0</v>
      </c>
      <c r="U166" s="8">
        <f>IF(E166="","",IF(Q166="Yes","On offer","Full price"))</f>
        <v>0</v>
      </c>
      <c r="V166" s="25"/>
    </row>
    <row r="167" spans="1:22">
      <c r="A167" s="30"/>
      <c r="B167" s="8">
        <f>IF(A167="","",A167-WEEKDAY(A167,2)+1)</f>
        <v>0</v>
      </c>
      <c r="C167" s="8">
        <f>IF(A167="","",TEXT(A167,"mmm yyyy"))</f>
        <v>0</v>
      </c>
      <c r="D167" s="27"/>
      <c r="E167" s="7"/>
      <c r="F167" s="8">
        <f>IF(E167="","",IFERROR(INDEX(Ingredients!$B$5:$B$304,MATCH(E167,Ingredients!$A$5:$A$304,0)),""))</f>
        <v>0</v>
      </c>
      <c r="G167" s="26"/>
      <c r="H167" s="27"/>
      <c r="I167" s="28"/>
      <c r="J167" s="8">
        <f>IF(OR(E167="",G167="",I167=""),"",G167*I167)</f>
        <v>0</v>
      </c>
      <c r="K167" s="8">
        <f>IF(OR(A167="",J167=""),"",SUMIFS($J$5:$J$404,$B$5:$B$404,B167))</f>
        <v>0</v>
      </c>
      <c r="L167" s="8">
        <f>IF(OR(J167="",K167="",K167=0),"",J167/K167)</f>
        <v>0</v>
      </c>
      <c r="M167" s="8">
        <f>IF(K167="","",K167-Weekly_Budget)</f>
        <v>0</v>
      </c>
      <c r="N167" s="8">
        <f>IF(K167="","",IF(K167&gt;Weekly_Budget,"Over budget",IF(K167&gt;Weekly_Budget*0.9,"Close","Within budget")))</f>
        <v>0</v>
      </c>
      <c r="O167" s="7"/>
      <c r="P167" s="27"/>
      <c r="Q167" s="27"/>
      <c r="R167" s="28"/>
      <c r="S167" s="8">
        <f>IF(J167="","",COUNTIFS($J$5:$J$404,"&gt;"&amp;J167)+1)</f>
        <v>0</v>
      </c>
      <c r="T167" s="8">
        <f>IF(OR(A167="",J167=""),"",SUMIFS($J$5:$J$404,$C$5:$C$404,C167,$A$5:$A$404,"&lt;="&amp;A167))</f>
        <v>0</v>
      </c>
      <c r="U167" s="8">
        <f>IF(E167="","",IF(Q167="Yes","On offer","Full price"))</f>
        <v>0</v>
      </c>
      <c r="V167" s="25"/>
    </row>
    <row r="168" spans="1:22">
      <c r="A168" s="30"/>
      <c r="B168" s="8">
        <f>IF(A168="","",A168-WEEKDAY(A168,2)+1)</f>
        <v>0</v>
      </c>
      <c r="C168" s="8">
        <f>IF(A168="","",TEXT(A168,"mmm yyyy"))</f>
        <v>0</v>
      </c>
      <c r="D168" s="27"/>
      <c r="E168" s="7"/>
      <c r="F168" s="8">
        <f>IF(E168="","",IFERROR(INDEX(Ingredients!$B$5:$B$304,MATCH(E168,Ingredients!$A$5:$A$304,0)),""))</f>
        <v>0</v>
      </c>
      <c r="G168" s="26"/>
      <c r="H168" s="27"/>
      <c r="I168" s="28"/>
      <c r="J168" s="8">
        <f>IF(OR(E168="",G168="",I168=""),"",G168*I168)</f>
        <v>0</v>
      </c>
      <c r="K168" s="8">
        <f>IF(OR(A168="",J168=""),"",SUMIFS($J$5:$J$404,$B$5:$B$404,B168))</f>
        <v>0</v>
      </c>
      <c r="L168" s="8">
        <f>IF(OR(J168="",K168="",K168=0),"",J168/K168)</f>
        <v>0</v>
      </c>
      <c r="M168" s="8">
        <f>IF(K168="","",K168-Weekly_Budget)</f>
        <v>0</v>
      </c>
      <c r="N168" s="8">
        <f>IF(K168="","",IF(K168&gt;Weekly_Budget,"Over budget",IF(K168&gt;Weekly_Budget*0.9,"Close","Within budget")))</f>
        <v>0</v>
      </c>
      <c r="O168" s="7"/>
      <c r="P168" s="27"/>
      <c r="Q168" s="27"/>
      <c r="R168" s="28"/>
      <c r="S168" s="8">
        <f>IF(J168="","",COUNTIFS($J$5:$J$404,"&gt;"&amp;J168)+1)</f>
        <v>0</v>
      </c>
      <c r="T168" s="8">
        <f>IF(OR(A168="",J168=""),"",SUMIFS($J$5:$J$404,$C$5:$C$404,C168,$A$5:$A$404,"&lt;="&amp;A168))</f>
        <v>0</v>
      </c>
      <c r="U168" s="8">
        <f>IF(E168="","",IF(Q168="Yes","On offer","Full price"))</f>
        <v>0</v>
      </c>
      <c r="V168" s="25"/>
    </row>
    <row r="169" spans="1:22">
      <c r="A169" s="30"/>
      <c r="B169" s="8">
        <f>IF(A169="","",A169-WEEKDAY(A169,2)+1)</f>
        <v>0</v>
      </c>
      <c r="C169" s="8">
        <f>IF(A169="","",TEXT(A169,"mmm yyyy"))</f>
        <v>0</v>
      </c>
      <c r="D169" s="27"/>
      <c r="E169" s="7"/>
      <c r="F169" s="8">
        <f>IF(E169="","",IFERROR(INDEX(Ingredients!$B$5:$B$304,MATCH(E169,Ingredients!$A$5:$A$304,0)),""))</f>
        <v>0</v>
      </c>
      <c r="G169" s="26"/>
      <c r="H169" s="27"/>
      <c r="I169" s="28"/>
      <c r="J169" s="8">
        <f>IF(OR(E169="",G169="",I169=""),"",G169*I169)</f>
        <v>0</v>
      </c>
      <c r="K169" s="8">
        <f>IF(OR(A169="",J169=""),"",SUMIFS($J$5:$J$404,$B$5:$B$404,B169))</f>
        <v>0</v>
      </c>
      <c r="L169" s="8">
        <f>IF(OR(J169="",K169="",K169=0),"",J169/K169)</f>
        <v>0</v>
      </c>
      <c r="M169" s="8">
        <f>IF(K169="","",K169-Weekly_Budget)</f>
        <v>0</v>
      </c>
      <c r="N169" s="8">
        <f>IF(K169="","",IF(K169&gt;Weekly_Budget,"Over budget",IF(K169&gt;Weekly_Budget*0.9,"Close","Within budget")))</f>
        <v>0</v>
      </c>
      <c r="O169" s="7"/>
      <c r="P169" s="27"/>
      <c r="Q169" s="27"/>
      <c r="R169" s="28"/>
      <c r="S169" s="8">
        <f>IF(J169="","",COUNTIFS($J$5:$J$404,"&gt;"&amp;J169)+1)</f>
        <v>0</v>
      </c>
      <c r="T169" s="8">
        <f>IF(OR(A169="",J169=""),"",SUMIFS($J$5:$J$404,$C$5:$C$404,C169,$A$5:$A$404,"&lt;="&amp;A169))</f>
        <v>0</v>
      </c>
      <c r="U169" s="8">
        <f>IF(E169="","",IF(Q169="Yes","On offer","Full price"))</f>
        <v>0</v>
      </c>
      <c r="V169" s="25"/>
    </row>
    <row r="170" spans="1:22">
      <c r="A170" s="30"/>
      <c r="B170" s="8">
        <f>IF(A170="","",A170-WEEKDAY(A170,2)+1)</f>
        <v>0</v>
      </c>
      <c r="C170" s="8">
        <f>IF(A170="","",TEXT(A170,"mmm yyyy"))</f>
        <v>0</v>
      </c>
      <c r="D170" s="27"/>
      <c r="E170" s="7"/>
      <c r="F170" s="8">
        <f>IF(E170="","",IFERROR(INDEX(Ingredients!$B$5:$B$304,MATCH(E170,Ingredients!$A$5:$A$304,0)),""))</f>
        <v>0</v>
      </c>
      <c r="G170" s="26"/>
      <c r="H170" s="27"/>
      <c r="I170" s="28"/>
      <c r="J170" s="8">
        <f>IF(OR(E170="",G170="",I170=""),"",G170*I170)</f>
        <v>0</v>
      </c>
      <c r="K170" s="8">
        <f>IF(OR(A170="",J170=""),"",SUMIFS($J$5:$J$404,$B$5:$B$404,B170))</f>
        <v>0</v>
      </c>
      <c r="L170" s="8">
        <f>IF(OR(J170="",K170="",K170=0),"",J170/K170)</f>
        <v>0</v>
      </c>
      <c r="M170" s="8">
        <f>IF(K170="","",K170-Weekly_Budget)</f>
        <v>0</v>
      </c>
      <c r="N170" s="8">
        <f>IF(K170="","",IF(K170&gt;Weekly_Budget,"Over budget",IF(K170&gt;Weekly_Budget*0.9,"Close","Within budget")))</f>
        <v>0</v>
      </c>
      <c r="O170" s="7"/>
      <c r="P170" s="27"/>
      <c r="Q170" s="27"/>
      <c r="R170" s="28"/>
      <c r="S170" s="8">
        <f>IF(J170="","",COUNTIFS($J$5:$J$404,"&gt;"&amp;J170)+1)</f>
        <v>0</v>
      </c>
      <c r="T170" s="8">
        <f>IF(OR(A170="",J170=""),"",SUMIFS($J$5:$J$404,$C$5:$C$404,C170,$A$5:$A$404,"&lt;="&amp;A170))</f>
        <v>0</v>
      </c>
      <c r="U170" s="8">
        <f>IF(E170="","",IF(Q170="Yes","On offer","Full price"))</f>
        <v>0</v>
      </c>
      <c r="V170" s="25"/>
    </row>
    <row r="171" spans="1:22">
      <c r="A171" s="30"/>
      <c r="B171" s="8">
        <f>IF(A171="","",A171-WEEKDAY(A171,2)+1)</f>
        <v>0</v>
      </c>
      <c r="C171" s="8">
        <f>IF(A171="","",TEXT(A171,"mmm yyyy"))</f>
        <v>0</v>
      </c>
      <c r="D171" s="27"/>
      <c r="E171" s="7"/>
      <c r="F171" s="8">
        <f>IF(E171="","",IFERROR(INDEX(Ingredients!$B$5:$B$304,MATCH(E171,Ingredients!$A$5:$A$304,0)),""))</f>
        <v>0</v>
      </c>
      <c r="G171" s="26"/>
      <c r="H171" s="27"/>
      <c r="I171" s="28"/>
      <c r="J171" s="8">
        <f>IF(OR(E171="",G171="",I171=""),"",G171*I171)</f>
        <v>0</v>
      </c>
      <c r="K171" s="8">
        <f>IF(OR(A171="",J171=""),"",SUMIFS($J$5:$J$404,$B$5:$B$404,B171))</f>
        <v>0</v>
      </c>
      <c r="L171" s="8">
        <f>IF(OR(J171="",K171="",K171=0),"",J171/K171)</f>
        <v>0</v>
      </c>
      <c r="M171" s="8">
        <f>IF(K171="","",K171-Weekly_Budget)</f>
        <v>0</v>
      </c>
      <c r="N171" s="8">
        <f>IF(K171="","",IF(K171&gt;Weekly_Budget,"Over budget",IF(K171&gt;Weekly_Budget*0.9,"Close","Within budget")))</f>
        <v>0</v>
      </c>
      <c r="O171" s="7"/>
      <c r="P171" s="27"/>
      <c r="Q171" s="27"/>
      <c r="R171" s="28"/>
      <c r="S171" s="8">
        <f>IF(J171="","",COUNTIFS($J$5:$J$404,"&gt;"&amp;J171)+1)</f>
        <v>0</v>
      </c>
      <c r="T171" s="8">
        <f>IF(OR(A171="",J171=""),"",SUMIFS($J$5:$J$404,$C$5:$C$404,C171,$A$5:$A$404,"&lt;="&amp;A171))</f>
        <v>0</v>
      </c>
      <c r="U171" s="8">
        <f>IF(E171="","",IF(Q171="Yes","On offer","Full price"))</f>
        <v>0</v>
      </c>
      <c r="V171" s="25"/>
    </row>
    <row r="172" spans="1:22">
      <c r="A172" s="30"/>
      <c r="B172" s="8">
        <f>IF(A172="","",A172-WEEKDAY(A172,2)+1)</f>
        <v>0</v>
      </c>
      <c r="C172" s="8">
        <f>IF(A172="","",TEXT(A172,"mmm yyyy"))</f>
        <v>0</v>
      </c>
      <c r="D172" s="27"/>
      <c r="E172" s="7"/>
      <c r="F172" s="8">
        <f>IF(E172="","",IFERROR(INDEX(Ingredients!$B$5:$B$304,MATCH(E172,Ingredients!$A$5:$A$304,0)),""))</f>
        <v>0</v>
      </c>
      <c r="G172" s="26"/>
      <c r="H172" s="27"/>
      <c r="I172" s="28"/>
      <c r="J172" s="8">
        <f>IF(OR(E172="",G172="",I172=""),"",G172*I172)</f>
        <v>0</v>
      </c>
      <c r="K172" s="8">
        <f>IF(OR(A172="",J172=""),"",SUMIFS($J$5:$J$404,$B$5:$B$404,B172))</f>
        <v>0</v>
      </c>
      <c r="L172" s="8">
        <f>IF(OR(J172="",K172="",K172=0),"",J172/K172)</f>
        <v>0</v>
      </c>
      <c r="M172" s="8">
        <f>IF(K172="","",K172-Weekly_Budget)</f>
        <v>0</v>
      </c>
      <c r="N172" s="8">
        <f>IF(K172="","",IF(K172&gt;Weekly_Budget,"Over budget",IF(K172&gt;Weekly_Budget*0.9,"Close","Within budget")))</f>
        <v>0</v>
      </c>
      <c r="O172" s="7"/>
      <c r="P172" s="27"/>
      <c r="Q172" s="27"/>
      <c r="R172" s="28"/>
      <c r="S172" s="8">
        <f>IF(J172="","",COUNTIFS($J$5:$J$404,"&gt;"&amp;J172)+1)</f>
        <v>0</v>
      </c>
      <c r="T172" s="8">
        <f>IF(OR(A172="",J172=""),"",SUMIFS($J$5:$J$404,$C$5:$C$404,C172,$A$5:$A$404,"&lt;="&amp;A172))</f>
        <v>0</v>
      </c>
      <c r="U172" s="8">
        <f>IF(E172="","",IF(Q172="Yes","On offer","Full price"))</f>
        <v>0</v>
      </c>
      <c r="V172" s="25"/>
    </row>
    <row r="173" spans="1:22">
      <c r="A173" s="30"/>
      <c r="B173" s="8">
        <f>IF(A173="","",A173-WEEKDAY(A173,2)+1)</f>
        <v>0</v>
      </c>
      <c r="C173" s="8">
        <f>IF(A173="","",TEXT(A173,"mmm yyyy"))</f>
        <v>0</v>
      </c>
      <c r="D173" s="27"/>
      <c r="E173" s="7"/>
      <c r="F173" s="8">
        <f>IF(E173="","",IFERROR(INDEX(Ingredients!$B$5:$B$304,MATCH(E173,Ingredients!$A$5:$A$304,0)),""))</f>
        <v>0</v>
      </c>
      <c r="G173" s="26"/>
      <c r="H173" s="27"/>
      <c r="I173" s="28"/>
      <c r="J173" s="8">
        <f>IF(OR(E173="",G173="",I173=""),"",G173*I173)</f>
        <v>0</v>
      </c>
      <c r="K173" s="8">
        <f>IF(OR(A173="",J173=""),"",SUMIFS($J$5:$J$404,$B$5:$B$404,B173))</f>
        <v>0</v>
      </c>
      <c r="L173" s="8">
        <f>IF(OR(J173="",K173="",K173=0),"",J173/K173)</f>
        <v>0</v>
      </c>
      <c r="M173" s="8">
        <f>IF(K173="","",K173-Weekly_Budget)</f>
        <v>0</v>
      </c>
      <c r="N173" s="8">
        <f>IF(K173="","",IF(K173&gt;Weekly_Budget,"Over budget",IF(K173&gt;Weekly_Budget*0.9,"Close","Within budget")))</f>
        <v>0</v>
      </c>
      <c r="O173" s="7"/>
      <c r="P173" s="27"/>
      <c r="Q173" s="27"/>
      <c r="R173" s="28"/>
      <c r="S173" s="8">
        <f>IF(J173="","",COUNTIFS($J$5:$J$404,"&gt;"&amp;J173)+1)</f>
        <v>0</v>
      </c>
      <c r="T173" s="8">
        <f>IF(OR(A173="",J173=""),"",SUMIFS($J$5:$J$404,$C$5:$C$404,C173,$A$5:$A$404,"&lt;="&amp;A173))</f>
        <v>0</v>
      </c>
      <c r="U173" s="8">
        <f>IF(E173="","",IF(Q173="Yes","On offer","Full price"))</f>
        <v>0</v>
      </c>
      <c r="V173" s="25"/>
    </row>
    <row r="174" spans="1:22">
      <c r="A174" s="30"/>
      <c r="B174" s="8">
        <f>IF(A174="","",A174-WEEKDAY(A174,2)+1)</f>
        <v>0</v>
      </c>
      <c r="C174" s="8">
        <f>IF(A174="","",TEXT(A174,"mmm yyyy"))</f>
        <v>0</v>
      </c>
      <c r="D174" s="27"/>
      <c r="E174" s="7"/>
      <c r="F174" s="8">
        <f>IF(E174="","",IFERROR(INDEX(Ingredients!$B$5:$B$304,MATCH(E174,Ingredients!$A$5:$A$304,0)),""))</f>
        <v>0</v>
      </c>
      <c r="G174" s="26"/>
      <c r="H174" s="27"/>
      <c r="I174" s="28"/>
      <c r="J174" s="8">
        <f>IF(OR(E174="",G174="",I174=""),"",G174*I174)</f>
        <v>0</v>
      </c>
      <c r="K174" s="8">
        <f>IF(OR(A174="",J174=""),"",SUMIFS($J$5:$J$404,$B$5:$B$404,B174))</f>
        <v>0</v>
      </c>
      <c r="L174" s="8">
        <f>IF(OR(J174="",K174="",K174=0),"",J174/K174)</f>
        <v>0</v>
      </c>
      <c r="M174" s="8">
        <f>IF(K174="","",K174-Weekly_Budget)</f>
        <v>0</v>
      </c>
      <c r="N174" s="8">
        <f>IF(K174="","",IF(K174&gt;Weekly_Budget,"Over budget",IF(K174&gt;Weekly_Budget*0.9,"Close","Within budget")))</f>
        <v>0</v>
      </c>
      <c r="O174" s="7"/>
      <c r="P174" s="27"/>
      <c r="Q174" s="27"/>
      <c r="R174" s="28"/>
      <c r="S174" s="8">
        <f>IF(J174="","",COUNTIFS($J$5:$J$404,"&gt;"&amp;J174)+1)</f>
        <v>0</v>
      </c>
      <c r="T174" s="8">
        <f>IF(OR(A174="",J174=""),"",SUMIFS($J$5:$J$404,$C$5:$C$404,C174,$A$5:$A$404,"&lt;="&amp;A174))</f>
        <v>0</v>
      </c>
      <c r="U174" s="8">
        <f>IF(E174="","",IF(Q174="Yes","On offer","Full price"))</f>
        <v>0</v>
      </c>
      <c r="V174" s="25"/>
    </row>
    <row r="175" spans="1:22">
      <c r="A175" s="30"/>
      <c r="B175" s="8">
        <f>IF(A175="","",A175-WEEKDAY(A175,2)+1)</f>
        <v>0</v>
      </c>
      <c r="C175" s="8">
        <f>IF(A175="","",TEXT(A175,"mmm yyyy"))</f>
        <v>0</v>
      </c>
      <c r="D175" s="27"/>
      <c r="E175" s="7"/>
      <c r="F175" s="8">
        <f>IF(E175="","",IFERROR(INDEX(Ingredients!$B$5:$B$304,MATCH(E175,Ingredients!$A$5:$A$304,0)),""))</f>
        <v>0</v>
      </c>
      <c r="G175" s="26"/>
      <c r="H175" s="27"/>
      <c r="I175" s="28"/>
      <c r="J175" s="8">
        <f>IF(OR(E175="",G175="",I175=""),"",G175*I175)</f>
        <v>0</v>
      </c>
      <c r="K175" s="8">
        <f>IF(OR(A175="",J175=""),"",SUMIFS($J$5:$J$404,$B$5:$B$404,B175))</f>
        <v>0</v>
      </c>
      <c r="L175" s="8">
        <f>IF(OR(J175="",K175="",K175=0),"",J175/K175)</f>
        <v>0</v>
      </c>
      <c r="M175" s="8">
        <f>IF(K175="","",K175-Weekly_Budget)</f>
        <v>0</v>
      </c>
      <c r="N175" s="8">
        <f>IF(K175="","",IF(K175&gt;Weekly_Budget,"Over budget",IF(K175&gt;Weekly_Budget*0.9,"Close","Within budget")))</f>
        <v>0</v>
      </c>
      <c r="O175" s="7"/>
      <c r="P175" s="27"/>
      <c r="Q175" s="27"/>
      <c r="R175" s="28"/>
      <c r="S175" s="8">
        <f>IF(J175="","",COUNTIFS($J$5:$J$404,"&gt;"&amp;J175)+1)</f>
        <v>0</v>
      </c>
      <c r="T175" s="8">
        <f>IF(OR(A175="",J175=""),"",SUMIFS($J$5:$J$404,$C$5:$C$404,C175,$A$5:$A$404,"&lt;="&amp;A175))</f>
        <v>0</v>
      </c>
      <c r="U175" s="8">
        <f>IF(E175="","",IF(Q175="Yes","On offer","Full price"))</f>
        <v>0</v>
      </c>
      <c r="V175" s="25"/>
    </row>
    <row r="176" spans="1:22">
      <c r="A176" s="30"/>
      <c r="B176" s="8">
        <f>IF(A176="","",A176-WEEKDAY(A176,2)+1)</f>
        <v>0</v>
      </c>
      <c r="C176" s="8">
        <f>IF(A176="","",TEXT(A176,"mmm yyyy"))</f>
        <v>0</v>
      </c>
      <c r="D176" s="27"/>
      <c r="E176" s="7"/>
      <c r="F176" s="8">
        <f>IF(E176="","",IFERROR(INDEX(Ingredients!$B$5:$B$304,MATCH(E176,Ingredients!$A$5:$A$304,0)),""))</f>
        <v>0</v>
      </c>
      <c r="G176" s="26"/>
      <c r="H176" s="27"/>
      <c r="I176" s="28"/>
      <c r="J176" s="8">
        <f>IF(OR(E176="",G176="",I176=""),"",G176*I176)</f>
        <v>0</v>
      </c>
      <c r="K176" s="8">
        <f>IF(OR(A176="",J176=""),"",SUMIFS($J$5:$J$404,$B$5:$B$404,B176))</f>
        <v>0</v>
      </c>
      <c r="L176" s="8">
        <f>IF(OR(J176="",K176="",K176=0),"",J176/K176)</f>
        <v>0</v>
      </c>
      <c r="M176" s="8">
        <f>IF(K176="","",K176-Weekly_Budget)</f>
        <v>0</v>
      </c>
      <c r="N176" s="8">
        <f>IF(K176="","",IF(K176&gt;Weekly_Budget,"Over budget",IF(K176&gt;Weekly_Budget*0.9,"Close","Within budget")))</f>
        <v>0</v>
      </c>
      <c r="O176" s="7"/>
      <c r="P176" s="27"/>
      <c r="Q176" s="27"/>
      <c r="R176" s="28"/>
      <c r="S176" s="8">
        <f>IF(J176="","",COUNTIFS($J$5:$J$404,"&gt;"&amp;J176)+1)</f>
        <v>0</v>
      </c>
      <c r="T176" s="8">
        <f>IF(OR(A176="",J176=""),"",SUMIFS($J$5:$J$404,$C$5:$C$404,C176,$A$5:$A$404,"&lt;="&amp;A176))</f>
        <v>0</v>
      </c>
      <c r="U176" s="8">
        <f>IF(E176="","",IF(Q176="Yes","On offer","Full price"))</f>
        <v>0</v>
      </c>
      <c r="V176" s="25"/>
    </row>
    <row r="177" spans="1:22">
      <c r="A177" s="30"/>
      <c r="B177" s="8">
        <f>IF(A177="","",A177-WEEKDAY(A177,2)+1)</f>
        <v>0</v>
      </c>
      <c r="C177" s="8">
        <f>IF(A177="","",TEXT(A177,"mmm yyyy"))</f>
        <v>0</v>
      </c>
      <c r="D177" s="27"/>
      <c r="E177" s="7"/>
      <c r="F177" s="8">
        <f>IF(E177="","",IFERROR(INDEX(Ingredients!$B$5:$B$304,MATCH(E177,Ingredients!$A$5:$A$304,0)),""))</f>
        <v>0</v>
      </c>
      <c r="G177" s="26"/>
      <c r="H177" s="27"/>
      <c r="I177" s="28"/>
      <c r="J177" s="8">
        <f>IF(OR(E177="",G177="",I177=""),"",G177*I177)</f>
        <v>0</v>
      </c>
      <c r="K177" s="8">
        <f>IF(OR(A177="",J177=""),"",SUMIFS($J$5:$J$404,$B$5:$B$404,B177))</f>
        <v>0</v>
      </c>
      <c r="L177" s="8">
        <f>IF(OR(J177="",K177="",K177=0),"",J177/K177)</f>
        <v>0</v>
      </c>
      <c r="M177" s="8">
        <f>IF(K177="","",K177-Weekly_Budget)</f>
        <v>0</v>
      </c>
      <c r="N177" s="8">
        <f>IF(K177="","",IF(K177&gt;Weekly_Budget,"Over budget",IF(K177&gt;Weekly_Budget*0.9,"Close","Within budget")))</f>
        <v>0</v>
      </c>
      <c r="O177" s="7"/>
      <c r="P177" s="27"/>
      <c r="Q177" s="27"/>
      <c r="R177" s="28"/>
      <c r="S177" s="8">
        <f>IF(J177="","",COUNTIFS($J$5:$J$404,"&gt;"&amp;J177)+1)</f>
        <v>0</v>
      </c>
      <c r="T177" s="8">
        <f>IF(OR(A177="",J177=""),"",SUMIFS($J$5:$J$404,$C$5:$C$404,C177,$A$5:$A$404,"&lt;="&amp;A177))</f>
        <v>0</v>
      </c>
      <c r="U177" s="8">
        <f>IF(E177="","",IF(Q177="Yes","On offer","Full price"))</f>
        <v>0</v>
      </c>
      <c r="V177" s="25"/>
    </row>
    <row r="178" spans="1:22">
      <c r="A178" s="30"/>
      <c r="B178" s="8">
        <f>IF(A178="","",A178-WEEKDAY(A178,2)+1)</f>
        <v>0</v>
      </c>
      <c r="C178" s="8">
        <f>IF(A178="","",TEXT(A178,"mmm yyyy"))</f>
        <v>0</v>
      </c>
      <c r="D178" s="27"/>
      <c r="E178" s="7"/>
      <c r="F178" s="8">
        <f>IF(E178="","",IFERROR(INDEX(Ingredients!$B$5:$B$304,MATCH(E178,Ingredients!$A$5:$A$304,0)),""))</f>
        <v>0</v>
      </c>
      <c r="G178" s="26"/>
      <c r="H178" s="27"/>
      <c r="I178" s="28"/>
      <c r="J178" s="8">
        <f>IF(OR(E178="",G178="",I178=""),"",G178*I178)</f>
        <v>0</v>
      </c>
      <c r="K178" s="8">
        <f>IF(OR(A178="",J178=""),"",SUMIFS($J$5:$J$404,$B$5:$B$404,B178))</f>
        <v>0</v>
      </c>
      <c r="L178" s="8">
        <f>IF(OR(J178="",K178="",K178=0),"",J178/K178)</f>
        <v>0</v>
      </c>
      <c r="M178" s="8">
        <f>IF(K178="","",K178-Weekly_Budget)</f>
        <v>0</v>
      </c>
      <c r="N178" s="8">
        <f>IF(K178="","",IF(K178&gt;Weekly_Budget,"Over budget",IF(K178&gt;Weekly_Budget*0.9,"Close","Within budget")))</f>
        <v>0</v>
      </c>
      <c r="O178" s="7"/>
      <c r="P178" s="27"/>
      <c r="Q178" s="27"/>
      <c r="R178" s="28"/>
      <c r="S178" s="8">
        <f>IF(J178="","",COUNTIFS($J$5:$J$404,"&gt;"&amp;J178)+1)</f>
        <v>0</v>
      </c>
      <c r="T178" s="8">
        <f>IF(OR(A178="",J178=""),"",SUMIFS($J$5:$J$404,$C$5:$C$404,C178,$A$5:$A$404,"&lt;="&amp;A178))</f>
        <v>0</v>
      </c>
      <c r="U178" s="8">
        <f>IF(E178="","",IF(Q178="Yes","On offer","Full price"))</f>
        <v>0</v>
      </c>
      <c r="V178" s="25"/>
    </row>
    <row r="179" spans="1:22">
      <c r="A179" s="30"/>
      <c r="B179" s="8">
        <f>IF(A179="","",A179-WEEKDAY(A179,2)+1)</f>
        <v>0</v>
      </c>
      <c r="C179" s="8">
        <f>IF(A179="","",TEXT(A179,"mmm yyyy"))</f>
        <v>0</v>
      </c>
      <c r="D179" s="27"/>
      <c r="E179" s="7"/>
      <c r="F179" s="8">
        <f>IF(E179="","",IFERROR(INDEX(Ingredients!$B$5:$B$304,MATCH(E179,Ingredients!$A$5:$A$304,0)),""))</f>
        <v>0</v>
      </c>
      <c r="G179" s="26"/>
      <c r="H179" s="27"/>
      <c r="I179" s="28"/>
      <c r="J179" s="8">
        <f>IF(OR(E179="",G179="",I179=""),"",G179*I179)</f>
        <v>0</v>
      </c>
      <c r="K179" s="8">
        <f>IF(OR(A179="",J179=""),"",SUMIFS($J$5:$J$404,$B$5:$B$404,B179))</f>
        <v>0</v>
      </c>
      <c r="L179" s="8">
        <f>IF(OR(J179="",K179="",K179=0),"",J179/K179)</f>
        <v>0</v>
      </c>
      <c r="M179" s="8">
        <f>IF(K179="","",K179-Weekly_Budget)</f>
        <v>0</v>
      </c>
      <c r="N179" s="8">
        <f>IF(K179="","",IF(K179&gt;Weekly_Budget,"Over budget",IF(K179&gt;Weekly_Budget*0.9,"Close","Within budget")))</f>
        <v>0</v>
      </c>
      <c r="O179" s="7"/>
      <c r="P179" s="27"/>
      <c r="Q179" s="27"/>
      <c r="R179" s="28"/>
      <c r="S179" s="8">
        <f>IF(J179="","",COUNTIFS($J$5:$J$404,"&gt;"&amp;J179)+1)</f>
        <v>0</v>
      </c>
      <c r="T179" s="8">
        <f>IF(OR(A179="",J179=""),"",SUMIFS($J$5:$J$404,$C$5:$C$404,C179,$A$5:$A$404,"&lt;="&amp;A179))</f>
        <v>0</v>
      </c>
      <c r="U179" s="8">
        <f>IF(E179="","",IF(Q179="Yes","On offer","Full price"))</f>
        <v>0</v>
      </c>
      <c r="V179" s="25"/>
    </row>
    <row r="180" spans="1:22">
      <c r="A180" s="30"/>
      <c r="B180" s="8">
        <f>IF(A180="","",A180-WEEKDAY(A180,2)+1)</f>
        <v>0</v>
      </c>
      <c r="C180" s="8">
        <f>IF(A180="","",TEXT(A180,"mmm yyyy"))</f>
        <v>0</v>
      </c>
      <c r="D180" s="27"/>
      <c r="E180" s="7"/>
      <c r="F180" s="8">
        <f>IF(E180="","",IFERROR(INDEX(Ingredients!$B$5:$B$304,MATCH(E180,Ingredients!$A$5:$A$304,0)),""))</f>
        <v>0</v>
      </c>
      <c r="G180" s="26"/>
      <c r="H180" s="27"/>
      <c r="I180" s="28"/>
      <c r="J180" s="8">
        <f>IF(OR(E180="",G180="",I180=""),"",G180*I180)</f>
        <v>0</v>
      </c>
      <c r="K180" s="8">
        <f>IF(OR(A180="",J180=""),"",SUMIFS($J$5:$J$404,$B$5:$B$404,B180))</f>
        <v>0</v>
      </c>
      <c r="L180" s="8">
        <f>IF(OR(J180="",K180="",K180=0),"",J180/K180)</f>
        <v>0</v>
      </c>
      <c r="M180" s="8">
        <f>IF(K180="","",K180-Weekly_Budget)</f>
        <v>0</v>
      </c>
      <c r="N180" s="8">
        <f>IF(K180="","",IF(K180&gt;Weekly_Budget,"Over budget",IF(K180&gt;Weekly_Budget*0.9,"Close","Within budget")))</f>
        <v>0</v>
      </c>
      <c r="O180" s="7"/>
      <c r="P180" s="27"/>
      <c r="Q180" s="27"/>
      <c r="R180" s="28"/>
      <c r="S180" s="8">
        <f>IF(J180="","",COUNTIFS($J$5:$J$404,"&gt;"&amp;J180)+1)</f>
        <v>0</v>
      </c>
      <c r="T180" s="8">
        <f>IF(OR(A180="",J180=""),"",SUMIFS($J$5:$J$404,$C$5:$C$404,C180,$A$5:$A$404,"&lt;="&amp;A180))</f>
        <v>0</v>
      </c>
      <c r="U180" s="8">
        <f>IF(E180="","",IF(Q180="Yes","On offer","Full price"))</f>
        <v>0</v>
      </c>
      <c r="V180" s="25"/>
    </row>
    <row r="181" spans="1:22">
      <c r="A181" s="30"/>
      <c r="B181" s="8">
        <f>IF(A181="","",A181-WEEKDAY(A181,2)+1)</f>
        <v>0</v>
      </c>
      <c r="C181" s="8">
        <f>IF(A181="","",TEXT(A181,"mmm yyyy"))</f>
        <v>0</v>
      </c>
      <c r="D181" s="27"/>
      <c r="E181" s="7"/>
      <c r="F181" s="8">
        <f>IF(E181="","",IFERROR(INDEX(Ingredients!$B$5:$B$304,MATCH(E181,Ingredients!$A$5:$A$304,0)),""))</f>
        <v>0</v>
      </c>
      <c r="G181" s="26"/>
      <c r="H181" s="27"/>
      <c r="I181" s="28"/>
      <c r="J181" s="8">
        <f>IF(OR(E181="",G181="",I181=""),"",G181*I181)</f>
        <v>0</v>
      </c>
      <c r="K181" s="8">
        <f>IF(OR(A181="",J181=""),"",SUMIFS($J$5:$J$404,$B$5:$B$404,B181))</f>
        <v>0</v>
      </c>
      <c r="L181" s="8">
        <f>IF(OR(J181="",K181="",K181=0),"",J181/K181)</f>
        <v>0</v>
      </c>
      <c r="M181" s="8">
        <f>IF(K181="","",K181-Weekly_Budget)</f>
        <v>0</v>
      </c>
      <c r="N181" s="8">
        <f>IF(K181="","",IF(K181&gt;Weekly_Budget,"Over budget",IF(K181&gt;Weekly_Budget*0.9,"Close","Within budget")))</f>
        <v>0</v>
      </c>
      <c r="O181" s="7"/>
      <c r="P181" s="27"/>
      <c r="Q181" s="27"/>
      <c r="R181" s="28"/>
      <c r="S181" s="8">
        <f>IF(J181="","",COUNTIFS($J$5:$J$404,"&gt;"&amp;J181)+1)</f>
        <v>0</v>
      </c>
      <c r="T181" s="8">
        <f>IF(OR(A181="",J181=""),"",SUMIFS($J$5:$J$404,$C$5:$C$404,C181,$A$5:$A$404,"&lt;="&amp;A181))</f>
        <v>0</v>
      </c>
      <c r="U181" s="8">
        <f>IF(E181="","",IF(Q181="Yes","On offer","Full price"))</f>
        <v>0</v>
      </c>
      <c r="V181" s="25"/>
    </row>
    <row r="182" spans="1:22">
      <c r="A182" s="30"/>
      <c r="B182" s="8">
        <f>IF(A182="","",A182-WEEKDAY(A182,2)+1)</f>
        <v>0</v>
      </c>
      <c r="C182" s="8">
        <f>IF(A182="","",TEXT(A182,"mmm yyyy"))</f>
        <v>0</v>
      </c>
      <c r="D182" s="27"/>
      <c r="E182" s="7"/>
      <c r="F182" s="8">
        <f>IF(E182="","",IFERROR(INDEX(Ingredients!$B$5:$B$304,MATCH(E182,Ingredients!$A$5:$A$304,0)),""))</f>
        <v>0</v>
      </c>
      <c r="G182" s="26"/>
      <c r="H182" s="27"/>
      <c r="I182" s="28"/>
      <c r="J182" s="8">
        <f>IF(OR(E182="",G182="",I182=""),"",G182*I182)</f>
        <v>0</v>
      </c>
      <c r="K182" s="8">
        <f>IF(OR(A182="",J182=""),"",SUMIFS($J$5:$J$404,$B$5:$B$404,B182))</f>
        <v>0</v>
      </c>
      <c r="L182" s="8">
        <f>IF(OR(J182="",K182="",K182=0),"",J182/K182)</f>
        <v>0</v>
      </c>
      <c r="M182" s="8">
        <f>IF(K182="","",K182-Weekly_Budget)</f>
        <v>0</v>
      </c>
      <c r="N182" s="8">
        <f>IF(K182="","",IF(K182&gt;Weekly_Budget,"Over budget",IF(K182&gt;Weekly_Budget*0.9,"Close","Within budget")))</f>
        <v>0</v>
      </c>
      <c r="O182" s="7"/>
      <c r="P182" s="27"/>
      <c r="Q182" s="27"/>
      <c r="R182" s="28"/>
      <c r="S182" s="8">
        <f>IF(J182="","",COUNTIFS($J$5:$J$404,"&gt;"&amp;J182)+1)</f>
        <v>0</v>
      </c>
      <c r="T182" s="8">
        <f>IF(OR(A182="",J182=""),"",SUMIFS($J$5:$J$404,$C$5:$C$404,C182,$A$5:$A$404,"&lt;="&amp;A182))</f>
        <v>0</v>
      </c>
      <c r="U182" s="8">
        <f>IF(E182="","",IF(Q182="Yes","On offer","Full price"))</f>
        <v>0</v>
      </c>
      <c r="V182" s="25"/>
    </row>
    <row r="183" spans="1:22">
      <c r="A183" s="30"/>
      <c r="B183" s="8">
        <f>IF(A183="","",A183-WEEKDAY(A183,2)+1)</f>
        <v>0</v>
      </c>
      <c r="C183" s="8">
        <f>IF(A183="","",TEXT(A183,"mmm yyyy"))</f>
        <v>0</v>
      </c>
      <c r="D183" s="27"/>
      <c r="E183" s="7"/>
      <c r="F183" s="8">
        <f>IF(E183="","",IFERROR(INDEX(Ingredients!$B$5:$B$304,MATCH(E183,Ingredients!$A$5:$A$304,0)),""))</f>
        <v>0</v>
      </c>
      <c r="G183" s="26"/>
      <c r="H183" s="27"/>
      <c r="I183" s="28"/>
      <c r="J183" s="8">
        <f>IF(OR(E183="",G183="",I183=""),"",G183*I183)</f>
        <v>0</v>
      </c>
      <c r="K183" s="8">
        <f>IF(OR(A183="",J183=""),"",SUMIFS($J$5:$J$404,$B$5:$B$404,B183))</f>
        <v>0</v>
      </c>
      <c r="L183" s="8">
        <f>IF(OR(J183="",K183="",K183=0),"",J183/K183)</f>
        <v>0</v>
      </c>
      <c r="M183" s="8">
        <f>IF(K183="","",K183-Weekly_Budget)</f>
        <v>0</v>
      </c>
      <c r="N183" s="8">
        <f>IF(K183="","",IF(K183&gt;Weekly_Budget,"Over budget",IF(K183&gt;Weekly_Budget*0.9,"Close","Within budget")))</f>
        <v>0</v>
      </c>
      <c r="O183" s="7"/>
      <c r="P183" s="27"/>
      <c r="Q183" s="27"/>
      <c r="R183" s="28"/>
      <c r="S183" s="8">
        <f>IF(J183="","",COUNTIFS($J$5:$J$404,"&gt;"&amp;J183)+1)</f>
        <v>0</v>
      </c>
      <c r="T183" s="8">
        <f>IF(OR(A183="",J183=""),"",SUMIFS($J$5:$J$404,$C$5:$C$404,C183,$A$5:$A$404,"&lt;="&amp;A183))</f>
        <v>0</v>
      </c>
      <c r="U183" s="8">
        <f>IF(E183="","",IF(Q183="Yes","On offer","Full price"))</f>
        <v>0</v>
      </c>
      <c r="V183" s="25"/>
    </row>
    <row r="184" spans="1:22">
      <c r="A184" s="30"/>
      <c r="B184" s="8">
        <f>IF(A184="","",A184-WEEKDAY(A184,2)+1)</f>
        <v>0</v>
      </c>
      <c r="C184" s="8">
        <f>IF(A184="","",TEXT(A184,"mmm yyyy"))</f>
        <v>0</v>
      </c>
      <c r="D184" s="27"/>
      <c r="E184" s="7"/>
      <c r="F184" s="8">
        <f>IF(E184="","",IFERROR(INDEX(Ingredients!$B$5:$B$304,MATCH(E184,Ingredients!$A$5:$A$304,0)),""))</f>
        <v>0</v>
      </c>
      <c r="G184" s="26"/>
      <c r="H184" s="27"/>
      <c r="I184" s="28"/>
      <c r="J184" s="8">
        <f>IF(OR(E184="",G184="",I184=""),"",G184*I184)</f>
        <v>0</v>
      </c>
      <c r="K184" s="8">
        <f>IF(OR(A184="",J184=""),"",SUMIFS($J$5:$J$404,$B$5:$B$404,B184))</f>
        <v>0</v>
      </c>
      <c r="L184" s="8">
        <f>IF(OR(J184="",K184="",K184=0),"",J184/K184)</f>
        <v>0</v>
      </c>
      <c r="M184" s="8">
        <f>IF(K184="","",K184-Weekly_Budget)</f>
        <v>0</v>
      </c>
      <c r="N184" s="8">
        <f>IF(K184="","",IF(K184&gt;Weekly_Budget,"Over budget",IF(K184&gt;Weekly_Budget*0.9,"Close","Within budget")))</f>
        <v>0</v>
      </c>
      <c r="O184" s="7"/>
      <c r="P184" s="27"/>
      <c r="Q184" s="27"/>
      <c r="R184" s="28"/>
      <c r="S184" s="8">
        <f>IF(J184="","",COUNTIFS($J$5:$J$404,"&gt;"&amp;J184)+1)</f>
        <v>0</v>
      </c>
      <c r="T184" s="8">
        <f>IF(OR(A184="",J184=""),"",SUMIFS($J$5:$J$404,$C$5:$C$404,C184,$A$5:$A$404,"&lt;="&amp;A184))</f>
        <v>0</v>
      </c>
      <c r="U184" s="8">
        <f>IF(E184="","",IF(Q184="Yes","On offer","Full price"))</f>
        <v>0</v>
      </c>
      <c r="V184" s="25"/>
    </row>
    <row r="185" spans="1:22">
      <c r="A185" s="30"/>
      <c r="B185" s="8">
        <f>IF(A185="","",A185-WEEKDAY(A185,2)+1)</f>
        <v>0</v>
      </c>
      <c r="C185" s="8">
        <f>IF(A185="","",TEXT(A185,"mmm yyyy"))</f>
        <v>0</v>
      </c>
      <c r="D185" s="27"/>
      <c r="E185" s="7"/>
      <c r="F185" s="8">
        <f>IF(E185="","",IFERROR(INDEX(Ingredients!$B$5:$B$304,MATCH(E185,Ingredients!$A$5:$A$304,0)),""))</f>
        <v>0</v>
      </c>
      <c r="G185" s="26"/>
      <c r="H185" s="27"/>
      <c r="I185" s="28"/>
      <c r="J185" s="8">
        <f>IF(OR(E185="",G185="",I185=""),"",G185*I185)</f>
        <v>0</v>
      </c>
      <c r="K185" s="8">
        <f>IF(OR(A185="",J185=""),"",SUMIFS($J$5:$J$404,$B$5:$B$404,B185))</f>
        <v>0</v>
      </c>
      <c r="L185" s="8">
        <f>IF(OR(J185="",K185="",K185=0),"",J185/K185)</f>
        <v>0</v>
      </c>
      <c r="M185" s="8">
        <f>IF(K185="","",K185-Weekly_Budget)</f>
        <v>0</v>
      </c>
      <c r="N185" s="8">
        <f>IF(K185="","",IF(K185&gt;Weekly_Budget,"Over budget",IF(K185&gt;Weekly_Budget*0.9,"Close","Within budget")))</f>
        <v>0</v>
      </c>
      <c r="O185" s="7"/>
      <c r="P185" s="27"/>
      <c r="Q185" s="27"/>
      <c r="R185" s="28"/>
      <c r="S185" s="8">
        <f>IF(J185="","",COUNTIFS($J$5:$J$404,"&gt;"&amp;J185)+1)</f>
        <v>0</v>
      </c>
      <c r="T185" s="8">
        <f>IF(OR(A185="",J185=""),"",SUMIFS($J$5:$J$404,$C$5:$C$404,C185,$A$5:$A$404,"&lt;="&amp;A185))</f>
        <v>0</v>
      </c>
      <c r="U185" s="8">
        <f>IF(E185="","",IF(Q185="Yes","On offer","Full price"))</f>
        <v>0</v>
      </c>
      <c r="V185" s="25"/>
    </row>
    <row r="186" spans="1:22">
      <c r="A186" s="30"/>
      <c r="B186" s="8">
        <f>IF(A186="","",A186-WEEKDAY(A186,2)+1)</f>
        <v>0</v>
      </c>
      <c r="C186" s="8">
        <f>IF(A186="","",TEXT(A186,"mmm yyyy"))</f>
        <v>0</v>
      </c>
      <c r="D186" s="27"/>
      <c r="E186" s="7"/>
      <c r="F186" s="8">
        <f>IF(E186="","",IFERROR(INDEX(Ingredients!$B$5:$B$304,MATCH(E186,Ingredients!$A$5:$A$304,0)),""))</f>
        <v>0</v>
      </c>
      <c r="G186" s="26"/>
      <c r="H186" s="27"/>
      <c r="I186" s="28"/>
      <c r="J186" s="8">
        <f>IF(OR(E186="",G186="",I186=""),"",G186*I186)</f>
        <v>0</v>
      </c>
      <c r="K186" s="8">
        <f>IF(OR(A186="",J186=""),"",SUMIFS($J$5:$J$404,$B$5:$B$404,B186))</f>
        <v>0</v>
      </c>
      <c r="L186" s="8">
        <f>IF(OR(J186="",K186="",K186=0),"",J186/K186)</f>
        <v>0</v>
      </c>
      <c r="M186" s="8">
        <f>IF(K186="","",K186-Weekly_Budget)</f>
        <v>0</v>
      </c>
      <c r="N186" s="8">
        <f>IF(K186="","",IF(K186&gt;Weekly_Budget,"Over budget",IF(K186&gt;Weekly_Budget*0.9,"Close","Within budget")))</f>
        <v>0</v>
      </c>
      <c r="O186" s="7"/>
      <c r="P186" s="27"/>
      <c r="Q186" s="27"/>
      <c r="R186" s="28"/>
      <c r="S186" s="8">
        <f>IF(J186="","",COUNTIFS($J$5:$J$404,"&gt;"&amp;J186)+1)</f>
        <v>0</v>
      </c>
      <c r="T186" s="8">
        <f>IF(OR(A186="",J186=""),"",SUMIFS($J$5:$J$404,$C$5:$C$404,C186,$A$5:$A$404,"&lt;="&amp;A186))</f>
        <v>0</v>
      </c>
      <c r="U186" s="8">
        <f>IF(E186="","",IF(Q186="Yes","On offer","Full price"))</f>
        <v>0</v>
      </c>
      <c r="V186" s="25"/>
    </row>
    <row r="187" spans="1:22">
      <c r="A187" s="30"/>
      <c r="B187" s="8">
        <f>IF(A187="","",A187-WEEKDAY(A187,2)+1)</f>
        <v>0</v>
      </c>
      <c r="C187" s="8">
        <f>IF(A187="","",TEXT(A187,"mmm yyyy"))</f>
        <v>0</v>
      </c>
      <c r="D187" s="27"/>
      <c r="E187" s="7"/>
      <c r="F187" s="8">
        <f>IF(E187="","",IFERROR(INDEX(Ingredients!$B$5:$B$304,MATCH(E187,Ingredients!$A$5:$A$304,0)),""))</f>
        <v>0</v>
      </c>
      <c r="G187" s="26"/>
      <c r="H187" s="27"/>
      <c r="I187" s="28"/>
      <c r="J187" s="8">
        <f>IF(OR(E187="",G187="",I187=""),"",G187*I187)</f>
        <v>0</v>
      </c>
      <c r="K187" s="8">
        <f>IF(OR(A187="",J187=""),"",SUMIFS($J$5:$J$404,$B$5:$B$404,B187))</f>
        <v>0</v>
      </c>
      <c r="L187" s="8">
        <f>IF(OR(J187="",K187="",K187=0),"",J187/K187)</f>
        <v>0</v>
      </c>
      <c r="M187" s="8">
        <f>IF(K187="","",K187-Weekly_Budget)</f>
        <v>0</v>
      </c>
      <c r="N187" s="8">
        <f>IF(K187="","",IF(K187&gt;Weekly_Budget,"Over budget",IF(K187&gt;Weekly_Budget*0.9,"Close","Within budget")))</f>
        <v>0</v>
      </c>
      <c r="O187" s="7"/>
      <c r="P187" s="27"/>
      <c r="Q187" s="27"/>
      <c r="R187" s="28"/>
      <c r="S187" s="8">
        <f>IF(J187="","",COUNTIFS($J$5:$J$404,"&gt;"&amp;J187)+1)</f>
        <v>0</v>
      </c>
      <c r="T187" s="8">
        <f>IF(OR(A187="",J187=""),"",SUMIFS($J$5:$J$404,$C$5:$C$404,C187,$A$5:$A$404,"&lt;="&amp;A187))</f>
        <v>0</v>
      </c>
      <c r="U187" s="8">
        <f>IF(E187="","",IF(Q187="Yes","On offer","Full price"))</f>
        <v>0</v>
      </c>
      <c r="V187" s="25"/>
    </row>
    <row r="188" spans="1:22">
      <c r="A188" s="30"/>
      <c r="B188" s="8">
        <f>IF(A188="","",A188-WEEKDAY(A188,2)+1)</f>
        <v>0</v>
      </c>
      <c r="C188" s="8">
        <f>IF(A188="","",TEXT(A188,"mmm yyyy"))</f>
        <v>0</v>
      </c>
      <c r="D188" s="27"/>
      <c r="E188" s="7"/>
      <c r="F188" s="8">
        <f>IF(E188="","",IFERROR(INDEX(Ingredients!$B$5:$B$304,MATCH(E188,Ingredients!$A$5:$A$304,0)),""))</f>
        <v>0</v>
      </c>
      <c r="G188" s="26"/>
      <c r="H188" s="27"/>
      <c r="I188" s="28"/>
      <c r="J188" s="8">
        <f>IF(OR(E188="",G188="",I188=""),"",G188*I188)</f>
        <v>0</v>
      </c>
      <c r="K188" s="8">
        <f>IF(OR(A188="",J188=""),"",SUMIFS($J$5:$J$404,$B$5:$B$404,B188))</f>
        <v>0</v>
      </c>
      <c r="L188" s="8">
        <f>IF(OR(J188="",K188="",K188=0),"",J188/K188)</f>
        <v>0</v>
      </c>
      <c r="M188" s="8">
        <f>IF(K188="","",K188-Weekly_Budget)</f>
        <v>0</v>
      </c>
      <c r="N188" s="8">
        <f>IF(K188="","",IF(K188&gt;Weekly_Budget,"Over budget",IF(K188&gt;Weekly_Budget*0.9,"Close","Within budget")))</f>
        <v>0</v>
      </c>
      <c r="O188" s="7"/>
      <c r="P188" s="27"/>
      <c r="Q188" s="27"/>
      <c r="R188" s="28"/>
      <c r="S188" s="8">
        <f>IF(J188="","",COUNTIFS($J$5:$J$404,"&gt;"&amp;J188)+1)</f>
        <v>0</v>
      </c>
      <c r="T188" s="8">
        <f>IF(OR(A188="",J188=""),"",SUMIFS($J$5:$J$404,$C$5:$C$404,C188,$A$5:$A$404,"&lt;="&amp;A188))</f>
        <v>0</v>
      </c>
      <c r="U188" s="8">
        <f>IF(E188="","",IF(Q188="Yes","On offer","Full price"))</f>
        <v>0</v>
      </c>
      <c r="V188" s="25"/>
    </row>
    <row r="189" spans="1:22">
      <c r="A189" s="30"/>
      <c r="B189" s="8">
        <f>IF(A189="","",A189-WEEKDAY(A189,2)+1)</f>
        <v>0</v>
      </c>
      <c r="C189" s="8">
        <f>IF(A189="","",TEXT(A189,"mmm yyyy"))</f>
        <v>0</v>
      </c>
      <c r="D189" s="27"/>
      <c r="E189" s="7"/>
      <c r="F189" s="8">
        <f>IF(E189="","",IFERROR(INDEX(Ingredients!$B$5:$B$304,MATCH(E189,Ingredients!$A$5:$A$304,0)),""))</f>
        <v>0</v>
      </c>
      <c r="G189" s="26"/>
      <c r="H189" s="27"/>
      <c r="I189" s="28"/>
      <c r="J189" s="8">
        <f>IF(OR(E189="",G189="",I189=""),"",G189*I189)</f>
        <v>0</v>
      </c>
      <c r="K189" s="8">
        <f>IF(OR(A189="",J189=""),"",SUMIFS($J$5:$J$404,$B$5:$B$404,B189))</f>
        <v>0</v>
      </c>
      <c r="L189" s="8">
        <f>IF(OR(J189="",K189="",K189=0),"",J189/K189)</f>
        <v>0</v>
      </c>
      <c r="M189" s="8">
        <f>IF(K189="","",K189-Weekly_Budget)</f>
        <v>0</v>
      </c>
      <c r="N189" s="8">
        <f>IF(K189="","",IF(K189&gt;Weekly_Budget,"Over budget",IF(K189&gt;Weekly_Budget*0.9,"Close","Within budget")))</f>
        <v>0</v>
      </c>
      <c r="O189" s="7"/>
      <c r="P189" s="27"/>
      <c r="Q189" s="27"/>
      <c r="R189" s="28"/>
      <c r="S189" s="8">
        <f>IF(J189="","",COUNTIFS($J$5:$J$404,"&gt;"&amp;J189)+1)</f>
        <v>0</v>
      </c>
      <c r="T189" s="8">
        <f>IF(OR(A189="",J189=""),"",SUMIFS($J$5:$J$404,$C$5:$C$404,C189,$A$5:$A$404,"&lt;="&amp;A189))</f>
        <v>0</v>
      </c>
      <c r="U189" s="8">
        <f>IF(E189="","",IF(Q189="Yes","On offer","Full price"))</f>
        <v>0</v>
      </c>
      <c r="V189" s="25"/>
    </row>
    <row r="190" spans="1:22">
      <c r="A190" s="30"/>
      <c r="B190" s="8">
        <f>IF(A190="","",A190-WEEKDAY(A190,2)+1)</f>
        <v>0</v>
      </c>
      <c r="C190" s="8">
        <f>IF(A190="","",TEXT(A190,"mmm yyyy"))</f>
        <v>0</v>
      </c>
      <c r="D190" s="27"/>
      <c r="E190" s="7"/>
      <c r="F190" s="8">
        <f>IF(E190="","",IFERROR(INDEX(Ingredients!$B$5:$B$304,MATCH(E190,Ingredients!$A$5:$A$304,0)),""))</f>
        <v>0</v>
      </c>
      <c r="G190" s="26"/>
      <c r="H190" s="27"/>
      <c r="I190" s="28"/>
      <c r="J190" s="8">
        <f>IF(OR(E190="",G190="",I190=""),"",G190*I190)</f>
        <v>0</v>
      </c>
      <c r="K190" s="8">
        <f>IF(OR(A190="",J190=""),"",SUMIFS($J$5:$J$404,$B$5:$B$404,B190))</f>
        <v>0</v>
      </c>
      <c r="L190" s="8">
        <f>IF(OR(J190="",K190="",K190=0),"",J190/K190)</f>
        <v>0</v>
      </c>
      <c r="M190" s="8">
        <f>IF(K190="","",K190-Weekly_Budget)</f>
        <v>0</v>
      </c>
      <c r="N190" s="8">
        <f>IF(K190="","",IF(K190&gt;Weekly_Budget,"Over budget",IF(K190&gt;Weekly_Budget*0.9,"Close","Within budget")))</f>
        <v>0</v>
      </c>
      <c r="O190" s="7"/>
      <c r="P190" s="27"/>
      <c r="Q190" s="27"/>
      <c r="R190" s="28"/>
      <c r="S190" s="8">
        <f>IF(J190="","",COUNTIFS($J$5:$J$404,"&gt;"&amp;J190)+1)</f>
        <v>0</v>
      </c>
      <c r="T190" s="8">
        <f>IF(OR(A190="",J190=""),"",SUMIFS($J$5:$J$404,$C$5:$C$404,C190,$A$5:$A$404,"&lt;="&amp;A190))</f>
        <v>0</v>
      </c>
      <c r="U190" s="8">
        <f>IF(E190="","",IF(Q190="Yes","On offer","Full price"))</f>
        <v>0</v>
      </c>
      <c r="V190" s="25"/>
    </row>
    <row r="191" spans="1:22">
      <c r="A191" s="30"/>
      <c r="B191" s="8">
        <f>IF(A191="","",A191-WEEKDAY(A191,2)+1)</f>
        <v>0</v>
      </c>
      <c r="C191" s="8">
        <f>IF(A191="","",TEXT(A191,"mmm yyyy"))</f>
        <v>0</v>
      </c>
      <c r="D191" s="27"/>
      <c r="E191" s="7"/>
      <c r="F191" s="8">
        <f>IF(E191="","",IFERROR(INDEX(Ingredients!$B$5:$B$304,MATCH(E191,Ingredients!$A$5:$A$304,0)),""))</f>
        <v>0</v>
      </c>
      <c r="G191" s="26"/>
      <c r="H191" s="27"/>
      <c r="I191" s="28"/>
      <c r="J191" s="8">
        <f>IF(OR(E191="",G191="",I191=""),"",G191*I191)</f>
        <v>0</v>
      </c>
      <c r="K191" s="8">
        <f>IF(OR(A191="",J191=""),"",SUMIFS($J$5:$J$404,$B$5:$B$404,B191))</f>
        <v>0</v>
      </c>
      <c r="L191" s="8">
        <f>IF(OR(J191="",K191="",K191=0),"",J191/K191)</f>
        <v>0</v>
      </c>
      <c r="M191" s="8">
        <f>IF(K191="","",K191-Weekly_Budget)</f>
        <v>0</v>
      </c>
      <c r="N191" s="8">
        <f>IF(K191="","",IF(K191&gt;Weekly_Budget,"Over budget",IF(K191&gt;Weekly_Budget*0.9,"Close","Within budget")))</f>
        <v>0</v>
      </c>
      <c r="O191" s="7"/>
      <c r="P191" s="27"/>
      <c r="Q191" s="27"/>
      <c r="R191" s="28"/>
      <c r="S191" s="8">
        <f>IF(J191="","",COUNTIFS($J$5:$J$404,"&gt;"&amp;J191)+1)</f>
        <v>0</v>
      </c>
      <c r="T191" s="8">
        <f>IF(OR(A191="",J191=""),"",SUMIFS($J$5:$J$404,$C$5:$C$404,C191,$A$5:$A$404,"&lt;="&amp;A191))</f>
        <v>0</v>
      </c>
      <c r="U191" s="8">
        <f>IF(E191="","",IF(Q191="Yes","On offer","Full price"))</f>
        <v>0</v>
      </c>
      <c r="V191" s="25"/>
    </row>
    <row r="192" spans="1:22">
      <c r="A192" s="30"/>
      <c r="B192" s="8">
        <f>IF(A192="","",A192-WEEKDAY(A192,2)+1)</f>
        <v>0</v>
      </c>
      <c r="C192" s="8">
        <f>IF(A192="","",TEXT(A192,"mmm yyyy"))</f>
        <v>0</v>
      </c>
      <c r="D192" s="27"/>
      <c r="E192" s="7"/>
      <c r="F192" s="8">
        <f>IF(E192="","",IFERROR(INDEX(Ingredients!$B$5:$B$304,MATCH(E192,Ingredients!$A$5:$A$304,0)),""))</f>
        <v>0</v>
      </c>
      <c r="G192" s="26"/>
      <c r="H192" s="27"/>
      <c r="I192" s="28"/>
      <c r="J192" s="8">
        <f>IF(OR(E192="",G192="",I192=""),"",G192*I192)</f>
        <v>0</v>
      </c>
      <c r="K192" s="8">
        <f>IF(OR(A192="",J192=""),"",SUMIFS($J$5:$J$404,$B$5:$B$404,B192))</f>
        <v>0</v>
      </c>
      <c r="L192" s="8">
        <f>IF(OR(J192="",K192="",K192=0),"",J192/K192)</f>
        <v>0</v>
      </c>
      <c r="M192" s="8">
        <f>IF(K192="","",K192-Weekly_Budget)</f>
        <v>0</v>
      </c>
      <c r="N192" s="8">
        <f>IF(K192="","",IF(K192&gt;Weekly_Budget,"Over budget",IF(K192&gt;Weekly_Budget*0.9,"Close","Within budget")))</f>
        <v>0</v>
      </c>
      <c r="O192" s="7"/>
      <c r="P192" s="27"/>
      <c r="Q192" s="27"/>
      <c r="R192" s="28"/>
      <c r="S192" s="8">
        <f>IF(J192="","",COUNTIFS($J$5:$J$404,"&gt;"&amp;J192)+1)</f>
        <v>0</v>
      </c>
      <c r="T192" s="8">
        <f>IF(OR(A192="",J192=""),"",SUMIFS($J$5:$J$404,$C$5:$C$404,C192,$A$5:$A$404,"&lt;="&amp;A192))</f>
        <v>0</v>
      </c>
      <c r="U192" s="8">
        <f>IF(E192="","",IF(Q192="Yes","On offer","Full price"))</f>
        <v>0</v>
      </c>
      <c r="V192" s="25"/>
    </row>
    <row r="193" spans="1:22">
      <c r="A193" s="30"/>
      <c r="B193" s="8">
        <f>IF(A193="","",A193-WEEKDAY(A193,2)+1)</f>
        <v>0</v>
      </c>
      <c r="C193" s="8">
        <f>IF(A193="","",TEXT(A193,"mmm yyyy"))</f>
        <v>0</v>
      </c>
      <c r="D193" s="27"/>
      <c r="E193" s="7"/>
      <c r="F193" s="8">
        <f>IF(E193="","",IFERROR(INDEX(Ingredients!$B$5:$B$304,MATCH(E193,Ingredients!$A$5:$A$304,0)),""))</f>
        <v>0</v>
      </c>
      <c r="G193" s="26"/>
      <c r="H193" s="27"/>
      <c r="I193" s="28"/>
      <c r="J193" s="8">
        <f>IF(OR(E193="",G193="",I193=""),"",G193*I193)</f>
        <v>0</v>
      </c>
      <c r="K193" s="8">
        <f>IF(OR(A193="",J193=""),"",SUMIFS($J$5:$J$404,$B$5:$B$404,B193))</f>
        <v>0</v>
      </c>
      <c r="L193" s="8">
        <f>IF(OR(J193="",K193="",K193=0),"",J193/K193)</f>
        <v>0</v>
      </c>
      <c r="M193" s="8">
        <f>IF(K193="","",K193-Weekly_Budget)</f>
        <v>0</v>
      </c>
      <c r="N193" s="8">
        <f>IF(K193="","",IF(K193&gt;Weekly_Budget,"Over budget",IF(K193&gt;Weekly_Budget*0.9,"Close","Within budget")))</f>
        <v>0</v>
      </c>
      <c r="O193" s="7"/>
      <c r="P193" s="27"/>
      <c r="Q193" s="27"/>
      <c r="R193" s="28"/>
      <c r="S193" s="8">
        <f>IF(J193="","",COUNTIFS($J$5:$J$404,"&gt;"&amp;J193)+1)</f>
        <v>0</v>
      </c>
      <c r="T193" s="8">
        <f>IF(OR(A193="",J193=""),"",SUMIFS($J$5:$J$404,$C$5:$C$404,C193,$A$5:$A$404,"&lt;="&amp;A193))</f>
        <v>0</v>
      </c>
      <c r="U193" s="8">
        <f>IF(E193="","",IF(Q193="Yes","On offer","Full price"))</f>
        <v>0</v>
      </c>
      <c r="V193" s="25"/>
    </row>
    <row r="194" spans="1:22">
      <c r="A194" s="30"/>
      <c r="B194" s="8">
        <f>IF(A194="","",A194-WEEKDAY(A194,2)+1)</f>
        <v>0</v>
      </c>
      <c r="C194" s="8">
        <f>IF(A194="","",TEXT(A194,"mmm yyyy"))</f>
        <v>0</v>
      </c>
      <c r="D194" s="27"/>
      <c r="E194" s="7"/>
      <c r="F194" s="8">
        <f>IF(E194="","",IFERROR(INDEX(Ingredients!$B$5:$B$304,MATCH(E194,Ingredients!$A$5:$A$304,0)),""))</f>
        <v>0</v>
      </c>
      <c r="G194" s="26"/>
      <c r="H194" s="27"/>
      <c r="I194" s="28"/>
      <c r="J194" s="8">
        <f>IF(OR(E194="",G194="",I194=""),"",G194*I194)</f>
        <v>0</v>
      </c>
      <c r="K194" s="8">
        <f>IF(OR(A194="",J194=""),"",SUMIFS($J$5:$J$404,$B$5:$B$404,B194))</f>
        <v>0</v>
      </c>
      <c r="L194" s="8">
        <f>IF(OR(J194="",K194="",K194=0),"",J194/K194)</f>
        <v>0</v>
      </c>
      <c r="M194" s="8">
        <f>IF(K194="","",K194-Weekly_Budget)</f>
        <v>0</v>
      </c>
      <c r="N194" s="8">
        <f>IF(K194="","",IF(K194&gt;Weekly_Budget,"Over budget",IF(K194&gt;Weekly_Budget*0.9,"Close","Within budget")))</f>
        <v>0</v>
      </c>
      <c r="O194" s="7"/>
      <c r="P194" s="27"/>
      <c r="Q194" s="27"/>
      <c r="R194" s="28"/>
      <c r="S194" s="8">
        <f>IF(J194="","",COUNTIFS($J$5:$J$404,"&gt;"&amp;J194)+1)</f>
        <v>0</v>
      </c>
      <c r="T194" s="8">
        <f>IF(OR(A194="",J194=""),"",SUMIFS($J$5:$J$404,$C$5:$C$404,C194,$A$5:$A$404,"&lt;="&amp;A194))</f>
        <v>0</v>
      </c>
      <c r="U194" s="8">
        <f>IF(E194="","",IF(Q194="Yes","On offer","Full price"))</f>
        <v>0</v>
      </c>
      <c r="V194" s="25"/>
    </row>
    <row r="195" spans="1:22">
      <c r="A195" s="30"/>
      <c r="B195" s="8">
        <f>IF(A195="","",A195-WEEKDAY(A195,2)+1)</f>
        <v>0</v>
      </c>
      <c r="C195" s="8">
        <f>IF(A195="","",TEXT(A195,"mmm yyyy"))</f>
        <v>0</v>
      </c>
      <c r="D195" s="27"/>
      <c r="E195" s="7"/>
      <c r="F195" s="8">
        <f>IF(E195="","",IFERROR(INDEX(Ingredients!$B$5:$B$304,MATCH(E195,Ingredients!$A$5:$A$304,0)),""))</f>
        <v>0</v>
      </c>
      <c r="G195" s="26"/>
      <c r="H195" s="27"/>
      <c r="I195" s="28"/>
      <c r="J195" s="8">
        <f>IF(OR(E195="",G195="",I195=""),"",G195*I195)</f>
        <v>0</v>
      </c>
      <c r="K195" s="8">
        <f>IF(OR(A195="",J195=""),"",SUMIFS($J$5:$J$404,$B$5:$B$404,B195))</f>
        <v>0</v>
      </c>
      <c r="L195" s="8">
        <f>IF(OR(J195="",K195="",K195=0),"",J195/K195)</f>
        <v>0</v>
      </c>
      <c r="M195" s="8">
        <f>IF(K195="","",K195-Weekly_Budget)</f>
        <v>0</v>
      </c>
      <c r="N195" s="8">
        <f>IF(K195="","",IF(K195&gt;Weekly_Budget,"Over budget",IF(K195&gt;Weekly_Budget*0.9,"Close","Within budget")))</f>
        <v>0</v>
      </c>
      <c r="O195" s="7"/>
      <c r="P195" s="27"/>
      <c r="Q195" s="27"/>
      <c r="R195" s="28"/>
      <c r="S195" s="8">
        <f>IF(J195="","",COUNTIFS($J$5:$J$404,"&gt;"&amp;J195)+1)</f>
        <v>0</v>
      </c>
      <c r="T195" s="8">
        <f>IF(OR(A195="",J195=""),"",SUMIFS($J$5:$J$404,$C$5:$C$404,C195,$A$5:$A$404,"&lt;="&amp;A195))</f>
        <v>0</v>
      </c>
      <c r="U195" s="8">
        <f>IF(E195="","",IF(Q195="Yes","On offer","Full price"))</f>
        <v>0</v>
      </c>
      <c r="V195" s="25"/>
    </row>
    <row r="196" spans="1:22">
      <c r="A196" s="30"/>
      <c r="B196" s="8">
        <f>IF(A196="","",A196-WEEKDAY(A196,2)+1)</f>
        <v>0</v>
      </c>
      <c r="C196" s="8">
        <f>IF(A196="","",TEXT(A196,"mmm yyyy"))</f>
        <v>0</v>
      </c>
      <c r="D196" s="27"/>
      <c r="E196" s="7"/>
      <c r="F196" s="8">
        <f>IF(E196="","",IFERROR(INDEX(Ingredients!$B$5:$B$304,MATCH(E196,Ingredients!$A$5:$A$304,0)),""))</f>
        <v>0</v>
      </c>
      <c r="G196" s="26"/>
      <c r="H196" s="27"/>
      <c r="I196" s="28"/>
      <c r="J196" s="8">
        <f>IF(OR(E196="",G196="",I196=""),"",G196*I196)</f>
        <v>0</v>
      </c>
      <c r="K196" s="8">
        <f>IF(OR(A196="",J196=""),"",SUMIFS($J$5:$J$404,$B$5:$B$404,B196))</f>
        <v>0</v>
      </c>
      <c r="L196" s="8">
        <f>IF(OR(J196="",K196="",K196=0),"",J196/K196)</f>
        <v>0</v>
      </c>
      <c r="M196" s="8">
        <f>IF(K196="","",K196-Weekly_Budget)</f>
        <v>0</v>
      </c>
      <c r="N196" s="8">
        <f>IF(K196="","",IF(K196&gt;Weekly_Budget,"Over budget",IF(K196&gt;Weekly_Budget*0.9,"Close","Within budget")))</f>
        <v>0</v>
      </c>
      <c r="O196" s="7"/>
      <c r="P196" s="27"/>
      <c r="Q196" s="27"/>
      <c r="R196" s="28"/>
      <c r="S196" s="8">
        <f>IF(J196="","",COUNTIFS($J$5:$J$404,"&gt;"&amp;J196)+1)</f>
        <v>0</v>
      </c>
      <c r="T196" s="8">
        <f>IF(OR(A196="",J196=""),"",SUMIFS($J$5:$J$404,$C$5:$C$404,C196,$A$5:$A$404,"&lt;="&amp;A196))</f>
        <v>0</v>
      </c>
      <c r="U196" s="8">
        <f>IF(E196="","",IF(Q196="Yes","On offer","Full price"))</f>
        <v>0</v>
      </c>
      <c r="V196" s="25"/>
    </row>
    <row r="197" spans="1:22">
      <c r="A197" s="30"/>
      <c r="B197" s="8">
        <f>IF(A197="","",A197-WEEKDAY(A197,2)+1)</f>
        <v>0</v>
      </c>
      <c r="C197" s="8">
        <f>IF(A197="","",TEXT(A197,"mmm yyyy"))</f>
        <v>0</v>
      </c>
      <c r="D197" s="27"/>
      <c r="E197" s="7"/>
      <c r="F197" s="8">
        <f>IF(E197="","",IFERROR(INDEX(Ingredients!$B$5:$B$304,MATCH(E197,Ingredients!$A$5:$A$304,0)),""))</f>
        <v>0</v>
      </c>
      <c r="G197" s="26"/>
      <c r="H197" s="27"/>
      <c r="I197" s="28"/>
      <c r="J197" s="8">
        <f>IF(OR(E197="",G197="",I197=""),"",G197*I197)</f>
        <v>0</v>
      </c>
      <c r="K197" s="8">
        <f>IF(OR(A197="",J197=""),"",SUMIFS($J$5:$J$404,$B$5:$B$404,B197))</f>
        <v>0</v>
      </c>
      <c r="L197" s="8">
        <f>IF(OR(J197="",K197="",K197=0),"",J197/K197)</f>
        <v>0</v>
      </c>
      <c r="M197" s="8">
        <f>IF(K197="","",K197-Weekly_Budget)</f>
        <v>0</v>
      </c>
      <c r="N197" s="8">
        <f>IF(K197="","",IF(K197&gt;Weekly_Budget,"Over budget",IF(K197&gt;Weekly_Budget*0.9,"Close","Within budget")))</f>
        <v>0</v>
      </c>
      <c r="O197" s="7"/>
      <c r="P197" s="27"/>
      <c r="Q197" s="27"/>
      <c r="R197" s="28"/>
      <c r="S197" s="8">
        <f>IF(J197="","",COUNTIFS($J$5:$J$404,"&gt;"&amp;J197)+1)</f>
        <v>0</v>
      </c>
      <c r="T197" s="8">
        <f>IF(OR(A197="",J197=""),"",SUMIFS($J$5:$J$404,$C$5:$C$404,C197,$A$5:$A$404,"&lt;="&amp;A197))</f>
        <v>0</v>
      </c>
      <c r="U197" s="8">
        <f>IF(E197="","",IF(Q197="Yes","On offer","Full price"))</f>
        <v>0</v>
      </c>
      <c r="V197" s="25"/>
    </row>
    <row r="198" spans="1:22">
      <c r="A198" s="30"/>
      <c r="B198" s="8">
        <f>IF(A198="","",A198-WEEKDAY(A198,2)+1)</f>
        <v>0</v>
      </c>
      <c r="C198" s="8">
        <f>IF(A198="","",TEXT(A198,"mmm yyyy"))</f>
        <v>0</v>
      </c>
      <c r="D198" s="27"/>
      <c r="E198" s="7"/>
      <c r="F198" s="8">
        <f>IF(E198="","",IFERROR(INDEX(Ingredients!$B$5:$B$304,MATCH(E198,Ingredients!$A$5:$A$304,0)),""))</f>
        <v>0</v>
      </c>
      <c r="G198" s="26"/>
      <c r="H198" s="27"/>
      <c r="I198" s="28"/>
      <c r="J198" s="8">
        <f>IF(OR(E198="",G198="",I198=""),"",G198*I198)</f>
        <v>0</v>
      </c>
      <c r="K198" s="8">
        <f>IF(OR(A198="",J198=""),"",SUMIFS($J$5:$J$404,$B$5:$B$404,B198))</f>
        <v>0</v>
      </c>
      <c r="L198" s="8">
        <f>IF(OR(J198="",K198="",K198=0),"",J198/K198)</f>
        <v>0</v>
      </c>
      <c r="M198" s="8">
        <f>IF(K198="","",K198-Weekly_Budget)</f>
        <v>0</v>
      </c>
      <c r="N198" s="8">
        <f>IF(K198="","",IF(K198&gt;Weekly_Budget,"Over budget",IF(K198&gt;Weekly_Budget*0.9,"Close","Within budget")))</f>
        <v>0</v>
      </c>
      <c r="O198" s="7"/>
      <c r="P198" s="27"/>
      <c r="Q198" s="27"/>
      <c r="R198" s="28"/>
      <c r="S198" s="8">
        <f>IF(J198="","",COUNTIFS($J$5:$J$404,"&gt;"&amp;J198)+1)</f>
        <v>0</v>
      </c>
      <c r="T198" s="8">
        <f>IF(OR(A198="",J198=""),"",SUMIFS($J$5:$J$404,$C$5:$C$404,C198,$A$5:$A$404,"&lt;="&amp;A198))</f>
        <v>0</v>
      </c>
      <c r="U198" s="8">
        <f>IF(E198="","",IF(Q198="Yes","On offer","Full price"))</f>
        <v>0</v>
      </c>
      <c r="V198" s="25"/>
    </row>
    <row r="199" spans="1:22">
      <c r="A199" s="30"/>
      <c r="B199" s="8">
        <f>IF(A199="","",A199-WEEKDAY(A199,2)+1)</f>
        <v>0</v>
      </c>
      <c r="C199" s="8">
        <f>IF(A199="","",TEXT(A199,"mmm yyyy"))</f>
        <v>0</v>
      </c>
      <c r="D199" s="27"/>
      <c r="E199" s="7"/>
      <c r="F199" s="8">
        <f>IF(E199="","",IFERROR(INDEX(Ingredients!$B$5:$B$304,MATCH(E199,Ingredients!$A$5:$A$304,0)),""))</f>
        <v>0</v>
      </c>
      <c r="G199" s="26"/>
      <c r="H199" s="27"/>
      <c r="I199" s="28"/>
      <c r="J199" s="8">
        <f>IF(OR(E199="",G199="",I199=""),"",G199*I199)</f>
        <v>0</v>
      </c>
      <c r="K199" s="8">
        <f>IF(OR(A199="",J199=""),"",SUMIFS($J$5:$J$404,$B$5:$B$404,B199))</f>
        <v>0</v>
      </c>
      <c r="L199" s="8">
        <f>IF(OR(J199="",K199="",K199=0),"",J199/K199)</f>
        <v>0</v>
      </c>
      <c r="M199" s="8">
        <f>IF(K199="","",K199-Weekly_Budget)</f>
        <v>0</v>
      </c>
      <c r="N199" s="8">
        <f>IF(K199="","",IF(K199&gt;Weekly_Budget,"Over budget",IF(K199&gt;Weekly_Budget*0.9,"Close","Within budget")))</f>
        <v>0</v>
      </c>
      <c r="O199" s="7"/>
      <c r="P199" s="27"/>
      <c r="Q199" s="27"/>
      <c r="R199" s="28"/>
      <c r="S199" s="8">
        <f>IF(J199="","",COUNTIFS($J$5:$J$404,"&gt;"&amp;J199)+1)</f>
        <v>0</v>
      </c>
      <c r="T199" s="8">
        <f>IF(OR(A199="",J199=""),"",SUMIFS($J$5:$J$404,$C$5:$C$404,C199,$A$5:$A$404,"&lt;="&amp;A199))</f>
        <v>0</v>
      </c>
      <c r="U199" s="8">
        <f>IF(E199="","",IF(Q199="Yes","On offer","Full price"))</f>
        <v>0</v>
      </c>
      <c r="V199" s="25"/>
    </row>
    <row r="200" spans="1:22">
      <c r="A200" s="30"/>
      <c r="B200" s="8">
        <f>IF(A200="","",A200-WEEKDAY(A200,2)+1)</f>
        <v>0</v>
      </c>
      <c r="C200" s="8">
        <f>IF(A200="","",TEXT(A200,"mmm yyyy"))</f>
        <v>0</v>
      </c>
      <c r="D200" s="27"/>
      <c r="E200" s="7"/>
      <c r="F200" s="8">
        <f>IF(E200="","",IFERROR(INDEX(Ingredients!$B$5:$B$304,MATCH(E200,Ingredients!$A$5:$A$304,0)),""))</f>
        <v>0</v>
      </c>
      <c r="G200" s="26"/>
      <c r="H200" s="27"/>
      <c r="I200" s="28"/>
      <c r="J200" s="8">
        <f>IF(OR(E200="",G200="",I200=""),"",G200*I200)</f>
        <v>0</v>
      </c>
      <c r="K200" s="8">
        <f>IF(OR(A200="",J200=""),"",SUMIFS($J$5:$J$404,$B$5:$B$404,B200))</f>
        <v>0</v>
      </c>
      <c r="L200" s="8">
        <f>IF(OR(J200="",K200="",K200=0),"",J200/K200)</f>
        <v>0</v>
      </c>
      <c r="M200" s="8">
        <f>IF(K200="","",K200-Weekly_Budget)</f>
        <v>0</v>
      </c>
      <c r="N200" s="8">
        <f>IF(K200="","",IF(K200&gt;Weekly_Budget,"Over budget",IF(K200&gt;Weekly_Budget*0.9,"Close","Within budget")))</f>
        <v>0</v>
      </c>
      <c r="O200" s="7"/>
      <c r="P200" s="27"/>
      <c r="Q200" s="27"/>
      <c r="R200" s="28"/>
      <c r="S200" s="8">
        <f>IF(J200="","",COUNTIFS($J$5:$J$404,"&gt;"&amp;J200)+1)</f>
        <v>0</v>
      </c>
      <c r="T200" s="8">
        <f>IF(OR(A200="",J200=""),"",SUMIFS($J$5:$J$404,$C$5:$C$404,C200,$A$5:$A$404,"&lt;="&amp;A200))</f>
        <v>0</v>
      </c>
      <c r="U200" s="8">
        <f>IF(E200="","",IF(Q200="Yes","On offer","Full price"))</f>
        <v>0</v>
      </c>
      <c r="V200" s="25"/>
    </row>
    <row r="201" spans="1:22">
      <c r="A201" s="30"/>
      <c r="B201" s="8">
        <f>IF(A201="","",A201-WEEKDAY(A201,2)+1)</f>
        <v>0</v>
      </c>
      <c r="C201" s="8">
        <f>IF(A201="","",TEXT(A201,"mmm yyyy"))</f>
        <v>0</v>
      </c>
      <c r="D201" s="27"/>
      <c r="E201" s="7"/>
      <c r="F201" s="8">
        <f>IF(E201="","",IFERROR(INDEX(Ingredients!$B$5:$B$304,MATCH(E201,Ingredients!$A$5:$A$304,0)),""))</f>
        <v>0</v>
      </c>
      <c r="G201" s="26"/>
      <c r="H201" s="27"/>
      <c r="I201" s="28"/>
      <c r="J201" s="8">
        <f>IF(OR(E201="",G201="",I201=""),"",G201*I201)</f>
        <v>0</v>
      </c>
      <c r="K201" s="8">
        <f>IF(OR(A201="",J201=""),"",SUMIFS($J$5:$J$404,$B$5:$B$404,B201))</f>
        <v>0</v>
      </c>
      <c r="L201" s="8">
        <f>IF(OR(J201="",K201="",K201=0),"",J201/K201)</f>
        <v>0</v>
      </c>
      <c r="M201" s="8">
        <f>IF(K201="","",K201-Weekly_Budget)</f>
        <v>0</v>
      </c>
      <c r="N201" s="8">
        <f>IF(K201="","",IF(K201&gt;Weekly_Budget,"Over budget",IF(K201&gt;Weekly_Budget*0.9,"Close","Within budget")))</f>
        <v>0</v>
      </c>
      <c r="O201" s="7"/>
      <c r="P201" s="27"/>
      <c r="Q201" s="27"/>
      <c r="R201" s="28"/>
      <c r="S201" s="8">
        <f>IF(J201="","",COUNTIFS($J$5:$J$404,"&gt;"&amp;J201)+1)</f>
        <v>0</v>
      </c>
      <c r="T201" s="8">
        <f>IF(OR(A201="",J201=""),"",SUMIFS($J$5:$J$404,$C$5:$C$404,C201,$A$5:$A$404,"&lt;="&amp;A201))</f>
        <v>0</v>
      </c>
      <c r="U201" s="8">
        <f>IF(E201="","",IF(Q201="Yes","On offer","Full price"))</f>
        <v>0</v>
      </c>
      <c r="V201" s="25"/>
    </row>
    <row r="202" spans="1:22">
      <c r="A202" s="30"/>
      <c r="B202" s="8">
        <f>IF(A202="","",A202-WEEKDAY(A202,2)+1)</f>
        <v>0</v>
      </c>
      <c r="C202" s="8">
        <f>IF(A202="","",TEXT(A202,"mmm yyyy"))</f>
        <v>0</v>
      </c>
      <c r="D202" s="27"/>
      <c r="E202" s="7"/>
      <c r="F202" s="8">
        <f>IF(E202="","",IFERROR(INDEX(Ingredients!$B$5:$B$304,MATCH(E202,Ingredients!$A$5:$A$304,0)),""))</f>
        <v>0</v>
      </c>
      <c r="G202" s="26"/>
      <c r="H202" s="27"/>
      <c r="I202" s="28"/>
      <c r="J202" s="8">
        <f>IF(OR(E202="",G202="",I202=""),"",G202*I202)</f>
        <v>0</v>
      </c>
      <c r="K202" s="8">
        <f>IF(OR(A202="",J202=""),"",SUMIFS($J$5:$J$404,$B$5:$B$404,B202))</f>
        <v>0</v>
      </c>
      <c r="L202" s="8">
        <f>IF(OR(J202="",K202="",K202=0),"",J202/K202)</f>
        <v>0</v>
      </c>
      <c r="M202" s="8">
        <f>IF(K202="","",K202-Weekly_Budget)</f>
        <v>0</v>
      </c>
      <c r="N202" s="8">
        <f>IF(K202="","",IF(K202&gt;Weekly_Budget,"Over budget",IF(K202&gt;Weekly_Budget*0.9,"Close","Within budget")))</f>
        <v>0</v>
      </c>
      <c r="O202" s="7"/>
      <c r="P202" s="27"/>
      <c r="Q202" s="27"/>
      <c r="R202" s="28"/>
      <c r="S202" s="8">
        <f>IF(J202="","",COUNTIFS($J$5:$J$404,"&gt;"&amp;J202)+1)</f>
        <v>0</v>
      </c>
      <c r="T202" s="8">
        <f>IF(OR(A202="",J202=""),"",SUMIFS($J$5:$J$404,$C$5:$C$404,C202,$A$5:$A$404,"&lt;="&amp;A202))</f>
        <v>0</v>
      </c>
      <c r="U202" s="8">
        <f>IF(E202="","",IF(Q202="Yes","On offer","Full price"))</f>
        <v>0</v>
      </c>
      <c r="V202" s="25"/>
    </row>
    <row r="203" spans="1:22">
      <c r="A203" s="30"/>
      <c r="B203" s="8">
        <f>IF(A203="","",A203-WEEKDAY(A203,2)+1)</f>
        <v>0</v>
      </c>
      <c r="C203" s="8">
        <f>IF(A203="","",TEXT(A203,"mmm yyyy"))</f>
        <v>0</v>
      </c>
      <c r="D203" s="27"/>
      <c r="E203" s="7"/>
      <c r="F203" s="8">
        <f>IF(E203="","",IFERROR(INDEX(Ingredients!$B$5:$B$304,MATCH(E203,Ingredients!$A$5:$A$304,0)),""))</f>
        <v>0</v>
      </c>
      <c r="G203" s="26"/>
      <c r="H203" s="27"/>
      <c r="I203" s="28"/>
      <c r="J203" s="8">
        <f>IF(OR(E203="",G203="",I203=""),"",G203*I203)</f>
        <v>0</v>
      </c>
      <c r="K203" s="8">
        <f>IF(OR(A203="",J203=""),"",SUMIFS($J$5:$J$404,$B$5:$B$404,B203))</f>
        <v>0</v>
      </c>
      <c r="L203" s="8">
        <f>IF(OR(J203="",K203="",K203=0),"",J203/K203)</f>
        <v>0</v>
      </c>
      <c r="M203" s="8">
        <f>IF(K203="","",K203-Weekly_Budget)</f>
        <v>0</v>
      </c>
      <c r="N203" s="8">
        <f>IF(K203="","",IF(K203&gt;Weekly_Budget,"Over budget",IF(K203&gt;Weekly_Budget*0.9,"Close","Within budget")))</f>
        <v>0</v>
      </c>
      <c r="O203" s="7"/>
      <c r="P203" s="27"/>
      <c r="Q203" s="27"/>
      <c r="R203" s="28"/>
      <c r="S203" s="8">
        <f>IF(J203="","",COUNTIFS($J$5:$J$404,"&gt;"&amp;J203)+1)</f>
        <v>0</v>
      </c>
      <c r="T203" s="8">
        <f>IF(OR(A203="",J203=""),"",SUMIFS($J$5:$J$404,$C$5:$C$404,C203,$A$5:$A$404,"&lt;="&amp;A203))</f>
        <v>0</v>
      </c>
      <c r="U203" s="8">
        <f>IF(E203="","",IF(Q203="Yes","On offer","Full price"))</f>
        <v>0</v>
      </c>
      <c r="V203" s="25"/>
    </row>
    <row r="204" spans="1:22">
      <c r="A204" s="30"/>
      <c r="B204" s="8">
        <f>IF(A204="","",A204-WEEKDAY(A204,2)+1)</f>
        <v>0</v>
      </c>
      <c r="C204" s="8">
        <f>IF(A204="","",TEXT(A204,"mmm yyyy"))</f>
        <v>0</v>
      </c>
      <c r="D204" s="27"/>
      <c r="E204" s="7"/>
      <c r="F204" s="8">
        <f>IF(E204="","",IFERROR(INDEX(Ingredients!$B$5:$B$304,MATCH(E204,Ingredients!$A$5:$A$304,0)),""))</f>
        <v>0</v>
      </c>
      <c r="G204" s="26"/>
      <c r="H204" s="27"/>
      <c r="I204" s="28"/>
      <c r="J204" s="8">
        <f>IF(OR(E204="",G204="",I204=""),"",G204*I204)</f>
        <v>0</v>
      </c>
      <c r="K204" s="8">
        <f>IF(OR(A204="",J204=""),"",SUMIFS($J$5:$J$404,$B$5:$B$404,B204))</f>
        <v>0</v>
      </c>
      <c r="L204" s="8">
        <f>IF(OR(J204="",K204="",K204=0),"",J204/K204)</f>
        <v>0</v>
      </c>
      <c r="M204" s="8">
        <f>IF(K204="","",K204-Weekly_Budget)</f>
        <v>0</v>
      </c>
      <c r="N204" s="8">
        <f>IF(K204="","",IF(K204&gt;Weekly_Budget,"Over budget",IF(K204&gt;Weekly_Budget*0.9,"Close","Within budget")))</f>
        <v>0</v>
      </c>
      <c r="O204" s="7"/>
      <c r="P204" s="27"/>
      <c r="Q204" s="27"/>
      <c r="R204" s="28"/>
      <c r="S204" s="8">
        <f>IF(J204="","",COUNTIFS($J$5:$J$404,"&gt;"&amp;J204)+1)</f>
        <v>0</v>
      </c>
      <c r="T204" s="8">
        <f>IF(OR(A204="",J204=""),"",SUMIFS($J$5:$J$404,$C$5:$C$404,C204,$A$5:$A$404,"&lt;="&amp;A204))</f>
        <v>0</v>
      </c>
      <c r="U204" s="8">
        <f>IF(E204="","",IF(Q204="Yes","On offer","Full price"))</f>
        <v>0</v>
      </c>
      <c r="V204" s="25"/>
    </row>
    <row r="205" spans="1:22">
      <c r="A205" s="30"/>
      <c r="B205" s="8">
        <f>IF(A205="","",A205-WEEKDAY(A205,2)+1)</f>
        <v>0</v>
      </c>
      <c r="C205" s="8">
        <f>IF(A205="","",TEXT(A205,"mmm yyyy"))</f>
        <v>0</v>
      </c>
      <c r="D205" s="27"/>
      <c r="E205" s="7"/>
      <c r="F205" s="8">
        <f>IF(E205="","",IFERROR(INDEX(Ingredients!$B$5:$B$304,MATCH(E205,Ingredients!$A$5:$A$304,0)),""))</f>
        <v>0</v>
      </c>
      <c r="G205" s="26"/>
      <c r="H205" s="27"/>
      <c r="I205" s="28"/>
      <c r="J205" s="8">
        <f>IF(OR(E205="",G205="",I205=""),"",G205*I205)</f>
        <v>0</v>
      </c>
      <c r="K205" s="8">
        <f>IF(OR(A205="",J205=""),"",SUMIFS($J$5:$J$404,$B$5:$B$404,B205))</f>
        <v>0</v>
      </c>
      <c r="L205" s="8">
        <f>IF(OR(J205="",K205="",K205=0),"",J205/K205)</f>
        <v>0</v>
      </c>
      <c r="M205" s="8">
        <f>IF(K205="","",K205-Weekly_Budget)</f>
        <v>0</v>
      </c>
      <c r="N205" s="8">
        <f>IF(K205="","",IF(K205&gt;Weekly_Budget,"Over budget",IF(K205&gt;Weekly_Budget*0.9,"Close","Within budget")))</f>
        <v>0</v>
      </c>
      <c r="O205" s="7"/>
      <c r="P205" s="27"/>
      <c r="Q205" s="27"/>
      <c r="R205" s="28"/>
      <c r="S205" s="8">
        <f>IF(J205="","",COUNTIFS($J$5:$J$404,"&gt;"&amp;J205)+1)</f>
        <v>0</v>
      </c>
      <c r="T205" s="8">
        <f>IF(OR(A205="",J205=""),"",SUMIFS($J$5:$J$404,$C$5:$C$404,C205,$A$5:$A$404,"&lt;="&amp;A205))</f>
        <v>0</v>
      </c>
      <c r="U205" s="8">
        <f>IF(E205="","",IF(Q205="Yes","On offer","Full price"))</f>
        <v>0</v>
      </c>
      <c r="V205" s="25"/>
    </row>
    <row r="206" spans="1:22">
      <c r="A206" s="30"/>
      <c r="B206" s="8">
        <f>IF(A206="","",A206-WEEKDAY(A206,2)+1)</f>
        <v>0</v>
      </c>
      <c r="C206" s="8">
        <f>IF(A206="","",TEXT(A206,"mmm yyyy"))</f>
        <v>0</v>
      </c>
      <c r="D206" s="27"/>
      <c r="E206" s="7"/>
      <c r="F206" s="8">
        <f>IF(E206="","",IFERROR(INDEX(Ingredients!$B$5:$B$304,MATCH(E206,Ingredients!$A$5:$A$304,0)),""))</f>
        <v>0</v>
      </c>
      <c r="G206" s="26"/>
      <c r="H206" s="27"/>
      <c r="I206" s="28"/>
      <c r="J206" s="8">
        <f>IF(OR(E206="",G206="",I206=""),"",G206*I206)</f>
        <v>0</v>
      </c>
      <c r="K206" s="8">
        <f>IF(OR(A206="",J206=""),"",SUMIFS($J$5:$J$404,$B$5:$B$404,B206))</f>
        <v>0</v>
      </c>
      <c r="L206" s="8">
        <f>IF(OR(J206="",K206="",K206=0),"",J206/K206)</f>
        <v>0</v>
      </c>
      <c r="M206" s="8">
        <f>IF(K206="","",K206-Weekly_Budget)</f>
        <v>0</v>
      </c>
      <c r="N206" s="8">
        <f>IF(K206="","",IF(K206&gt;Weekly_Budget,"Over budget",IF(K206&gt;Weekly_Budget*0.9,"Close","Within budget")))</f>
        <v>0</v>
      </c>
      <c r="O206" s="7"/>
      <c r="P206" s="27"/>
      <c r="Q206" s="27"/>
      <c r="R206" s="28"/>
      <c r="S206" s="8">
        <f>IF(J206="","",COUNTIFS($J$5:$J$404,"&gt;"&amp;J206)+1)</f>
        <v>0</v>
      </c>
      <c r="T206" s="8">
        <f>IF(OR(A206="",J206=""),"",SUMIFS($J$5:$J$404,$C$5:$C$404,C206,$A$5:$A$404,"&lt;="&amp;A206))</f>
        <v>0</v>
      </c>
      <c r="U206" s="8">
        <f>IF(E206="","",IF(Q206="Yes","On offer","Full price"))</f>
        <v>0</v>
      </c>
      <c r="V206" s="25"/>
    </row>
    <row r="207" spans="1:22">
      <c r="A207" s="30"/>
      <c r="B207" s="8">
        <f>IF(A207="","",A207-WEEKDAY(A207,2)+1)</f>
        <v>0</v>
      </c>
      <c r="C207" s="8">
        <f>IF(A207="","",TEXT(A207,"mmm yyyy"))</f>
        <v>0</v>
      </c>
      <c r="D207" s="27"/>
      <c r="E207" s="7"/>
      <c r="F207" s="8">
        <f>IF(E207="","",IFERROR(INDEX(Ingredients!$B$5:$B$304,MATCH(E207,Ingredients!$A$5:$A$304,0)),""))</f>
        <v>0</v>
      </c>
      <c r="G207" s="26"/>
      <c r="H207" s="27"/>
      <c r="I207" s="28"/>
      <c r="J207" s="8">
        <f>IF(OR(E207="",G207="",I207=""),"",G207*I207)</f>
        <v>0</v>
      </c>
      <c r="K207" s="8">
        <f>IF(OR(A207="",J207=""),"",SUMIFS($J$5:$J$404,$B$5:$B$404,B207))</f>
        <v>0</v>
      </c>
      <c r="L207" s="8">
        <f>IF(OR(J207="",K207="",K207=0),"",J207/K207)</f>
        <v>0</v>
      </c>
      <c r="M207" s="8">
        <f>IF(K207="","",K207-Weekly_Budget)</f>
        <v>0</v>
      </c>
      <c r="N207" s="8">
        <f>IF(K207="","",IF(K207&gt;Weekly_Budget,"Over budget",IF(K207&gt;Weekly_Budget*0.9,"Close","Within budget")))</f>
        <v>0</v>
      </c>
      <c r="O207" s="7"/>
      <c r="P207" s="27"/>
      <c r="Q207" s="27"/>
      <c r="R207" s="28"/>
      <c r="S207" s="8">
        <f>IF(J207="","",COUNTIFS($J$5:$J$404,"&gt;"&amp;J207)+1)</f>
        <v>0</v>
      </c>
      <c r="T207" s="8">
        <f>IF(OR(A207="",J207=""),"",SUMIFS($J$5:$J$404,$C$5:$C$404,C207,$A$5:$A$404,"&lt;="&amp;A207))</f>
        <v>0</v>
      </c>
      <c r="U207" s="8">
        <f>IF(E207="","",IF(Q207="Yes","On offer","Full price"))</f>
        <v>0</v>
      </c>
      <c r="V207" s="25"/>
    </row>
    <row r="208" spans="1:22">
      <c r="A208" s="30"/>
      <c r="B208" s="8">
        <f>IF(A208="","",A208-WEEKDAY(A208,2)+1)</f>
        <v>0</v>
      </c>
      <c r="C208" s="8">
        <f>IF(A208="","",TEXT(A208,"mmm yyyy"))</f>
        <v>0</v>
      </c>
      <c r="D208" s="27"/>
      <c r="E208" s="7"/>
      <c r="F208" s="8">
        <f>IF(E208="","",IFERROR(INDEX(Ingredients!$B$5:$B$304,MATCH(E208,Ingredients!$A$5:$A$304,0)),""))</f>
        <v>0</v>
      </c>
      <c r="G208" s="26"/>
      <c r="H208" s="27"/>
      <c r="I208" s="28"/>
      <c r="J208" s="8">
        <f>IF(OR(E208="",G208="",I208=""),"",G208*I208)</f>
        <v>0</v>
      </c>
      <c r="K208" s="8">
        <f>IF(OR(A208="",J208=""),"",SUMIFS($J$5:$J$404,$B$5:$B$404,B208))</f>
        <v>0</v>
      </c>
      <c r="L208" s="8">
        <f>IF(OR(J208="",K208="",K208=0),"",J208/K208)</f>
        <v>0</v>
      </c>
      <c r="M208" s="8">
        <f>IF(K208="","",K208-Weekly_Budget)</f>
        <v>0</v>
      </c>
      <c r="N208" s="8">
        <f>IF(K208="","",IF(K208&gt;Weekly_Budget,"Over budget",IF(K208&gt;Weekly_Budget*0.9,"Close","Within budget")))</f>
        <v>0</v>
      </c>
      <c r="O208" s="7"/>
      <c r="P208" s="27"/>
      <c r="Q208" s="27"/>
      <c r="R208" s="28"/>
      <c r="S208" s="8">
        <f>IF(J208="","",COUNTIFS($J$5:$J$404,"&gt;"&amp;J208)+1)</f>
        <v>0</v>
      </c>
      <c r="T208" s="8">
        <f>IF(OR(A208="",J208=""),"",SUMIFS($J$5:$J$404,$C$5:$C$404,C208,$A$5:$A$404,"&lt;="&amp;A208))</f>
        <v>0</v>
      </c>
      <c r="U208" s="8">
        <f>IF(E208="","",IF(Q208="Yes","On offer","Full price"))</f>
        <v>0</v>
      </c>
      <c r="V208" s="25"/>
    </row>
    <row r="209" spans="1:22">
      <c r="A209" s="30"/>
      <c r="B209" s="8">
        <f>IF(A209="","",A209-WEEKDAY(A209,2)+1)</f>
        <v>0</v>
      </c>
      <c r="C209" s="8">
        <f>IF(A209="","",TEXT(A209,"mmm yyyy"))</f>
        <v>0</v>
      </c>
      <c r="D209" s="27"/>
      <c r="E209" s="7"/>
      <c r="F209" s="8">
        <f>IF(E209="","",IFERROR(INDEX(Ingredients!$B$5:$B$304,MATCH(E209,Ingredients!$A$5:$A$304,0)),""))</f>
        <v>0</v>
      </c>
      <c r="G209" s="26"/>
      <c r="H209" s="27"/>
      <c r="I209" s="28"/>
      <c r="J209" s="8">
        <f>IF(OR(E209="",G209="",I209=""),"",G209*I209)</f>
        <v>0</v>
      </c>
      <c r="K209" s="8">
        <f>IF(OR(A209="",J209=""),"",SUMIFS($J$5:$J$404,$B$5:$B$404,B209))</f>
        <v>0</v>
      </c>
      <c r="L209" s="8">
        <f>IF(OR(J209="",K209="",K209=0),"",J209/K209)</f>
        <v>0</v>
      </c>
      <c r="M209" s="8">
        <f>IF(K209="","",K209-Weekly_Budget)</f>
        <v>0</v>
      </c>
      <c r="N209" s="8">
        <f>IF(K209="","",IF(K209&gt;Weekly_Budget,"Over budget",IF(K209&gt;Weekly_Budget*0.9,"Close","Within budget")))</f>
        <v>0</v>
      </c>
      <c r="O209" s="7"/>
      <c r="P209" s="27"/>
      <c r="Q209" s="27"/>
      <c r="R209" s="28"/>
      <c r="S209" s="8">
        <f>IF(J209="","",COUNTIFS($J$5:$J$404,"&gt;"&amp;J209)+1)</f>
        <v>0</v>
      </c>
      <c r="T209" s="8">
        <f>IF(OR(A209="",J209=""),"",SUMIFS($J$5:$J$404,$C$5:$C$404,C209,$A$5:$A$404,"&lt;="&amp;A209))</f>
        <v>0</v>
      </c>
      <c r="U209" s="8">
        <f>IF(E209="","",IF(Q209="Yes","On offer","Full price"))</f>
        <v>0</v>
      </c>
      <c r="V209" s="25"/>
    </row>
    <row r="210" spans="1:22">
      <c r="A210" s="30"/>
      <c r="B210" s="8">
        <f>IF(A210="","",A210-WEEKDAY(A210,2)+1)</f>
        <v>0</v>
      </c>
      <c r="C210" s="8">
        <f>IF(A210="","",TEXT(A210,"mmm yyyy"))</f>
        <v>0</v>
      </c>
      <c r="D210" s="27"/>
      <c r="E210" s="7"/>
      <c r="F210" s="8">
        <f>IF(E210="","",IFERROR(INDEX(Ingredients!$B$5:$B$304,MATCH(E210,Ingredients!$A$5:$A$304,0)),""))</f>
        <v>0</v>
      </c>
      <c r="G210" s="26"/>
      <c r="H210" s="27"/>
      <c r="I210" s="28"/>
      <c r="J210" s="8">
        <f>IF(OR(E210="",G210="",I210=""),"",G210*I210)</f>
        <v>0</v>
      </c>
      <c r="K210" s="8">
        <f>IF(OR(A210="",J210=""),"",SUMIFS($J$5:$J$404,$B$5:$B$404,B210))</f>
        <v>0</v>
      </c>
      <c r="L210" s="8">
        <f>IF(OR(J210="",K210="",K210=0),"",J210/K210)</f>
        <v>0</v>
      </c>
      <c r="M210" s="8">
        <f>IF(K210="","",K210-Weekly_Budget)</f>
        <v>0</v>
      </c>
      <c r="N210" s="8">
        <f>IF(K210="","",IF(K210&gt;Weekly_Budget,"Over budget",IF(K210&gt;Weekly_Budget*0.9,"Close","Within budget")))</f>
        <v>0</v>
      </c>
      <c r="O210" s="7"/>
      <c r="P210" s="27"/>
      <c r="Q210" s="27"/>
      <c r="R210" s="28"/>
      <c r="S210" s="8">
        <f>IF(J210="","",COUNTIFS($J$5:$J$404,"&gt;"&amp;J210)+1)</f>
        <v>0</v>
      </c>
      <c r="T210" s="8">
        <f>IF(OR(A210="",J210=""),"",SUMIFS($J$5:$J$404,$C$5:$C$404,C210,$A$5:$A$404,"&lt;="&amp;A210))</f>
        <v>0</v>
      </c>
      <c r="U210" s="8">
        <f>IF(E210="","",IF(Q210="Yes","On offer","Full price"))</f>
        <v>0</v>
      </c>
      <c r="V210" s="25"/>
    </row>
    <row r="211" spans="1:22">
      <c r="A211" s="30"/>
      <c r="B211" s="8">
        <f>IF(A211="","",A211-WEEKDAY(A211,2)+1)</f>
        <v>0</v>
      </c>
      <c r="C211" s="8">
        <f>IF(A211="","",TEXT(A211,"mmm yyyy"))</f>
        <v>0</v>
      </c>
      <c r="D211" s="27"/>
      <c r="E211" s="7"/>
      <c r="F211" s="8">
        <f>IF(E211="","",IFERROR(INDEX(Ingredients!$B$5:$B$304,MATCH(E211,Ingredients!$A$5:$A$304,0)),""))</f>
        <v>0</v>
      </c>
      <c r="G211" s="26"/>
      <c r="H211" s="27"/>
      <c r="I211" s="28"/>
      <c r="J211" s="8">
        <f>IF(OR(E211="",G211="",I211=""),"",G211*I211)</f>
        <v>0</v>
      </c>
      <c r="K211" s="8">
        <f>IF(OR(A211="",J211=""),"",SUMIFS($J$5:$J$404,$B$5:$B$404,B211))</f>
        <v>0</v>
      </c>
      <c r="L211" s="8">
        <f>IF(OR(J211="",K211="",K211=0),"",J211/K211)</f>
        <v>0</v>
      </c>
      <c r="M211" s="8">
        <f>IF(K211="","",K211-Weekly_Budget)</f>
        <v>0</v>
      </c>
      <c r="N211" s="8">
        <f>IF(K211="","",IF(K211&gt;Weekly_Budget,"Over budget",IF(K211&gt;Weekly_Budget*0.9,"Close","Within budget")))</f>
        <v>0</v>
      </c>
      <c r="O211" s="7"/>
      <c r="P211" s="27"/>
      <c r="Q211" s="27"/>
      <c r="R211" s="28"/>
      <c r="S211" s="8">
        <f>IF(J211="","",COUNTIFS($J$5:$J$404,"&gt;"&amp;J211)+1)</f>
        <v>0</v>
      </c>
      <c r="T211" s="8">
        <f>IF(OR(A211="",J211=""),"",SUMIFS($J$5:$J$404,$C$5:$C$404,C211,$A$5:$A$404,"&lt;="&amp;A211))</f>
        <v>0</v>
      </c>
      <c r="U211" s="8">
        <f>IF(E211="","",IF(Q211="Yes","On offer","Full price"))</f>
        <v>0</v>
      </c>
      <c r="V211" s="25"/>
    </row>
    <row r="212" spans="1:22">
      <c r="A212" s="30"/>
      <c r="B212" s="8">
        <f>IF(A212="","",A212-WEEKDAY(A212,2)+1)</f>
        <v>0</v>
      </c>
      <c r="C212" s="8">
        <f>IF(A212="","",TEXT(A212,"mmm yyyy"))</f>
        <v>0</v>
      </c>
      <c r="D212" s="27"/>
      <c r="E212" s="7"/>
      <c r="F212" s="8">
        <f>IF(E212="","",IFERROR(INDEX(Ingredients!$B$5:$B$304,MATCH(E212,Ingredients!$A$5:$A$304,0)),""))</f>
        <v>0</v>
      </c>
      <c r="G212" s="26"/>
      <c r="H212" s="27"/>
      <c r="I212" s="28"/>
      <c r="J212" s="8">
        <f>IF(OR(E212="",G212="",I212=""),"",G212*I212)</f>
        <v>0</v>
      </c>
      <c r="K212" s="8">
        <f>IF(OR(A212="",J212=""),"",SUMIFS($J$5:$J$404,$B$5:$B$404,B212))</f>
        <v>0</v>
      </c>
      <c r="L212" s="8">
        <f>IF(OR(J212="",K212="",K212=0),"",J212/K212)</f>
        <v>0</v>
      </c>
      <c r="M212" s="8">
        <f>IF(K212="","",K212-Weekly_Budget)</f>
        <v>0</v>
      </c>
      <c r="N212" s="8">
        <f>IF(K212="","",IF(K212&gt;Weekly_Budget,"Over budget",IF(K212&gt;Weekly_Budget*0.9,"Close","Within budget")))</f>
        <v>0</v>
      </c>
      <c r="O212" s="7"/>
      <c r="P212" s="27"/>
      <c r="Q212" s="27"/>
      <c r="R212" s="28"/>
      <c r="S212" s="8">
        <f>IF(J212="","",COUNTIFS($J$5:$J$404,"&gt;"&amp;J212)+1)</f>
        <v>0</v>
      </c>
      <c r="T212" s="8">
        <f>IF(OR(A212="",J212=""),"",SUMIFS($J$5:$J$404,$C$5:$C$404,C212,$A$5:$A$404,"&lt;="&amp;A212))</f>
        <v>0</v>
      </c>
      <c r="U212" s="8">
        <f>IF(E212="","",IF(Q212="Yes","On offer","Full price"))</f>
        <v>0</v>
      </c>
      <c r="V212" s="25"/>
    </row>
    <row r="213" spans="1:22">
      <c r="A213" s="30"/>
      <c r="B213" s="8">
        <f>IF(A213="","",A213-WEEKDAY(A213,2)+1)</f>
        <v>0</v>
      </c>
      <c r="C213" s="8">
        <f>IF(A213="","",TEXT(A213,"mmm yyyy"))</f>
        <v>0</v>
      </c>
      <c r="D213" s="27"/>
      <c r="E213" s="7"/>
      <c r="F213" s="8">
        <f>IF(E213="","",IFERROR(INDEX(Ingredients!$B$5:$B$304,MATCH(E213,Ingredients!$A$5:$A$304,0)),""))</f>
        <v>0</v>
      </c>
      <c r="G213" s="26"/>
      <c r="H213" s="27"/>
      <c r="I213" s="28"/>
      <c r="J213" s="8">
        <f>IF(OR(E213="",G213="",I213=""),"",G213*I213)</f>
        <v>0</v>
      </c>
      <c r="K213" s="8">
        <f>IF(OR(A213="",J213=""),"",SUMIFS($J$5:$J$404,$B$5:$B$404,B213))</f>
        <v>0</v>
      </c>
      <c r="L213" s="8">
        <f>IF(OR(J213="",K213="",K213=0),"",J213/K213)</f>
        <v>0</v>
      </c>
      <c r="M213" s="8">
        <f>IF(K213="","",K213-Weekly_Budget)</f>
        <v>0</v>
      </c>
      <c r="N213" s="8">
        <f>IF(K213="","",IF(K213&gt;Weekly_Budget,"Over budget",IF(K213&gt;Weekly_Budget*0.9,"Close","Within budget")))</f>
        <v>0</v>
      </c>
      <c r="O213" s="7"/>
      <c r="P213" s="27"/>
      <c r="Q213" s="27"/>
      <c r="R213" s="28"/>
      <c r="S213" s="8">
        <f>IF(J213="","",COUNTIFS($J$5:$J$404,"&gt;"&amp;J213)+1)</f>
        <v>0</v>
      </c>
      <c r="T213" s="8">
        <f>IF(OR(A213="",J213=""),"",SUMIFS($J$5:$J$404,$C$5:$C$404,C213,$A$5:$A$404,"&lt;="&amp;A213))</f>
        <v>0</v>
      </c>
      <c r="U213" s="8">
        <f>IF(E213="","",IF(Q213="Yes","On offer","Full price"))</f>
        <v>0</v>
      </c>
      <c r="V213" s="25"/>
    </row>
    <row r="214" spans="1:22">
      <c r="A214" s="30"/>
      <c r="B214" s="8">
        <f>IF(A214="","",A214-WEEKDAY(A214,2)+1)</f>
        <v>0</v>
      </c>
      <c r="C214" s="8">
        <f>IF(A214="","",TEXT(A214,"mmm yyyy"))</f>
        <v>0</v>
      </c>
      <c r="D214" s="27"/>
      <c r="E214" s="7"/>
      <c r="F214" s="8">
        <f>IF(E214="","",IFERROR(INDEX(Ingredients!$B$5:$B$304,MATCH(E214,Ingredients!$A$5:$A$304,0)),""))</f>
        <v>0</v>
      </c>
      <c r="G214" s="26"/>
      <c r="H214" s="27"/>
      <c r="I214" s="28"/>
      <c r="J214" s="8">
        <f>IF(OR(E214="",G214="",I214=""),"",G214*I214)</f>
        <v>0</v>
      </c>
      <c r="K214" s="8">
        <f>IF(OR(A214="",J214=""),"",SUMIFS($J$5:$J$404,$B$5:$B$404,B214))</f>
        <v>0</v>
      </c>
      <c r="L214" s="8">
        <f>IF(OR(J214="",K214="",K214=0),"",J214/K214)</f>
        <v>0</v>
      </c>
      <c r="M214" s="8">
        <f>IF(K214="","",K214-Weekly_Budget)</f>
        <v>0</v>
      </c>
      <c r="N214" s="8">
        <f>IF(K214="","",IF(K214&gt;Weekly_Budget,"Over budget",IF(K214&gt;Weekly_Budget*0.9,"Close","Within budget")))</f>
        <v>0</v>
      </c>
      <c r="O214" s="7"/>
      <c r="P214" s="27"/>
      <c r="Q214" s="27"/>
      <c r="R214" s="28"/>
      <c r="S214" s="8">
        <f>IF(J214="","",COUNTIFS($J$5:$J$404,"&gt;"&amp;J214)+1)</f>
        <v>0</v>
      </c>
      <c r="T214" s="8">
        <f>IF(OR(A214="",J214=""),"",SUMIFS($J$5:$J$404,$C$5:$C$404,C214,$A$5:$A$404,"&lt;="&amp;A214))</f>
        <v>0</v>
      </c>
      <c r="U214" s="8">
        <f>IF(E214="","",IF(Q214="Yes","On offer","Full price"))</f>
        <v>0</v>
      </c>
      <c r="V214" s="25"/>
    </row>
    <row r="215" spans="1:22">
      <c r="A215" s="30"/>
      <c r="B215" s="8">
        <f>IF(A215="","",A215-WEEKDAY(A215,2)+1)</f>
        <v>0</v>
      </c>
      <c r="C215" s="8">
        <f>IF(A215="","",TEXT(A215,"mmm yyyy"))</f>
        <v>0</v>
      </c>
      <c r="D215" s="27"/>
      <c r="E215" s="7"/>
      <c r="F215" s="8">
        <f>IF(E215="","",IFERROR(INDEX(Ingredients!$B$5:$B$304,MATCH(E215,Ingredients!$A$5:$A$304,0)),""))</f>
        <v>0</v>
      </c>
      <c r="G215" s="26"/>
      <c r="H215" s="27"/>
      <c r="I215" s="28"/>
      <c r="J215" s="8">
        <f>IF(OR(E215="",G215="",I215=""),"",G215*I215)</f>
        <v>0</v>
      </c>
      <c r="K215" s="8">
        <f>IF(OR(A215="",J215=""),"",SUMIFS($J$5:$J$404,$B$5:$B$404,B215))</f>
        <v>0</v>
      </c>
      <c r="L215" s="8">
        <f>IF(OR(J215="",K215="",K215=0),"",J215/K215)</f>
        <v>0</v>
      </c>
      <c r="M215" s="8">
        <f>IF(K215="","",K215-Weekly_Budget)</f>
        <v>0</v>
      </c>
      <c r="N215" s="8">
        <f>IF(K215="","",IF(K215&gt;Weekly_Budget,"Over budget",IF(K215&gt;Weekly_Budget*0.9,"Close","Within budget")))</f>
        <v>0</v>
      </c>
      <c r="O215" s="7"/>
      <c r="P215" s="27"/>
      <c r="Q215" s="27"/>
      <c r="R215" s="28"/>
      <c r="S215" s="8">
        <f>IF(J215="","",COUNTIFS($J$5:$J$404,"&gt;"&amp;J215)+1)</f>
        <v>0</v>
      </c>
      <c r="T215" s="8">
        <f>IF(OR(A215="",J215=""),"",SUMIFS($J$5:$J$404,$C$5:$C$404,C215,$A$5:$A$404,"&lt;="&amp;A215))</f>
        <v>0</v>
      </c>
      <c r="U215" s="8">
        <f>IF(E215="","",IF(Q215="Yes","On offer","Full price"))</f>
        <v>0</v>
      </c>
      <c r="V215" s="25"/>
    </row>
    <row r="216" spans="1:22">
      <c r="A216" s="30"/>
      <c r="B216" s="8">
        <f>IF(A216="","",A216-WEEKDAY(A216,2)+1)</f>
        <v>0</v>
      </c>
      <c r="C216" s="8">
        <f>IF(A216="","",TEXT(A216,"mmm yyyy"))</f>
        <v>0</v>
      </c>
      <c r="D216" s="27"/>
      <c r="E216" s="7"/>
      <c r="F216" s="8">
        <f>IF(E216="","",IFERROR(INDEX(Ingredients!$B$5:$B$304,MATCH(E216,Ingredients!$A$5:$A$304,0)),""))</f>
        <v>0</v>
      </c>
      <c r="G216" s="26"/>
      <c r="H216" s="27"/>
      <c r="I216" s="28"/>
      <c r="J216" s="8">
        <f>IF(OR(E216="",G216="",I216=""),"",G216*I216)</f>
        <v>0</v>
      </c>
      <c r="K216" s="8">
        <f>IF(OR(A216="",J216=""),"",SUMIFS($J$5:$J$404,$B$5:$B$404,B216))</f>
        <v>0</v>
      </c>
      <c r="L216" s="8">
        <f>IF(OR(J216="",K216="",K216=0),"",J216/K216)</f>
        <v>0</v>
      </c>
      <c r="M216" s="8">
        <f>IF(K216="","",K216-Weekly_Budget)</f>
        <v>0</v>
      </c>
      <c r="N216" s="8">
        <f>IF(K216="","",IF(K216&gt;Weekly_Budget,"Over budget",IF(K216&gt;Weekly_Budget*0.9,"Close","Within budget")))</f>
        <v>0</v>
      </c>
      <c r="O216" s="7"/>
      <c r="P216" s="27"/>
      <c r="Q216" s="27"/>
      <c r="R216" s="28"/>
      <c r="S216" s="8">
        <f>IF(J216="","",COUNTIFS($J$5:$J$404,"&gt;"&amp;J216)+1)</f>
        <v>0</v>
      </c>
      <c r="T216" s="8">
        <f>IF(OR(A216="",J216=""),"",SUMIFS($J$5:$J$404,$C$5:$C$404,C216,$A$5:$A$404,"&lt;="&amp;A216))</f>
        <v>0</v>
      </c>
      <c r="U216" s="8">
        <f>IF(E216="","",IF(Q216="Yes","On offer","Full price"))</f>
        <v>0</v>
      </c>
      <c r="V216" s="25"/>
    </row>
    <row r="217" spans="1:22">
      <c r="A217" s="30"/>
      <c r="B217" s="8">
        <f>IF(A217="","",A217-WEEKDAY(A217,2)+1)</f>
        <v>0</v>
      </c>
      <c r="C217" s="8">
        <f>IF(A217="","",TEXT(A217,"mmm yyyy"))</f>
        <v>0</v>
      </c>
      <c r="D217" s="27"/>
      <c r="E217" s="7"/>
      <c r="F217" s="8">
        <f>IF(E217="","",IFERROR(INDEX(Ingredients!$B$5:$B$304,MATCH(E217,Ingredients!$A$5:$A$304,0)),""))</f>
        <v>0</v>
      </c>
      <c r="G217" s="26"/>
      <c r="H217" s="27"/>
      <c r="I217" s="28"/>
      <c r="J217" s="8">
        <f>IF(OR(E217="",G217="",I217=""),"",G217*I217)</f>
        <v>0</v>
      </c>
      <c r="K217" s="8">
        <f>IF(OR(A217="",J217=""),"",SUMIFS($J$5:$J$404,$B$5:$B$404,B217))</f>
        <v>0</v>
      </c>
      <c r="L217" s="8">
        <f>IF(OR(J217="",K217="",K217=0),"",J217/K217)</f>
        <v>0</v>
      </c>
      <c r="M217" s="8">
        <f>IF(K217="","",K217-Weekly_Budget)</f>
        <v>0</v>
      </c>
      <c r="N217" s="8">
        <f>IF(K217="","",IF(K217&gt;Weekly_Budget,"Over budget",IF(K217&gt;Weekly_Budget*0.9,"Close","Within budget")))</f>
        <v>0</v>
      </c>
      <c r="O217" s="7"/>
      <c r="P217" s="27"/>
      <c r="Q217" s="27"/>
      <c r="R217" s="28"/>
      <c r="S217" s="8">
        <f>IF(J217="","",COUNTIFS($J$5:$J$404,"&gt;"&amp;J217)+1)</f>
        <v>0</v>
      </c>
      <c r="T217" s="8">
        <f>IF(OR(A217="",J217=""),"",SUMIFS($J$5:$J$404,$C$5:$C$404,C217,$A$5:$A$404,"&lt;="&amp;A217))</f>
        <v>0</v>
      </c>
      <c r="U217" s="8">
        <f>IF(E217="","",IF(Q217="Yes","On offer","Full price"))</f>
        <v>0</v>
      </c>
      <c r="V217" s="25"/>
    </row>
    <row r="218" spans="1:22">
      <c r="A218" s="30"/>
      <c r="B218" s="8">
        <f>IF(A218="","",A218-WEEKDAY(A218,2)+1)</f>
        <v>0</v>
      </c>
      <c r="C218" s="8">
        <f>IF(A218="","",TEXT(A218,"mmm yyyy"))</f>
        <v>0</v>
      </c>
      <c r="D218" s="27"/>
      <c r="E218" s="7"/>
      <c r="F218" s="8">
        <f>IF(E218="","",IFERROR(INDEX(Ingredients!$B$5:$B$304,MATCH(E218,Ingredients!$A$5:$A$304,0)),""))</f>
        <v>0</v>
      </c>
      <c r="G218" s="26"/>
      <c r="H218" s="27"/>
      <c r="I218" s="28"/>
      <c r="J218" s="8">
        <f>IF(OR(E218="",G218="",I218=""),"",G218*I218)</f>
        <v>0</v>
      </c>
      <c r="K218" s="8">
        <f>IF(OR(A218="",J218=""),"",SUMIFS($J$5:$J$404,$B$5:$B$404,B218))</f>
        <v>0</v>
      </c>
      <c r="L218" s="8">
        <f>IF(OR(J218="",K218="",K218=0),"",J218/K218)</f>
        <v>0</v>
      </c>
      <c r="M218" s="8">
        <f>IF(K218="","",K218-Weekly_Budget)</f>
        <v>0</v>
      </c>
      <c r="N218" s="8">
        <f>IF(K218="","",IF(K218&gt;Weekly_Budget,"Over budget",IF(K218&gt;Weekly_Budget*0.9,"Close","Within budget")))</f>
        <v>0</v>
      </c>
      <c r="O218" s="7"/>
      <c r="P218" s="27"/>
      <c r="Q218" s="27"/>
      <c r="R218" s="28"/>
      <c r="S218" s="8">
        <f>IF(J218="","",COUNTIFS($J$5:$J$404,"&gt;"&amp;J218)+1)</f>
        <v>0</v>
      </c>
      <c r="T218" s="8">
        <f>IF(OR(A218="",J218=""),"",SUMIFS($J$5:$J$404,$C$5:$C$404,C218,$A$5:$A$404,"&lt;="&amp;A218))</f>
        <v>0</v>
      </c>
      <c r="U218" s="8">
        <f>IF(E218="","",IF(Q218="Yes","On offer","Full price"))</f>
        <v>0</v>
      </c>
      <c r="V218" s="25"/>
    </row>
    <row r="219" spans="1:22">
      <c r="A219" s="30"/>
      <c r="B219" s="8">
        <f>IF(A219="","",A219-WEEKDAY(A219,2)+1)</f>
        <v>0</v>
      </c>
      <c r="C219" s="8">
        <f>IF(A219="","",TEXT(A219,"mmm yyyy"))</f>
        <v>0</v>
      </c>
      <c r="D219" s="27"/>
      <c r="E219" s="7"/>
      <c r="F219" s="8">
        <f>IF(E219="","",IFERROR(INDEX(Ingredients!$B$5:$B$304,MATCH(E219,Ingredients!$A$5:$A$304,0)),""))</f>
        <v>0</v>
      </c>
      <c r="G219" s="26"/>
      <c r="H219" s="27"/>
      <c r="I219" s="28"/>
      <c r="J219" s="8">
        <f>IF(OR(E219="",G219="",I219=""),"",G219*I219)</f>
        <v>0</v>
      </c>
      <c r="K219" s="8">
        <f>IF(OR(A219="",J219=""),"",SUMIFS($J$5:$J$404,$B$5:$B$404,B219))</f>
        <v>0</v>
      </c>
      <c r="L219" s="8">
        <f>IF(OR(J219="",K219="",K219=0),"",J219/K219)</f>
        <v>0</v>
      </c>
      <c r="M219" s="8">
        <f>IF(K219="","",K219-Weekly_Budget)</f>
        <v>0</v>
      </c>
      <c r="N219" s="8">
        <f>IF(K219="","",IF(K219&gt;Weekly_Budget,"Over budget",IF(K219&gt;Weekly_Budget*0.9,"Close","Within budget")))</f>
        <v>0</v>
      </c>
      <c r="O219" s="7"/>
      <c r="P219" s="27"/>
      <c r="Q219" s="27"/>
      <c r="R219" s="28"/>
      <c r="S219" s="8">
        <f>IF(J219="","",COUNTIFS($J$5:$J$404,"&gt;"&amp;J219)+1)</f>
        <v>0</v>
      </c>
      <c r="T219" s="8">
        <f>IF(OR(A219="",J219=""),"",SUMIFS($J$5:$J$404,$C$5:$C$404,C219,$A$5:$A$404,"&lt;="&amp;A219))</f>
        <v>0</v>
      </c>
      <c r="U219" s="8">
        <f>IF(E219="","",IF(Q219="Yes","On offer","Full price"))</f>
        <v>0</v>
      </c>
      <c r="V219" s="25"/>
    </row>
    <row r="220" spans="1:22">
      <c r="A220" s="30"/>
      <c r="B220" s="8">
        <f>IF(A220="","",A220-WEEKDAY(A220,2)+1)</f>
        <v>0</v>
      </c>
      <c r="C220" s="8">
        <f>IF(A220="","",TEXT(A220,"mmm yyyy"))</f>
        <v>0</v>
      </c>
      <c r="D220" s="27"/>
      <c r="E220" s="7"/>
      <c r="F220" s="8">
        <f>IF(E220="","",IFERROR(INDEX(Ingredients!$B$5:$B$304,MATCH(E220,Ingredients!$A$5:$A$304,0)),""))</f>
        <v>0</v>
      </c>
      <c r="G220" s="26"/>
      <c r="H220" s="27"/>
      <c r="I220" s="28"/>
      <c r="J220" s="8">
        <f>IF(OR(E220="",G220="",I220=""),"",G220*I220)</f>
        <v>0</v>
      </c>
      <c r="K220" s="8">
        <f>IF(OR(A220="",J220=""),"",SUMIFS($J$5:$J$404,$B$5:$B$404,B220))</f>
        <v>0</v>
      </c>
      <c r="L220" s="8">
        <f>IF(OR(J220="",K220="",K220=0),"",J220/K220)</f>
        <v>0</v>
      </c>
      <c r="M220" s="8">
        <f>IF(K220="","",K220-Weekly_Budget)</f>
        <v>0</v>
      </c>
      <c r="N220" s="8">
        <f>IF(K220="","",IF(K220&gt;Weekly_Budget,"Over budget",IF(K220&gt;Weekly_Budget*0.9,"Close","Within budget")))</f>
        <v>0</v>
      </c>
      <c r="O220" s="7"/>
      <c r="P220" s="27"/>
      <c r="Q220" s="27"/>
      <c r="R220" s="28"/>
      <c r="S220" s="8">
        <f>IF(J220="","",COUNTIFS($J$5:$J$404,"&gt;"&amp;J220)+1)</f>
        <v>0</v>
      </c>
      <c r="T220" s="8">
        <f>IF(OR(A220="",J220=""),"",SUMIFS($J$5:$J$404,$C$5:$C$404,C220,$A$5:$A$404,"&lt;="&amp;A220))</f>
        <v>0</v>
      </c>
      <c r="U220" s="8">
        <f>IF(E220="","",IF(Q220="Yes","On offer","Full price"))</f>
        <v>0</v>
      </c>
      <c r="V220" s="25"/>
    </row>
    <row r="221" spans="1:22">
      <c r="A221" s="30"/>
      <c r="B221" s="8">
        <f>IF(A221="","",A221-WEEKDAY(A221,2)+1)</f>
        <v>0</v>
      </c>
      <c r="C221" s="8">
        <f>IF(A221="","",TEXT(A221,"mmm yyyy"))</f>
        <v>0</v>
      </c>
      <c r="D221" s="27"/>
      <c r="E221" s="7"/>
      <c r="F221" s="8">
        <f>IF(E221="","",IFERROR(INDEX(Ingredients!$B$5:$B$304,MATCH(E221,Ingredients!$A$5:$A$304,0)),""))</f>
        <v>0</v>
      </c>
      <c r="G221" s="26"/>
      <c r="H221" s="27"/>
      <c r="I221" s="28"/>
      <c r="J221" s="8">
        <f>IF(OR(E221="",G221="",I221=""),"",G221*I221)</f>
        <v>0</v>
      </c>
      <c r="K221" s="8">
        <f>IF(OR(A221="",J221=""),"",SUMIFS($J$5:$J$404,$B$5:$B$404,B221))</f>
        <v>0</v>
      </c>
      <c r="L221" s="8">
        <f>IF(OR(J221="",K221="",K221=0),"",J221/K221)</f>
        <v>0</v>
      </c>
      <c r="M221" s="8">
        <f>IF(K221="","",K221-Weekly_Budget)</f>
        <v>0</v>
      </c>
      <c r="N221" s="8">
        <f>IF(K221="","",IF(K221&gt;Weekly_Budget,"Over budget",IF(K221&gt;Weekly_Budget*0.9,"Close","Within budget")))</f>
        <v>0</v>
      </c>
      <c r="O221" s="7"/>
      <c r="P221" s="27"/>
      <c r="Q221" s="27"/>
      <c r="R221" s="28"/>
      <c r="S221" s="8">
        <f>IF(J221="","",COUNTIFS($J$5:$J$404,"&gt;"&amp;J221)+1)</f>
        <v>0</v>
      </c>
      <c r="T221" s="8">
        <f>IF(OR(A221="",J221=""),"",SUMIFS($J$5:$J$404,$C$5:$C$404,C221,$A$5:$A$404,"&lt;="&amp;A221))</f>
        <v>0</v>
      </c>
      <c r="U221" s="8">
        <f>IF(E221="","",IF(Q221="Yes","On offer","Full price"))</f>
        <v>0</v>
      </c>
      <c r="V221" s="25"/>
    </row>
    <row r="222" spans="1:22">
      <c r="A222" s="30"/>
      <c r="B222" s="8">
        <f>IF(A222="","",A222-WEEKDAY(A222,2)+1)</f>
        <v>0</v>
      </c>
      <c r="C222" s="8">
        <f>IF(A222="","",TEXT(A222,"mmm yyyy"))</f>
        <v>0</v>
      </c>
      <c r="D222" s="27"/>
      <c r="E222" s="7"/>
      <c r="F222" s="8">
        <f>IF(E222="","",IFERROR(INDEX(Ingredients!$B$5:$B$304,MATCH(E222,Ingredients!$A$5:$A$304,0)),""))</f>
        <v>0</v>
      </c>
      <c r="G222" s="26"/>
      <c r="H222" s="27"/>
      <c r="I222" s="28"/>
      <c r="J222" s="8">
        <f>IF(OR(E222="",G222="",I222=""),"",G222*I222)</f>
        <v>0</v>
      </c>
      <c r="K222" s="8">
        <f>IF(OR(A222="",J222=""),"",SUMIFS($J$5:$J$404,$B$5:$B$404,B222))</f>
        <v>0</v>
      </c>
      <c r="L222" s="8">
        <f>IF(OR(J222="",K222="",K222=0),"",J222/K222)</f>
        <v>0</v>
      </c>
      <c r="M222" s="8">
        <f>IF(K222="","",K222-Weekly_Budget)</f>
        <v>0</v>
      </c>
      <c r="N222" s="8">
        <f>IF(K222="","",IF(K222&gt;Weekly_Budget,"Over budget",IF(K222&gt;Weekly_Budget*0.9,"Close","Within budget")))</f>
        <v>0</v>
      </c>
      <c r="O222" s="7"/>
      <c r="P222" s="27"/>
      <c r="Q222" s="27"/>
      <c r="R222" s="28"/>
      <c r="S222" s="8">
        <f>IF(J222="","",COUNTIFS($J$5:$J$404,"&gt;"&amp;J222)+1)</f>
        <v>0</v>
      </c>
      <c r="T222" s="8">
        <f>IF(OR(A222="",J222=""),"",SUMIFS($J$5:$J$404,$C$5:$C$404,C222,$A$5:$A$404,"&lt;="&amp;A222))</f>
        <v>0</v>
      </c>
      <c r="U222" s="8">
        <f>IF(E222="","",IF(Q222="Yes","On offer","Full price"))</f>
        <v>0</v>
      </c>
      <c r="V222" s="25"/>
    </row>
    <row r="223" spans="1:22">
      <c r="A223" s="30"/>
      <c r="B223" s="8">
        <f>IF(A223="","",A223-WEEKDAY(A223,2)+1)</f>
        <v>0</v>
      </c>
      <c r="C223" s="8">
        <f>IF(A223="","",TEXT(A223,"mmm yyyy"))</f>
        <v>0</v>
      </c>
      <c r="D223" s="27"/>
      <c r="E223" s="7"/>
      <c r="F223" s="8">
        <f>IF(E223="","",IFERROR(INDEX(Ingredients!$B$5:$B$304,MATCH(E223,Ingredients!$A$5:$A$304,0)),""))</f>
        <v>0</v>
      </c>
      <c r="G223" s="26"/>
      <c r="H223" s="27"/>
      <c r="I223" s="28"/>
      <c r="J223" s="8">
        <f>IF(OR(E223="",G223="",I223=""),"",G223*I223)</f>
        <v>0</v>
      </c>
      <c r="K223" s="8">
        <f>IF(OR(A223="",J223=""),"",SUMIFS($J$5:$J$404,$B$5:$B$404,B223))</f>
        <v>0</v>
      </c>
      <c r="L223" s="8">
        <f>IF(OR(J223="",K223="",K223=0),"",J223/K223)</f>
        <v>0</v>
      </c>
      <c r="M223" s="8">
        <f>IF(K223="","",K223-Weekly_Budget)</f>
        <v>0</v>
      </c>
      <c r="N223" s="8">
        <f>IF(K223="","",IF(K223&gt;Weekly_Budget,"Over budget",IF(K223&gt;Weekly_Budget*0.9,"Close","Within budget")))</f>
        <v>0</v>
      </c>
      <c r="O223" s="7"/>
      <c r="P223" s="27"/>
      <c r="Q223" s="27"/>
      <c r="R223" s="28"/>
      <c r="S223" s="8">
        <f>IF(J223="","",COUNTIFS($J$5:$J$404,"&gt;"&amp;J223)+1)</f>
        <v>0</v>
      </c>
      <c r="T223" s="8">
        <f>IF(OR(A223="",J223=""),"",SUMIFS($J$5:$J$404,$C$5:$C$404,C223,$A$5:$A$404,"&lt;="&amp;A223))</f>
        <v>0</v>
      </c>
      <c r="U223" s="8">
        <f>IF(E223="","",IF(Q223="Yes","On offer","Full price"))</f>
        <v>0</v>
      </c>
      <c r="V223" s="25"/>
    </row>
    <row r="224" spans="1:22">
      <c r="A224" s="30"/>
      <c r="B224" s="8">
        <f>IF(A224="","",A224-WEEKDAY(A224,2)+1)</f>
        <v>0</v>
      </c>
      <c r="C224" s="8">
        <f>IF(A224="","",TEXT(A224,"mmm yyyy"))</f>
        <v>0</v>
      </c>
      <c r="D224" s="27"/>
      <c r="E224" s="7"/>
      <c r="F224" s="8">
        <f>IF(E224="","",IFERROR(INDEX(Ingredients!$B$5:$B$304,MATCH(E224,Ingredients!$A$5:$A$304,0)),""))</f>
        <v>0</v>
      </c>
      <c r="G224" s="26"/>
      <c r="H224" s="27"/>
      <c r="I224" s="28"/>
      <c r="J224" s="8">
        <f>IF(OR(E224="",G224="",I224=""),"",G224*I224)</f>
        <v>0</v>
      </c>
      <c r="K224" s="8">
        <f>IF(OR(A224="",J224=""),"",SUMIFS($J$5:$J$404,$B$5:$B$404,B224))</f>
        <v>0</v>
      </c>
      <c r="L224" s="8">
        <f>IF(OR(J224="",K224="",K224=0),"",J224/K224)</f>
        <v>0</v>
      </c>
      <c r="M224" s="8">
        <f>IF(K224="","",K224-Weekly_Budget)</f>
        <v>0</v>
      </c>
      <c r="N224" s="8">
        <f>IF(K224="","",IF(K224&gt;Weekly_Budget,"Over budget",IF(K224&gt;Weekly_Budget*0.9,"Close","Within budget")))</f>
        <v>0</v>
      </c>
      <c r="O224" s="7"/>
      <c r="P224" s="27"/>
      <c r="Q224" s="27"/>
      <c r="R224" s="28"/>
      <c r="S224" s="8">
        <f>IF(J224="","",COUNTIFS($J$5:$J$404,"&gt;"&amp;J224)+1)</f>
        <v>0</v>
      </c>
      <c r="T224" s="8">
        <f>IF(OR(A224="",J224=""),"",SUMIFS($J$5:$J$404,$C$5:$C$404,C224,$A$5:$A$404,"&lt;="&amp;A224))</f>
        <v>0</v>
      </c>
      <c r="U224" s="8">
        <f>IF(E224="","",IF(Q224="Yes","On offer","Full price"))</f>
        <v>0</v>
      </c>
      <c r="V224" s="25"/>
    </row>
    <row r="225" spans="1:22">
      <c r="A225" s="30"/>
      <c r="B225" s="8">
        <f>IF(A225="","",A225-WEEKDAY(A225,2)+1)</f>
        <v>0</v>
      </c>
      <c r="C225" s="8">
        <f>IF(A225="","",TEXT(A225,"mmm yyyy"))</f>
        <v>0</v>
      </c>
      <c r="D225" s="27"/>
      <c r="E225" s="7"/>
      <c r="F225" s="8">
        <f>IF(E225="","",IFERROR(INDEX(Ingredients!$B$5:$B$304,MATCH(E225,Ingredients!$A$5:$A$304,0)),""))</f>
        <v>0</v>
      </c>
      <c r="G225" s="26"/>
      <c r="H225" s="27"/>
      <c r="I225" s="28"/>
      <c r="J225" s="8">
        <f>IF(OR(E225="",G225="",I225=""),"",G225*I225)</f>
        <v>0</v>
      </c>
      <c r="K225" s="8">
        <f>IF(OR(A225="",J225=""),"",SUMIFS($J$5:$J$404,$B$5:$B$404,B225))</f>
        <v>0</v>
      </c>
      <c r="L225" s="8">
        <f>IF(OR(J225="",K225="",K225=0),"",J225/K225)</f>
        <v>0</v>
      </c>
      <c r="M225" s="8">
        <f>IF(K225="","",K225-Weekly_Budget)</f>
        <v>0</v>
      </c>
      <c r="N225" s="8">
        <f>IF(K225="","",IF(K225&gt;Weekly_Budget,"Over budget",IF(K225&gt;Weekly_Budget*0.9,"Close","Within budget")))</f>
        <v>0</v>
      </c>
      <c r="O225" s="7"/>
      <c r="P225" s="27"/>
      <c r="Q225" s="27"/>
      <c r="R225" s="28"/>
      <c r="S225" s="8">
        <f>IF(J225="","",COUNTIFS($J$5:$J$404,"&gt;"&amp;J225)+1)</f>
        <v>0</v>
      </c>
      <c r="T225" s="8">
        <f>IF(OR(A225="",J225=""),"",SUMIFS($J$5:$J$404,$C$5:$C$404,C225,$A$5:$A$404,"&lt;="&amp;A225))</f>
        <v>0</v>
      </c>
      <c r="U225" s="8">
        <f>IF(E225="","",IF(Q225="Yes","On offer","Full price"))</f>
        <v>0</v>
      </c>
      <c r="V225" s="25"/>
    </row>
    <row r="226" spans="1:22">
      <c r="A226" s="30"/>
      <c r="B226" s="8">
        <f>IF(A226="","",A226-WEEKDAY(A226,2)+1)</f>
        <v>0</v>
      </c>
      <c r="C226" s="8">
        <f>IF(A226="","",TEXT(A226,"mmm yyyy"))</f>
        <v>0</v>
      </c>
      <c r="D226" s="27"/>
      <c r="E226" s="7"/>
      <c r="F226" s="8">
        <f>IF(E226="","",IFERROR(INDEX(Ingredients!$B$5:$B$304,MATCH(E226,Ingredients!$A$5:$A$304,0)),""))</f>
        <v>0</v>
      </c>
      <c r="G226" s="26"/>
      <c r="H226" s="27"/>
      <c r="I226" s="28"/>
      <c r="J226" s="8">
        <f>IF(OR(E226="",G226="",I226=""),"",G226*I226)</f>
        <v>0</v>
      </c>
      <c r="K226" s="8">
        <f>IF(OR(A226="",J226=""),"",SUMIFS($J$5:$J$404,$B$5:$B$404,B226))</f>
        <v>0</v>
      </c>
      <c r="L226" s="8">
        <f>IF(OR(J226="",K226="",K226=0),"",J226/K226)</f>
        <v>0</v>
      </c>
      <c r="M226" s="8">
        <f>IF(K226="","",K226-Weekly_Budget)</f>
        <v>0</v>
      </c>
      <c r="N226" s="8">
        <f>IF(K226="","",IF(K226&gt;Weekly_Budget,"Over budget",IF(K226&gt;Weekly_Budget*0.9,"Close","Within budget")))</f>
        <v>0</v>
      </c>
      <c r="O226" s="7"/>
      <c r="P226" s="27"/>
      <c r="Q226" s="27"/>
      <c r="R226" s="28"/>
      <c r="S226" s="8">
        <f>IF(J226="","",COUNTIFS($J$5:$J$404,"&gt;"&amp;J226)+1)</f>
        <v>0</v>
      </c>
      <c r="T226" s="8">
        <f>IF(OR(A226="",J226=""),"",SUMIFS($J$5:$J$404,$C$5:$C$404,C226,$A$5:$A$404,"&lt;="&amp;A226))</f>
        <v>0</v>
      </c>
      <c r="U226" s="8">
        <f>IF(E226="","",IF(Q226="Yes","On offer","Full price"))</f>
        <v>0</v>
      </c>
      <c r="V226" s="25"/>
    </row>
    <row r="227" spans="1:22">
      <c r="A227" s="30"/>
      <c r="B227" s="8">
        <f>IF(A227="","",A227-WEEKDAY(A227,2)+1)</f>
        <v>0</v>
      </c>
      <c r="C227" s="8">
        <f>IF(A227="","",TEXT(A227,"mmm yyyy"))</f>
        <v>0</v>
      </c>
      <c r="D227" s="27"/>
      <c r="E227" s="7"/>
      <c r="F227" s="8">
        <f>IF(E227="","",IFERROR(INDEX(Ingredients!$B$5:$B$304,MATCH(E227,Ingredients!$A$5:$A$304,0)),""))</f>
        <v>0</v>
      </c>
      <c r="G227" s="26"/>
      <c r="H227" s="27"/>
      <c r="I227" s="28"/>
      <c r="J227" s="8">
        <f>IF(OR(E227="",G227="",I227=""),"",G227*I227)</f>
        <v>0</v>
      </c>
      <c r="K227" s="8">
        <f>IF(OR(A227="",J227=""),"",SUMIFS($J$5:$J$404,$B$5:$B$404,B227))</f>
        <v>0</v>
      </c>
      <c r="L227" s="8">
        <f>IF(OR(J227="",K227="",K227=0),"",J227/K227)</f>
        <v>0</v>
      </c>
      <c r="M227" s="8">
        <f>IF(K227="","",K227-Weekly_Budget)</f>
        <v>0</v>
      </c>
      <c r="N227" s="8">
        <f>IF(K227="","",IF(K227&gt;Weekly_Budget,"Over budget",IF(K227&gt;Weekly_Budget*0.9,"Close","Within budget")))</f>
        <v>0</v>
      </c>
      <c r="O227" s="7"/>
      <c r="P227" s="27"/>
      <c r="Q227" s="27"/>
      <c r="R227" s="28"/>
      <c r="S227" s="8">
        <f>IF(J227="","",COUNTIFS($J$5:$J$404,"&gt;"&amp;J227)+1)</f>
        <v>0</v>
      </c>
      <c r="T227" s="8">
        <f>IF(OR(A227="",J227=""),"",SUMIFS($J$5:$J$404,$C$5:$C$404,C227,$A$5:$A$404,"&lt;="&amp;A227))</f>
        <v>0</v>
      </c>
      <c r="U227" s="8">
        <f>IF(E227="","",IF(Q227="Yes","On offer","Full price"))</f>
        <v>0</v>
      </c>
      <c r="V227" s="25"/>
    </row>
    <row r="228" spans="1:22">
      <c r="A228" s="30"/>
      <c r="B228" s="8">
        <f>IF(A228="","",A228-WEEKDAY(A228,2)+1)</f>
        <v>0</v>
      </c>
      <c r="C228" s="8">
        <f>IF(A228="","",TEXT(A228,"mmm yyyy"))</f>
        <v>0</v>
      </c>
      <c r="D228" s="27"/>
      <c r="E228" s="7"/>
      <c r="F228" s="8">
        <f>IF(E228="","",IFERROR(INDEX(Ingredients!$B$5:$B$304,MATCH(E228,Ingredients!$A$5:$A$304,0)),""))</f>
        <v>0</v>
      </c>
      <c r="G228" s="26"/>
      <c r="H228" s="27"/>
      <c r="I228" s="28"/>
      <c r="J228" s="8">
        <f>IF(OR(E228="",G228="",I228=""),"",G228*I228)</f>
        <v>0</v>
      </c>
      <c r="K228" s="8">
        <f>IF(OR(A228="",J228=""),"",SUMIFS($J$5:$J$404,$B$5:$B$404,B228))</f>
        <v>0</v>
      </c>
      <c r="L228" s="8">
        <f>IF(OR(J228="",K228="",K228=0),"",J228/K228)</f>
        <v>0</v>
      </c>
      <c r="M228" s="8">
        <f>IF(K228="","",K228-Weekly_Budget)</f>
        <v>0</v>
      </c>
      <c r="N228" s="8">
        <f>IF(K228="","",IF(K228&gt;Weekly_Budget,"Over budget",IF(K228&gt;Weekly_Budget*0.9,"Close","Within budget")))</f>
        <v>0</v>
      </c>
      <c r="O228" s="7"/>
      <c r="P228" s="27"/>
      <c r="Q228" s="27"/>
      <c r="R228" s="28"/>
      <c r="S228" s="8">
        <f>IF(J228="","",COUNTIFS($J$5:$J$404,"&gt;"&amp;J228)+1)</f>
        <v>0</v>
      </c>
      <c r="T228" s="8">
        <f>IF(OR(A228="",J228=""),"",SUMIFS($J$5:$J$404,$C$5:$C$404,C228,$A$5:$A$404,"&lt;="&amp;A228))</f>
        <v>0</v>
      </c>
      <c r="U228" s="8">
        <f>IF(E228="","",IF(Q228="Yes","On offer","Full price"))</f>
        <v>0</v>
      </c>
      <c r="V228" s="25"/>
    </row>
    <row r="229" spans="1:22">
      <c r="A229" s="30"/>
      <c r="B229" s="8">
        <f>IF(A229="","",A229-WEEKDAY(A229,2)+1)</f>
        <v>0</v>
      </c>
      <c r="C229" s="8">
        <f>IF(A229="","",TEXT(A229,"mmm yyyy"))</f>
        <v>0</v>
      </c>
      <c r="D229" s="27"/>
      <c r="E229" s="7"/>
      <c r="F229" s="8">
        <f>IF(E229="","",IFERROR(INDEX(Ingredients!$B$5:$B$304,MATCH(E229,Ingredients!$A$5:$A$304,0)),""))</f>
        <v>0</v>
      </c>
      <c r="G229" s="26"/>
      <c r="H229" s="27"/>
      <c r="I229" s="28"/>
      <c r="J229" s="8">
        <f>IF(OR(E229="",G229="",I229=""),"",G229*I229)</f>
        <v>0</v>
      </c>
      <c r="K229" s="8">
        <f>IF(OR(A229="",J229=""),"",SUMIFS($J$5:$J$404,$B$5:$B$404,B229))</f>
        <v>0</v>
      </c>
      <c r="L229" s="8">
        <f>IF(OR(J229="",K229="",K229=0),"",J229/K229)</f>
        <v>0</v>
      </c>
      <c r="M229" s="8">
        <f>IF(K229="","",K229-Weekly_Budget)</f>
        <v>0</v>
      </c>
      <c r="N229" s="8">
        <f>IF(K229="","",IF(K229&gt;Weekly_Budget,"Over budget",IF(K229&gt;Weekly_Budget*0.9,"Close","Within budget")))</f>
        <v>0</v>
      </c>
      <c r="O229" s="7"/>
      <c r="P229" s="27"/>
      <c r="Q229" s="27"/>
      <c r="R229" s="28"/>
      <c r="S229" s="8">
        <f>IF(J229="","",COUNTIFS($J$5:$J$404,"&gt;"&amp;J229)+1)</f>
        <v>0</v>
      </c>
      <c r="T229" s="8">
        <f>IF(OR(A229="",J229=""),"",SUMIFS($J$5:$J$404,$C$5:$C$404,C229,$A$5:$A$404,"&lt;="&amp;A229))</f>
        <v>0</v>
      </c>
      <c r="U229" s="8">
        <f>IF(E229="","",IF(Q229="Yes","On offer","Full price"))</f>
        <v>0</v>
      </c>
      <c r="V229" s="25"/>
    </row>
    <row r="230" spans="1:22">
      <c r="A230" s="30"/>
      <c r="B230" s="8">
        <f>IF(A230="","",A230-WEEKDAY(A230,2)+1)</f>
        <v>0</v>
      </c>
      <c r="C230" s="8">
        <f>IF(A230="","",TEXT(A230,"mmm yyyy"))</f>
        <v>0</v>
      </c>
      <c r="D230" s="27"/>
      <c r="E230" s="7"/>
      <c r="F230" s="8">
        <f>IF(E230="","",IFERROR(INDEX(Ingredients!$B$5:$B$304,MATCH(E230,Ingredients!$A$5:$A$304,0)),""))</f>
        <v>0</v>
      </c>
      <c r="G230" s="26"/>
      <c r="H230" s="27"/>
      <c r="I230" s="28"/>
      <c r="J230" s="8">
        <f>IF(OR(E230="",G230="",I230=""),"",G230*I230)</f>
        <v>0</v>
      </c>
      <c r="K230" s="8">
        <f>IF(OR(A230="",J230=""),"",SUMIFS($J$5:$J$404,$B$5:$B$404,B230))</f>
        <v>0</v>
      </c>
      <c r="L230" s="8">
        <f>IF(OR(J230="",K230="",K230=0),"",J230/K230)</f>
        <v>0</v>
      </c>
      <c r="M230" s="8">
        <f>IF(K230="","",K230-Weekly_Budget)</f>
        <v>0</v>
      </c>
      <c r="N230" s="8">
        <f>IF(K230="","",IF(K230&gt;Weekly_Budget,"Over budget",IF(K230&gt;Weekly_Budget*0.9,"Close","Within budget")))</f>
        <v>0</v>
      </c>
      <c r="O230" s="7"/>
      <c r="P230" s="27"/>
      <c r="Q230" s="27"/>
      <c r="R230" s="28"/>
      <c r="S230" s="8">
        <f>IF(J230="","",COUNTIFS($J$5:$J$404,"&gt;"&amp;J230)+1)</f>
        <v>0</v>
      </c>
      <c r="T230" s="8">
        <f>IF(OR(A230="",J230=""),"",SUMIFS($J$5:$J$404,$C$5:$C$404,C230,$A$5:$A$404,"&lt;="&amp;A230))</f>
        <v>0</v>
      </c>
      <c r="U230" s="8">
        <f>IF(E230="","",IF(Q230="Yes","On offer","Full price"))</f>
        <v>0</v>
      </c>
      <c r="V230" s="25"/>
    </row>
    <row r="231" spans="1:22">
      <c r="A231" s="30"/>
      <c r="B231" s="8">
        <f>IF(A231="","",A231-WEEKDAY(A231,2)+1)</f>
        <v>0</v>
      </c>
      <c r="C231" s="8">
        <f>IF(A231="","",TEXT(A231,"mmm yyyy"))</f>
        <v>0</v>
      </c>
      <c r="D231" s="27"/>
      <c r="E231" s="7"/>
      <c r="F231" s="8">
        <f>IF(E231="","",IFERROR(INDEX(Ingredients!$B$5:$B$304,MATCH(E231,Ingredients!$A$5:$A$304,0)),""))</f>
        <v>0</v>
      </c>
      <c r="G231" s="26"/>
      <c r="H231" s="27"/>
      <c r="I231" s="28"/>
      <c r="J231" s="8">
        <f>IF(OR(E231="",G231="",I231=""),"",G231*I231)</f>
        <v>0</v>
      </c>
      <c r="K231" s="8">
        <f>IF(OR(A231="",J231=""),"",SUMIFS($J$5:$J$404,$B$5:$B$404,B231))</f>
        <v>0</v>
      </c>
      <c r="L231" s="8">
        <f>IF(OR(J231="",K231="",K231=0),"",J231/K231)</f>
        <v>0</v>
      </c>
      <c r="M231" s="8">
        <f>IF(K231="","",K231-Weekly_Budget)</f>
        <v>0</v>
      </c>
      <c r="N231" s="8">
        <f>IF(K231="","",IF(K231&gt;Weekly_Budget,"Over budget",IF(K231&gt;Weekly_Budget*0.9,"Close","Within budget")))</f>
        <v>0</v>
      </c>
      <c r="O231" s="7"/>
      <c r="P231" s="27"/>
      <c r="Q231" s="27"/>
      <c r="R231" s="28"/>
      <c r="S231" s="8">
        <f>IF(J231="","",COUNTIFS($J$5:$J$404,"&gt;"&amp;J231)+1)</f>
        <v>0</v>
      </c>
      <c r="T231" s="8">
        <f>IF(OR(A231="",J231=""),"",SUMIFS($J$5:$J$404,$C$5:$C$404,C231,$A$5:$A$404,"&lt;="&amp;A231))</f>
        <v>0</v>
      </c>
      <c r="U231" s="8">
        <f>IF(E231="","",IF(Q231="Yes","On offer","Full price"))</f>
        <v>0</v>
      </c>
      <c r="V231" s="25"/>
    </row>
    <row r="232" spans="1:22">
      <c r="A232" s="30"/>
      <c r="B232" s="8">
        <f>IF(A232="","",A232-WEEKDAY(A232,2)+1)</f>
        <v>0</v>
      </c>
      <c r="C232" s="8">
        <f>IF(A232="","",TEXT(A232,"mmm yyyy"))</f>
        <v>0</v>
      </c>
      <c r="D232" s="27"/>
      <c r="E232" s="7"/>
      <c r="F232" s="8">
        <f>IF(E232="","",IFERROR(INDEX(Ingredients!$B$5:$B$304,MATCH(E232,Ingredients!$A$5:$A$304,0)),""))</f>
        <v>0</v>
      </c>
      <c r="G232" s="26"/>
      <c r="H232" s="27"/>
      <c r="I232" s="28"/>
      <c r="J232" s="8">
        <f>IF(OR(E232="",G232="",I232=""),"",G232*I232)</f>
        <v>0</v>
      </c>
      <c r="K232" s="8">
        <f>IF(OR(A232="",J232=""),"",SUMIFS($J$5:$J$404,$B$5:$B$404,B232))</f>
        <v>0</v>
      </c>
      <c r="L232" s="8">
        <f>IF(OR(J232="",K232="",K232=0),"",J232/K232)</f>
        <v>0</v>
      </c>
      <c r="M232" s="8">
        <f>IF(K232="","",K232-Weekly_Budget)</f>
        <v>0</v>
      </c>
      <c r="N232" s="8">
        <f>IF(K232="","",IF(K232&gt;Weekly_Budget,"Over budget",IF(K232&gt;Weekly_Budget*0.9,"Close","Within budget")))</f>
        <v>0</v>
      </c>
      <c r="O232" s="7"/>
      <c r="P232" s="27"/>
      <c r="Q232" s="27"/>
      <c r="R232" s="28"/>
      <c r="S232" s="8">
        <f>IF(J232="","",COUNTIFS($J$5:$J$404,"&gt;"&amp;J232)+1)</f>
        <v>0</v>
      </c>
      <c r="T232" s="8">
        <f>IF(OR(A232="",J232=""),"",SUMIFS($J$5:$J$404,$C$5:$C$404,C232,$A$5:$A$404,"&lt;="&amp;A232))</f>
        <v>0</v>
      </c>
      <c r="U232" s="8">
        <f>IF(E232="","",IF(Q232="Yes","On offer","Full price"))</f>
        <v>0</v>
      </c>
      <c r="V232" s="25"/>
    </row>
    <row r="233" spans="1:22">
      <c r="A233" s="30"/>
      <c r="B233" s="8">
        <f>IF(A233="","",A233-WEEKDAY(A233,2)+1)</f>
        <v>0</v>
      </c>
      <c r="C233" s="8">
        <f>IF(A233="","",TEXT(A233,"mmm yyyy"))</f>
        <v>0</v>
      </c>
      <c r="D233" s="27"/>
      <c r="E233" s="7"/>
      <c r="F233" s="8">
        <f>IF(E233="","",IFERROR(INDEX(Ingredients!$B$5:$B$304,MATCH(E233,Ingredients!$A$5:$A$304,0)),""))</f>
        <v>0</v>
      </c>
      <c r="G233" s="26"/>
      <c r="H233" s="27"/>
      <c r="I233" s="28"/>
      <c r="J233" s="8">
        <f>IF(OR(E233="",G233="",I233=""),"",G233*I233)</f>
        <v>0</v>
      </c>
      <c r="K233" s="8">
        <f>IF(OR(A233="",J233=""),"",SUMIFS($J$5:$J$404,$B$5:$B$404,B233))</f>
        <v>0</v>
      </c>
      <c r="L233" s="8">
        <f>IF(OR(J233="",K233="",K233=0),"",J233/K233)</f>
        <v>0</v>
      </c>
      <c r="M233" s="8">
        <f>IF(K233="","",K233-Weekly_Budget)</f>
        <v>0</v>
      </c>
      <c r="N233" s="8">
        <f>IF(K233="","",IF(K233&gt;Weekly_Budget,"Over budget",IF(K233&gt;Weekly_Budget*0.9,"Close","Within budget")))</f>
        <v>0</v>
      </c>
      <c r="O233" s="7"/>
      <c r="P233" s="27"/>
      <c r="Q233" s="27"/>
      <c r="R233" s="28"/>
      <c r="S233" s="8">
        <f>IF(J233="","",COUNTIFS($J$5:$J$404,"&gt;"&amp;J233)+1)</f>
        <v>0</v>
      </c>
      <c r="T233" s="8">
        <f>IF(OR(A233="",J233=""),"",SUMIFS($J$5:$J$404,$C$5:$C$404,C233,$A$5:$A$404,"&lt;="&amp;A233))</f>
        <v>0</v>
      </c>
      <c r="U233" s="8">
        <f>IF(E233="","",IF(Q233="Yes","On offer","Full price"))</f>
        <v>0</v>
      </c>
      <c r="V233" s="25"/>
    </row>
    <row r="234" spans="1:22">
      <c r="A234" s="30"/>
      <c r="B234" s="8">
        <f>IF(A234="","",A234-WEEKDAY(A234,2)+1)</f>
        <v>0</v>
      </c>
      <c r="C234" s="8">
        <f>IF(A234="","",TEXT(A234,"mmm yyyy"))</f>
        <v>0</v>
      </c>
      <c r="D234" s="27"/>
      <c r="E234" s="7"/>
      <c r="F234" s="8">
        <f>IF(E234="","",IFERROR(INDEX(Ingredients!$B$5:$B$304,MATCH(E234,Ingredients!$A$5:$A$304,0)),""))</f>
        <v>0</v>
      </c>
      <c r="G234" s="26"/>
      <c r="H234" s="27"/>
      <c r="I234" s="28"/>
      <c r="J234" s="8">
        <f>IF(OR(E234="",G234="",I234=""),"",G234*I234)</f>
        <v>0</v>
      </c>
      <c r="K234" s="8">
        <f>IF(OR(A234="",J234=""),"",SUMIFS($J$5:$J$404,$B$5:$B$404,B234))</f>
        <v>0</v>
      </c>
      <c r="L234" s="8">
        <f>IF(OR(J234="",K234="",K234=0),"",J234/K234)</f>
        <v>0</v>
      </c>
      <c r="M234" s="8">
        <f>IF(K234="","",K234-Weekly_Budget)</f>
        <v>0</v>
      </c>
      <c r="N234" s="8">
        <f>IF(K234="","",IF(K234&gt;Weekly_Budget,"Over budget",IF(K234&gt;Weekly_Budget*0.9,"Close","Within budget")))</f>
        <v>0</v>
      </c>
      <c r="O234" s="7"/>
      <c r="P234" s="27"/>
      <c r="Q234" s="27"/>
      <c r="R234" s="28"/>
      <c r="S234" s="8">
        <f>IF(J234="","",COUNTIFS($J$5:$J$404,"&gt;"&amp;J234)+1)</f>
        <v>0</v>
      </c>
      <c r="T234" s="8">
        <f>IF(OR(A234="",J234=""),"",SUMIFS($J$5:$J$404,$C$5:$C$404,C234,$A$5:$A$404,"&lt;="&amp;A234))</f>
        <v>0</v>
      </c>
      <c r="U234" s="8">
        <f>IF(E234="","",IF(Q234="Yes","On offer","Full price"))</f>
        <v>0</v>
      </c>
      <c r="V234" s="25"/>
    </row>
    <row r="235" spans="1:22">
      <c r="A235" s="30"/>
      <c r="B235" s="8">
        <f>IF(A235="","",A235-WEEKDAY(A235,2)+1)</f>
        <v>0</v>
      </c>
      <c r="C235" s="8">
        <f>IF(A235="","",TEXT(A235,"mmm yyyy"))</f>
        <v>0</v>
      </c>
      <c r="D235" s="27"/>
      <c r="E235" s="7"/>
      <c r="F235" s="8">
        <f>IF(E235="","",IFERROR(INDEX(Ingredients!$B$5:$B$304,MATCH(E235,Ingredients!$A$5:$A$304,0)),""))</f>
        <v>0</v>
      </c>
      <c r="G235" s="26"/>
      <c r="H235" s="27"/>
      <c r="I235" s="28"/>
      <c r="J235" s="8">
        <f>IF(OR(E235="",G235="",I235=""),"",G235*I235)</f>
        <v>0</v>
      </c>
      <c r="K235" s="8">
        <f>IF(OR(A235="",J235=""),"",SUMIFS($J$5:$J$404,$B$5:$B$404,B235))</f>
        <v>0</v>
      </c>
      <c r="L235" s="8">
        <f>IF(OR(J235="",K235="",K235=0),"",J235/K235)</f>
        <v>0</v>
      </c>
      <c r="M235" s="8">
        <f>IF(K235="","",K235-Weekly_Budget)</f>
        <v>0</v>
      </c>
      <c r="N235" s="8">
        <f>IF(K235="","",IF(K235&gt;Weekly_Budget,"Over budget",IF(K235&gt;Weekly_Budget*0.9,"Close","Within budget")))</f>
        <v>0</v>
      </c>
      <c r="O235" s="7"/>
      <c r="P235" s="27"/>
      <c r="Q235" s="27"/>
      <c r="R235" s="28"/>
      <c r="S235" s="8">
        <f>IF(J235="","",COUNTIFS($J$5:$J$404,"&gt;"&amp;J235)+1)</f>
        <v>0</v>
      </c>
      <c r="T235" s="8">
        <f>IF(OR(A235="",J235=""),"",SUMIFS($J$5:$J$404,$C$5:$C$404,C235,$A$5:$A$404,"&lt;="&amp;A235))</f>
        <v>0</v>
      </c>
      <c r="U235" s="8">
        <f>IF(E235="","",IF(Q235="Yes","On offer","Full price"))</f>
        <v>0</v>
      </c>
      <c r="V235" s="25"/>
    </row>
    <row r="236" spans="1:22">
      <c r="A236" s="30"/>
      <c r="B236" s="8">
        <f>IF(A236="","",A236-WEEKDAY(A236,2)+1)</f>
        <v>0</v>
      </c>
      <c r="C236" s="8">
        <f>IF(A236="","",TEXT(A236,"mmm yyyy"))</f>
        <v>0</v>
      </c>
      <c r="D236" s="27"/>
      <c r="E236" s="7"/>
      <c r="F236" s="8">
        <f>IF(E236="","",IFERROR(INDEX(Ingredients!$B$5:$B$304,MATCH(E236,Ingredients!$A$5:$A$304,0)),""))</f>
        <v>0</v>
      </c>
      <c r="G236" s="26"/>
      <c r="H236" s="27"/>
      <c r="I236" s="28"/>
      <c r="J236" s="8">
        <f>IF(OR(E236="",G236="",I236=""),"",G236*I236)</f>
        <v>0</v>
      </c>
      <c r="K236" s="8">
        <f>IF(OR(A236="",J236=""),"",SUMIFS($J$5:$J$404,$B$5:$B$404,B236))</f>
        <v>0</v>
      </c>
      <c r="L236" s="8">
        <f>IF(OR(J236="",K236="",K236=0),"",J236/K236)</f>
        <v>0</v>
      </c>
      <c r="M236" s="8">
        <f>IF(K236="","",K236-Weekly_Budget)</f>
        <v>0</v>
      </c>
      <c r="N236" s="8">
        <f>IF(K236="","",IF(K236&gt;Weekly_Budget,"Over budget",IF(K236&gt;Weekly_Budget*0.9,"Close","Within budget")))</f>
        <v>0</v>
      </c>
      <c r="O236" s="7"/>
      <c r="P236" s="27"/>
      <c r="Q236" s="27"/>
      <c r="R236" s="28"/>
      <c r="S236" s="8">
        <f>IF(J236="","",COUNTIFS($J$5:$J$404,"&gt;"&amp;J236)+1)</f>
        <v>0</v>
      </c>
      <c r="T236" s="8">
        <f>IF(OR(A236="",J236=""),"",SUMIFS($J$5:$J$404,$C$5:$C$404,C236,$A$5:$A$404,"&lt;="&amp;A236))</f>
        <v>0</v>
      </c>
      <c r="U236" s="8">
        <f>IF(E236="","",IF(Q236="Yes","On offer","Full price"))</f>
        <v>0</v>
      </c>
      <c r="V236" s="25"/>
    </row>
    <row r="237" spans="1:22">
      <c r="A237" s="30"/>
      <c r="B237" s="8">
        <f>IF(A237="","",A237-WEEKDAY(A237,2)+1)</f>
        <v>0</v>
      </c>
      <c r="C237" s="8">
        <f>IF(A237="","",TEXT(A237,"mmm yyyy"))</f>
        <v>0</v>
      </c>
      <c r="D237" s="27"/>
      <c r="E237" s="7"/>
      <c r="F237" s="8">
        <f>IF(E237="","",IFERROR(INDEX(Ingredients!$B$5:$B$304,MATCH(E237,Ingredients!$A$5:$A$304,0)),""))</f>
        <v>0</v>
      </c>
      <c r="G237" s="26"/>
      <c r="H237" s="27"/>
      <c r="I237" s="28"/>
      <c r="J237" s="8">
        <f>IF(OR(E237="",G237="",I237=""),"",G237*I237)</f>
        <v>0</v>
      </c>
      <c r="K237" s="8">
        <f>IF(OR(A237="",J237=""),"",SUMIFS($J$5:$J$404,$B$5:$B$404,B237))</f>
        <v>0</v>
      </c>
      <c r="L237" s="8">
        <f>IF(OR(J237="",K237="",K237=0),"",J237/K237)</f>
        <v>0</v>
      </c>
      <c r="M237" s="8">
        <f>IF(K237="","",K237-Weekly_Budget)</f>
        <v>0</v>
      </c>
      <c r="N237" s="8">
        <f>IF(K237="","",IF(K237&gt;Weekly_Budget,"Over budget",IF(K237&gt;Weekly_Budget*0.9,"Close","Within budget")))</f>
        <v>0</v>
      </c>
      <c r="O237" s="7"/>
      <c r="P237" s="27"/>
      <c r="Q237" s="27"/>
      <c r="R237" s="28"/>
      <c r="S237" s="8">
        <f>IF(J237="","",COUNTIFS($J$5:$J$404,"&gt;"&amp;J237)+1)</f>
        <v>0</v>
      </c>
      <c r="T237" s="8">
        <f>IF(OR(A237="",J237=""),"",SUMIFS($J$5:$J$404,$C$5:$C$404,C237,$A$5:$A$404,"&lt;="&amp;A237))</f>
        <v>0</v>
      </c>
      <c r="U237" s="8">
        <f>IF(E237="","",IF(Q237="Yes","On offer","Full price"))</f>
        <v>0</v>
      </c>
      <c r="V237" s="25"/>
    </row>
    <row r="238" spans="1:22">
      <c r="A238" s="30"/>
      <c r="B238" s="8">
        <f>IF(A238="","",A238-WEEKDAY(A238,2)+1)</f>
        <v>0</v>
      </c>
      <c r="C238" s="8">
        <f>IF(A238="","",TEXT(A238,"mmm yyyy"))</f>
        <v>0</v>
      </c>
      <c r="D238" s="27"/>
      <c r="E238" s="7"/>
      <c r="F238" s="8">
        <f>IF(E238="","",IFERROR(INDEX(Ingredients!$B$5:$B$304,MATCH(E238,Ingredients!$A$5:$A$304,0)),""))</f>
        <v>0</v>
      </c>
      <c r="G238" s="26"/>
      <c r="H238" s="27"/>
      <c r="I238" s="28"/>
      <c r="J238" s="8">
        <f>IF(OR(E238="",G238="",I238=""),"",G238*I238)</f>
        <v>0</v>
      </c>
      <c r="K238" s="8">
        <f>IF(OR(A238="",J238=""),"",SUMIFS($J$5:$J$404,$B$5:$B$404,B238))</f>
        <v>0</v>
      </c>
      <c r="L238" s="8">
        <f>IF(OR(J238="",K238="",K238=0),"",J238/K238)</f>
        <v>0</v>
      </c>
      <c r="M238" s="8">
        <f>IF(K238="","",K238-Weekly_Budget)</f>
        <v>0</v>
      </c>
      <c r="N238" s="8">
        <f>IF(K238="","",IF(K238&gt;Weekly_Budget,"Over budget",IF(K238&gt;Weekly_Budget*0.9,"Close","Within budget")))</f>
        <v>0</v>
      </c>
      <c r="O238" s="7"/>
      <c r="P238" s="27"/>
      <c r="Q238" s="27"/>
      <c r="R238" s="28"/>
      <c r="S238" s="8">
        <f>IF(J238="","",COUNTIFS($J$5:$J$404,"&gt;"&amp;J238)+1)</f>
        <v>0</v>
      </c>
      <c r="T238" s="8">
        <f>IF(OR(A238="",J238=""),"",SUMIFS($J$5:$J$404,$C$5:$C$404,C238,$A$5:$A$404,"&lt;="&amp;A238))</f>
        <v>0</v>
      </c>
      <c r="U238" s="8">
        <f>IF(E238="","",IF(Q238="Yes","On offer","Full price"))</f>
        <v>0</v>
      </c>
      <c r="V238" s="25"/>
    </row>
    <row r="239" spans="1:22">
      <c r="A239" s="30"/>
      <c r="B239" s="8">
        <f>IF(A239="","",A239-WEEKDAY(A239,2)+1)</f>
        <v>0</v>
      </c>
      <c r="C239" s="8">
        <f>IF(A239="","",TEXT(A239,"mmm yyyy"))</f>
        <v>0</v>
      </c>
      <c r="D239" s="27"/>
      <c r="E239" s="7"/>
      <c r="F239" s="8">
        <f>IF(E239="","",IFERROR(INDEX(Ingredients!$B$5:$B$304,MATCH(E239,Ingredients!$A$5:$A$304,0)),""))</f>
        <v>0</v>
      </c>
      <c r="G239" s="26"/>
      <c r="H239" s="27"/>
      <c r="I239" s="28"/>
      <c r="J239" s="8">
        <f>IF(OR(E239="",G239="",I239=""),"",G239*I239)</f>
        <v>0</v>
      </c>
      <c r="K239" s="8">
        <f>IF(OR(A239="",J239=""),"",SUMIFS($J$5:$J$404,$B$5:$B$404,B239))</f>
        <v>0</v>
      </c>
      <c r="L239" s="8">
        <f>IF(OR(J239="",K239="",K239=0),"",J239/K239)</f>
        <v>0</v>
      </c>
      <c r="M239" s="8">
        <f>IF(K239="","",K239-Weekly_Budget)</f>
        <v>0</v>
      </c>
      <c r="N239" s="8">
        <f>IF(K239="","",IF(K239&gt;Weekly_Budget,"Over budget",IF(K239&gt;Weekly_Budget*0.9,"Close","Within budget")))</f>
        <v>0</v>
      </c>
      <c r="O239" s="7"/>
      <c r="P239" s="27"/>
      <c r="Q239" s="27"/>
      <c r="R239" s="28"/>
      <c r="S239" s="8">
        <f>IF(J239="","",COUNTIFS($J$5:$J$404,"&gt;"&amp;J239)+1)</f>
        <v>0</v>
      </c>
      <c r="T239" s="8">
        <f>IF(OR(A239="",J239=""),"",SUMIFS($J$5:$J$404,$C$5:$C$404,C239,$A$5:$A$404,"&lt;="&amp;A239))</f>
        <v>0</v>
      </c>
      <c r="U239" s="8">
        <f>IF(E239="","",IF(Q239="Yes","On offer","Full price"))</f>
        <v>0</v>
      </c>
      <c r="V239" s="25"/>
    </row>
    <row r="240" spans="1:22">
      <c r="A240" s="30"/>
      <c r="B240" s="8">
        <f>IF(A240="","",A240-WEEKDAY(A240,2)+1)</f>
        <v>0</v>
      </c>
      <c r="C240" s="8">
        <f>IF(A240="","",TEXT(A240,"mmm yyyy"))</f>
        <v>0</v>
      </c>
      <c r="D240" s="27"/>
      <c r="E240" s="7"/>
      <c r="F240" s="8">
        <f>IF(E240="","",IFERROR(INDEX(Ingredients!$B$5:$B$304,MATCH(E240,Ingredients!$A$5:$A$304,0)),""))</f>
        <v>0</v>
      </c>
      <c r="G240" s="26"/>
      <c r="H240" s="27"/>
      <c r="I240" s="28"/>
      <c r="J240" s="8">
        <f>IF(OR(E240="",G240="",I240=""),"",G240*I240)</f>
        <v>0</v>
      </c>
      <c r="K240" s="8">
        <f>IF(OR(A240="",J240=""),"",SUMIFS($J$5:$J$404,$B$5:$B$404,B240))</f>
        <v>0</v>
      </c>
      <c r="L240" s="8">
        <f>IF(OR(J240="",K240="",K240=0),"",J240/K240)</f>
        <v>0</v>
      </c>
      <c r="M240" s="8">
        <f>IF(K240="","",K240-Weekly_Budget)</f>
        <v>0</v>
      </c>
      <c r="N240" s="8">
        <f>IF(K240="","",IF(K240&gt;Weekly_Budget,"Over budget",IF(K240&gt;Weekly_Budget*0.9,"Close","Within budget")))</f>
        <v>0</v>
      </c>
      <c r="O240" s="7"/>
      <c r="P240" s="27"/>
      <c r="Q240" s="27"/>
      <c r="R240" s="28"/>
      <c r="S240" s="8">
        <f>IF(J240="","",COUNTIFS($J$5:$J$404,"&gt;"&amp;J240)+1)</f>
        <v>0</v>
      </c>
      <c r="T240" s="8">
        <f>IF(OR(A240="",J240=""),"",SUMIFS($J$5:$J$404,$C$5:$C$404,C240,$A$5:$A$404,"&lt;="&amp;A240))</f>
        <v>0</v>
      </c>
      <c r="U240" s="8">
        <f>IF(E240="","",IF(Q240="Yes","On offer","Full price"))</f>
        <v>0</v>
      </c>
      <c r="V240" s="25"/>
    </row>
    <row r="241" spans="1:22">
      <c r="A241" s="30"/>
      <c r="B241" s="8">
        <f>IF(A241="","",A241-WEEKDAY(A241,2)+1)</f>
        <v>0</v>
      </c>
      <c r="C241" s="8">
        <f>IF(A241="","",TEXT(A241,"mmm yyyy"))</f>
        <v>0</v>
      </c>
      <c r="D241" s="27"/>
      <c r="E241" s="7"/>
      <c r="F241" s="8">
        <f>IF(E241="","",IFERROR(INDEX(Ingredients!$B$5:$B$304,MATCH(E241,Ingredients!$A$5:$A$304,0)),""))</f>
        <v>0</v>
      </c>
      <c r="G241" s="26"/>
      <c r="H241" s="27"/>
      <c r="I241" s="28"/>
      <c r="J241" s="8">
        <f>IF(OR(E241="",G241="",I241=""),"",G241*I241)</f>
        <v>0</v>
      </c>
      <c r="K241" s="8">
        <f>IF(OR(A241="",J241=""),"",SUMIFS($J$5:$J$404,$B$5:$B$404,B241))</f>
        <v>0</v>
      </c>
      <c r="L241" s="8">
        <f>IF(OR(J241="",K241="",K241=0),"",J241/K241)</f>
        <v>0</v>
      </c>
      <c r="M241" s="8">
        <f>IF(K241="","",K241-Weekly_Budget)</f>
        <v>0</v>
      </c>
      <c r="N241" s="8">
        <f>IF(K241="","",IF(K241&gt;Weekly_Budget,"Over budget",IF(K241&gt;Weekly_Budget*0.9,"Close","Within budget")))</f>
        <v>0</v>
      </c>
      <c r="O241" s="7"/>
      <c r="P241" s="27"/>
      <c r="Q241" s="27"/>
      <c r="R241" s="28"/>
      <c r="S241" s="8">
        <f>IF(J241="","",COUNTIFS($J$5:$J$404,"&gt;"&amp;J241)+1)</f>
        <v>0</v>
      </c>
      <c r="T241" s="8">
        <f>IF(OR(A241="",J241=""),"",SUMIFS($J$5:$J$404,$C$5:$C$404,C241,$A$5:$A$404,"&lt;="&amp;A241))</f>
        <v>0</v>
      </c>
      <c r="U241" s="8">
        <f>IF(E241="","",IF(Q241="Yes","On offer","Full price"))</f>
        <v>0</v>
      </c>
      <c r="V241" s="25"/>
    </row>
    <row r="242" spans="1:22">
      <c r="A242" s="30"/>
      <c r="B242" s="8">
        <f>IF(A242="","",A242-WEEKDAY(A242,2)+1)</f>
        <v>0</v>
      </c>
      <c r="C242" s="8">
        <f>IF(A242="","",TEXT(A242,"mmm yyyy"))</f>
        <v>0</v>
      </c>
      <c r="D242" s="27"/>
      <c r="E242" s="7"/>
      <c r="F242" s="8">
        <f>IF(E242="","",IFERROR(INDEX(Ingredients!$B$5:$B$304,MATCH(E242,Ingredients!$A$5:$A$304,0)),""))</f>
        <v>0</v>
      </c>
      <c r="G242" s="26"/>
      <c r="H242" s="27"/>
      <c r="I242" s="28"/>
      <c r="J242" s="8">
        <f>IF(OR(E242="",G242="",I242=""),"",G242*I242)</f>
        <v>0</v>
      </c>
      <c r="K242" s="8">
        <f>IF(OR(A242="",J242=""),"",SUMIFS($J$5:$J$404,$B$5:$B$404,B242))</f>
        <v>0</v>
      </c>
      <c r="L242" s="8">
        <f>IF(OR(J242="",K242="",K242=0),"",J242/K242)</f>
        <v>0</v>
      </c>
      <c r="M242" s="8">
        <f>IF(K242="","",K242-Weekly_Budget)</f>
        <v>0</v>
      </c>
      <c r="N242" s="8">
        <f>IF(K242="","",IF(K242&gt;Weekly_Budget,"Over budget",IF(K242&gt;Weekly_Budget*0.9,"Close","Within budget")))</f>
        <v>0</v>
      </c>
      <c r="O242" s="7"/>
      <c r="P242" s="27"/>
      <c r="Q242" s="27"/>
      <c r="R242" s="28"/>
      <c r="S242" s="8">
        <f>IF(J242="","",COUNTIFS($J$5:$J$404,"&gt;"&amp;J242)+1)</f>
        <v>0</v>
      </c>
      <c r="T242" s="8">
        <f>IF(OR(A242="",J242=""),"",SUMIFS($J$5:$J$404,$C$5:$C$404,C242,$A$5:$A$404,"&lt;="&amp;A242))</f>
        <v>0</v>
      </c>
      <c r="U242" s="8">
        <f>IF(E242="","",IF(Q242="Yes","On offer","Full price"))</f>
        <v>0</v>
      </c>
      <c r="V242" s="25"/>
    </row>
    <row r="243" spans="1:22">
      <c r="A243" s="30"/>
      <c r="B243" s="8">
        <f>IF(A243="","",A243-WEEKDAY(A243,2)+1)</f>
        <v>0</v>
      </c>
      <c r="C243" s="8">
        <f>IF(A243="","",TEXT(A243,"mmm yyyy"))</f>
        <v>0</v>
      </c>
      <c r="D243" s="27"/>
      <c r="E243" s="7"/>
      <c r="F243" s="8">
        <f>IF(E243="","",IFERROR(INDEX(Ingredients!$B$5:$B$304,MATCH(E243,Ingredients!$A$5:$A$304,0)),""))</f>
        <v>0</v>
      </c>
      <c r="G243" s="26"/>
      <c r="H243" s="27"/>
      <c r="I243" s="28"/>
      <c r="J243" s="8">
        <f>IF(OR(E243="",G243="",I243=""),"",G243*I243)</f>
        <v>0</v>
      </c>
      <c r="K243" s="8">
        <f>IF(OR(A243="",J243=""),"",SUMIFS($J$5:$J$404,$B$5:$B$404,B243))</f>
        <v>0</v>
      </c>
      <c r="L243" s="8">
        <f>IF(OR(J243="",K243="",K243=0),"",J243/K243)</f>
        <v>0</v>
      </c>
      <c r="M243" s="8">
        <f>IF(K243="","",K243-Weekly_Budget)</f>
        <v>0</v>
      </c>
      <c r="N243" s="8">
        <f>IF(K243="","",IF(K243&gt;Weekly_Budget,"Over budget",IF(K243&gt;Weekly_Budget*0.9,"Close","Within budget")))</f>
        <v>0</v>
      </c>
      <c r="O243" s="7"/>
      <c r="P243" s="27"/>
      <c r="Q243" s="27"/>
      <c r="R243" s="28"/>
      <c r="S243" s="8">
        <f>IF(J243="","",COUNTIFS($J$5:$J$404,"&gt;"&amp;J243)+1)</f>
        <v>0</v>
      </c>
      <c r="T243" s="8">
        <f>IF(OR(A243="",J243=""),"",SUMIFS($J$5:$J$404,$C$5:$C$404,C243,$A$5:$A$404,"&lt;="&amp;A243))</f>
        <v>0</v>
      </c>
      <c r="U243" s="8">
        <f>IF(E243="","",IF(Q243="Yes","On offer","Full price"))</f>
        <v>0</v>
      </c>
      <c r="V243" s="25"/>
    </row>
    <row r="244" spans="1:22">
      <c r="A244" s="30"/>
      <c r="B244" s="8">
        <f>IF(A244="","",A244-WEEKDAY(A244,2)+1)</f>
        <v>0</v>
      </c>
      <c r="C244" s="8">
        <f>IF(A244="","",TEXT(A244,"mmm yyyy"))</f>
        <v>0</v>
      </c>
      <c r="D244" s="27"/>
      <c r="E244" s="7"/>
      <c r="F244" s="8">
        <f>IF(E244="","",IFERROR(INDEX(Ingredients!$B$5:$B$304,MATCH(E244,Ingredients!$A$5:$A$304,0)),""))</f>
        <v>0</v>
      </c>
      <c r="G244" s="26"/>
      <c r="H244" s="27"/>
      <c r="I244" s="28"/>
      <c r="J244" s="8">
        <f>IF(OR(E244="",G244="",I244=""),"",G244*I244)</f>
        <v>0</v>
      </c>
      <c r="K244" s="8">
        <f>IF(OR(A244="",J244=""),"",SUMIFS($J$5:$J$404,$B$5:$B$404,B244))</f>
        <v>0</v>
      </c>
      <c r="L244" s="8">
        <f>IF(OR(J244="",K244="",K244=0),"",J244/K244)</f>
        <v>0</v>
      </c>
      <c r="M244" s="8">
        <f>IF(K244="","",K244-Weekly_Budget)</f>
        <v>0</v>
      </c>
      <c r="N244" s="8">
        <f>IF(K244="","",IF(K244&gt;Weekly_Budget,"Over budget",IF(K244&gt;Weekly_Budget*0.9,"Close","Within budget")))</f>
        <v>0</v>
      </c>
      <c r="O244" s="7"/>
      <c r="P244" s="27"/>
      <c r="Q244" s="27"/>
      <c r="R244" s="28"/>
      <c r="S244" s="8">
        <f>IF(J244="","",COUNTIFS($J$5:$J$404,"&gt;"&amp;J244)+1)</f>
        <v>0</v>
      </c>
      <c r="T244" s="8">
        <f>IF(OR(A244="",J244=""),"",SUMIFS($J$5:$J$404,$C$5:$C$404,C244,$A$5:$A$404,"&lt;="&amp;A244))</f>
        <v>0</v>
      </c>
      <c r="U244" s="8">
        <f>IF(E244="","",IF(Q244="Yes","On offer","Full price"))</f>
        <v>0</v>
      </c>
      <c r="V244" s="25"/>
    </row>
    <row r="245" spans="1:22">
      <c r="A245" s="30"/>
      <c r="B245" s="8">
        <f>IF(A245="","",A245-WEEKDAY(A245,2)+1)</f>
        <v>0</v>
      </c>
      <c r="C245" s="8">
        <f>IF(A245="","",TEXT(A245,"mmm yyyy"))</f>
        <v>0</v>
      </c>
      <c r="D245" s="27"/>
      <c r="E245" s="7"/>
      <c r="F245" s="8">
        <f>IF(E245="","",IFERROR(INDEX(Ingredients!$B$5:$B$304,MATCH(E245,Ingredients!$A$5:$A$304,0)),""))</f>
        <v>0</v>
      </c>
      <c r="G245" s="26"/>
      <c r="H245" s="27"/>
      <c r="I245" s="28"/>
      <c r="J245" s="8">
        <f>IF(OR(E245="",G245="",I245=""),"",G245*I245)</f>
        <v>0</v>
      </c>
      <c r="K245" s="8">
        <f>IF(OR(A245="",J245=""),"",SUMIFS($J$5:$J$404,$B$5:$B$404,B245))</f>
        <v>0</v>
      </c>
      <c r="L245" s="8">
        <f>IF(OR(J245="",K245="",K245=0),"",J245/K245)</f>
        <v>0</v>
      </c>
      <c r="M245" s="8">
        <f>IF(K245="","",K245-Weekly_Budget)</f>
        <v>0</v>
      </c>
      <c r="N245" s="8">
        <f>IF(K245="","",IF(K245&gt;Weekly_Budget,"Over budget",IF(K245&gt;Weekly_Budget*0.9,"Close","Within budget")))</f>
        <v>0</v>
      </c>
      <c r="O245" s="7"/>
      <c r="P245" s="27"/>
      <c r="Q245" s="27"/>
      <c r="R245" s="28"/>
      <c r="S245" s="8">
        <f>IF(J245="","",COUNTIFS($J$5:$J$404,"&gt;"&amp;J245)+1)</f>
        <v>0</v>
      </c>
      <c r="T245" s="8">
        <f>IF(OR(A245="",J245=""),"",SUMIFS($J$5:$J$404,$C$5:$C$404,C245,$A$5:$A$404,"&lt;="&amp;A245))</f>
        <v>0</v>
      </c>
      <c r="U245" s="8">
        <f>IF(E245="","",IF(Q245="Yes","On offer","Full price"))</f>
        <v>0</v>
      </c>
      <c r="V245" s="25"/>
    </row>
    <row r="246" spans="1:22">
      <c r="A246" s="30"/>
      <c r="B246" s="8">
        <f>IF(A246="","",A246-WEEKDAY(A246,2)+1)</f>
        <v>0</v>
      </c>
      <c r="C246" s="8">
        <f>IF(A246="","",TEXT(A246,"mmm yyyy"))</f>
        <v>0</v>
      </c>
      <c r="D246" s="27"/>
      <c r="E246" s="7"/>
      <c r="F246" s="8">
        <f>IF(E246="","",IFERROR(INDEX(Ingredients!$B$5:$B$304,MATCH(E246,Ingredients!$A$5:$A$304,0)),""))</f>
        <v>0</v>
      </c>
      <c r="G246" s="26"/>
      <c r="H246" s="27"/>
      <c r="I246" s="28"/>
      <c r="J246" s="8">
        <f>IF(OR(E246="",G246="",I246=""),"",G246*I246)</f>
        <v>0</v>
      </c>
      <c r="K246" s="8">
        <f>IF(OR(A246="",J246=""),"",SUMIFS($J$5:$J$404,$B$5:$B$404,B246))</f>
        <v>0</v>
      </c>
      <c r="L246" s="8">
        <f>IF(OR(J246="",K246="",K246=0),"",J246/K246)</f>
        <v>0</v>
      </c>
      <c r="M246" s="8">
        <f>IF(K246="","",K246-Weekly_Budget)</f>
        <v>0</v>
      </c>
      <c r="N246" s="8">
        <f>IF(K246="","",IF(K246&gt;Weekly_Budget,"Over budget",IF(K246&gt;Weekly_Budget*0.9,"Close","Within budget")))</f>
        <v>0</v>
      </c>
      <c r="O246" s="7"/>
      <c r="P246" s="27"/>
      <c r="Q246" s="27"/>
      <c r="R246" s="28"/>
      <c r="S246" s="8">
        <f>IF(J246="","",COUNTIFS($J$5:$J$404,"&gt;"&amp;J246)+1)</f>
        <v>0</v>
      </c>
      <c r="T246" s="8">
        <f>IF(OR(A246="",J246=""),"",SUMIFS($J$5:$J$404,$C$5:$C$404,C246,$A$5:$A$404,"&lt;="&amp;A246))</f>
        <v>0</v>
      </c>
      <c r="U246" s="8">
        <f>IF(E246="","",IF(Q246="Yes","On offer","Full price"))</f>
        <v>0</v>
      </c>
      <c r="V246" s="25"/>
    </row>
    <row r="247" spans="1:22">
      <c r="A247" s="30"/>
      <c r="B247" s="8">
        <f>IF(A247="","",A247-WEEKDAY(A247,2)+1)</f>
        <v>0</v>
      </c>
      <c r="C247" s="8">
        <f>IF(A247="","",TEXT(A247,"mmm yyyy"))</f>
        <v>0</v>
      </c>
      <c r="D247" s="27"/>
      <c r="E247" s="7"/>
      <c r="F247" s="8">
        <f>IF(E247="","",IFERROR(INDEX(Ingredients!$B$5:$B$304,MATCH(E247,Ingredients!$A$5:$A$304,0)),""))</f>
        <v>0</v>
      </c>
      <c r="G247" s="26"/>
      <c r="H247" s="27"/>
      <c r="I247" s="28"/>
      <c r="J247" s="8">
        <f>IF(OR(E247="",G247="",I247=""),"",G247*I247)</f>
        <v>0</v>
      </c>
      <c r="K247" s="8">
        <f>IF(OR(A247="",J247=""),"",SUMIFS($J$5:$J$404,$B$5:$B$404,B247))</f>
        <v>0</v>
      </c>
      <c r="L247" s="8">
        <f>IF(OR(J247="",K247="",K247=0),"",J247/K247)</f>
        <v>0</v>
      </c>
      <c r="M247" s="8">
        <f>IF(K247="","",K247-Weekly_Budget)</f>
        <v>0</v>
      </c>
      <c r="N247" s="8">
        <f>IF(K247="","",IF(K247&gt;Weekly_Budget,"Over budget",IF(K247&gt;Weekly_Budget*0.9,"Close","Within budget")))</f>
        <v>0</v>
      </c>
      <c r="O247" s="7"/>
      <c r="P247" s="27"/>
      <c r="Q247" s="27"/>
      <c r="R247" s="28"/>
      <c r="S247" s="8">
        <f>IF(J247="","",COUNTIFS($J$5:$J$404,"&gt;"&amp;J247)+1)</f>
        <v>0</v>
      </c>
      <c r="T247" s="8">
        <f>IF(OR(A247="",J247=""),"",SUMIFS($J$5:$J$404,$C$5:$C$404,C247,$A$5:$A$404,"&lt;="&amp;A247))</f>
        <v>0</v>
      </c>
      <c r="U247" s="8">
        <f>IF(E247="","",IF(Q247="Yes","On offer","Full price"))</f>
        <v>0</v>
      </c>
      <c r="V247" s="25"/>
    </row>
    <row r="248" spans="1:22">
      <c r="A248" s="30"/>
      <c r="B248" s="8">
        <f>IF(A248="","",A248-WEEKDAY(A248,2)+1)</f>
        <v>0</v>
      </c>
      <c r="C248" s="8">
        <f>IF(A248="","",TEXT(A248,"mmm yyyy"))</f>
        <v>0</v>
      </c>
      <c r="D248" s="27"/>
      <c r="E248" s="7"/>
      <c r="F248" s="8">
        <f>IF(E248="","",IFERROR(INDEX(Ingredients!$B$5:$B$304,MATCH(E248,Ingredients!$A$5:$A$304,0)),""))</f>
        <v>0</v>
      </c>
      <c r="G248" s="26"/>
      <c r="H248" s="27"/>
      <c r="I248" s="28"/>
      <c r="J248" s="8">
        <f>IF(OR(E248="",G248="",I248=""),"",G248*I248)</f>
        <v>0</v>
      </c>
      <c r="K248" s="8">
        <f>IF(OR(A248="",J248=""),"",SUMIFS($J$5:$J$404,$B$5:$B$404,B248))</f>
        <v>0</v>
      </c>
      <c r="L248" s="8">
        <f>IF(OR(J248="",K248="",K248=0),"",J248/K248)</f>
        <v>0</v>
      </c>
      <c r="M248" s="8">
        <f>IF(K248="","",K248-Weekly_Budget)</f>
        <v>0</v>
      </c>
      <c r="N248" s="8">
        <f>IF(K248="","",IF(K248&gt;Weekly_Budget,"Over budget",IF(K248&gt;Weekly_Budget*0.9,"Close","Within budget")))</f>
        <v>0</v>
      </c>
      <c r="O248" s="7"/>
      <c r="P248" s="27"/>
      <c r="Q248" s="27"/>
      <c r="R248" s="28"/>
      <c r="S248" s="8">
        <f>IF(J248="","",COUNTIFS($J$5:$J$404,"&gt;"&amp;J248)+1)</f>
        <v>0</v>
      </c>
      <c r="T248" s="8">
        <f>IF(OR(A248="",J248=""),"",SUMIFS($J$5:$J$404,$C$5:$C$404,C248,$A$5:$A$404,"&lt;="&amp;A248))</f>
        <v>0</v>
      </c>
      <c r="U248" s="8">
        <f>IF(E248="","",IF(Q248="Yes","On offer","Full price"))</f>
        <v>0</v>
      </c>
      <c r="V248" s="25"/>
    </row>
    <row r="249" spans="1:22">
      <c r="A249" s="30"/>
      <c r="B249" s="8">
        <f>IF(A249="","",A249-WEEKDAY(A249,2)+1)</f>
        <v>0</v>
      </c>
      <c r="C249" s="8">
        <f>IF(A249="","",TEXT(A249,"mmm yyyy"))</f>
        <v>0</v>
      </c>
      <c r="D249" s="27"/>
      <c r="E249" s="7"/>
      <c r="F249" s="8">
        <f>IF(E249="","",IFERROR(INDEX(Ingredients!$B$5:$B$304,MATCH(E249,Ingredients!$A$5:$A$304,0)),""))</f>
        <v>0</v>
      </c>
      <c r="G249" s="26"/>
      <c r="H249" s="27"/>
      <c r="I249" s="28"/>
      <c r="J249" s="8">
        <f>IF(OR(E249="",G249="",I249=""),"",G249*I249)</f>
        <v>0</v>
      </c>
      <c r="K249" s="8">
        <f>IF(OR(A249="",J249=""),"",SUMIFS($J$5:$J$404,$B$5:$B$404,B249))</f>
        <v>0</v>
      </c>
      <c r="L249" s="8">
        <f>IF(OR(J249="",K249="",K249=0),"",J249/K249)</f>
        <v>0</v>
      </c>
      <c r="M249" s="8">
        <f>IF(K249="","",K249-Weekly_Budget)</f>
        <v>0</v>
      </c>
      <c r="N249" s="8">
        <f>IF(K249="","",IF(K249&gt;Weekly_Budget,"Over budget",IF(K249&gt;Weekly_Budget*0.9,"Close","Within budget")))</f>
        <v>0</v>
      </c>
      <c r="O249" s="7"/>
      <c r="P249" s="27"/>
      <c r="Q249" s="27"/>
      <c r="R249" s="28"/>
      <c r="S249" s="8">
        <f>IF(J249="","",COUNTIFS($J$5:$J$404,"&gt;"&amp;J249)+1)</f>
        <v>0</v>
      </c>
      <c r="T249" s="8">
        <f>IF(OR(A249="",J249=""),"",SUMIFS($J$5:$J$404,$C$5:$C$404,C249,$A$5:$A$404,"&lt;="&amp;A249))</f>
        <v>0</v>
      </c>
      <c r="U249" s="8">
        <f>IF(E249="","",IF(Q249="Yes","On offer","Full price"))</f>
        <v>0</v>
      </c>
      <c r="V249" s="25"/>
    </row>
    <row r="250" spans="1:22">
      <c r="A250" s="30"/>
      <c r="B250" s="8">
        <f>IF(A250="","",A250-WEEKDAY(A250,2)+1)</f>
        <v>0</v>
      </c>
      <c r="C250" s="8">
        <f>IF(A250="","",TEXT(A250,"mmm yyyy"))</f>
        <v>0</v>
      </c>
      <c r="D250" s="27"/>
      <c r="E250" s="7"/>
      <c r="F250" s="8">
        <f>IF(E250="","",IFERROR(INDEX(Ingredients!$B$5:$B$304,MATCH(E250,Ingredients!$A$5:$A$304,0)),""))</f>
        <v>0</v>
      </c>
      <c r="G250" s="26"/>
      <c r="H250" s="27"/>
      <c r="I250" s="28"/>
      <c r="J250" s="8">
        <f>IF(OR(E250="",G250="",I250=""),"",G250*I250)</f>
        <v>0</v>
      </c>
      <c r="K250" s="8">
        <f>IF(OR(A250="",J250=""),"",SUMIFS($J$5:$J$404,$B$5:$B$404,B250))</f>
        <v>0</v>
      </c>
      <c r="L250" s="8">
        <f>IF(OR(J250="",K250="",K250=0),"",J250/K250)</f>
        <v>0</v>
      </c>
      <c r="M250" s="8">
        <f>IF(K250="","",K250-Weekly_Budget)</f>
        <v>0</v>
      </c>
      <c r="N250" s="8">
        <f>IF(K250="","",IF(K250&gt;Weekly_Budget,"Over budget",IF(K250&gt;Weekly_Budget*0.9,"Close","Within budget")))</f>
        <v>0</v>
      </c>
      <c r="O250" s="7"/>
      <c r="P250" s="27"/>
      <c r="Q250" s="27"/>
      <c r="R250" s="28"/>
      <c r="S250" s="8">
        <f>IF(J250="","",COUNTIFS($J$5:$J$404,"&gt;"&amp;J250)+1)</f>
        <v>0</v>
      </c>
      <c r="T250" s="8">
        <f>IF(OR(A250="",J250=""),"",SUMIFS($J$5:$J$404,$C$5:$C$404,C250,$A$5:$A$404,"&lt;="&amp;A250))</f>
        <v>0</v>
      </c>
      <c r="U250" s="8">
        <f>IF(E250="","",IF(Q250="Yes","On offer","Full price"))</f>
        <v>0</v>
      </c>
      <c r="V250" s="25"/>
    </row>
    <row r="251" spans="1:22">
      <c r="A251" s="30"/>
      <c r="B251" s="8">
        <f>IF(A251="","",A251-WEEKDAY(A251,2)+1)</f>
        <v>0</v>
      </c>
      <c r="C251" s="8">
        <f>IF(A251="","",TEXT(A251,"mmm yyyy"))</f>
        <v>0</v>
      </c>
      <c r="D251" s="27"/>
      <c r="E251" s="7"/>
      <c r="F251" s="8">
        <f>IF(E251="","",IFERROR(INDEX(Ingredients!$B$5:$B$304,MATCH(E251,Ingredients!$A$5:$A$304,0)),""))</f>
        <v>0</v>
      </c>
      <c r="G251" s="26"/>
      <c r="H251" s="27"/>
      <c r="I251" s="28"/>
      <c r="J251" s="8">
        <f>IF(OR(E251="",G251="",I251=""),"",G251*I251)</f>
        <v>0</v>
      </c>
      <c r="K251" s="8">
        <f>IF(OR(A251="",J251=""),"",SUMIFS($J$5:$J$404,$B$5:$B$404,B251))</f>
        <v>0</v>
      </c>
      <c r="L251" s="8">
        <f>IF(OR(J251="",K251="",K251=0),"",J251/K251)</f>
        <v>0</v>
      </c>
      <c r="M251" s="8">
        <f>IF(K251="","",K251-Weekly_Budget)</f>
        <v>0</v>
      </c>
      <c r="N251" s="8">
        <f>IF(K251="","",IF(K251&gt;Weekly_Budget,"Over budget",IF(K251&gt;Weekly_Budget*0.9,"Close","Within budget")))</f>
        <v>0</v>
      </c>
      <c r="O251" s="7"/>
      <c r="P251" s="27"/>
      <c r="Q251" s="27"/>
      <c r="R251" s="28"/>
      <c r="S251" s="8">
        <f>IF(J251="","",COUNTIFS($J$5:$J$404,"&gt;"&amp;J251)+1)</f>
        <v>0</v>
      </c>
      <c r="T251" s="8">
        <f>IF(OR(A251="",J251=""),"",SUMIFS($J$5:$J$404,$C$5:$C$404,C251,$A$5:$A$404,"&lt;="&amp;A251))</f>
        <v>0</v>
      </c>
      <c r="U251" s="8">
        <f>IF(E251="","",IF(Q251="Yes","On offer","Full price"))</f>
        <v>0</v>
      </c>
      <c r="V251" s="25"/>
    </row>
    <row r="252" spans="1:22">
      <c r="A252" s="30"/>
      <c r="B252" s="8">
        <f>IF(A252="","",A252-WEEKDAY(A252,2)+1)</f>
        <v>0</v>
      </c>
      <c r="C252" s="8">
        <f>IF(A252="","",TEXT(A252,"mmm yyyy"))</f>
        <v>0</v>
      </c>
      <c r="D252" s="27"/>
      <c r="E252" s="7"/>
      <c r="F252" s="8">
        <f>IF(E252="","",IFERROR(INDEX(Ingredients!$B$5:$B$304,MATCH(E252,Ingredients!$A$5:$A$304,0)),""))</f>
        <v>0</v>
      </c>
      <c r="G252" s="26"/>
      <c r="H252" s="27"/>
      <c r="I252" s="28"/>
      <c r="J252" s="8">
        <f>IF(OR(E252="",G252="",I252=""),"",G252*I252)</f>
        <v>0</v>
      </c>
      <c r="K252" s="8">
        <f>IF(OR(A252="",J252=""),"",SUMIFS($J$5:$J$404,$B$5:$B$404,B252))</f>
        <v>0</v>
      </c>
      <c r="L252" s="8">
        <f>IF(OR(J252="",K252="",K252=0),"",J252/K252)</f>
        <v>0</v>
      </c>
      <c r="M252" s="8">
        <f>IF(K252="","",K252-Weekly_Budget)</f>
        <v>0</v>
      </c>
      <c r="N252" s="8">
        <f>IF(K252="","",IF(K252&gt;Weekly_Budget,"Over budget",IF(K252&gt;Weekly_Budget*0.9,"Close","Within budget")))</f>
        <v>0</v>
      </c>
      <c r="O252" s="7"/>
      <c r="P252" s="27"/>
      <c r="Q252" s="27"/>
      <c r="R252" s="28"/>
      <c r="S252" s="8">
        <f>IF(J252="","",COUNTIFS($J$5:$J$404,"&gt;"&amp;J252)+1)</f>
        <v>0</v>
      </c>
      <c r="T252" s="8">
        <f>IF(OR(A252="",J252=""),"",SUMIFS($J$5:$J$404,$C$5:$C$404,C252,$A$5:$A$404,"&lt;="&amp;A252))</f>
        <v>0</v>
      </c>
      <c r="U252" s="8">
        <f>IF(E252="","",IF(Q252="Yes","On offer","Full price"))</f>
        <v>0</v>
      </c>
      <c r="V252" s="25"/>
    </row>
    <row r="253" spans="1:22">
      <c r="A253" s="30"/>
      <c r="B253" s="8">
        <f>IF(A253="","",A253-WEEKDAY(A253,2)+1)</f>
        <v>0</v>
      </c>
      <c r="C253" s="8">
        <f>IF(A253="","",TEXT(A253,"mmm yyyy"))</f>
        <v>0</v>
      </c>
      <c r="D253" s="27"/>
      <c r="E253" s="7"/>
      <c r="F253" s="8">
        <f>IF(E253="","",IFERROR(INDEX(Ingredients!$B$5:$B$304,MATCH(E253,Ingredients!$A$5:$A$304,0)),""))</f>
        <v>0</v>
      </c>
      <c r="G253" s="26"/>
      <c r="H253" s="27"/>
      <c r="I253" s="28"/>
      <c r="J253" s="8">
        <f>IF(OR(E253="",G253="",I253=""),"",G253*I253)</f>
        <v>0</v>
      </c>
      <c r="K253" s="8">
        <f>IF(OR(A253="",J253=""),"",SUMIFS($J$5:$J$404,$B$5:$B$404,B253))</f>
        <v>0</v>
      </c>
      <c r="L253" s="8">
        <f>IF(OR(J253="",K253="",K253=0),"",J253/K253)</f>
        <v>0</v>
      </c>
      <c r="M253" s="8">
        <f>IF(K253="","",K253-Weekly_Budget)</f>
        <v>0</v>
      </c>
      <c r="N253" s="8">
        <f>IF(K253="","",IF(K253&gt;Weekly_Budget,"Over budget",IF(K253&gt;Weekly_Budget*0.9,"Close","Within budget")))</f>
        <v>0</v>
      </c>
      <c r="O253" s="7"/>
      <c r="P253" s="27"/>
      <c r="Q253" s="27"/>
      <c r="R253" s="28"/>
      <c r="S253" s="8">
        <f>IF(J253="","",COUNTIFS($J$5:$J$404,"&gt;"&amp;J253)+1)</f>
        <v>0</v>
      </c>
      <c r="T253" s="8">
        <f>IF(OR(A253="",J253=""),"",SUMIFS($J$5:$J$404,$C$5:$C$404,C253,$A$5:$A$404,"&lt;="&amp;A253))</f>
        <v>0</v>
      </c>
      <c r="U253" s="8">
        <f>IF(E253="","",IF(Q253="Yes","On offer","Full price"))</f>
        <v>0</v>
      </c>
      <c r="V253" s="25"/>
    </row>
    <row r="254" spans="1:22">
      <c r="A254" s="30"/>
      <c r="B254" s="8">
        <f>IF(A254="","",A254-WEEKDAY(A254,2)+1)</f>
        <v>0</v>
      </c>
      <c r="C254" s="8">
        <f>IF(A254="","",TEXT(A254,"mmm yyyy"))</f>
        <v>0</v>
      </c>
      <c r="D254" s="27"/>
      <c r="E254" s="7"/>
      <c r="F254" s="8">
        <f>IF(E254="","",IFERROR(INDEX(Ingredients!$B$5:$B$304,MATCH(E254,Ingredients!$A$5:$A$304,0)),""))</f>
        <v>0</v>
      </c>
      <c r="G254" s="26"/>
      <c r="H254" s="27"/>
      <c r="I254" s="28"/>
      <c r="J254" s="8">
        <f>IF(OR(E254="",G254="",I254=""),"",G254*I254)</f>
        <v>0</v>
      </c>
      <c r="K254" s="8">
        <f>IF(OR(A254="",J254=""),"",SUMIFS($J$5:$J$404,$B$5:$B$404,B254))</f>
        <v>0</v>
      </c>
      <c r="L254" s="8">
        <f>IF(OR(J254="",K254="",K254=0),"",J254/K254)</f>
        <v>0</v>
      </c>
      <c r="M254" s="8">
        <f>IF(K254="","",K254-Weekly_Budget)</f>
        <v>0</v>
      </c>
      <c r="N254" s="8">
        <f>IF(K254="","",IF(K254&gt;Weekly_Budget,"Over budget",IF(K254&gt;Weekly_Budget*0.9,"Close","Within budget")))</f>
        <v>0</v>
      </c>
      <c r="O254" s="7"/>
      <c r="P254" s="27"/>
      <c r="Q254" s="27"/>
      <c r="R254" s="28"/>
      <c r="S254" s="8">
        <f>IF(J254="","",COUNTIFS($J$5:$J$404,"&gt;"&amp;J254)+1)</f>
        <v>0</v>
      </c>
      <c r="T254" s="8">
        <f>IF(OR(A254="",J254=""),"",SUMIFS($J$5:$J$404,$C$5:$C$404,C254,$A$5:$A$404,"&lt;="&amp;A254))</f>
        <v>0</v>
      </c>
      <c r="U254" s="8">
        <f>IF(E254="","",IF(Q254="Yes","On offer","Full price"))</f>
        <v>0</v>
      </c>
      <c r="V254" s="25"/>
    </row>
    <row r="255" spans="1:22">
      <c r="A255" s="30"/>
      <c r="B255" s="8">
        <f>IF(A255="","",A255-WEEKDAY(A255,2)+1)</f>
        <v>0</v>
      </c>
      <c r="C255" s="8">
        <f>IF(A255="","",TEXT(A255,"mmm yyyy"))</f>
        <v>0</v>
      </c>
      <c r="D255" s="27"/>
      <c r="E255" s="7"/>
      <c r="F255" s="8">
        <f>IF(E255="","",IFERROR(INDEX(Ingredients!$B$5:$B$304,MATCH(E255,Ingredients!$A$5:$A$304,0)),""))</f>
        <v>0</v>
      </c>
      <c r="G255" s="26"/>
      <c r="H255" s="27"/>
      <c r="I255" s="28"/>
      <c r="J255" s="8">
        <f>IF(OR(E255="",G255="",I255=""),"",G255*I255)</f>
        <v>0</v>
      </c>
      <c r="K255" s="8">
        <f>IF(OR(A255="",J255=""),"",SUMIFS($J$5:$J$404,$B$5:$B$404,B255))</f>
        <v>0</v>
      </c>
      <c r="L255" s="8">
        <f>IF(OR(J255="",K255="",K255=0),"",J255/K255)</f>
        <v>0</v>
      </c>
      <c r="M255" s="8">
        <f>IF(K255="","",K255-Weekly_Budget)</f>
        <v>0</v>
      </c>
      <c r="N255" s="8">
        <f>IF(K255="","",IF(K255&gt;Weekly_Budget,"Over budget",IF(K255&gt;Weekly_Budget*0.9,"Close","Within budget")))</f>
        <v>0</v>
      </c>
      <c r="O255" s="7"/>
      <c r="P255" s="27"/>
      <c r="Q255" s="27"/>
      <c r="R255" s="28"/>
      <c r="S255" s="8">
        <f>IF(J255="","",COUNTIFS($J$5:$J$404,"&gt;"&amp;J255)+1)</f>
        <v>0</v>
      </c>
      <c r="T255" s="8">
        <f>IF(OR(A255="",J255=""),"",SUMIFS($J$5:$J$404,$C$5:$C$404,C255,$A$5:$A$404,"&lt;="&amp;A255))</f>
        <v>0</v>
      </c>
      <c r="U255" s="8">
        <f>IF(E255="","",IF(Q255="Yes","On offer","Full price"))</f>
        <v>0</v>
      </c>
      <c r="V255" s="25"/>
    </row>
    <row r="256" spans="1:22">
      <c r="A256" s="30"/>
      <c r="B256" s="8">
        <f>IF(A256="","",A256-WEEKDAY(A256,2)+1)</f>
        <v>0</v>
      </c>
      <c r="C256" s="8">
        <f>IF(A256="","",TEXT(A256,"mmm yyyy"))</f>
        <v>0</v>
      </c>
      <c r="D256" s="27"/>
      <c r="E256" s="7"/>
      <c r="F256" s="8">
        <f>IF(E256="","",IFERROR(INDEX(Ingredients!$B$5:$B$304,MATCH(E256,Ingredients!$A$5:$A$304,0)),""))</f>
        <v>0</v>
      </c>
      <c r="G256" s="26"/>
      <c r="H256" s="27"/>
      <c r="I256" s="28"/>
      <c r="J256" s="8">
        <f>IF(OR(E256="",G256="",I256=""),"",G256*I256)</f>
        <v>0</v>
      </c>
      <c r="K256" s="8">
        <f>IF(OR(A256="",J256=""),"",SUMIFS($J$5:$J$404,$B$5:$B$404,B256))</f>
        <v>0</v>
      </c>
      <c r="L256" s="8">
        <f>IF(OR(J256="",K256="",K256=0),"",J256/K256)</f>
        <v>0</v>
      </c>
      <c r="M256" s="8">
        <f>IF(K256="","",K256-Weekly_Budget)</f>
        <v>0</v>
      </c>
      <c r="N256" s="8">
        <f>IF(K256="","",IF(K256&gt;Weekly_Budget,"Over budget",IF(K256&gt;Weekly_Budget*0.9,"Close","Within budget")))</f>
        <v>0</v>
      </c>
      <c r="O256" s="7"/>
      <c r="P256" s="27"/>
      <c r="Q256" s="27"/>
      <c r="R256" s="28"/>
      <c r="S256" s="8">
        <f>IF(J256="","",COUNTIFS($J$5:$J$404,"&gt;"&amp;J256)+1)</f>
        <v>0</v>
      </c>
      <c r="T256" s="8">
        <f>IF(OR(A256="",J256=""),"",SUMIFS($J$5:$J$404,$C$5:$C$404,C256,$A$5:$A$404,"&lt;="&amp;A256))</f>
        <v>0</v>
      </c>
      <c r="U256" s="8">
        <f>IF(E256="","",IF(Q256="Yes","On offer","Full price"))</f>
        <v>0</v>
      </c>
      <c r="V256" s="25"/>
    </row>
    <row r="257" spans="1:22">
      <c r="A257" s="30"/>
      <c r="B257" s="8">
        <f>IF(A257="","",A257-WEEKDAY(A257,2)+1)</f>
        <v>0</v>
      </c>
      <c r="C257" s="8">
        <f>IF(A257="","",TEXT(A257,"mmm yyyy"))</f>
        <v>0</v>
      </c>
      <c r="D257" s="27"/>
      <c r="E257" s="7"/>
      <c r="F257" s="8">
        <f>IF(E257="","",IFERROR(INDEX(Ingredients!$B$5:$B$304,MATCH(E257,Ingredients!$A$5:$A$304,0)),""))</f>
        <v>0</v>
      </c>
      <c r="G257" s="26"/>
      <c r="H257" s="27"/>
      <c r="I257" s="28"/>
      <c r="J257" s="8">
        <f>IF(OR(E257="",G257="",I257=""),"",G257*I257)</f>
        <v>0</v>
      </c>
      <c r="K257" s="8">
        <f>IF(OR(A257="",J257=""),"",SUMIFS($J$5:$J$404,$B$5:$B$404,B257))</f>
        <v>0</v>
      </c>
      <c r="L257" s="8">
        <f>IF(OR(J257="",K257="",K257=0),"",J257/K257)</f>
        <v>0</v>
      </c>
      <c r="M257" s="8">
        <f>IF(K257="","",K257-Weekly_Budget)</f>
        <v>0</v>
      </c>
      <c r="N257" s="8">
        <f>IF(K257="","",IF(K257&gt;Weekly_Budget,"Over budget",IF(K257&gt;Weekly_Budget*0.9,"Close","Within budget")))</f>
        <v>0</v>
      </c>
      <c r="O257" s="7"/>
      <c r="P257" s="27"/>
      <c r="Q257" s="27"/>
      <c r="R257" s="28"/>
      <c r="S257" s="8">
        <f>IF(J257="","",COUNTIFS($J$5:$J$404,"&gt;"&amp;J257)+1)</f>
        <v>0</v>
      </c>
      <c r="T257" s="8">
        <f>IF(OR(A257="",J257=""),"",SUMIFS($J$5:$J$404,$C$5:$C$404,C257,$A$5:$A$404,"&lt;="&amp;A257))</f>
        <v>0</v>
      </c>
      <c r="U257" s="8">
        <f>IF(E257="","",IF(Q257="Yes","On offer","Full price"))</f>
        <v>0</v>
      </c>
      <c r="V257" s="25"/>
    </row>
    <row r="258" spans="1:22">
      <c r="A258" s="30"/>
      <c r="B258" s="8">
        <f>IF(A258="","",A258-WEEKDAY(A258,2)+1)</f>
        <v>0</v>
      </c>
      <c r="C258" s="8">
        <f>IF(A258="","",TEXT(A258,"mmm yyyy"))</f>
        <v>0</v>
      </c>
      <c r="D258" s="27"/>
      <c r="E258" s="7"/>
      <c r="F258" s="8">
        <f>IF(E258="","",IFERROR(INDEX(Ingredients!$B$5:$B$304,MATCH(E258,Ingredients!$A$5:$A$304,0)),""))</f>
        <v>0</v>
      </c>
      <c r="G258" s="26"/>
      <c r="H258" s="27"/>
      <c r="I258" s="28"/>
      <c r="J258" s="8">
        <f>IF(OR(E258="",G258="",I258=""),"",G258*I258)</f>
        <v>0</v>
      </c>
      <c r="K258" s="8">
        <f>IF(OR(A258="",J258=""),"",SUMIFS($J$5:$J$404,$B$5:$B$404,B258))</f>
        <v>0</v>
      </c>
      <c r="L258" s="8">
        <f>IF(OR(J258="",K258="",K258=0),"",J258/K258)</f>
        <v>0</v>
      </c>
      <c r="M258" s="8">
        <f>IF(K258="","",K258-Weekly_Budget)</f>
        <v>0</v>
      </c>
      <c r="N258" s="8">
        <f>IF(K258="","",IF(K258&gt;Weekly_Budget,"Over budget",IF(K258&gt;Weekly_Budget*0.9,"Close","Within budget")))</f>
        <v>0</v>
      </c>
      <c r="O258" s="7"/>
      <c r="P258" s="27"/>
      <c r="Q258" s="27"/>
      <c r="R258" s="28"/>
      <c r="S258" s="8">
        <f>IF(J258="","",COUNTIFS($J$5:$J$404,"&gt;"&amp;J258)+1)</f>
        <v>0</v>
      </c>
      <c r="T258" s="8">
        <f>IF(OR(A258="",J258=""),"",SUMIFS($J$5:$J$404,$C$5:$C$404,C258,$A$5:$A$404,"&lt;="&amp;A258))</f>
        <v>0</v>
      </c>
      <c r="U258" s="8">
        <f>IF(E258="","",IF(Q258="Yes","On offer","Full price"))</f>
        <v>0</v>
      </c>
      <c r="V258" s="25"/>
    </row>
    <row r="259" spans="1:22">
      <c r="A259" s="30"/>
      <c r="B259" s="8">
        <f>IF(A259="","",A259-WEEKDAY(A259,2)+1)</f>
        <v>0</v>
      </c>
      <c r="C259" s="8">
        <f>IF(A259="","",TEXT(A259,"mmm yyyy"))</f>
        <v>0</v>
      </c>
      <c r="D259" s="27"/>
      <c r="E259" s="7"/>
      <c r="F259" s="8">
        <f>IF(E259="","",IFERROR(INDEX(Ingredients!$B$5:$B$304,MATCH(E259,Ingredients!$A$5:$A$304,0)),""))</f>
        <v>0</v>
      </c>
      <c r="G259" s="26"/>
      <c r="H259" s="27"/>
      <c r="I259" s="28"/>
      <c r="J259" s="8">
        <f>IF(OR(E259="",G259="",I259=""),"",G259*I259)</f>
        <v>0</v>
      </c>
      <c r="K259" s="8">
        <f>IF(OR(A259="",J259=""),"",SUMIFS($J$5:$J$404,$B$5:$B$404,B259))</f>
        <v>0</v>
      </c>
      <c r="L259" s="8">
        <f>IF(OR(J259="",K259="",K259=0),"",J259/K259)</f>
        <v>0</v>
      </c>
      <c r="M259" s="8">
        <f>IF(K259="","",K259-Weekly_Budget)</f>
        <v>0</v>
      </c>
      <c r="N259" s="8">
        <f>IF(K259="","",IF(K259&gt;Weekly_Budget,"Over budget",IF(K259&gt;Weekly_Budget*0.9,"Close","Within budget")))</f>
        <v>0</v>
      </c>
      <c r="O259" s="7"/>
      <c r="P259" s="27"/>
      <c r="Q259" s="27"/>
      <c r="R259" s="28"/>
      <c r="S259" s="8">
        <f>IF(J259="","",COUNTIFS($J$5:$J$404,"&gt;"&amp;J259)+1)</f>
        <v>0</v>
      </c>
      <c r="T259" s="8">
        <f>IF(OR(A259="",J259=""),"",SUMIFS($J$5:$J$404,$C$5:$C$404,C259,$A$5:$A$404,"&lt;="&amp;A259))</f>
        <v>0</v>
      </c>
      <c r="U259" s="8">
        <f>IF(E259="","",IF(Q259="Yes","On offer","Full price"))</f>
        <v>0</v>
      </c>
      <c r="V259" s="25"/>
    </row>
    <row r="260" spans="1:22">
      <c r="A260" s="30"/>
      <c r="B260" s="8">
        <f>IF(A260="","",A260-WEEKDAY(A260,2)+1)</f>
        <v>0</v>
      </c>
      <c r="C260" s="8">
        <f>IF(A260="","",TEXT(A260,"mmm yyyy"))</f>
        <v>0</v>
      </c>
      <c r="D260" s="27"/>
      <c r="E260" s="7"/>
      <c r="F260" s="8">
        <f>IF(E260="","",IFERROR(INDEX(Ingredients!$B$5:$B$304,MATCH(E260,Ingredients!$A$5:$A$304,0)),""))</f>
        <v>0</v>
      </c>
      <c r="G260" s="26"/>
      <c r="H260" s="27"/>
      <c r="I260" s="28"/>
      <c r="J260" s="8">
        <f>IF(OR(E260="",G260="",I260=""),"",G260*I260)</f>
        <v>0</v>
      </c>
      <c r="K260" s="8">
        <f>IF(OR(A260="",J260=""),"",SUMIFS($J$5:$J$404,$B$5:$B$404,B260))</f>
        <v>0</v>
      </c>
      <c r="L260" s="8">
        <f>IF(OR(J260="",K260="",K260=0),"",J260/K260)</f>
        <v>0</v>
      </c>
      <c r="M260" s="8">
        <f>IF(K260="","",K260-Weekly_Budget)</f>
        <v>0</v>
      </c>
      <c r="N260" s="8">
        <f>IF(K260="","",IF(K260&gt;Weekly_Budget,"Over budget",IF(K260&gt;Weekly_Budget*0.9,"Close","Within budget")))</f>
        <v>0</v>
      </c>
      <c r="O260" s="7"/>
      <c r="P260" s="27"/>
      <c r="Q260" s="27"/>
      <c r="R260" s="28"/>
      <c r="S260" s="8">
        <f>IF(J260="","",COUNTIFS($J$5:$J$404,"&gt;"&amp;J260)+1)</f>
        <v>0</v>
      </c>
      <c r="T260" s="8">
        <f>IF(OR(A260="",J260=""),"",SUMIFS($J$5:$J$404,$C$5:$C$404,C260,$A$5:$A$404,"&lt;="&amp;A260))</f>
        <v>0</v>
      </c>
      <c r="U260" s="8">
        <f>IF(E260="","",IF(Q260="Yes","On offer","Full price"))</f>
        <v>0</v>
      </c>
      <c r="V260" s="25"/>
    </row>
    <row r="261" spans="1:22">
      <c r="A261" s="30"/>
      <c r="B261" s="8">
        <f>IF(A261="","",A261-WEEKDAY(A261,2)+1)</f>
        <v>0</v>
      </c>
      <c r="C261" s="8">
        <f>IF(A261="","",TEXT(A261,"mmm yyyy"))</f>
        <v>0</v>
      </c>
      <c r="D261" s="27"/>
      <c r="E261" s="7"/>
      <c r="F261" s="8">
        <f>IF(E261="","",IFERROR(INDEX(Ingredients!$B$5:$B$304,MATCH(E261,Ingredients!$A$5:$A$304,0)),""))</f>
        <v>0</v>
      </c>
      <c r="G261" s="26"/>
      <c r="H261" s="27"/>
      <c r="I261" s="28"/>
      <c r="J261" s="8">
        <f>IF(OR(E261="",G261="",I261=""),"",G261*I261)</f>
        <v>0</v>
      </c>
      <c r="K261" s="8">
        <f>IF(OR(A261="",J261=""),"",SUMIFS($J$5:$J$404,$B$5:$B$404,B261))</f>
        <v>0</v>
      </c>
      <c r="L261" s="8">
        <f>IF(OR(J261="",K261="",K261=0),"",J261/K261)</f>
        <v>0</v>
      </c>
      <c r="M261" s="8">
        <f>IF(K261="","",K261-Weekly_Budget)</f>
        <v>0</v>
      </c>
      <c r="N261" s="8">
        <f>IF(K261="","",IF(K261&gt;Weekly_Budget,"Over budget",IF(K261&gt;Weekly_Budget*0.9,"Close","Within budget")))</f>
        <v>0</v>
      </c>
      <c r="O261" s="7"/>
      <c r="P261" s="27"/>
      <c r="Q261" s="27"/>
      <c r="R261" s="28"/>
      <c r="S261" s="8">
        <f>IF(J261="","",COUNTIFS($J$5:$J$404,"&gt;"&amp;J261)+1)</f>
        <v>0</v>
      </c>
      <c r="T261" s="8">
        <f>IF(OR(A261="",J261=""),"",SUMIFS($J$5:$J$404,$C$5:$C$404,C261,$A$5:$A$404,"&lt;="&amp;A261))</f>
        <v>0</v>
      </c>
      <c r="U261" s="8">
        <f>IF(E261="","",IF(Q261="Yes","On offer","Full price"))</f>
        <v>0</v>
      </c>
      <c r="V261" s="25"/>
    </row>
    <row r="262" spans="1:22">
      <c r="A262" s="30"/>
      <c r="B262" s="8">
        <f>IF(A262="","",A262-WEEKDAY(A262,2)+1)</f>
        <v>0</v>
      </c>
      <c r="C262" s="8">
        <f>IF(A262="","",TEXT(A262,"mmm yyyy"))</f>
        <v>0</v>
      </c>
      <c r="D262" s="27"/>
      <c r="E262" s="7"/>
      <c r="F262" s="8">
        <f>IF(E262="","",IFERROR(INDEX(Ingredients!$B$5:$B$304,MATCH(E262,Ingredients!$A$5:$A$304,0)),""))</f>
        <v>0</v>
      </c>
      <c r="G262" s="26"/>
      <c r="H262" s="27"/>
      <c r="I262" s="28"/>
      <c r="J262" s="8">
        <f>IF(OR(E262="",G262="",I262=""),"",G262*I262)</f>
        <v>0</v>
      </c>
      <c r="K262" s="8">
        <f>IF(OR(A262="",J262=""),"",SUMIFS($J$5:$J$404,$B$5:$B$404,B262))</f>
        <v>0</v>
      </c>
      <c r="L262" s="8">
        <f>IF(OR(J262="",K262="",K262=0),"",J262/K262)</f>
        <v>0</v>
      </c>
      <c r="M262" s="8">
        <f>IF(K262="","",K262-Weekly_Budget)</f>
        <v>0</v>
      </c>
      <c r="N262" s="8">
        <f>IF(K262="","",IF(K262&gt;Weekly_Budget,"Over budget",IF(K262&gt;Weekly_Budget*0.9,"Close","Within budget")))</f>
        <v>0</v>
      </c>
      <c r="O262" s="7"/>
      <c r="P262" s="27"/>
      <c r="Q262" s="27"/>
      <c r="R262" s="28"/>
      <c r="S262" s="8">
        <f>IF(J262="","",COUNTIFS($J$5:$J$404,"&gt;"&amp;J262)+1)</f>
        <v>0</v>
      </c>
      <c r="T262" s="8">
        <f>IF(OR(A262="",J262=""),"",SUMIFS($J$5:$J$404,$C$5:$C$404,C262,$A$5:$A$404,"&lt;="&amp;A262))</f>
        <v>0</v>
      </c>
      <c r="U262" s="8">
        <f>IF(E262="","",IF(Q262="Yes","On offer","Full price"))</f>
        <v>0</v>
      </c>
      <c r="V262" s="25"/>
    </row>
    <row r="263" spans="1:22">
      <c r="A263" s="30"/>
      <c r="B263" s="8">
        <f>IF(A263="","",A263-WEEKDAY(A263,2)+1)</f>
        <v>0</v>
      </c>
      <c r="C263" s="8">
        <f>IF(A263="","",TEXT(A263,"mmm yyyy"))</f>
        <v>0</v>
      </c>
      <c r="D263" s="27"/>
      <c r="E263" s="7"/>
      <c r="F263" s="8">
        <f>IF(E263="","",IFERROR(INDEX(Ingredients!$B$5:$B$304,MATCH(E263,Ingredients!$A$5:$A$304,0)),""))</f>
        <v>0</v>
      </c>
      <c r="G263" s="26"/>
      <c r="H263" s="27"/>
      <c r="I263" s="28"/>
      <c r="J263" s="8">
        <f>IF(OR(E263="",G263="",I263=""),"",G263*I263)</f>
        <v>0</v>
      </c>
      <c r="K263" s="8">
        <f>IF(OR(A263="",J263=""),"",SUMIFS($J$5:$J$404,$B$5:$B$404,B263))</f>
        <v>0</v>
      </c>
      <c r="L263" s="8">
        <f>IF(OR(J263="",K263="",K263=0),"",J263/K263)</f>
        <v>0</v>
      </c>
      <c r="M263" s="8">
        <f>IF(K263="","",K263-Weekly_Budget)</f>
        <v>0</v>
      </c>
      <c r="N263" s="8">
        <f>IF(K263="","",IF(K263&gt;Weekly_Budget,"Over budget",IF(K263&gt;Weekly_Budget*0.9,"Close","Within budget")))</f>
        <v>0</v>
      </c>
      <c r="O263" s="7"/>
      <c r="P263" s="27"/>
      <c r="Q263" s="27"/>
      <c r="R263" s="28"/>
      <c r="S263" s="8">
        <f>IF(J263="","",COUNTIFS($J$5:$J$404,"&gt;"&amp;J263)+1)</f>
        <v>0</v>
      </c>
      <c r="T263" s="8">
        <f>IF(OR(A263="",J263=""),"",SUMIFS($J$5:$J$404,$C$5:$C$404,C263,$A$5:$A$404,"&lt;="&amp;A263))</f>
        <v>0</v>
      </c>
      <c r="U263" s="8">
        <f>IF(E263="","",IF(Q263="Yes","On offer","Full price"))</f>
        <v>0</v>
      </c>
      <c r="V263" s="25"/>
    </row>
    <row r="264" spans="1:22">
      <c r="A264" s="30"/>
      <c r="B264" s="8">
        <f>IF(A264="","",A264-WEEKDAY(A264,2)+1)</f>
        <v>0</v>
      </c>
      <c r="C264" s="8">
        <f>IF(A264="","",TEXT(A264,"mmm yyyy"))</f>
        <v>0</v>
      </c>
      <c r="D264" s="27"/>
      <c r="E264" s="7"/>
      <c r="F264" s="8">
        <f>IF(E264="","",IFERROR(INDEX(Ingredients!$B$5:$B$304,MATCH(E264,Ingredients!$A$5:$A$304,0)),""))</f>
        <v>0</v>
      </c>
      <c r="G264" s="26"/>
      <c r="H264" s="27"/>
      <c r="I264" s="28"/>
      <c r="J264" s="8">
        <f>IF(OR(E264="",G264="",I264=""),"",G264*I264)</f>
        <v>0</v>
      </c>
      <c r="K264" s="8">
        <f>IF(OR(A264="",J264=""),"",SUMIFS($J$5:$J$404,$B$5:$B$404,B264))</f>
        <v>0</v>
      </c>
      <c r="L264" s="8">
        <f>IF(OR(J264="",K264="",K264=0),"",J264/K264)</f>
        <v>0</v>
      </c>
      <c r="M264" s="8">
        <f>IF(K264="","",K264-Weekly_Budget)</f>
        <v>0</v>
      </c>
      <c r="N264" s="8">
        <f>IF(K264="","",IF(K264&gt;Weekly_Budget,"Over budget",IF(K264&gt;Weekly_Budget*0.9,"Close","Within budget")))</f>
        <v>0</v>
      </c>
      <c r="O264" s="7"/>
      <c r="P264" s="27"/>
      <c r="Q264" s="27"/>
      <c r="R264" s="28"/>
      <c r="S264" s="8">
        <f>IF(J264="","",COUNTIFS($J$5:$J$404,"&gt;"&amp;J264)+1)</f>
        <v>0</v>
      </c>
      <c r="T264" s="8">
        <f>IF(OR(A264="",J264=""),"",SUMIFS($J$5:$J$404,$C$5:$C$404,C264,$A$5:$A$404,"&lt;="&amp;A264))</f>
        <v>0</v>
      </c>
      <c r="U264" s="8">
        <f>IF(E264="","",IF(Q264="Yes","On offer","Full price"))</f>
        <v>0</v>
      </c>
      <c r="V264" s="25"/>
    </row>
    <row r="265" spans="1:22">
      <c r="A265" s="30"/>
      <c r="B265" s="8">
        <f>IF(A265="","",A265-WEEKDAY(A265,2)+1)</f>
        <v>0</v>
      </c>
      <c r="C265" s="8">
        <f>IF(A265="","",TEXT(A265,"mmm yyyy"))</f>
        <v>0</v>
      </c>
      <c r="D265" s="27"/>
      <c r="E265" s="7"/>
      <c r="F265" s="8">
        <f>IF(E265="","",IFERROR(INDEX(Ingredients!$B$5:$B$304,MATCH(E265,Ingredients!$A$5:$A$304,0)),""))</f>
        <v>0</v>
      </c>
      <c r="G265" s="26"/>
      <c r="H265" s="27"/>
      <c r="I265" s="28"/>
      <c r="J265" s="8">
        <f>IF(OR(E265="",G265="",I265=""),"",G265*I265)</f>
        <v>0</v>
      </c>
      <c r="K265" s="8">
        <f>IF(OR(A265="",J265=""),"",SUMIFS($J$5:$J$404,$B$5:$B$404,B265))</f>
        <v>0</v>
      </c>
      <c r="L265" s="8">
        <f>IF(OR(J265="",K265="",K265=0),"",J265/K265)</f>
        <v>0</v>
      </c>
      <c r="M265" s="8">
        <f>IF(K265="","",K265-Weekly_Budget)</f>
        <v>0</v>
      </c>
      <c r="N265" s="8">
        <f>IF(K265="","",IF(K265&gt;Weekly_Budget,"Over budget",IF(K265&gt;Weekly_Budget*0.9,"Close","Within budget")))</f>
        <v>0</v>
      </c>
      <c r="O265" s="7"/>
      <c r="P265" s="27"/>
      <c r="Q265" s="27"/>
      <c r="R265" s="28"/>
      <c r="S265" s="8">
        <f>IF(J265="","",COUNTIFS($J$5:$J$404,"&gt;"&amp;J265)+1)</f>
        <v>0</v>
      </c>
      <c r="T265" s="8">
        <f>IF(OR(A265="",J265=""),"",SUMIFS($J$5:$J$404,$C$5:$C$404,C265,$A$5:$A$404,"&lt;="&amp;A265))</f>
        <v>0</v>
      </c>
      <c r="U265" s="8">
        <f>IF(E265="","",IF(Q265="Yes","On offer","Full price"))</f>
        <v>0</v>
      </c>
      <c r="V265" s="25"/>
    </row>
    <row r="266" spans="1:22">
      <c r="A266" s="30"/>
      <c r="B266" s="8">
        <f>IF(A266="","",A266-WEEKDAY(A266,2)+1)</f>
        <v>0</v>
      </c>
      <c r="C266" s="8">
        <f>IF(A266="","",TEXT(A266,"mmm yyyy"))</f>
        <v>0</v>
      </c>
      <c r="D266" s="27"/>
      <c r="E266" s="7"/>
      <c r="F266" s="8">
        <f>IF(E266="","",IFERROR(INDEX(Ingredients!$B$5:$B$304,MATCH(E266,Ingredients!$A$5:$A$304,0)),""))</f>
        <v>0</v>
      </c>
      <c r="G266" s="26"/>
      <c r="H266" s="27"/>
      <c r="I266" s="28"/>
      <c r="J266" s="8">
        <f>IF(OR(E266="",G266="",I266=""),"",G266*I266)</f>
        <v>0</v>
      </c>
      <c r="K266" s="8">
        <f>IF(OR(A266="",J266=""),"",SUMIFS($J$5:$J$404,$B$5:$B$404,B266))</f>
        <v>0</v>
      </c>
      <c r="L266" s="8">
        <f>IF(OR(J266="",K266="",K266=0),"",J266/K266)</f>
        <v>0</v>
      </c>
      <c r="M266" s="8">
        <f>IF(K266="","",K266-Weekly_Budget)</f>
        <v>0</v>
      </c>
      <c r="N266" s="8">
        <f>IF(K266="","",IF(K266&gt;Weekly_Budget,"Over budget",IF(K266&gt;Weekly_Budget*0.9,"Close","Within budget")))</f>
        <v>0</v>
      </c>
      <c r="O266" s="7"/>
      <c r="P266" s="27"/>
      <c r="Q266" s="27"/>
      <c r="R266" s="28"/>
      <c r="S266" s="8">
        <f>IF(J266="","",COUNTIFS($J$5:$J$404,"&gt;"&amp;J266)+1)</f>
        <v>0</v>
      </c>
      <c r="T266" s="8">
        <f>IF(OR(A266="",J266=""),"",SUMIFS($J$5:$J$404,$C$5:$C$404,C266,$A$5:$A$404,"&lt;="&amp;A266))</f>
        <v>0</v>
      </c>
      <c r="U266" s="8">
        <f>IF(E266="","",IF(Q266="Yes","On offer","Full price"))</f>
        <v>0</v>
      </c>
      <c r="V266" s="25"/>
    </row>
    <row r="267" spans="1:22">
      <c r="A267" s="30"/>
      <c r="B267" s="8">
        <f>IF(A267="","",A267-WEEKDAY(A267,2)+1)</f>
        <v>0</v>
      </c>
      <c r="C267" s="8">
        <f>IF(A267="","",TEXT(A267,"mmm yyyy"))</f>
        <v>0</v>
      </c>
      <c r="D267" s="27"/>
      <c r="E267" s="7"/>
      <c r="F267" s="8">
        <f>IF(E267="","",IFERROR(INDEX(Ingredients!$B$5:$B$304,MATCH(E267,Ingredients!$A$5:$A$304,0)),""))</f>
        <v>0</v>
      </c>
      <c r="G267" s="26"/>
      <c r="H267" s="27"/>
      <c r="I267" s="28"/>
      <c r="J267" s="8">
        <f>IF(OR(E267="",G267="",I267=""),"",G267*I267)</f>
        <v>0</v>
      </c>
      <c r="K267" s="8">
        <f>IF(OR(A267="",J267=""),"",SUMIFS($J$5:$J$404,$B$5:$B$404,B267))</f>
        <v>0</v>
      </c>
      <c r="L267" s="8">
        <f>IF(OR(J267="",K267="",K267=0),"",J267/K267)</f>
        <v>0</v>
      </c>
      <c r="M267" s="8">
        <f>IF(K267="","",K267-Weekly_Budget)</f>
        <v>0</v>
      </c>
      <c r="N267" s="8">
        <f>IF(K267="","",IF(K267&gt;Weekly_Budget,"Over budget",IF(K267&gt;Weekly_Budget*0.9,"Close","Within budget")))</f>
        <v>0</v>
      </c>
      <c r="O267" s="7"/>
      <c r="P267" s="27"/>
      <c r="Q267" s="27"/>
      <c r="R267" s="28"/>
      <c r="S267" s="8">
        <f>IF(J267="","",COUNTIFS($J$5:$J$404,"&gt;"&amp;J267)+1)</f>
        <v>0</v>
      </c>
      <c r="T267" s="8">
        <f>IF(OR(A267="",J267=""),"",SUMIFS($J$5:$J$404,$C$5:$C$404,C267,$A$5:$A$404,"&lt;="&amp;A267))</f>
        <v>0</v>
      </c>
      <c r="U267" s="8">
        <f>IF(E267="","",IF(Q267="Yes","On offer","Full price"))</f>
        <v>0</v>
      </c>
      <c r="V267" s="25"/>
    </row>
    <row r="268" spans="1:22">
      <c r="A268" s="30"/>
      <c r="B268" s="8">
        <f>IF(A268="","",A268-WEEKDAY(A268,2)+1)</f>
        <v>0</v>
      </c>
      <c r="C268" s="8">
        <f>IF(A268="","",TEXT(A268,"mmm yyyy"))</f>
        <v>0</v>
      </c>
      <c r="D268" s="27"/>
      <c r="E268" s="7"/>
      <c r="F268" s="8">
        <f>IF(E268="","",IFERROR(INDEX(Ingredients!$B$5:$B$304,MATCH(E268,Ingredients!$A$5:$A$304,0)),""))</f>
        <v>0</v>
      </c>
      <c r="G268" s="26"/>
      <c r="H268" s="27"/>
      <c r="I268" s="28"/>
      <c r="J268" s="8">
        <f>IF(OR(E268="",G268="",I268=""),"",G268*I268)</f>
        <v>0</v>
      </c>
      <c r="K268" s="8">
        <f>IF(OR(A268="",J268=""),"",SUMIFS($J$5:$J$404,$B$5:$B$404,B268))</f>
        <v>0</v>
      </c>
      <c r="L268" s="8">
        <f>IF(OR(J268="",K268="",K268=0),"",J268/K268)</f>
        <v>0</v>
      </c>
      <c r="M268" s="8">
        <f>IF(K268="","",K268-Weekly_Budget)</f>
        <v>0</v>
      </c>
      <c r="N268" s="8">
        <f>IF(K268="","",IF(K268&gt;Weekly_Budget,"Over budget",IF(K268&gt;Weekly_Budget*0.9,"Close","Within budget")))</f>
        <v>0</v>
      </c>
      <c r="O268" s="7"/>
      <c r="P268" s="27"/>
      <c r="Q268" s="27"/>
      <c r="R268" s="28"/>
      <c r="S268" s="8">
        <f>IF(J268="","",COUNTIFS($J$5:$J$404,"&gt;"&amp;J268)+1)</f>
        <v>0</v>
      </c>
      <c r="T268" s="8">
        <f>IF(OR(A268="",J268=""),"",SUMIFS($J$5:$J$404,$C$5:$C$404,C268,$A$5:$A$404,"&lt;="&amp;A268))</f>
        <v>0</v>
      </c>
      <c r="U268" s="8">
        <f>IF(E268="","",IF(Q268="Yes","On offer","Full price"))</f>
        <v>0</v>
      </c>
      <c r="V268" s="25"/>
    </row>
    <row r="269" spans="1:22">
      <c r="A269" s="30"/>
      <c r="B269" s="8">
        <f>IF(A269="","",A269-WEEKDAY(A269,2)+1)</f>
        <v>0</v>
      </c>
      <c r="C269" s="8">
        <f>IF(A269="","",TEXT(A269,"mmm yyyy"))</f>
        <v>0</v>
      </c>
      <c r="D269" s="27"/>
      <c r="E269" s="7"/>
      <c r="F269" s="8">
        <f>IF(E269="","",IFERROR(INDEX(Ingredients!$B$5:$B$304,MATCH(E269,Ingredients!$A$5:$A$304,0)),""))</f>
        <v>0</v>
      </c>
      <c r="G269" s="26"/>
      <c r="H269" s="27"/>
      <c r="I269" s="28"/>
      <c r="J269" s="8">
        <f>IF(OR(E269="",G269="",I269=""),"",G269*I269)</f>
        <v>0</v>
      </c>
      <c r="K269" s="8">
        <f>IF(OR(A269="",J269=""),"",SUMIFS($J$5:$J$404,$B$5:$B$404,B269))</f>
        <v>0</v>
      </c>
      <c r="L269" s="8">
        <f>IF(OR(J269="",K269="",K269=0),"",J269/K269)</f>
        <v>0</v>
      </c>
      <c r="M269" s="8">
        <f>IF(K269="","",K269-Weekly_Budget)</f>
        <v>0</v>
      </c>
      <c r="N269" s="8">
        <f>IF(K269="","",IF(K269&gt;Weekly_Budget,"Over budget",IF(K269&gt;Weekly_Budget*0.9,"Close","Within budget")))</f>
        <v>0</v>
      </c>
      <c r="O269" s="7"/>
      <c r="P269" s="27"/>
      <c r="Q269" s="27"/>
      <c r="R269" s="28"/>
      <c r="S269" s="8">
        <f>IF(J269="","",COUNTIFS($J$5:$J$404,"&gt;"&amp;J269)+1)</f>
        <v>0</v>
      </c>
      <c r="T269" s="8">
        <f>IF(OR(A269="",J269=""),"",SUMIFS($J$5:$J$404,$C$5:$C$404,C269,$A$5:$A$404,"&lt;="&amp;A269))</f>
        <v>0</v>
      </c>
      <c r="U269" s="8">
        <f>IF(E269="","",IF(Q269="Yes","On offer","Full price"))</f>
        <v>0</v>
      </c>
      <c r="V269" s="25"/>
    </row>
    <row r="270" spans="1:22">
      <c r="A270" s="30"/>
      <c r="B270" s="8">
        <f>IF(A270="","",A270-WEEKDAY(A270,2)+1)</f>
        <v>0</v>
      </c>
      <c r="C270" s="8">
        <f>IF(A270="","",TEXT(A270,"mmm yyyy"))</f>
        <v>0</v>
      </c>
      <c r="D270" s="27"/>
      <c r="E270" s="7"/>
      <c r="F270" s="8">
        <f>IF(E270="","",IFERROR(INDEX(Ingredients!$B$5:$B$304,MATCH(E270,Ingredients!$A$5:$A$304,0)),""))</f>
        <v>0</v>
      </c>
      <c r="G270" s="26"/>
      <c r="H270" s="27"/>
      <c r="I270" s="28"/>
      <c r="J270" s="8">
        <f>IF(OR(E270="",G270="",I270=""),"",G270*I270)</f>
        <v>0</v>
      </c>
      <c r="K270" s="8">
        <f>IF(OR(A270="",J270=""),"",SUMIFS($J$5:$J$404,$B$5:$B$404,B270))</f>
        <v>0</v>
      </c>
      <c r="L270" s="8">
        <f>IF(OR(J270="",K270="",K270=0),"",J270/K270)</f>
        <v>0</v>
      </c>
      <c r="M270" s="8">
        <f>IF(K270="","",K270-Weekly_Budget)</f>
        <v>0</v>
      </c>
      <c r="N270" s="8">
        <f>IF(K270="","",IF(K270&gt;Weekly_Budget,"Over budget",IF(K270&gt;Weekly_Budget*0.9,"Close","Within budget")))</f>
        <v>0</v>
      </c>
      <c r="O270" s="7"/>
      <c r="P270" s="27"/>
      <c r="Q270" s="27"/>
      <c r="R270" s="28"/>
      <c r="S270" s="8">
        <f>IF(J270="","",COUNTIFS($J$5:$J$404,"&gt;"&amp;J270)+1)</f>
        <v>0</v>
      </c>
      <c r="T270" s="8">
        <f>IF(OR(A270="",J270=""),"",SUMIFS($J$5:$J$404,$C$5:$C$404,C270,$A$5:$A$404,"&lt;="&amp;A270))</f>
        <v>0</v>
      </c>
      <c r="U270" s="8">
        <f>IF(E270="","",IF(Q270="Yes","On offer","Full price"))</f>
        <v>0</v>
      </c>
      <c r="V270" s="25"/>
    </row>
    <row r="271" spans="1:22">
      <c r="A271" s="30"/>
      <c r="B271" s="8">
        <f>IF(A271="","",A271-WEEKDAY(A271,2)+1)</f>
        <v>0</v>
      </c>
      <c r="C271" s="8">
        <f>IF(A271="","",TEXT(A271,"mmm yyyy"))</f>
        <v>0</v>
      </c>
      <c r="D271" s="27"/>
      <c r="E271" s="7"/>
      <c r="F271" s="8">
        <f>IF(E271="","",IFERROR(INDEX(Ingredients!$B$5:$B$304,MATCH(E271,Ingredients!$A$5:$A$304,0)),""))</f>
        <v>0</v>
      </c>
      <c r="G271" s="26"/>
      <c r="H271" s="27"/>
      <c r="I271" s="28"/>
      <c r="J271" s="8">
        <f>IF(OR(E271="",G271="",I271=""),"",G271*I271)</f>
        <v>0</v>
      </c>
      <c r="K271" s="8">
        <f>IF(OR(A271="",J271=""),"",SUMIFS($J$5:$J$404,$B$5:$B$404,B271))</f>
        <v>0</v>
      </c>
      <c r="L271" s="8">
        <f>IF(OR(J271="",K271="",K271=0),"",J271/K271)</f>
        <v>0</v>
      </c>
      <c r="M271" s="8">
        <f>IF(K271="","",K271-Weekly_Budget)</f>
        <v>0</v>
      </c>
      <c r="N271" s="8">
        <f>IF(K271="","",IF(K271&gt;Weekly_Budget,"Over budget",IF(K271&gt;Weekly_Budget*0.9,"Close","Within budget")))</f>
        <v>0</v>
      </c>
      <c r="O271" s="7"/>
      <c r="P271" s="27"/>
      <c r="Q271" s="27"/>
      <c r="R271" s="28"/>
      <c r="S271" s="8">
        <f>IF(J271="","",COUNTIFS($J$5:$J$404,"&gt;"&amp;J271)+1)</f>
        <v>0</v>
      </c>
      <c r="T271" s="8">
        <f>IF(OR(A271="",J271=""),"",SUMIFS($J$5:$J$404,$C$5:$C$404,C271,$A$5:$A$404,"&lt;="&amp;A271))</f>
        <v>0</v>
      </c>
      <c r="U271" s="8">
        <f>IF(E271="","",IF(Q271="Yes","On offer","Full price"))</f>
        <v>0</v>
      </c>
      <c r="V271" s="25"/>
    </row>
    <row r="272" spans="1:22">
      <c r="A272" s="30"/>
      <c r="B272" s="8">
        <f>IF(A272="","",A272-WEEKDAY(A272,2)+1)</f>
        <v>0</v>
      </c>
      <c r="C272" s="8">
        <f>IF(A272="","",TEXT(A272,"mmm yyyy"))</f>
        <v>0</v>
      </c>
      <c r="D272" s="27"/>
      <c r="E272" s="7"/>
      <c r="F272" s="8">
        <f>IF(E272="","",IFERROR(INDEX(Ingredients!$B$5:$B$304,MATCH(E272,Ingredients!$A$5:$A$304,0)),""))</f>
        <v>0</v>
      </c>
      <c r="G272" s="26"/>
      <c r="H272" s="27"/>
      <c r="I272" s="28"/>
      <c r="J272" s="8">
        <f>IF(OR(E272="",G272="",I272=""),"",G272*I272)</f>
        <v>0</v>
      </c>
      <c r="K272" s="8">
        <f>IF(OR(A272="",J272=""),"",SUMIFS($J$5:$J$404,$B$5:$B$404,B272))</f>
        <v>0</v>
      </c>
      <c r="L272" s="8">
        <f>IF(OR(J272="",K272="",K272=0),"",J272/K272)</f>
        <v>0</v>
      </c>
      <c r="M272" s="8">
        <f>IF(K272="","",K272-Weekly_Budget)</f>
        <v>0</v>
      </c>
      <c r="N272" s="8">
        <f>IF(K272="","",IF(K272&gt;Weekly_Budget,"Over budget",IF(K272&gt;Weekly_Budget*0.9,"Close","Within budget")))</f>
        <v>0</v>
      </c>
      <c r="O272" s="7"/>
      <c r="P272" s="27"/>
      <c r="Q272" s="27"/>
      <c r="R272" s="28"/>
      <c r="S272" s="8">
        <f>IF(J272="","",COUNTIFS($J$5:$J$404,"&gt;"&amp;J272)+1)</f>
        <v>0</v>
      </c>
      <c r="T272" s="8">
        <f>IF(OR(A272="",J272=""),"",SUMIFS($J$5:$J$404,$C$5:$C$404,C272,$A$5:$A$404,"&lt;="&amp;A272))</f>
        <v>0</v>
      </c>
      <c r="U272" s="8">
        <f>IF(E272="","",IF(Q272="Yes","On offer","Full price"))</f>
        <v>0</v>
      </c>
      <c r="V272" s="25"/>
    </row>
    <row r="273" spans="1:22">
      <c r="A273" s="30"/>
      <c r="B273" s="8">
        <f>IF(A273="","",A273-WEEKDAY(A273,2)+1)</f>
        <v>0</v>
      </c>
      <c r="C273" s="8">
        <f>IF(A273="","",TEXT(A273,"mmm yyyy"))</f>
        <v>0</v>
      </c>
      <c r="D273" s="27"/>
      <c r="E273" s="7"/>
      <c r="F273" s="8">
        <f>IF(E273="","",IFERROR(INDEX(Ingredients!$B$5:$B$304,MATCH(E273,Ingredients!$A$5:$A$304,0)),""))</f>
        <v>0</v>
      </c>
      <c r="G273" s="26"/>
      <c r="H273" s="27"/>
      <c r="I273" s="28"/>
      <c r="J273" s="8">
        <f>IF(OR(E273="",G273="",I273=""),"",G273*I273)</f>
        <v>0</v>
      </c>
      <c r="K273" s="8">
        <f>IF(OR(A273="",J273=""),"",SUMIFS($J$5:$J$404,$B$5:$B$404,B273))</f>
        <v>0</v>
      </c>
      <c r="L273" s="8">
        <f>IF(OR(J273="",K273="",K273=0),"",J273/K273)</f>
        <v>0</v>
      </c>
      <c r="M273" s="8">
        <f>IF(K273="","",K273-Weekly_Budget)</f>
        <v>0</v>
      </c>
      <c r="N273" s="8">
        <f>IF(K273="","",IF(K273&gt;Weekly_Budget,"Over budget",IF(K273&gt;Weekly_Budget*0.9,"Close","Within budget")))</f>
        <v>0</v>
      </c>
      <c r="O273" s="7"/>
      <c r="P273" s="27"/>
      <c r="Q273" s="27"/>
      <c r="R273" s="28"/>
      <c r="S273" s="8">
        <f>IF(J273="","",COUNTIFS($J$5:$J$404,"&gt;"&amp;J273)+1)</f>
        <v>0</v>
      </c>
      <c r="T273" s="8">
        <f>IF(OR(A273="",J273=""),"",SUMIFS($J$5:$J$404,$C$5:$C$404,C273,$A$5:$A$404,"&lt;="&amp;A273))</f>
        <v>0</v>
      </c>
      <c r="U273" s="8">
        <f>IF(E273="","",IF(Q273="Yes","On offer","Full price"))</f>
        <v>0</v>
      </c>
      <c r="V273" s="25"/>
    </row>
    <row r="274" spans="1:22">
      <c r="A274" s="30"/>
      <c r="B274" s="8">
        <f>IF(A274="","",A274-WEEKDAY(A274,2)+1)</f>
        <v>0</v>
      </c>
      <c r="C274" s="8">
        <f>IF(A274="","",TEXT(A274,"mmm yyyy"))</f>
        <v>0</v>
      </c>
      <c r="D274" s="27"/>
      <c r="E274" s="7"/>
      <c r="F274" s="8">
        <f>IF(E274="","",IFERROR(INDEX(Ingredients!$B$5:$B$304,MATCH(E274,Ingredients!$A$5:$A$304,0)),""))</f>
        <v>0</v>
      </c>
      <c r="G274" s="26"/>
      <c r="H274" s="27"/>
      <c r="I274" s="28"/>
      <c r="J274" s="8">
        <f>IF(OR(E274="",G274="",I274=""),"",G274*I274)</f>
        <v>0</v>
      </c>
      <c r="K274" s="8">
        <f>IF(OR(A274="",J274=""),"",SUMIFS($J$5:$J$404,$B$5:$B$404,B274))</f>
        <v>0</v>
      </c>
      <c r="L274" s="8">
        <f>IF(OR(J274="",K274="",K274=0),"",J274/K274)</f>
        <v>0</v>
      </c>
      <c r="M274" s="8">
        <f>IF(K274="","",K274-Weekly_Budget)</f>
        <v>0</v>
      </c>
      <c r="N274" s="8">
        <f>IF(K274="","",IF(K274&gt;Weekly_Budget,"Over budget",IF(K274&gt;Weekly_Budget*0.9,"Close","Within budget")))</f>
        <v>0</v>
      </c>
      <c r="O274" s="7"/>
      <c r="P274" s="27"/>
      <c r="Q274" s="27"/>
      <c r="R274" s="28"/>
      <c r="S274" s="8">
        <f>IF(J274="","",COUNTIFS($J$5:$J$404,"&gt;"&amp;J274)+1)</f>
        <v>0</v>
      </c>
      <c r="T274" s="8">
        <f>IF(OR(A274="",J274=""),"",SUMIFS($J$5:$J$404,$C$5:$C$404,C274,$A$5:$A$404,"&lt;="&amp;A274))</f>
        <v>0</v>
      </c>
      <c r="U274" s="8">
        <f>IF(E274="","",IF(Q274="Yes","On offer","Full price"))</f>
        <v>0</v>
      </c>
      <c r="V274" s="25"/>
    </row>
    <row r="275" spans="1:22">
      <c r="A275" s="30"/>
      <c r="B275" s="8">
        <f>IF(A275="","",A275-WEEKDAY(A275,2)+1)</f>
        <v>0</v>
      </c>
      <c r="C275" s="8">
        <f>IF(A275="","",TEXT(A275,"mmm yyyy"))</f>
        <v>0</v>
      </c>
      <c r="D275" s="27"/>
      <c r="E275" s="7"/>
      <c r="F275" s="8">
        <f>IF(E275="","",IFERROR(INDEX(Ingredients!$B$5:$B$304,MATCH(E275,Ingredients!$A$5:$A$304,0)),""))</f>
        <v>0</v>
      </c>
      <c r="G275" s="26"/>
      <c r="H275" s="27"/>
      <c r="I275" s="28"/>
      <c r="J275" s="8">
        <f>IF(OR(E275="",G275="",I275=""),"",G275*I275)</f>
        <v>0</v>
      </c>
      <c r="K275" s="8">
        <f>IF(OR(A275="",J275=""),"",SUMIFS($J$5:$J$404,$B$5:$B$404,B275))</f>
        <v>0</v>
      </c>
      <c r="L275" s="8">
        <f>IF(OR(J275="",K275="",K275=0),"",J275/K275)</f>
        <v>0</v>
      </c>
      <c r="M275" s="8">
        <f>IF(K275="","",K275-Weekly_Budget)</f>
        <v>0</v>
      </c>
      <c r="N275" s="8">
        <f>IF(K275="","",IF(K275&gt;Weekly_Budget,"Over budget",IF(K275&gt;Weekly_Budget*0.9,"Close","Within budget")))</f>
        <v>0</v>
      </c>
      <c r="O275" s="7"/>
      <c r="P275" s="27"/>
      <c r="Q275" s="27"/>
      <c r="R275" s="28"/>
      <c r="S275" s="8">
        <f>IF(J275="","",COUNTIFS($J$5:$J$404,"&gt;"&amp;J275)+1)</f>
        <v>0</v>
      </c>
      <c r="T275" s="8">
        <f>IF(OR(A275="",J275=""),"",SUMIFS($J$5:$J$404,$C$5:$C$404,C275,$A$5:$A$404,"&lt;="&amp;A275))</f>
        <v>0</v>
      </c>
      <c r="U275" s="8">
        <f>IF(E275="","",IF(Q275="Yes","On offer","Full price"))</f>
        <v>0</v>
      </c>
      <c r="V275" s="25"/>
    </row>
    <row r="276" spans="1:22">
      <c r="A276" s="30"/>
      <c r="B276" s="8">
        <f>IF(A276="","",A276-WEEKDAY(A276,2)+1)</f>
        <v>0</v>
      </c>
      <c r="C276" s="8">
        <f>IF(A276="","",TEXT(A276,"mmm yyyy"))</f>
        <v>0</v>
      </c>
      <c r="D276" s="27"/>
      <c r="E276" s="7"/>
      <c r="F276" s="8">
        <f>IF(E276="","",IFERROR(INDEX(Ingredients!$B$5:$B$304,MATCH(E276,Ingredients!$A$5:$A$304,0)),""))</f>
        <v>0</v>
      </c>
      <c r="G276" s="26"/>
      <c r="H276" s="27"/>
      <c r="I276" s="28"/>
      <c r="J276" s="8">
        <f>IF(OR(E276="",G276="",I276=""),"",G276*I276)</f>
        <v>0</v>
      </c>
      <c r="K276" s="8">
        <f>IF(OR(A276="",J276=""),"",SUMIFS($J$5:$J$404,$B$5:$B$404,B276))</f>
        <v>0</v>
      </c>
      <c r="L276" s="8">
        <f>IF(OR(J276="",K276="",K276=0),"",J276/K276)</f>
        <v>0</v>
      </c>
      <c r="M276" s="8">
        <f>IF(K276="","",K276-Weekly_Budget)</f>
        <v>0</v>
      </c>
      <c r="N276" s="8">
        <f>IF(K276="","",IF(K276&gt;Weekly_Budget,"Over budget",IF(K276&gt;Weekly_Budget*0.9,"Close","Within budget")))</f>
        <v>0</v>
      </c>
      <c r="O276" s="7"/>
      <c r="P276" s="27"/>
      <c r="Q276" s="27"/>
      <c r="R276" s="28"/>
      <c r="S276" s="8">
        <f>IF(J276="","",COUNTIFS($J$5:$J$404,"&gt;"&amp;J276)+1)</f>
        <v>0</v>
      </c>
      <c r="T276" s="8">
        <f>IF(OR(A276="",J276=""),"",SUMIFS($J$5:$J$404,$C$5:$C$404,C276,$A$5:$A$404,"&lt;="&amp;A276))</f>
        <v>0</v>
      </c>
      <c r="U276" s="8">
        <f>IF(E276="","",IF(Q276="Yes","On offer","Full price"))</f>
        <v>0</v>
      </c>
      <c r="V276" s="25"/>
    </row>
    <row r="277" spans="1:22">
      <c r="A277" s="30"/>
      <c r="B277" s="8">
        <f>IF(A277="","",A277-WEEKDAY(A277,2)+1)</f>
        <v>0</v>
      </c>
      <c r="C277" s="8">
        <f>IF(A277="","",TEXT(A277,"mmm yyyy"))</f>
        <v>0</v>
      </c>
      <c r="D277" s="27"/>
      <c r="E277" s="7"/>
      <c r="F277" s="8">
        <f>IF(E277="","",IFERROR(INDEX(Ingredients!$B$5:$B$304,MATCH(E277,Ingredients!$A$5:$A$304,0)),""))</f>
        <v>0</v>
      </c>
      <c r="G277" s="26"/>
      <c r="H277" s="27"/>
      <c r="I277" s="28"/>
      <c r="J277" s="8">
        <f>IF(OR(E277="",G277="",I277=""),"",G277*I277)</f>
        <v>0</v>
      </c>
      <c r="K277" s="8">
        <f>IF(OR(A277="",J277=""),"",SUMIFS($J$5:$J$404,$B$5:$B$404,B277))</f>
        <v>0</v>
      </c>
      <c r="L277" s="8">
        <f>IF(OR(J277="",K277="",K277=0),"",J277/K277)</f>
        <v>0</v>
      </c>
      <c r="M277" s="8">
        <f>IF(K277="","",K277-Weekly_Budget)</f>
        <v>0</v>
      </c>
      <c r="N277" s="8">
        <f>IF(K277="","",IF(K277&gt;Weekly_Budget,"Over budget",IF(K277&gt;Weekly_Budget*0.9,"Close","Within budget")))</f>
        <v>0</v>
      </c>
      <c r="O277" s="7"/>
      <c r="P277" s="27"/>
      <c r="Q277" s="27"/>
      <c r="R277" s="28"/>
      <c r="S277" s="8">
        <f>IF(J277="","",COUNTIFS($J$5:$J$404,"&gt;"&amp;J277)+1)</f>
        <v>0</v>
      </c>
      <c r="T277" s="8">
        <f>IF(OR(A277="",J277=""),"",SUMIFS($J$5:$J$404,$C$5:$C$404,C277,$A$5:$A$404,"&lt;="&amp;A277))</f>
        <v>0</v>
      </c>
      <c r="U277" s="8">
        <f>IF(E277="","",IF(Q277="Yes","On offer","Full price"))</f>
        <v>0</v>
      </c>
      <c r="V277" s="25"/>
    </row>
    <row r="278" spans="1:22">
      <c r="A278" s="30"/>
      <c r="B278" s="8">
        <f>IF(A278="","",A278-WEEKDAY(A278,2)+1)</f>
        <v>0</v>
      </c>
      <c r="C278" s="8">
        <f>IF(A278="","",TEXT(A278,"mmm yyyy"))</f>
        <v>0</v>
      </c>
      <c r="D278" s="27"/>
      <c r="E278" s="7"/>
      <c r="F278" s="8">
        <f>IF(E278="","",IFERROR(INDEX(Ingredients!$B$5:$B$304,MATCH(E278,Ingredients!$A$5:$A$304,0)),""))</f>
        <v>0</v>
      </c>
      <c r="G278" s="26"/>
      <c r="H278" s="27"/>
      <c r="I278" s="28"/>
      <c r="J278" s="8">
        <f>IF(OR(E278="",G278="",I278=""),"",G278*I278)</f>
        <v>0</v>
      </c>
      <c r="K278" s="8">
        <f>IF(OR(A278="",J278=""),"",SUMIFS($J$5:$J$404,$B$5:$B$404,B278))</f>
        <v>0</v>
      </c>
      <c r="L278" s="8">
        <f>IF(OR(J278="",K278="",K278=0),"",J278/K278)</f>
        <v>0</v>
      </c>
      <c r="M278" s="8">
        <f>IF(K278="","",K278-Weekly_Budget)</f>
        <v>0</v>
      </c>
      <c r="N278" s="8">
        <f>IF(K278="","",IF(K278&gt;Weekly_Budget,"Over budget",IF(K278&gt;Weekly_Budget*0.9,"Close","Within budget")))</f>
        <v>0</v>
      </c>
      <c r="O278" s="7"/>
      <c r="P278" s="27"/>
      <c r="Q278" s="27"/>
      <c r="R278" s="28"/>
      <c r="S278" s="8">
        <f>IF(J278="","",COUNTIFS($J$5:$J$404,"&gt;"&amp;J278)+1)</f>
        <v>0</v>
      </c>
      <c r="T278" s="8">
        <f>IF(OR(A278="",J278=""),"",SUMIFS($J$5:$J$404,$C$5:$C$404,C278,$A$5:$A$404,"&lt;="&amp;A278))</f>
        <v>0</v>
      </c>
      <c r="U278" s="8">
        <f>IF(E278="","",IF(Q278="Yes","On offer","Full price"))</f>
        <v>0</v>
      </c>
      <c r="V278" s="25"/>
    </row>
    <row r="279" spans="1:22">
      <c r="A279" s="30"/>
      <c r="B279" s="8">
        <f>IF(A279="","",A279-WEEKDAY(A279,2)+1)</f>
        <v>0</v>
      </c>
      <c r="C279" s="8">
        <f>IF(A279="","",TEXT(A279,"mmm yyyy"))</f>
        <v>0</v>
      </c>
      <c r="D279" s="27"/>
      <c r="E279" s="7"/>
      <c r="F279" s="8">
        <f>IF(E279="","",IFERROR(INDEX(Ingredients!$B$5:$B$304,MATCH(E279,Ingredients!$A$5:$A$304,0)),""))</f>
        <v>0</v>
      </c>
      <c r="G279" s="26"/>
      <c r="H279" s="27"/>
      <c r="I279" s="28"/>
      <c r="J279" s="8">
        <f>IF(OR(E279="",G279="",I279=""),"",G279*I279)</f>
        <v>0</v>
      </c>
      <c r="K279" s="8">
        <f>IF(OR(A279="",J279=""),"",SUMIFS($J$5:$J$404,$B$5:$B$404,B279))</f>
        <v>0</v>
      </c>
      <c r="L279" s="8">
        <f>IF(OR(J279="",K279="",K279=0),"",J279/K279)</f>
        <v>0</v>
      </c>
      <c r="M279" s="8">
        <f>IF(K279="","",K279-Weekly_Budget)</f>
        <v>0</v>
      </c>
      <c r="N279" s="8">
        <f>IF(K279="","",IF(K279&gt;Weekly_Budget,"Over budget",IF(K279&gt;Weekly_Budget*0.9,"Close","Within budget")))</f>
        <v>0</v>
      </c>
      <c r="O279" s="7"/>
      <c r="P279" s="27"/>
      <c r="Q279" s="27"/>
      <c r="R279" s="28"/>
      <c r="S279" s="8">
        <f>IF(J279="","",COUNTIFS($J$5:$J$404,"&gt;"&amp;J279)+1)</f>
        <v>0</v>
      </c>
      <c r="T279" s="8">
        <f>IF(OR(A279="",J279=""),"",SUMIFS($J$5:$J$404,$C$5:$C$404,C279,$A$5:$A$404,"&lt;="&amp;A279))</f>
        <v>0</v>
      </c>
      <c r="U279" s="8">
        <f>IF(E279="","",IF(Q279="Yes","On offer","Full price"))</f>
        <v>0</v>
      </c>
      <c r="V279" s="25"/>
    </row>
    <row r="280" spans="1:22">
      <c r="A280" s="30"/>
      <c r="B280" s="8">
        <f>IF(A280="","",A280-WEEKDAY(A280,2)+1)</f>
        <v>0</v>
      </c>
      <c r="C280" s="8">
        <f>IF(A280="","",TEXT(A280,"mmm yyyy"))</f>
        <v>0</v>
      </c>
      <c r="D280" s="27"/>
      <c r="E280" s="7"/>
      <c r="F280" s="8">
        <f>IF(E280="","",IFERROR(INDEX(Ingredients!$B$5:$B$304,MATCH(E280,Ingredients!$A$5:$A$304,0)),""))</f>
        <v>0</v>
      </c>
      <c r="G280" s="26"/>
      <c r="H280" s="27"/>
      <c r="I280" s="28"/>
      <c r="J280" s="8">
        <f>IF(OR(E280="",G280="",I280=""),"",G280*I280)</f>
        <v>0</v>
      </c>
      <c r="K280" s="8">
        <f>IF(OR(A280="",J280=""),"",SUMIFS($J$5:$J$404,$B$5:$B$404,B280))</f>
        <v>0</v>
      </c>
      <c r="L280" s="8">
        <f>IF(OR(J280="",K280="",K280=0),"",J280/K280)</f>
        <v>0</v>
      </c>
      <c r="M280" s="8">
        <f>IF(K280="","",K280-Weekly_Budget)</f>
        <v>0</v>
      </c>
      <c r="N280" s="8">
        <f>IF(K280="","",IF(K280&gt;Weekly_Budget,"Over budget",IF(K280&gt;Weekly_Budget*0.9,"Close","Within budget")))</f>
        <v>0</v>
      </c>
      <c r="O280" s="7"/>
      <c r="P280" s="27"/>
      <c r="Q280" s="27"/>
      <c r="R280" s="28"/>
      <c r="S280" s="8">
        <f>IF(J280="","",COUNTIFS($J$5:$J$404,"&gt;"&amp;J280)+1)</f>
        <v>0</v>
      </c>
      <c r="T280" s="8">
        <f>IF(OR(A280="",J280=""),"",SUMIFS($J$5:$J$404,$C$5:$C$404,C280,$A$5:$A$404,"&lt;="&amp;A280))</f>
        <v>0</v>
      </c>
      <c r="U280" s="8">
        <f>IF(E280="","",IF(Q280="Yes","On offer","Full price"))</f>
        <v>0</v>
      </c>
      <c r="V280" s="25"/>
    </row>
    <row r="281" spans="1:22">
      <c r="A281" s="30"/>
      <c r="B281" s="8">
        <f>IF(A281="","",A281-WEEKDAY(A281,2)+1)</f>
        <v>0</v>
      </c>
      <c r="C281" s="8">
        <f>IF(A281="","",TEXT(A281,"mmm yyyy"))</f>
        <v>0</v>
      </c>
      <c r="D281" s="27"/>
      <c r="E281" s="7"/>
      <c r="F281" s="8">
        <f>IF(E281="","",IFERROR(INDEX(Ingredients!$B$5:$B$304,MATCH(E281,Ingredients!$A$5:$A$304,0)),""))</f>
        <v>0</v>
      </c>
      <c r="G281" s="26"/>
      <c r="H281" s="27"/>
      <c r="I281" s="28"/>
      <c r="J281" s="8">
        <f>IF(OR(E281="",G281="",I281=""),"",G281*I281)</f>
        <v>0</v>
      </c>
      <c r="K281" s="8">
        <f>IF(OR(A281="",J281=""),"",SUMIFS($J$5:$J$404,$B$5:$B$404,B281))</f>
        <v>0</v>
      </c>
      <c r="L281" s="8">
        <f>IF(OR(J281="",K281="",K281=0),"",J281/K281)</f>
        <v>0</v>
      </c>
      <c r="M281" s="8">
        <f>IF(K281="","",K281-Weekly_Budget)</f>
        <v>0</v>
      </c>
      <c r="N281" s="8">
        <f>IF(K281="","",IF(K281&gt;Weekly_Budget,"Over budget",IF(K281&gt;Weekly_Budget*0.9,"Close","Within budget")))</f>
        <v>0</v>
      </c>
      <c r="O281" s="7"/>
      <c r="P281" s="27"/>
      <c r="Q281" s="27"/>
      <c r="R281" s="28"/>
      <c r="S281" s="8">
        <f>IF(J281="","",COUNTIFS($J$5:$J$404,"&gt;"&amp;J281)+1)</f>
        <v>0</v>
      </c>
      <c r="T281" s="8">
        <f>IF(OR(A281="",J281=""),"",SUMIFS($J$5:$J$404,$C$5:$C$404,C281,$A$5:$A$404,"&lt;="&amp;A281))</f>
        <v>0</v>
      </c>
      <c r="U281" s="8">
        <f>IF(E281="","",IF(Q281="Yes","On offer","Full price"))</f>
        <v>0</v>
      </c>
      <c r="V281" s="25"/>
    </row>
    <row r="282" spans="1:22">
      <c r="A282" s="30"/>
      <c r="B282" s="8">
        <f>IF(A282="","",A282-WEEKDAY(A282,2)+1)</f>
        <v>0</v>
      </c>
      <c r="C282" s="8">
        <f>IF(A282="","",TEXT(A282,"mmm yyyy"))</f>
        <v>0</v>
      </c>
      <c r="D282" s="27"/>
      <c r="E282" s="7"/>
      <c r="F282" s="8">
        <f>IF(E282="","",IFERROR(INDEX(Ingredients!$B$5:$B$304,MATCH(E282,Ingredients!$A$5:$A$304,0)),""))</f>
        <v>0</v>
      </c>
      <c r="G282" s="26"/>
      <c r="H282" s="27"/>
      <c r="I282" s="28"/>
      <c r="J282" s="8">
        <f>IF(OR(E282="",G282="",I282=""),"",G282*I282)</f>
        <v>0</v>
      </c>
      <c r="K282" s="8">
        <f>IF(OR(A282="",J282=""),"",SUMIFS($J$5:$J$404,$B$5:$B$404,B282))</f>
        <v>0</v>
      </c>
      <c r="L282" s="8">
        <f>IF(OR(J282="",K282="",K282=0),"",J282/K282)</f>
        <v>0</v>
      </c>
      <c r="M282" s="8">
        <f>IF(K282="","",K282-Weekly_Budget)</f>
        <v>0</v>
      </c>
      <c r="N282" s="8">
        <f>IF(K282="","",IF(K282&gt;Weekly_Budget,"Over budget",IF(K282&gt;Weekly_Budget*0.9,"Close","Within budget")))</f>
        <v>0</v>
      </c>
      <c r="O282" s="7"/>
      <c r="P282" s="27"/>
      <c r="Q282" s="27"/>
      <c r="R282" s="28"/>
      <c r="S282" s="8">
        <f>IF(J282="","",COUNTIFS($J$5:$J$404,"&gt;"&amp;J282)+1)</f>
        <v>0</v>
      </c>
      <c r="T282" s="8">
        <f>IF(OR(A282="",J282=""),"",SUMIFS($J$5:$J$404,$C$5:$C$404,C282,$A$5:$A$404,"&lt;="&amp;A282))</f>
        <v>0</v>
      </c>
      <c r="U282" s="8">
        <f>IF(E282="","",IF(Q282="Yes","On offer","Full price"))</f>
        <v>0</v>
      </c>
      <c r="V282" s="25"/>
    </row>
    <row r="283" spans="1:22">
      <c r="A283" s="30"/>
      <c r="B283" s="8">
        <f>IF(A283="","",A283-WEEKDAY(A283,2)+1)</f>
        <v>0</v>
      </c>
      <c r="C283" s="8">
        <f>IF(A283="","",TEXT(A283,"mmm yyyy"))</f>
        <v>0</v>
      </c>
      <c r="D283" s="27"/>
      <c r="E283" s="7"/>
      <c r="F283" s="8">
        <f>IF(E283="","",IFERROR(INDEX(Ingredients!$B$5:$B$304,MATCH(E283,Ingredients!$A$5:$A$304,0)),""))</f>
        <v>0</v>
      </c>
      <c r="G283" s="26"/>
      <c r="H283" s="27"/>
      <c r="I283" s="28"/>
      <c r="J283" s="8">
        <f>IF(OR(E283="",G283="",I283=""),"",G283*I283)</f>
        <v>0</v>
      </c>
      <c r="K283" s="8">
        <f>IF(OR(A283="",J283=""),"",SUMIFS($J$5:$J$404,$B$5:$B$404,B283))</f>
        <v>0</v>
      </c>
      <c r="L283" s="8">
        <f>IF(OR(J283="",K283="",K283=0),"",J283/K283)</f>
        <v>0</v>
      </c>
      <c r="M283" s="8">
        <f>IF(K283="","",K283-Weekly_Budget)</f>
        <v>0</v>
      </c>
      <c r="N283" s="8">
        <f>IF(K283="","",IF(K283&gt;Weekly_Budget,"Over budget",IF(K283&gt;Weekly_Budget*0.9,"Close","Within budget")))</f>
        <v>0</v>
      </c>
      <c r="O283" s="7"/>
      <c r="P283" s="27"/>
      <c r="Q283" s="27"/>
      <c r="R283" s="28"/>
      <c r="S283" s="8">
        <f>IF(J283="","",COUNTIFS($J$5:$J$404,"&gt;"&amp;J283)+1)</f>
        <v>0</v>
      </c>
      <c r="T283" s="8">
        <f>IF(OR(A283="",J283=""),"",SUMIFS($J$5:$J$404,$C$5:$C$404,C283,$A$5:$A$404,"&lt;="&amp;A283))</f>
        <v>0</v>
      </c>
      <c r="U283" s="8">
        <f>IF(E283="","",IF(Q283="Yes","On offer","Full price"))</f>
        <v>0</v>
      </c>
      <c r="V283" s="25"/>
    </row>
    <row r="284" spans="1:22">
      <c r="A284" s="30"/>
      <c r="B284" s="8">
        <f>IF(A284="","",A284-WEEKDAY(A284,2)+1)</f>
        <v>0</v>
      </c>
      <c r="C284" s="8">
        <f>IF(A284="","",TEXT(A284,"mmm yyyy"))</f>
        <v>0</v>
      </c>
      <c r="D284" s="27"/>
      <c r="E284" s="7"/>
      <c r="F284" s="8">
        <f>IF(E284="","",IFERROR(INDEX(Ingredients!$B$5:$B$304,MATCH(E284,Ingredients!$A$5:$A$304,0)),""))</f>
        <v>0</v>
      </c>
      <c r="G284" s="26"/>
      <c r="H284" s="27"/>
      <c r="I284" s="28"/>
      <c r="J284" s="8">
        <f>IF(OR(E284="",G284="",I284=""),"",G284*I284)</f>
        <v>0</v>
      </c>
      <c r="K284" s="8">
        <f>IF(OR(A284="",J284=""),"",SUMIFS($J$5:$J$404,$B$5:$B$404,B284))</f>
        <v>0</v>
      </c>
      <c r="L284" s="8">
        <f>IF(OR(J284="",K284="",K284=0),"",J284/K284)</f>
        <v>0</v>
      </c>
      <c r="M284" s="8">
        <f>IF(K284="","",K284-Weekly_Budget)</f>
        <v>0</v>
      </c>
      <c r="N284" s="8">
        <f>IF(K284="","",IF(K284&gt;Weekly_Budget,"Over budget",IF(K284&gt;Weekly_Budget*0.9,"Close","Within budget")))</f>
        <v>0</v>
      </c>
      <c r="O284" s="7"/>
      <c r="P284" s="27"/>
      <c r="Q284" s="27"/>
      <c r="R284" s="28"/>
      <c r="S284" s="8">
        <f>IF(J284="","",COUNTIFS($J$5:$J$404,"&gt;"&amp;J284)+1)</f>
        <v>0</v>
      </c>
      <c r="T284" s="8">
        <f>IF(OR(A284="",J284=""),"",SUMIFS($J$5:$J$404,$C$5:$C$404,C284,$A$5:$A$404,"&lt;="&amp;A284))</f>
        <v>0</v>
      </c>
      <c r="U284" s="8">
        <f>IF(E284="","",IF(Q284="Yes","On offer","Full price"))</f>
        <v>0</v>
      </c>
      <c r="V284" s="25"/>
    </row>
    <row r="285" spans="1:22">
      <c r="A285" s="30"/>
      <c r="B285" s="8">
        <f>IF(A285="","",A285-WEEKDAY(A285,2)+1)</f>
        <v>0</v>
      </c>
      <c r="C285" s="8">
        <f>IF(A285="","",TEXT(A285,"mmm yyyy"))</f>
        <v>0</v>
      </c>
      <c r="D285" s="27"/>
      <c r="E285" s="7"/>
      <c r="F285" s="8">
        <f>IF(E285="","",IFERROR(INDEX(Ingredients!$B$5:$B$304,MATCH(E285,Ingredients!$A$5:$A$304,0)),""))</f>
        <v>0</v>
      </c>
      <c r="G285" s="26"/>
      <c r="H285" s="27"/>
      <c r="I285" s="28"/>
      <c r="J285" s="8">
        <f>IF(OR(E285="",G285="",I285=""),"",G285*I285)</f>
        <v>0</v>
      </c>
      <c r="K285" s="8">
        <f>IF(OR(A285="",J285=""),"",SUMIFS($J$5:$J$404,$B$5:$B$404,B285))</f>
        <v>0</v>
      </c>
      <c r="L285" s="8">
        <f>IF(OR(J285="",K285="",K285=0),"",J285/K285)</f>
        <v>0</v>
      </c>
      <c r="M285" s="8">
        <f>IF(K285="","",K285-Weekly_Budget)</f>
        <v>0</v>
      </c>
      <c r="N285" s="8">
        <f>IF(K285="","",IF(K285&gt;Weekly_Budget,"Over budget",IF(K285&gt;Weekly_Budget*0.9,"Close","Within budget")))</f>
        <v>0</v>
      </c>
      <c r="O285" s="7"/>
      <c r="P285" s="27"/>
      <c r="Q285" s="27"/>
      <c r="R285" s="28"/>
      <c r="S285" s="8">
        <f>IF(J285="","",COUNTIFS($J$5:$J$404,"&gt;"&amp;J285)+1)</f>
        <v>0</v>
      </c>
      <c r="T285" s="8">
        <f>IF(OR(A285="",J285=""),"",SUMIFS($J$5:$J$404,$C$5:$C$404,C285,$A$5:$A$404,"&lt;="&amp;A285))</f>
        <v>0</v>
      </c>
      <c r="U285" s="8">
        <f>IF(E285="","",IF(Q285="Yes","On offer","Full price"))</f>
        <v>0</v>
      </c>
      <c r="V285" s="25"/>
    </row>
    <row r="286" spans="1:22">
      <c r="A286" s="30"/>
      <c r="B286" s="8">
        <f>IF(A286="","",A286-WEEKDAY(A286,2)+1)</f>
        <v>0</v>
      </c>
      <c r="C286" s="8">
        <f>IF(A286="","",TEXT(A286,"mmm yyyy"))</f>
        <v>0</v>
      </c>
      <c r="D286" s="27"/>
      <c r="E286" s="7"/>
      <c r="F286" s="8">
        <f>IF(E286="","",IFERROR(INDEX(Ingredients!$B$5:$B$304,MATCH(E286,Ingredients!$A$5:$A$304,0)),""))</f>
        <v>0</v>
      </c>
      <c r="G286" s="26"/>
      <c r="H286" s="27"/>
      <c r="I286" s="28"/>
      <c r="J286" s="8">
        <f>IF(OR(E286="",G286="",I286=""),"",G286*I286)</f>
        <v>0</v>
      </c>
      <c r="K286" s="8">
        <f>IF(OR(A286="",J286=""),"",SUMIFS($J$5:$J$404,$B$5:$B$404,B286))</f>
        <v>0</v>
      </c>
      <c r="L286" s="8">
        <f>IF(OR(J286="",K286="",K286=0),"",J286/K286)</f>
        <v>0</v>
      </c>
      <c r="M286" s="8">
        <f>IF(K286="","",K286-Weekly_Budget)</f>
        <v>0</v>
      </c>
      <c r="N286" s="8">
        <f>IF(K286="","",IF(K286&gt;Weekly_Budget,"Over budget",IF(K286&gt;Weekly_Budget*0.9,"Close","Within budget")))</f>
        <v>0</v>
      </c>
      <c r="O286" s="7"/>
      <c r="P286" s="27"/>
      <c r="Q286" s="27"/>
      <c r="R286" s="28"/>
      <c r="S286" s="8">
        <f>IF(J286="","",COUNTIFS($J$5:$J$404,"&gt;"&amp;J286)+1)</f>
        <v>0</v>
      </c>
      <c r="T286" s="8">
        <f>IF(OR(A286="",J286=""),"",SUMIFS($J$5:$J$404,$C$5:$C$404,C286,$A$5:$A$404,"&lt;="&amp;A286))</f>
        <v>0</v>
      </c>
      <c r="U286" s="8">
        <f>IF(E286="","",IF(Q286="Yes","On offer","Full price"))</f>
        <v>0</v>
      </c>
      <c r="V286" s="25"/>
    </row>
    <row r="287" spans="1:22">
      <c r="A287" s="30"/>
      <c r="B287" s="8">
        <f>IF(A287="","",A287-WEEKDAY(A287,2)+1)</f>
        <v>0</v>
      </c>
      <c r="C287" s="8">
        <f>IF(A287="","",TEXT(A287,"mmm yyyy"))</f>
        <v>0</v>
      </c>
      <c r="D287" s="27"/>
      <c r="E287" s="7"/>
      <c r="F287" s="8">
        <f>IF(E287="","",IFERROR(INDEX(Ingredients!$B$5:$B$304,MATCH(E287,Ingredients!$A$5:$A$304,0)),""))</f>
        <v>0</v>
      </c>
      <c r="G287" s="26"/>
      <c r="H287" s="27"/>
      <c r="I287" s="28"/>
      <c r="J287" s="8">
        <f>IF(OR(E287="",G287="",I287=""),"",G287*I287)</f>
        <v>0</v>
      </c>
      <c r="K287" s="8">
        <f>IF(OR(A287="",J287=""),"",SUMIFS($J$5:$J$404,$B$5:$B$404,B287))</f>
        <v>0</v>
      </c>
      <c r="L287" s="8">
        <f>IF(OR(J287="",K287="",K287=0),"",J287/K287)</f>
        <v>0</v>
      </c>
      <c r="M287" s="8">
        <f>IF(K287="","",K287-Weekly_Budget)</f>
        <v>0</v>
      </c>
      <c r="N287" s="8">
        <f>IF(K287="","",IF(K287&gt;Weekly_Budget,"Over budget",IF(K287&gt;Weekly_Budget*0.9,"Close","Within budget")))</f>
        <v>0</v>
      </c>
      <c r="O287" s="7"/>
      <c r="P287" s="27"/>
      <c r="Q287" s="27"/>
      <c r="R287" s="28"/>
      <c r="S287" s="8">
        <f>IF(J287="","",COUNTIFS($J$5:$J$404,"&gt;"&amp;J287)+1)</f>
        <v>0</v>
      </c>
      <c r="T287" s="8">
        <f>IF(OR(A287="",J287=""),"",SUMIFS($J$5:$J$404,$C$5:$C$404,C287,$A$5:$A$404,"&lt;="&amp;A287))</f>
        <v>0</v>
      </c>
      <c r="U287" s="8">
        <f>IF(E287="","",IF(Q287="Yes","On offer","Full price"))</f>
        <v>0</v>
      </c>
      <c r="V287" s="25"/>
    </row>
    <row r="288" spans="1:22">
      <c r="A288" s="30"/>
      <c r="B288" s="8">
        <f>IF(A288="","",A288-WEEKDAY(A288,2)+1)</f>
        <v>0</v>
      </c>
      <c r="C288" s="8">
        <f>IF(A288="","",TEXT(A288,"mmm yyyy"))</f>
        <v>0</v>
      </c>
      <c r="D288" s="27"/>
      <c r="E288" s="7"/>
      <c r="F288" s="8">
        <f>IF(E288="","",IFERROR(INDEX(Ingredients!$B$5:$B$304,MATCH(E288,Ingredients!$A$5:$A$304,0)),""))</f>
        <v>0</v>
      </c>
      <c r="G288" s="26"/>
      <c r="H288" s="27"/>
      <c r="I288" s="28"/>
      <c r="J288" s="8">
        <f>IF(OR(E288="",G288="",I288=""),"",G288*I288)</f>
        <v>0</v>
      </c>
      <c r="K288" s="8">
        <f>IF(OR(A288="",J288=""),"",SUMIFS($J$5:$J$404,$B$5:$B$404,B288))</f>
        <v>0</v>
      </c>
      <c r="L288" s="8">
        <f>IF(OR(J288="",K288="",K288=0),"",J288/K288)</f>
        <v>0</v>
      </c>
      <c r="M288" s="8">
        <f>IF(K288="","",K288-Weekly_Budget)</f>
        <v>0</v>
      </c>
      <c r="N288" s="8">
        <f>IF(K288="","",IF(K288&gt;Weekly_Budget,"Over budget",IF(K288&gt;Weekly_Budget*0.9,"Close","Within budget")))</f>
        <v>0</v>
      </c>
      <c r="O288" s="7"/>
      <c r="P288" s="27"/>
      <c r="Q288" s="27"/>
      <c r="R288" s="28"/>
      <c r="S288" s="8">
        <f>IF(J288="","",COUNTIFS($J$5:$J$404,"&gt;"&amp;J288)+1)</f>
        <v>0</v>
      </c>
      <c r="T288" s="8">
        <f>IF(OR(A288="",J288=""),"",SUMIFS($J$5:$J$404,$C$5:$C$404,C288,$A$5:$A$404,"&lt;="&amp;A288))</f>
        <v>0</v>
      </c>
      <c r="U288" s="8">
        <f>IF(E288="","",IF(Q288="Yes","On offer","Full price"))</f>
        <v>0</v>
      </c>
      <c r="V288" s="25"/>
    </row>
    <row r="289" spans="1:22">
      <c r="A289" s="30"/>
      <c r="B289" s="8">
        <f>IF(A289="","",A289-WEEKDAY(A289,2)+1)</f>
        <v>0</v>
      </c>
      <c r="C289" s="8">
        <f>IF(A289="","",TEXT(A289,"mmm yyyy"))</f>
        <v>0</v>
      </c>
      <c r="D289" s="27"/>
      <c r="E289" s="7"/>
      <c r="F289" s="8">
        <f>IF(E289="","",IFERROR(INDEX(Ingredients!$B$5:$B$304,MATCH(E289,Ingredients!$A$5:$A$304,0)),""))</f>
        <v>0</v>
      </c>
      <c r="G289" s="26"/>
      <c r="H289" s="27"/>
      <c r="I289" s="28"/>
      <c r="J289" s="8">
        <f>IF(OR(E289="",G289="",I289=""),"",G289*I289)</f>
        <v>0</v>
      </c>
      <c r="K289" s="8">
        <f>IF(OR(A289="",J289=""),"",SUMIFS($J$5:$J$404,$B$5:$B$404,B289))</f>
        <v>0</v>
      </c>
      <c r="L289" s="8">
        <f>IF(OR(J289="",K289="",K289=0),"",J289/K289)</f>
        <v>0</v>
      </c>
      <c r="M289" s="8">
        <f>IF(K289="","",K289-Weekly_Budget)</f>
        <v>0</v>
      </c>
      <c r="N289" s="8">
        <f>IF(K289="","",IF(K289&gt;Weekly_Budget,"Over budget",IF(K289&gt;Weekly_Budget*0.9,"Close","Within budget")))</f>
        <v>0</v>
      </c>
      <c r="O289" s="7"/>
      <c r="P289" s="27"/>
      <c r="Q289" s="27"/>
      <c r="R289" s="28"/>
      <c r="S289" s="8">
        <f>IF(J289="","",COUNTIFS($J$5:$J$404,"&gt;"&amp;J289)+1)</f>
        <v>0</v>
      </c>
      <c r="T289" s="8">
        <f>IF(OR(A289="",J289=""),"",SUMIFS($J$5:$J$404,$C$5:$C$404,C289,$A$5:$A$404,"&lt;="&amp;A289))</f>
        <v>0</v>
      </c>
      <c r="U289" s="8">
        <f>IF(E289="","",IF(Q289="Yes","On offer","Full price"))</f>
        <v>0</v>
      </c>
      <c r="V289" s="25"/>
    </row>
    <row r="290" spans="1:22">
      <c r="A290" s="30"/>
      <c r="B290" s="8">
        <f>IF(A290="","",A290-WEEKDAY(A290,2)+1)</f>
        <v>0</v>
      </c>
      <c r="C290" s="8">
        <f>IF(A290="","",TEXT(A290,"mmm yyyy"))</f>
        <v>0</v>
      </c>
      <c r="D290" s="27"/>
      <c r="E290" s="7"/>
      <c r="F290" s="8">
        <f>IF(E290="","",IFERROR(INDEX(Ingredients!$B$5:$B$304,MATCH(E290,Ingredients!$A$5:$A$304,0)),""))</f>
        <v>0</v>
      </c>
      <c r="G290" s="26"/>
      <c r="H290" s="27"/>
      <c r="I290" s="28"/>
      <c r="J290" s="8">
        <f>IF(OR(E290="",G290="",I290=""),"",G290*I290)</f>
        <v>0</v>
      </c>
      <c r="K290" s="8">
        <f>IF(OR(A290="",J290=""),"",SUMIFS($J$5:$J$404,$B$5:$B$404,B290))</f>
        <v>0</v>
      </c>
      <c r="L290" s="8">
        <f>IF(OR(J290="",K290="",K290=0),"",J290/K290)</f>
        <v>0</v>
      </c>
      <c r="M290" s="8">
        <f>IF(K290="","",K290-Weekly_Budget)</f>
        <v>0</v>
      </c>
      <c r="N290" s="8">
        <f>IF(K290="","",IF(K290&gt;Weekly_Budget,"Over budget",IF(K290&gt;Weekly_Budget*0.9,"Close","Within budget")))</f>
        <v>0</v>
      </c>
      <c r="O290" s="7"/>
      <c r="P290" s="27"/>
      <c r="Q290" s="27"/>
      <c r="R290" s="28"/>
      <c r="S290" s="8">
        <f>IF(J290="","",COUNTIFS($J$5:$J$404,"&gt;"&amp;J290)+1)</f>
        <v>0</v>
      </c>
      <c r="T290" s="8">
        <f>IF(OR(A290="",J290=""),"",SUMIFS($J$5:$J$404,$C$5:$C$404,C290,$A$5:$A$404,"&lt;="&amp;A290))</f>
        <v>0</v>
      </c>
      <c r="U290" s="8">
        <f>IF(E290="","",IF(Q290="Yes","On offer","Full price"))</f>
        <v>0</v>
      </c>
      <c r="V290" s="25"/>
    </row>
    <row r="291" spans="1:22">
      <c r="A291" s="30"/>
      <c r="B291" s="8">
        <f>IF(A291="","",A291-WEEKDAY(A291,2)+1)</f>
        <v>0</v>
      </c>
      <c r="C291" s="8">
        <f>IF(A291="","",TEXT(A291,"mmm yyyy"))</f>
        <v>0</v>
      </c>
      <c r="D291" s="27"/>
      <c r="E291" s="7"/>
      <c r="F291" s="8">
        <f>IF(E291="","",IFERROR(INDEX(Ingredients!$B$5:$B$304,MATCH(E291,Ingredients!$A$5:$A$304,0)),""))</f>
        <v>0</v>
      </c>
      <c r="G291" s="26"/>
      <c r="H291" s="27"/>
      <c r="I291" s="28"/>
      <c r="J291" s="8">
        <f>IF(OR(E291="",G291="",I291=""),"",G291*I291)</f>
        <v>0</v>
      </c>
      <c r="K291" s="8">
        <f>IF(OR(A291="",J291=""),"",SUMIFS($J$5:$J$404,$B$5:$B$404,B291))</f>
        <v>0</v>
      </c>
      <c r="L291" s="8">
        <f>IF(OR(J291="",K291="",K291=0),"",J291/K291)</f>
        <v>0</v>
      </c>
      <c r="M291" s="8">
        <f>IF(K291="","",K291-Weekly_Budget)</f>
        <v>0</v>
      </c>
      <c r="N291" s="8">
        <f>IF(K291="","",IF(K291&gt;Weekly_Budget,"Over budget",IF(K291&gt;Weekly_Budget*0.9,"Close","Within budget")))</f>
        <v>0</v>
      </c>
      <c r="O291" s="7"/>
      <c r="P291" s="27"/>
      <c r="Q291" s="27"/>
      <c r="R291" s="28"/>
      <c r="S291" s="8">
        <f>IF(J291="","",COUNTIFS($J$5:$J$404,"&gt;"&amp;J291)+1)</f>
        <v>0</v>
      </c>
      <c r="T291" s="8">
        <f>IF(OR(A291="",J291=""),"",SUMIFS($J$5:$J$404,$C$5:$C$404,C291,$A$5:$A$404,"&lt;="&amp;A291))</f>
        <v>0</v>
      </c>
      <c r="U291" s="8">
        <f>IF(E291="","",IF(Q291="Yes","On offer","Full price"))</f>
        <v>0</v>
      </c>
      <c r="V291" s="25"/>
    </row>
    <row r="292" spans="1:22">
      <c r="A292" s="30"/>
      <c r="B292" s="8">
        <f>IF(A292="","",A292-WEEKDAY(A292,2)+1)</f>
        <v>0</v>
      </c>
      <c r="C292" s="8">
        <f>IF(A292="","",TEXT(A292,"mmm yyyy"))</f>
        <v>0</v>
      </c>
      <c r="D292" s="27"/>
      <c r="E292" s="7"/>
      <c r="F292" s="8">
        <f>IF(E292="","",IFERROR(INDEX(Ingredients!$B$5:$B$304,MATCH(E292,Ingredients!$A$5:$A$304,0)),""))</f>
        <v>0</v>
      </c>
      <c r="G292" s="26"/>
      <c r="H292" s="27"/>
      <c r="I292" s="28"/>
      <c r="J292" s="8">
        <f>IF(OR(E292="",G292="",I292=""),"",G292*I292)</f>
        <v>0</v>
      </c>
      <c r="K292" s="8">
        <f>IF(OR(A292="",J292=""),"",SUMIFS($J$5:$J$404,$B$5:$B$404,B292))</f>
        <v>0</v>
      </c>
      <c r="L292" s="8">
        <f>IF(OR(J292="",K292="",K292=0),"",J292/K292)</f>
        <v>0</v>
      </c>
      <c r="M292" s="8">
        <f>IF(K292="","",K292-Weekly_Budget)</f>
        <v>0</v>
      </c>
      <c r="N292" s="8">
        <f>IF(K292="","",IF(K292&gt;Weekly_Budget,"Over budget",IF(K292&gt;Weekly_Budget*0.9,"Close","Within budget")))</f>
        <v>0</v>
      </c>
      <c r="O292" s="7"/>
      <c r="P292" s="27"/>
      <c r="Q292" s="27"/>
      <c r="R292" s="28"/>
      <c r="S292" s="8">
        <f>IF(J292="","",COUNTIFS($J$5:$J$404,"&gt;"&amp;J292)+1)</f>
        <v>0</v>
      </c>
      <c r="T292" s="8">
        <f>IF(OR(A292="",J292=""),"",SUMIFS($J$5:$J$404,$C$5:$C$404,C292,$A$5:$A$404,"&lt;="&amp;A292))</f>
        <v>0</v>
      </c>
      <c r="U292" s="8">
        <f>IF(E292="","",IF(Q292="Yes","On offer","Full price"))</f>
        <v>0</v>
      </c>
      <c r="V292" s="25"/>
    </row>
    <row r="293" spans="1:22">
      <c r="A293" s="30"/>
      <c r="B293" s="8">
        <f>IF(A293="","",A293-WEEKDAY(A293,2)+1)</f>
        <v>0</v>
      </c>
      <c r="C293" s="8">
        <f>IF(A293="","",TEXT(A293,"mmm yyyy"))</f>
        <v>0</v>
      </c>
      <c r="D293" s="27"/>
      <c r="E293" s="7"/>
      <c r="F293" s="8">
        <f>IF(E293="","",IFERROR(INDEX(Ingredients!$B$5:$B$304,MATCH(E293,Ingredients!$A$5:$A$304,0)),""))</f>
        <v>0</v>
      </c>
      <c r="G293" s="26"/>
      <c r="H293" s="27"/>
      <c r="I293" s="28"/>
      <c r="J293" s="8">
        <f>IF(OR(E293="",G293="",I293=""),"",G293*I293)</f>
        <v>0</v>
      </c>
      <c r="K293" s="8">
        <f>IF(OR(A293="",J293=""),"",SUMIFS($J$5:$J$404,$B$5:$B$404,B293))</f>
        <v>0</v>
      </c>
      <c r="L293" s="8">
        <f>IF(OR(J293="",K293="",K293=0),"",J293/K293)</f>
        <v>0</v>
      </c>
      <c r="M293" s="8">
        <f>IF(K293="","",K293-Weekly_Budget)</f>
        <v>0</v>
      </c>
      <c r="N293" s="8">
        <f>IF(K293="","",IF(K293&gt;Weekly_Budget,"Over budget",IF(K293&gt;Weekly_Budget*0.9,"Close","Within budget")))</f>
        <v>0</v>
      </c>
      <c r="O293" s="7"/>
      <c r="P293" s="27"/>
      <c r="Q293" s="27"/>
      <c r="R293" s="28"/>
      <c r="S293" s="8">
        <f>IF(J293="","",COUNTIFS($J$5:$J$404,"&gt;"&amp;J293)+1)</f>
        <v>0</v>
      </c>
      <c r="T293" s="8">
        <f>IF(OR(A293="",J293=""),"",SUMIFS($J$5:$J$404,$C$5:$C$404,C293,$A$5:$A$404,"&lt;="&amp;A293))</f>
        <v>0</v>
      </c>
      <c r="U293" s="8">
        <f>IF(E293="","",IF(Q293="Yes","On offer","Full price"))</f>
        <v>0</v>
      </c>
      <c r="V293" s="25"/>
    </row>
    <row r="294" spans="1:22">
      <c r="A294" s="30"/>
      <c r="B294" s="8">
        <f>IF(A294="","",A294-WEEKDAY(A294,2)+1)</f>
        <v>0</v>
      </c>
      <c r="C294" s="8">
        <f>IF(A294="","",TEXT(A294,"mmm yyyy"))</f>
        <v>0</v>
      </c>
      <c r="D294" s="27"/>
      <c r="E294" s="7"/>
      <c r="F294" s="8">
        <f>IF(E294="","",IFERROR(INDEX(Ingredients!$B$5:$B$304,MATCH(E294,Ingredients!$A$5:$A$304,0)),""))</f>
        <v>0</v>
      </c>
      <c r="G294" s="26"/>
      <c r="H294" s="27"/>
      <c r="I294" s="28"/>
      <c r="J294" s="8">
        <f>IF(OR(E294="",G294="",I294=""),"",G294*I294)</f>
        <v>0</v>
      </c>
      <c r="K294" s="8">
        <f>IF(OR(A294="",J294=""),"",SUMIFS($J$5:$J$404,$B$5:$B$404,B294))</f>
        <v>0</v>
      </c>
      <c r="L294" s="8">
        <f>IF(OR(J294="",K294="",K294=0),"",J294/K294)</f>
        <v>0</v>
      </c>
      <c r="M294" s="8">
        <f>IF(K294="","",K294-Weekly_Budget)</f>
        <v>0</v>
      </c>
      <c r="N294" s="8">
        <f>IF(K294="","",IF(K294&gt;Weekly_Budget,"Over budget",IF(K294&gt;Weekly_Budget*0.9,"Close","Within budget")))</f>
        <v>0</v>
      </c>
      <c r="O294" s="7"/>
      <c r="P294" s="27"/>
      <c r="Q294" s="27"/>
      <c r="R294" s="28"/>
      <c r="S294" s="8">
        <f>IF(J294="","",COUNTIFS($J$5:$J$404,"&gt;"&amp;J294)+1)</f>
        <v>0</v>
      </c>
      <c r="T294" s="8">
        <f>IF(OR(A294="",J294=""),"",SUMIFS($J$5:$J$404,$C$5:$C$404,C294,$A$5:$A$404,"&lt;="&amp;A294))</f>
        <v>0</v>
      </c>
      <c r="U294" s="8">
        <f>IF(E294="","",IF(Q294="Yes","On offer","Full price"))</f>
        <v>0</v>
      </c>
      <c r="V294" s="25"/>
    </row>
    <row r="295" spans="1:22">
      <c r="A295" s="30"/>
      <c r="B295" s="8">
        <f>IF(A295="","",A295-WEEKDAY(A295,2)+1)</f>
        <v>0</v>
      </c>
      <c r="C295" s="8">
        <f>IF(A295="","",TEXT(A295,"mmm yyyy"))</f>
        <v>0</v>
      </c>
      <c r="D295" s="27"/>
      <c r="E295" s="7"/>
      <c r="F295" s="8">
        <f>IF(E295="","",IFERROR(INDEX(Ingredients!$B$5:$B$304,MATCH(E295,Ingredients!$A$5:$A$304,0)),""))</f>
        <v>0</v>
      </c>
      <c r="G295" s="26"/>
      <c r="H295" s="27"/>
      <c r="I295" s="28"/>
      <c r="J295" s="8">
        <f>IF(OR(E295="",G295="",I295=""),"",G295*I295)</f>
        <v>0</v>
      </c>
      <c r="K295" s="8">
        <f>IF(OR(A295="",J295=""),"",SUMIFS($J$5:$J$404,$B$5:$B$404,B295))</f>
        <v>0</v>
      </c>
      <c r="L295" s="8">
        <f>IF(OR(J295="",K295="",K295=0),"",J295/K295)</f>
        <v>0</v>
      </c>
      <c r="M295" s="8">
        <f>IF(K295="","",K295-Weekly_Budget)</f>
        <v>0</v>
      </c>
      <c r="N295" s="8">
        <f>IF(K295="","",IF(K295&gt;Weekly_Budget,"Over budget",IF(K295&gt;Weekly_Budget*0.9,"Close","Within budget")))</f>
        <v>0</v>
      </c>
      <c r="O295" s="7"/>
      <c r="P295" s="27"/>
      <c r="Q295" s="27"/>
      <c r="R295" s="28"/>
      <c r="S295" s="8">
        <f>IF(J295="","",COUNTIFS($J$5:$J$404,"&gt;"&amp;J295)+1)</f>
        <v>0</v>
      </c>
      <c r="T295" s="8">
        <f>IF(OR(A295="",J295=""),"",SUMIFS($J$5:$J$404,$C$5:$C$404,C295,$A$5:$A$404,"&lt;="&amp;A295))</f>
        <v>0</v>
      </c>
      <c r="U295" s="8">
        <f>IF(E295="","",IF(Q295="Yes","On offer","Full price"))</f>
        <v>0</v>
      </c>
      <c r="V295" s="25"/>
    </row>
    <row r="296" spans="1:22">
      <c r="A296" s="30"/>
      <c r="B296" s="8">
        <f>IF(A296="","",A296-WEEKDAY(A296,2)+1)</f>
        <v>0</v>
      </c>
      <c r="C296" s="8">
        <f>IF(A296="","",TEXT(A296,"mmm yyyy"))</f>
        <v>0</v>
      </c>
      <c r="D296" s="27"/>
      <c r="E296" s="7"/>
      <c r="F296" s="8">
        <f>IF(E296="","",IFERROR(INDEX(Ingredients!$B$5:$B$304,MATCH(E296,Ingredients!$A$5:$A$304,0)),""))</f>
        <v>0</v>
      </c>
      <c r="G296" s="26"/>
      <c r="H296" s="27"/>
      <c r="I296" s="28"/>
      <c r="J296" s="8">
        <f>IF(OR(E296="",G296="",I296=""),"",G296*I296)</f>
        <v>0</v>
      </c>
      <c r="K296" s="8">
        <f>IF(OR(A296="",J296=""),"",SUMIFS($J$5:$J$404,$B$5:$B$404,B296))</f>
        <v>0</v>
      </c>
      <c r="L296" s="8">
        <f>IF(OR(J296="",K296="",K296=0),"",J296/K296)</f>
        <v>0</v>
      </c>
      <c r="M296" s="8">
        <f>IF(K296="","",K296-Weekly_Budget)</f>
        <v>0</v>
      </c>
      <c r="N296" s="8">
        <f>IF(K296="","",IF(K296&gt;Weekly_Budget,"Over budget",IF(K296&gt;Weekly_Budget*0.9,"Close","Within budget")))</f>
        <v>0</v>
      </c>
      <c r="O296" s="7"/>
      <c r="P296" s="27"/>
      <c r="Q296" s="27"/>
      <c r="R296" s="28"/>
      <c r="S296" s="8">
        <f>IF(J296="","",COUNTIFS($J$5:$J$404,"&gt;"&amp;J296)+1)</f>
        <v>0</v>
      </c>
      <c r="T296" s="8">
        <f>IF(OR(A296="",J296=""),"",SUMIFS($J$5:$J$404,$C$5:$C$404,C296,$A$5:$A$404,"&lt;="&amp;A296))</f>
        <v>0</v>
      </c>
      <c r="U296" s="8">
        <f>IF(E296="","",IF(Q296="Yes","On offer","Full price"))</f>
        <v>0</v>
      </c>
      <c r="V296" s="25"/>
    </row>
    <row r="297" spans="1:22">
      <c r="A297" s="30"/>
      <c r="B297" s="8">
        <f>IF(A297="","",A297-WEEKDAY(A297,2)+1)</f>
        <v>0</v>
      </c>
      <c r="C297" s="8">
        <f>IF(A297="","",TEXT(A297,"mmm yyyy"))</f>
        <v>0</v>
      </c>
      <c r="D297" s="27"/>
      <c r="E297" s="7"/>
      <c r="F297" s="8">
        <f>IF(E297="","",IFERROR(INDEX(Ingredients!$B$5:$B$304,MATCH(E297,Ingredients!$A$5:$A$304,0)),""))</f>
        <v>0</v>
      </c>
      <c r="G297" s="26"/>
      <c r="H297" s="27"/>
      <c r="I297" s="28"/>
      <c r="J297" s="8">
        <f>IF(OR(E297="",G297="",I297=""),"",G297*I297)</f>
        <v>0</v>
      </c>
      <c r="K297" s="8">
        <f>IF(OR(A297="",J297=""),"",SUMIFS($J$5:$J$404,$B$5:$B$404,B297))</f>
        <v>0</v>
      </c>
      <c r="L297" s="8">
        <f>IF(OR(J297="",K297="",K297=0),"",J297/K297)</f>
        <v>0</v>
      </c>
      <c r="M297" s="8">
        <f>IF(K297="","",K297-Weekly_Budget)</f>
        <v>0</v>
      </c>
      <c r="N297" s="8">
        <f>IF(K297="","",IF(K297&gt;Weekly_Budget,"Over budget",IF(K297&gt;Weekly_Budget*0.9,"Close","Within budget")))</f>
        <v>0</v>
      </c>
      <c r="O297" s="7"/>
      <c r="P297" s="27"/>
      <c r="Q297" s="27"/>
      <c r="R297" s="28"/>
      <c r="S297" s="8">
        <f>IF(J297="","",COUNTIFS($J$5:$J$404,"&gt;"&amp;J297)+1)</f>
        <v>0</v>
      </c>
      <c r="T297" s="8">
        <f>IF(OR(A297="",J297=""),"",SUMIFS($J$5:$J$404,$C$5:$C$404,C297,$A$5:$A$404,"&lt;="&amp;A297))</f>
        <v>0</v>
      </c>
      <c r="U297" s="8">
        <f>IF(E297="","",IF(Q297="Yes","On offer","Full price"))</f>
        <v>0</v>
      </c>
      <c r="V297" s="25"/>
    </row>
    <row r="298" spans="1:22">
      <c r="A298" s="30"/>
      <c r="B298" s="8">
        <f>IF(A298="","",A298-WEEKDAY(A298,2)+1)</f>
        <v>0</v>
      </c>
      <c r="C298" s="8">
        <f>IF(A298="","",TEXT(A298,"mmm yyyy"))</f>
        <v>0</v>
      </c>
      <c r="D298" s="27"/>
      <c r="E298" s="7"/>
      <c r="F298" s="8">
        <f>IF(E298="","",IFERROR(INDEX(Ingredients!$B$5:$B$304,MATCH(E298,Ingredients!$A$5:$A$304,0)),""))</f>
        <v>0</v>
      </c>
      <c r="G298" s="26"/>
      <c r="H298" s="27"/>
      <c r="I298" s="28"/>
      <c r="J298" s="8">
        <f>IF(OR(E298="",G298="",I298=""),"",G298*I298)</f>
        <v>0</v>
      </c>
      <c r="K298" s="8">
        <f>IF(OR(A298="",J298=""),"",SUMIFS($J$5:$J$404,$B$5:$B$404,B298))</f>
        <v>0</v>
      </c>
      <c r="L298" s="8">
        <f>IF(OR(J298="",K298="",K298=0),"",J298/K298)</f>
        <v>0</v>
      </c>
      <c r="M298" s="8">
        <f>IF(K298="","",K298-Weekly_Budget)</f>
        <v>0</v>
      </c>
      <c r="N298" s="8">
        <f>IF(K298="","",IF(K298&gt;Weekly_Budget,"Over budget",IF(K298&gt;Weekly_Budget*0.9,"Close","Within budget")))</f>
        <v>0</v>
      </c>
      <c r="O298" s="7"/>
      <c r="P298" s="27"/>
      <c r="Q298" s="27"/>
      <c r="R298" s="28"/>
      <c r="S298" s="8">
        <f>IF(J298="","",COUNTIFS($J$5:$J$404,"&gt;"&amp;J298)+1)</f>
        <v>0</v>
      </c>
      <c r="T298" s="8">
        <f>IF(OR(A298="",J298=""),"",SUMIFS($J$5:$J$404,$C$5:$C$404,C298,$A$5:$A$404,"&lt;="&amp;A298))</f>
        <v>0</v>
      </c>
      <c r="U298" s="8">
        <f>IF(E298="","",IF(Q298="Yes","On offer","Full price"))</f>
        <v>0</v>
      </c>
      <c r="V298" s="25"/>
    </row>
    <row r="299" spans="1:22">
      <c r="A299" s="30"/>
      <c r="B299" s="8">
        <f>IF(A299="","",A299-WEEKDAY(A299,2)+1)</f>
        <v>0</v>
      </c>
      <c r="C299" s="8">
        <f>IF(A299="","",TEXT(A299,"mmm yyyy"))</f>
        <v>0</v>
      </c>
      <c r="D299" s="27"/>
      <c r="E299" s="7"/>
      <c r="F299" s="8">
        <f>IF(E299="","",IFERROR(INDEX(Ingredients!$B$5:$B$304,MATCH(E299,Ingredients!$A$5:$A$304,0)),""))</f>
        <v>0</v>
      </c>
      <c r="G299" s="26"/>
      <c r="H299" s="27"/>
      <c r="I299" s="28"/>
      <c r="J299" s="8">
        <f>IF(OR(E299="",G299="",I299=""),"",G299*I299)</f>
        <v>0</v>
      </c>
      <c r="K299" s="8">
        <f>IF(OR(A299="",J299=""),"",SUMIFS($J$5:$J$404,$B$5:$B$404,B299))</f>
        <v>0</v>
      </c>
      <c r="L299" s="8">
        <f>IF(OR(J299="",K299="",K299=0),"",J299/K299)</f>
        <v>0</v>
      </c>
      <c r="M299" s="8">
        <f>IF(K299="","",K299-Weekly_Budget)</f>
        <v>0</v>
      </c>
      <c r="N299" s="8">
        <f>IF(K299="","",IF(K299&gt;Weekly_Budget,"Over budget",IF(K299&gt;Weekly_Budget*0.9,"Close","Within budget")))</f>
        <v>0</v>
      </c>
      <c r="O299" s="7"/>
      <c r="P299" s="27"/>
      <c r="Q299" s="27"/>
      <c r="R299" s="28"/>
      <c r="S299" s="8">
        <f>IF(J299="","",COUNTIFS($J$5:$J$404,"&gt;"&amp;J299)+1)</f>
        <v>0</v>
      </c>
      <c r="T299" s="8">
        <f>IF(OR(A299="",J299=""),"",SUMIFS($J$5:$J$404,$C$5:$C$404,C299,$A$5:$A$404,"&lt;="&amp;A299))</f>
        <v>0</v>
      </c>
      <c r="U299" s="8">
        <f>IF(E299="","",IF(Q299="Yes","On offer","Full price"))</f>
        <v>0</v>
      </c>
      <c r="V299" s="25"/>
    </row>
    <row r="300" spans="1:22">
      <c r="A300" s="30"/>
      <c r="B300" s="8">
        <f>IF(A300="","",A300-WEEKDAY(A300,2)+1)</f>
        <v>0</v>
      </c>
      <c r="C300" s="8">
        <f>IF(A300="","",TEXT(A300,"mmm yyyy"))</f>
        <v>0</v>
      </c>
      <c r="D300" s="27"/>
      <c r="E300" s="7"/>
      <c r="F300" s="8">
        <f>IF(E300="","",IFERROR(INDEX(Ingredients!$B$5:$B$304,MATCH(E300,Ingredients!$A$5:$A$304,0)),""))</f>
        <v>0</v>
      </c>
      <c r="G300" s="26"/>
      <c r="H300" s="27"/>
      <c r="I300" s="28"/>
      <c r="J300" s="8">
        <f>IF(OR(E300="",G300="",I300=""),"",G300*I300)</f>
        <v>0</v>
      </c>
      <c r="K300" s="8">
        <f>IF(OR(A300="",J300=""),"",SUMIFS($J$5:$J$404,$B$5:$B$404,B300))</f>
        <v>0</v>
      </c>
      <c r="L300" s="8">
        <f>IF(OR(J300="",K300="",K300=0),"",J300/K300)</f>
        <v>0</v>
      </c>
      <c r="M300" s="8">
        <f>IF(K300="","",K300-Weekly_Budget)</f>
        <v>0</v>
      </c>
      <c r="N300" s="8">
        <f>IF(K300="","",IF(K300&gt;Weekly_Budget,"Over budget",IF(K300&gt;Weekly_Budget*0.9,"Close","Within budget")))</f>
        <v>0</v>
      </c>
      <c r="O300" s="7"/>
      <c r="P300" s="27"/>
      <c r="Q300" s="27"/>
      <c r="R300" s="28"/>
      <c r="S300" s="8">
        <f>IF(J300="","",COUNTIFS($J$5:$J$404,"&gt;"&amp;J300)+1)</f>
        <v>0</v>
      </c>
      <c r="T300" s="8">
        <f>IF(OR(A300="",J300=""),"",SUMIFS($J$5:$J$404,$C$5:$C$404,C300,$A$5:$A$404,"&lt;="&amp;A300))</f>
        <v>0</v>
      </c>
      <c r="U300" s="8">
        <f>IF(E300="","",IF(Q300="Yes","On offer","Full price"))</f>
        <v>0</v>
      </c>
      <c r="V300" s="25"/>
    </row>
    <row r="301" spans="1:22">
      <c r="A301" s="30"/>
      <c r="B301" s="8">
        <f>IF(A301="","",A301-WEEKDAY(A301,2)+1)</f>
        <v>0</v>
      </c>
      <c r="C301" s="8">
        <f>IF(A301="","",TEXT(A301,"mmm yyyy"))</f>
        <v>0</v>
      </c>
      <c r="D301" s="27"/>
      <c r="E301" s="7"/>
      <c r="F301" s="8">
        <f>IF(E301="","",IFERROR(INDEX(Ingredients!$B$5:$B$304,MATCH(E301,Ingredients!$A$5:$A$304,0)),""))</f>
        <v>0</v>
      </c>
      <c r="G301" s="26"/>
      <c r="H301" s="27"/>
      <c r="I301" s="28"/>
      <c r="J301" s="8">
        <f>IF(OR(E301="",G301="",I301=""),"",G301*I301)</f>
        <v>0</v>
      </c>
      <c r="K301" s="8">
        <f>IF(OR(A301="",J301=""),"",SUMIFS($J$5:$J$404,$B$5:$B$404,B301))</f>
        <v>0</v>
      </c>
      <c r="L301" s="8">
        <f>IF(OR(J301="",K301="",K301=0),"",J301/K301)</f>
        <v>0</v>
      </c>
      <c r="M301" s="8">
        <f>IF(K301="","",K301-Weekly_Budget)</f>
        <v>0</v>
      </c>
      <c r="N301" s="8">
        <f>IF(K301="","",IF(K301&gt;Weekly_Budget,"Over budget",IF(K301&gt;Weekly_Budget*0.9,"Close","Within budget")))</f>
        <v>0</v>
      </c>
      <c r="O301" s="7"/>
      <c r="P301" s="27"/>
      <c r="Q301" s="27"/>
      <c r="R301" s="28"/>
      <c r="S301" s="8">
        <f>IF(J301="","",COUNTIFS($J$5:$J$404,"&gt;"&amp;J301)+1)</f>
        <v>0</v>
      </c>
      <c r="T301" s="8">
        <f>IF(OR(A301="",J301=""),"",SUMIFS($J$5:$J$404,$C$5:$C$404,C301,$A$5:$A$404,"&lt;="&amp;A301))</f>
        <v>0</v>
      </c>
      <c r="U301" s="8">
        <f>IF(E301="","",IF(Q301="Yes","On offer","Full price"))</f>
        <v>0</v>
      </c>
      <c r="V301" s="25"/>
    </row>
    <row r="302" spans="1:22">
      <c r="A302" s="30"/>
      <c r="B302" s="8">
        <f>IF(A302="","",A302-WEEKDAY(A302,2)+1)</f>
        <v>0</v>
      </c>
      <c r="C302" s="8">
        <f>IF(A302="","",TEXT(A302,"mmm yyyy"))</f>
        <v>0</v>
      </c>
      <c r="D302" s="27"/>
      <c r="E302" s="7"/>
      <c r="F302" s="8">
        <f>IF(E302="","",IFERROR(INDEX(Ingredients!$B$5:$B$304,MATCH(E302,Ingredients!$A$5:$A$304,0)),""))</f>
        <v>0</v>
      </c>
      <c r="G302" s="26"/>
      <c r="H302" s="27"/>
      <c r="I302" s="28"/>
      <c r="J302" s="8">
        <f>IF(OR(E302="",G302="",I302=""),"",G302*I302)</f>
        <v>0</v>
      </c>
      <c r="K302" s="8">
        <f>IF(OR(A302="",J302=""),"",SUMIFS($J$5:$J$404,$B$5:$B$404,B302))</f>
        <v>0</v>
      </c>
      <c r="L302" s="8">
        <f>IF(OR(J302="",K302="",K302=0),"",J302/K302)</f>
        <v>0</v>
      </c>
      <c r="M302" s="8">
        <f>IF(K302="","",K302-Weekly_Budget)</f>
        <v>0</v>
      </c>
      <c r="N302" s="8">
        <f>IF(K302="","",IF(K302&gt;Weekly_Budget,"Over budget",IF(K302&gt;Weekly_Budget*0.9,"Close","Within budget")))</f>
        <v>0</v>
      </c>
      <c r="O302" s="7"/>
      <c r="P302" s="27"/>
      <c r="Q302" s="27"/>
      <c r="R302" s="28"/>
      <c r="S302" s="8">
        <f>IF(J302="","",COUNTIFS($J$5:$J$404,"&gt;"&amp;J302)+1)</f>
        <v>0</v>
      </c>
      <c r="T302" s="8">
        <f>IF(OR(A302="",J302=""),"",SUMIFS($J$5:$J$404,$C$5:$C$404,C302,$A$5:$A$404,"&lt;="&amp;A302))</f>
        <v>0</v>
      </c>
      <c r="U302" s="8">
        <f>IF(E302="","",IF(Q302="Yes","On offer","Full price"))</f>
        <v>0</v>
      </c>
      <c r="V302" s="25"/>
    </row>
    <row r="303" spans="1:22">
      <c r="A303" s="30"/>
      <c r="B303" s="8">
        <f>IF(A303="","",A303-WEEKDAY(A303,2)+1)</f>
        <v>0</v>
      </c>
      <c r="C303" s="8">
        <f>IF(A303="","",TEXT(A303,"mmm yyyy"))</f>
        <v>0</v>
      </c>
      <c r="D303" s="27"/>
      <c r="E303" s="7"/>
      <c r="F303" s="8">
        <f>IF(E303="","",IFERROR(INDEX(Ingredients!$B$5:$B$304,MATCH(E303,Ingredients!$A$5:$A$304,0)),""))</f>
        <v>0</v>
      </c>
      <c r="G303" s="26"/>
      <c r="H303" s="27"/>
      <c r="I303" s="28"/>
      <c r="J303" s="8">
        <f>IF(OR(E303="",G303="",I303=""),"",G303*I303)</f>
        <v>0</v>
      </c>
      <c r="K303" s="8">
        <f>IF(OR(A303="",J303=""),"",SUMIFS($J$5:$J$404,$B$5:$B$404,B303))</f>
        <v>0</v>
      </c>
      <c r="L303" s="8">
        <f>IF(OR(J303="",K303="",K303=0),"",J303/K303)</f>
        <v>0</v>
      </c>
      <c r="M303" s="8">
        <f>IF(K303="","",K303-Weekly_Budget)</f>
        <v>0</v>
      </c>
      <c r="N303" s="8">
        <f>IF(K303="","",IF(K303&gt;Weekly_Budget,"Over budget",IF(K303&gt;Weekly_Budget*0.9,"Close","Within budget")))</f>
        <v>0</v>
      </c>
      <c r="O303" s="7"/>
      <c r="P303" s="27"/>
      <c r="Q303" s="27"/>
      <c r="R303" s="28"/>
      <c r="S303" s="8">
        <f>IF(J303="","",COUNTIFS($J$5:$J$404,"&gt;"&amp;J303)+1)</f>
        <v>0</v>
      </c>
      <c r="T303" s="8">
        <f>IF(OR(A303="",J303=""),"",SUMIFS($J$5:$J$404,$C$5:$C$404,C303,$A$5:$A$404,"&lt;="&amp;A303))</f>
        <v>0</v>
      </c>
      <c r="U303" s="8">
        <f>IF(E303="","",IF(Q303="Yes","On offer","Full price"))</f>
        <v>0</v>
      </c>
      <c r="V303" s="25"/>
    </row>
    <row r="304" spans="1:22">
      <c r="A304" s="30"/>
      <c r="B304" s="8">
        <f>IF(A304="","",A304-WEEKDAY(A304,2)+1)</f>
        <v>0</v>
      </c>
      <c r="C304" s="8">
        <f>IF(A304="","",TEXT(A304,"mmm yyyy"))</f>
        <v>0</v>
      </c>
      <c r="D304" s="27"/>
      <c r="E304" s="7"/>
      <c r="F304" s="8">
        <f>IF(E304="","",IFERROR(INDEX(Ingredients!$B$5:$B$304,MATCH(E304,Ingredients!$A$5:$A$304,0)),""))</f>
        <v>0</v>
      </c>
      <c r="G304" s="26"/>
      <c r="H304" s="27"/>
      <c r="I304" s="28"/>
      <c r="J304" s="8">
        <f>IF(OR(E304="",G304="",I304=""),"",G304*I304)</f>
        <v>0</v>
      </c>
      <c r="K304" s="8">
        <f>IF(OR(A304="",J304=""),"",SUMIFS($J$5:$J$404,$B$5:$B$404,B304))</f>
        <v>0</v>
      </c>
      <c r="L304" s="8">
        <f>IF(OR(J304="",K304="",K304=0),"",J304/K304)</f>
        <v>0</v>
      </c>
      <c r="M304" s="8">
        <f>IF(K304="","",K304-Weekly_Budget)</f>
        <v>0</v>
      </c>
      <c r="N304" s="8">
        <f>IF(K304="","",IF(K304&gt;Weekly_Budget,"Over budget",IF(K304&gt;Weekly_Budget*0.9,"Close","Within budget")))</f>
        <v>0</v>
      </c>
      <c r="O304" s="7"/>
      <c r="P304" s="27"/>
      <c r="Q304" s="27"/>
      <c r="R304" s="28"/>
      <c r="S304" s="8">
        <f>IF(J304="","",COUNTIFS($J$5:$J$404,"&gt;"&amp;J304)+1)</f>
        <v>0</v>
      </c>
      <c r="T304" s="8">
        <f>IF(OR(A304="",J304=""),"",SUMIFS($J$5:$J$404,$C$5:$C$404,C304,$A$5:$A$404,"&lt;="&amp;A304))</f>
        <v>0</v>
      </c>
      <c r="U304" s="8">
        <f>IF(E304="","",IF(Q304="Yes","On offer","Full price"))</f>
        <v>0</v>
      </c>
      <c r="V304" s="25"/>
    </row>
    <row r="305" spans="1:22">
      <c r="A305" s="30"/>
      <c r="B305" s="8">
        <f>IF(A305="","",A305-WEEKDAY(A305,2)+1)</f>
        <v>0</v>
      </c>
      <c r="C305" s="8">
        <f>IF(A305="","",TEXT(A305,"mmm yyyy"))</f>
        <v>0</v>
      </c>
      <c r="D305" s="27"/>
      <c r="E305" s="7"/>
      <c r="F305" s="8">
        <f>IF(E305="","",IFERROR(INDEX(Ingredients!$B$5:$B$304,MATCH(E305,Ingredients!$A$5:$A$304,0)),""))</f>
        <v>0</v>
      </c>
      <c r="G305" s="26"/>
      <c r="H305" s="27"/>
      <c r="I305" s="28"/>
      <c r="J305" s="8">
        <f>IF(OR(E305="",G305="",I305=""),"",G305*I305)</f>
        <v>0</v>
      </c>
      <c r="K305" s="8">
        <f>IF(OR(A305="",J305=""),"",SUMIFS($J$5:$J$404,$B$5:$B$404,B305))</f>
        <v>0</v>
      </c>
      <c r="L305" s="8">
        <f>IF(OR(J305="",K305="",K305=0),"",J305/K305)</f>
        <v>0</v>
      </c>
      <c r="M305" s="8">
        <f>IF(K305="","",K305-Weekly_Budget)</f>
        <v>0</v>
      </c>
      <c r="N305" s="8">
        <f>IF(K305="","",IF(K305&gt;Weekly_Budget,"Over budget",IF(K305&gt;Weekly_Budget*0.9,"Close","Within budget")))</f>
        <v>0</v>
      </c>
      <c r="O305" s="7"/>
      <c r="P305" s="27"/>
      <c r="Q305" s="27"/>
      <c r="R305" s="28"/>
      <c r="S305" s="8">
        <f>IF(J305="","",COUNTIFS($J$5:$J$404,"&gt;"&amp;J305)+1)</f>
        <v>0</v>
      </c>
      <c r="T305" s="8">
        <f>IF(OR(A305="",J305=""),"",SUMIFS($J$5:$J$404,$C$5:$C$404,C305,$A$5:$A$404,"&lt;="&amp;A305))</f>
        <v>0</v>
      </c>
      <c r="U305" s="8">
        <f>IF(E305="","",IF(Q305="Yes","On offer","Full price"))</f>
        <v>0</v>
      </c>
      <c r="V305" s="25"/>
    </row>
    <row r="306" spans="1:22">
      <c r="A306" s="30"/>
      <c r="B306" s="8">
        <f>IF(A306="","",A306-WEEKDAY(A306,2)+1)</f>
        <v>0</v>
      </c>
      <c r="C306" s="8">
        <f>IF(A306="","",TEXT(A306,"mmm yyyy"))</f>
        <v>0</v>
      </c>
      <c r="D306" s="27"/>
      <c r="E306" s="7"/>
      <c r="F306" s="8">
        <f>IF(E306="","",IFERROR(INDEX(Ingredients!$B$5:$B$304,MATCH(E306,Ingredients!$A$5:$A$304,0)),""))</f>
        <v>0</v>
      </c>
      <c r="G306" s="26"/>
      <c r="H306" s="27"/>
      <c r="I306" s="28"/>
      <c r="J306" s="8">
        <f>IF(OR(E306="",G306="",I306=""),"",G306*I306)</f>
        <v>0</v>
      </c>
      <c r="K306" s="8">
        <f>IF(OR(A306="",J306=""),"",SUMIFS($J$5:$J$404,$B$5:$B$404,B306))</f>
        <v>0</v>
      </c>
      <c r="L306" s="8">
        <f>IF(OR(J306="",K306="",K306=0),"",J306/K306)</f>
        <v>0</v>
      </c>
      <c r="M306" s="8">
        <f>IF(K306="","",K306-Weekly_Budget)</f>
        <v>0</v>
      </c>
      <c r="N306" s="8">
        <f>IF(K306="","",IF(K306&gt;Weekly_Budget,"Over budget",IF(K306&gt;Weekly_Budget*0.9,"Close","Within budget")))</f>
        <v>0</v>
      </c>
      <c r="O306" s="7"/>
      <c r="P306" s="27"/>
      <c r="Q306" s="27"/>
      <c r="R306" s="28"/>
      <c r="S306" s="8">
        <f>IF(J306="","",COUNTIFS($J$5:$J$404,"&gt;"&amp;J306)+1)</f>
        <v>0</v>
      </c>
      <c r="T306" s="8">
        <f>IF(OR(A306="",J306=""),"",SUMIFS($J$5:$J$404,$C$5:$C$404,C306,$A$5:$A$404,"&lt;="&amp;A306))</f>
        <v>0</v>
      </c>
      <c r="U306" s="8">
        <f>IF(E306="","",IF(Q306="Yes","On offer","Full price"))</f>
        <v>0</v>
      </c>
      <c r="V306" s="25"/>
    </row>
    <row r="307" spans="1:22">
      <c r="A307" s="30"/>
      <c r="B307" s="8">
        <f>IF(A307="","",A307-WEEKDAY(A307,2)+1)</f>
        <v>0</v>
      </c>
      <c r="C307" s="8">
        <f>IF(A307="","",TEXT(A307,"mmm yyyy"))</f>
        <v>0</v>
      </c>
      <c r="D307" s="27"/>
      <c r="E307" s="7"/>
      <c r="F307" s="8">
        <f>IF(E307="","",IFERROR(INDEX(Ingredients!$B$5:$B$304,MATCH(E307,Ingredients!$A$5:$A$304,0)),""))</f>
        <v>0</v>
      </c>
      <c r="G307" s="26"/>
      <c r="H307" s="27"/>
      <c r="I307" s="28"/>
      <c r="J307" s="8">
        <f>IF(OR(E307="",G307="",I307=""),"",G307*I307)</f>
        <v>0</v>
      </c>
      <c r="K307" s="8">
        <f>IF(OR(A307="",J307=""),"",SUMIFS($J$5:$J$404,$B$5:$B$404,B307))</f>
        <v>0</v>
      </c>
      <c r="L307" s="8">
        <f>IF(OR(J307="",K307="",K307=0),"",J307/K307)</f>
        <v>0</v>
      </c>
      <c r="M307" s="8">
        <f>IF(K307="","",K307-Weekly_Budget)</f>
        <v>0</v>
      </c>
      <c r="N307" s="8">
        <f>IF(K307="","",IF(K307&gt;Weekly_Budget,"Over budget",IF(K307&gt;Weekly_Budget*0.9,"Close","Within budget")))</f>
        <v>0</v>
      </c>
      <c r="O307" s="7"/>
      <c r="P307" s="27"/>
      <c r="Q307" s="27"/>
      <c r="R307" s="28"/>
      <c r="S307" s="8">
        <f>IF(J307="","",COUNTIFS($J$5:$J$404,"&gt;"&amp;J307)+1)</f>
        <v>0</v>
      </c>
      <c r="T307" s="8">
        <f>IF(OR(A307="",J307=""),"",SUMIFS($J$5:$J$404,$C$5:$C$404,C307,$A$5:$A$404,"&lt;="&amp;A307))</f>
        <v>0</v>
      </c>
      <c r="U307" s="8">
        <f>IF(E307="","",IF(Q307="Yes","On offer","Full price"))</f>
        <v>0</v>
      </c>
      <c r="V307" s="25"/>
    </row>
    <row r="308" spans="1:22">
      <c r="A308" s="30"/>
      <c r="B308" s="8">
        <f>IF(A308="","",A308-WEEKDAY(A308,2)+1)</f>
        <v>0</v>
      </c>
      <c r="C308" s="8">
        <f>IF(A308="","",TEXT(A308,"mmm yyyy"))</f>
        <v>0</v>
      </c>
      <c r="D308" s="27"/>
      <c r="E308" s="7"/>
      <c r="F308" s="8">
        <f>IF(E308="","",IFERROR(INDEX(Ingredients!$B$5:$B$304,MATCH(E308,Ingredients!$A$5:$A$304,0)),""))</f>
        <v>0</v>
      </c>
      <c r="G308" s="26"/>
      <c r="H308" s="27"/>
      <c r="I308" s="28"/>
      <c r="J308" s="8">
        <f>IF(OR(E308="",G308="",I308=""),"",G308*I308)</f>
        <v>0</v>
      </c>
      <c r="K308" s="8">
        <f>IF(OR(A308="",J308=""),"",SUMIFS($J$5:$J$404,$B$5:$B$404,B308))</f>
        <v>0</v>
      </c>
      <c r="L308" s="8">
        <f>IF(OR(J308="",K308="",K308=0),"",J308/K308)</f>
        <v>0</v>
      </c>
      <c r="M308" s="8">
        <f>IF(K308="","",K308-Weekly_Budget)</f>
        <v>0</v>
      </c>
      <c r="N308" s="8">
        <f>IF(K308="","",IF(K308&gt;Weekly_Budget,"Over budget",IF(K308&gt;Weekly_Budget*0.9,"Close","Within budget")))</f>
        <v>0</v>
      </c>
      <c r="O308" s="7"/>
      <c r="P308" s="27"/>
      <c r="Q308" s="27"/>
      <c r="R308" s="28"/>
      <c r="S308" s="8">
        <f>IF(J308="","",COUNTIFS($J$5:$J$404,"&gt;"&amp;J308)+1)</f>
        <v>0</v>
      </c>
      <c r="T308" s="8">
        <f>IF(OR(A308="",J308=""),"",SUMIFS($J$5:$J$404,$C$5:$C$404,C308,$A$5:$A$404,"&lt;="&amp;A308))</f>
        <v>0</v>
      </c>
      <c r="U308" s="8">
        <f>IF(E308="","",IF(Q308="Yes","On offer","Full price"))</f>
        <v>0</v>
      </c>
      <c r="V308" s="25"/>
    </row>
    <row r="309" spans="1:22">
      <c r="A309" s="30"/>
      <c r="B309" s="8">
        <f>IF(A309="","",A309-WEEKDAY(A309,2)+1)</f>
        <v>0</v>
      </c>
      <c r="C309" s="8">
        <f>IF(A309="","",TEXT(A309,"mmm yyyy"))</f>
        <v>0</v>
      </c>
      <c r="D309" s="27"/>
      <c r="E309" s="7"/>
      <c r="F309" s="8">
        <f>IF(E309="","",IFERROR(INDEX(Ingredients!$B$5:$B$304,MATCH(E309,Ingredients!$A$5:$A$304,0)),""))</f>
        <v>0</v>
      </c>
      <c r="G309" s="26"/>
      <c r="H309" s="27"/>
      <c r="I309" s="28"/>
      <c r="J309" s="8">
        <f>IF(OR(E309="",G309="",I309=""),"",G309*I309)</f>
        <v>0</v>
      </c>
      <c r="K309" s="8">
        <f>IF(OR(A309="",J309=""),"",SUMIFS($J$5:$J$404,$B$5:$B$404,B309))</f>
        <v>0</v>
      </c>
      <c r="L309" s="8">
        <f>IF(OR(J309="",K309="",K309=0),"",J309/K309)</f>
        <v>0</v>
      </c>
      <c r="M309" s="8">
        <f>IF(K309="","",K309-Weekly_Budget)</f>
        <v>0</v>
      </c>
      <c r="N309" s="8">
        <f>IF(K309="","",IF(K309&gt;Weekly_Budget,"Over budget",IF(K309&gt;Weekly_Budget*0.9,"Close","Within budget")))</f>
        <v>0</v>
      </c>
      <c r="O309" s="7"/>
      <c r="P309" s="27"/>
      <c r="Q309" s="27"/>
      <c r="R309" s="28"/>
      <c r="S309" s="8">
        <f>IF(J309="","",COUNTIFS($J$5:$J$404,"&gt;"&amp;J309)+1)</f>
        <v>0</v>
      </c>
      <c r="T309" s="8">
        <f>IF(OR(A309="",J309=""),"",SUMIFS($J$5:$J$404,$C$5:$C$404,C309,$A$5:$A$404,"&lt;="&amp;A309))</f>
        <v>0</v>
      </c>
      <c r="U309" s="8">
        <f>IF(E309="","",IF(Q309="Yes","On offer","Full price"))</f>
        <v>0</v>
      </c>
      <c r="V309" s="25"/>
    </row>
    <row r="310" spans="1:22">
      <c r="A310" s="30"/>
      <c r="B310" s="8">
        <f>IF(A310="","",A310-WEEKDAY(A310,2)+1)</f>
        <v>0</v>
      </c>
      <c r="C310" s="8">
        <f>IF(A310="","",TEXT(A310,"mmm yyyy"))</f>
        <v>0</v>
      </c>
      <c r="D310" s="27"/>
      <c r="E310" s="7"/>
      <c r="F310" s="8">
        <f>IF(E310="","",IFERROR(INDEX(Ingredients!$B$5:$B$304,MATCH(E310,Ingredients!$A$5:$A$304,0)),""))</f>
        <v>0</v>
      </c>
      <c r="G310" s="26"/>
      <c r="H310" s="27"/>
      <c r="I310" s="28"/>
      <c r="J310" s="8">
        <f>IF(OR(E310="",G310="",I310=""),"",G310*I310)</f>
        <v>0</v>
      </c>
      <c r="K310" s="8">
        <f>IF(OR(A310="",J310=""),"",SUMIFS($J$5:$J$404,$B$5:$B$404,B310))</f>
        <v>0</v>
      </c>
      <c r="L310" s="8">
        <f>IF(OR(J310="",K310="",K310=0),"",J310/K310)</f>
        <v>0</v>
      </c>
      <c r="M310" s="8">
        <f>IF(K310="","",K310-Weekly_Budget)</f>
        <v>0</v>
      </c>
      <c r="N310" s="8">
        <f>IF(K310="","",IF(K310&gt;Weekly_Budget,"Over budget",IF(K310&gt;Weekly_Budget*0.9,"Close","Within budget")))</f>
        <v>0</v>
      </c>
      <c r="O310" s="7"/>
      <c r="P310" s="27"/>
      <c r="Q310" s="27"/>
      <c r="R310" s="28"/>
      <c r="S310" s="8">
        <f>IF(J310="","",COUNTIFS($J$5:$J$404,"&gt;"&amp;J310)+1)</f>
        <v>0</v>
      </c>
      <c r="T310" s="8">
        <f>IF(OR(A310="",J310=""),"",SUMIFS($J$5:$J$404,$C$5:$C$404,C310,$A$5:$A$404,"&lt;="&amp;A310))</f>
        <v>0</v>
      </c>
      <c r="U310" s="8">
        <f>IF(E310="","",IF(Q310="Yes","On offer","Full price"))</f>
        <v>0</v>
      </c>
      <c r="V310" s="25"/>
    </row>
    <row r="311" spans="1:22">
      <c r="A311" s="30"/>
      <c r="B311" s="8">
        <f>IF(A311="","",A311-WEEKDAY(A311,2)+1)</f>
        <v>0</v>
      </c>
      <c r="C311" s="8">
        <f>IF(A311="","",TEXT(A311,"mmm yyyy"))</f>
        <v>0</v>
      </c>
      <c r="D311" s="27"/>
      <c r="E311" s="7"/>
      <c r="F311" s="8">
        <f>IF(E311="","",IFERROR(INDEX(Ingredients!$B$5:$B$304,MATCH(E311,Ingredients!$A$5:$A$304,0)),""))</f>
        <v>0</v>
      </c>
      <c r="G311" s="26"/>
      <c r="H311" s="27"/>
      <c r="I311" s="28"/>
      <c r="J311" s="8">
        <f>IF(OR(E311="",G311="",I311=""),"",G311*I311)</f>
        <v>0</v>
      </c>
      <c r="K311" s="8">
        <f>IF(OR(A311="",J311=""),"",SUMIFS($J$5:$J$404,$B$5:$B$404,B311))</f>
        <v>0</v>
      </c>
      <c r="L311" s="8">
        <f>IF(OR(J311="",K311="",K311=0),"",J311/K311)</f>
        <v>0</v>
      </c>
      <c r="M311" s="8">
        <f>IF(K311="","",K311-Weekly_Budget)</f>
        <v>0</v>
      </c>
      <c r="N311" s="8">
        <f>IF(K311="","",IF(K311&gt;Weekly_Budget,"Over budget",IF(K311&gt;Weekly_Budget*0.9,"Close","Within budget")))</f>
        <v>0</v>
      </c>
      <c r="O311" s="7"/>
      <c r="P311" s="27"/>
      <c r="Q311" s="27"/>
      <c r="R311" s="28"/>
      <c r="S311" s="8">
        <f>IF(J311="","",COUNTIFS($J$5:$J$404,"&gt;"&amp;J311)+1)</f>
        <v>0</v>
      </c>
      <c r="T311" s="8">
        <f>IF(OR(A311="",J311=""),"",SUMIFS($J$5:$J$404,$C$5:$C$404,C311,$A$5:$A$404,"&lt;="&amp;A311))</f>
        <v>0</v>
      </c>
      <c r="U311" s="8">
        <f>IF(E311="","",IF(Q311="Yes","On offer","Full price"))</f>
        <v>0</v>
      </c>
      <c r="V311" s="25"/>
    </row>
    <row r="312" spans="1:22">
      <c r="A312" s="30"/>
      <c r="B312" s="8">
        <f>IF(A312="","",A312-WEEKDAY(A312,2)+1)</f>
        <v>0</v>
      </c>
      <c r="C312" s="8">
        <f>IF(A312="","",TEXT(A312,"mmm yyyy"))</f>
        <v>0</v>
      </c>
      <c r="D312" s="27"/>
      <c r="E312" s="7"/>
      <c r="F312" s="8">
        <f>IF(E312="","",IFERROR(INDEX(Ingredients!$B$5:$B$304,MATCH(E312,Ingredients!$A$5:$A$304,0)),""))</f>
        <v>0</v>
      </c>
      <c r="G312" s="26"/>
      <c r="H312" s="27"/>
      <c r="I312" s="28"/>
      <c r="J312" s="8">
        <f>IF(OR(E312="",G312="",I312=""),"",G312*I312)</f>
        <v>0</v>
      </c>
      <c r="K312" s="8">
        <f>IF(OR(A312="",J312=""),"",SUMIFS($J$5:$J$404,$B$5:$B$404,B312))</f>
        <v>0</v>
      </c>
      <c r="L312" s="8">
        <f>IF(OR(J312="",K312="",K312=0),"",J312/K312)</f>
        <v>0</v>
      </c>
      <c r="M312" s="8">
        <f>IF(K312="","",K312-Weekly_Budget)</f>
        <v>0</v>
      </c>
      <c r="N312" s="8">
        <f>IF(K312="","",IF(K312&gt;Weekly_Budget,"Over budget",IF(K312&gt;Weekly_Budget*0.9,"Close","Within budget")))</f>
        <v>0</v>
      </c>
      <c r="O312" s="7"/>
      <c r="P312" s="27"/>
      <c r="Q312" s="27"/>
      <c r="R312" s="28"/>
      <c r="S312" s="8">
        <f>IF(J312="","",COUNTIFS($J$5:$J$404,"&gt;"&amp;J312)+1)</f>
        <v>0</v>
      </c>
      <c r="T312" s="8">
        <f>IF(OR(A312="",J312=""),"",SUMIFS($J$5:$J$404,$C$5:$C$404,C312,$A$5:$A$404,"&lt;="&amp;A312))</f>
        <v>0</v>
      </c>
      <c r="U312" s="8">
        <f>IF(E312="","",IF(Q312="Yes","On offer","Full price"))</f>
        <v>0</v>
      </c>
      <c r="V312" s="25"/>
    </row>
    <row r="313" spans="1:22">
      <c r="A313" s="30"/>
      <c r="B313" s="8">
        <f>IF(A313="","",A313-WEEKDAY(A313,2)+1)</f>
        <v>0</v>
      </c>
      <c r="C313" s="8">
        <f>IF(A313="","",TEXT(A313,"mmm yyyy"))</f>
        <v>0</v>
      </c>
      <c r="D313" s="27"/>
      <c r="E313" s="7"/>
      <c r="F313" s="8">
        <f>IF(E313="","",IFERROR(INDEX(Ingredients!$B$5:$B$304,MATCH(E313,Ingredients!$A$5:$A$304,0)),""))</f>
        <v>0</v>
      </c>
      <c r="G313" s="26"/>
      <c r="H313" s="27"/>
      <c r="I313" s="28"/>
      <c r="J313" s="8">
        <f>IF(OR(E313="",G313="",I313=""),"",G313*I313)</f>
        <v>0</v>
      </c>
      <c r="K313" s="8">
        <f>IF(OR(A313="",J313=""),"",SUMIFS($J$5:$J$404,$B$5:$B$404,B313))</f>
        <v>0</v>
      </c>
      <c r="L313" s="8">
        <f>IF(OR(J313="",K313="",K313=0),"",J313/K313)</f>
        <v>0</v>
      </c>
      <c r="M313" s="8">
        <f>IF(K313="","",K313-Weekly_Budget)</f>
        <v>0</v>
      </c>
      <c r="N313" s="8">
        <f>IF(K313="","",IF(K313&gt;Weekly_Budget,"Over budget",IF(K313&gt;Weekly_Budget*0.9,"Close","Within budget")))</f>
        <v>0</v>
      </c>
      <c r="O313" s="7"/>
      <c r="P313" s="27"/>
      <c r="Q313" s="27"/>
      <c r="R313" s="28"/>
      <c r="S313" s="8">
        <f>IF(J313="","",COUNTIFS($J$5:$J$404,"&gt;"&amp;J313)+1)</f>
        <v>0</v>
      </c>
      <c r="T313" s="8">
        <f>IF(OR(A313="",J313=""),"",SUMIFS($J$5:$J$404,$C$5:$C$404,C313,$A$5:$A$404,"&lt;="&amp;A313))</f>
        <v>0</v>
      </c>
      <c r="U313" s="8">
        <f>IF(E313="","",IF(Q313="Yes","On offer","Full price"))</f>
        <v>0</v>
      </c>
      <c r="V313" s="25"/>
    </row>
    <row r="314" spans="1:22">
      <c r="A314" s="30"/>
      <c r="B314" s="8">
        <f>IF(A314="","",A314-WEEKDAY(A314,2)+1)</f>
        <v>0</v>
      </c>
      <c r="C314" s="8">
        <f>IF(A314="","",TEXT(A314,"mmm yyyy"))</f>
        <v>0</v>
      </c>
      <c r="D314" s="27"/>
      <c r="E314" s="7"/>
      <c r="F314" s="8">
        <f>IF(E314="","",IFERROR(INDEX(Ingredients!$B$5:$B$304,MATCH(E314,Ingredients!$A$5:$A$304,0)),""))</f>
        <v>0</v>
      </c>
      <c r="G314" s="26"/>
      <c r="H314" s="27"/>
      <c r="I314" s="28"/>
      <c r="J314" s="8">
        <f>IF(OR(E314="",G314="",I314=""),"",G314*I314)</f>
        <v>0</v>
      </c>
      <c r="K314" s="8">
        <f>IF(OR(A314="",J314=""),"",SUMIFS($J$5:$J$404,$B$5:$B$404,B314))</f>
        <v>0</v>
      </c>
      <c r="L314" s="8">
        <f>IF(OR(J314="",K314="",K314=0),"",J314/K314)</f>
        <v>0</v>
      </c>
      <c r="M314" s="8">
        <f>IF(K314="","",K314-Weekly_Budget)</f>
        <v>0</v>
      </c>
      <c r="N314" s="8">
        <f>IF(K314="","",IF(K314&gt;Weekly_Budget,"Over budget",IF(K314&gt;Weekly_Budget*0.9,"Close","Within budget")))</f>
        <v>0</v>
      </c>
      <c r="O314" s="7"/>
      <c r="P314" s="27"/>
      <c r="Q314" s="27"/>
      <c r="R314" s="28"/>
      <c r="S314" s="8">
        <f>IF(J314="","",COUNTIFS($J$5:$J$404,"&gt;"&amp;J314)+1)</f>
        <v>0</v>
      </c>
      <c r="T314" s="8">
        <f>IF(OR(A314="",J314=""),"",SUMIFS($J$5:$J$404,$C$5:$C$404,C314,$A$5:$A$404,"&lt;="&amp;A314))</f>
        <v>0</v>
      </c>
      <c r="U314" s="8">
        <f>IF(E314="","",IF(Q314="Yes","On offer","Full price"))</f>
        <v>0</v>
      </c>
      <c r="V314" s="25"/>
    </row>
    <row r="315" spans="1:22">
      <c r="A315" s="30"/>
      <c r="B315" s="8">
        <f>IF(A315="","",A315-WEEKDAY(A315,2)+1)</f>
        <v>0</v>
      </c>
      <c r="C315" s="8">
        <f>IF(A315="","",TEXT(A315,"mmm yyyy"))</f>
        <v>0</v>
      </c>
      <c r="D315" s="27"/>
      <c r="E315" s="7"/>
      <c r="F315" s="8">
        <f>IF(E315="","",IFERROR(INDEX(Ingredients!$B$5:$B$304,MATCH(E315,Ingredients!$A$5:$A$304,0)),""))</f>
        <v>0</v>
      </c>
      <c r="G315" s="26"/>
      <c r="H315" s="27"/>
      <c r="I315" s="28"/>
      <c r="J315" s="8">
        <f>IF(OR(E315="",G315="",I315=""),"",G315*I315)</f>
        <v>0</v>
      </c>
      <c r="K315" s="8">
        <f>IF(OR(A315="",J315=""),"",SUMIFS($J$5:$J$404,$B$5:$B$404,B315))</f>
        <v>0</v>
      </c>
      <c r="L315" s="8">
        <f>IF(OR(J315="",K315="",K315=0),"",J315/K315)</f>
        <v>0</v>
      </c>
      <c r="M315" s="8">
        <f>IF(K315="","",K315-Weekly_Budget)</f>
        <v>0</v>
      </c>
      <c r="N315" s="8">
        <f>IF(K315="","",IF(K315&gt;Weekly_Budget,"Over budget",IF(K315&gt;Weekly_Budget*0.9,"Close","Within budget")))</f>
        <v>0</v>
      </c>
      <c r="O315" s="7"/>
      <c r="P315" s="27"/>
      <c r="Q315" s="27"/>
      <c r="R315" s="28"/>
      <c r="S315" s="8">
        <f>IF(J315="","",COUNTIFS($J$5:$J$404,"&gt;"&amp;J315)+1)</f>
        <v>0</v>
      </c>
      <c r="T315" s="8">
        <f>IF(OR(A315="",J315=""),"",SUMIFS($J$5:$J$404,$C$5:$C$404,C315,$A$5:$A$404,"&lt;="&amp;A315))</f>
        <v>0</v>
      </c>
      <c r="U315" s="8">
        <f>IF(E315="","",IF(Q315="Yes","On offer","Full price"))</f>
        <v>0</v>
      </c>
      <c r="V315" s="25"/>
    </row>
    <row r="316" spans="1:22">
      <c r="A316" s="30"/>
      <c r="B316" s="8">
        <f>IF(A316="","",A316-WEEKDAY(A316,2)+1)</f>
        <v>0</v>
      </c>
      <c r="C316" s="8">
        <f>IF(A316="","",TEXT(A316,"mmm yyyy"))</f>
        <v>0</v>
      </c>
      <c r="D316" s="27"/>
      <c r="E316" s="7"/>
      <c r="F316" s="8">
        <f>IF(E316="","",IFERROR(INDEX(Ingredients!$B$5:$B$304,MATCH(E316,Ingredients!$A$5:$A$304,0)),""))</f>
        <v>0</v>
      </c>
      <c r="G316" s="26"/>
      <c r="H316" s="27"/>
      <c r="I316" s="28"/>
      <c r="J316" s="8">
        <f>IF(OR(E316="",G316="",I316=""),"",G316*I316)</f>
        <v>0</v>
      </c>
      <c r="K316" s="8">
        <f>IF(OR(A316="",J316=""),"",SUMIFS($J$5:$J$404,$B$5:$B$404,B316))</f>
        <v>0</v>
      </c>
      <c r="L316" s="8">
        <f>IF(OR(J316="",K316="",K316=0),"",J316/K316)</f>
        <v>0</v>
      </c>
      <c r="M316" s="8">
        <f>IF(K316="","",K316-Weekly_Budget)</f>
        <v>0</v>
      </c>
      <c r="N316" s="8">
        <f>IF(K316="","",IF(K316&gt;Weekly_Budget,"Over budget",IF(K316&gt;Weekly_Budget*0.9,"Close","Within budget")))</f>
        <v>0</v>
      </c>
      <c r="O316" s="7"/>
      <c r="P316" s="27"/>
      <c r="Q316" s="27"/>
      <c r="R316" s="28"/>
      <c r="S316" s="8">
        <f>IF(J316="","",COUNTIFS($J$5:$J$404,"&gt;"&amp;J316)+1)</f>
        <v>0</v>
      </c>
      <c r="T316" s="8">
        <f>IF(OR(A316="",J316=""),"",SUMIFS($J$5:$J$404,$C$5:$C$404,C316,$A$5:$A$404,"&lt;="&amp;A316))</f>
        <v>0</v>
      </c>
      <c r="U316" s="8">
        <f>IF(E316="","",IF(Q316="Yes","On offer","Full price"))</f>
        <v>0</v>
      </c>
      <c r="V316" s="25"/>
    </row>
    <row r="317" spans="1:22">
      <c r="A317" s="30"/>
      <c r="B317" s="8">
        <f>IF(A317="","",A317-WEEKDAY(A317,2)+1)</f>
        <v>0</v>
      </c>
      <c r="C317" s="8">
        <f>IF(A317="","",TEXT(A317,"mmm yyyy"))</f>
        <v>0</v>
      </c>
      <c r="D317" s="27"/>
      <c r="E317" s="7"/>
      <c r="F317" s="8">
        <f>IF(E317="","",IFERROR(INDEX(Ingredients!$B$5:$B$304,MATCH(E317,Ingredients!$A$5:$A$304,0)),""))</f>
        <v>0</v>
      </c>
      <c r="G317" s="26"/>
      <c r="H317" s="27"/>
      <c r="I317" s="28"/>
      <c r="J317" s="8">
        <f>IF(OR(E317="",G317="",I317=""),"",G317*I317)</f>
        <v>0</v>
      </c>
      <c r="K317" s="8">
        <f>IF(OR(A317="",J317=""),"",SUMIFS($J$5:$J$404,$B$5:$B$404,B317))</f>
        <v>0</v>
      </c>
      <c r="L317" s="8">
        <f>IF(OR(J317="",K317="",K317=0),"",J317/K317)</f>
        <v>0</v>
      </c>
      <c r="M317" s="8">
        <f>IF(K317="","",K317-Weekly_Budget)</f>
        <v>0</v>
      </c>
      <c r="N317" s="8">
        <f>IF(K317="","",IF(K317&gt;Weekly_Budget,"Over budget",IF(K317&gt;Weekly_Budget*0.9,"Close","Within budget")))</f>
        <v>0</v>
      </c>
      <c r="O317" s="7"/>
      <c r="P317" s="27"/>
      <c r="Q317" s="27"/>
      <c r="R317" s="28"/>
      <c r="S317" s="8">
        <f>IF(J317="","",COUNTIFS($J$5:$J$404,"&gt;"&amp;J317)+1)</f>
        <v>0</v>
      </c>
      <c r="T317" s="8">
        <f>IF(OR(A317="",J317=""),"",SUMIFS($J$5:$J$404,$C$5:$C$404,C317,$A$5:$A$404,"&lt;="&amp;A317))</f>
        <v>0</v>
      </c>
      <c r="U317" s="8">
        <f>IF(E317="","",IF(Q317="Yes","On offer","Full price"))</f>
        <v>0</v>
      </c>
      <c r="V317" s="25"/>
    </row>
    <row r="318" spans="1:22">
      <c r="A318" s="30"/>
      <c r="B318" s="8">
        <f>IF(A318="","",A318-WEEKDAY(A318,2)+1)</f>
        <v>0</v>
      </c>
      <c r="C318" s="8">
        <f>IF(A318="","",TEXT(A318,"mmm yyyy"))</f>
        <v>0</v>
      </c>
      <c r="D318" s="27"/>
      <c r="E318" s="7"/>
      <c r="F318" s="8">
        <f>IF(E318="","",IFERROR(INDEX(Ingredients!$B$5:$B$304,MATCH(E318,Ingredients!$A$5:$A$304,0)),""))</f>
        <v>0</v>
      </c>
      <c r="G318" s="26"/>
      <c r="H318" s="27"/>
      <c r="I318" s="28"/>
      <c r="J318" s="8">
        <f>IF(OR(E318="",G318="",I318=""),"",G318*I318)</f>
        <v>0</v>
      </c>
      <c r="K318" s="8">
        <f>IF(OR(A318="",J318=""),"",SUMIFS($J$5:$J$404,$B$5:$B$404,B318))</f>
        <v>0</v>
      </c>
      <c r="L318" s="8">
        <f>IF(OR(J318="",K318="",K318=0),"",J318/K318)</f>
        <v>0</v>
      </c>
      <c r="M318" s="8">
        <f>IF(K318="","",K318-Weekly_Budget)</f>
        <v>0</v>
      </c>
      <c r="N318" s="8">
        <f>IF(K318="","",IF(K318&gt;Weekly_Budget,"Over budget",IF(K318&gt;Weekly_Budget*0.9,"Close","Within budget")))</f>
        <v>0</v>
      </c>
      <c r="O318" s="7"/>
      <c r="P318" s="27"/>
      <c r="Q318" s="27"/>
      <c r="R318" s="28"/>
      <c r="S318" s="8">
        <f>IF(J318="","",COUNTIFS($J$5:$J$404,"&gt;"&amp;J318)+1)</f>
        <v>0</v>
      </c>
      <c r="T318" s="8">
        <f>IF(OR(A318="",J318=""),"",SUMIFS($J$5:$J$404,$C$5:$C$404,C318,$A$5:$A$404,"&lt;="&amp;A318))</f>
        <v>0</v>
      </c>
      <c r="U318" s="8">
        <f>IF(E318="","",IF(Q318="Yes","On offer","Full price"))</f>
        <v>0</v>
      </c>
      <c r="V318" s="25"/>
    </row>
    <row r="319" spans="1:22">
      <c r="A319" s="30"/>
      <c r="B319" s="8">
        <f>IF(A319="","",A319-WEEKDAY(A319,2)+1)</f>
        <v>0</v>
      </c>
      <c r="C319" s="8">
        <f>IF(A319="","",TEXT(A319,"mmm yyyy"))</f>
        <v>0</v>
      </c>
      <c r="D319" s="27"/>
      <c r="E319" s="7"/>
      <c r="F319" s="8">
        <f>IF(E319="","",IFERROR(INDEX(Ingredients!$B$5:$B$304,MATCH(E319,Ingredients!$A$5:$A$304,0)),""))</f>
        <v>0</v>
      </c>
      <c r="G319" s="26"/>
      <c r="H319" s="27"/>
      <c r="I319" s="28"/>
      <c r="J319" s="8">
        <f>IF(OR(E319="",G319="",I319=""),"",G319*I319)</f>
        <v>0</v>
      </c>
      <c r="K319" s="8">
        <f>IF(OR(A319="",J319=""),"",SUMIFS($J$5:$J$404,$B$5:$B$404,B319))</f>
        <v>0</v>
      </c>
      <c r="L319" s="8">
        <f>IF(OR(J319="",K319="",K319=0),"",J319/K319)</f>
        <v>0</v>
      </c>
      <c r="M319" s="8">
        <f>IF(K319="","",K319-Weekly_Budget)</f>
        <v>0</v>
      </c>
      <c r="N319" s="8">
        <f>IF(K319="","",IF(K319&gt;Weekly_Budget,"Over budget",IF(K319&gt;Weekly_Budget*0.9,"Close","Within budget")))</f>
        <v>0</v>
      </c>
      <c r="O319" s="7"/>
      <c r="P319" s="27"/>
      <c r="Q319" s="27"/>
      <c r="R319" s="28"/>
      <c r="S319" s="8">
        <f>IF(J319="","",COUNTIFS($J$5:$J$404,"&gt;"&amp;J319)+1)</f>
        <v>0</v>
      </c>
      <c r="T319" s="8">
        <f>IF(OR(A319="",J319=""),"",SUMIFS($J$5:$J$404,$C$5:$C$404,C319,$A$5:$A$404,"&lt;="&amp;A319))</f>
        <v>0</v>
      </c>
      <c r="U319" s="8">
        <f>IF(E319="","",IF(Q319="Yes","On offer","Full price"))</f>
        <v>0</v>
      </c>
      <c r="V319" s="25"/>
    </row>
    <row r="320" spans="1:22">
      <c r="A320" s="30"/>
      <c r="B320" s="8">
        <f>IF(A320="","",A320-WEEKDAY(A320,2)+1)</f>
        <v>0</v>
      </c>
      <c r="C320" s="8">
        <f>IF(A320="","",TEXT(A320,"mmm yyyy"))</f>
        <v>0</v>
      </c>
      <c r="D320" s="27"/>
      <c r="E320" s="7"/>
      <c r="F320" s="8">
        <f>IF(E320="","",IFERROR(INDEX(Ingredients!$B$5:$B$304,MATCH(E320,Ingredients!$A$5:$A$304,0)),""))</f>
        <v>0</v>
      </c>
      <c r="G320" s="26"/>
      <c r="H320" s="27"/>
      <c r="I320" s="28"/>
      <c r="J320" s="8">
        <f>IF(OR(E320="",G320="",I320=""),"",G320*I320)</f>
        <v>0</v>
      </c>
      <c r="K320" s="8">
        <f>IF(OR(A320="",J320=""),"",SUMIFS($J$5:$J$404,$B$5:$B$404,B320))</f>
        <v>0</v>
      </c>
      <c r="L320" s="8">
        <f>IF(OR(J320="",K320="",K320=0),"",J320/K320)</f>
        <v>0</v>
      </c>
      <c r="M320" s="8">
        <f>IF(K320="","",K320-Weekly_Budget)</f>
        <v>0</v>
      </c>
      <c r="N320" s="8">
        <f>IF(K320="","",IF(K320&gt;Weekly_Budget,"Over budget",IF(K320&gt;Weekly_Budget*0.9,"Close","Within budget")))</f>
        <v>0</v>
      </c>
      <c r="O320" s="7"/>
      <c r="P320" s="27"/>
      <c r="Q320" s="27"/>
      <c r="R320" s="28"/>
      <c r="S320" s="8">
        <f>IF(J320="","",COUNTIFS($J$5:$J$404,"&gt;"&amp;J320)+1)</f>
        <v>0</v>
      </c>
      <c r="T320" s="8">
        <f>IF(OR(A320="",J320=""),"",SUMIFS($J$5:$J$404,$C$5:$C$404,C320,$A$5:$A$404,"&lt;="&amp;A320))</f>
        <v>0</v>
      </c>
      <c r="U320" s="8">
        <f>IF(E320="","",IF(Q320="Yes","On offer","Full price"))</f>
        <v>0</v>
      </c>
      <c r="V320" s="25"/>
    </row>
    <row r="321" spans="1:22">
      <c r="A321" s="30"/>
      <c r="B321" s="8">
        <f>IF(A321="","",A321-WEEKDAY(A321,2)+1)</f>
        <v>0</v>
      </c>
      <c r="C321" s="8">
        <f>IF(A321="","",TEXT(A321,"mmm yyyy"))</f>
        <v>0</v>
      </c>
      <c r="D321" s="27"/>
      <c r="E321" s="7"/>
      <c r="F321" s="8">
        <f>IF(E321="","",IFERROR(INDEX(Ingredients!$B$5:$B$304,MATCH(E321,Ingredients!$A$5:$A$304,0)),""))</f>
        <v>0</v>
      </c>
      <c r="G321" s="26"/>
      <c r="H321" s="27"/>
      <c r="I321" s="28"/>
      <c r="J321" s="8">
        <f>IF(OR(E321="",G321="",I321=""),"",G321*I321)</f>
        <v>0</v>
      </c>
      <c r="K321" s="8">
        <f>IF(OR(A321="",J321=""),"",SUMIFS($J$5:$J$404,$B$5:$B$404,B321))</f>
        <v>0</v>
      </c>
      <c r="L321" s="8">
        <f>IF(OR(J321="",K321="",K321=0),"",J321/K321)</f>
        <v>0</v>
      </c>
      <c r="M321" s="8">
        <f>IF(K321="","",K321-Weekly_Budget)</f>
        <v>0</v>
      </c>
      <c r="N321" s="8">
        <f>IF(K321="","",IF(K321&gt;Weekly_Budget,"Over budget",IF(K321&gt;Weekly_Budget*0.9,"Close","Within budget")))</f>
        <v>0</v>
      </c>
      <c r="O321" s="7"/>
      <c r="P321" s="27"/>
      <c r="Q321" s="27"/>
      <c r="R321" s="28"/>
      <c r="S321" s="8">
        <f>IF(J321="","",COUNTIFS($J$5:$J$404,"&gt;"&amp;J321)+1)</f>
        <v>0</v>
      </c>
      <c r="T321" s="8">
        <f>IF(OR(A321="",J321=""),"",SUMIFS($J$5:$J$404,$C$5:$C$404,C321,$A$5:$A$404,"&lt;="&amp;A321))</f>
        <v>0</v>
      </c>
      <c r="U321" s="8">
        <f>IF(E321="","",IF(Q321="Yes","On offer","Full price"))</f>
        <v>0</v>
      </c>
      <c r="V321" s="25"/>
    </row>
    <row r="322" spans="1:22">
      <c r="A322" s="30"/>
      <c r="B322" s="8">
        <f>IF(A322="","",A322-WEEKDAY(A322,2)+1)</f>
        <v>0</v>
      </c>
      <c r="C322" s="8">
        <f>IF(A322="","",TEXT(A322,"mmm yyyy"))</f>
        <v>0</v>
      </c>
      <c r="D322" s="27"/>
      <c r="E322" s="7"/>
      <c r="F322" s="8">
        <f>IF(E322="","",IFERROR(INDEX(Ingredients!$B$5:$B$304,MATCH(E322,Ingredients!$A$5:$A$304,0)),""))</f>
        <v>0</v>
      </c>
      <c r="G322" s="26"/>
      <c r="H322" s="27"/>
      <c r="I322" s="28"/>
      <c r="J322" s="8">
        <f>IF(OR(E322="",G322="",I322=""),"",G322*I322)</f>
        <v>0</v>
      </c>
      <c r="K322" s="8">
        <f>IF(OR(A322="",J322=""),"",SUMIFS($J$5:$J$404,$B$5:$B$404,B322))</f>
        <v>0</v>
      </c>
      <c r="L322" s="8">
        <f>IF(OR(J322="",K322="",K322=0),"",J322/K322)</f>
        <v>0</v>
      </c>
      <c r="M322" s="8">
        <f>IF(K322="","",K322-Weekly_Budget)</f>
        <v>0</v>
      </c>
      <c r="N322" s="8">
        <f>IF(K322="","",IF(K322&gt;Weekly_Budget,"Over budget",IF(K322&gt;Weekly_Budget*0.9,"Close","Within budget")))</f>
        <v>0</v>
      </c>
      <c r="O322" s="7"/>
      <c r="P322" s="27"/>
      <c r="Q322" s="27"/>
      <c r="R322" s="28"/>
      <c r="S322" s="8">
        <f>IF(J322="","",COUNTIFS($J$5:$J$404,"&gt;"&amp;J322)+1)</f>
        <v>0</v>
      </c>
      <c r="T322" s="8">
        <f>IF(OR(A322="",J322=""),"",SUMIFS($J$5:$J$404,$C$5:$C$404,C322,$A$5:$A$404,"&lt;="&amp;A322))</f>
        <v>0</v>
      </c>
      <c r="U322" s="8">
        <f>IF(E322="","",IF(Q322="Yes","On offer","Full price"))</f>
        <v>0</v>
      </c>
      <c r="V322" s="25"/>
    </row>
    <row r="323" spans="1:22">
      <c r="A323" s="30"/>
      <c r="B323" s="8">
        <f>IF(A323="","",A323-WEEKDAY(A323,2)+1)</f>
        <v>0</v>
      </c>
      <c r="C323" s="8">
        <f>IF(A323="","",TEXT(A323,"mmm yyyy"))</f>
        <v>0</v>
      </c>
      <c r="D323" s="27"/>
      <c r="E323" s="7"/>
      <c r="F323" s="8">
        <f>IF(E323="","",IFERROR(INDEX(Ingredients!$B$5:$B$304,MATCH(E323,Ingredients!$A$5:$A$304,0)),""))</f>
        <v>0</v>
      </c>
      <c r="G323" s="26"/>
      <c r="H323" s="27"/>
      <c r="I323" s="28"/>
      <c r="J323" s="8">
        <f>IF(OR(E323="",G323="",I323=""),"",G323*I323)</f>
        <v>0</v>
      </c>
      <c r="K323" s="8">
        <f>IF(OR(A323="",J323=""),"",SUMIFS($J$5:$J$404,$B$5:$B$404,B323))</f>
        <v>0</v>
      </c>
      <c r="L323" s="8">
        <f>IF(OR(J323="",K323="",K323=0),"",J323/K323)</f>
        <v>0</v>
      </c>
      <c r="M323" s="8">
        <f>IF(K323="","",K323-Weekly_Budget)</f>
        <v>0</v>
      </c>
      <c r="N323" s="8">
        <f>IF(K323="","",IF(K323&gt;Weekly_Budget,"Over budget",IF(K323&gt;Weekly_Budget*0.9,"Close","Within budget")))</f>
        <v>0</v>
      </c>
      <c r="O323" s="7"/>
      <c r="P323" s="27"/>
      <c r="Q323" s="27"/>
      <c r="R323" s="28"/>
      <c r="S323" s="8">
        <f>IF(J323="","",COUNTIFS($J$5:$J$404,"&gt;"&amp;J323)+1)</f>
        <v>0</v>
      </c>
      <c r="T323" s="8">
        <f>IF(OR(A323="",J323=""),"",SUMIFS($J$5:$J$404,$C$5:$C$404,C323,$A$5:$A$404,"&lt;="&amp;A323))</f>
        <v>0</v>
      </c>
      <c r="U323" s="8">
        <f>IF(E323="","",IF(Q323="Yes","On offer","Full price"))</f>
        <v>0</v>
      </c>
      <c r="V323" s="25"/>
    </row>
    <row r="324" spans="1:22">
      <c r="A324" s="30"/>
      <c r="B324" s="8">
        <f>IF(A324="","",A324-WEEKDAY(A324,2)+1)</f>
        <v>0</v>
      </c>
      <c r="C324" s="8">
        <f>IF(A324="","",TEXT(A324,"mmm yyyy"))</f>
        <v>0</v>
      </c>
      <c r="D324" s="27"/>
      <c r="E324" s="7"/>
      <c r="F324" s="8">
        <f>IF(E324="","",IFERROR(INDEX(Ingredients!$B$5:$B$304,MATCH(E324,Ingredients!$A$5:$A$304,0)),""))</f>
        <v>0</v>
      </c>
      <c r="G324" s="26"/>
      <c r="H324" s="27"/>
      <c r="I324" s="28"/>
      <c r="J324" s="8">
        <f>IF(OR(E324="",G324="",I324=""),"",G324*I324)</f>
        <v>0</v>
      </c>
      <c r="K324" s="8">
        <f>IF(OR(A324="",J324=""),"",SUMIFS($J$5:$J$404,$B$5:$B$404,B324))</f>
        <v>0</v>
      </c>
      <c r="L324" s="8">
        <f>IF(OR(J324="",K324="",K324=0),"",J324/K324)</f>
        <v>0</v>
      </c>
      <c r="M324" s="8">
        <f>IF(K324="","",K324-Weekly_Budget)</f>
        <v>0</v>
      </c>
      <c r="N324" s="8">
        <f>IF(K324="","",IF(K324&gt;Weekly_Budget,"Over budget",IF(K324&gt;Weekly_Budget*0.9,"Close","Within budget")))</f>
        <v>0</v>
      </c>
      <c r="O324" s="7"/>
      <c r="P324" s="27"/>
      <c r="Q324" s="27"/>
      <c r="R324" s="28"/>
      <c r="S324" s="8">
        <f>IF(J324="","",COUNTIFS($J$5:$J$404,"&gt;"&amp;J324)+1)</f>
        <v>0</v>
      </c>
      <c r="T324" s="8">
        <f>IF(OR(A324="",J324=""),"",SUMIFS($J$5:$J$404,$C$5:$C$404,C324,$A$5:$A$404,"&lt;="&amp;A324))</f>
        <v>0</v>
      </c>
      <c r="U324" s="8">
        <f>IF(E324="","",IF(Q324="Yes","On offer","Full price"))</f>
        <v>0</v>
      </c>
      <c r="V324" s="25"/>
    </row>
    <row r="325" spans="1:22">
      <c r="A325" s="30"/>
      <c r="B325" s="8">
        <f>IF(A325="","",A325-WEEKDAY(A325,2)+1)</f>
        <v>0</v>
      </c>
      <c r="C325" s="8">
        <f>IF(A325="","",TEXT(A325,"mmm yyyy"))</f>
        <v>0</v>
      </c>
      <c r="D325" s="27"/>
      <c r="E325" s="7"/>
      <c r="F325" s="8">
        <f>IF(E325="","",IFERROR(INDEX(Ingredients!$B$5:$B$304,MATCH(E325,Ingredients!$A$5:$A$304,0)),""))</f>
        <v>0</v>
      </c>
      <c r="G325" s="26"/>
      <c r="H325" s="27"/>
      <c r="I325" s="28"/>
      <c r="J325" s="8">
        <f>IF(OR(E325="",G325="",I325=""),"",G325*I325)</f>
        <v>0</v>
      </c>
      <c r="K325" s="8">
        <f>IF(OR(A325="",J325=""),"",SUMIFS($J$5:$J$404,$B$5:$B$404,B325))</f>
        <v>0</v>
      </c>
      <c r="L325" s="8">
        <f>IF(OR(J325="",K325="",K325=0),"",J325/K325)</f>
        <v>0</v>
      </c>
      <c r="M325" s="8">
        <f>IF(K325="","",K325-Weekly_Budget)</f>
        <v>0</v>
      </c>
      <c r="N325" s="8">
        <f>IF(K325="","",IF(K325&gt;Weekly_Budget,"Over budget",IF(K325&gt;Weekly_Budget*0.9,"Close","Within budget")))</f>
        <v>0</v>
      </c>
      <c r="O325" s="7"/>
      <c r="P325" s="27"/>
      <c r="Q325" s="27"/>
      <c r="R325" s="28"/>
      <c r="S325" s="8">
        <f>IF(J325="","",COUNTIFS($J$5:$J$404,"&gt;"&amp;J325)+1)</f>
        <v>0</v>
      </c>
      <c r="T325" s="8">
        <f>IF(OR(A325="",J325=""),"",SUMIFS($J$5:$J$404,$C$5:$C$404,C325,$A$5:$A$404,"&lt;="&amp;A325))</f>
        <v>0</v>
      </c>
      <c r="U325" s="8">
        <f>IF(E325="","",IF(Q325="Yes","On offer","Full price"))</f>
        <v>0</v>
      </c>
      <c r="V325" s="25"/>
    </row>
    <row r="326" spans="1:22">
      <c r="A326" s="30"/>
      <c r="B326" s="8">
        <f>IF(A326="","",A326-WEEKDAY(A326,2)+1)</f>
        <v>0</v>
      </c>
      <c r="C326" s="8">
        <f>IF(A326="","",TEXT(A326,"mmm yyyy"))</f>
        <v>0</v>
      </c>
      <c r="D326" s="27"/>
      <c r="E326" s="7"/>
      <c r="F326" s="8">
        <f>IF(E326="","",IFERROR(INDEX(Ingredients!$B$5:$B$304,MATCH(E326,Ingredients!$A$5:$A$304,0)),""))</f>
        <v>0</v>
      </c>
      <c r="G326" s="26"/>
      <c r="H326" s="27"/>
      <c r="I326" s="28"/>
      <c r="J326" s="8">
        <f>IF(OR(E326="",G326="",I326=""),"",G326*I326)</f>
        <v>0</v>
      </c>
      <c r="K326" s="8">
        <f>IF(OR(A326="",J326=""),"",SUMIFS($J$5:$J$404,$B$5:$B$404,B326))</f>
        <v>0</v>
      </c>
      <c r="L326" s="8">
        <f>IF(OR(J326="",K326="",K326=0),"",J326/K326)</f>
        <v>0</v>
      </c>
      <c r="M326" s="8">
        <f>IF(K326="","",K326-Weekly_Budget)</f>
        <v>0</v>
      </c>
      <c r="N326" s="8">
        <f>IF(K326="","",IF(K326&gt;Weekly_Budget,"Over budget",IF(K326&gt;Weekly_Budget*0.9,"Close","Within budget")))</f>
        <v>0</v>
      </c>
      <c r="O326" s="7"/>
      <c r="P326" s="27"/>
      <c r="Q326" s="27"/>
      <c r="R326" s="28"/>
      <c r="S326" s="8">
        <f>IF(J326="","",COUNTIFS($J$5:$J$404,"&gt;"&amp;J326)+1)</f>
        <v>0</v>
      </c>
      <c r="T326" s="8">
        <f>IF(OR(A326="",J326=""),"",SUMIFS($J$5:$J$404,$C$5:$C$404,C326,$A$5:$A$404,"&lt;="&amp;A326))</f>
        <v>0</v>
      </c>
      <c r="U326" s="8">
        <f>IF(E326="","",IF(Q326="Yes","On offer","Full price"))</f>
        <v>0</v>
      </c>
      <c r="V326" s="25"/>
    </row>
    <row r="327" spans="1:22">
      <c r="A327" s="30"/>
      <c r="B327" s="8">
        <f>IF(A327="","",A327-WEEKDAY(A327,2)+1)</f>
        <v>0</v>
      </c>
      <c r="C327" s="8">
        <f>IF(A327="","",TEXT(A327,"mmm yyyy"))</f>
        <v>0</v>
      </c>
      <c r="D327" s="27"/>
      <c r="E327" s="7"/>
      <c r="F327" s="8">
        <f>IF(E327="","",IFERROR(INDEX(Ingredients!$B$5:$B$304,MATCH(E327,Ingredients!$A$5:$A$304,0)),""))</f>
        <v>0</v>
      </c>
      <c r="G327" s="26"/>
      <c r="H327" s="27"/>
      <c r="I327" s="28"/>
      <c r="J327" s="8">
        <f>IF(OR(E327="",G327="",I327=""),"",G327*I327)</f>
        <v>0</v>
      </c>
      <c r="K327" s="8">
        <f>IF(OR(A327="",J327=""),"",SUMIFS($J$5:$J$404,$B$5:$B$404,B327))</f>
        <v>0</v>
      </c>
      <c r="L327" s="8">
        <f>IF(OR(J327="",K327="",K327=0),"",J327/K327)</f>
        <v>0</v>
      </c>
      <c r="M327" s="8">
        <f>IF(K327="","",K327-Weekly_Budget)</f>
        <v>0</v>
      </c>
      <c r="N327" s="8">
        <f>IF(K327="","",IF(K327&gt;Weekly_Budget,"Over budget",IF(K327&gt;Weekly_Budget*0.9,"Close","Within budget")))</f>
        <v>0</v>
      </c>
      <c r="O327" s="7"/>
      <c r="P327" s="27"/>
      <c r="Q327" s="27"/>
      <c r="R327" s="28"/>
      <c r="S327" s="8">
        <f>IF(J327="","",COUNTIFS($J$5:$J$404,"&gt;"&amp;J327)+1)</f>
        <v>0</v>
      </c>
      <c r="T327" s="8">
        <f>IF(OR(A327="",J327=""),"",SUMIFS($J$5:$J$404,$C$5:$C$404,C327,$A$5:$A$404,"&lt;="&amp;A327))</f>
        <v>0</v>
      </c>
      <c r="U327" s="8">
        <f>IF(E327="","",IF(Q327="Yes","On offer","Full price"))</f>
        <v>0</v>
      </c>
      <c r="V327" s="25"/>
    </row>
    <row r="328" spans="1:22">
      <c r="A328" s="30"/>
      <c r="B328" s="8">
        <f>IF(A328="","",A328-WEEKDAY(A328,2)+1)</f>
        <v>0</v>
      </c>
      <c r="C328" s="8">
        <f>IF(A328="","",TEXT(A328,"mmm yyyy"))</f>
        <v>0</v>
      </c>
      <c r="D328" s="27"/>
      <c r="E328" s="7"/>
      <c r="F328" s="8">
        <f>IF(E328="","",IFERROR(INDEX(Ingredients!$B$5:$B$304,MATCH(E328,Ingredients!$A$5:$A$304,0)),""))</f>
        <v>0</v>
      </c>
      <c r="G328" s="26"/>
      <c r="H328" s="27"/>
      <c r="I328" s="28"/>
      <c r="J328" s="8">
        <f>IF(OR(E328="",G328="",I328=""),"",G328*I328)</f>
        <v>0</v>
      </c>
      <c r="K328" s="8">
        <f>IF(OR(A328="",J328=""),"",SUMIFS($J$5:$J$404,$B$5:$B$404,B328))</f>
        <v>0</v>
      </c>
      <c r="L328" s="8">
        <f>IF(OR(J328="",K328="",K328=0),"",J328/K328)</f>
        <v>0</v>
      </c>
      <c r="M328" s="8">
        <f>IF(K328="","",K328-Weekly_Budget)</f>
        <v>0</v>
      </c>
      <c r="N328" s="8">
        <f>IF(K328="","",IF(K328&gt;Weekly_Budget,"Over budget",IF(K328&gt;Weekly_Budget*0.9,"Close","Within budget")))</f>
        <v>0</v>
      </c>
      <c r="O328" s="7"/>
      <c r="P328" s="27"/>
      <c r="Q328" s="27"/>
      <c r="R328" s="28"/>
      <c r="S328" s="8">
        <f>IF(J328="","",COUNTIFS($J$5:$J$404,"&gt;"&amp;J328)+1)</f>
        <v>0</v>
      </c>
      <c r="T328" s="8">
        <f>IF(OR(A328="",J328=""),"",SUMIFS($J$5:$J$404,$C$5:$C$404,C328,$A$5:$A$404,"&lt;="&amp;A328))</f>
        <v>0</v>
      </c>
      <c r="U328" s="8">
        <f>IF(E328="","",IF(Q328="Yes","On offer","Full price"))</f>
        <v>0</v>
      </c>
      <c r="V328" s="25"/>
    </row>
    <row r="329" spans="1:22">
      <c r="A329" s="30"/>
      <c r="B329" s="8">
        <f>IF(A329="","",A329-WEEKDAY(A329,2)+1)</f>
        <v>0</v>
      </c>
      <c r="C329" s="8">
        <f>IF(A329="","",TEXT(A329,"mmm yyyy"))</f>
        <v>0</v>
      </c>
      <c r="D329" s="27"/>
      <c r="E329" s="7"/>
      <c r="F329" s="8">
        <f>IF(E329="","",IFERROR(INDEX(Ingredients!$B$5:$B$304,MATCH(E329,Ingredients!$A$5:$A$304,0)),""))</f>
        <v>0</v>
      </c>
      <c r="G329" s="26"/>
      <c r="H329" s="27"/>
      <c r="I329" s="28"/>
      <c r="J329" s="8">
        <f>IF(OR(E329="",G329="",I329=""),"",G329*I329)</f>
        <v>0</v>
      </c>
      <c r="K329" s="8">
        <f>IF(OR(A329="",J329=""),"",SUMIFS($J$5:$J$404,$B$5:$B$404,B329))</f>
        <v>0</v>
      </c>
      <c r="L329" s="8">
        <f>IF(OR(J329="",K329="",K329=0),"",J329/K329)</f>
        <v>0</v>
      </c>
      <c r="M329" s="8">
        <f>IF(K329="","",K329-Weekly_Budget)</f>
        <v>0</v>
      </c>
      <c r="N329" s="8">
        <f>IF(K329="","",IF(K329&gt;Weekly_Budget,"Over budget",IF(K329&gt;Weekly_Budget*0.9,"Close","Within budget")))</f>
        <v>0</v>
      </c>
      <c r="O329" s="7"/>
      <c r="P329" s="27"/>
      <c r="Q329" s="27"/>
      <c r="R329" s="28"/>
      <c r="S329" s="8">
        <f>IF(J329="","",COUNTIFS($J$5:$J$404,"&gt;"&amp;J329)+1)</f>
        <v>0</v>
      </c>
      <c r="T329" s="8">
        <f>IF(OR(A329="",J329=""),"",SUMIFS($J$5:$J$404,$C$5:$C$404,C329,$A$5:$A$404,"&lt;="&amp;A329))</f>
        <v>0</v>
      </c>
      <c r="U329" s="8">
        <f>IF(E329="","",IF(Q329="Yes","On offer","Full price"))</f>
        <v>0</v>
      </c>
      <c r="V329" s="25"/>
    </row>
    <row r="330" spans="1:22">
      <c r="A330" s="30"/>
      <c r="B330" s="8">
        <f>IF(A330="","",A330-WEEKDAY(A330,2)+1)</f>
        <v>0</v>
      </c>
      <c r="C330" s="8">
        <f>IF(A330="","",TEXT(A330,"mmm yyyy"))</f>
        <v>0</v>
      </c>
      <c r="D330" s="27"/>
      <c r="E330" s="7"/>
      <c r="F330" s="8">
        <f>IF(E330="","",IFERROR(INDEX(Ingredients!$B$5:$B$304,MATCH(E330,Ingredients!$A$5:$A$304,0)),""))</f>
        <v>0</v>
      </c>
      <c r="G330" s="26"/>
      <c r="H330" s="27"/>
      <c r="I330" s="28"/>
      <c r="J330" s="8">
        <f>IF(OR(E330="",G330="",I330=""),"",G330*I330)</f>
        <v>0</v>
      </c>
      <c r="K330" s="8">
        <f>IF(OR(A330="",J330=""),"",SUMIFS($J$5:$J$404,$B$5:$B$404,B330))</f>
        <v>0</v>
      </c>
      <c r="L330" s="8">
        <f>IF(OR(J330="",K330="",K330=0),"",J330/K330)</f>
        <v>0</v>
      </c>
      <c r="M330" s="8">
        <f>IF(K330="","",K330-Weekly_Budget)</f>
        <v>0</v>
      </c>
      <c r="N330" s="8">
        <f>IF(K330="","",IF(K330&gt;Weekly_Budget,"Over budget",IF(K330&gt;Weekly_Budget*0.9,"Close","Within budget")))</f>
        <v>0</v>
      </c>
      <c r="O330" s="7"/>
      <c r="P330" s="27"/>
      <c r="Q330" s="27"/>
      <c r="R330" s="28"/>
      <c r="S330" s="8">
        <f>IF(J330="","",COUNTIFS($J$5:$J$404,"&gt;"&amp;J330)+1)</f>
        <v>0</v>
      </c>
      <c r="T330" s="8">
        <f>IF(OR(A330="",J330=""),"",SUMIFS($J$5:$J$404,$C$5:$C$404,C330,$A$5:$A$404,"&lt;="&amp;A330))</f>
        <v>0</v>
      </c>
      <c r="U330" s="8">
        <f>IF(E330="","",IF(Q330="Yes","On offer","Full price"))</f>
        <v>0</v>
      </c>
      <c r="V330" s="25"/>
    </row>
    <row r="331" spans="1:22">
      <c r="A331" s="30"/>
      <c r="B331" s="8">
        <f>IF(A331="","",A331-WEEKDAY(A331,2)+1)</f>
        <v>0</v>
      </c>
      <c r="C331" s="8">
        <f>IF(A331="","",TEXT(A331,"mmm yyyy"))</f>
        <v>0</v>
      </c>
      <c r="D331" s="27"/>
      <c r="E331" s="7"/>
      <c r="F331" s="8">
        <f>IF(E331="","",IFERROR(INDEX(Ingredients!$B$5:$B$304,MATCH(E331,Ingredients!$A$5:$A$304,0)),""))</f>
        <v>0</v>
      </c>
      <c r="G331" s="26"/>
      <c r="H331" s="27"/>
      <c r="I331" s="28"/>
      <c r="J331" s="8">
        <f>IF(OR(E331="",G331="",I331=""),"",G331*I331)</f>
        <v>0</v>
      </c>
      <c r="K331" s="8">
        <f>IF(OR(A331="",J331=""),"",SUMIFS($J$5:$J$404,$B$5:$B$404,B331))</f>
        <v>0</v>
      </c>
      <c r="L331" s="8">
        <f>IF(OR(J331="",K331="",K331=0),"",J331/K331)</f>
        <v>0</v>
      </c>
      <c r="M331" s="8">
        <f>IF(K331="","",K331-Weekly_Budget)</f>
        <v>0</v>
      </c>
      <c r="N331" s="8">
        <f>IF(K331="","",IF(K331&gt;Weekly_Budget,"Over budget",IF(K331&gt;Weekly_Budget*0.9,"Close","Within budget")))</f>
        <v>0</v>
      </c>
      <c r="O331" s="7"/>
      <c r="P331" s="27"/>
      <c r="Q331" s="27"/>
      <c r="R331" s="28"/>
      <c r="S331" s="8">
        <f>IF(J331="","",COUNTIFS($J$5:$J$404,"&gt;"&amp;J331)+1)</f>
        <v>0</v>
      </c>
      <c r="T331" s="8">
        <f>IF(OR(A331="",J331=""),"",SUMIFS($J$5:$J$404,$C$5:$C$404,C331,$A$5:$A$404,"&lt;="&amp;A331))</f>
        <v>0</v>
      </c>
      <c r="U331" s="8">
        <f>IF(E331="","",IF(Q331="Yes","On offer","Full price"))</f>
        <v>0</v>
      </c>
      <c r="V331" s="25"/>
    </row>
    <row r="332" spans="1:22">
      <c r="A332" s="30"/>
      <c r="B332" s="8">
        <f>IF(A332="","",A332-WEEKDAY(A332,2)+1)</f>
        <v>0</v>
      </c>
      <c r="C332" s="8">
        <f>IF(A332="","",TEXT(A332,"mmm yyyy"))</f>
        <v>0</v>
      </c>
      <c r="D332" s="27"/>
      <c r="E332" s="7"/>
      <c r="F332" s="8">
        <f>IF(E332="","",IFERROR(INDEX(Ingredients!$B$5:$B$304,MATCH(E332,Ingredients!$A$5:$A$304,0)),""))</f>
        <v>0</v>
      </c>
      <c r="G332" s="26"/>
      <c r="H332" s="27"/>
      <c r="I332" s="28"/>
      <c r="J332" s="8">
        <f>IF(OR(E332="",G332="",I332=""),"",G332*I332)</f>
        <v>0</v>
      </c>
      <c r="K332" s="8">
        <f>IF(OR(A332="",J332=""),"",SUMIFS($J$5:$J$404,$B$5:$B$404,B332))</f>
        <v>0</v>
      </c>
      <c r="L332" s="8">
        <f>IF(OR(J332="",K332="",K332=0),"",J332/K332)</f>
        <v>0</v>
      </c>
      <c r="M332" s="8">
        <f>IF(K332="","",K332-Weekly_Budget)</f>
        <v>0</v>
      </c>
      <c r="N332" s="8">
        <f>IF(K332="","",IF(K332&gt;Weekly_Budget,"Over budget",IF(K332&gt;Weekly_Budget*0.9,"Close","Within budget")))</f>
        <v>0</v>
      </c>
      <c r="O332" s="7"/>
      <c r="P332" s="27"/>
      <c r="Q332" s="27"/>
      <c r="R332" s="28"/>
      <c r="S332" s="8">
        <f>IF(J332="","",COUNTIFS($J$5:$J$404,"&gt;"&amp;J332)+1)</f>
        <v>0</v>
      </c>
      <c r="T332" s="8">
        <f>IF(OR(A332="",J332=""),"",SUMIFS($J$5:$J$404,$C$5:$C$404,C332,$A$5:$A$404,"&lt;="&amp;A332))</f>
        <v>0</v>
      </c>
      <c r="U332" s="8">
        <f>IF(E332="","",IF(Q332="Yes","On offer","Full price"))</f>
        <v>0</v>
      </c>
      <c r="V332" s="25"/>
    </row>
    <row r="333" spans="1:22">
      <c r="A333" s="30"/>
      <c r="B333" s="8">
        <f>IF(A333="","",A333-WEEKDAY(A333,2)+1)</f>
        <v>0</v>
      </c>
      <c r="C333" s="8">
        <f>IF(A333="","",TEXT(A333,"mmm yyyy"))</f>
        <v>0</v>
      </c>
      <c r="D333" s="27"/>
      <c r="E333" s="7"/>
      <c r="F333" s="8">
        <f>IF(E333="","",IFERROR(INDEX(Ingredients!$B$5:$B$304,MATCH(E333,Ingredients!$A$5:$A$304,0)),""))</f>
        <v>0</v>
      </c>
      <c r="G333" s="26"/>
      <c r="H333" s="27"/>
      <c r="I333" s="28"/>
      <c r="J333" s="8">
        <f>IF(OR(E333="",G333="",I333=""),"",G333*I333)</f>
        <v>0</v>
      </c>
      <c r="K333" s="8">
        <f>IF(OR(A333="",J333=""),"",SUMIFS($J$5:$J$404,$B$5:$B$404,B333))</f>
        <v>0</v>
      </c>
      <c r="L333" s="8">
        <f>IF(OR(J333="",K333="",K333=0),"",J333/K333)</f>
        <v>0</v>
      </c>
      <c r="M333" s="8">
        <f>IF(K333="","",K333-Weekly_Budget)</f>
        <v>0</v>
      </c>
      <c r="N333" s="8">
        <f>IF(K333="","",IF(K333&gt;Weekly_Budget,"Over budget",IF(K333&gt;Weekly_Budget*0.9,"Close","Within budget")))</f>
        <v>0</v>
      </c>
      <c r="O333" s="7"/>
      <c r="P333" s="27"/>
      <c r="Q333" s="27"/>
      <c r="R333" s="28"/>
      <c r="S333" s="8">
        <f>IF(J333="","",COUNTIFS($J$5:$J$404,"&gt;"&amp;J333)+1)</f>
        <v>0</v>
      </c>
      <c r="T333" s="8">
        <f>IF(OR(A333="",J333=""),"",SUMIFS($J$5:$J$404,$C$5:$C$404,C333,$A$5:$A$404,"&lt;="&amp;A333))</f>
        <v>0</v>
      </c>
      <c r="U333" s="8">
        <f>IF(E333="","",IF(Q333="Yes","On offer","Full price"))</f>
        <v>0</v>
      </c>
      <c r="V333" s="25"/>
    </row>
    <row r="334" spans="1:22">
      <c r="A334" s="30"/>
      <c r="B334" s="8">
        <f>IF(A334="","",A334-WEEKDAY(A334,2)+1)</f>
        <v>0</v>
      </c>
      <c r="C334" s="8">
        <f>IF(A334="","",TEXT(A334,"mmm yyyy"))</f>
        <v>0</v>
      </c>
      <c r="D334" s="27"/>
      <c r="E334" s="7"/>
      <c r="F334" s="8">
        <f>IF(E334="","",IFERROR(INDEX(Ingredients!$B$5:$B$304,MATCH(E334,Ingredients!$A$5:$A$304,0)),""))</f>
        <v>0</v>
      </c>
      <c r="G334" s="26"/>
      <c r="H334" s="27"/>
      <c r="I334" s="28"/>
      <c r="J334" s="8">
        <f>IF(OR(E334="",G334="",I334=""),"",G334*I334)</f>
        <v>0</v>
      </c>
      <c r="K334" s="8">
        <f>IF(OR(A334="",J334=""),"",SUMIFS($J$5:$J$404,$B$5:$B$404,B334))</f>
        <v>0</v>
      </c>
      <c r="L334" s="8">
        <f>IF(OR(J334="",K334="",K334=0),"",J334/K334)</f>
        <v>0</v>
      </c>
      <c r="M334" s="8">
        <f>IF(K334="","",K334-Weekly_Budget)</f>
        <v>0</v>
      </c>
      <c r="N334" s="8">
        <f>IF(K334="","",IF(K334&gt;Weekly_Budget,"Over budget",IF(K334&gt;Weekly_Budget*0.9,"Close","Within budget")))</f>
        <v>0</v>
      </c>
      <c r="O334" s="7"/>
      <c r="P334" s="27"/>
      <c r="Q334" s="27"/>
      <c r="R334" s="28"/>
      <c r="S334" s="8">
        <f>IF(J334="","",COUNTIFS($J$5:$J$404,"&gt;"&amp;J334)+1)</f>
        <v>0</v>
      </c>
      <c r="T334" s="8">
        <f>IF(OR(A334="",J334=""),"",SUMIFS($J$5:$J$404,$C$5:$C$404,C334,$A$5:$A$404,"&lt;="&amp;A334))</f>
        <v>0</v>
      </c>
      <c r="U334" s="8">
        <f>IF(E334="","",IF(Q334="Yes","On offer","Full price"))</f>
        <v>0</v>
      </c>
      <c r="V334" s="25"/>
    </row>
    <row r="335" spans="1:22">
      <c r="A335" s="30"/>
      <c r="B335" s="8">
        <f>IF(A335="","",A335-WEEKDAY(A335,2)+1)</f>
        <v>0</v>
      </c>
      <c r="C335" s="8">
        <f>IF(A335="","",TEXT(A335,"mmm yyyy"))</f>
        <v>0</v>
      </c>
      <c r="D335" s="27"/>
      <c r="E335" s="7"/>
      <c r="F335" s="8">
        <f>IF(E335="","",IFERROR(INDEX(Ingredients!$B$5:$B$304,MATCH(E335,Ingredients!$A$5:$A$304,0)),""))</f>
        <v>0</v>
      </c>
      <c r="G335" s="26"/>
      <c r="H335" s="27"/>
      <c r="I335" s="28"/>
      <c r="J335" s="8">
        <f>IF(OR(E335="",G335="",I335=""),"",G335*I335)</f>
        <v>0</v>
      </c>
      <c r="K335" s="8">
        <f>IF(OR(A335="",J335=""),"",SUMIFS($J$5:$J$404,$B$5:$B$404,B335))</f>
        <v>0</v>
      </c>
      <c r="L335" s="8">
        <f>IF(OR(J335="",K335="",K335=0),"",J335/K335)</f>
        <v>0</v>
      </c>
      <c r="M335" s="8">
        <f>IF(K335="","",K335-Weekly_Budget)</f>
        <v>0</v>
      </c>
      <c r="N335" s="8">
        <f>IF(K335="","",IF(K335&gt;Weekly_Budget,"Over budget",IF(K335&gt;Weekly_Budget*0.9,"Close","Within budget")))</f>
        <v>0</v>
      </c>
      <c r="O335" s="7"/>
      <c r="P335" s="27"/>
      <c r="Q335" s="27"/>
      <c r="R335" s="28"/>
      <c r="S335" s="8">
        <f>IF(J335="","",COUNTIFS($J$5:$J$404,"&gt;"&amp;J335)+1)</f>
        <v>0</v>
      </c>
      <c r="T335" s="8">
        <f>IF(OR(A335="",J335=""),"",SUMIFS($J$5:$J$404,$C$5:$C$404,C335,$A$5:$A$404,"&lt;="&amp;A335))</f>
        <v>0</v>
      </c>
      <c r="U335" s="8">
        <f>IF(E335="","",IF(Q335="Yes","On offer","Full price"))</f>
        <v>0</v>
      </c>
      <c r="V335" s="25"/>
    </row>
    <row r="336" spans="1:22">
      <c r="A336" s="30"/>
      <c r="B336" s="8">
        <f>IF(A336="","",A336-WEEKDAY(A336,2)+1)</f>
        <v>0</v>
      </c>
      <c r="C336" s="8">
        <f>IF(A336="","",TEXT(A336,"mmm yyyy"))</f>
        <v>0</v>
      </c>
      <c r="D336" s="27"/>
      <c r="E336" s="7"/>
      <c r="F336" s="8">
        <f>IF(E336="","",IFERROR(INDEX(Ingredients!$B$5:$B$304,MATCH(E336,Ingredients!$A$5:$A$304,0)),""))</f>
        <v>0</v>
      </c>
      <c r="G336" s="26"/>
      <c r="H336" s="27"/>
      <c r="I336" s="28"/>
      <c r="J336" s="8">
        <f>IF(OR(E336="",G336="",I336=""),"",G336*I336)</f>
        <v>0</v>
      </c>
      <c r="K336" s="8">
        <f>IF(OR(A336="",J336=""),"",SUMIFS($J$5:$J$404,$B$5:$B$404,B336))</f>
        <v>0</v>
      </c>
      <c r="L336" s="8">
        <f>IF(OR(J336="",K336="",K336=0),"",J336/K336)</f>
        <v>0</v>
      </c>
      <c r="M336" s="8">
        <f>IF(K336="","",K336-Weekly_Budget)</f>
        <v>0</v>
      </c>
      <c r="N336" s="8">
        <f>IF(K336="","",IF(K336&gt;Weekly_Budget,"Over budget",IF(K336&gt;Weekly_Budget*0.9,"Close","Within budget")))</f>
        <v>0</v>
      </c>
      <c r="O336" s="7"/>
      <c r="P336" s="27"/>
      <c r="Q336" s="27"/>
      <c r="R336" s="28"/>
      <c r="S336" s="8">
        <f>IF(J336="","",COUNTIFS($J$5:$J$404,"&gt;"&amp;J336)+1)</f>
        <v>0</v>
      </c>
      <c r="T336" s="8">
        <f>IF(OR(A336="",J336=""),"",SUMIFS($J$5:$J$404,$C$5:$C$404,C336,$A$5:$A$404,"&lt;="&amp;A336))</f>
        <v>0</v>
      </c>
      <c r="U336" s="8">
        <f>IF(E336="","",IF(Q336="Yes","On offer","Full price"))</f>
        <v>0</v>
      </c>
      <c r="V336" s="25"/>
    </row>
    <row r="337" spans="1:22">
      <c r="A337" s="30"/>
      <c r="B337" s="8">
        <f>IF(A337="","",A337-WEEKDAY(A337,2)+1)</f>
        <v>0</v>
      </c>
      <c r="C337" s="8">
        <f>IF(A337="","",TEXT(A337,"mmm yyyy"))</f>
        <v>0</v>
      </c>
      <c r="D337" s="27"/>
      <c r="E337" s="7"/>
      <c r="F337" s="8">
        <f>IF(E337="","",IFERROR(INDEX(Ingredients!$B$5:$B$304,MATCH(E337,Ingredients!$A$5:$A$304,0)),""))</f>
        <v>0</v>
      </c>
      <c r="G337" s="26"/>
      <c r="H337" s="27"/>
      <c r="I337" s="28"/>
      <c r="J337" s="8">
        <f>IF(OR(E337="",G337="",I337=""),"",G337*I337)</f>
        <v>0</v>
      </c>
      <c r="K337" s="8">
        <f>IF(OR(A337="",J337=""),"",SUMIFS($J$5:$J$404,$B$5:$B$404,B337))</f>
        <v>0</v>
      </c>
      <c r="L337" s="8">
        <f>IF(OR(J337="",K337="",K337=0),"",J337/K337)</f>
        <v>0</v>
      </c>
      <c r="M337" s="8">
        <f>IF(K337="","",K337-Weekly_Budget)</f>
        <v>0</v>
      </c>
      <c r="N337" s="8">
        <f>IF(K337="","",IF(K337&gt;Weekly_Budget,"Over budget",IF(K337&gt;Weekly_Budget*0.9,"Close","Within budget")))</f>
        <v>0</v>
      </c>
      <c r="O337" s="7"/>
      <c r="P337" s="27"/>
      <c r="Q337" s="27"/>
      <c r="R337" s="28"/>
      <c r="S337" s="8">
        <f>IF(J337="","",COUNTIFS($J$5:$J$404,"&gt;"&amp;J337)+1)</f>
        <v>0</v>
      </c>
      <c r="T337" s="8">
        <f>IF(OR(A337="",J337=""),"",SUMIFS($J$5:$J$404,$C$5:$C$404,C337,$A$5:$A$404,"&lt;="&amp;A337))</f>
        <v>0</v>
      </c>
      <c r="U337" s="8">
        <f>IF(E337="","",IF(Q337="Yes","On offer","Full price"))</f>
        <v>0</v>
      </c>
      <c r="V337" s="25"/>
    </row>
    <row r="338" spans="1:22">
      <c r="A338" s="30"/>
      <c r="B338" s="8">
        <f>IF(A338="","",A338-WEEKDAY(A338,2)+1)</f>
        <v>0</v>
      </c>
      <c r="C338" s="8">
        <f>IF(A338="","",TEXT(A338,"mmm yyyy"))</f>
        <v>0</v>
      </c>
      <c r="D338" s="27"/>
      <c r="E338" s="7"/>
      <c r="F338" s="8">
        <f>IF(E338="","",IFERROR(INDEX(Ingredients!$B$5:$B$304,MATCH(E338,Ingredients!$A$5:$A$304,0)),""))</f>
        <v>0</v>
      </c>
      <c r="G338" s="26"/>
      <c r="H338" s="27"/>
      <c r="I338" s="28"/>
      <c r="J338" s="8">
        <f>IF(OR(E338="",G338="",I338=""),"",G338*I338)</f>
        <v>0</v>
      </c>
      <c r="K338" s="8">
        <f>IF(OR(A338="",J338=""),"",SUMIFS($J$5:$J$404,$B$5:$B$404,B338))</f>
        <v>0</v>
      </c>
      <c r="L338" s="8">
        <f>IF(OR(J338="",K338="",K338=0),"",J338/K338)</f>
        <v>0</v>
      </c>
      <c r="M338" s="8">
        <f>IF(K338="","",K338-Weekly_Budget)</f>
        <v>0</v>
      </c>
      <c r="N338" s="8">
        <f>IF(K338="","",IF(K338&gt;Weekly_Budget,"Over budget",IF(K338&gt;Weekly_Budget*0.9,"Close","Within budget")))</f>
        <v>0</v>
      </c>
      <c r="O338" s="7"/>
      <c r="P338" s="27"/>
      <c r="Q338" s="27"/>
      <c r="R338" s="28"/>
      <c r="S338" s="8">
        <f>IF(J338="","",COUNTIFS($J$5:$J$404,"&gt;"&amp;J338)+1)</f>
        <v>0</v>
      </c>
      <c r="T338" s="8">
        <f>IF(OR(A338="",J338=""),"",SUMIFS($J$5:$J$404,$C$5:$C$404,C338,$A$5:$A$404,"&lt;="&amp;A338))</f>
        <v>0</v>
      </c>
      <c r="U338" s="8">
        <f>IF(E338="","",IF(Q338="Yes","On offer","Full price"))</f>
        <v>0</v>
      </c>
      <c r="V338" s="25"/>
    </row>
    <row r="339" spans="1:22">
      <c r="A339" s="30"/>
      <c r="B339" s="8">
        <f>IF(A339="","",A339-WEEKDAY(A339,2)+1)</f>
        <v>0</v>
      </c>
      <c r="C339" s="8">
        <f>IF(A339="","",TEXT(A339,"mmm yyyy"))</f>
        <v>0</v>
      </c>
      <c r="D339" s="27"/>
      <c r="E339" s="7"/>
      <c r="F339" s="8">
        <f>IF(E339="","",IFERROR(INDEX(Ingredients!$B$5:$B$304,MATCH(E339,Ingredients!$A$5:$A$304,0)),""))</f>
        <v>0</v>
      </c>
      <c r="G339" s="26"/>
      <c r="H339" s="27"/>
      <c r="I339" s="28"/>
      <c r="J339" s="8">
        <f>IF(OR(E339="",G339="",I339=""),"",G339*I339)</f>
        <v>0</v>
      </c>
      <c r="K339" s="8">
        <f>IF(OR(A339="",J339=""),"",SUMIFS($J$5:$J$404,$B$5:$B$404,B339))</f>
        <v>0</v>
      </c>
      <c r="L339" s="8">
        <f>IF(OR(J339="",K339="",K339=0),"",J339/K339)</f>
        <v>0</v>
      </c>
      <c r="M339" s="8">
        <f>IF(K339="","",K339-Weekly_Budget)</f>
        <v>0</v>
      </c>
      <c r="N339" s="8">
        <f>IF(K339="","",IF(K339&gt;Weekly_Budget,"Over budget",IF(K339&gt;Weekly_Budget*0.9,"Close","Within budget")))</f>
        <v>0</v>
      </c>
      <c r="O339" s="7"/>
      <c r="P339" s="27"/>
      <c r="Q339" s="27"/>
      <c r="R339" s="28"/>
      <c r="S339" s="8">
        <f>IF(J339="","",COUNTIFS($J$5:$J$404,"&gt;"&amp;J339)+1)</f>
        <v>0</v>
      </c>
      <c r="T339" s="8">
        <f>IF(OR(A339="",J339=""),"",SUMIFS($J$5:$J$404,$C$5:$C$404,C339,$A$5:$A$404,"&lt;="&amp;A339))</f>
        <v>0</v>
      </c>
      <c r="U339" s="8">
        <f>IF(E339="","",IF(Q339="Yes","On offer","Full price"))</f>
        <v>0</v>
      </c>
      <c r="V339" s="25"/>
    </row>
    <row r="340" spans="1:22">
      <c r="A340" s="30"/>
      <c r="B340" s="8">
        <f>IF(A340="","",A340-WEEKDAY(A340,2)+1)</f>
        <v>0</v>
      </c>
      <c r="C340" s="8">
        <f>IF(A340="","",TEXT(A340,"mmm yyyy"))</f>
        <v>0</v>
      </c>
      <c r="D340" s="27"/>
      <c r="E340" s="7"/>
      <c r="F340" s="8">
        <f>IF(E340="","",IFERROR(INDEX(Ingredients!$B$5:$B$304,MATCH(E340,Ingredients!$A$5:$A$304,0)),""))</f>
        <v>0</v>
      </c>
      <c r="G340" s="26"/>
      <c r="H340" s="27"/>
      <c r="I340" s="28"/>
      <c r="J340" s="8">
        <f>IF(OR(E340="",G340="",I340=""),"",G340*I340)</f>
        <v>0</v>
      </c>
      <c r="K340" s="8">
        <f>IF(OR(A340="",J340=""),"",SUMIFS($J$5:$J$404,$B$5:$B$404,B340))</f>
        <v>0</v>
      </c>
      <c r="L340" s="8">
        <f>IF(OR(J340="",K340="",K340=0),"",J340/K340)</f>
        <v>0</v>
      </c>
      <c r="M340" s="8">
        <f>IF(K340="","",K340-Weekly_Budget)</f>
        <v>0</v>
      </c>
      <c r="N340" s="8">
        <f>IF(K340="","",IF(K340&gt;Weekly_Budget,"Over budget",IF(K340&gt;Weekly_Budget*0.9,"Close","Within budget")))</f>
        <v>0</v>
      </c>
      <c r="O340" s="7"/>
      <c r="P340" s="27"/>
      <c r="Q340" s="27"/>
      <c r="R340" s="28"/>
      <c r="S340" s="8">
        <f>IF(J340="","",COUNTIFS($J$5:$J$404,"&gt;"&amp;J340)+1)</f>
        <v>0</v>
      </c>
      <c r="T340" s="8">
        <f>IF(OR(A340="",J340=""),"",SUMIFS($J$5:$J$404,$C$5:$C$404,C340,$A$5:$A$404,"&lt;="&amp;A340))</f>
        <v>0</v>
      </c>
      <c r="U340" s="8">
        <f>IF(E340="","",IF(Q340="Yes","On offer","Full price"))</f>
        <v>0</v>
      </c>
      <c r="V340" s="25"/>
    </row>
    <row r="341" spans="1:22">
      <c r="A341" s="30"/>
      <c r="B341" s="8">
        <f>IF(A341="","",A341-WEEKDAY(A341,2)+1)</f>
        <v>0</v>
      </c>
      <c r="C341" s="8">
        <f>IF(A341="","",TEXT(A341,"mmm yyyy"))</f>
        <v>0</v>
      </c>
      <c r="D341" s="27"/>
      <c r="E341" s="7"/>
      <c r="F341" s="8">
        <f>IF(E341="","",IFERROR(INDEX(Ingredients!$B$5:$B$304,MATCH(E341,Ingredients!$A$5:$A$304,0)),""))</f>
        <v>0</v>
      </c>
      <c r="G341" s="26"/>
      <c r="H341" s="27"/>
      <c r="I341" s="28"/>
      <c r="J341" s="8">
        <f>IF(OR(E341="",G341="",I341=""),"",G341*I341)</f>
        <v>0</v>
      </c>
      <c r="K341" s="8">
        <f>IF(OR(A341="",J341=""),"",SUMIFS($J$5:$J$404,$B$5:$B$404,B341))</f>
        <v>0</v>
      </c>
      <c r="L341" s="8">
        <f>IF(OR(J341="",K341="",K341=0),"",J341/K341)</f>
        <v>0</v>
      </c>
      <c r="M341" s="8">
        <f>IF(K341="","",K341-Weekly_Budget)</f>
        <v>0</v>
      </c>
      <c r="N341" s="8">
        <f>IF(K341="","",IF(K341&gt;Weekly_Budget,"Over budget",IF(K341&gt;Weekly_Budget*0.9,"Close","Within budget")))</f>
        <v>0</v>
      </c>
      <c r="O341" s="7"/>
      <c r="P341" s="27"/>
      <c r="Q341" s="27"/>
      <c r="R341" s="28"/>
      <c r="S341" s="8">
        <f>IF(J341="","",COUNTIFS($J$5:$J$404,"&gt;"&amp;J341)+1)</f>
        <v>0</v>
      </c>
      <c r="T341" s="8">
        <f>IF(OR(A341="",J341=""),"",SUMIFS($J$5:$J$404,$C$5:$C$404,C341,$A$5:$A$404,"&lt;="&amp;A341))</f>
        <v>0</v>
      </c>
      <c r="U341" s="8">
        <f>IF(E341="","",IF(Q341="Yes","On offer","Full price"))</f>
        <v>0</v>
      </c>
      <c r="V341" s="25"/>
    </row>
    <row r="342" spans="1:22">
      <c r="A342" s="30"/>
      <c r="B342" s="8">
        <f>IF(A342="","",A342-WEEKDAY(A342,2)+1)</f>
        <v>0</v>
      </c>
      <c r="C342" s="8">
        <f>IF(A342="","",TEXT(A342,"mmm yyyy"))</f>
        <v>0</v>
      </c>
      <c r="D342" s="27"/>
      <c r="E342" s="7"/>
      <c r="F342" s="8">
        <f>IF(E342="","",IFERROR(INDEX(Ingredients!$B$5:$B$304,MATCH(E342,Ingredients!$A$5:$A$304,0)),""))</f>
        <v>0</v>
      </c>
      <c r="G342" s="26"/>
      <c r="H342" s="27"/>
      <c r="I342" s="28"/>
      <c r="J342" s="8">
        <f>IF(OR(E342="",G342="",I342=""),"",G342*I342)</f>
        <v>0</v>
      </c>
      <c r="K342" s="8">
        <f>IF(OR(A342="",J342=""),"",SUMIFS($J$5:$J$404,$B$5:$B$404,B342))</f>
        <v>0</v>
      </c>
      <c r="L342" s="8">
        <f>IF(OR(J342="",K342="",K342=0),"",J342/K342)</f>
        <v>0</v>
      </c>
      <c r="M342" s="8">
        <f>IF(K342="","",K342-Weekly_Budget)</f>
        <v>0</v>
      </c>
      <c r="N342" s="8">
        <f>IF(K342="","",IF(K342&gt;Weekly_Budget,"Over budget",IF(K342&gt;Weekly_Budget*0.9,"Close","Within budget")))</f>
        <v>0</v>
      </c>
      <c r="O342" s="7"/>
      <c r="P342" s="27"/>
      <c r="Q342" s="27"/>
      <c r="R342" s="28"/>
      <c r="S342" s="8">
        <f>IF(J342="","",COUNTIFS($J$5:$J$404,"&gt;"&amp;J342)+1)</f>
        <v>0</v>
      </c>
      <c r="T342" s="8">
        <f>IF(OR(A342="",J342=""),"",SUMIFS($J$5:$J$404,$C$5:$C$404,C342,$A$5:$A$404,"&lt;="&amp;A342))</f>
        <v>0</v>
      </c>
      <c r="U342" s="8">
        <f>IF(E342="","",IF(Q342="Yes","On offer","Full price"))</f>
        <v>0</v>
      </c>
      <c r="V342" s="25"/>
    </row>
    <row r="343" spans="1:22">
      <c r="A343" s="30"/>
      <c r="B343" s="8">
        <f>IF(A343="","",A343-WEEKDAY(A343,2)+1)</f>
        <v>0</v>
      </c>
      <c r="C343" s="8">
        <f>IF(A343="","",TEXT(A343,"mmm yyyy"))</f>
        <v>0</v>
      </c>
      <c r="D343" s="27"/>
      <c r="E343" s="7"/>
      <c r="F343" s="8">
        <f>IF(E343="","",IFERROR(INDEX(Ingredients!$B$5:$B$304,MATCH(E343,Ingredients!$A$5:$A$304,0)),""))</f>
        <v>0</v>
      </c>
      <c r="G343" s="26"/>
      <c r="H343" s="27"/>
      <c r="I343" s="28"/>
      <c r="J343" s="8">
        <f>IF(OR(E343="",G343="",I343=""),"",G343*I343)</f>
        <v>0</v>
      </c>
      <c r="K343" s="8">
        <f>IF(OR(A343="",J343=""),"",SUMIFS($J$5:$J$404,$B$5:$B$404,B343))</f>
        <v>0</v>
      </c>
      <c r="L343" s="8">
        <f>IF(OR(J343="",K343="",K343=0),"",J343/K343)</f>
        <v>0</v>
      </c>
      <c r="M343" s="8">
        <f>IF(K343="","",K343-Weekly_Budget)</f>
        <v>0</v>
      </c>
      <c r="N343" s="8">
        <f>IF(K343="","",IF(K343&gt;Weekly_Budget,"Over budget",IF(K343&gt;Weekly_Budget*0.9,"Close","Within budget")))</f>
        <v>0</v>
      </c>
      <c r="O343" s="7"/>
      <c r="P343" s="27"/>
      <c r="Q343" s="27"/>
      <c r="R343" s="28"/>
      <c r="S343" s="8">
        <f>IF(J343="","",COUNTIFS($J$5:$J$404,"&gt;"&amp;J343)+1)</f>
        <v>0</v>
      </c>
      <c r="T343" s="8">
        <f>IF(OR(A343="",J343=""),"",SUMIFS($J$5:$J$404,$C$5:$C$404,C343,$A$5:$A$404,"&lt;="&amp;A343))</f>
        <v>0</v>
      </c>
      <c r="U343" s="8">
        <f>IF(E343="","",IF(Q343="Yes","On offer","Full price"))</f>
        <v>0</v>
      </c>
      <c r="V343" s="25"/>
    </row>
    <row r="344" spans="1:22">
      <c r="A344" s="30"/>
      <c r="B344" s="8">
        <f>IF(A344="","",A344-WEEKDAY(A344,2)+1)</f>
        <v>0</v>
      </c>
      <c r="C344" s="8">
        <f>IF(A344="","",TEXT(A344,"mmm yyyy"))</f>
        <v>0</v>
      </c>
      <c r="D344" s="27"/>
      <c r="E344" s="7"/>
      <c r="F344" s="8">
        <f>IF(E344="","",IFERROR(INDEX(Ingredients!$B$5:$B$304,MATCH(E344,Ingredients!$A$5:$A$304,0)),""))</f>
        <v>0</v>
      </c>
      <c r="G344" s="26"/>
      <c r="H344" s="27"/>
      <c r="I344" s="28"/>
      <c r="J344" s="8">
        <f>IF(OR(E344="",G344="",I344=""),"",G344*I344)</f>
        <v>0</v>
      </c>
      <c r="K344" s="8">
        <f>IF(OR(A344="",J344=""),"",SUMIFS($J$5:$J$404,$B$5:$B$404,B344))</f>
        <v>0</v>
      </c>
      <c r="L344" s="8">
        <f>IF(OR(J344="",K344="",K344=0),"",J344/K344)</f>
        <v>0</v>
      </c>
      <c r="M344" s="8">
        <f>IF(K344="","",K344-Weekly_Budget)</f>
        <v>0</v>
      </c>
      <c r="N344" s="8">
        <f>IF(K344="","",IF(K344&gt;Weekly_Budget,"Over budget",IF(K344&gt;Weekly_Budget*0.9,"Close","Within budget")))</f>
        <v>0</v>
      </c>
      <c r="O344" s="7"/>
      <c r="P344" s="27"/>
      <c r="Q344" s="27"/>
      <c r="R344" s="28"/>
      <c r="S344" s="8">
        <f>IF(J344="","",COUNTIFS($J$5:$J$404,"&gt;"&amp;J344)+1)</f>
        <v>0</v>
      </c>
      <c r="T344" s="8">
        <f>IF(OR(A344="",J344=""),"",SUMIFS($J$5:$J$404,$C$5:$C$404,C344,$A$5:$A$404,"&lt;="&amp;A344))</f>
        <v>0</v>
      </c>
      <c r="U344" s="8">
        <f>IF(E344="","",IF(Q344="Yes","On offer","Full price"))</f>
        <v>0</v>
      </c>
      <c r="V344" s="25"/>
    </row>
    <row r="345" spans="1:22">
      <c r="A345" s="30"/>
      <c r="B345" s="8">
        <f>IF(A345="","",A345-WEEKDAY(A345,2)+1)</f>
        <v>0</v>
      </c>
      <c r="C345" s="8">
        <f>IF(A345="","",TEXT(A345,"mmm yyyy"))</f>
        <v>0</v>
      </c>
      <c r="D345" s="27"/>
      <c r="E345" s="7"/>
      <c r="F345" s="8">
        <f>IF(E345="","",IFERROR(INDEX(Ingredients!$B$5:$B$304,MATCH(E345,Ingredients!$A$5:$A$304,0)),""))</f>
        <v>0</v>
      </c>
      <c r="G345" s="26"/>
      <c r="H345" s="27"/>
      <c r="I345" s="28"/>
      <c r="J345" s="8">
        <f>IF(OR(E345="",G345="",I345=""),"",G345*I345)</f>
        <v>0</v>
      </c>
      <c r="K345" s="8">
        <f>IF(OR(A345="",J345=""),"",SUMIFS($J$5:$J$404,$B$5:$B$404,B345))</f>
        <v>0</v>
      </c>
      <c r="L345" s="8">
        <f>IF(OR(J345="",K345="",K345=0),"",J345/K345)</f>
        <v>0</v>
      </c>
      <c r="M345" s="8">
        <f>IF(K345="","",K345-Weekly_Budget)</f>
        <v>0</v>
      </c>
      <c r="N345" s="8">
        <f>IF(K345="","",IF(K345&gt;Weekly_Budget,"Over budget",IF(K345&gt;Weekly_Budget*0.9,"Close","Within budget")))</f>
        <v>0</v>
      </c>
      <c r="O345" s="7"/>
      <c r="P345" s="27"/>
      <c r="Q345" s="27"/>
      <c r="R345" s="28"/>
      <c r="S345" s="8">
        <f>IF(J345="","",COUNTIFS($J$5:$J$404,"&gt;"&amp;J345)+1)</f>
        <v>0</v>
      </c>
      <c r="T345" s="8">
        <f>IF(OR(A345="",J345=""),"",SUMIFS($J$5:$J$404,$C$5:$C$404,C345,$A$5:$A$404,"&lt;="&amp;A345))</f>
        <v>0</v>
      </c>
      <c r="U345" s="8">
        <f>IF(E345="","",IF(Q345="Yes","On offer","Full price"))</f>
        <v>0</v>
      </c>
      <c r="V345" s="25"/>
    </row>
    <row r="346" spans="1:22">
      <c r="A346" s="30"/>
      <c r="B346" s="8">
        <f>IF(A346="","",A346-WEEKDAY(A346,2)+1)</f>
        <v>0</v>
      </c>
      <c r="C346" s="8">
        <f>IF(A346="","",TEXT(A346,"mmm yyyy"))</f>
        <v>0</v>
      </c>
      <c r="D346" s="27"/>
      <c r="E346" s="7"/>
      <c r="F346" s="8">
        <f>IF(E346="","",IFERROR(INDEX(Ingredients!$B$5:$B$304,MATCH(E346,Ingredients!$A$5:$A$304,0)),""))</f>
        <v>0</v>
      </c>
      <c r="G346" s="26"/>
      <c r="H346" s="27"/>
      <c r="I346" s="28"/>
      <c r="J346" s="8">
        <f>IF(OR(E346="",G346="",I346=""),"",G346*I346)</f>
        <v>0</v>
      </c>
      <c r="K346" s="8">
        <f>IF(OR(A346="",J346=""),"",SUMIFS($J$5:$J$404,$B$5:$B$404,B346))</f>
        <v>0</v>
      </c>
      <c r="L346" s="8">
        <f>IF(OR(J346="",K346="",K346=0),"",J346/K346)</f>
        <v>0</v>
      </c>
      <c r="M346" s="8">
        <f>IF(K346="","",K346-Weekly_Budget)</f>
        <v>0</v>
      </c>
      <c r="N346" s="8">
        <f>IF(K346="","",IF(K346&gt;Weekly_Budget,"Over budget",IF(K346&gt;Weekly_Budget*0.9,"Close","Within budget")))</f>
        <v>0</v>
      </c>
      <c r="O346" s="7"/>
      <c r="P346" s="27"/>
      <c r="Q346" s="27"/>
      <c r="R346" s="28"/>
      <c r="S346" s="8">
        <f>IF(J346="","",COUNTIFS($J$5:$J$404,"&gt;"&amp;J346)+1)</f>
        <v>0</v>
      </c>
      <c r="T346" s="8">
        <f>IF(OR(A346="",J346=""),"",SUMIFS($J$5:$J$404,$C$5:$C$404,C346,$A$5:$A$404,"&lt;="&amp;A346))</f>
        <v>0</v>
      </c>
      <c r="U346" s="8">
        <f>IF(E346="","",IF(Q346="Yes","On offer","Full price"))</f>
        <v>0</v>
      </c>
      <c r="V346" s="25"/>
    </row>
    <row r="347" spans="1:22">
      <c r="A347" s="30"/>
      <c r="B347" s="8">
        <f>IF(A347="","",A347-WEEKDAY(A347,2)+1)</f>
        <v>0</v>
      </c>
      <c r="C347" s="8">
        <f>IF(A347="","",TEXT(A347,"mmm yyyy"))</f>
        <v>0</v>
      </c>
      <c r="D347" s="27"/>
      <c r="E347" s="7"/>
      <c r="F347" s="8">
        <f>IF(E347="","",IFERROR(INDEX(Ingredients!$B$5:$B$304,MATCH(E347,Ingredients!$A$5:$A$304,0)),""))</f>
        <v>0</v>
      </c>
      <c r="G347" s="26"/>
      <c r="H347" s="27"/>
      <c r="I347" s="28"/>
      <c r="J347" s="8">
        <f>IF(OR(E347="",G347="",I347=""),"",G347*I347)</f>
        <v>0</v>
      </c>
      <c r="K347" s="8">
        <f>IF(OR(A347="",J347=""),"",SUMIFS($J$5:$J$404,$B$5:$B$404,B347))</f>
        <v>0</v>
      </c>
      <c r="L347" s="8">
        <f>IF(OR(J347="",K347="",K347=0),"",J347/K347)</f>
        <v>0</v>
      </c>
      <c r="M347" s="8">
        <f>IF(K347="","",K347-Weekly_Budget)</f>
        <v>0</v>
      </c>
      <c r="N347" s="8">
        <f>IF(K347="","",IF(K347&gt;Weekly_Budget,"Over budget",IF(K347&gt;Weekly_Budget*0.9,"Close","Within budget")))</f>
        <v>0</v>
      </c>
      <c r="O347" s="7"/>
      <c r="P347" s="27"/>
      <c r="Q347" s="27"/>
      <c r="R347" s="28"/>
      <c r="S347" s="8">
        <f>IF(J347="","",COUNTIFS($J$5:$J$404,"&gt;"&amp;J347)+1)</f>
        <v>0</v>
      </c>
      <c r="T347" s="8">
        <f>IF(OR(A347="",J347=""),"",SUMIFS($J$5:$J$404,$C$5:$C$404,C347,$A$5:$A$404,"&lt;="&amp;A347))</f>
        <v>0</v>
      </c>
      <c r="U347" s="8">
        <f>IF(E347="","",IF(Q347="Yes","On offer","Full price"))</f>
        <v>0</v>
      </c>
      <c r="V347" s="25"/>
    </row>
    <row r="348" spans="1:22">
      <c r="A348" s="30"/>
      <c r="B348" s="8">
        <f>IF(A348="","",A348-WEEKDAY(A348,2)+1)</f>
        <v>0</v>
      </c>
      <c r="C348" s="8">
        <f>IF(A348="","",TEXT(A348,"mmm yyyy"))</f>
        <v>0</v>
      </c>
      <c r="D348" s="27"/>
      <c r="E348" s="7"/>
      <c r="F348" s="8">
        <f>IF(E348="","",IFERROR(INDEX(Ingredients!$B$5:$B$304,MATCH(E348,Ingredients!$A$5:$A$304,0)),""))</f>
        <v>0</v>
      </c>
      <c r="G348" s="26"/>
      <c r="H348" s="27"/>
      <c r="I348" s="28"/>
      <c r="J348" s="8">
        <f>IF(OR(E348="",G348="",I348=""),"",G348*I348)</f>
        <v>0</v>
      </c>
      <c r="K348" s="8">
        <f>IF(OR(A348="",J348=""),"",SUMIFS($J$5:$J$404,$B$5:$B$404,B348))</f>
        <v>0</v>
      </c>
      <c r="L348" s="8">
        <f>IF(OR(J348="",K348="",K348=0),"",J348/K348)</f>
        <v>0</v>
      </c>
      <c r="M348" s="8">
        <f>IF(K348="","",K348-Weekly_Budget)</f>
        <v>0</v>
      </c>
      <c r="N348" s="8">
        <f>IF(K348="","",IF(K348&gt;Weekly_Budget,"Over budget",IF(K348&gt;Weekly_Budget*0.9,"Close","Within budget")))</f>
        <v>0</v>
      </c>
      <c r="O348" s="7"/>
      <c r="P348" s="27"/>
      <c r="Q348" s="27"/>
      <c r="R348" s="28"/>
      <c r="S348" s="8">
        <f>IF(J348="","",COUNTIFS($J$5:$J$404,"&gt;"&amp;J348)+1)</f>
        <v>0</v>
      </c>
      <c r="T348" s="8">
        <f>IF(OR(A348="",J348=""),"",SUMIFS($J$5:$J$404,$C$5:$C$404,C348,$A$5:$A$404,"&lt;="&amp;A348))</f>
        <v>0</v>
      </c>
      <c r="U348" s="8">
        <f>IF(E348="","",IF(Q348="Yes","On offer","Full price"))</f>
        <v>0</v>
      </c>
      <c r="V348" s="25"/>
    </row>
    <row r="349" spans="1:22">
      <c r="A349" s="30"/>
      <c r="B349" s="8">
        <f>IF(A349="","",A349-WEEKDAY(A349,2)+1)</f>
        <v>0</v>
      </c>
      <c r="C349" s="8">
        <f>IF(A349="","",TEXT(A349,"mmm yyyy"))</f>
        <v>0</v>
      </c>
      <c r="D349" s="27"/>
      <c r="E349" s="7"/>
      <c r="F349" s="8">
        <f>IF(E349="","",IFERROR(INDEX(Ingredients!$B$5:$B$304,MATCH(E349,Ingredients!$A$5:$A$304,0)),""))</f>
        <v>0</v>
      </c>
      <c r="G349" s="26"/>
      <c r="H349" s="27"/>
      <c r="I349" s="28"/>
      <c r="J349" s="8">
        <f>IF(OR(E349="",G349="",I349=""),"",G349*I349)</f>
        <v>0</v>
      </c>
      <c r="K349" s="8">
        <f>IF(OR(A349="",J349=""),"",SUMIFS($J$5:$J$404,$B$5:$B$404,B349))</f>
        <v>0</v>
      </c>
      <c r="L349" s="8">
        <f>IF(OR(J349="",K349="",K349=0),"",J349/K349)</f>
        <v>0</v>
      </c>
      <c r="M349" s="8">
        <f>IF(K349="","",K349-Weekly_Budget)</f>
        <v>0</v>
      </c>
      <c r="N349" s="8">
        <f>IF(K349="","",IF(K349&gt;Weekly_Budget,"Over budget",IF(K349&gt;Weekly_Budget*0.9,"Close","Within budget")))</f>
        <v>0</v>
      </c>
      <c r="O349" s="7"/>
      <c r="P349" s="27"/>
      <c r="Q349" s="27"/>
      <c r="R349" s="28"/>
      <c r="S349" s="8">
        <f>IF(J349="","",COUNTIFS($J$5:$J$404,"&gt;"&amp;J349)+1)</f>
        <v>0</v>
      </c>
      <c r="T349" s="8">
        <f>IF(OR(A349="",J349=""),"",SUMIFS($J$5:$J$404,$C$5:$C$404,C349,$A$5:$A$404,"&lt;="&amp;A349))</f>
        <v>0</v>
      </c>
      <c r="U349" s="8">
        <f>IF(E349="","",IF(Q349="Yes","On offer","Full price"))</f>
        <v>0</v>
      </c>
      <c r="V349" s="25"/>
    </row>
    <row r="350" spans="1:22">
      <c r="A350" s="30"/>
      <c r="B350" s="8">
        <f>IF(A350="","",A350-WEEKDAY(A350,2)+1)</f>
        <v>0</v>
      </c>
      <c r="C350" s="8">
        <f>IF(A350="","",TEXT(A350,"mmm yyyy"))</f>
        <v>0</v>
      </c>
      <c r="D350" s="27"/>
      <c r="E350" s="7"/>
      <c r="F350" s="8">
        <f>IF(E350="","",IFERROR(INDEX(Ingredients!$B$5:$B$304,MATCH(E350,Ingredients!$A$5:$A$304,0)),""))</f>
        <v>0</v>
      </c>
      <c r="G350" s="26"/>
      <c r="H350" s="27"/>
      <c r="I350" s="28"/>
      <c r="J350" s="8">
        <f>IF(OR(E350="",G350="",I350=""),"",G350*I350)</f>
        <v>0</v>
      </c>
      <c r="K350" s="8">
        <f>IF(OR(A350="",J350=""),"",SUMIFS($J$5:$J$404,$B$5:$B$404,B350))</f>
        <v>0</v>
      </c>
      <c r="L350" s="8">
        <f>IF(OR(J350="",K350="",K350=0),"",J350/K350)</f>
        <v>0</v>
      </c>
      <c r="M350" s="8">
        <f>IF(K350="","",K350-Weekly_Budget)</f>
        <v>0</v>
      </c>
      <c r="N350" s="8">
        <f>IF(K350="","",IF(K350&gt;Weekly_Budget,"Over budget",IF(K350&gt;Weekly_Budget*0.9,"Close","Within budget")))</f>
        <v>0</v>
      </c>
      <c r="O350" s="7"/>
      <c r="P350" s="27"/>
      <c r="Q350" s="27"/>
      <c r="R350" s="28"/>
      <c r="S350" s="8">
        <f>IF(J350="","",COUNTIFS($J$5:$J$404,"&gt;"&amp;J350)+1)</f>
        <v>0</v>
      </c>
      <c r="T350" s="8">
        <f>IF(OR(A350="",J350=""),"",SUMIFS($J$5:$J$404,$C$5:$C$404,C350,$A$5:$A$404,"&lt;="&amp;A350))</f>
        <v>0</v>
      </c>
      <c r="U350" s="8">
        <f>IF(E350="","",IF(Q350="Yes","On offer","Full price"))</f>
        <v>0</v>
      </c>
      <c r="V350" s="25"/>
    </row>
    <row r="351" spans="1:22">
      <c r="A351" s="30"/>
      <c r="B351" s="8">
        <f>IF(A351="","",A351-WEEKDAY(A351,2)+1)</f>
        <v>0</v>
      </c>
      <c r="C351" s="8">
        <f>IF(A351="","",TEXT(A351,"mmm yyyy"))</f>
        <v>0</v>
      </c>
      <c r="D351" s="27"/>
      <c r="E351" s="7"/>
      <c r="F351" s="8">
        <f>IF(E351="","",IFERROR(INDEX(Ingredients!$B$5:$B$304,MATCH(E351,Ingredients!$A$5:$A$304,0)),""))</f>
        <v>0</v>
      </c>
      <c r="G351" s="26"/>
      <c r="H351" s="27"/>
      <c r="I351" s="28"/>
      <c r="J351" s="8">
        <f>IF(OR(E351="",G351="",I351=""),"",G351*I351)</f>
        <v>0</v>
      </c>
      <c r="K351" s="8">
        <f>IF(OR(A351="",J351=""),"",SUMIFS($J$5:$J$404,$B$5:$B$404,B351))</f>
        <v>0</v>
      </c>
      <c r="L351" s="8">
        <f>IF(OR(J351="",K351="",K351=0),"",J351/K351)</f>
        <v>0</v>
      </c>
      <c r="M351" s="8">
        <f>IF(K351="","",K351-Weekly_Budget)</f>
        <v>0</v>
      </c>
      <c r="N351" s="8">
        <f>IF(K351="","",IF(K351&gt;Weekly_Budget,"Over budget",IF(K351&gt;Weekly_Budget*0.9,"Close","Within budget")))</f>
        <v>0</v>
      </c>
      <c r="O351" s="7"/>
      <c r="P351" s="27"/>
      <c r="Q351" s="27"/>
      <c r="R351" s="28"/>
      <c r="S351" s="8">
        <f>IF(J351="","",COUNTIFS($J$5:$J$404,"&gt;"&amp;J351)+1)</f>
        <v>0</v>
      </c>
      <c r="T351" s="8">
        <f>IF(OR(A351="",J351=""),"",SUMIFS($J$5:$J$404,$C$5:$C$404,C351,$A$5:$A$404,"&lt;="&amp;A351))</f>
        <v>0</v>
      </c>
      <c r="U351" s="8">
        <f>IF(E351="","",IF(Q351="Yes","On offer","Full price"))</f>
        <v>0</v>
      </c>
      <c r="V351" s="25"/>
    </row>
    <row r="352" spans="1:22">
      <c r="A352" s="30"/>
      <c r="B352" s="8">
        <f>IF(A352="","",A352-WEEKDAY(A352,2)+1)</f>
        <v>0</v>
      </c>
      <c r="C352" s="8">
        <f>IF(A352="","",TEXT(A352,"mmm yyyy"))</f>
        <v>0</v>
      </c>
      <c r="D352" s="27"/>
      <c r="E352" s="7"/>
      <c r="F352" s="8">
        <f>IF(E352="","",IFERROR(INDEX(Ingredients!$B$5:$B$304,MATCH(E352,Ingredients!$A$5:$A$304,0)),""))</f>
        <v>0</v>
      </c>
      <c r="G352" s="26"/>
      <c r="H352" s="27"/>
      <c r="I352" s="28"/>
      <c r="J352" s="8">
        <f>IF(OR(E352="",G352="",I352=""),"",G352*I352)</f>
        <v>0</v>
      </c>
      <c r="K352" s="8">
        <f>IF(OR(A352="",J352=""),"",SUMIFS($J$5:$J$404,$B$5:$B$404,B352))</f>
        <v>0</v>
      </c>
      <c r="L352" s="8">
        <f>IF(OR(J352="",K352="",K352=0),"",J352/K352)</f>
        <v>0</v>
      </c>
      <c r="M352" s="8">
        <f>IF(K352="","",K352-Weekly_Budget)</f>
        <v>0</v>
      </c>
      <c r="N352" s="8">
        <f>IF(K352="","",IF(K352&gt;Weekly_Budget,"Over budget",IF(K352&gt;Weekly_Budget*0.9,"Close","Within budget")))</f>
        <v>0</v>
      </c>
      <c r="O352" s="7"/>
      <c r="P352" s="27"/>
      <c r="Q352" s="27"/>
      <c r="R352" s="28"/>
      <c r="S352" s="8">
        <f>IF(J352="","",COUNTIFS($J$5:$J$404,"&gt;"&amp;J352)+1)</f>
        <v>0</v>
      </c>
      <c r="T352" s="8">
        <f>IF(OR(A352="",J352=""),"",SUMIFS($J$5:$J$404,$C$5:$C$404,C352,$A$5:$A$404,"&lt;="&amp;A352))</f>
        <v>0</v>
      </c>
      <c r="U352" s="8">
        <f>IF(E352="","",IF(Q352="Yes","On offer","Full price"))</f>
        <v>0</v>
      </c>
      <c r="V352" s="25"/>
    </row>
    <row r="353" spans="1:22">
      <c r="A353" s="30"/>
      <c r="B353" s="8">
        <f>IF(A353="","",A353-WEEKDAY(A353,2)+1)</f>
        <v>0</v>
      </c>
      <c r="C353" s="8">
        <f>IF(A353="","",TEXT(A353,"mmm yyyy"))</f>
        <v>0</v>
      </c>
      <c r="D353" s="27"/>
      <c r="E353" s="7"/>
      <c r="F353" s="8">
        <f>IF(E353="","",IFERROR(INDEX(Ingredients!$B$5:$B$304,MATCH(E353,Ingredients!$A$5:$A$304,0)),""))</f>
        <v>0</v>
      </c>
      <c r="G353" s="26"/>
      <c r="H353" s="27"/>
      <c r="I353" s="28"/>
      <c r="J353" s="8">
        <f>IF(OR(E353="",G353="",I353=""),"",G353*I353)</f>
        <v>0</v>
      </c>
      <c r="K353" s="8">
        <f>IF(OR(A353="",J353=""),"",SUMIFS($J$5:$J$404,$B$5:$B$404,B353))</f>
        <v>0</v>
      </c>
      <c r="L353" s="8">
        <f>IF(OR(J353="",K353="",K353=0),"",J353/K353)</f>
        <v>0</v>
      </c>
      <c r="M353" s="8">
        <f>IF(K353="","",K353-Weekly_Budget)</f>
        <v>0</v>
      </c>
      <c r="N353" s="8">
        <f>IF(K353="","",IF(K353&gt;Weekly_Budget,"Over budget",IF(K353&gt;Weekly_Budget*0.9,"Close","Within budget")))</f>
        <v>0</v>
      </c>
      <c r="O353" s="7"/>
      <c r="P353" s="27"/>
      <c r="Q353" s="27"/>
      <c r="R353" s="28"/>
      <c r="S353" s="8">
        <f>IF(J353="","",COUNTIFS($J$5:$J$404,"&gt;"&amp;J353)+1)</f>
        <v>0</v>
      </c>
      <c r="T353" s="8">
        <f>IF(OR(A353="",J353=""),"",SUMIFS($J$5:$J$404,$C$5:$C$404,C353,$A$5:$A$404,"&lt;="&amp;A353))</f>
        <v>0</v>
      </c>
      <c r="U353" s="8">
        <f>IF(E353="","",IF(Q353="Yes","On offer","Full price"))</f>
        <v>0</v>
      </c>
      <c r="V353" s="25"/>
    </row>
    <row r="354" spans="1:22">
      <c r="A354" s="30"/>
      <c r="B354" s="8">
        <f>IF(A354="","",A354-WEEKDAY(A354,2)+1)</f>
        <v>0</v>
      </c>
      <c r="C354" s="8">
        <f>IF(A354="","",TEXT(A354,"mmm yyyy"))</f>
        <v>0</v>
      </c>
      <c r="D354" s="27"/>
      <c r="E354" s="7"/>
      <c r="F354" s="8">
        <f>IF(E354="","",IFERROR(INDEX(Ingredients!$B$5:$B$304,MATCH(E354,Ingredients!$A$5:$A$304,0)),""))</f>
        <v>0</v>
      </c>
      <c r="G354" s="26"/>
      <c r="H354" s="27"/>
      <c r="I354" s="28"/>
      <c r="J354" s="8">
        <f>IF(OR(E354="",G354="",I354=""),"",G354*I354)</f>
        <v>0</v>
      </c>
      <c r="K354" s="8">
        <f>IF(OR(A354="",J354=""),"",SUMIFS($J$5:$J$404,$B$5:$B$404,B354))</f>
        <v>0</v>
      </c>
      <c r="L354" s="8">
        <f>IF(OR(J354="",K354="",K354=0),"",J354/K354)</f>
        <v>0</v>
      </c>
      <c r="M354" s="8">
        <f>IF(K354="","",K354-Weekly_Budget)</f>
        <v>0</v>
      </c>
      <c r="N354" s="8">
        <f>IF(K354="","",IF(K354&gt;Weekly_Budget,"Over budget",IF(K354&gt;Weekly_Budget*0.9,"Close","Within budget")))</f>
        <v>0</v>
      </c>
      <c r="O354" s="7"/>
      <c r="P354" s="27"/>
      <c r="Q354" s="27"/>
      <c r="R354" s="28"/>
      <c r="S354" s="8">
        <f>IF(J354="","",COUNTIFS($J$5:$J$404,"&gt;"&amp;J354)+1)</f>
        <v>0</v>
      </c>
      <c r="T354" s="8">
        <f>IF(OR(A354="",J354=""),"",SUMIFS($J$5:$J$404,$C$5:$C$404,C354,$A$5:$A$404,"&lt;="&amp;A354))</f>
        <v>0</v>
      </c>
      <c r="U354" s="8">
        <f>IF(E354="","",IF(Q354="Yes","On offer","Full price"))</f>
        <v>0</v>
      </c>
      <c r="V354" s="25"/>
    </row>
    <row r="355" spans="1:22">
      <c r="A355" s="30"/>
      <c r="B355" s="8">
        <f>IF(A355="","",A355-WEEKDAY(A355,2)+1)</f>
        <v>0</v>
      </c>
      <c r="C355" s="8">
        <f>IF(A355="","",TEXT(A355,"mmm yyyy"))</f>
        <v>0</v>
      </c>
      <c r="D355" s="27"/>
      <c r="E355" s="7"/>
      <c r="F355" s="8">
        <f>IF(E355="","",IFERROR(INDEX(Ingredients!$B$5:$B$304,MATCH(E355,Ingredients!$A$5:$A$304,0)),""))</f>
        <v>0</v>
      </c>
      <c r="G355" s="26"/>
      <c r="H355" s="27"/>
      <c r="I355" s="28"/>
      <c r="J355" s="8">
        <f>IF(OR(E355="",G355="",I355=""),"",G355*I355)</f>
        <v>0</v>
      </c>
      <c r="K355" s="8">
        <f>IF(OR(A355="",J355=""),"",SUMIFS($J$5:$J$404,$B$5:$B$404,B355))</f>
        <v>0</v>
      </c>
      <c r="L355" s="8">
        <f>IF(OR(J355="",K355="",K355=0),"",J355/K355)</f>
        <v>0</v>
      </c>
      <c r="M355" s="8">
        <f>IF(K355="","",K355-Weekly_Budget)</f>
        <v>0</v>
      </c>
      <c r="N355" s="8">
        <f>IF(K355="","",IF(K355&gt;Weekly_Budget,"Over budget",IF(K355&gt;Weekly_Budget*0.9,"Close","Within budget")))</f>
        <v>0</v>
      </c>
      <c r="O355" s="7"/>
      <c r="P355" s="27"/>
      <c r="Q355" s="27"/>
      <c r="R355" s="28"/>
      <c r="S355" s="8">
        <f>IF(J355="","",COUNTIFS($J$5:$J$404,"&gt;"&amp;J355)+1)</f>
        <v>0</v>
      </c>
      <c r="T355" s="8">
        <f>IF(OR(A355="",J355=""),"",SUMIFS($J$5:$J$404,$C$5:$C$404,C355,$A$5:$A$404,"&lt;="&amp;A355))</f>
        <v>0</v>
      </c>
      <c r="U355" s="8">
        <f>IF(E355="","",IF(Q355="Yes","On offer","Full price"))</f>
        <v>0</v>
      </c>
      <c r="V355" s="25"/>
    </row>
    <row r="356" spans="1:22">
      <c r="A356" s="30"/>
      <c r="B356" s="8">
        <f>IF(A356="","",A356-WEEKDAY(A356,2)+1)</f>
        <v>0</v>
      </c>
      <c r="C356" s="8">
        <f>IF(A356="","",TEXT(A356,"mmm yyyy"))</f>
        <v>0</v>
      </c>
      <c r="D356" s="27"/>
      <c r="E356" s="7"/>
      <c r="F356" s="8">
        <f>IF(E356="","",IFERROR(INDEX(Ingredients!$B$5:$B$304,MATCH(E356,Ingredients!$A$5:$A$304,0)),""))</f>
        <v>0</v>
      </c>
      <c r="G356" s="26"/>
      <c r="H356" s="27"/>
      <c r="I356" s="28"/>
      <c r="J356" s="8">
        <f>IF(OR(E356="",G356="",I356=""),"",G356*I356)</f>
        <v>0</v>
      </c>
      <c r="K356" s="8">
        <f>IF(OR(A356="",J356=""),"",SUMIFS($J$5:$J$404,$B$5:$B$404,B356))</f>
        <v>0</v>
      </c>
      <c r="L356" s="8">
        <f>IF(OR(J356="",K356="",K356=0),"",J356/K356)</f>
        <v>0</v>
      </c>
      <c r="M356" s="8">
        <f>IF(K356="","",K356-Weekly_Budget)</f>
        <v>0</v>
      </c>
      <c r="N356" s="8">
        <f>IF(K356="","",IF(K356&gt;Weekly_Budget,"Over budget",IF(K356&gt;Weekly_Budget*0.9,"Close","Within budget")))</f>
        <v>0</v>
      </c>
      <c r="O356" s="7"/>
      <c r="P356" s="27"/>
      <c r="Q356" s="27"/>
      <c r="R356" s="28"/>
      <c r="S356" s="8">
        <f>IF(J356="","",COUNTIFS($J$5:$J$404,"&gt;"&amp;J356)+1)</f>
        <v>0</v>
      </c>
      <c r="T356" s="8">
        <f>IF(OR(A356="",J356=""),"",SUMIFS($J$5:$J$404,$C$5:$C$404,C356,$A$5:$A$404,"&lt;="&amp;A356))</f>
        <v>0</v>
      </c>
      <c r="U356" s="8">
        <f>IF(E356="","",IF(Q356="Yes","On offer","Full price"))</f>
        <v>0</v>
      </c>
      <c r="V356" s="25"/>
    </row>
    <row r="357" spans="1:22">
      <c r="A357" s="30"/>
      <c r="B357" s="8">
        <f>IF(A357="","",A357-WEEKDAY(A357,2)+1)</f>
        <v>0</v>
      </c>
      <c r="C357" s="8">
        <f>IF(A357="","",TEXT(A357,"mmm yyyy"))</f>
        <v>0</v>
      </c>
      <c r="D357" s="27"/>
      <c r="E357" s="7"/>
      <c r="F357" s="8">
        <f>IF(E357="","",IFERROR(INDEX(Ingredients!$B$5:$B$304,MATCH(E357,Ingredients!$A$5:$A$304,0)),""))</f>
        <v>0</v>
      </c>
      <c r="G357" s="26"/>
      <c r="H357" s="27"/>
      <c r="I357" s="28"/>
      <c r="J357" s="8">
        <f>IF(OR(E357="",G357="",I357=""),"",G357*I357)</f>
        <v>0</v>
      </c>
      <c r="K357" s="8">
        <f>IF(OR(A357="",J357=""),"",SUMIFS($J$5:$J$404,$B$5:$B$404,B357))</f>
        <v>0</v>
      </c>
      <c r="L357" s="8">
        <f>IF(OR(J357="",K357="",K357=0),"",J357/K357)</f>
        <v>0</v>
      </c>
      <c r="M357" s="8">
        <f>IF(K357="","",K357-Weekly_Budget)</f>
        <v>0</v>
      </c>
      <c r="N357" s="8">
        <f>IF(K357="","",IF(K357&gt;Weekly_Budget,"Over budget",IF(K357&gt;Weekly_Budget*0.9,"Close","Within budget")))</f>
        <v>0</v>
      </c>
      <c r="O357" s="7"/>
      <c r="P357" s="27"/>
      <c r="Q357" s="27"/>
      <c r="R357" s="28"/>
      <c r="S357" s="8">
        <f>IF(J357="","",COUNTIFS($J$5:$J$404,"&gt;"&amp;J357)+1)</f>
        <v>0</v>
      </c>
      <c r="T357" s="8">
        <f>IF(OR(A357="",J357=""),"",SUMIFS($J$5:$J$404,$C$5:$C$404,C357,$A$5:$A$404,"&lt;="&amp;A357))</f>
        <v>0</v>
      </c>
      <c r="U357" s="8">
        <f>IF(E357="","",IF(Q357="Yes","On offer","Full price"))</f>
        <v>0</v>
      </c>
      <c r="V357" s="25"/>
    </row>
    <row r="358" spans="1:22">
      <c r="A358" s="30"/>
      <c r="B358" s="8">
        <f>IF(A358="","",A358-WEEKDAY(A358,2)+1)</f>
        <v>0</v>
      </c>
      <c r="C358" s="8">
        <f>IF(A358="","",TEXT(A358,"mmm yyyy"))</f>
        <v>0</v>
      </c>
      <c r="D358" s="27"/>
      <c r="E358" s="7"/>
      <c r="F358" s="8">
        <f>IF(E358="","",IFERROR(INDEX(Ingredients!$B$5:$B$304,MATCH(E358,Ingredients!$A$5:$A$304,0)),""))</f>
        <v>0</v>
      </c>
      <c r="G358" s="26"/>
      <c r="H358" s="27"/>
      <c r="I358" s="28"/>
      <c r="J358" s="8">
        <f>IF(OR(E358="",G358="",I358=""),"",G358*I358)</f>
        <v>0</v>
      </c>
      <c r="K358" s="8">
        <f>IF(OR(A358="",J358=""),"",SUMIFS($J$5:$J$404,$B$5:$B$404,B358))</f>
        <v>0</v>
      </c>
      <c r="L358" s="8">
        <f>IF(OR(J358="",K358="",K358=0),"",J358/K358)</f>
        <v>0</v>
      </c>
      <c r="M358" s="8">
        <f>IF(K358="","",K358-Weekly_Budget)</f>
        <v>0</v>
      </c>
      <c r="N358" s="8">
        <f>IF(K358="","",IF(K358&gt;Weekly_Budget,"Over budget",IF(K358&gt;Weekly_Budget*0.9,"Close","Within budget")))</f>
        <v>0</v>
      </c>
      <c r="O358" s="7"/>
      <c r="P358" s="27"/>
      <c r="Q358" s="27"/>
      <c r="R358" s="28"/>
      <c r="S358" s="8">
        <f>IF(J358="","",COUNTIFS($J$5:$J$404,"&gt;"&amp;J358)+1)</f>
        <v>0</v>
      </c>
      <c r="T358" s="8">
        <f>IF(OR(A358="",J358=""),"",SUMIFS($J$5:$J$404,$C$5:$C$404,C358,$A$5:$A$404,"&lt;="&amp;A358))</f>
        <v>0</v>
      </c>
      <c r="U358" s="8">
        <f>IF(E358="","",IF(Q358="Yes","On offer","Full price"))</f>
        <v>0</v>
      </c>
      <c r="V358" s="25"/>
    </row>
    <row r="359" spans="1:22">
      <c r="A359" s="30"/>
      <c r="B359" s="8">
        <f>IF(A359="","",A359-WEEKDAY(A359,2)+1)</f>
        <v>0</v>
      </c>
      <c r="C359" s="8">
        <f>IF(A359="","",TEXT(A359,"mmm yyyy"))</f>
        <v>0</v>
      </c>
      <c r="D359" s="27"/>
      <c r="E359" s="7"/>
      <c r="F359" s="8">
        <f>IF(E359="","",IFERROR(INDEX(Ingredients!$B$5:$B$304,MATCH(E359,Ingredients!$A$5:$A$304,0)),""))</f>
        <v>0</v>
      </c>
      <c r="G359" s="26"/>
      <c r="H359" s="27"/>
      <c r="I359" s="28"/>
      <c r="J359" s="8">
        <f>IF(OR(E359="",G359="",I359=""),"",G359*I359)</f>
        <v>0</v>
      </c>
      <c r="K359" s="8">
        <f>IF(OR(A359="",J359=""),"",SUMIFS($J$5:$J$404,$B$5:$B$404,B359))</f>
        <v>0</v>
      </c>
      <c r="L359" s="8">
        <f>IF(OR(J359="",K359="",K359=0),"",J359/K359)</f>
        <v>0</v>
      </c>
      <c r="M359" s="8">
        <f>IF(K359="","",K359-Weekly_Budget)</f>
        <v>0</v>
      </c>
      <c r="N359" s="8">
        <f>IF(K359="","",IF(K359&gt;Weekly_Budget,"Over budget",IF(K359&gt;Weekly_Budget*0.9,"Close","Within budget")))</f>
        <v>0</v>
      </c>
      <c r="O359" s="7"/>
      <c r="P359" s="27"/>
      <c r="Q359" s="27"/>
      <c r="R359" s="28"/>
      <c r="S359" s="8">
        <f>IF(J359="","",COUNTIFS($J$5:$J$404,"&gt;"&amp;J359)+1)</f>
        <v>0</v>
      </c>
      <c r="T359" s="8">
        <f>IF(OR(A359="",J359=""),"",SUMIFS($J$5:$J$404,$C$5:$C$404,C359,$A$5:$A$404,"&lt;="&amp;A359))</f>
        <v>0</v>
      </c>
      <c r="U359" s="8">
        <f>IF(E359="","",IF(Q359="Yes","On offer","Full price"))</f>
        <v>0</v>
      </c>
      <c r="V359" s="25"/>
    </row>
    <row r="360" spans="1:22">
      <c r="A360" s="30"/>
      <c r="B360" s="8">
        <f>IF(A360="","",A360-WEEKDAY(A360,2)+1)</f>
        <v>0</v>
      </c>
      <c r="C360" s="8">
        <f>IF(A360="","",TEXT(A360,"mmm yyyy"))</f>
        <v>0</v>
      </c>
      <c r="D360" s="27"/>
      <c r="E360" s="7"/>
      <c r="F360" s="8">
        <f>IF(E360="","",IFERROR(INDEX(Ingredients!$B$5:$B$304,MATCH(E360,Ingredients!$A$5:$A$304,0)),""))</f>
        <v>0</v>
      </c>
      <c r="G360" s="26"/>
      <c r="H360" s="27"/>
      <c r="I360" s="28"/>
      <c r="J360" s="8">
        <f>IF(OR(E360="",G360="",I360=""),"",G360*I360)</f>
        <v>0</v>
      </c>
      <c r="K360" s="8">
        <f>IF(OR(A360="",J360=""),"",SUMIFS($J$5:$J$404,$B$5:$B$404,B360))</f>
        <v>0</v>
      </c>
      <c r="L360" s="8">
        <f>IF(OR(J360="",K360="",K360=0),"",J360/K360)</f>
        <v>0</v>
      </c>
      <c r="M360" s="8">
        <f>IF(K360="","",K360-Weekly_Budget)</f>
        <v>0</v>
      </c>
      <c r="N360" s="8">
        <f>IF(K360="","",IF(K360&gt;Weekly_Budget,"Over budget",IF(K360&gt;Weekly_Budget*0.9,"Close","Within budget")))</f>
        <v>0</v>
      </c>
      <c r="O360" s="7"/>
      <c r="P360" s="27"/>
      <c r="Q360" s="27"/>
      <c r="R360" s="28"/>
      <c r="S360" s="8">
        <f>IF(J360="","",COUNTIFS($J$5:$J$404,"&gt;"&amp;J360)+1)</f>
        <v>0</v>
      </c>
      <c r="T360" s="8">
        <f>IF(OR(A360="",J360=""),"",SUMIFS($J$5:$J$404,$C$5:$C$404,C360,$A$5:$A$404,"&lt;="&amp;A360))</f>
        <v>0</v>
      </c>
      <c r="U360" s="8">
        <f>IF(E360="","",IF(Q360="Yes","On offer","Full price"))</f>
        <v>0</v>
      </c>
      <c r="V360" s="25"/>
    </row>
    <row r="361" spans="1:22">
      <c r="A361" s="30"/>
      <c r="B361" s="8">
        <f>IF(A361="","",A361-WEEKDAY(A361,2)+1)</f>
        <v>0</v>
      </c>
      <c r="C361" s="8">
        <f>IF(A361="","",TEXT(A361,"mmm yyyy"))</f>
        <v>0</v>
      </c>
      <c r="D361" s="27"/>
      <c r="E361" s="7"/>
      <c r="F361" s="8">
        <f>IF(E361="","",IFERROR(INDEX(Ingredients!$B$5:$B$304,MATCH(E361,Ingredients!$A$5:$A$304,0)),""))</f>
        <v>0</v>
      </c>
      <c r="G361" s="26"/>
      <c r="H361" s="27"/>
      <c r="I361" s="28"/>
      <c r="J361" s="8">
        <f>IF(OR(E361="",G361="",I361=""),"",G361*I361)</f>
        <v>0</v>
      </c>
      <c r="K361" s="8">
        <f>IF(OR(A361="",J361=""),"",SUMIFS($J$5:$J$404,$B$5:$B$404,B361))</f>
        <v>0</v>
      </c>
      <c r="L361" s="8">
        <f>IF(OR(J361="",K361="",K361=0),"",J361/K361)</f>
        <v>0</v>
      </c>
      <c r="M361" s="8">
        <f>IF(K361="","",K361-Weekly_Budget)</f>
        <v>0</v>
      </c>
      <c r="N361" s="8">
        <f>IF(K361="","",IF(K361&gt;Weekly_Budget,"Over budget",IF(K361&gt;Weekly_Budget*0.9,"Close","Within budget")))</f>
        <v>0</v>
      </c>
      <c r="O361" s="7"/>
      <c r="P361" s="27"/>
      <c r="Q361" s="27"/>
      <c r="R361" s="28"/>
      <c r="S361" s="8">
        <f>IF(J361="","",COUNTIFS($J$5:$J$404,"&gt;"&amp;J361)+1)</f>
        <v>0</v>
      </c>
      <c r="T361" s="8">
        <f>IF(OR(A361="",J361=""),"",SUMIFS($J$5:$J$404,$C$5:$C$404,C361,$A$5:$A$404,"&lt;="&amp;A361))</f>
        <v>0</v>
      </c>
      <c r="U361" s="8">
        <f>IF(E361="","",IF(Q361="Yes","On offer","Full price"))</f>
        <v>0</v>
      </c>
      <c r="V361" s="25"/>
    </row>
    <row r="362" spans="1:22">
      <c r="A362" s="30"/>
      <c r="B362" s="8">
        <f>IF(A362="","",A362-WEEKDAY(A362,2)+1)</f>
        <v>0</v>
      </c>
      <c r="C362" s="8">
        <f>IF(A362="","",TEXT(A362,"mmm yyyy"))</f>
        <v>0</v>
      </c>
      <c r="D362" s="27"/>
      <c r="E362" s="7"/>
      <c r="F362" s="8">
        <f>IF(E362="","",IFERROR(INDEX(Ingredients!$B$5:$B$304,MATCH(E362,Ingredients!$A$5:$A$304,0)),""))</f>
        <v>0</v>
      </c>
      <c r="G362" s="26"/>
      <c r="H362" s="27"/>
      <c r="I362" s="28"/>
      <c r="J362" s="8">
        <f>IF(OR(E362="",G362="",I362=""),"",G362*I362)</f>
        <v>0</v>
      </c>
      <c r="K362" s="8">
        <f>IF(OR(A362="",J362=""),"",SUMIFS($J$5:$J$404,$B$5:$B$404,B362))</f>
        <v>0</v>
      </c>
      <c r="L362" s="8">
        <f>IF(OR(J362="",K362="",K362=0),"",J362/K362)</f>
        <v>0</v>
      </c>
      <c r="M362" s="8">
        <f>IF(K362="","",K362-Weekly_Budget)</f>
        <v>0</v>
      </c>
      <c r="N362" s="8">
        <f>IF(K362="","",IF(K362&gt;Weekly_Budget,"Over budget",IF(K362&gt;Weekly_Budget*0.9,"Close","Within budget")))</f>
        <v>0</v>
      </c>
      <c r="O362" s="7"/>
      <c r="P362" s="27"/>
      <c r="Q362" s="27"/>
      <c r="R362" s="28"/>
      <c r="S362" s="8">
        <f>IF(J362="","",COUNTIFS($J$5:$J$404,"&gt;"&amp;J362)+1)</f>
        <v>0</v>
      </c>
      <c r="T362" s="8">
        <f>IF(OR(A362="",J362=""),"",SUMIFS($J$5:$J$404,$C$5:$C$404,C362,$A$5:$A$404,"&lt;="&amp;A362))</f>
        <v>0</v>
      </c>
      <c r="U362" s="8">
        <f>IF(E362="","",IF(Q362="Yes","On offer","Full price"))</f>
        <v>0</v>
      </c>
      <c r="V362" s="25"/>
    </row>
    <row r="363" spans="1:22">
      <c r="A363" s="30"/>
      <c r="B363" s="8">
        <f>IF(A363="","",A363-WEEKDAY(A363,2)+1)</f>
        <v>0</v>
      </c>
      <c r="C363" s="8">
        <f>IF(A363="","",TEXT(A363,"mmm yyyy"))</f>
        <v>0</v>
      </c>
      <c r="D363" s="27"/>
      <c r="E363" s="7"/>
      <c r="F363" s="8">
        <f>IF(E363="","",IFERROR(INDEX(Ingredients!$B$5:$B$304,MATCH(E363,Ingredients!$A$5:$A$304,0)),""))</f>
        <v>0</v>
      </c>
      <c r="G363" s="26"/>
      <c r="H363" s="27"/>
      <c r="I363" s="28"/>
      <c r="J363" s="8">
        <f>IF(OR(E363="",G363="",I363=""),"",G363*I363)</f>
        <v>0</v>
      </c>
      <c r="K363" s="8">
        <f>IF(OR(A363="",J363=""),"",SUMIFS($J$5:$J$404,$B$5:$B$404,B363))</f>
        <v>0</v>
      </c>
      <c r="L363" s="8">
        <f>IF(OR(J363="",K363="",K363=0),"",J363/K363)</f>
        <v>0</v>
      </c>
      <c r="M363" s="8">
        <f>IF(K363="","",K363-Weekly_Budget)</f>
        <v>0</v>
      </c>
      <c r="N363" s="8">
        <f>IF(K363="","",IF(K363&gt;Weekly_Budget,"Over budget",IF(K363&gt;Weekly_Budget*0.9,"Close","Within budget")))</f>
        <v>0</v>
      </c>
      <c r="O363" s="7"/>
      <c r="P363" s="27"/>
      <c r="Q363" s="27"/>
      <c r="R363" s="28"/>
      <c r="S363" s="8">
        <f>IF(J363="","",COUNTIFS($J$5:$J$404,"&gt;"&amp;J363)+1)</f>
        <v>0</v>
      </c>
      <c r="T363" s="8">
        <f>IF(OR(A363="",J363=""),"",SUMIFS($J$5:$J$404,$C$5:$C$404,C363,$A$5:$A$404,"&lt;="&amp;A363))</f>
        <v>0</v>
      </c>
      <c r="U363" s="8">
        <f>IF(E363="","",IF(Q363="Yes","On offer","Full price"))</f>
        <v>0</v>
      </c>
      <c r="V363" s="25"/>
    </row>
    <row r="364" spans="1:22">
      <c r="A364" s="30"/>
      <c r="B364" s="8">
        <f>IF(A364="","",A364-WEEKDAY(A364,2)+1)</f>
        <v>0</v>
      </c>
      <c r="C364" s="8">
        <f>IF(A364="","",TEXT(A364,"mmm yyyy"))</f>
        <v>0</v>
      </c>
      <c r="D364" s="27"/>
      <c r="E364" s="7"/>
      <c r="F364" s="8">
        <f>IF(E364="","",IFERROR(INDEX(Ingredients!$B$5:$B$304,MATCH(E364,Ingredients!$A$5:$A$304,0)),""))</f>
        <v>0</v>
      </c>
      <c r="G364" s="26"/>
      <c r="H364" s="27"/>
      <c r="I364" s="28"/>
      <c r="J364" s="8">
        <f>IF(OR(E364="",G364="",I364=""),"",G364*I364)</f>
        <v>0</v>
      </c>
      <c r="K364" s="8">
        <f>IF(OR(A364="",J364=""),"",SUMIFS($J$5:$J$404,$B$5:$B$404,B364))</f>
        <v>0</v>
      </c>
      <c r="L364" s="8">
        <f>IF(OR(J364="",K364="",K364=0),"",J364/K364)</f>
        <v>0</v>
      </c>
      <c r="M364" s="8">
        <f>IF(K364="","",K364-Weekly_Budget)</f>
        <v>0</v>
      </c>
      <c r="N364" s="8">
        <f>IF(K364="","",IF(K364&gt;Weekly_Budget,"Over budget",IF(K364&gt;Weekly_Budget*0.9,"Close","Within budget")))</f>
        <v>0</v>
      </c>
      <c r="O364" s="7"/>
      <c r="P364" s="27"/>
      <c r="Q364" s="27"/>
      <c r="R364" s="28"/>
      <c r="S364" s="8">
        <f>IF(J364="","",COUNTIFS($J$5:$J$404,"&gt;"&amp;J364)+1)</f>
        <v>0</v>
      </c>
      <c r="T364" s="8">
        <f>IF(OR(A364="",J364=""),"",SUMIFS($J$5:$J$404,$C$5:$C$404,C364,$A$5:$A$404,"&lt;="&amp;A364))</f>
        <v>0</v>
      </c>
      <c r="U364" s="8">
        <f>IF(E364="","",IF(Q364="Yes","On offer","Full price"))</f>
        <v>0</v>
      </c>
      <c r="V364" s="25"/>
    </row>
    <row r="365" spans="1:22">
      <c r="A365" s="30"/>
      <c r="B365" s="8">
        <f>IF(A365="","",A365-WEEKDAY(A365,2)+1)</f>
        <v>0</v>
      </c>
      <c r="C365" s="8">
        <f>IF(A365="","",TEXT(A365,"mmm yyyy"))</f>
        <v>0</v>
      </c>
      <c r="D365" s="27"/>
      <c r="E365" s="7"/>
      <c r="F365" s="8">
        <f>IF(E365="","",IFERROR(INDEX(Ingredients!$B$5:$B$304,MATCH(E365,Ingredients!$A$5:$A$304,0)),""))</f>
        <v>0</v>
      </c>
      <c r="G365" s="26"/>
      <c r="H365" s="27"/>
      <c r="I365" s="28"/>
      <c r="J365" s="8">
        <f>IF(OR(E365="",G365="",I365=""),"",G365*I365)</f>
        <v>0</v>
      </c>
      <c r="K365" s="8">
        <f>IF(OR(A365="",J365=""),"",SUMIFS($J$5:$J$404,$B$5:$B$404,B365))</f>
        <v>0</v>
      </c>
      <c r="L365" s="8">
        <f>IF(OR(J365="",K365="",K365=0),"",J365/K365)</f>
        <v>0</v>
      </c>
      <c r="M365" s="8">
        <f>IF(K365="","",K365-Weekly_Budget)</f>
        <v>0</v>
      </c>
      <c r="N365" s="8">
        <f>IF(K365="","",IF(K365&gt;Weekly_Budget,"Over budget",IF(K365&gt;Weekly_Budget*0.9,"Close","Within budget")))</f>
        <v>0</v>
      </c>
      <c r="O365" s="7"/>
      <c r="P365" s="27"/>
      <c r="Q365" s="27"/>
      <c r="R365" s="28"/>
      <c r="S365" s="8">
        <f>IF(J365="","",COUNTIFS($J$5:$J$404,"&gt;"&amp;J365)+1)</f>
        <v>0</v>
      </c>
      <c r="T365" s="8">
        <f>IF(OR(A365="",J365=""),"",SUMIFS($J$5:$J$404,$C$5:$C$404,C365,$A$5:$A$404,"&lt;="&amp;A365))</f>
        <v>0</v>
      </c>
      <c r="U365" s="8">
        <f>IF(E365="","",IF(Q365="Yes","On offer","Full price"))</f>
        <v>0</v>
      </c>
      <c r="V365" s="25"/>
    </row>
    <row r="366" spans="1:22">
      <c r="A366" s="30"/>
      <c r="B366" s="8">
        <f>IF(A366="","",A366-WEEKDAY(A366,2)+1)</f>
        <v>0</v>
      </c>
      <c r="C366" s="8">
        <f>IF(A366="","",TEXT(A366,"mmm yyyy"))</f>
        <v>0</v>
      </c>
      <c r="D366" s="27"/>
      <c r="E366" s="7"/>
      <c r="F366" s="8">
        <f>IF(E366="","",IFERROR(INDEX(Ingredients!$B$5:$B$304,MATCH(E366,Ingredients!$A$5:$A$304,0)),""))</f>
        <v>0</v>
      </c>
      <c r="G366" s="26"/>
      <c r="H366" s="27"/>
      <c r="I366" s="28"/>
      <c r="J366" s="8">
        <f>IF(OR(E366="",G366="",I366=""),"",G366*I366)</f>
        <v>0</v>
      </c>
      <c r="K366" s="8">
        <f>IF(OR(A366="",J366=""),"",SUMIFS($J$5:$J$404,$B$5:$B$404,B366))</f>
        <v>0</v>
      </c>
      <c r="L366" s="8">
        <f>IF(OR(J366="",K366="",K366=0),"",J366/K366)</f>
        <v>0</v>
      </c>
      <c r="M366" s="8">
        <f>IF(K366="","",K366-Weekly_Budget)</f>
        <v>0</v>
      </c>
      <c r="N366" s="8">
        <f>IF(K366="","",IF(K366&gt;Weekly_Budget,"Over budget",IF(K366&gt;Weekly_Budget*0.9,"Close","Within budget")))</f>
        <v>0</v>
      </c>
      <c r="O366" s="7"/>
      <c r="P366" s="27"/>
      <c r="Q366" s="27"/>
      <c r="R366" s="28"/>
      <c r="S366" s="8">
        <f>IF(J366="","",COUNTIFS($J$5:$J$404,"&gt;"&amp;J366)+1)</f>
        <v>0</v>
      </c>
      <c r="T366" s="8">
        <f>IF(OR(A366="",J366=""),"",SUMIFS($J$5:$J$404,$C$5:$C$404,C366,$A$5:$A$404,"&lt;="&amp;A366))</f>
        <v>0</v>
      </c>
      <c r="U366" s="8">
        <f>IF(E366="","",IF(Q366="Yes","On offer","Full price"))</f>
        <v>0</v>
      </c>
      <c r="V366" s="25"/>
    </row>
    <row r="367" spans="1:22">
      <c r="A367" s="30"/>
      <c r="B367" s="8">
        <f>IF(A367="","",A367-WEEKDAY(A367,2)+1)</f>
        <v>0</v>
      </c>
      <c r="C367" s="8">
        <f>IF(A367="","",TEXT(A367,"mmm yyyy"))</f>
        <v>0</v>
      </c>
      <c r="D367" s="27"/>
      <c r="E367" s="7"/>
      <c r="F367" s="8">
        <f>IF(E367="","",IFERROR(INDEX(Ingredients!$B$5:$B$304,MATCH(E367,Ingredients!$A$5:$A$304,0)),""))</f>
        <v>0</v>
      </c>
      <c r="G367" s="26"/>
      <c r="H367" s="27"/>
      <c r="I367" s="28"/>
      <c r="J367" s="8">
        <f>IF(OR(E367="",G367="",I367=""),"",G367*I367)</f>
        <v>0</v>
      </c>
      <c r="K367" s="8">
        <f>IF(OR(A367="",J367=""),"",SUMIFS($J$5:$J$404,$B$5:$B$404,B367))</f>
        <v>0</v>
      </c>
      <c r="L367" s="8">
        <f>IF(OR(J367="",K367="",K367=0),"",J367/K367)</f>
        <v>0</v>
      </c>
      <c r="M367" s="8">
        <f>IF(K367="","",K367-Weekly_Budget)</f>
        <v>0</v>
      </c>
      <c r="N367" s="8">
        <f>IF(K367="","",IF(K367&gt;Weekly_Budget,"Over budget",IF(K367&gt;Weekly_Budget*0.9,"Close","Within budget")))</f>
        <v>0</v>
      </c>
      <c r="O367" s="7"/>
      <c r="P367" s="27"/>
      <c r="Q367" s="27"/>
      <c r="R367" s="28"/>
      <c r="S367" s="8">
        <f>IF(J367="","",COUNTIFS($J$5:$J$404,"&gt;"&amp;J367)+1)</f>
        <v>0</v>
      </c>
      <c r="T367" s="8">
        <f>IF(OR(A367="",J367=""),"",SUMIFS($J$5:$J$404,$C$5:$C$404,C367,$A$5:$A$404,"&lt;="&amp;A367))</f>
        <v>0</v>
      </c>
      <c r="U367" s="8">
        <f>IF(E367="","",IF(Q367="Yes","On offer","Full price"))</f>
        <v>0</v>
      </c>
      <c r="V367" s="25"/>
    </row>
    <row r="368" spans="1:22">
      <c r="A368" s="30"/>
      <c r="B368" s="8">
        <f>IF(A368="","",A368-WEEKDAY(A368,2)+1)</f>
        <v>0</v>
      </c>
      <c r="C368" s="8">
        <f>IF(A368="","",TEXT(A368,"mmm yyyy"))</f>
        <v>0</v>
      </c>
      <c r="D368" s="27"/>
      <c r="E368" s="7"/>
      <c r="F368" s="8">
        <f>IF(E368="","",IFERROR(INDEX(Ingredients!$B$5:$B$304,MATCH(E368,Ingredients!$A$5:$A$304,0)),""))</f>
        <v>0</v>
      </c>
      <c r="G368" s="26"/>
      <c r="H368" s="27"/>
      <c r="I368" s="28"/>
      <c r="J368" s="8">
        <f>IF(OR(E368="",G368="",I368=""),"",G368*I368)</f>
        <v>0</v>
      </c>
      <c r="K368" s="8">
        <f>IF(OR(A368="",J368=""),"",SUMIFS($J$5:$J$404,$B$5:$B$404,B368))</f>
        <v>0</v>
      </c>
      <c r="L368" s="8">
        <f>IF(OR(J368="",K368="",K368=0),"",J368/K368)</f>
        <v>0</v>
      </c>
      <c r="M368" s="8">
        <f>IF(K368="","",K368-Weekly_Budget)</f>
        <v>0</v>
      </c>
      <c r="N368" s="8">
        <f>IF(K368="","",IF(K368&gt;Weekly_Budget,"Over budget",IF(K368&gt;Weekly_Budget*0.9,"Close","Within budget")))</f>
        <v>0</v>
      </c>
      <c r="O368" s="7"/>
      <c r="P368" s="27"/>
      <c r="Q368" s="27"/>
      <c r="R368" s="28"/>
      <c r="S368" s="8">
        <f>IF(J368="","",COUNTIFS($J$5:$J$404,"&gt;"&amp;J368)+1)</f>
        <v>0</v>
      </c>
      <c r="T368" s="8">
        <f>IF(OR(A368="",J368=""),"",SUMIFS($J$5:$J$404,$C$5:$C$404,C368,$A$5:$A$404,"&lt;="&amp;A368))</f>
        <v>0</v>
      </c>
      <c r="U368" s="8">
        <f>IF(E368="","",IF(Q368="Yes","On offer","Full price"))</f>
        <v>0</v>
      </c>
      <c r="V368" s="25"/>
    </row>
    <row r="369" spans="1:22">
      <c r="A369" s="30"/>
      <c r="B369" s="8">
        <f>IF(A369="","",A369-WEEKDAY(A369,2)+1)</f>
        <v>0</v>
      </c>
      <c r="C369" s="8">
        <f>IF(A369="","",TEXT(A369,"mmm yyyy"))</f>
        <v>0</v>
      </c>
      <c r="D369" s="27"/>
      <c r="E369" s="7"/>
      <c r="F369" s="8">
        <f>IF(E369="","",IFERROR(INDEX(Ingredients!$B$5:$B$304,MATCH(E369,Ingredients!$A$5:$A$304,0)),""))</f>
        <v>0</v>
      </c>
      <c r="G369" s="26"/>
      <c r="H369" s="27"/>
      <c r="I369" s="28"/>
      <c r="J369" s="8">
        <f>IF(OR(E369="",G369="",I369=""),"",G369*I369)</f>
        <v>0</v>
      </c>
      <c r="K369" s="8">
        <f>IF(OR(A369="",J369=""),"",SUMIFS($J$5:$J$404,$B$5:$B$404,B369))</f>
        <v>0</v>
      </c>
      <c r="L369" s="8">
        <f>IF(OR(J369="",K369="",K369=0),"",J369/K369)</f>
        <v>0</v>
      </c>
      <c r="M369" s="8">
        <f>IF(K369="","",K369-Weekly_Budget)</f>
        <v>0</v>
      </c>
      <c r="N369" s="8">
        <f>IF(K369="","",IF(K369&gt;Weekly_Budget,"Over budget",IF(K369&gt;Weekly_Budget*0.9,"Close","Within budget")))</f>
        <v>0</v>
      </c>
      <c r="O369" s="7"/>
      <c r="P369" s="27"/>
      <c r="Q369" s="27"/>
      <c r="R369" s="28"/>
      <c r="S369" s="8">
        <f>IF(J369="","",COUNTIFS($J$5:$J$404,"&gt;"&amp;J369)+1)</f>
        <v>0</v>
      </c>
      <c r="T369" s="8">
        <f>IF(OR(A369="",J369=""),"",SUMIFS($J$5:$J$404,$C$5:$C$404,C369,$A$5:$A$404,"&lt;="&amp;A369))</f>
        <v>0</v>
      </c>
      <c r="U369" s="8">
        <f>IF(E369="","",IF(Q369="Yes","On offer","Full price"))</f>
        <v>0</v>
      </c>
      <c r="V369" s="25"/>
    </row>
    <row r="370" spans="1:22">
      <c r="A370" s="30"/>
      <c r="B370" s="8">
        <f>IF(A370="","",A370-WEEKDAY(A370,2)+1)</f>
        <v>0</v>
      </c>
      <c r="C370" s="8">
        <f>IF(A370="","",TEXT(A370,"mmm yyyy"))</f>
        <v>0</v>
      </c>
      <c r="D370" s="27"/>
      <c r="E370" s="7"/>
      <c r="F370" s="8">
        <f>IF(E370="","",IFERROR(INDEX(Ingredients!$B$5:$B$304,MATCH(E370,Ingredients!$A$5:$A$304,0)),""))</f>
        <v>0</v>
      </c>
      <c r="G370" s="26"/>
      <c r="H370" s="27"/>
      <c r="I370" s="28"/>
      <c r="J370" s="8">
        <f>IF(OR(E370="",G370="",I370=""),"",G370*I370)</f>
        <v>0</v>
      </c>
      <c r="K370" s="8">
        <f>IF(OR(A370="",J370=""),"",SUMIFS($J$5:$J$404,$B$5:$B$404,B370))</f>
        <v>0</v>
      </c>
      <c r="L370" s="8">
        <f>IF(OR(J370="",K370="",K370=0),"",J370/K370)</f>
        <v>0</v>
      </c>
      <c r="M370" s="8">
        <f>IF(K370="","",K370-Weekly_Budget)</f>
        <v>0</v>
      </c>
      <c r="N370" s="8">
        <f>IF(K370="","",IF(K370&gt;Weekly_Budget,"Over budget",IF(K370&gt;Weekly_Budget*0.9,"Close","Within budget")))</f>
        <v>0</v>
      </c>
      <c r="O370" s="7"/>
      <c r="P370" s="27"/>
      <c r="Q370" s="27"/>
      <c r="R370" s="28"/>
      <c r="S370" s="8">
        <f>IF(J370="","",COUNTIFS($J$5:$J$404,"&gt;"&amp;J370)+1)</f>
        <v>0</v>
      </c>
      <c r="T370" s="8">
        <f>IF(OR(A370="",J370=""),"",SUMIFS($J$5:$J$404,$C$5:$C$404,C370,$A$5:$A$404,"&lt;="&amp;A370))</f>
        <v>0</v>
      </c>
      <c r="U370" s="8">
        <f>IF(E370="","",IF(Q370="Yes","On offer","Full price"))</f>
        <v>0</v>
      </c>
      <c r="V370" s="25"/>
    </row>
    <row r="371" spans="1:22">
      <c r="A371" s="30"/>
      <c r="B371" s="8">
        <f>IF(A371="","",A371-WEEKDAY(A371,2)+1)</f>
        <v>0</v>
      </c>
      <c r="C371" s="8">
        <f>IF(A371="","",TEXT(A371,"mmm yyyy"))</f>
        <v>0</v>
      </c>
      <c r="D371" s="27"/>
      <c r="E371" s="7"/>
      <c r="F371" s="8">
        <f>IF(E371="","",IFERROR(INDEX(Ingredients!$B$5:$B$304,MATCH(E371,Ingredients!$A$5:$A$304,0)),""))</f>
        <v>0</v>
      </c>
      <c r="G371" s="26"/>
      <c r="H371" s="27"/>
      <c r="I371" s="28"/>
      <c r="J371" s="8">
        <f>IF(OR(E371="",G371="",I371=""),"",G371*I371)</f>
        <v>0</v>
      </c>
      <c r="K371" s="8">
        <f>IF(OR(A371="",J371=""),"",SUMIFS($J$5:$J$404,$B$5:$B$404,B371))</f>
        <v>0</v>
      </c>
      <c r="L371" s="8">
        <f>IF(OR(J371="",K371="",K371=0),"",J371/K371)</f>
        <v>0</v>
      </c>
      <c r="M371" s="8">
        <f>IF(K371="","",K371-Weekly_Budget)</f>
        <v>0</v>
      </c>
      <c r="N371" s="8">
        <f>IF(K371="","",IF(K371&gt;Weekly_Budget,"Over budget",IF(K371&gt;Weekly_Budget*0.9,"Close","Within budget")))</f>
        <v>0</v>
      </c>
      <c r="O371" s="7"/>
      <c r="P371" s="27"/>
      <c r="Q371" s="27"/>
      <c r="R371" s="28"/>
      <c r="S371" s="8">
        <f>IF(J371="","",COUNTIFS($J$5:$J$404,"&gt;"&amp;J371)+1)</f>
        <v>0</v>
      </c>
      <c r="T371" s="8">
        <f>IF(OR(A371="",J371=""),"",SUMIFS($J$5:$J$404,$C$5:$C$404,C371,$A$5:$A$404,"&lt;="&amp;A371))</f>
        <v>0</v>
      </c>
      <c r="U371" s="8">
        <f>IF(E371="","",IF(Q371="Yes","On offer","Full price"))</f>
        <v>0</v>
      </c>
      <c r="V371" s="25"/>
    </row>
    <row r="372" spans="1:22">
      <c r="A372" s="30"/>
      <c r="B372" s="8">
        <f>IF(A372="","",A372-WEEKDAY(A372,2)+1)</f>
        <v>0</v>
      </c>
      <c r="C372" s="8">
        <f>IF(A372="","",TEXT(A372,"mmm yyyy"))</f>
        <v>0</v>
      </c>
      <c r="D372" s="27"/>
      <c r="E372" s="7"/>
      <c r="F372" s="8">
        <f>IF(E372="","",IFERROR(INDEX(Ingredients!$B$5:$B$304,MATCH(E372,Ingredients!$A$5:$A$304,0)),""))</f>
        <v>0</v>
      </c>
      <c r="G372" s="26"/>
      <c r="H372" s="27"/>
      <c r="I372" s="28"/>
      <c r="J372" s="8">
        <f>IF(OR(E372="",G372="",I372=""),"",G372*I372)</f>
        <v>0</v>
      </c>
      <c r="K372" s="8">
        <f>IF(OR(A372="",J372=""),"",SUMIFS($J$5:$J$404,$B$5:$B$404,B372))</f>
        <v>0</v>
      </c>
      <c r="L372" s="8">
        <f>IF(OR(J372="",K372="",K372=0),"",J372/K372)</f>
        <v>0</v>
      </c>
      <c r="M372" s="8">
        <f>IF(K372="","",K372-Weekly_Budget)</f>
        <v>0</v>
      </c>
      <c r="N372" s="8">
        <f>IF(K372="","",IF(K372&gt;Weekly_Budget,"Over budget",IF(K372&gt;Weekly_Budget*0.9,"Close","Within budget")))</f>
        <v>0</v>
      </c>
      <c r="O372" s="7"/>
      <c r="P372" s="27"/>
      <c r="Q372" s="27"/>
      <c r="R372" s="28"/>
      <c r="S372" s="8">
        <f>IF(J372="","",COUNTIFS($J$5:$J$404,"&gt;"&amp;J372)+1)</f>
        <v>0</v>
      </c>
      <c r="T372" s="8">
        <f>IF(OR(A372="",J372=""),"",SUMIFS($J$5:$J$404,$C$5:$C$404,C372,$A$5:$A$404,"&lt;="&amp;A372))</f>
        <v>0</v>
      </c>
      <c r="U372" s="8">
        <f>IF(E372="","",IF(Q372="Yes","On offer","Full price"))</f>
        <v>0</v>
      </c>
      <c r="V372" s="25"/>
    </row>
    <row r="373" spans="1:22">
      <c r="A373" s="30"/>
      <c r="B373" s="8">
        <f>IF(A373="","",A373-WEEKDAY(A373,2)+1)</f>
        <v>0</v>
      </c>
      <c r="C373" s="8">
        <f>IF(A373="","",TEXT(A373,"mmm yyyy"))</f>
        <v>0</v>
      </c>
      <c r="D373" s="27"/>
      <c r="E373" s="7"/>
      <c r="F373" s="8">
        <f>IF(E373="","",IFERROR(INDEX(Ingredients!$B$5:$B$304,MATCH(E373,Ingredients!$A$5:$A$304,0)),""))</f>
        <v>0</v>
      </c>
      <c r="G373" s="26"/>
      <c r="H373" s="27"/>
      <c r="I373" s="28"/>
      <c r="J373" s="8">
        <f>IF(OR(E373="",G373="",I373=""),"",G373*I373)</f>
        <v>0</v>
      </c>
      <c r="K373" s="8">
        <f>IF(OR(A373="",J373=""),"",SUMIFS($J$5:$J$404,$B$5:$B$404,B373))</f>
        <v>0</v>
      </c>
      <c r="L373" s="8">
        <f>IF(OR(J373="",K373="",K373=0),"",J373/K373)</f>
        <v>0</v>
      </c>
      <c r="M373" s="8">
        <f>IF(K373="","",K373-Weekly_Budget)</f>
        <v>0</v>
      </c>
      <c r="N373" s="8">
        <f>IF(K373="","",IF(K373&gt;Weekly_Budget,"Over budget",IF(K373&gt;Weekly_Budget*0.9,"Close","Within budget")))</f>
        <v>0</v>
      </c>
      <c r="O373" s="7"/>
      <c r="P373" s="27"/>
      <c r="Q373" s="27"/>
      <c r="R373" s="28"/>
      <c r="S373" s="8">
        <f>IF(J373="","",COUNTIFS($J$5:$J$404,"&gt;"&amp;J373)+1)</f>
        <v>0</v>
      </c>
      <c r="T373" s="8">
        <f>IF(OR(A373="",J373=""),"",SUMIFS($J$5:$J$404,$C$5:$C$404,C373,$A$5:$A$404,"&lt;="&amp;A373))</f>
        <v>0</v>
      </c>
      <c r="U373" s="8">
        <f>IF(E373="","",IF(Q373="Yes","On offer","Full price"))</f>
        <v>0</v>
      </c>
      <c r="V373" s="25"/>
    </row>
    <row r="374" spans="1:22">
      <c r="A374" s="30"/>
      <c r="B374" s="8">
        <f>IF(A374="","",A374-WEEKDAY(A374,2)+1)</f>
        <v>0</v>
      </c>
      <c r="C374" s="8">
        <f>IF(A374="","",TEXT(A374,"mmm yyyy"))</f>
        <v>0</v>
      </c>
      <c r="D374" s="27"/>
      <c r="E374" s="7"/>
      <c r="F374" s="8">
        <f>IF(E374="","",IFERROR(INDEX(Ingredients!$B$5:$B$304,MATCH(E374,Ingredients!$A$5:$A$304,0)),""))</f>
        <v>0</v>
      </c>
      <c r="G374" s="26"/>
      <c r="H374" s="27"/>
      <c r="I374" s="28"/>
      <c r="J374" s="8">
        <f>IF(OR(E374="",G374="",I374=""),"",G374*I374)</f>
        <v>0</v>
      </c>
      <c r="K374" s="8">
        <f>IF(OR(A374="",J374=""),"",SUMIFS($J$5:$J$404,$B$5:$B$404,B374))</f>
        <v>0</v>
      </c>
      <c r="L374" s="8">
        <f>IF(OR(J374="",K374="",K374=0),"",J374/K374)</f>
        <v>0</v>
      </c>
      <c r="M374" s="8">
        <f>IF(K374="","",K374-Weekly_Budget)</f>
        <v>0</v>
      </c>
      <c r="N374" s="8">
        <f>IF(K374="","",IF(K374&gt;Weekly_Budget,"Over budget",IF(K374&gt;Weekly_Budget*0.9,"Close","Within budget")))</f>
        <v>0</v>
      </c>
      <c r="O374" s="7"/>
      <c r="P374" s="27"/>
      <c r="Q374" s="27"/>
      <c r="R374" s="28"/>
      <c r="S374" s="8">
        <f>IF(J374="","",COUNTIFS($J$5:$J$404,"&gt;"&amp;J374)+1)</f>
        <v>0</v>
      </c>
      <c r="T374" s="8">
        <f>IF(OR(A374="",J374=""),"",SUMIFS($J$5:$J$404,$C$5:$C$404,C374,$A$5:$A$404,"&lt;="&amp;A374))</f>
        <v>0</v>
      </c>
      <c r="U374" s="8">
        <f>IF(E374="","",IF(Q374="Yes","On offer","Full price"))</f>
        <v>0</v>
      </c>
      <c r="V374" s="25"/>
    </row>
    <row r="375" spans="1:22">
      <c r="A375" s="30"/>
      <c r="B375" s="8">
        <f>IF(A375="","",A375-WEEKDAY(A375,2)+1)</f>
        <v>0</v>
      </c>
      <c r="C375" s="8">
        <f>IF(A375="","",TEXT(A375,"mmm yyyy"))</f>
        <v>0</v>
      </c>
      <c r="D375" s="27"/>
      <c r="E375" s="7"/>
      <c r="F375" s="8">
        <f>IF(E375="","",IFERROR(INDEX(Ingredients!$B$5:$B$304,MATCH(E375,Ingredients!$A$5:$A$304,0)),""))</f>
        <v>0</v>
      </c>
      <c r="G375" s="26"/>
      <c r="H375" s="27"/>
      <c r="I375" s="28"/>
      <c r="J375" s="8">
        <f>IF(OR(E375="",G375="",I375=""),"",G375*I375)</f>
        <v>0</v>
      </c>
      <c r="K375" s="8">
        <f>IF(OR(A375="",J375=""),"",SUMIFS($J$5:$J$404,$B$5:$B$404,B375))</f>
        <v>0</v>
      </c>
      <c r="L375" s="8">
        <f>IF(OR(J375="",K375="",K375=0),"",J375/K375)</f>
        <v>0</v>
      </c>
      <c r="M375" s="8">
        <f>IF(K375="","",K375-Weekly_Budget)</f>
        <v>0</v>
      </c>
      <c r="N375" s="8">
        <f>IF(K375="","",IF(K375&gt;Weekly_Budget,"Over budget",IF(K375&gt;Weekly_Budget*0.9,"Close","Within budget")))</f>
        <v>0</v>
      </c>
      <c r="O375" s="7"/>
      <c r="P375" s="27"/>
      <c r="Q375" s="27"/>
      <c r="R375" s="28"/>
      <c r="S375" s="8">
        <f>IF(J375="","",COUNTIFS($J$5:$J$404,"&gt;"&amp;J375)+1)</f>
        <v>0</v>
      </c>
      <c r="T375" s="8">
        <f>IF(OR(A375="",J375=""),"",SUMIFS($J$5:$J$404,$C$5:$C$404,C375,$A$5:$A$404,"&lt;="&amp;A375))</f>
        <v>0</v>
      </c>
      <c r="U375" s="8">
        <f>IF(E375="","",IF(Q375="Yes","On offer","Full price"))</f>
        <v>0</v>
      </c>
      <c r="V375" s="25"/>
    </row>
    <row r="376" spans="1:22">
      <c r="A376" s="30"/>
      <c r="B376" s="8">
        <f>IF(A376="","",A376-WEEKDAY(A376,2)+1)</f>
        <v>0</v>
      </c>
      <c r="C376" s="8">
        <f>IF(A376="","",TEXT(A376,"mmm yyyy"))</f>
        <v>0</v>
      </c>
      <c r="D376" s="27"/>
      <c r="E376" s="7"/>
      <c r="F376" s="8">
        <f>IF(E376="","",IFERROR(INDEX(Ingredients!$B$5:$B$304,MATCH(E376,Ingredients!$A$5:$A$304,0)),""))</f>
        <v>0</v>
      </c>
      <c r="G376" s="26"/>
      <c r="H376" s="27"/>
      <c r="I376" s="28"/>
      <c r="J376" s="8">
        <f>IF(OR(E376="",G376="",I376=""),"",G376*I376)</f>
        <v>0</v>
      </c>
      <c r="K376" s="8">
        <f>IF(OR(A376="",J376=""),"",SUMIFS($J$5:$J$404,$B$5:$B$404,B376))</f>
        <v>0</v>
      </c>
      <c r="L376" s="8">
        <f>IF(OR(J376="",K376="",K376=0),"",J376/K376)</f>
        <v>0</v>
      </c>
      <c r="M376" s="8">
        <f>IF(K376="","",K376-Weekly_Budget)</f>
        <v>0</v>
      </c>
      <c r="N376" s="8">
        <f>IF(K376="","",IF(K376&gt;Weekly_Budget,"Over budget",IF(K376&gt;Weekly_Budget*0.9,"Close","Within budget")))</f>
        <v>0</v>
      </c>
      <c r="O376" s="7"/>
      <c r="P376" s="27"/>
      <c r="Q376" s="27"/>
      <c r="R376" s="28"/>
      <c r="S376" s="8">
        <f>IF(J376="","",COUNTIFS($J$5:$J$404,"&gt;"&amp;J376)+1)</f>
        <v>0</v>
      </c>
      <c r="T376" s="8">
        <f>IF(OR(A376="",J376=""),"",SUMIFS($J$5:$J$404,$C$5:$C$404,C376,$A$5:$A$404,"&lt;="&amp;A376))</f>
        <v>0</v>
      </c>
      <c r="U376" s="8">
        <f>IF(E376="","",IF(Q376="Yes","On offer","Full price"))</f>
        <v>0</v>
      </c>
      <c r="V376" s="25"/>
    </row>
    <row r="377" spans="1:22">
      <c r="A377" s="30"/>
      <c r="B377" s="8">
        <f>IF(A377="","",A377-WEEKDAY(A377,2)+1)</f>
        <v>0</v>
      </c>
      <c r="C377" s="8">
        <f>IF(A377="","",TEXT(A377,"mmm yyyy"))</f>
        <v>0</v>
      </c>
      <c r="D377" s="27"/>
      <c r="E377" s="7"/>
      <c r="F377" s="8">
        <f>IF(E377="","",IFERROR(INDEX(Ingredients!$B$5:$B$304,MATCH(E377,Ingredients!$A$5:$A$304,0)),""))</f>
        <v>0</v>
      </c>
      <c r="G377" s="26"/>
      <c r="H377" s="27"/>
      <c r="I377" s="28"/>
      <c r="J377" s="8">
        <f>IF(OR(E377="",G377="",I377=""),"",G377*I377)</f>
        <v>0</v>
      </c>
      <c r="K377" s="8">
        <f>IF(OR(A377="",J377=""),"",SUMIFS($J$5:$J$404,$B$5:$B$404,B377))</f>
        <v>0</v>
      </c>
      <c r="L377" s="8">
        <f>IF(OR(J377="",K377="",K377=0),"",J377/K377)</f>
        <v>0</v>
      </c>
      <c r="M377" s="8">
        <f>IF(K377="","",K377-Weekly_Budget)</f>
        <v>0</v>
      </c>
      <c r="N377" s="8">
        <f>IF(K377="","",IF(K377&gt;Weekly_Budget,"Over budget",IF(K377&gt;Weekly_Budget*0.9,"Close","Within budget")))</f>
        <v>0</v>
      </c>
      <c r="O377" s="7"/>
      <c r="P377" s="27"/>
      <c r="Q377" s="27"/>
      <c r="R377" s="28"/>
      <c r="S377" s="8">
        <f>IF(J377="","",COUNTIFS($J$5:$J$404,"&gt;"&amp;J377)+1)</f>
        <v>0</v>
      </c>
      <c r="T377" s="8">
        <f>IF(OR(A377="",J377=""),"",SUMIFS($J$5:$J$404,$C$5:$C$404,C377,$A$5:$A$404,"&lt;="&amp;A377))</f>
        <v>0</v>
      </c>
      <c r="U377" s="8">
        <f>IF(E377="","",IF(Q377="Yes","On offer","Full price"))</f>
        <v>0</v>
      </c>
      <c r="V377" s="25"/>
    </row>
    <row r="378" spans="1:22">
      <c r="A378" s="30"/>
      <c r="B378" s="8">
        <f>IF(A378="","",A378-WEEKDAY(A378,2)+1)</f>
        <v>0</v>
      </c>
      <c r="C378" s="8">
        <f>IF(A378="","",TEXT(A378,"mmm yyyy"))</f>
        <v>0</v>
      </c>
      <c r="D378" s="27"/>
      <c r="E378" s="7"/>
      <c r="F378" s="8">
        <f>IF(E378="","",IFERROR(INDEX(Ingredients!$B$5:$B$304,MATCH(E378,Ingredients!$A$5:$A$304,0)),""))</f>
        <v>0</v>
      </c>
      <c r="G378" s="26"/>
      <c r="H378" s="27"/>
      <c r="I378" s="28"/>
      <c r="J378" s="8">
        <f>IF(OR(E378="",G378="",I378=""),"",G378*I378)</f>
        <v>0</v>
      </c>
      <c r="K378" s="8">
        <f>IF(OR(A378="",J378=""),"",SUMIFS($J$5:$J$404,$B$5:$B$404,B378))</f>
        <v>0</v>
      </c>
      <c r="L378" s="8">
        <f>IF(OR(J378="",K378="",K378=0),"",J378/K378)</f>
        <v>0</v>
      </c>
      <c r="M378" s="8">
        <f>IF(K378="","",K378-Weekly_Budget)</f>
        <v>0</v>
      </c>
      <c r="N378" s="8">
        <f>IF(K378="","",IF(K378&gt;Weekly_Budget,"Over budget",IF(K378&gt;Weekly_Budget*0.9,"Close","Within budget")))</f>
        <v>0</v>
      </c>
      <c r="O378" s="7"/>
      <c r="P378" s="27"/>
      <c r="Q378" s="27"/>
      <c r="R378" s="28"/>
      <c r="S378" s="8">
        <f>IF(J378="","",COUNTIFS($J$5:$J$404,"&gt;"&amp;J378)+1)</f>
        <v>0</v>
      </c>
      <c r="T378" s="8">
        <f>IF(OR(A378="",J378=""),"",SUMIFS($J$5:$J$404,$C$5:$C$404,C378,$A$5:$A$404,"&lt;="&amp;A378))</f>
        <v>0</v>
      </c>
      <c r="U378" s="8">
        <f>IF(E378="","",IF(Q378="Yes","On offer","Full price"))</f>
        <v>0</v>
      </c>
      <c r="V378" s="25"/>
    </row>
    <row r="379" spans="1:22">
      <c r="A379" s="30"/>
      <c r="B379" s="8">
        <f>IF(A379="","",A379-WEEKDAY(A379,2)+1)</f>
        <v>0</v>
      </c>
      <c r="C379" s="8">
        <f>IF(A379="","",TEXT(A379,"mmm yyyy"))</f>
        <v>0</v>
      </c>
      <c r="D379" s="27"/>
      <c r="E379" s="7"/>
      <c r="F379" s="8">
        <f>IF(E379="","",IFERROR(INDEX(Ingredients!$B$5:$B$304,MATCH(E379,Ingredients!$A$5:$A$304,0)),""))</f>
        <v>0</v>
      </c>
      <c r="G379" s="26"/>
      <c r="H379" s="27"/>
      <c r="I379" s="28"/>
      <c r="J379" s="8">
        <f>IF(OR(E379="",G379="",I379=""),"",G379*I379)</f>
        <v>0</v>
      </c>
      <c r="K379" s="8">
        <f>IF(OR(A379="",J379=""),"",SUMIFS($J$5:$J$404,$B$5:$B$404,B379))</f>
        <v>0</v>
      </c>
      <c r="L379" s="8">
        <f>IF(OR(J379="",K379="",K379=0),"",J379/K379)</f>
        <v>0</v>
      </c>
      <c r="M379" s="8">
        <f>IF(K379="","",K379-Weekly_Budget)</f>
        <v>0</v>
      </c>
      <c r="N379" s="8">
        <f>IF(K379="","",IF(K379&gt;Weekly_Budget,"Over budget",IF(K379&gt;Weekly_Budget*0.9,"Close","Within budget")))</f>
        <v>0</v>
      </c>
      <c r="O379" s="7"/>
      <c r="P379" s="27"/>
      <c r="Q379" s="27"/>
      <c r="R379" s="28"/>
      <c r="S379" s="8">
        <f>IF(J379="","",COUNTIFS($J$5:$J$404,"&gt;"&amp;J379)+1)</f>
        <v>0</v>
      </c>
      <c r="T379" s="8">
        <f>IF(OR(A379="",J379=""),"",SUMIFS($J$5:$J$404,$C$5:$C$404,C379,$A$5:$A$404,"&lt;="&amp;A379))</f>
        <v>0</v>
      </c>
      <c r="U379" s="8">
        <f>IF(E379="","",IF(Q379="Yes","On offer","Full price"))</f>
        <v>0</v>
      </c>
      <c r="V379" s="25"/>
    </row>
    <row r="380" spans="1:22">
      <c r="A380" s="30"/>
      <c r="B380" s="8">
        <f>IF(A380="","",A380-WEEKDAY(A380,2)+1)</f>
        <v>0</v>
      </c>
      <c r="C380" s="8">
        <f>IF(A380="","",TEXT(A380,"mmm yyyy"))</f>
        <v>0</v>
      </c>
      <c r="D380" s="27"/>
      <c r="E380" s="7"/>
      <c r="F380" s="8">
        <f>IF(E380="","",IFERROR(INDEX(Ingredients!$B$5:$B$304,MATCH(E380,Ingredients!$A$5:$A$304,0)),""))</f>
        <v>0</v>
      </c>
      <c r="G380" s="26"/>
      <c r="H380" s="27"/>
      <c r="I380" s="28"/>
      <c r="J380" s="8">
        <f>IF(OR(E380="",G380="",I380=""),"",G380*I380)</f>
        <v>0</v>
      </c>
      <c r="K380" s="8">
        <f>IF(OR(A380="",J380=""),"",SUMIFS($J$5:$J$404,$B$5:$B$404,B380))</f>
        <v>0</v>
      </c>
      <c r="L380" s="8">
        <f>IF(OR(J380="",K380="",K380=0),"",J380/K380)</f>
        <v>0</v>
      </c>
      <c r="M380" s="8">
        <f>IF(K380="","",K380-Weekly_Budget)</f>
        <v>0</v>
      </c>
      <c r="N380" s="8">
        <f>IF(K380="","",IF(K380&gt;Weekly_Budget,"Over budget",IF(K380&gt;Weekly_Budget*0.9,"Close","Within budget")))</f>
        <v>0</v>
      </c>
      <c r="O380" s="7"/>
      <c r="P380" s="27"/>
      <c r="Q380" s="27"/>
      <c r="R380" s="28"/>
      <c r="S380" s="8">
        <f>IF(J380="","",COUNTIFS($J$5:$J$404,"&gt;"&amp;J380)+1)</f>
        <v>0</v>
      </c>
      <c r="T380" s="8">
        <f>IF(OR(A380="",J380=""),"",SUMIFS($J$5:$J$404,$C$5:$C$404,C380,$A$5:$A$404,"&lt;="&amp;A380))</f>
        <v>0</v>
      </c>
      <c r="U380" s="8">
        <f>IF(E380="","",IF(Q380="Yes","On offer","Full price"))</f>
        <v>0</v>
      </c>
      <c r="V380" s="25"/>
    </row>
    <row r="381" spans="1:22">
      <c r="A381" s="30"/>
      <c r="B381" s="8">
        <f>IF(A381="","",A381-WEEKDAY(A381,2)+1)</f>
        <v>0</v>
      </c>
      <c r="C381" s="8">
        <f>IF(A381="","",TEXT(A381,"mmm yyyy"))</f>
        <v>0</v>
      </c>
      <c r="D381" s="27"/>
      <c r="E381" s="7"/>
      <c r="F381" s="8">
        <f>IF(E381="","",IFERROR(INDEX(Ingredients!$B$5:$B$304,MATCH(E381,Ingredients!$A$5:$A$304,0)),""))</f>
        <v>0</v>
      </c>
      <c r="G381" s="26"/>
      <c r="H381" s="27"/>
      <c r="I381" s="28"/>
      <c r="J381" s="8">
        <f>IF(OR(E381="",G381="",I381=""),"",G381*I381)</f>
        <v>0</v>
      </c>
      <c r="K381" s="8">
        <f>IF(OR(A381="",J381=""),"",SUMIFS($J$5:$J$404,$B$5:$B$404,B381))</f>
        <v>0</v>
      </c>
      <c r="L381" s="8">
        <f>IF(OR(J381="",K381="",K381=0),"",J381/K381)</f>
        <v>0</v>
      </c>
      <c r="M381" s="8">
        <f>IF(K381="","",K381-Weekly_Budget)</f>
        <v>0</v>
      </c>
      <c r="N381" s="8">
        <f>IF(K381="","",IF(K381&gt;Weekly_Budget,"Over budget",IF(K381&gt;Weekly_Budget*0.9,"Close","Within budget")))</f>
        <v>0</v>
      </c>
      <c r="O381" s="7"/>
      <c r="P381" s="27"/>
      <c r="Q381" s="27"/>
      <c r="R381" s="28"/>
      <c r="S381" s="8">
        <f>IF(J381="","",COUNTIFS($J$5:$J$404,"&gt;"&amp;J381)+1)</f>
        <v>0</v>
      </c>
      <c r="T381" s="8">
        <f>IF(OR(A381="",J381=""),"",SUMIFS($J$5:$J$404,$C$5:$C$404,C381,$A$5:$A$404,"&lt;="&amp;A381))</f>
        <v>0</v>
      </c>
      <c r="U381" s="8">
        <f>IF(E381="","",IF(Q381="Yes","On offer","Full price"))</f>
        <v>0</v>
      </c>
      <c r="V381" s="25"/>
    </row>
    <row r="382" spans="1:22">
      <c r="A382" s="30"/>
      <c r="B382" s="8">
        <f>IF(A382="","",A382-WEEKDAY(A382,2)+1)</f>
        <v>0</v>
      </c>
      <c r="C382" s="8">
        <f>IF(A382="","",TEXT(A382,"mmm yyyy"))</f>
        <v>0</v>
      </c>
      <c r="D382" s="27"/>
      <c r="E382" s="7"/>
      <c r="F382" s="8">
        <f>IF(E382="","",IFERROR(INDEX(Ingredients!$B$5:$B$304,MATCH(E382,Ingredients!$A$5:$A$304,0)),""))</f>
        <v>0</v>
      </c>
      <c r="G382" s="26"/>
      <c r="H382" s="27"/>
      <c r="I382" s="28"/>
      <c r="J382" s="8">
        <f>IF(OR(E382="",G382="",I382=""),"",G382*I382)</f>
        <v>0</v>
      </c>
      <c r="K382" s="8">
        <f>IF(OR(A382="",J382=""),"",SUMIFS($J$5:$J$404,$B$5:$B$404,B382))</f>
        <v>0</v>
      </c>
      <c r="L382" s="8">
        <f>IF(OR(J382="",K382="",K382=0),"",J382/K382)</f>
        <v>0</v>
      </c>
      <c r="M382" s="8">
        <f>IF(K382="","",K382-Weekly_Budget)</f>
        <v>0</v>
      </c>
      <c r="N382" s="8">
        <f>IF(K382="","",IF(K382&gt;Weekly_Budget,"Over budget",IF(K382&gt;Weekly_Budget*0.9,"Close","Within budget")))</f>
        <v>0</v>
      </c>
      <c r="O382" s="7"/>
      <c r="P382" s="27"/>
      <c r="Q382" s="27"/>
      <c r="R382" s="28"/>
      <c r="S382" s="8">
        <f>IF(J382="","",COUNTIFS($J$5:$J$404,"&gt;"&amp;J382)+1)</f>
        <v>0</v>
      </c>
      <c r="T382" s="8">
        <f>IF(OR(A382="",J382=""),"",SUMIFS($J$5:$J$404,$C$5:$C$404,C382,$A$5:$A$404,"&lt;="&amp;A382))</f>
        <v>0</v>
      </c>
      <c r="U382" s="8">
        <f>IF(E382="","",IF(Q382="Yes","On offer","Full price"))</f>
        <v>0</v>
      </c>
      <c r="V382" s="25"/>
    </row>
    <row r="383" spans="1:22">
      <c r="A383" s="30"/>
      <c r="B383" s="8">
        <f>IF(A383="","",A383-WEEKDAY(A383,2)+1)</f>
        <v>0</v>
      </c>
      <c r="C383" s="8">
        <f>IF(A383="","",TEXT(A383,"mmm yyyy"))</f>
        <v>0</v>
      </c>
      <c r="D383" s="27"/>
      <c r="E383" s="7"/>
      <c r="F383" s="8">
        <f>IF(E383="","",IFERROR(INDEX(Ingredients!$B$5:$B$304,MATCH(E383,Ingredients!$A$5:$A$304,0)),""))</f>
        <v>0</v>
      </c>
      <c r="G383" s="26"/>
      <c r="H383" s="27"/>
      <c r="I383" s="28"/>
      <c r="J383" s="8">
        <f>IF(OR(E383="",G383="",I383=""),"",G383*I383)</f>
        <v>0</v>
      </c>
      <c r="K383" s="8">
        <f>IF(OR(A383="",J383=""),"",SUMIFS($J$5:$J$404,$B$5:$B$404,B383))</f>
        <v>0</v>
      </c>
      <c r="L383" s="8">
        <f>IF(OR(J383="",K383="",K383=0),"",J383/K383)</f>
        <v>0</v>
      </c>
      <c r="M383" s="8">
        <f>IF(K383="","",K383-Weekly_Budget)</f>
        <v>0</v>
      </c>
      <c r="N383" s="8">
        <f>IF(K383="","",IF(K383&gt;Weekly_Budget,"Over budget",IF(K383&gt;Weekly_Budget*0.9,"Close","Within budget")))</f>
        <v>0</v>
      </c>
      <c r="O383" s="7"/>
      <c r="P383" s="27"/>
      <c r="Q383" s="27"/>
      <c r="R383" s="28"/>
      <c r="S383" s="8">
        <f>IF(J383="","",COUNTIFS($J$5:$J$404,"&gt;"&amp;J383)+1)</f>
        <v>0</v>
      </c>
      <c r="T383" s="8">
        <f>IF(OR(A383="",J383=""),"",SUMIFS($J$5:$J$404,$C$5:$C$404,C383,$A$5:$A$404,"&lt;="&amp;A383))</f>
        <v>0</v>
      </c>
      <c r="U383" s="8">
        <f>IF(E383="","",IF(Q383="Yes","On offer","Full price"))</f>
        <v>0</v>
      </c>
      <c r="V383" s="25"/>
    </row>
    <row r="384" spans="1:22">
      <c r="A384" s="30"/>
      <c r="B384" s="8">
        <f>IF(A384="","",A384-WEEKDAY(A384,2)+1)</f>
        <v>0</v>
      </c>
      <c r="C384" s="8">
        <f>IF(A384="","",TEXT(A384,"mmm yyyy"))</f>
        <v>0</v>
      </c>
      <c r="D384" s="27"/>
      <c r="E384" s="7"/>
      <c r="F384" s="8">
        <f>IF(E384="","",IFERROR(INDEX(Ingredients!$B$5:$B$304,MATCH(E384,Ingredients!$A$5:$A$304,0)),""))</f>
        <v>0</v>
      </c>
      <c r="G384" s="26"/>
      <c r="H384" s="27"/>
      <c r="I384" s="28"/>
      <c r="J384" s="8">
        <f>IF(OR(E384="",G384="",I384=""),"",G384*I384)</f>
        <v>0</v>
      </c>
      <c r="K384" s="8">
        <f>IF(OR(A384="",J384=""),"",SUMIFS($J$5:$J$404,$B$5:$B$404,B384))</f>
        <v>0</v>
      </c>
      <c r="L384" s="8">
        <f>IF(OR(J384="",K384="",K384=0),"",J384/K384)</f>
        <v>0</v>
      </c>
      <c r="M384" s="8">
        <f>IF(K384="","",K384-Weekly_Budget)</f>
        <v>0</v>
      </c>
      <c r="N384" s="8">
        <f>IF(K384="","",IF(K384&gt;Weekly_Budget,"Over budget",IF(K384&gt;Weekly_Budget*0.9,"Close","Within budget")))</f>
        <v>0</v>
      </c>
      <c r="O384" s="7"/>
      <c r="P384" s="27"/>
      <c r="Q384" s="27"/>
      <c r="R384" s="28"/>
      <c r="S384" s="8">
        <f>IF(J384="","",COUNTIFS($J$5:$J$404,"&gt;"&amp;J384)+1)</f>
        <v>0</v>
      </c>
      <c r="T384" s="8">
        <f>IF(OR(A384="",J384=""),"",SUMIFS($J$5:$J$404,$C$5:$C$404,C384,$A$5:$A$404,"&lt;="&amp;A384))</f>
        <v>0</v>
      </c>
      <c r="U384" s="8">
        <f>IF(E384="","",IF(Q384="Yes","On offer","Full price"))</f>
        <v>0</v>
      </c>
      <c r="V384" s="25"/>
    </row>
    <row r="385" spans="1:22">
      <c r="A385" s="30"/>
      <c r="B385" s="8">
        <f>IF(A385="","",A385-WEEKDAY(A385,2)+1)</f>
        <v>0</v>
      </c>
      <c r="C385" s="8">
        <f>IF(A385="","",TEXT(A385,"mmm yyyy"))</f>
        <v>0</v>
      </c>
      <c r="D385" s="27"/>
      <c r="E385" s="7"/>
      <c r="F385" s="8">
        <f>IF(E385="","",IFERROR(INDEX(Ingredients!$B$5:$B$304,MATCH(E385,Ingredients!$A$5:$A$304,0)),""))</f>
        <v>0</v>
      </c>
      <c r="G385" s="26"/>
      <c r="H385" s="27"/>
      <c r="I385" s="28"/>
      <c r="J385" s="8">
        <f>IF(OR(E385="",G385="",I385=""),"",G385*I385)</f>
        <v>0</v>
      </c>
      <c r="K385" s="8">
        <f>IF(OR(A385="",J385=""),"",SUMIFS($J$5:$J$404,$B$5:$B$404,B385))</f>
        <v>0</v>
      </c>
      <c r="L385" s="8">
        <f>IF(OR(J385="",K385="",K385=0),"",J385/K385)</f>
        <v>0</v>
      </c>
      <c r="M385" s="8">
        <f>IF(K385="","",K385-Weekly_Budget)</f>
        <v>0</v>
      </c>
      <c r="N385" s="8">
        <f>IF(K385="","",IF(K385&gt;Weekly_Budget,"Over budget",IF(K385&gt;Weekly_Budget*0.9,"Close","Within budget")))</f>
        <v>0</v>
      </c>
      <c r="O385" s="7"/>
      <c r="P385" s="27"/>
      <c r="Q385" s="27"/>
      <c r="R385" s="28"/>
      <c r="S385" s="8">
        <f>IF(J385="","",COUNTIFS($J$5:$J$404,"&gt;"&amp;J385)+1)</f>
        <v>0</v>
      </c>
      <c r="T385" s="8">
        <f>IF(OR(A385="",J385=""),"",SUMIFS($J$5:$J$404,$C$5:$C$404,C385,$A$5:$A$404,"&lt;="&amp;A385))</f>
        <v>0</v>
      </c>
      <c r="U385" s="8">
        <f>IF(E385="","",IF(Q385="Yes","On offer","Full price"))</f>
        <v>0</v>
      </c>
      <c r="V385" s="25"/>
    </row>
    <row r="386" spans="1:22">
      <c r="A386" s="30"/>
      <c r="B386" s="8">
        <f>IF(A386="","",A386-WEEKDAY(A386,2)+1)</f>
        <v>0</v>
      </c>
      <c r="C386" s="8">
        <f>IF(A386="","",TEXT(A386,"mmm yyyy"))</f>
        <v>0</v>
      </c>
      <c r="D386" s="27"/>
      <c r="E386" s="7"/>
      <c r="F386" s="8">
        <f>IF(E386="","",IFERROR(INDEX(Ingredients!$B$5:$B$304,MATCH(E386,Ingredients!$A$5:$A$304,0)),""))</f>
        <v>0</v>
      </c>
      <c r="G386" s="26"/>
      <c r="H386" s="27"/>
      <c r="I386" s="28"/>
      <c r="J386" s="8">
        <f>IF(OR(E386="",G386="",I386=""),"",G386*I386)</f>
        <v>0</v>
      </c>
      <c r="K386" s="8">
        <f>IF(OR(A386="",J386=""),"",SUMIFS($J$5:$J$404,$B$5:$B$404,B386))</f>
        <v>0</v>
      </c>
      <c r="L386" s="8">
        <f>IF(OR(J386="",K386="",K386=0),"",J386/K386)</f>
        <v>0</v>
      </c>
      <c r="M386" s="8">
        <f>IF(K386="","",K386-Weekly_Budget)</f>
        <v>0</v>
      </c>
      <c r="N386" s="8">
        <f>IF(K386="","",IF(K386&gt;Weekly_Budget,"Over budget",IF(K386&gt;Weekly_Budget*0.9,"Close","Within budget")))</f>
        <v>0</v>
      </c>
      <c r="O386" s="7"/>
      <c r="P386" s="27"/>
      <c r="Q386" s="27"/>
      <c r="R386" s="28"/>
      <c r="S386" s="8">
        <f>IF(J386="","",COUNTIFS($J$5:$J$404,"&gt;"&amp;J386)+1)</f>
        <v>0</v>
      </c>
      <c r="T386" s="8">
        <f>IF(OR(A386="",J386=""),"",SUMIFS($J$5:$J$404,$C$5:$C$404,C386,$A$5:$A$404,"&lt;="&amp;A386))</f>
        <v>0</v>
      </c>
      <c r="U386" s="8">
        <f>IF(E386="","",IF(Q386="Yes","On offer","Full price"))</f>
        <v>0</v>
      </c>
      <c r="V386" s="25"/>
    </row>
    <row r="387" spans="1:22">
      <c r="A387" s="30"/>
      <c r="B387" s="8">
        <f>IF(A387="","",A387-WEEKDAY(A387,2)+1)</f>
        <v>0</v>
      </c>
      <c r="C387" s="8">
        <f>IF(A387="","",TEXT(A387,"mmm yyyy"))</f>
        <v>0</v>
      </c>
      <c r="D387" s="27"/>
      <c r="E387" s="7"/>
      <c r="F387" s="8">
        <f>IF(E387="","",IFERROR(INDEX(Ingredients!$B$5:$B$304,MATCH(E387,Ingredients!$A$5:$A$304,0)),""))</f>
        <v>0</v>
      </c>
      <c r="G387" s="26"/>
      <c r="H387" s="27"/>
      <c r="I387" s="28"/>
      <c r="J387" s="8">
        <f>IF(OR(E387="",G387="",I387=""),"",G387*I387)</f>
        <v>0</v>
      </c>
      <c r="K387" s="8">
        <f>IF(OR(A387="",J387=""),"",SUMIFS($J$5:$J$404,$B$5:$B$404,B387))</f>
        <v>0</v>
      </c>
      <c r="L387" s="8">
        <f>IF(OR(J387="",K387="",K387=0),"",J387/K387)</f>
        <v>0</v>
      </c>
      <c r="M387" s="8">
        <f>IF(K387="","",K387-Weekly_Budget)</f>
        <v>0</v>
      </c>
      <c r="N387" s="8">
        <f>IF(K387="","",IF(K387&gt;Weekly_Budget,"Over budget",IF(K387&gt;Weekly_Budget*0.9,"Close","Within budget")))</f>
        <v>0</v>
      </c>
      <c r="O387" s="7"/>
      <c r="P387" s="27"/>
      <c r="Q387" s="27"/>
      <c r="R387" s="28"/>
      <c r="S387" s="8">
        <f>IF(J387="","",COUNTIFS($J$5:$J$404,"&gt;"&amp;J387)+1)</f>
        <v>0</v>
      </c>
      <c r="T387" s="8">
        <f>IF(OR(A387="",J387=""),"",SUMIFS($J$5:$J$404,$C$5:$C$404,C387,$A$5:$A$404,"&lt;="&amp;A387))</f>
        <v>0</v>
      </c>
      <c r="U387" s="8">
        <f>IF(E387="","",IF(Q387="Yes","On offer","Full price"))</f>
        <v>0</v>
      </c>
      <c r="V387" s="25"/>
    </row>
    <row r="388" spans="1:22">
      <c r="A388" s="30"/>
      <c r="B388" s="8">
        <f>IF(A388="","",A388-WEEKDAY(A388,2)+1)</f>
        <v>0</v>
      </c>
      <c r="C388" s="8">
        <f>IF(A388="","",TEXT(A388,"mmm yyyy"))</f>
        <v>0</v>
      </c>
      <c r="D388" s="27"/>
      <c r="E388" s="7"/>
      <c r="F388" s="8">
        <f>IF(E388="","",IFERROR(INDEX(Ingredients!$B$5:$B$304,MATCH(E388,Ingredients!$A$5:$A$304,0)),""))</f>
        <v>0</v>
      </c>
      <c r="G388" s="26"/>
      <c r="H388" s="27"/>
      <c r="I388" s="28"/>
      <c r="J388" s="8">
        <f>IF(OR(E388="",G388="",I388=""),"",G388*I388)</f>
        <v>0</v>
      </c>
      <c r="K388" s="8">
        <f>IF(OR(A388="",J388=""),"",SUMIFS($J$5:$J$404,$B$5:$B$404,B388))</f>
        <v>0</v>
      </c>
      <c r="L388" s="8">
        <f>IF(OR(J388="",K388="",K388=0),"",J388/K388)</f>
        <v>0</v>
      </c>
      <c r="M388" s="8">
        <f>IF(K388="","",K388-Weekly_Budget)</f>
        <v>0</v>
      </c>
      <c r="N388" s="8">
        <f>IF(K388="","",IF(K388&gt;Weekly_Budget,"Over budget",IF(K388&gt;Weekly_Budget*0.9,"Close","Within budget")))</f>
        <v>0</v>
      </c>
      <c r="O388" s="7"/>
      <c r="P388" s="27"/>
      <c r="Q388" s="27"/>
      <c r="R388" s="28"/>
      <c r="S388" s="8">
        <f>IF(J388="","",COUNTIFS($J$5:$J$404,"&gt;"&amp;J388)+1)</f>
        <v>0</v>
      </c>
      <c r="T388" s="8">
        <f>IF(OR(A388="",J388=""),"",SUMIFS($J$5:$J$404,$C$5:$C$404,C388,$A$5:$A$404,"&lt;="&amp;A388))</f>
        <v>0</v>
      </c>
      <c r="U388" s="8">
        <f>IF(E388="","",IF(Q388="Yes","On offer","Full price"))</f>
        <v>0</v>
      </c>
      <c r="V388" s="25"/>
    </row>
    <row r="389" spans="1:22">
      <c r="A389" s="30"/>
      <c r="B389" s="8">
        <f>IF(A389="","",A389-WEEKDAY(A389,2)+1)</f>
        <v>0</v>
      </c>
      <c r="C389" s="8">
        <f>IF(A389="","",TEXT(A389,"mmm yyyy"))</f>
        <v>0</v>
      </c>
      <c r="D389" s="27"/>
      <c r="E389" s="7"/>
      <c r="F389" s="8">
        <f>IF(E389="","",IFERROR(INDEX(Ingredients!$B$5:$B$304,MATCH(E389,Ingredients!$A$5:$A$304,0)),""))</f>
        <v>0</v>
      </c>
      <c r="G389" s="26"/>
      <c r="H389" s="27"/>
      <c r="I389" s="28"/>
      <c r="J389" s="8">
        <f>IF(OR(E389="",G389="",I389=""),"",G389*I389)</f>
        <v>0</v>
      </c>
      <c r="K389" s="8">
        <f>IF(OR(A389="",J389=""),"",SUMIFS($J$5:$J$404,$B$5:$B$404,B389))</f>
        <v>0</v>
      </c>
      <c r="L389" s="8">
        <f>IF(OR(J389="",K389="",K389=0),"",J389/K389)</f>
        <v>0</v>
      </c>
      <c r="M389" s="8">
        <f>IF(K389="","",K389-Weekly_Budget)</f>
        <v>0</v>
      </c>
      <c r="N389" s="8">
        <f>IF(K389="","",IF(K389&gt;Weekly_Budget,"Over budget",IF(K389&gt;Weekly_Budget*0.9,"Close","Within budget")))</f>
        <v>0</v>
      </c>
      <c r="O389" s="7"/>
      <c r="P389" s="27"/>
      <c r="Q389" s="27"/>
      <c r="R389" s="28"/>
      <c r="S389" s="8">
        <f>IF(J389="","",COUNTIFS($J$5:$J$404,"&gt;"&amp;J389)+1)</f>
        <v>0</v>
      </c>
      <c r="T389" s="8">
        <f>IF(OR(A389="",J389=""),"",SUMIFS($J$5:$J$404,$C$5:$C$404,C389,$A$5:$A$404,"&lt;="&amp;A389))</f>
        <v>0</v>
      </c>
      <c r="U389" s="8">
        <f>IF(E389="","",IF(Q389="Yes","On offer","Full price"))</f>
        <v>0</v>
      </c>
      <c r="V389" s="25"/>
    </row>
    <row r="390" spans="1:22">
      <c r="A390" s="30"/>
      <c r="B390" s="8">
        <f>IF(A390="","",A390-WEEKDAY(A390,2)+1)</f>
        <v>0</v>
      </c>
      <c r="C390" s="8">
        <f>IF(A390="","",TEXT(A390,"mmm yyyy"))</f>
        <v>0</v>
      </c>
      <c r="D390" s="27"/>
      <c r="E390" s="7"/>
      <c r="F390" s="8">
        <f>IF(E390="","",IFERROR(INDEX(Ingredients!$B$5:$B$304,MATCH(E390,Ingredients!$A$5:$A$304,0)),""))</f>
        <v>0</v>
      </c>
      <c r="G390" s="26"/>
      <c r="H390" s="27"/>
      <c r="I390" s="28"/>
      <c r="J390" s="8">
        <f>IF(OR(E390="",G390="",I390=""),"",G390*I390)</f>
        <v>0</v>
      </c>
      <c r="K390" s="8">
        <f>IF(OR(A390="",J390=""),"",SUMIFS($J$5:$J$404,$B$5:$B$404,B390))</f>
        <v>0</v>
      </c>
      <c r="L390" s="8">
        <f>IF(OR(J390="",K390="",K390=0),"",J390/K390)</f>
        <v>0</v>
      </c>
      <c r="M390" s="8">
        <f>IF(K390="","",K390-Weekly_Budget)</f>
        <v>0</v>
      </c>
      <c r="N390" s="8">
        <f>IF(K390="","",IF(K390&gt;Weekly_Budget,"Over budget",IF(K390&gt;Weekly_Budget*0.9,"Close","Within budget")))</f>
        <v>0</v>
      </c>
      <c r="O390" s="7"/>
      <c r="P390" s="27"/>
      <c r="Q390" s="27"/>
      <c r="R390" s="28"/>
      <c r="S390" s="8">
        <f>IF(J390="","",COUNTIFS($J$5:$J$404,"&gt;"&amp;J390)+1)</f>
        <v>0</v>
      </c>
      <c r="T390" s="8">
        <f>IF(OR(A390="",J390=""),"",SUMIFS($J$5:$J$404,$C$5:$C$404,C390,$A$5:$A$404,"&lt;="&amp;A390))</f>
        <v>0</v>
      </c>
      <c r="U390" s="8">
        <f>IF(E390="","",IF(Q390="Yes","On offer","Full price"))</f>
        <v>0</v>
      </c>
      <c r="V390" s="25"/>
    </row>
    <row r="391" spans="1:22">
      <c r="A391" s="30"/>
      <c r="B391" s="8">
        <f>IF(A391="","",A391-WEEKDAY(A391,2)+1)</f>
        <v>0</v>
      </c>
      <c r="C391" s="8">
        <f>IF(A391="","",TEXT(A391,"mmm yyyy"))</f>
        <v>0</v>
      </c>
      <c r="D391" s="27"/>
      <c r="E391" s="7"/>
      <c r="F391" s="8">
        <f>IF(E391="","",IFERROR(INDEX(Ingredients!$B$5:$B$304,MATCH(E391,Ingredients!$A$5:$A$304,0)),""))</f>
        <v>0</v>
      </c>
      <c r="G391" s="26"/>
      <c r="H391" s="27"/>
      <c r="I391" s="28"/>
      <c r="J391" s="8">
        <f>IF(OR(E391="",G391="",I391=""),"",G391*I391)</f>
        <v>0</v>
      </c>
      <c r="K391" s="8">
        <f>IF(OR(A391="",J391=""),"",SUMIFS($J$5:$J$404,$B$5:$B$404,B391))</f>
        <v>0</v>
      </c>
      <c r="L391" s="8">
        <f>IF(OR(J391="",K391="",K391=0),"",J391/K391)</f>
        <v>0</v>
      </c>
      <c r="M391" s="8">
        <f>IF(K391="","",K391-Weekly_Budget)</f>
        <v>0</v>
      </c>
      <c r="N391" s="8">
        <f>IF(K391="","",IF(K391&gt;Weekly_Budget,"Over budget",IF(K391&gt;Weekly_Budget*0.9,"Close","Within budget")))</f>
        <v>0</v>
      </c>
      <c r="O391" s="7"/>
      <c r="P391" s="27"/>
      <c r="Q391" s="27"/>
      <c r="R391" s="28"/>
      <c r="S391" s="8">
        <f>IF(J391="","",COUNTIFS($J$5:$J$404,"&gt;"&amp;J391)+1)</f>
        <v>0</v>
      </c>
      <c r="T391" s="8">
        <f>IF(OR(A391="",J391=""),"",SUMIFS($J$5:$J$404,$C$5:$C$404,C391,$A$5:$A$404,"&lt;="&amp;A391))</f>
        <v>0</v>
      </c>
      <c r="U391" s="8">
        <f>IF(E391="","",IF(Q391="Yes","On offer","Full price"))</f>
        <v>0</v>
      </c>
      <c r="V391" s="25"/>
    </row>
    <row r="392" spans="1:22">
      <c r="A392" s="30"/>
      <c r="B392" s="8">
        <f>IF(A392="","",A392-WEEKDAY(A392,2)+1)</f>
        <v>0</v>
      </c>
      <c r="C392" s="8">
        <f>IF(A392="","",TEXT(A392,"mmm yyyy"))</f>
        <v>0</v>
      </c>
      <c r="D392" s="27"/>
      <c r="E392" s="7"/>
      <c r="F392" s="8">
        <f>IF(E392="","",IFERROR(INDEX(Ingredients!$B$5:$B$304,MATCH(E392,Ingredients!$A$5:$A$304,0)),""))</f>
        <v>0</v>
      </c>
      <c r="G392" s="26"/>
      <c r="H392" s="27"/>
      <c r="I392" s="28"/>
      <c r="J392" s="8">
        <f>IF(OR(E392="",G392="",I392=""),"",G392*I392)</f>
        <v>0</v>
      </c>
      <c r="K392" s="8">
        <f>IF(OR(A392="",J392=""),"",SUMIFS($J$5:$J$404,$B$5:$B$404,B392))</f>
        <v>0</v>
      </c>
      <c r="L392" s="8">
        <f>IF(OR(J392="",K392="",K392=0),"",J392/K392)</f>
        <v>0</v>
      </c>
      <c r="M392" s="8">
        <f>IF(K392="","",K392-Weekly_Budget)</f>
        <v>0</v>
      </c>
      <c r="N392" s="8">
        <f>IF(K392="","",IF(K392&gt;Weekly_Budget,"Over budget",IF(K392&gt;Weekly_Budget*0.9,"Close","Within budget")))</f>
        <v>0</v>
      </c>
      <c r="O392" s="7"/>
      <c r="P392" s="27"/>
      <c r="Q392" s="27"/>
      <c r="R392" s="28"/>
      <c r="S392" s="8">
        <f>IF(J392="","",COUNTIFS($J$5:$J$404,"&gt;"&amp;J392)+1)</f>
        <v>0</v>
      </c>
      <c r="T392" s="8">
        <f>IF(OR(A392="",J392=""),"",SUMIFS($J$5:$J$404,$C$5:$C$404,C392,$A$5:$A$404,"&lt;="&amp;A392))</f>
        <v>0</v>
      </c>
      <c r="U392" s="8">
        <f>IF(E392="","",IF(Q392="Yes","On offer","Full price"))</f>
        <v>0</v>
      </c>
      <c r="V392" s="25"/>
    </row>
    <row r="393" spans="1:22">
      <c r="A393" s="30"/>
      <c r="B393" s="8">
        <f>IF(A393="","",A393-WEEKDAY(A393,2)+1)</f>
        <v>0</v>
      </c>
      <c r="C393" s="8">
        <f>IF(A393="","",TEXT(A393,"mmm yyyy"))</f>
        <v>0</v>
      </c>
      <c r="D393" s="27"/>
      <c r="E393" s="7"/>
      <c r="F393" s="8">
        <f>IF(E393="","",IFERROR(INDEX(Ingredients!$B$5:$B$304,MATCH(E393,Ingredients!$A$5:$A$304,0)),""))</f>
        <v>0</v>
      </c>
      <c r="G393" s="26"/>
      <c r="H393" s="27"/>
      <c r="I393" s="28"/>
      <c r="J393" s="8">
        <f>IF(OR(E393="",G393="",I393=""),"",G393*I393)</f>
        <v>0</v>
      </c>
      <c r="K393" s="8">
        <f>IF(OR(A393="",J393=""),"",SUMIFS($J$5:$J$404,$B$5:$B$404,B393))</f>
        <v>0</v>
      </c>
      <c r="L393" s="8">
        <f>IF(OR(J393="",K393="",K393=0),"",J393/K393)</f>
        <v>0</v>
      </c>
      <c r="M393" s="8">
        <f>IF(K393="","",K393-Weekly_Budget)</f>
        <v>0</v>
      </c>
      <c r="N393" s="8">
        <f>IF(K393="","",IF(K393&gt;Weekly_Budget,"Over budget",IF(K393&gt;Weekly_Budget*0.9,"Close","Within budget")))</f>
        <v>0</v>
      </c>
      <c r="O393" s="7"/>
      <c r="P393" s="27"/>
      <c r="Q393" s="27"/>
      <c r="R393" s="28"/>
      <c r="S393" s="8">
        <f>IF(J393="","",COUNTIFS($J$5:$J$404,"&gt;"&amp;J393)+1)</f>
        <v>0</v>
      </c>
      <c r="T393" s="8">
        <f>IF(OR(A393="",J393=""),"",SUMIFS($J$5:$J$404,$C$5:$C$404,C393,$A$5:$A$404,"&lt;="&amp;A393))</f>
        <v>0</v>
      </c>
      <c r="U393" s="8">
        <f>IF(E393="","",IF(Q393="Yes","On offer","Full price"))</f>
        <v>0</v>
      </c>
      <c r="V393" s="25"/>
    </row>
    <row r="394" spans="1:22">
      <c r="A394" s="30"/>
      <c r="B394" s="8">
        <f>IF(A394="","",A394-WEEKDAY(A394,2)+1)</f>
        <v>0</v>
      </c>
      <c r="C394" s="8">
        <f>IF(A394="","",TEXT(A394,"mmm yyyy"))</f>
        <v>0</v>
      </c>
      <c r="D394" s="27"/>
      <c r="E394" s="7"/>
      <c r="F394" s="8">
        <f>IF(E394="","",IFERROR(INDEX(Ingredients!$B$5:$B$304,MATCH(E394,Ingredients!$A$5:$A$304,0)),""))</f>
        <v>0</v>
      </c>
      <c r="G394" s="26"/>
      <c r="H394" s="27"/>
      <c r="I394" s="28"/>
      <c r="J394" s="8">
        <f>IF(OR(E394="",G394="",I394=""),"",G394*I394)</f>
        <v>0</v>
      </c>
      <c r="K394" s="8">
        <f>IF(OR(A394="",J394=""),"",SUMIFS($J$5:$J$404,$B$5:$B$404,B394))</f>
        <v>0</v>
      </c>
      <c r="L394" s="8">
        <f>IF(OR(J394="",K394="",K394=0),"",J394/K394)</f>
        <v>0</v>
      </c>
      <c r="M394" s="8">
        <f>IF(K394="","",K394-Weekly_Budget)</f>
        <v>0</v>
      </c>
      <c r="N394" s="8">
        <f>IF(K394="","",IF(K394&gt;Weekly_Budget,"Over budget",IF(K394&gt;Weekly_Budget*0.9,"Close","Within budget")))</f>
        <v>0</v>
      </c>
      <c r="O394" s="7"/>
      <c r="P394" s="27"/>
      <c r="Q394" s="27"/>
      <c r="R394" s="28"/>
      <c r="S394" s="8">
        <f>IF(J394="","",COUNTIFS($J$5:$J$404,"&gt;"&amp;J394)+1)</f>
        <v>0</v>
      </c>
      <c r="T394" s="8">
        <f>IF(OR(A394="",J394=""),"",SUMIFS($J$5:$J$404,$C$5:$C$404,C394,$A$5:$A$404,"&lt;="&amp;A394))</f>
        <v>0</v>
      </c>
      <c r="U394" s="8">
        <f>IF(E394="","",IF(Q394="Yes","On offer","Full price"))</f>
        <v>0</v>
      </c>
      <c r="V394" s="25"/>
    </row>
    <row r="395" spans="1:22">
      <c r="A395" s="30"/>
      <c r="B395" s="8">
        <f>IF(A395="","",A395-WEEKDAY(A395,2)+1)</f>
        <v>0</v>
      </c>
      <c r="C395" s="8">
        <f>IF(A395="","",TEXT(A395,"mmm yyyy"))</f>
        <v>0</v>
      </c>
      <c r="D395" s="27"/>
      <c r="E395" s="7"/>
      <c r="F395" s="8">
        <f>IF(E395="","",IFERROR(INDEX(Ingredients!$B$5:$B$304,MATCH(E395,Ingredients!$A$5:$A$304,0)),""))</f>
        <v>0</v>
      </c>
      <c r="G395" s="26"/>
      <c r="H395" s="27"/>
      <c r="I395" s="28"/>
      <c r="J395" s="8">
        <f>IF(OR(E395="",G395="",I395=""),"",G395*I395)</f>
        <v>0</v>
      </c>
      <c r="K395" s="8">
        <f>IF(OR(A395="",J395=""),"",SUMIFS($J$5:$J$404,$B$5:$B$404,B395))</f>
        <v>0</v>
      </c>
      <c r="L395" s="8">
        <f>IF(OR(J395="",K395="",K395=0),"",J395/K395)</f>
        <v>0</v>
      </c>
      <c r="M395" s="8">
        <f>IF(K395="","",K395-Weekly_Budget)</f>
        <v>0</v>
      </c>
      <c r="N395" s="8">
        <f>IF(K395="","",IF(K395&gt;Weekly_Budget,"Over budget",IF(K395&gt;Weekly_Budget*0.9,"Close","Within budget")))</f>
        <v>0</v>
      </c>
      <c r="O395" s="7"/>
      <c r="P395" s="27"/>
      <c r="Q395" s="27"/>
      <c r="R395" s="28"/>
      <c r="S395" s="8">
        <f>IF(J395="","",COUNTIFS($J$5:$J$404,"&gt;"&amp;J395)+1)</f>
        <v>0</v>
      </c>
      <c r="T395" s="8">
        <f>IF(OR(A395="",J395=""),"",SUMIFS($J$5:$J$404,$C$5:$C$404,C395,$A$5:$A$404,"&lt;="&amp;A395))</f>
        <v>0</v>
      </c>
      <c r="U395" s="8">
        <f>IF(E395="","",IF(Q395="Yes","On offer","Full price"))</f>
        <v>0</v>
      </c>
      <c r="V395" s="25"/>
    </row>
    <row r="396" spans="1:22">
      <c r="A396" s="30"/>
      <c r="B396" s="8">
        <f>IF(A396="","",A396-WEEKDAY(A396,2)+1)</f>
        <v>0</v>
      </c>
      <c r="C396" s="8">
        <f>IF(A396="","",TEXT(A396,"mmm yyyy"))</f>
        <v>0</v>
      </c>
      <c r="D396" s="27"/>
      <c r="E396" s="7"/>
      <c r="F396" s="8">
        <f>IF(E396="","",IFERROR(INDEX(Ingredients!$B$5:$B$304,MATCH(E396,Ingredients!$A$5:$A$304,0)),""))</f>
        <v>0</v>
      </c>
      <c r="G396" s="26"/>
      <c r="H396" s="27"/>
      <c r="I396" s="28"/>
      <c r="J396" s="8">
        <f>IF(OR(E396="",G396="",I396=""),"",G396*I396)</f>
        <v>0</v>
      </c>
      <c r="K396" s="8">
        <f>IF(OR(A396="",J396=""),"",SUMIFS($J$5:$J$404,$B$5:$B$404,B396))</f>
        <v>0</v>
      </c>
      <c r="L396" s="8">
        <f>IF(OR(J396="",K396="",K396=0),"",J396/K396)</f>
        <v>0</v>
      </c>
      <c r="M396" s="8">
        <f>IF(K396="","",K396-Weekly_Budget)</f>
        <v>0</v>
      </c>
      <c r="N396" s="8">
        <f>IF(K396="","",IF(K396&gt;Weekly_Budget,"Over budget",IF(K396&gt;Weekly_Budget*0.9,"Close","Within budget")))</f>
        <v>0</v>
      </c>
      <c r="O396" s="7"/>
      <c r="P396" s="27"/>
      <c r="Q396" s="27"/>
      <c r="R396" s="28"/>
      <c r="S396" s="8">
        <f>IF(J396="","",COUNTIFS($J$5:$J$404,"&gt;"&amp;J396)+1)</f>
        <v>0</v>
      </c>
      <c r="T396" s="8">
        <f>IF(OR(A396="",J396=""),"",SUMIFS($J$5:$J$404,$C$5:$C$404,C396,$A$5:$A$404,"&lt;="&amp;A396))</f>
        <v>0</v>
      </c>
      <c r="U396" s="8">
        <f>IF(E396="","",IF(Q396="Yes","On offer","Full price"))</f>
        <v>0</v>
      </c>
      <c r="V396" s="25"/>
    </row>
    <row r="397" spans="1:22">
      <c r="A397" s="30"/>
      <c r="B397" s="8">
        <f>IF(A397="","",A397-WEEKDAY(A397,2)+1)</f>
        <v>0</v>
      </c>
      <c r="C397" s="8">
        <f>IF(A397="","",TEXT(A397,"mmm yyyy"))</f>
        <v>0</v>
      </c>
      <c r="D397" s="27"/>
      <c r="E397" s="7"/>
      <c r="F397" s="8">
        <f>IF(E397="","",IFERROR(INDEX(Ingredients!$B$5:$B$304,MATCH(E397,Ingredients!$A$5:$A$304,0)),""))</f>
        <v>0</v>
      </c>
      <c r="G397" s="26"/>
      <c r="H397" s="27"/>
      <c r="I397" s="28"/>
      <c r="J397" s="8">
        <f>IF(OR(E397="",G397="",I397=""),"",G397*I397)</f>
        <v>0</v>
      </c>
      <c r="K397" s="8">
        <f>IF(OR(A397="",J397=""),"",SUMIFS($J$5:$J$404,$B$5:$B$404,B397))</f>
        <v>0</v>
      </c>
      <c r="L397" s="8">
        <f>IF(OR(J397="",K397="",K397=0),"",J397/K397)</f>
        <v>0</v>
      </c>
      <c r="M397" s="8">
        <f>IF(K397="","",K397-Weekly_Budget)</f>
        <v>0</v>
      </c>
      <c r="N397" s="8">
        <f>IF(K397="","",IF(K397&gt;Weekly_Budget,"Over budget",IF(K397&gt;Weekly_Budget*0.9,"Close","Within budget")))</f>
        <v>0</v>
      </c>
      <c r="O397" s="7"/>
      <c r="P397" s="27"/>
      <c r="Q397" s="27"/>
      <c r="R397" s="28"/>
      <c r="S397" s="8">
        <f>IF(J397="","",COUNTIFS($J$5:$J$404,"&gt;"&amp;J397)+1)</f>
        <v>0</v>
      </c>
      <c r="T397" s="8">
        <f>IF(OR(A397="",J397=""),"",SUMIFS($J$5:$J$404,$C$5:$C$404,C397,$A$5:$A$404,"&lt;="&amp;A397))</f>
        <v>0</v>
      </c>
      <c r="U397" s="8">
        <f>IF(E397="","",IF(Q397="Yes","On offer","Full price"))</f>
        <v>0</v>
      </c>
      <c r="V397" s="25"/>
    </row>
    <row r="398" spans="1:22">
      <c r="A398" s="30"/>
      <c r="B398" s="8">
        <f>IF(A398="","",A398-WEEKDAY(A398,2)+1)</f>
        <v>0</v>
      </c>
      <c r="C398" s="8">
        <f>IF(A398="","",TEXT(A398,"mmm yyyy"))</f>
        <v>0</v>
      </c>
      <c r="D398" s="27"/>
      <c r="E398" s="7"/>
      <c r="F398" s="8">
        <f>IF(E398="","",IFERROR(INDEX(Ingredients!$B$5:$B$304,MATCH(E398,Ingredients!$A$5:$A$304,0)),""))</f>
        <v>0</v>
      </c>
      <c r="G398" s="26"/>
      <c r="H398" s="27"/>
      <c r="I398" s="28"/>
      <c r="J398" s="8">
        <f>IF(OR(E398="",G398="",I398=""),"",G398*I398)</f>
        <v>0</v>
      </c>
      <c r="K398" s="8">
        <f>IF(OR(A398="",J398=""),"",SUMIFS($J$5:$J$404,$B$5:$B$404,B398))</f>
        <v>0</v>
      </c>
      <c r="L398" s="8">
        <f>IF(OR(J398="",K398="",K398=0),"",J398/K398)</f>
        <v>0</v>
      </c>
      <c r="M398" s="8">
        <f>IF(K398="","",K398-Weekly_Budget)</f>
        <v>0</v>
      </c>
      <c r="N398" s="8">
        <f>IF(K398="","",IF(K398&gt;Weekly_Budget,"Over budget",IF(K398&gt;Weekly_Budget*0.9,"Close","Within budget")))</f>
        <v>0</v>
      </c>
      <c r="O398" s="7"/>
      <c r="P398" s="27"/>
      <c r="Q398" s="27"/>
      <c r="R398" s="28"/>
      <c r="S398" s="8">
        <f>IF(J398="","",COUNTIFS($J$5:$J$404,"&gt;"&amp;J398)+1)</f>
        <v>0</v>
      </c>
      <c r="T398" s="8">
        <f>IF(OR(A398="",J398=""),"",SUMIFS($J$5:$J$404,$C$5:$C$404,C398,$A$5:$A$404,"&lt;="&amp;A398))</f>
        <v>0</v>
      </c>
      <c r="U398" s="8">
        <f>IF(E398="","",IF(Q398="Yes","On offer","Full price"))</f>
        <v>0</v>
      </c>
      <c r="V398" s="25"/>
    </row>
    <row r="399" spans="1:22">
      <c r="A399" s="30"/>
      <c r="B399" s="8">
        <f>IF(A399="","",A399-WEEKDAY(A399,2)+1)</f>
        <v>0</v>
      </c>
      <c r="C399" s="8">
        <f>IF(A399="","",TEXT(A399,"mmm yyyy"))</f>
        <v>0</v>
      </c>
      <c r="D399" s="27"/>
      <c r="E399" s="7"/>
      <c r="F399" s="8">
        <f>IF(E399="","",IFERROR(INDEX(Ingredients!$B$5:$B$304,MATCH(E399,Ingredients!$A$5:$A$304,0)),""))</f>
        <v>0</v>
      </c>
      <c r="G399" s="26"/>
      <c r="H399" s="27"/>
      <c r="I399" s="28"/>
      <c r="J399" s="8">
        <f>IF(OR(E399="",G399="",I399=""),"",G399*I399)</f>
        <v>0</v>
      </c>
      <c r="K399" s="8">
        <f>IF(OR(A399="",J399=""),"",SUMIFS($J$5:$J$404,$B$5:$B$404,B399))</f>
        <v>0</v>
      </c>
      <c r="L399" s="8">
        <f>IF(OR(J399="",K399="",K399=0),"",J399/K399)</f>
        <v>0</v>
      </c>
      <c r="M399" s="8">
        <f>IF(K399="","",K399-Weekly_Budget)</f>
        <v>0</v>
      </c>
      <c r="N399" s="8">
        <f>IF(K399="","",IF(K399&gt;Weekly_Budget,"Over budget",IF(K399&gt;Weekly_Budget*0.9,"Close","Within budget")))</f>
        <v>0</v>
      </c>
      <c r="O399" s="7"/>
      <c r="P399" s="27"/>
      <c r="Q399" s="27"/>
      <c r="R399" s="28"/>
      <c r="S399" s="8">
        <f>IF(J399="","",COUNTIFS($J$5:$J$404,"&gt;"&amp;J399)+1)</f>
        <v>0</v>
      </c>
      <c r="T399" s="8">
        <f>IF(OR(A399="",J399=""),"",SUMIFS($J$5:$J$404,$C$5:$C$404,C399,$A$5:$A$404,"&lt;="&amp;A399))</f>
        <v>0</v>
      </c>
      <c r="U399" s="8">
        <f>IF(E399="","",IF(Q399="Yes","On offer","Full price"))</f>
        <v>0</v>
      </c>
      <c r="V399" s="25"/>
    </row>
    <row r="400" spans="1:22">
      <c r="A400" s="30"/>
      <c r="B400" s="8">
        <f>IF(A400="","",A400-WEEKDAY(A400,2)+1)</f>
        <v>0</v>
      </c>
      <c r="C400" s="8">
        <f>IF(A400="","",TEXT(A400,"mmm yyyy"))</f>
        <v>0</v>
      </c>
      <c r="D400" s="27"/>
      <c r="E400" s="7"/>
      <c r="F400" s="8">
        <f>IF(E400="","",IFERROR(INDEX(Ingredients!$B$5:$B$304,MATCH(E400,Ingredients!$A$5:$A$304,0)),""))</f>
        <v>0</v>
      </c>
      <c r="G400" s="26"/>
      <c r="H400" s="27"/>
      <c r="I400" s="28"/>
      <c r="J400" s="8">
        <f>IF(OR(E400="",G400="",I400=""),"",G400*I400)</f>
        <v>0</v>
      </c>
      <c r="K400" s="8">
        <f>IF(OR(A400="",J400=""),"",SUMIFS($J$5:$J$404,$B$5:$B$404,B400))</f>
        <v>0</v>
      </c>
      <c r="L400" s="8">
        <f>IF(OR(J400="",K400="",K400=0),"",J400/K400)</f>
        <v>0</v>
      </c>
      <c r="M400" s="8">
        <f>IF(K400="","",K400-Weekly_Budget)</f>
        <v>0</v>
      </c>
      <c r="N400" s="8">
        <f>IF(K400="","",IF(K400&gt;Weekly_Budget,"Over budget",IF(K400&gt;Weekly_Budget*0.9,"Close","Within budget")))</f>
        <v>0</v>
      </c>
      <c r="O400" s="7"/>
      <c r="P400" s="27"/>
      <c r="Q400" s="27"/>
      <c r="R400" s="28"/>
      <c r="S400" s="8">
        <f>IF(J400="","",COUNTIFS($J$5:$J$404,"&gt;"&amp;J400)+1)</f>
        <v>0</v>
      </c>
      <c r="T400" s="8">
        <f>IF(OR(A400="",J400=""),"",SUMIFS($J$5:$J$404,$C$5:$C$404,C400,$A$5:$A$404,"&lt;="&amp;A400))</f>
        <v>0</v>
      </c>
      <c r="U400" s="8">
        <f>IF(E400="","",IF(Q400="Yes","On offer","Full price"))</f>
        <v>0</v>
      </c>
      <c r="V400" s="25"/>
    </row>
    <row r="401" spans="1:22">
      <c r="A401" s="30"/>
      <c r="B401" s="8">
        <f>IF(A401="","",A401-WEEKDAY(A401,2)+1)</f>
        <v>0</v>
      </c>
      <c r="C401" s="8">
        <f>IF(A401="","",TEXT(A401,"mmm yyyy"))</f>
        <v>0</v>
      </c>
      <c r="D401" s="27"/>
      <c r="E401" s="7"/>
      <c r="F401" s="8">
        <f>IF(E401="","",IFERROR(INDEX(Ingredients!$B$5:$B$304,MATCH(E401,Ingredients!$A$5:$A$304,0)),""))</f>
        <v>0</v>
      </c>
      <c r="G401" s="26"/>
      <c r="H401" s="27"/>
      <c r="I401" s="28"/>
      <c r="J401" s="8">
        <f>IF(OR(E401="",G401="",I401=""),"",G401*I401)</f>
        <v>0</v>
      </c>
      <c r="K401" s="8">
        <f>IF(OR(A401="",J401=""),"",SUMIFS($J$5:$J$404,$B$5:$B$404,B401))</f>
        <v>0</v>
      </c>
      <c r="L401" s="8">
        <f>IF(OR(J401="",K401="",K401=0),"",J401/K401)</f>
        <v>0</v>
      </c>
      <c r="M401" s="8">
        <f>IF(K401="","",K401-Weekly_Budget)</f>
        <v>0</v>
      </c>
      <c r="N401" s="8">
        <f>IF(K401="","",IF(K401&gt;Weekly_Budget,"Over budget",IF(K401&gt;Weekly_Budget*0.9,"Close","Within budget")))</f>
        <v>0</v>
      </c>
      <c r="O401" s="7"/>
      <c r="P401" s="27"/>
      <c r="Q401" s="27"/>
      <c r="R401" s="28"/>
      <c r="S401" s="8">
        <f>IF(J401="","",COUNTIFS($J$5:$J$404,"&gt;"&amp;J401)+1)</f>
        <v>0</v>
      </c>
      <c r="T401" s="8">
        <f>IF(OR(A401="",J401=""),"",SUMIFS($J$5:$J$404,$C$5:$C$404,C401,$A$5:$A$404,"&lt;="&amp;A401))</f>
        <v>0</v>
      </c>
      <c r="U401" s="8">
        <f>IF(E401="","",IF(Q401="Yes","On offer","Full price"))</f>
        <v>0</v>
      </c>
      <c r="V401" s="25"/>
    </row>
    <row r="402" spans="1:22">
      <c r="A402" s="30"/>
      <c r="B402" s="8">
        <f>IF(A402="","",A402-WEEKDAY(A402,2)+1)</f>
        <v>0</v>
      </c>
      <c r="C402" s="8">
        <f>IF(A402="","",TEXT(A402,"mmm yyyy"))</f>
        <v>0</v>
      </c>
      <c r="D402" s="27"/>
      <c r="E402" s="7"/>
      <c r="F402" s="8">
        <f>IF(E402="","",IFERROR(INDEX(Ingredients!$B$5:$B$304,MATCH(E402,Ingredients!$A$5:$A$304,0)),""))</f>
        <v>0</v>
      </c>
      <c r="G402" s="26"/>
      <c r="H402" s="27"/>
      <c r="I402" s="28"/>
      <c r="J402" s="8">
        <f>IF(OR(E402="",G402="",I402=""),"",G402*I402)</f>
        <v>0</v>
      </c>
      <c r="K402" s="8">
        <f>IF(OR(A402="",J402=""),"",SUMIFS($J$5:$J$404,$B$5:$B$404,B402))</f>
        <v>0</v>
      </c>
      <c r="L402" s="8">
        <f>IF(OR(J402="",K402="",K402=0),"",J402/K402)</f>
        <v>0</v>
      </c>
      <c r="M402" s="8">
        <f>IF(K402="","",K402-Weekly_Budget)</f>
        <v>0</v>
      </c>
      <c r="N402" s="8">
        <f>IF(K402="","",IF(K402&gt;Weekly_Budget,"Over budget",IF(K402&gt;Weekly_Budget*0.9,"Close","Within budget")))</f>
        <v>0</v>
      </c>
      <c r="O402" s="7"/>
      <c r="P402" s="27"/>
      <c r="Q402" s="27"/>
      <c r="R402" s="28"/>
      <c r="S402" s="8">
        <f>IF(J402="","",COUNTIFS($J$5:$J$404,"&gt;"&amp;J402)+1)</f>
        <v>0</v>
      </c>
      <c r="T402" s="8">
        <f>IF(OR(A402="",J402=""),"",SUMIFS($J$5:$J$404,$C$5:$C$404,C402,$A$5:$A$404,"&lt;="&amp;A402))</f>
        <v>0</v>
      </c>
      <c r="U402" s="8">
        <f>IF(E402="","",IF(Q402="Yes","On offer","Full price"))</f>
        <v>0</v>
      </c>
      <c r="V402" s="25"/>
    </row>
    <row r="403" spans="1:22">
      <c r="A403" s="30"/>
      <c r="B403" s="8">
        <f>IF(A403="","",A403-WEEKDAY(A403,2)+1)</f>
        <v>0</v>
      </c>
      <c r="C403" s="8">
        <f>IF(A403="","",TEXT(A403,"mmm yyyy"))</f>
        <v>0</v>
      </c>
      <c r="D403" s="27"/>
      <c r="E403" s="7"/>
      <c r="F403" s="8">
        <f>IF(E403="","",IFERROR(INDEX(Ingredients!$B$5:$B$304,MATCH(E403,Ingredients!$A$5:$A$304,0)),""))</f>
        <v>0</v>
      </c>
      <c r="G403" s="26"/>
      <c r="H403" s="27"/>
      <c r="I403" s="28"/>
      <c r="J403" s="8">
        <f>IF(OR(E403="",G403="",I403=""),"",G403*I403)</f>
        <v>0</v>
      </c>
      <c r="K403" s="8">
        <f>IF(OR(A403="",J403=""),"",SUMIFS($J$5:$J$404,$B$5:$B$404,B403))</f>
        <v>0</v>
      </c>
      <c r="L403" s="8">
        <f>IF(OR(J403="",K403="",K403=0),"",J403/K403)</f>
        <v>0</v>
      </c>
      <c r="M403" s="8">
        <f>IF(K403="","",K403-Weekly_Budget)</f>
        <v>0</v>
      </c>
      <c r="N403" s="8">
        <f>IF(K403="","",IF(K403&gt;Weekly_Budget,"Over budget",IF(K403&gt;Weekly_Budget*0.9,"Close","Within budget")))</f>
        <v>0</v>
      </c>
      <c r="O403" s="7"/>
      <c r="P403" s="27"/>
      <c r="Q403" s="27"/>
      <c r="R403" s="28"/>
      <c r="S403" s="8">
        <f>IF(J403="","",COUNTIFS($J$5:$J$404,"&gt;"&amp;J403)+1)</f>
        <v>0</v>
      </c>
      <c r="T403" s="8">
        <f>IF(OR(A403="",J403=""),"",SUMIFS($J$5:$J$404,$C$5:$C$404,C403,$A$5:$A$404,"&lt;="&amp;A403))</f>
        <v>0</v>
      </c>
      <c r="U403" s="8">
        <f>IF(E403="","",IF(Q403="Yes","On offer","Full price"))</f>
        <v>0</v>
      </c>
      <c r="V403" s="25"/>
    </row>
    <row r="404" spans="1:22">
      <c r="A404" s="30"/>
      <c r="B404" s="8">
        <f>IF(A404="","",A404-WEEKDAY(A404,2)+1)</f>
        <v>0</v>
      </c>
      <c r="C404" s="8">
        <f>IF(A404="","",TEXT(A404,"mmm yyyy"))</f>
        <v>0</v>
      </c>
      <c r="D404" s="27"/>
      <c r="E404" s="7"/>
      <c r="F404" s="8">
        <f>IF(E404="","",IFERROR(INDEX(Ingredients!$B$5:$B$304,MATCH(E404,Ingredients!$A$5:$A$304,0)),""))</f>
        <v>0</v>
      </c>
      <c r="G404" s="26"/>
      <c r="H404" s="27"/>
      <c r="I404" s="28"/>
      <c r="J404" s="8">
        <f>IF(OR(E404="",G404="",I404=""),"",G404*I404)</f>
        <v>0</v>
      </c>
      <c r="K404" s="8">
        <f>IF(OR(A404="",J404=""),"",SUMIFS($J$5:$J$404,$B$5:$B$404,B404))</f>
        <v>0</v>
      </c>
      <c r="L404" s="8">
        <f>IF(OR(J404="",K404="",K404=0),"",J404/K404)</f>
        <v>0</v>
      </c>
      <c r="M404" s="8">
        <f>IF(K404="","",K404-Weekly_Budget)</f>
        <v>0</v>
      </c>
      <c r="N404" s="8">
        <f>IF(K404="","",IF(K404&gt;Weekly_Budget,"Over budget",IF(K404&gt;Weekly_Budget*0.9,"Close","Within budget")))</f>
        <v>0</v>
      </c>
      <c r="O404" s="7"/>
      <c r="P404" s="27"/>
      <c r="Q404" s="27"/>
      <c r="R404" s="28"/>
      <c r="S404" s="8">
        <f>IF(J404="","",COUNTIFS($J$5:$J$404,"&gt;"&amp;J404)+1)</f>
        <v>0</v>
      </c>
      <c r="T404" s="8">
        <f>IF(OR(A404="",J404=""),"",SUMIFS($J$5:$J$404,$C$5:$C$404,C404,$A$5:$A$404,"&lt;="&amp;A404))</f>
        <v>0</v>
      </c>
      <c r="U404" s="8">
        <f>IF(E404="","",IF(Q404="Yes","On offer","Full price"))</f>
        <v>0</v>
      </c>
      <c r="V404" s="25"/>
    </row>
  </sheetData>
  <sheetProtection password="EC7C" sheet="1" objects="1" scenarios="1" selectLockedCells="1" selectUnlockedCells="1"/>
  <autoFilter ref="A4:V404"/>
  <conditionalFormatting sqref="A101:V101">
    <cfRule type="expression" dxfId="0" priority="49">
      <formula>MOD(ROW(),2)=0</formula>
    </cfRule>
  </conditionalFormatting>
  <conditionalFormatting sqref="A103:V103">
    <cfRule type="expression" dxfId="0" priority="50">
      <formula>MOD(ROW(),2)=0</formula>
    </cfRule>
  </conditionalFormatting>
  <conditionalFormatting sqref="A105:V105">
    <cfRule type="expression" dxfId="0" priority="51">
      <formula>MOD(ROW(),2)=0</formula>
    </cfRule>
  </conditionalFormatting>
  <conditionalFormatting sqref="A107:V107">
    <cfRule type="expression" dxfId="0" priority="52">
      <formula>MOD(ROW(),2)=0</formula>
    </cfRule>
  </conditionalFormatting>
  <conditionalFormatting sqref="A109:V109">
    <cfRule type="expression" dxfId="0" priority="53">
      <formula>MOD(ROW(),2)=0</formula>
    </cfRule>
  </conditionalFormatting>
  <conditionalFormatting sqref="A111:V111">
    <cfRule type="expression" dxfId="0" priority="54">
      <formula>MOD(ROW(),2)=0</formula>
    </cfRule>
  </conditionalFormatting>
  <conditionalFormatting sqref="A113:V113">
    <cfRule type="expression" dxfId="0" priority="55">
      <formula>MOD(ROW(),2)=0</formula>
    </cfRule>
  </conditionalFormatting>
  <conditionalFormatting sqref="A115:V115">
    <cfRule type="expression" dxfId="0" priority="56">
      <formula>MOD(ROW(),2)=0</formula>
    </cfRule>
  </conditionalFormatting>
  <conditionalFormatting sqref="A117:V117">
    <cfRule type="expression" dxfId="0" priority="57">
      <formula>MOD(ROW(),2)=0</formula>
    </cfRule>
  </conditionalFormatting>
  <conditionalFormatting sqref="A119:V119">
    <cfRule type="expression" dxfId="0" priority="58">
      <formula>MOD(ROW(),2)=0</formula>
    </cfRule>
  </conditionalFormatting>
  <conditionalFormatting sqref="A11:V11">
    <cfRule type="expression" dxfId="0" priority="4">
      <formula>MOD(ROW(),2)=0</formula>
    </cfRule>
  </conditionalFormatting>
  <conditionalFormatting sqref="A121:V121">
    <cfRule type="expression" dxfId="0" priority="59">
      <formula>MOD(ROW(),2)=0</formula>
    </cfRule>
  </conditionalFormatting>
  <conditionalFormatting sqref="A123:V123">
    <cfRule type="expression" dxfId="0" priority="60">
      <formula>MOD(ROW(),2)=0</formula>
    </cfRule>
  </conditionalFormatting>
  <conditionalFormatting sqref="A125:V125">
    <cfRule type="expression" dxfId="0" priority="61">
      <formula>MOD(ROW(),2)=0</formula>
    </cfRule>
  </conditionalFormatting>
  <conditionalFormatting sqref="A127:V127">
    <cfRule type="expression" dxfId="0" priority="62">
      <formula>MOD(ROW(),2)=0</formula>
    </cfRule>
  </conditionalFormatting>
  <conditionalFormatting sqref="A129:V129">
    <cfRule type="expression" dxfId="0" priority="63">
      <formula>MOD(ROW(),2)=0</formula>
    </cfRule>
  </conditionalFormatting>
  <conditionalFormatting sqref="A131:V131">
    <cfRule type="expression" dxfId="0" priority="64">
      <formula>MOD(ROW(),2)=0</formula>
    </cfRule>
  </conditionalFormatting>
  <conditionalFormatting sqref="A133:V133">
    <cfRule type="expression" dxfId="0" priority="65">
      <formula>MOD(ROW(),2)=0</formula>
    </cfRule>
  </conditionalFormatting>
  <conditionalFormatting sqref="A135:V135">
    <cfRule type="expression" dxfId="0" priority="66">
      <formula>MOD(ROW(),2)=0</formula>
    </cfRule>
  </conditionalFormatting>
  <conditionalFormatting sqref="A137:V137">
    <cfRule type="expression" dxfId="0" priority="67">
      <formula>MOD(ROW(),2)=0</formula>
    </cfRule>
  </conditionalFormatting>
  <conditionalFormatting sqref="A139:V139">
    <cfRule type="expression" dxfId="0" priority="68">
      <formula>MOD(ROW(),2)=0</formula>
    </cfRule>
  </conditionalFormatting>
  <conditionalFormatting sqref="A13:V13">
    <cfRule type="expression" dxfId="0" priority="5">
      <formula>MOD(ROW(),2)=0</formula>
    </cfRule>
  </conditionalFormatting>
  <conditionalFormatting sqref="A141:V141">
    <cfRule type="expression" dxfId="0" priority="69">
      <formula>MOD(ROW(),2)=0</formula>
    </cfRule>
  </conditionalFormatting>
  <conditionalFormatting sqref="A143:V143">
    <cfRule type="expression" dxfId="0" priority="70">
      <formula>MOD(ROW(),2)=0</formula>
    </cfRule>
  </conditionalFormatting>
  <conditionalFormatting sqref="A145:V145">
    <cfRule type="expression" dxfId="0" priority="71">
      <formula>MOD(ROW(),2)=0</formula>
    </cfRule>
  </conditionalFormatting>
  <conditionalFormatting sqref="A147:V147">
    <cfRule type="expression" dxfId="0" priority="72">
      <formula>MOD(ROW(),2)=0</formula>
    </cfRule>
  </conditionalFormatting>
  <conditionalFormatting sqref="A149:V149">
    <cfRule type="expression" dxfId="0" priority="73">
      <formula>MOD(ROW(),2)=0</formula>
    </cfRule>
  </conditionalFormatting>
  <conditionalFormatting sqref="A151:V151">
    <cfRule type="expression" dxfId="0" priority="74">
      <formula>MOD(ROW(),2)=0</formula>
    </cfRule>
  </conditionalFormatting>
  <conditionalFormatting sqref="A153:V153">
    <cfRule type="expression" dxfId="0" priority="75">
      <formula>MOD(ROW(),2)=0</formula>
    </cfRule>
  </conditionalFormatting>
  <conditionalFormatting sqref="A155:V155">
    <cfRule type="expression" dxfId="0" priority="76">
      <formula>MOD(ROW(),2)=0</formula>
    </cfRule>
  </conditionalFormatting>
  <conditionalFormatting sqref="A157:V157">
    <cfRule type="expression" dxfId="0" priority="77">
      <formula>MOD(ROW(),2)=0</formula>
    </cfRule>
  </conditionalFormatting>
  <conditionalFormatting sqref="A159:V159">
    <cfRule type="expression" dxfId="0" priority="78">
      <formula>MOD(ROW(),2)=0</formula>
    </cfRule>
  </conditionalFormatting>
  <conditionalFormatting sqref="A15:V15">
    <cfRule type="expression" dxfId="0" priority="6">
      <formula>MOD(ROW(),2)=0</formula>
    </cfRule>
  </conditionalFormatting>
  <conditionalFormatting sqref="A161:V161">
    <cfRule type="expression" dxfId="0" priority="79">
      <formula>MOD(ROW(),2)=0</formula>
    </cfRule>
  </conditionalFormatting>
  <conditionalFormatting sqref="A163:V163">
    <cfRule type="expression" dxfId="0" priority="80">
      <formula>MOD(ROW(),2)=0</formula>
    </cfRule>
  </conditionalFormatting>
  <conditionalFormatting sqref="A165:V165">
    <cfRule type="expression" dxfId="0" priority="81">
      <formula>MOD(ROW(),2)=0</formula>
    </cfRule>
  </conditionalFormatting>
  <conditionalFormatting sqref="A167:V167">
    <cfRule type="expression" dxfId="0" priority="82">
      <formula>MOD(ROW(),2)=0</formula>
    </cfRule>
  </conditionalFormatting>
  <conditionalFormatting sqref="A169:V169">
    <cfRule type="expression" dxfId="0" priority="83">
      <formula>MOD(ROW(),2)=0</formula>
    </cfRule>
  </conditionalFormatting>
  <conditionalFormatting sqref="A171:V171">
    <cfRule type="expression" dxfId="0" priority="84">
      <formula>MOD(ROW(),2)=0</formula>
    </cfRule>
  </conditionalFormatting>
  <conditionalFormatting sqref="A173:V173">
    <cfRule type="expression" dxfId="0" priority="85">
      <formula>MOD(ROW(),2)=0</formula>
    </cfRule>
  </conditionalFormatting>
  <conditionalFormatting sqref="A175:V175">
    <cfRule type="expression" dxfId="0" priority="86">
      <formula>MOD(ROW(),2)=0</formula>
    </cfRule>
  </conditionalFormatting>
  <conditionalFormatting sqref="A177:V177">
    <cfRule type="expression" dxfId="0" priority="87">
      <formula>MOD(ROW(),2)=0</formula>
    </cfRule>
  </conditionalFormatting>
  <conditionalFormatting sqref="A179:V179">
    <cfRule type="expression" dxfId="0" priority="88">
      <formula>MOD(ROW(),2)=0</formula>
    </cfRule>
  </conditionalFormatting>
  <conditionalFormatting sqref="A17:V17">
    <cfRule type="expression" dxfId="0" priority="7">
      <formula>MOD(ROW(),2)=0</formula>
    </cfRule>
  </conditionalFormatting>
  <conditionalFormatting sqref="A181:V181">
    <cfRule type="expression" dxfId="0" priority="89">
      <formula>MOD(ROW(),2)=0</formula>
    </cfRule>
  </conditionalFormatting>
  <conditionalFormatting sqref="A183:V183">
    <cfRule type="expression" dxfId="0" priority="90">
      <formula>MOD(ROW(),2)=0</formula>
    </cfRule>
  </conditionalFormatting>
  <conditionalFormatting sqref="A185:V185">
    <cfRule type="expression" dxfId="0" priority="91">
      <formula>MOD(ROW(),2)=0</formula>
    </cfRule>
  </conditionalFormatting>
  <conditionalFormatting sqref="A187:V187">
    <cfRule type="expression" dxfId="0" priority="92">
      <formula>MOD(ROW(),2)=0</formula>
    </cfRule>
  </conditionalFormatting>
  <conditionalFormatting sqref="A189:V189">
    <cfRule type="expression" dxfId="0" priority="93">
      <formula>MOD(ROW(),2)=0</formula>
    </cfRule>
  </conditionalFormatting>
  <conditionalFormatting sqref="A191:V191">
    <cfRule type="expression" dxfId="0" priority="94">
      <formula>MOD(ROW(),2)=0</formula>
    </cfRule>
  </conditionalFormatting>
  <conditionalFormatting sqref="A193:V193">
    <cfRule type="expression" dxfId="0" priority="95">
      <formula>MOD(ROW(),2)=0</formula>
    </cfRule>
  </conditionalFormatting>
  <conditionalFormatting sqref="A195:V195">
    <cfRule type="expression" dxfId="0" priority="96">
      <formula>MOD(ROW(),2)=0</formula>
    </cfRule>
  </conditionalFormatting>
  <conditionalFormatting sqref="A197:V197">
    <cfRule type="expression" dxfId="0" priority="97">
      <formula>MOD(ROW(),2)=0</formula>
    </cfRule>
  </conditionalFormatting>
  <conditionalFormatting sqref="A199:V199">
    <cfRule type="expression" dxfId="0" priority="98">
      <formula>MOD(ROW(),2)=0</formula>
    </cfRule>
  </conditionalFormatting>
  <conditionalFormatting sqref="A19:V19">
    <cfRule type="expression" dxfId="0" priority="8">
      <formula>MOD(ROW(),2)=0</formula>
    </cfRule>
  </conditionalFormatting>
  <conditionalFormatting sqref="A201:V201">
    <cfRule type="expression" dxfId="0" priority="99">
      <formula>MOD(ROW(),2)=0</formula>
    </cfRule>
  </conditionalFormatting>
  <conditionalFormatting sqref="A203:V203">
    <cfRule type="expression" dxfId="0" priority="100">
      <formula>MOD(ROW(),2)=0</formula>
    </cfRule>
  </conditionalFormatting>
  <conditionalFormatting sqref="A205:V205">
    <cfRule type="expression" dxfId="0" priority="101">
      <formula>MOD(ROW(),2)=0</formula>
    </cfRule>
  </conditionalFormatting>
  <conditionalFormatting sqref="A207:V207">
    <cfRule type="expression" dxfId="0" priority="102">
      <formula>MOD(ROW(),2)=0</formula>
    </cfRule>
  </conditionalFormatting>
  <conditionalFormatting sqref="A209:V209">
    <cfRule type="expression" dxfId="0" priority="103">
      <formula>MOD(ROW(),2)=0</formula>
    </cfRule>
  </conditionalFormatting>
  <conditionalFormatting sqref="A211:V211">
    <cfRule type="expression" dxfId="0" priority="104">
      <formula>MOD(ROW(),2)=0</formula>
    </cfRule>
  </conditionalFormatting>
  <conditionalFormatting sqref="A213:V213">
    <cfRule type="expression" dxfId="0" priority="105">
      <formula>MOD(ROW(),2)=0</formula>
    </cfRule>
  </conditionalFormatting>
  <conditionalFormatting sqref="A215:V215">
    <cfRule type="expression" dxfId="0" priority="106">
      <formula>MOD(ROW(),2)=0</formula>
    </cfRule>
  </conditionalFormatting>
  <conditionalFormatting sqref="A217:V217">
    <cfRule type="expression" dxfId="0" priority="107">
      <formula>MOD(ROW(),2)=0</formula>
    </cfRule>
  </conditionalFormatting>
  <conditionalFormatting sqref="A219:V219">
    <cfRule type="expression" dxfId="0" priority="108">
      <formula>MOD(ROW(),2)=0</formula>
    </cfRule>
  </conditionalFormatting>
  <conditionalFormatting sqref="A21:V21">
    <cfRule type="expression" dxfId="0" priority="9">
      <formula>MOD(ROW(),2)=0</formula>
    </cfRule>
  </conditionalFormatting>
  <conditionalFormatting sqref="A221:V221">
    <cfRule type="expression" dxfId="0" priority="109">
      <formula>MOD(ROW(),2)=0</formula>
    </cfRule>
  </conditionalFormatting>
  <conditionalFormatting sqref="A223:V223">
    <cfRule type="expression" dxfId="0" priority="110">
      <formula>MOD(ROW(),2)=0</formula>
    </cfRule>
  </conditionalFormatting>
  <conditionalFormatting sqref="A225:V225">
    <cfRule type="expression" dxfId="0" priority="111">
      <formula>MOD(ROW(),2)=0</formula>
    </cfRule>
  </conditionalFormatting>
  <conditionalFormatting sqref="A227:V227">
    <cfRule type="expression" dxfId="0" priority="112">
      <formula>MOD(ROW(),2)=0</formula>
    </cfRule>
  </conditionalFormatting>
  <conditionalFormatting sqref="A229:V229">
    <cfRule type="expression" dxfId="0" priority="113">
      <formula>MOD(ROW(),2)=0</formula>
    </cfRule>
  </conditionalFormatting>
  <conditionalFormatting sqref="A231:V231">
    <cfRule type="expression" dxfId="0" priority="114">
      <formula>MOD(ROW(),2)=0</formula>
    </cfRule>
  </conditionalFormatting>
  <conditionalFormatting sqref="A233:V233">
    <cfRule type="expression" dxfId="0" priority="115">
      <formula>MOD(ROW(),2)=0</formula>
    </cfRule>
  </conditionalFormatting>
  <conditionalFormatting sqref="A235:V235">
    <cfRule type="expression" dxfId="0" priority="116">
      <formula>MOD(ROW(),2)=0</formula>
    </cfRule>
  </conditionalFormatting>
  <conditionalFormatting sqref="A237:V237">
    <cfRule type="expression" dxfId="0" priority="117">
      <formula>MOD(ROW(),2)=0</formula>
    </cfRule>
  </conditionalFormatting>
  <conditionalFormatting sqref="A239:V239">
    <cfRule type="expression" dxfId="0" priority="118">
      <formula>MOD(ROW(),2)=0</formula>
    </cfRule>
  </conditionalFormatting>
  <conditionalFormatting sqref="A23:V23">
    <cfRule type="expression" dxfId="0" priority="10">
      <formula>MOD(ROW(),2)=0</formula>
    </cfRule>
  </conditionalFormatting>
  <conditionalFormatting sqref="A241:V241">
    <cfRule type="expression" dxfId="0" priority="119">
      <formula>MOD(ROW(),2)=0</formula>
    </cfRule>
  </conditionalFormatting>
  <conditionalFormatting sqref="A243:V243">
    <cfRule type="expression" dxfId="0" priority="120">
      <formula>MOD(ROW(),2)=0</formula>
    </cfRule>
  </conditionalFormatting>
  <conditionalFormatting sqref="A245:V245">
    <cfRule type="expression" dxfId="0" priority="121">
      <formula>MOD(ROW(),2)=0</formula>
    </cfRule>
  </conditionalFormatting>
  <conditionalFormatting sqref="A247:V247">
    <cfRule type="expression" dxfId="0" priority="122">
      <formula>MOD(ROW(),2)=0</formula>
    </cfRule>
  </conditionalFormatting>
  <conditionalFormatting sqref="A249:V249">
    <cfRule type="expression" dxfId="0" priority="123">
      <formula>MOD(ROW(),2)=0</formula>
    </cfRule>
  </conditionalFormatting>
  <conditionalFormatting sqref="A251:V251">
    <cfRule type="expression" dxfId="0" priority="124">
      <formula>MOD(ROW(),2)=0</formula>
    </cfRule>
  </conditionalFormatting>
  <conditionalFormatting sqref="A253:V253">
    <cfRule type="expression" dxfId="0" priority="125">
      <formula>MOD(ROW(),2)=0</formula>
    </cfRule>
  </conditionalFormatting>
  <conditionalFormatting sqref="A255:V255">
    <cfRule type="expression" dxfId="0" priority="126">
      <formula>MOD(ROW(),2)=0</formula>
    </cfRule>
  </conditionalFormatting>
  <conditionalFormatting sqref="A257:V257">
    <cfRule type="expression" dxfId="0" priority="127">
      <formula>MOD(ROW(),2)=0</formula>
    </cfRule>
  </conditionalFormatting>
  <conditionalFormatting sqref="A259:V259">
    <cfRule type="expression" dxfId="0" priority="128">
      <formula>MOD(ROW(),2)=0</formula>
    </cfRule>
  </conditionalFormatting>
  <conditionalFormatting sqref="A25:V25">
    <cfRule type="expression" dxfId="0" priority="11">
      <formula>MOD(ROW(),2)=0</formula>
    </cfRule>
  </conditionalFormatting>
  <conditionalFormatting sqref="A261:V261">
    <cfRule type="expression" dxfId="0" priority="129">
      <formula>MOD(ROW(),2)=0</formula>
    </cfRule>
  </conditionalFormatting>
  <conditionalFormatting sqref="A263:V263">
    <cfRule type="expression" dxfId="0" priority="130">
      <formula>MOD(ROW(),2)=0</formula>
    </cfRule>
  </conditionalFormatting>
  <conditionalFormatting sqref="A265:V265">
    <cfRule type="expression" dxfId="0" priority="131">
      <formula>MOD(ROW(),2)=0</formula>
    </cfRule>
  </conditionalFormatting>
  <conditionalFormatting sqref="A267:V267">
    <cfRule type="expression" dxfId="0" priority="132">
      <formula>MOD(ROW(),2)=0</formula>
    </cfRule>
  </conditionalFormatting>
  <conditionalFormatting sqref="A269:V269">
    <cfRule type="expression" dxfId="0" priority="133">
      <formula>MOD(ROW(),2)=0</formula>
    </cfRule>
  </conditionalFormatting>
  <conditionalFormatting sqref="A271:V271">
    <cfRule type="expression" dxfId="0" priority="134">
      <formula>MOD(ROW(),2)=0</formula>
    </cfRule>
  </conditionalFormatting>
  <conditionalFormatting sqref="A273:V273">
    <cfRule type="expression" dxfId="0" priority="135">
      <formula>MOD(ROW(),2)=0</formula>
    </cfRule>
  </conditionalFormatting>
  <conditionalFormatting sqref="A275:V275">
    <cfRule type="expression" dxfId="0" priority="136">
      <formula>MOD(ROW(),2)=0</formula>
    </cfRule>
  </conditionalFormatting>
  <conditionalFormatting sqref="A277:V277">
    <cfRule type="expression" dxfId="0" priority="137">
      <formula>MOD(ROW(),2)=0</formula>
    </cfRule>
  </conditionalFormatting>
  <conditionalFormatting sqref="A279:V279">
    <cfRule type="expression" dxfId="0" priority="138">
      <formula>MOD(ROW(),2)=0</formula>
    </cfRule>
  </conditionalFormatting>
  <conditionalFormatting sqref="A27:V27">
    <cfRule type="expression" dxfId="0" priority="12">
      <formula>MOD(ROW(),2)=0</formula>
    </cfRule>
  </conditionalFormatting>
  <conditionalFormatting sqref="A281:V281">
    <cfRule type="expression" dxfId="0" priority="139">
      <formula>MOD(ROW(),2)=0</formula>
    </cfRule>
  </conditionalFormatting>
  <conditionalFormatting sqref="A283:V283">
    <cfRule type="expression" dxfId="0" priority="140">
      <formula>MOD(ROW(),2)=0</formula>
    </cfRule>
  </conditionalFormatting>
  <conditionalFormatting sqref="A285:V285">
    <cfRule type="expression" dxfId="0" priority="141">
      <formula>MOD(ROW(),2)=0</formula>
    </cfRule>
  </conditionalFormatting>
  <conditionalFormatting sqref="A287:V287">
    <cfRule type="expression" dxfId="0" priority="142">
      <formula>MOD(ROW(),2)=0</formula>
    </cfRule>
  </conditionalFormatting>
  <conditionalFormatting sqref="A289:V289">
    <cfRule type="expression" dxfId="0" priority="143">
      <formula>MOD(ROW(),2)=0</formula>
    </cfRule>
  </conditionalFormatting>
  <conditionalFormatting sqref="A291:V291">
    <cfRule type="expression" dxfId="0" priority="144">
      <formula>MOD(ROW(),2)=0</formula>
    </cfRule>
  </conditionalFormatting>
  <conditionalFormatting sqref="A293:V293">
    <cfRule type="expression" dxfId="0" priority="145">
      <formula>MOD(ROW(),2)=0</formula>
    </cfRule>
  </conditionalFormatting>
  <conditionalFormatting sqref="A295:V295">
    <cfRule type="expression" dxfId="0" priority="146">
      <formula>MOD(ROW(),2)=0</formula>
    </cfRule>
  </conditionalFormatting>
  <conditionalFormatting sqref="A297:V297">
    <cfRule type="expression" dxfId="0" priority="147">
      <formula>MOD(ROW(),2)=0</formula>
    </cfRule>
  </conditionalFormatting>
  <conditionalFormatting sqref="A299:V299">
    <cfRule type="expression" dxfId="0" priority="148">
      <formula>MOD(ROW(),2)=0</formula>
    </cfRule>
  </conditionalFormatting>
  <conditionalFormatting sqref="A29:V29">
    <cfRule type="expression" dxfId="0" priority="13">
      <formula>MOD(ROW(),2)=0</formula>
    </cfRule>
  </conditionalFormatting>
  <conditionalFormatting sqref="A301:V301">
    <cfRule type="expression" dxfId="0" priority="149">
      <formula>MOD(ROW(),2)=0</formula>
    </cfRule>
  </conditionalFormatting>
  <conditionalFormatting sqref="A303:V303">
    <cfRule type="expression" dxfId="0" priority="150">
      <formula>MOD(ROW(),2)=0</formula>
    </cfRule>
  </conditionalFormatting>
  <conditionalFormatting sqref="A305:V305">
    <cfRule type="expression" dxfId="0" priority="151">
      <formula>MOD(ROW(),2)=0</formula>
    </cfRule>
  </conditionalFormatting>
  <conditionalFormatting sqref="A307:V307">
    <cfRule type="expression" dxfId="0" priority="152">
      <formula>MOD(ROW(),2)=0</formula>
    </cfRule>
  </conditionalFormatting>
  <conditionalFormatting sqref="A309:V309">
    <cfRule type="expression" dxfId="0" priority="153">
      <formula>MOD(ROW(),2)=0</formula>
    </cfRule>
  </conditionalFormatting>
  <conditionalFormatting sqref="A311:V311">
    <cfRule type="expression" dxfId="0" priority="154">
      <formula>MOD(ROW(),2)=0</formula>
    </cfRule>
  </conditionalFormatting>
  <conditionalFormatting sqref="A313:V313">
    <cfRule type="expression" dxfId="0" priority="155">
      <formula>MOD(ROW(),2)=0</formula>
    </cfRule>
  </conditionalFormatting>
  <conditionalFormatting sqref="A315:V315">
    <cfRule type="expression" dxfId="0" priority="156">
      <formula>MOD(ROW(),2)=0</formula>
    </cfRule>
  </conditionalFormatting>
  <conditionalFormatting sqref="A317:V317">
    <cfRule type="expression" dxfId="0" priority="157">
      <formula>MOD(ROW(),2)=0</formula>
    </cfRule>
  </conditionalFormatting>
  <conditionalFormatting sqref="A319:V319">
    <cfRule type="expression" dxfId="0" priority="158">
      <formula>MOD(ROW(),2)=0</formula>
    </cfRule>
  </conditionalFormatting>
  <conditionalFormatting sqref="A31:V31">
    <cfRule type="expression" dxfId="0" priority="14">
      <formula>MOD(ROW(),2)=0</formula>
    </cfRule>
  </conditionalFormatting>
  <conditionalFormatting sqref="A321:V321">
    <cfRule type="expression" dxfId="0" priority="159">
      <formula>MOD(ROW(),2)=0</formula>
    </cfRule>
  </conditionalFormatting>
  <conditionalFormatting sqref="A323:V323">
    <cfRule type="expression" dxfId="0" priority="160">
      <formula>MOD(ROW(),2)=0</formula>
    </cfRule>
  </conditionalFormatting>
  <conditionalFormatting sqref="A325:V325">
    <cfRule type="expression" dxfId="0" priority="161">
      <formula>MOD(ROW(),2)=0</formula>
    </cfRule>
  </conditionalFormatting>
  <conditionalFormatting sqref="A327:V327">
    <cfRule type="expression" dxfId="0" priority="162">
      <formula>MOD(ROW(),2)=0</formula>
    </cfRule>
  </conditionalFormatting>
  <conditionalFormatting sqref="A329:V329">
    <cfRule type="expression" dxfId="0" priority="163">
      <formula>MOD(ROW(),2)=0</formula>
    </cfRule>
  </conditionalFormatting>
  <conditionalFormatting sqref="A331:V331">
    <cfRule type="expression" dxfId="0" priority="164">
      <formula>MOD(ROW(),2)=0</formula>
    </cfRule>
  </conditionalFormatting>
  <conditionalFormatting sqref="A333:V333">
    <cfRule type="expression" dxfId="0" priority="165">
      <formula>MOD(ROW(),2)=0</formula>
    </cfRule>
  </conditionalFormatting>
  <conditionalFormatting sqref="A335:V335">
    <cfRule type="expression" dxfId="0" priority="166">
      <formula>MOD(ROW(),2)=0</formula>
    </cfRule>
  </conditionalFormatting>
  <conditionalFormatting sqref="A337:V337">
    <cfRule type="expression" dxfId="0" priority="167">
      <formula>MOD(ROW(),2)=0</formula>
    </cfRule>
  </conditionalFormatting>
  <conditionalFormatting sqref="A339:V339">
    <cfRule type="expression" dxfId="0" priority="168">
      <formula>MOD(ROW(),2)=0</formula>
    </cfRule>
  </conditionalFormatting>
  <conditionalFormatting sqref="A33:V33">
    <cfRule type="expression" dxfId="0" priority="15">
      <formula>MOD(ROW(),2)=0</formula>
    </cfRule>
  </conditionalFormatting>
  <conditionalFormatting sqref="A341:V341">
    <cfRule type="expression" dxfId="0" priority="169">
      <formula>MOD(ROW(),2)=0</formula>
    </cfRule>
  </conditionalFormatting>
  <conditionalFormatting sqref="A343:V343">
    <cfRule type="expression" dxfId="0" priority="170">
      <formula>MOD(ROW(),2)=0</formula>
    </cfRule>
  </conditionalFormatting>
  <conditionalFormatting sqref="A345:V345">
    <cfRule type="expression" dxfId="0" priority="171">
      <formula>MOD(ROW(),2)=0</formula>
    </cfRule>
  </conditionalFormatting>
  <conditionalFormatting sqref="A347:V347">
    <cfRule type="expression" dxfId="0" priority="172">
      <formula>MOD(ROW(),2)=0</formula>
    </cfRule>
  </conditionalFormatting>
  <conditionalFormatting sqref="A349:V349">
    <cfRule type="expression" dxfId="0" priority="173">
      <formula>MOD(ROW(),2)=0</formula>
    </cfRule>
  </conditionalFormatting>
  <conditionalFormatting sqref="A351:V351">
    <cfRule type="expression" dxfId="0" priority="174">
      <formula>MOD(ROW(),2)=0</formula>
    </cfRule>
  </conditionalFormatting>
  <conditionalFormatting sqref="A353:V353">
    <cfRule type="expression" dxfId="0" priority="175">
      <formula>MOD(ROW(),2)=0</formula>
    </cfRule>
  </conditionalFormatting>
  <conditionalFormatting sqref="A355:V355">
    <cfRule type="expression" dxfId="0" priority="176">
      <formula>MOD(ROW(),2)=0</formula>
    </cfRule>
  </conditionalFormatting>
  <conditionalFormatting sqref="A357:V357">
    <cfRule type="expression" dxfId="0" priority="177">
      <formula>MOD(ROW(),2)=0</formula>
    </cfRule>
  </conditionalFormatting>
  <conditionalFormatting sqref="A359:V359">
    <cfRule type="expression" dxfId="0" priority="178">
      <formula>MOD(ROW(),2)=0</formula>
    </cfRule>
  </conditionalFormatting>
  <conditionalFormatting sqref="A35:V35">
    <cfRule type="expression" dxfId="0" priority="16">
      <formula>MOD(ROW(),2)=0</formula>
    </cfRule>
  </conditionalFormatting>
  <conditionalFormatting sqref="A361:V361">
    <cfRule type="expression" dxfId="0" priority="179">
      <formula>MOD(ROW(),2)=0</formula>
    </cfRule>
  </conditionalFormatting>
  <conditionalFormatting sqref="A363:V363">
    <cfRule type="expression" dxfId="0" priority="180">
      <formula>MOD(ROW(),2)=0</formula>
    </cfRule>
  </conditionalFormatting>
  <conditionalFormatting sqref="A365:V365">
    <cfRule type="expression" dxfId="0" priority="181">
      <formula>MOD(ROW(),2)=0</formula>
    </cfRule>
  </conditionalFormatting>
  <conditionalFormatting sqref="A367:V367">
    <cfRule type="expression" dxfId="0" priority="182">
      <formula>MOD(ROW(),2)=0</formula>
    </cfRule>
  </conditionalFormatting>
  <conditionalFormatting sqref="A369:V369">
    <cfRule type="expression" dxfId="0" priority="183">
      <formula>MOD(ROW(),2)=0</formula>
    </cfRule>
  </conditionalFormatting>
  <conditionalFormatting sqref="A371:V371">
    <cfRule type="expression" dxfId="0" priority="184">
      <formula>MOD(ROW(),2)=0</formula>
    </cfRule>
  </conditionalFormatting>
  <conditionalFormatting sqref="A373:V373">
    <cfRule type="expression" dxfId="0" priority="185">
      <formula>MOD(ROW(),2)=0</formula>
    </cfRule>
  </conditionalFormatting>
  <conditionalFormatting sqref="A375:V375">
    <cfRule type="expression" dxfId="0" priority="186">
      <formula>MOD(ROW(),2)=0</formula>
    </cfRule>
  </conditionalFormatting>
  <conditionalFormatting sqref="A377:V377">
    <cfRule type="expression" dxfId="0" priority="187">
      <formula>MOD(ROW(),2)=0</formula>
    </cfRule>
  </conditionalFormatting>
  <conditionalFormatting sqref="A379:V379">
    <cfRule type="expression" dxfId="0" priority="188">
      <formula>MOD(ROW(),2)=0</formula>
    </cfRule>
  </conditionalFormatting>
  <conditionalFormatting sqref="A37:V37">
    <cfRule type="expression" dxfId="0" priority="17">
      <formula>MOD(ROW(),2)=0</formula>
    </cfRule>
  </conditionalFormatting>
  <conditionalFormatting sqref="A381:V381">
    <cfRule type="expression" dxfId="0" priority="189">
      <formula>MOD(ROW(),2)=0</formula>
    </cfRule>
  </conditionalFormatting>
  <conditionalFormatting sqref="A383:V383">
    <cfRule type="expression" dxfId="0" priority="190">
      <formula>MOD(ROW(),2)=0</formula>
    </cfRule>
  </conditionalFormatting>
  <conditionalFormatting sqref="A385:V385">
    <cfRule type="expression" dxfId="0" priority="191">
      <formula>MOD(ROW(),2)=0</formula>
    </cfRule>
  </conditionalFormatting>
  <conditionalFormatting sqref="A387:V387">
    <cfRule type="expression" dxfId="0" priority="192">
      <formula>MOD(ROW(),2)=0</formula>
    </cfRule>
  </conditionalFormatting>
  <conditionalFormatting sqref="A389:V389">
    <cfRule type="expression" dxfId="0" priority="193">
      <formula>MOD(ROW(),2)=0</formula>
    </cfRule>
  </conditionalFormatting>
  <conditionalFormatting sqref="A391:V391">
    <cfRule type="expression" dxfId="0" priority="194">
      <formula>MOD(ROW(),2)=0</formula>
    </cfRule>
  </conditionalFormatting>
  <conditionalFormatting sqref="A393:V393">
    <cfRule type="expression" dxfId="0" priority="195">
      <formula>MOD(ROW(),2)=0</formula>
    </cfRule>
  </conditionalFormatting>
  <conditionalFormatting sqref="A395:V395">
    <cfRule type="expression" dxfId="0" priority="196">
      <formula>MOD(ROW(),2)=0</formula>
    </cfRule>
  </conditionalFormatting>
  <conditionalFormatting sqref="A397:V397">
    <cfRule type="expression" dxfId="0" priority="197">
      <formula>MOD(ROW(),2)=0</formula>
    </cfRule>
  </conditionalFormatting>
  <conditionalFormatting sqref="A399:V399">
    <cfRule type="expression" dxfId="0" priority="198">
      <formula>MOD(ROW(),2)=0</formula>
    </cfRule>
  </conditionalFormatting>
  <conditionalFormatting sqref="A39:V39">
    <cfRule type="expression" dxfId="0" priority="18">
      <formula>MOD(ROW(),2)=0</formula>
    </cfRule>
  </conditionalFormatting>
  <conditionalFormatting sqref="A401:V401">
    <cfRule type="expression" dxfId="0" priority="199">
      <formula>MOD(ROW(),2)=0</formula>
    </cfRule>
  </conditionalFormatting>
  <conditionalFormatting sqref="A403:V403">
    <cfRule type="expression" dxfId="0" priority="200">
      <formula>MOD(ROW(),2)=0</formula>
    </cfRule>
  </conditionalFormatting>
  <conditionalFormatting sqref="A41:V41">
    <cfRule type="expression" dxfId="0" priority="19">
      <formula>MOD(ROW(),2)=0</formula>
    </cfRule>
  </conditionalFormatting>
  <conditionalFormatting sqref="A43:V43">
    <cfRule type="expression" dxfId="0" priority="20">
      <formula>MOD(ROW(),2)=0</formula>
    </cfRule>
  </conditionalFormatting>
  <conditionalFormatting sqref="A45:V45">
    <cfRule type="expression" dxfId="0" priority="21">
      <formula>MOD(ROW(),2)=0</formula>
    </cfRule>
  </conditionalFormatting>
  <conditionalFormatting sqref="A47:V47">
    <cfRule type="expression" dxfId="0" priority="22">
      <formula>MOD(ROW(),2)=0</formula>
    </cfRule>
  </conditionalFormatting>
  <conditionalFormatting sqref="A49:V49">
    <cfRule type="expression" dxfId="0" priority="23">
      <formula>MOD(ROW(),2)=0</formula>
    </cfRule>
  </conditionalFormatting>
  <conditionalFormatting sqref="A51:V51">
    <cfRule type="expression" dxfId="0" priority="24">
      <formula>MOD(ROW(),2)=0</formula>
    </cfRule>
  </conditionalFormatting>
  <conditionalFormatting sqref="A53:V53">
    <cfRule type="expression" dxfId="0" priority="25">
      <formula>MOD(ROW(),2)=0</formula>
    </cfRule>
  </conditionalFormatting>
  <conditionalFormatting sqref="A55:V55">
    <cfRule type="expression" dxfId="0" priority="26">
      <formula>MOD(ROW(),2)=0</formula>
    </cfRule>
  </conditionalFormatting>
  <conditionalFormatting sqref="A57:V57">
    <cfRule type="expression" dxfId="0" priority="27">
      <formula>MOD(ROW(),2)=0</formula>
    </cfRule>
  </conditionalFormatting>
  <conditionalFormatting sqref="A59:V59">
    <cfRule type="expression" dxfId="0" priority="28">
      <formula>MOD(ROW(),2)=0</formula>
    </cfRule>
  </conditionalFormatting>
  <conditionalFormatting sqref="A5:V5">
    <cfRule type="expression" dxfId="0" priority="1">
      <formula>MOD(ROW(),2)=0</formula>
    </cfRule>
  </conditionalFormatting>
  <conditionalFormatting sqref="A61:V61">
    <cfRule type="expression" dxfId="0" priority="29">
      <formula>MOD(ROW(),2)=0</formula>
    </cfRule>
  </conditionalFormatting>
  <conditionalFormatting sqref="A63:V63">
    <cfRule type="expression" dxfId="0" priority="30">
      <formula>MOD(ROW(),2)=0</formula>
    </cfRule>
  </conditionalFormatting>
  <conditionalFormatting sqref="A65:V65">
    <cfRule type="expression" dxfId="0" priority="31">
      <formula>MOD(ROW(),2)=0</formula>
    </cfRule>
  </conditionalFormatting>
  <conditionalFormatting sqref="A67:V67">
    <cfRule type="expression" dxfId="0" priority="32">
      <formula>MOD(ROW(),2)=0</formula>
    </cfRule>
  </conditionalFormatting>
  <conditionalFormatting sqref="A69:V69">
    <cfRule type="expression" dxfId="0" priority="33">
      <formula>MOD(ROW(),2)=0</formula>
    </cfRule>
  </conditionalFormatting>
  <conditionalFormatting sqref="A71:V71">
    <cfRule type="expression" dxfId="0" priority="34">
      <formula>MOD(ROW(),2)=0</formula>
    </cfRule>
  </conditionalFormatting>
  <conditionalFormatting sqref="A73:V73">
    <cfRule type="expression" dxfId="0" priority="35">
      <formula>MOD(ROW(),2)=0</formula>
    </cfRule>
  </conditionalFormatting>
  <conditionalFormatting sqref="A75:V75">
    <cfRule type="expression" dxfId="0" priority="36">
      <formula>MOD(ROW(),2)=0</formula>
    </cfRule>
  </conditionalFormatting>
  <conditionalFormatting sqref="A77:V77">
    <cfRule type="expression" dxfId="0" priority="37">
      <formula>MOD(ROW(),2)=0</formula>
    </cfRule>
  </conditionalFormatting>
  <conditionalFormatting sqref="A79:V79">
    <cfRule type="expression" dxfId="0" priority="38">
      <formula>MOD(ROW(),2)=0</formula>
    </cfRule>
  </conditionalFormatting>
  <conditionalFormatting sqref="A7:V7">
    <cfRule type="expression" dxfId="0" priority="2">
      <formula>MOD(ROW(),2)=0</formula>
    </cfRule>
  </conditionalFormatting>
  <conditionalFormatting sqref="A81:V81">
    <cfRule type="expression" dxfId="0" priority="39">
      <formula>MOD(ROW(),2)=0</formula>
    </cfRule>
  </conditionalFormatting>
  <conditionalFormatting sqref="A83:V83">
    <cfRule type="expression" dxfId="0" priority="40">
      <formula>MOD(ROW(),2)=0</formula>
    </cfRule>
  </conditionalFormatting>
  <conditionalFormatting sqref="A85:V85">
    <cfRule type="expression" dxfId="0" priority="41">
      <formula>MOD(ROW(),2)=0</formula>
    </cfRule>
  </conditionalFormatting>
  <conditionalFormatting sqref="A87:V87">
    <cfRule type="expression" dxfId="0" priority="42">
      <formula>MOD(ROW(),2)=0</formula>
    </cfRule>
  </conditionalFormatting>
  <conditionalFormatting sqref="A89:V89">
    <cfRule type="expression" dxfId="0" priority="43">
      <formula>MOD(ROW(),2)=0</formula>
    </cfRule>
  </conditionalFormatting>
  <conditionalFormatting sqref="A91:V91">
    <cfRule type="expression" dxfId="0" priority="44">
      <formula>MOD(ROW(),2)=0</formula>
    </cfRule>
  </conditionalFormatting>
  <conditionalFormatting sqref="A93:V93">
    <cfRule type="expression" dxfId="0" priority="45">
      <formula>MOD(ROW(),2)=0</formula>
    </cfRule>
  </conditionalFormatting>
  <conditionalFormatting sqref="A95:V95">
    <cfRule type="expression" dxfId="0" priority="46">
      <formula>MOD(ROW(),2)=0</formula>
    </cfRule>
  </conditionalFormatting>
  <conditionalFormatting sqref="A97:V97">
    <cfRule type="expression" dxfId="0" priority="47">
      <formula>MOD(ROW(),2)=0</formula>
    </cfRule>
  </conditionalFormatting>
  <conditionalFormatting sqref="A99:V99">
    <cfRule type="expression" dxfId="0" priority="48">
      <formula>MOD(ROW(),2)=0</formula>
    </cfRule>
  </conditionalFormatting>
  <conditionalFormatting sqref="A9:V9">
    <cfRule type="expression" dxfId="0" priority="3">
      <formula>MOD(ROW(),2)=0</formula>
    </cfRule>
  </conditionalFormatting>
  <dataValidations count="2800">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Spreadsheet&amp;R&amp;"Calibri,Italic"Grocery Spending</oddHeader>
    <oddFooter>&amp;LPage &amp;P of &amp;N&amp;R&amp;D</oddFooter>
  </headerFooter>
  <legacyDrawing r:id="rId1"/>
</worksheet>
</file>

<file path=xl/worksheets/sheet27.xml><?xml version="1.0" encoding="utf-8"?>
<worksheet xmlns="http://schemas.openxmlformats.org/spreadsheetml/2006/main" xmlns:r="http://schemas.openxmlformats.org/officeDocument/2006/relationships">
  <sheetPr>
    <tabColor rgb="FFD9703C"/>
    <pageSetUpPr fitToPage="1"/>
  </sheetPr>
  <dimension ref="A4:Q3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4.7109375" customWidth="1"/>
    <col min="2" max="2" width="18.7109375" customWidth="1"/>
    <col min="3" max="3" width="16.7109375" customWidth="1"/>
    <col min="4" max="4" width="10.7109375" customWidth="1"/>
    <col min="5" max="5" width="11.7109375" customWidth="1"/>
    <col min="6" max="6" width="10.7109375" customWidth="1"/>
    <col min="7" max="7" width="11.7109375" customWidth="1"/>
    <col min="8" max="8" width="12.7109375" customWidth="1"/>
    <col min="9" max="9" width="9.7109375" customWidth="1"/>
    <col min="10" max="11" width="11.7109375" customWidth="1"/>
    <col min="12" max="12" width="10.7109375" customWidth="1"/>
    <col min="13" max="13" width="11.7109375" customWidth="1"/>
    <col min="14" max="16" width="10.7109375" customWidth="1"/>
    <col min="17" max="17" width="30.7109375" customWidth="1"/>
  </cols>
  <sheetData>
    <row r="4" spans="1:17" ht="32" customHeight="1">
      <c r="A4" s="9" t="s">
        <v>147</v>
      </c>
      <c r="B4" s="9" t="s">
        <v>384</v>
      </c>
      <c r="C4" s="9" t="s">
        <v>282</v>
      </c>
      <c r="D4" s="9" t="s">
        <v>323</v>
      </c>
      <c r="E4" s="9" t="s">
        <v>571</v>
      </c>
      <c r="F4" s="9" t="s">
        <v>331</v>
      </c>
      <c r="G4" s="9" t="s">
        <v>325</v>
      </c>
      <c r="H4" s="9" t="s">
        <v>572</v>
      </c>
      <c r="I4" s="9" t="s">
        <v>568</v>
      </c>
      <c r="J4" s="9" t="s">
        <v>573</v>
      </c>
      <c r="K4" s="9" t="s">
        <v>569</v>
      </c>
      <c r="L4" s="9" t="s">
        <v>574</v>
      </c>
      <c r="M4" s="9" t="s">
        <v>575</v>
      </c>
      <c r="N4" s="9" t="s">
        <v>576</v>
      </c>
      <c r="O4" s="9" t="s">
        <v>577</v>
      </c>
      <c r="P4" s="9" t="s">
        <v>578</v>
      </c>
      <c r="Q4" s="9" t="s">
        <v>173</v>
      </c>
    </row>
    <row r="5" spans="1:17">
      <c r="A5" s="7"/>
      <c r="B5" s="27"/>
      <c r="C5" s="8">
        <f>IF(A5="","",IFERROR(INDEX(Ingredients!$B$5:$B$304,MATCH(A5,Ingredients!$A$5:$A$304,0)),""))</f>
        <v>0</v>
      </c>
      <c r="D5" s="27"/>
      <c r="E5" s="28"/>
      <c r="F5" s="26"/>
      <c r="G5" s="8">
        <f>IF(OR(E5="",F5="",F5=0),"",E5/F5)</f>
        <v>0</v>
      </c>
      <c r="H5" s="30"/>
      <c r="I5" s="27"/>
      <c r="J5" s="28"/>
      <c r="K5" s="8">
        <f>IF(OR(E5="",J5=""),"",J5-E5)</f>
        <v>0</v>
      </c>
      <c r="L5" s="8">
        <f>IF(OR(K5="",J5="",J5=0),"",K5/J5)</f>
        <v>0</v>
      </c>
      <c r="M5" s="8">
        <f>IF(A5="","",IF(SUMPRODUCT(MIN(('Store Prices'!$A$5:$A$304=A5)*'Store Prices'!$G$5:$G$304+('Store Prices'!$A$5:$A$304&lt;&gt;A5)*1000000))&gt;=1000000,"",SUMPRODUCT(MIN(('Store Prices'!$A$5:$A$304=A5)*'Store Prices'!$G$5:$G$304+('Store Prices'!$A$5:$A$304&lt;&gt;A5)*1000000))))</f>
        <v>0</v>
      </c>
      <c r="N5" s="8">
        <f>IF(OR(A5="",G5="",M5=""),"",G5-M5)</f>
        <v>0</v>
      </c>
      <c r="O5" s="8">
        <f>IF(OR(A5="",G5=""),"",IF(G5=M5,"Best",""))</f>
        <v>0</v>
      </c>
      <c r="P5" s="8">
        <f>IF(OR(A5="",G5=""),"",COUNTIFS('Store Prices'!$A$5:$A$304,A5,'Store Prices'!$G$5:$G$304,"&lt;"&amp;G5)+1)</f>
        <v>0</v>
      </c>
      <c r="Q5" s="25"/>
    </row>
    <row r="6" spans="1:17">
      <c r="A6" s="7"/>
      <c r="B6" s="27"/>
      <c r="C6" s="8">
        <f>IF(A6="","",IFERROR(INDEX(Ingredients!$B$5:$B$304,MATCH(A6,Ingredients!$A$5:$A$304,0)),""))</f>
        <v>0</v>
      </c>
      <c r="D6" s="27"/>
      <c r="E6" s="28"/>
      <c r="F6" s="26"/>
      <c r="G6" s="8">
        <f>IF(OR(E6="",F6="",F6=0),"",E6/F6)</f>
        <v>0</v>
      </c>
      <c r="H6" s="30"/>
      <c r="I6" s="27"/>
      <c r="J6" s="28"/>
      <c r="K6" s="8">
        <f>IF(OR(E6="",J6=""),"",J6-E6)</f>
        <v>0</v>
      </c>
      <c r="L6" s="8">
        <f>IF(OR(K6="",J6="",J6=0),"",K6/J6)</f>
        <v>0</v>
      </c>
      <c r="M6" s="8">
        <f>IF(A6="","",IF(SUMPRODUCT(MIN(('Store Prices'!$A$5:$A$304=A6)*'Store Prices'!$G$5:$G$304+('Store Prices'!$A$5:$A$304&lt;&gt;A6)*1000000))&gt;=1000000,"",SUMPRODUCT(MIN(('Store Prices'!$A$5:$A$304=A6)*'Store Prices'!$G$5:$G$304+('Store Prices'!$A$5:$A$304&lt;&gt;A6)*1000000))))</f>
        <v>0</v>
      </c>
      <c r="N6" s="8">
        <f>IF(OR(A6="",G6="",M6=""),"",G6-M6)</f>
        <v>0</v>
      </c>
      <c r="O6" s="8">
        <f>IF(OR(A6="",G6=""),"",IF(G6=M6,"Best",""))</f>
        <v>0</v>
      </c>
      <c r="P6" s="8">
        <f>IF(OR(A6="",G6=""),"",COUNTIFS('Store Prices'!$A$5:$A$304,A6,'Store Prices'!$G$5:$G$304,"&lt;"&amp;G6)+1)</f>
        <v>0</v>
      </c>
      <c r="Q6" s="25"/>
    </row>
    <row r="7" spans="1:17">
      <c r="A7" s="7"/>
      <c r="B7" s="27"/>
      <c r="C7" s="8">
        <f>IF(A7="","",IFERROR(INDEX(Ingredients!$B$5:$B$304,MATCH(A7,Ingredients!$A$5:$A$304,0)),""))</f>
        <v>0</v>
      </c>
      <c r="D7" s="27"/>
      <c r="E7" s="28"/>
      <c r="F7" s="26"/>
      <c r="G7" s="8">
        <f>IF(OR(E7="",F7="",F7=0),"",E7/F7)</f>
        <v>0</v>
      </c>
      <c r="H7" s="30"/>
      <c r="I7" s="27"/>
      <c r="J7" s="28"/>
      <c r="K7" s="8">
        <f>IF(OR(E7="",J7=""),"",J7-E7)</f>
        <v>0</v>
      </c>
      <c r="L7" s="8">
        <f>IF(OR(K7="",J7="",J7=0),"",K7/J7)</f>
        <v>0</v>
      </c>
      <c r="M7" s="8">
        <f>IF(A7="","",IF(SUMPRODUCT(MIN(('Store Prices'!$A$5:$A$304=A7)*'Store Prices'!$G$5:$G$304+('Store Prices'!$A$5:$A$304&lt;&gt;A7)*1000000))&gt;=1000000,"",SUMPRODUCT(MIN(('Store Prices'!$A$5:$A$304=A7)*'Store Prices'!$G$5:$G$304+('Store Prices'!$A$5:$A$304&lt;&gt;A7)*1000000))))</f>
        <v>0</v>
      </c>
      <c r="N7" s="8">
        <f>IF(OR(A7="",G7="",M7=""),"",G7-M7)</f>
        <v>0</v>
      </c>
      <c r="O7" s="8">
        <f>IF(OR(A7="",G7=""),"",IF(G7=M7,"Best",""))</f>
        <v>0</v>
      </c>
      <c r="P7" s="8">
        <f>IF(OR(A7="",G7=""),"",COUNTIFS('Store Prices'!$A$5:$A$304,A7,'Store Prices'!$G$5:$G$304,"&lt;"&amp;G7)+1)</f>
        <v>0</v>
      </c>
      <c r="Q7" s="25"/>
    </row>
    <row r="8" spans="1:17">
      <c r="A8" s="7"/>
      <c r="B8" s="27"/>
      <c r="C8" s="8">
        <f>IF(A8="","",IFERROR(INDEX(Ingredients!$B$5:$B$304,MATCH(A8,Ingredients!$A$5:$A$304,0)),""))</f>
        <v>0</v>
      </c>
      <c r="D8" s="27"/>
      <c r="E8" s="28"/>
      <c r="F8" s="26"/>
      <c r="G8" s="8">
        <f>IF(OR(E8="",F8="",F8=0),"",E8/F8)</f>
        <v>0</v>
      </c>
      <c r="H8" s="30"/>
      <c r="I8" s="27"/>
      <c r="J8" s="28"/>
      <c r="K8" s="8">
        <f>IF(OR(E8="",J8=""),"",J8-E8)</f>
        <v>0</v>
      </c>
      <c r="L8" s="8">
        <f>IF(OR(K8="",J8="",J8=0),"",K8/J8)</f>
        <v>0</v>
      </c>
      <c r="M8" s="8">
        <f>IF(A8="","",IF(SUMPRODUCT(MIN(('Store Prices'!$A$5:$A$304=A8)*'Store Prices'!$G$5:$G$304+('Store Prices'!$A$5:$A$304&lt;&gt;A8)*1000000))&gt;=1000000,"",SUMPRODUCT(MIN(('Store Prices'!$A$5:$A$304=A8)*'Store Prices'!$G$5:$G$304+('Store Prices'!$A$5:$A$304&lt;&gt;A8)*1000000))))</f>
        <v>0</v>
      </c>
      <c r="N8" s="8">
        <f>IF(OR(A8="",G8="",M8=""),"",G8-M8)</f>
        <v>0</v>
      </c>
      <c r="O8" s="8">
        <f>IF(OR(A8="",G8=""),"",IF(G8=M8,"Best",""))</f>
        <v>0</v>
      </c>
      <c r="P8" s="8">
        <f>IF(OR(A8="",G8=""),"",COUNTIFS('Store Prices'!$A$5:$A$304,A8,'Store Prices'!$G$5:$G$304,"&lt;"&amp;G8)+1)</f>
        <v>0</v>
      </c>
      <c r="Q8" s="25"/>
    </row>
    <row r="9" spans="1:17">
      <c r="A9" s="7"/>
      <c r="B9" s="27"/>
      <c r="C9" s="8">
        <f>IF(A9="","",IFERROR(INDEX(Ingredients!$B$5:$B$304,MATCH(A9,Ingredients!$A$5:$A$304,0)),""))</f>
        <v>0</v>
      </c>
      <c r="D9" s="27"/>
      <c r="E9" s="28"/>
      <c r="F9" s="26"/>
      <c r="G9" s="8">
        <f>IF(OR(E9="",F9="",F9=0),"",E9/F9)</f>
        <v>0</v>
      </c>
      <c r="H9" s="30"/>
      <c r="I9" s="27"/>
      <c r="J9" s="28"/>
      <c r="K9" s="8">
        <f>IF(OR(E9="",J9=""),"",J9-E9)</f>
        <v>0</v>
      </c>
      <c r="L9" s="8">
        <f>IF(OR(K9="",J9="",J9=0),"",K9/J9)</f>
        <v>0</v>
      </c>
      <c r="M9" s="8">
        <f>IF(A9="","",IF(SUMPRODUCT(MIN(('Store Prices'!$A$5:$A$304=A9)*'Store Prices'!$G$5:$G$304+('Store Prices'!$A$5:$A$304&lt;&gt;A9)*1000000))&gt;=1000000,"",SUMPRODUCT(MIN(('Store Prices'!$A$5:$A$304=A9)*'Store Prices'!$G$5:$G$304+('Store Prices'!$A$5:$A$304&lt;&gt;A9)*1000000))))</f>
        <v>0</v>
      </c>
      <c r="N9" s="8">
        <f>IF(OR(A9="",G9="",M9=""),"",G9-M9)</f>
        <v>0</v>
      </c>
      <c r="O9" s="8">
        <f>IF(OR(A9="",G9=""),"",IF(G9=M9,"Best",""))</f>
        <v>0</v>
      </c>
      <c r="P9" s="8">
        <f>IF(OR(A9="",G9=""),"",COUNTIFS('Store Prices'!$A$5:$A$304,A9,'Store Prices'!$G$5:$G$304,"&lt;"&amp;G9)+1)</f>
        <v>0</v>
      </c>
      <c r="Q9" s="25"/>
    </row>
    <row r="10" spans="1:17">
      <c r="A10" s="7"/>
      <c r="B10" s="27"/>
      <c r="C10" s="8">
        <f>IF(A10="","",IFERROR(INDEX(Ingredients!$B$5:$B$304,MATCH(A10,Ingredients!$A$5:$A$304,0)),""))</f>
        <v>0</v>
      </c>
      <c r="D10" s="27"/>
      <c r="E10" s="28"/>
      <c r="F10" s="26"/>
      <c r="G10" s="8">
        <f>IF(OR(E10="",F10="",F10=0),"",E10/F10)</f>
        <v>0</v>
      </c>
      <c r="H10" s="30"/>
      <c r="I10" s="27"/>
      <c r="J10" s="28"/>
      <c r="K10" s="8">
        <f>IF(OR(E10="",J10=""),"",J10-E10)</f>
        <v>0</v>
      </c>
      <c r="L10" s="8">
        <f>IF(OR(K10="",J10="",J10=0),"",K10/J10)</f>
        <v>0</v>
      </c>
      <c r="M10" s="8">
        <f>IF(A10="","",IF(SUMPRODUCT(MIN(('Store Prices'!$A$5:$A$304=A10)*'Store Prices'!$G$5:$G$304+('Store Prices'!$A$5:$A$304&lt;&gt;A10)*1000000))&gt;=1000000,"",SUMPRODUCT(MIN(('Store Prices'!$A$5:$A$304=A10)*'Store Prices'!$G$5:$G$304+('Store Prices'!$A$5:$A$304&lt;&gt;A10)*1000000))))</f>
        <v>0</v>
      </c>
      <c r="N10" s="8">
        <f>IF(OR(A10="",G10="",M10=""),"",G10-M10)</f>
        <v>0</v>
      </c>
      <c r="O10" s="8">
        <f>IF(OR(A10="",G10=""),"",IF(G10=M10,"Best",""))</f>
        <v>0</v>
      </c>
      <c r="P10" s="8">
        <f>IF(OR(A10="",G10=""),"",COUNTIFS('Store Prices'!$A$5:$A$304,A10,'Store Prices'!$G$5:$G$304,"&lt;"&amp;G10)+1)</f>
        <v>0</v>
      </c>
      <c r="Q10" s="25"/>
    </row>
    <row r="11" spans="1:17">
      <c r="A11" s="7"/>
      <c r="B11" s="27"/>
      <c r="C11" s="8">
        <f>IF(A11="","",IFERROR(INDEX(Ingredients!$B$5:$B$304,MATCH(A11,Ingredients!$A$5:$A$304,0)),""))</f>
        <v>0</v>
      </c>
      <c r="D11" s="27"/>
      <c r="E11" s="28"/>
      <c r="F11" s="26"/>
      <c r="G11" s="8">
        <f>IF(OR(E11="",F11="",F11=0),"",E11/F11)</f>
        <v>0</v>
      </c>
      <c r="H11" s="30"/>
      <c r="I11" s="27"/>
      <c r="J11" s="28"/>
      <c r="K11" s="8">
        <f>IF(OR(E11="",J11=""),"",J11-E11)</f>
        <v>0</v>
      </c>
      <c r="L11" s="8">
        <f>IF(OR(K11="",J11="",J11=0),"",K11/J11)</f>
        <v>0</v>
      </c>
      <c r="M11" s="8">
        <f>IF(A11="","",IF(SUMPRODUCT(MIN(('Store Prices'!$A$5:$A$304=A11)*'Store Prices'!$G$5:$G$304+('Store Prices'!$A$5:$A$304&lt;&gt;A11)*1000000))&gt;=1000000,"",SUMPRODUCT(MIN(('Store Prices'!$A$5:$A$304=A11)*'Store Prices'!$G$5:$G$304+('Store Prices'!$A$5:$A$304&lt;&gt;A11)*1000000))))</f>
        <v>0</v>
      </c>
      <c r="N11" s="8">
        <f>IF(OR(A11="",G11="",M11=""),"",G11-M11)</f>
        <v>0</v>
      </c>
      <c r="O11" s="8">
        <f>IF(OR(A11="",G11=""),"",IF(G11=M11,"Best",""))</f>
        <v>0</v>
      </c>
      <c r="P11" s="8">
        <f>IF(OR(A11="",G11=""),"",COUNTIFS('Store Prices'!$A$5:$A$304,A11,'Store Prices'!$G$5:$G$304,"&lt;"&amp;G11)+1)</f>
        <v>0</v>
      </c>
      <c r="Q11" s="25"/>
    </row>
    <row r="12" spans="1:17">
      <c r="A12" s="7"/>
      <c r="B12" s="27"/>
      <c r="C12" s="8">
        <f>IF(A12="","",IFERROR(INDEX(Ingredients!$B$5:$B$304,MATCH(A12,Ingredients!$A$5:$A$304,0)),""))</f>
        <v>0</v>
      </c>
      <c r="D12" s="27"/>
      <c r="E12" s="28"/>
      <c r="F12" s="26"/>
      <c r="G12" s="8">
        <f>IF(OR(E12="",F12="",F12=0),"",E12/F12)</f>
        <v>0</v>
      </c>
      <c r="H12" s="30"/>
      <c r="I12" s="27"/>
      <c r="J12" s="28"/>
      <c r="K12" s="8">
        <f>IF(OR(E12="",J12=""),"",J12-E12)</f>
        <v>0</v>
      </c>
      <c r="L12" s="8">
        <f>IF(OR(K12="",J12="",J12=0),"",K12/J12)</f>
        <v>0</v>
      </c>
      <c r="M12" s="8">
        <f>IF(A12="","",IF(SUMPRODUCT(MIN(('Store Prices'!$A$5:$A$304=A12)*'Store Prices'!$G$5:$G$304+('Store Prices'!$A$5:$A$304&lt;&gt;A12)*1000000))&gt;=1000000,"",SUMPRODUCT(MIN(('Store Prices'!$A$5:$A$304=A12)*'Store Prices'!$G$5:$G$304+('Store Prices'!$A$5:$A$304&lt;&gt;A12)*1000000))))</f>
        <v>0</v>
      </c>
      <c r="N12" s="8">
        <f>IF(OR(A12="",G12="",M12=""),"",G12-M12)</f>
        <v>0</v>
      </c>
      <c r="O12" s="8">
        <f>IF(OR(A12="",G12=""),"",IF(G12=M12,"Best",""))</f>
        <v>0</v>
      </c>
      <c r="P12" s="8">
        <f>IF(OR(A12="",G12=""),"",COUNTIFS('Store Prices'!$A$5:$A$304,A12,'Store Prices'!$G$5:$G$304,"&lt;"&amp;G12)+1)</f>
        <v>0</v>
      </c>
      <c r="Q12" s="25"/>
    </row>
    <row r="13" spans="1:17">
      <c r="A13" s="7"/>
      <c r="B13" s="27"/>
      <c r="C13" s="8">
        <f>IF(A13="","",IFERROR(INDEX(Ingredients!$B$5:$B$304,MATCH(A13,Ingredients!$A$5:$A$304,0)),""))</f>
        <v>0</v>
      </c>
      <c r="D13" s="27"/>
      <c r="E13" s="28"/>
      <c r="F13" s="26"/>
      <c r="G13" s="8">
        <f>IF(OR(E13="",F13="",F13=0),"",E13/F13)</f>
        <v>0</v>
      </c>
      <c r="H13" s="30"/>
      <c r="I13" s="27"/>
      <c r="J13" s="28"/>
      <c r="K13" s="8">
        <f>IF(OR(E13="",J13=""),"",J13-E13)</f>
        <v>0</v>
      </c>
      <c r="L13" s="8">
        <f>IF(OR(K13="",J13="",J13=0),"",K13/J13)</f>
        <v>0</v>
      </c>
      <c r="M13" s="8">
        <f>IF(A13="","",IF(SUMPRODUCT(MIN(('Store Prices'!$A$5:$A$304=A13)*'Store Prices'!$G$5:$G$304+('Store Prices'!$A$5:$A$304&lt;&gt;A13)*1000000))&gt;=1000000,"",SUMPRODUCT(MIN(('Store Prices'!$A$5:$A$304=A13)*'Store Prices'!$G$5:$G$304+('Store Prices'!$A$5:$A$304&lt;&gt;A13)*1000000))))</f>
        <v>0</v>
      </c>
      <c r="N13" s="8">
        <f>IF(OR(A13="",G13="",M13=""),"",G13-M13)</f>
        <v>0</v>
      </c>
      <c r="O13" s="8">
        <f>IF(OR(A13="",G13=""),"",IF(G13=M13,"Best",""))</f>
        <v>0</v>
      </c>
      <c r="P13" s="8">
        <f>IF(OR(A13="",G13=""),"",COUNTIFS('Store Prices'!$A$5:$A$304,A13,'Store Prices'!$G$5:$G$304,"&lt;"&amp;G13)+1)</f>
        <v>0</v>
      </c>
      <c r="Q13" s="25"/>
    </row>
    <row r="14" spans="1:17">
      <c r="A14" s="7"/>
      <c r="B14" s="27"/>
      <c r="C14" s="8">
        <f>IF(A14="","",IFERROR(INDEX(Ingredients!$B$5:$B$304,MATCH(A14,Ingredients!$A$5:$A$304,0)),""))</f>
        <v>0</v>
      </c>
      <c r="D14" s="27"/>
      <c r="E14" s="28"/>
      <c r="F14" s="26"/>
      <c r="G14" s="8">
        <f>IF(OR(E14="",F14="",F14=0),"",E14/F14)</f>
        <v>0</v>
      </c>
      <c r="H14" s="30"/>
      <c r="I14" s="27"/>
      <c r="J14" s="28"/>
      <c r="K14" s="8">
        <f>IF(OR(E14="",J14=""),"",J14-E14)</f>
        <v>0</v>
      </c>
      <c r="L14" s="8">
        <f>IF(OR(K14="",J14="",J14=0),"",K14/J14)</f>
        <v>0</v>
      </c>
      <c r="M14" s="8">
        <f>IF(A14="","",IF(SUMPRODUCT(MIN(('Store Prices'!$A$5:$A$304=A14)*'Store Prices'!$G$5:$G$304+('Store Prices'!$A$5:$A$304&lt;&gt;A14)*1000000))&gt;=1000000,"",SUMPRODUCT(MIN(('Store Prices'!$A$5:$A$304=A14)*'Store Prices'!$G$5:$G$304+('Store Prices'!$A$5:$A$304&lt;&gt;A14)*1000000))))</f>
        <v>0</v>
      </c>
      <c r="N14" s="8">
        <f>IF(OR(A14="",G14="",M14=""),"",G14-M14)</f>
        <v>0</v>
      </c>
      <c r="O14" s="8">
        <f>IF(OR(A14="",G14=""),"",IF(G14=M14,"Best",""))</f>
        <v>0</v>
      </c>
      <c r="P14" s="8">
        <f>IF(OR(A14="",G14=""),"",COUNTIFS('Store Prices'!$A$5:$A$304,A14,'Store Prices'!$G$5:$G$304,"&lt;"&amp;G14)+1)</f>
        <v>0</v>
      </c>
      <c r="Q14" s="25"/>
    </row>
    <row r="15" spans="1:17">
      <c r="A15" s="7"/>
      <c r="B15" s="27"/>
      <c r="C15" s="8">
        <f>IF(A15="","",IFERROR(INDEX(Ingredients!$B$5:$B$304,MATCH(A15,Ingredients!$A$5:$A$304,0)),""))</f>
        <v>0</v>
      </c>
      <c r="D15" s="27"/>
      <c r="E15" s="28"/>
      <c r="F15" s="26"/>
      <c r="G15" s="8">
        <f>IF(OR(E15="",F15="",F15=0),"",E15/F15)</f>
        <v>0</v>
      </c>
      <c r="H15" s="30"/>
      <c r="I15" s="27"/>
      <c r="J15" s="28"/>
      <c r="K15" s="8">
        <f>IF(OR(E15="",J15=""),"",J15-E15)</f>
        <v>0</v>
      </c>
      <c r="L15" s="8">
        <f>IF(OR(K15="",J15="",J15=0),"",K15/J15)</f>
        <v>0</v>
      </c>
      <c r="M15" s="8">
        <f>IF(A15="","",IF(SUMPRODUCT(MIN(('Store Prices'!$A$5:$A$304=A15)*'Store Prices'!$G$5:$G$304+('Store Prices'!$A$5:$A$304&lt;&gt;A15)*1000000))&gt;=1000000,"",SUMPRODUCT(MIN(('Store Prices'!$A$5:$A$304=A15)*'Store Prices'!$G$5:$G$304+('Store Prices'!$A$5:$A$304&lt;&gt;A15)*1000000))))</f>
        <v>0</v>
      </c>
      <c r="N15" s="8">
        <f>IF(OR(A15="",G15="",M15=""),"",G15-M15)</f>
        <v>0</v>
      </c>
      <c r="O15" s="8">
        <f>IF(OR(A15="",G15=""),"",IF(G15=M15,"Best",""))</f>
        <v>0</v>
      </c>
      <c r="P15" s="8">
        <f>IF(OR(A15="",G15=""),"",COUNTIFS('Store Prices'!$A$5:$A$304,A15,'Store Prices'!$G$5:$G$304,"&lt;"&amp;G15)+1)</f>
        <v>0</v>
      </c>
      <c r="Q15" s="25"/>
    </row>
    <row r="16" spans="1:17">
      <c r="A16" s="7"/>
      <c r="B16" s="27"/>
      <c r="C16" s="8">
        <f>IF(A16="","",IFERROR(INDEX(Ingredients!$B$5:$B$304,MATCH(A16,Ingredients!$A$5:$A$304,0)),""))</f>
        <v>0</v>
      </c>
      <c r="D16" s="27"/>
      <c r="E16" s="28"/>
      <c r="F16" s="26"/>
      <c r="G16" s="8">
        <f>IF(OR(E16="",F16="",F16=0),"",E16/F16)</f>
        <v>0</v>
      </c>
      <c r="H16" s="30"/>
      <c r="I16" s="27"/>
      <c r="J16" s="28"/>
      <c r="K16" s="8">
        <f>IF(OR(E16="",J16=""),"",J16-E16)</f>
        <v>0</v>
      </c>
      <c r="L16" s="8">
        <f>IF(OR(K16="",J16="",J16=0),"",K16/J16)</f>
        <v>0</v>
      </c>
      <c r="M16" s="8">
        <f>IF(A16="","",IF(SUMPRODUCT(MIN(('Store Prices'!$A$5:$A$304=A16)*'Store Prices'!$G$5:$G$304+('Store Prices'!$A$5:$A$304&lt;&gt;A16)*1000000))&gt;=1000000,"",SUMPRODUCT(MIN(('Store Prices'!$A$5:$A$304=A16)*'Store Prices'!$G$5:$G$304+('Store Prices'!$A$5:$A$304&lt;&gt;A16)*1000000))))</f>
        <v>0</v>
      </c>
      <c r="N16" s="8">
        <f>IF(OR(A16="",G16="",M16=""),"",G16-M16)</f>
        <v>0</v>
      </c>
      <c r="O16" s="8">
        <f>IF(OR(A16="",G16=""),"",IF(G16=M16,"Best",""))</f>
        <v>0</v>
      </c>
      <c r="P16" s="8">
        <f>IF(OR(A16="",G16=""),"",COUNTIFS('Store Prices'!$A$5:$A$304,A16,'Store Prices'!$G$5:$G$304,"&lt;"&amp;G16)+1)</f>
        <v>0</v>
      </c>
      <c r="Q16" s="25"/>
    </row>
    <row r="17" spans="1:17">
      <c r="A17" s="7"/>
      <c r="B17" s="27"/>
      <c r="C17" s="8">
        <f>IF(A17="","",IFERROR(INDEX(Ingredients!$B$5:$B$304,MATCH(A17,Ingredients!$A$5:$A$304,0)),""))</f>
        <v>0</v>
      </c>
      <c r="D17" s="27"/>
      <c r="E17" s="28"/>
      <c r="F17" s="26"/>
      <c r="G17" s="8">
        <f>IF(OR(E17="",F17="",F17=0),"",E17/F17)</f>
        <v>0</v>
      </c>
      <c r="H17" s="30"/>
      <c r="I17" s="27"/>
      <c r="J17" s="28"/>
      <c r="K17" s="8">
        <f>IF(OR(E17="",J17=""),"",J17-E17)</f>
        <v>0</v>
      </c>
      <c r="L17" s="8">
        <f>IF(OR(K17="",J17="",J17=0),"",K17/J17)</f>
        <v>0</v>
      </c>
      <c r="M17" s="8">
        <f>IF(A17="","",IF(SUMPRODUCT(MIN(('Store Prices'!$A$5:$A$304=A17)*'Store Prices'!$G$5:$G$304+('Store Prices'!$A$5:$A$304&lt;&gt;A17)*1000000))&gt;=1000000,"",SUMPRODUCT(MIN(('Store Prices'!$A$5:$A$304=A17)*'Store Prices'!$G$5:$G$304+('Store Prices'!$A$5:$A$304&lt;&gt;A17)*1000000))))</f>
        <v>0</v>
      </c>
      <c r="N17" s="8">
        <f>IF(OR(A17="",G17="",M17=""),"",G17-M17)</f>
        <v>0</v>
      </c>
      <c r="O17" s="8">
        <f>IF(OR(A17="",G17=""),"",IF(G17=M17,"Best",""))</f>
        <v>0</v>
      </c>
      <c r="P17" s="8">
        <f>IF(OR(A17="",G17=""),"",COUNTIFS('Store Prices'!$A$5:$A$304,A17,'Store Prices'!$G$5:$G$304,"&lt;"&amp;G17)+1)</f>
        <v>0</v>
      </c>
      <c r="Q17" s="25"/>
    </row>
    <row r="18" spans="1:17">
      <c r="A18" s="7"/>
      <c r="B18" s="27"/>
      <c r="C18" s="8">
        <f>IF(A18="","",IFERROR(INDEX(Ingredients!$B$5:$B$304,MATCH(A18,Ingredients!$A$5:$A$304,0)),""))</f>
        <v>0</v>
      </c>
      <c r="D18" s="27"/>
      <c r="E18" s="28"/>
      <c r="F18" s="26"/>
      <c r="G18" s="8">
        <f>IF(OR(E18="",F18="",F18=0),"",E18/F18)</f>
        <v>0</v>
      </c>
      <c r="H18" s="30"/>
      <c r="I18" s="27"/>
      <c r="J18" s="28"/>
      <c r="K18" s="8">
        <f>IF(OR(E18="",J18=""),"",J18-E18)</f>
        <v>0</v>
      </c>
      <c r="L18" s="8">
        <f>IF(OR(K18="",J18="",J18=0),"",K18/J18)</f>
        <v>0</v>
      </c>
      <c r="M18" s="8">
        <f>IF(A18="","",IF(SUMPRODUCT(MIN(('Store Prices'!$A$5:$A$304=A18)*'Store Prices'!$G$5:$G$304+('Store Prices'!$A$5:$A$304&lt;&gt;A18)*1000000))&gt;=1000000,"",SUMPRODUCT(MIN(('Store Prices'!$A$5:$A$304=A18)*'Store Prices'!$G$5:$G$304+('Store Prices'!$A$5:$A$304&lt;&gt;A18)*1000000))))</f>
        <v>0</v>
      </c>
      <c r="N18" s="8">
        <f>IF(OR(A18="",G18="",M18=""),"",G18-M18)</f>
        <v>0</v>
      </c>
      <c r="O18" s="8">
        <f>IF(OR(A18="",G18=""),"",IF(G18=M18,"Best",""))</f>
        <v>0</v>
      </c>
      <c r="P18" s="8">
        <f>IF(OR(A18="",G18=""),"",COUNTIFS('Store Prices'!$A$5:$A$304,A18,'Store Prices'!$G$5:$G$304,"&lt;"&amp;G18)+1)</f>
        <v>0</v>
      </c>
      <c r="Q18" s="25"/>
    </row>
    <row r="19" spans="1:17">
      <c r="A19" s="7"/>
      <c r="B19" s="27"/>
      <c r="C19" s="8">
        <f>IF(A19="","",IFERROR(INDEX(Ingredients!$B$5:$B$304,MATCH(A19,Ingredients!$A$5:$A$304,0)),""))</f>
        <v>0</v>
      </c>
      <c r="D19" s="27"/>
      <c r="E19" s="28"/>
      <c r="F19" s="26"/>
      <c r="G19" s="8">
        <f>IF(OR(E19="",F19="",F19=0),"",E19/F19)</f>
        <v>0</v>
      </c>
      <c r="H19" s="30"/>
      <c r="I19" s="27"/>
      <c r="J19" s="28"/>
      <c r="K19" s="8">
        <f>IF(OR(E19="",J19=""),"",J19-E19)</f>
        <v>0</v>
      </c>
      <c r="L19" s="8">
        <f>IF(OR(K19="",J19="",J19=0),"",K19/J19)</f>
        <v>0</v>
      </c>
      <c r="M19" s="8">
        <f>IF(A19="","",IF(SUMPRODUCT(MIN(('Store Prices'!$A$5:$A$304=A19)*'Store Prices'!$G$5:$G$304+('Store Prices'!$A$5:$A$304&lt;&gt;A19)*1000000))&gt;=1000000,"",SUMPRODUCT(MIN(('Store Prices'!$A$5:$A$304=A19)*'Store Prices'!$G$5:$G$304+('Store Prices'!$A$5:$A$304&lt;&gt;A19)*1000000))))</f>
        <v>0</v>
      </c>
      <c r="N19" s="8">
        <f>IF(OR(A19="",G19="",M19=""),"",G19-M19)</f>
        <v>0</v>
      </c>
      <c r="O19" s="8">
        <f>IF(OR(A19="",G19=""),"",IF(G19=M19,"Best",""))</f>
        <v>0</v>
      </c>
      <c r="P19" s="8">
        <f>IF(OR(A19="",G19=""),"",COUNTIFS('Store Prices'!$A$5:$A$304,A19,'Store Prices'!$G$5:$G$304,"&lt;"&amp;G19)+1)</f>
        <v>0</v>
      </c>
      <c r="Q19" s="25"/>
    </row>
    <row r="20" spans="1:17">
      <c r="A20" s="7"/>
      <c r="B20" s="27"/>
      <c r="C20" s="8">
        <f>IF(A20="","",IFERROR(INDEX(Ingredients!$B$5:$B$304,MATCH(A20,Ingredients!$A$5:$A$304,0)),""))</f>
        <v>0</v>
      </c>
      <c r="D20" s="27"/>
      <c r="E20" s="28"/>
      <c r="F20" s="26"/>
      <c r="G20" s="8">
        <f>IF(OR(E20="",F20="",F20=0),"",E20/F20)</f>
        <v>0</v>
      </c>
      <c r="H20" s="30"/>
      <c r="I20" s="27"/>
      <c r="J20" s="28"/>
      <c r="K20" s="8">
        <f>IF(OR(E20="",J20=""),"",J20-E20)</f>
        <v>0</v>
      </c>
      <c r="L20" s="8">
        <f>IF(OR(K20="",J20="",J20=0),"",K20/J20)</f>
        <v>0</v>
      </c>
      <c r="M20" s="8">
        <f>IF(A20="","",IF(SUMPRODUCT(MIN(('Store Prices'!$A$5:$A$304=A20)*'Store Prices'!$G$5:$G$304+('Store Prices'!$A$5:$A$304&lt;&gt;A20)*1000000))&gt;=1000000,"",SUMPRODUCT(MIN(('Store Prices'!$A$5:$A$304=A20)*'Store Prices'!$G$5:$G$304+('Store Prices'!$A$5:$A$304&lt;&gt;A20)*1000000))))</f>
        <v>0</v>
      </c>
      <c r="N20" s="8">
        <f>IF(OR(A20="",G20="",M20=""),"",G20-M20)</f>
        <v>0</v>
      </c>
      <c r="O20" s="8">
        <f>IF(OR(A20="",G20=""),"",IF(G20=M20,"Best",""))</f>
        <v>0</v>
      </c>
      <c r="P20" s="8">
        <f>IF(OR(A20="",G20=""),"",COUNTIFS('Store Prices'!$A$5:$A$304,A20,'Store Prices'!$G$5:$G$304,"&lt;"&amp;G20)+1)</f>
        <v>0</v>
      </c>
      <c r="Q20" s="25"/>
    </row>
    <row r="21" spans="1:17">
      <c r="A21" s="7"/>
      <c r="B21" s="27"/>
      <c r="C21" s="8">
        <f>IF(A21="","",IFERROR(INDEX(Ingredients!$B$5:$B$304,MATCH(A21,Ingredients!$A$5:$A$304,0)),""))</f>
        <v>0</v>
      </c>
      <c r="D21" s="27"/>
      <c r="E21" s="28"/>
      <c r="F21" s="26"/>
      <c r="G21" s="8">
        <f>IF(OR(E21="",F21="",F21=0),"",E21/F21)</f>
        <v>0</v>
      </c>
      <c r="H21" s="30"/>
      <c r="I21" s="27"/>
      <c r="J21" s="28"/>
      <c r="K21" s="8">
        <f>IF(OR(E21="",J21=""),"",J21-E21)</f>
        <v>0</v>
      </c>
      <c r="L21" s="8">
        <f>IF(OR(K21="",J21="",J21=0),"",K21/J21)</f>
        <v>0</v>
      </c>
      <c r="M21" s="8">
        <f>IF(A21="","",IF(SUMPRODUCT(MIN(('Store Prices'!$A$5:$A$304=A21)*'Store Prices'!$G$5:$G$304+('Store Prices'!$A$5:$A$304&lt;&gt;A21)*1000000))&gt;=1000000,"",SUMPRODUCT(MIN(('Store Prices'!$A$5:$A$304=A21)*'Store Prices'!$G$5:$G$304+('Store Prices'!$A$5:$A$304&lt;&gt;A21)*1000000))))</f>
        <v>0</v>
      </c>
      <c r="N21" s="8">
        <f>IF(OR(A21="",G21="",M21=""),"",G21-M21)</f>
        <v>0</v>
      </c>
      <c r="O21" s="8">
        <f>IF(OR(A21="",G21=""),"",IF(G21=M21,"Best",""))</f>
        <v>0</v>
      </c>
      <c r="P21" s="8">
        <f>IF(OR(A21="",G21=""),"",COUNTIFS('Store Prices'!$A$5:$A$304,A21,'Store Prices'!$G$5:$G$304,"&lt;"&amp;G21)+1)</f>
        <v>0</v>
      </c>
      <c r="Q21" s="25"/>
    </row>
    <row r="22" spans="1:17">
      <c r="A22" s="7"/>
      <c r="B22" s="27"/>
      <c r="C22" s="8">
        <f>IF(A22="","",IFERROR(INDEX(Ingredients!$B$5:$B$304,MATCH(A22,Ingredients!$A$5:$A$304,0)),""))</f>
        <v>0</v>
      </c>
      <c r="D22" s="27"/>
      <c r="E22" s="28"/>
      <c r="F22" s="26"/>
      <c r="G22" s="8">
        <f>IF(OR(E22="",F22="",F22=0),"",E22/F22)</f>
        <v>0</v>
      </c>
      <c r="H22" s="30"/>
      <c r="I22" s="27"/>
      <c r="J22" s="28"/>
      <c r="K22" s="8">
        <f>IF(OR(E22="",J22=""),"",J22-E22)</f>
        <v>0</v>
      </c>
      <c r="L22" s="8">
        <f>IF(OR(K22="",J22="",J22=0),"",K22/J22)</f>
        <v>0</v>
      </c>
      <c r="M22" s="8">
        <f>IF(A22="","",IF(SUMPRODUCT(MIN(('Store Prices'!$A$5:$A$304=A22)*'Store Prices'!$G$5:$G$304+('Store Prices'!$A$5:$A$304&lt;&gt;A22)*1000000))&gt;=1000000,"",SUMPRODUCT(MIN(('Store Prices'!$A$5:$A$304=A22)*'Store Prices'!$G$5:$G$304+('Store Prices'!$A$5:$A$304&lt;&gt;A22)*1000000))))</f>
        <v>0</v>
      </c>
      <c r="N22" s="8">
        <f>IF(OR(A22="",G22="",M22=""),"",G22-M22)</f>
        <v>0</v>
      </c>
      <c r="O22" s="8">
        <f>IF(OR(A22="",G22=""),"",IF(G22=M22,"Best",""))</f>
        <v>0</v>
      </c>
      <c r="P22" s="8">
        <f>IF(OR(A22="",G22=""),"",COUNTIFS('Store Prices'!$A$5:$A$304,A22,'Store Prices'!$G$5:$G$304,"&lt;"&amp;G22)+1)</f>
        <v>0</v>
      </c>
      <c r="Q22" s="25"/>
    </row>
    <row r="23" spans="1:17">
      <c r="A23" s="7"/>
      <c r="B23" s="27"/>
      <c r="C23" s="8">
        <f>IF(A23="","",IFERROR(INDEX(Ingredients!$B$5:$B$304,MATCH(A23,Ingredients!$A$5:$A$304,0)),""))</f>
        <v>0</v>
      </c>
      <c r="D23" s="27"/>
      <c r="E23" s="28"/>
      <c r="F23" s="26"/>
      <c r="G23" s="8">
        <f>IF(OR(E23="",F23="",F23=0),"",E23/F23)</f>
        <v>0</v>
      </c>
      <c r="H23" s="30"/>
      <c r="I23" s="27"/>
      <c r="J23" s="28"/>
      <c r="K23" s="8">
        <f>IF(OR(E23="",J23=""),"",J23-E23)</f>
        <v>0</v>
      </c>
      <c r="L23" s="8">
        <f>IF(OR(K23="",J23="",J23=0),"",K23/J23)</f>
        <v>0</v>
      </c>
      <c r="M23" s="8">
        <f>IF(A23="","",IF(SUMPRODUCT(MIN(('Store Prices'!$A$5:$A$304=A23)*'Store Prices'!$G$5:$G$304+('Store Prices'!$A$5:$A$304&lt;&gt;A23)*1000000))&gt;=1000000,"",SUMPRODUCT(MIN(('Store Prices'!$A$5:$A$304=A23)*'Store Prices'!$G$5:$G$304+('Store Prices'!$A$5:$A$304&lt;&gt;A23)*1000000))))</f>
        <v>0</v>
      </c>
      <c r="N23" s="8">
        <f>IF(OR(A23="",G23="",M23=""),"",G23-M23)</f>
        <v>0</v>
      </c>
      <c r="O23" s="8">
        <f>IF(OR(A23="",G23=""),"",IF(G23=M23,"Best",""))</f>
        <v>0</v>
      </c>
      <c r="P23" s="8">
        <f>IF(OR(A23="",G23=""),"",COUNTIFS('Store Prices'!$A$5:$A$304,A23,'Store Prices'!$G$5:$G$304,"&lt;"&amp;G23)+1)</f>
        <v>0</v>
      </c>
      <c r="Q23" s="25"/>
    </row>
    <row r="24" spans="1:17">
      <c r="A24" s="7"/>
      <c r="B24" s="27"/>
      <c r="C24" s="8">
        <f>IF(A24="","",IFERROR(INDEX(Ingredients!$B$5:$B$304,MATCH(A24,Ingredients!$A$5:$A$304,0)),""))</f>
        <v>0</v>
      </c>
      <c r="D24" s="27"/>
      <c r="E24" s="28"/>
      <c r="F24" s="26"/>
      <c r="G24" s="8">
        <f>IF(OR(E24="",F24="",F24=0),"",E24/F24)</f>
        <v>0</v>
      </c>
      <c r="H24" s="30"/>
      <c r="I24" s="27"/>
      <c r="J24" s="28"/>
      <c r="K24" s="8">
        <f>IF(OR(E24="",J24=""),"",J24-E24)</f>
        <v>0</v>
      </c>
      <c r="L24" s="8">
        <f>IF(OR(K24="",J24="",J24=0),"",K24/J24)</f>
        <v>0</v>
      </c>
      <c r="M24" s="8">
        <f>IF(A24="","",IF(SUMPRODUCT(MIN(('Store Prices'!$A$5:$A$304=A24)*'Store Prices'!$G$5:$G$304+('Store Prices'!$A$5:$A$304&lt;&gt;A24)*1000000))&gt;=1000000,"",SUMPRODUCT(MIN(('Store Prices'!$A$5:$A$304=A24)*'Store Prices'!$G$5:$G$304+('Store Prices'!$A$5:$A$304&lt;&gt;A24)*1000000))))</f>
        <v>0</v>
      </c>
      <c r="N24" s="8">
        <f>IF(OR(A24="",G24="",M24=""),"",G24-M24)</f>
        <v>0</v>
      </c>
      <c r="O24" s="8">
        <f>IF(OR(A24="",G24=""),"",IF(G24=M24,"Best",""))</f>
        <v>0</v>
      </c>
      <c r="P24" s="8">
        <f>IF(OR(A24="",G24=""),"",COUNTIFS('Store Prices'!$A$5:$A$304,A24,'Store Prices'!$G$5:$G$304,"&lt;"&amp;G24)+1)</f>
        <v>0</v>
      </c>
      <c r="Q24" s="25"/>
    </row>
    <row r="25" spans="1:17">
      <c r="A25" s="7"/>
      <c r="B25" s="27"/>
      <c r="C25" s="8">
        <f>IF(A25="","",IFERROR(INDEX(Ingredients!$B$5:$B$304,MATCH(A25,Ingredients!$A$5:$A$304,0)),""))</f>
        <v>0</v>
      </c>
      <c r="D25" s="27"/>
      <c r="E25" s="28"/>
      <c r="F25" s="26"/>
      <c r="G25" s="8">
        <f>IF(OR(E25="",F25="",F25=0),"",E25/F25)</f>
        <v>0</v>
      </c>
      <c r="H25" s="30"/>
      <c r="I25" s="27"/>
      <c r="J25" s="28"/>
      <c r="K25" s="8">
        <f>IF(OR(E25="",J25=""),"",J25-E25)</f>
        <v>0</v>
      </c>
      <c r="L25" s="8">
        <f>IF(OR(K25="",J25="",J25=0),"",K25/J25)</f>
        <v>0</v>
      </c>
      <c r="M25" s="8">
        <f>IF(A25="","",IF(SUMPRODUCT(MIN(('Store Prices'!$A$5:$A$304=A25)*'Store Prices'!$G$5:$G$304+('Store Prices'!$A$5:$A$304&lt;&gt;A25)*1000000))&gt;=1000000,"",SUMPRODUCT(MIN(('Store Prices'!$A$5:$A$304=A25)*'Store Prices'!$G$5:$G$304+('Store Prices'!$A$5:$A$304&lt;&gt;A25)*1000000))))</f>
        <v>0</v>
      </c>
      <c r="N25" s="8">
        <f>IF(OR(A25="",G25="",M25=""),"",G25-M25)</f>
        <v>0</v>
      </c>
      <c r="O25" s="8">
        <f>IF(OR(A25="",G25=""),"",IF(G25=M25,"Best",""))</f>
        <v>0</v>
      </c>
      <c r="P25" s="8">
        <f>IF(OR(A25="",G25=""),"",COUNTIFS('Store Prices'!$A$5:$A$304,A25,'Store Prices'!$G$5:$G$304,"&lt;"&amp;G25)+1)</f>
        <v>0</v>
      </c>
      <c r="Q25" s="25"/>
    </row>
    <row r="26" spans="1:17">
      <c r="A26" s="7"/>
      <c r="B26" s="27"/>
      <c r="C26" s="8">
        <f>IF(A26="","",IFERROR(INDEX(Ingredients!$B$5:$B$304,MATCH(A26,Ingredients!$A$5:$A$304,0)),""))</f>
        <v>0</v>
      </c>
      <c r="D26" s="27"/>
      <c r="E26" s="28"/>
      <c r="F26" s="26"/>
      <c r="G26" s="8">
        <f>IF(OR(E26="",F26="",F26=0),"",E26/F26)</f>
        <v>0</v>
      </c>
      <c r="H26" s="30"/>
      <c r="I26" s="27"/>
      <c r="J26" s="28"/>
      <c r="K26" s="8">
        <f>IF(OR(E26="",J26=""),"",J26-E26)</f>
        <v>0</v>
      </c>
      <c r="L26" s="8">
        <f>IF(OR(K26="",J26="",J26=0),"",K26/J26)</f>
        <v>0</v>
      </c>
      <c r="M26" s="8">
        <f>IF(A26="","",IF(SUMPRODUCT(MIN(('Store Prices'!$A$5:$A$304=A26)*'Store Prices'!$G$5:$G$304+('Store Prices'!$A$5:$A$304&lt;&gt;A26)*1000000))&gt;=1000000,"",SUMPRODUCT(MIN(('Store Prices'!$A$5:$A$304=A26)*'Store Prices'!$G$5:$G$304+('Store Prices'!$A$5:$A$304&lt;&gt;A26)*1000000))))</f>
        <v>0</v>
      </c>
      <c r="N26" s="8">
        <f>IF(OR(A26="",G26="",M26=""),"",G26-M26)</f>
        <v>0</v>
      </c>
      <c r="O26" s="8">
        <f>IF(OR(A26="",G26=""),"",IF(G26=M26,"Best",""))</f>
        <v>0</v>
      </c>
      <c r="P26" s="8">
        <f>IF(OR(A26="",G26=""),"",COUNTIFS('Store Prices'!$A$5:$A$304,A26,'Store Prices'!$G$5:$G$304,"&lt;"&amp;G26)+1)</f>
        <v>0</v>
      </c>
      <c r="Q26" s="25"/>
    </row>
    <row r="27" spans="1:17">
      <c r="A27" s="7"/>
      <c r="B27" s="27"/>
      <c r="C27" s="8">
        <f>IF(A27="","",IFERROR(INDEX(Ingredients!$B$5:$B$304,MATCH(A27,Ingredients!$A$5:$A$304,0)),""))</f>
        <v>0</v>
      </c>
      <c r="D27" s="27"/>
      <c r="E27" s="28"/>
      <c r="F27" s="26"/>
      <c r="G27" s="8">
        <f>IF(OR(E27="",F27="",F27=0),"",E27/F27)</f>
        <v>0</v>
      </c>
      <c r="H27" s="30"/>
      <c r="I27" s="27"/>
      <c r="J27" s="28"/>
      <c r="K27" s="8">
        <f>IF(OR(E27="",J27=""),"",J27-E27)</f>
        <v>0</v>
      </c>
      <c r="L27" s="8">
        <f>IF(OR(K27="",J27="",J27=0),"",K27/J27)</f>
        <v>0</v>
      </c>
      <c r="M27" s="8">
        <f>IF(A27="","",IF(SUMPRODUCT(MIN(('Store Prices'!$A$5:$A$304=A27)*'Store Prices'!$G$5:$G$304+('Store Prices'!$A$5:$A$304&lt;&gt;A27)*1000000))&gt;=1000000,"",SUMPRODUCT(MIN(('Store Prices'!$A$5:$A$304=A27)*'Store Prices'!$G$5:$G$304+('Store Prices'!$A$5:$A$304&lt;&gt;A27)*1000000))))</f>
        <v>0</v>
      </c>
      <c r="N27" s="8">
        <f>IF(OR(A27="",G27="",M27=""),"",G27-M27)</f>
        <v>0</v>
      </c>
      <c r="O27" s="8">
        <f>IF(OR(A27="",G27=""),"",IF(G27=M27,"Best",""))</f>
        <v>0</v>
      </c>
      <c r="P27" s="8">
        <f>IF(OR(A27="",G27=""),"",COUNTIFS('Store Prices'!$A$5:$A$304,A27,'Store Prices'!$G$5:$G$304,"&lt;"&amp;G27)+1)</f>
        <v>0</v>
      </c>
      <c r="Q27" s="25"/>
    </row>
    <row r="28" spans="1:17">
      <c r="A28" s="7"/>
      <c r="B28" s="27"/>
      <c r="C28" s="8">
        <f>IF(A28="","",IFERROR(INDEX(Ingredients!$B$5:$B$304,MATCH(A28,Ingredients!$A$5:$A$304,0)),""))</f>
        <v>0</v>
      </c>
      <c r="D28" s="27"/>
      <c r="E28" s="28"/>
      <c r="F28" s="26"/>
      <c r="G28" s="8">
        <f>IF(OR(E28="",F28="",F28=0),"",E28/F28)</f>
        <v>0</v>
      </c>
      <c r="H28" s="30"/>
      <c r="I28" s="27"/>
      <c r="J28" s="28"/>
      <c r="K28" s="8">
        <f>IF(OR(E28="",J28=""),"",J28-E28)</f>
        <v>0</v>
      </c>
      <c r="L28" s="8">
        <f>IF(OR(K28="",J28="",J28=0),"",K28/J28)</f>
        <v>0</v>
      </c>
      <c r="M28" s="8">
        <f>IF(A28="","",IF(SUMPRODUCT(MIN(('Store Prices'!$A$5:$A$304=A28)*'Store Prices'!$G$5:$G$304+('Store Prices'!$A$5:$A$304&lt;&gt;A28)*1000000))&gt;=1000000,"",SUMPRODUCT(MIN(('Store Prices'!$A$5:$A$304=A28)*'Store Prices'!$G$5:$G$304+('Store Prices'!$A$5:$A$304&lt;&gt;A28)*1000000))))</f>
        <v>0</v>
      </c>
      <c r="N28" s="8">
        <f>IF(OR(A28="",G28="",M28=""),"",G28-M28)</f>
        <v>0</v>
      </c>
      <c r="O28" s="8">
        <f>IF(OR(A28="",G28=""),"",IF(G28=M28,"Best",""))</f>
        <v>0</v>
      </c>
      <c r="P28" s="8">
        <f>IF(OR(A28="",G28=""),"",COUNTIFS('Store Prices'!$A$5:$A$304,A28,'Store Prices'!$G$5:$G$304,"&lt;"&amp;G28)+1)</f>
        <v>0</v>
      </c>
      <c r="Q28" s="25"/>
    </row>
    <row r="29" spans="1:17">
      <c r="A29" s="7"/>
      <c r="B29" s="27"/>
      <c r="C29" s="8">
        <f>IF(A29="","",IFERROR(INDEX(Ingredients!$B$5:$B$304,MATCH(A29,Ingredients!$A$5:$A$304,0)),""))</f>
        <v>0</v>
      </c>
      <c r="D29" s="27"/>
      <c r="E29" s="28"/>
      <c r="F29" s="26"/>
      <c r="G29" s="8">
        <f>IF(OR(E29="",F29="",F29=0),"",E29/F29)</f>
        <v>0</v>
      </c>
      <c r="H29" s="30"/>
      <c r="I29" s="27"/>
      <c r="J29" s="28"/>
      <c r="K29" s="8">
        <f>IF(OR(E29="",J29=""),"",J29-E29)</f>
        <v>0</v>
      </c>
      <c r="L29" s="8">
        <f>IF(OR(K29="",J29="",J29=0),"",K29/J29)</f>
        <v>0</v>
      </c>
      <c r="M29" s="8">
        <f>IF(A29="","",IF(SUMPRODUCT(MIN(('Store Prices'!$A$5:$A$304=A29)*'Store Prices'!$G$5:$G$304+('Store Prices'!$A$5:$A$304&lt;&gt;A29)*1000000))&gt;=1000000,"",SUMPRODUCT(MIN(('Store Prices'!$A$5:$A$304=A29)*'Store Prices'!$G$5:$G$304+('Store Prices'!$A$5:$A$304&lt;&gt;A29)*1000000))))</f>
        <v>0</v>
      </c>
      <c r="N29" s="8">
        <f>IF(OR(A29="",G29="",M29=""),"",G29-M29)</f>
        <v>0</v>
      </c>
      <c r="O29" s="8">
        <f>IF(OR(A29="",G29=""),"",IF(G29=M29,"Best",""))</f>
        <v>0</v>
      </c>
      <c r="P29" s="8">
        <f>IF(OR(A29="",G29=""),"",COUNTIFS('Store Prices'!$A$5:$A$304,A29,'Store Prices'!$G$5:$G$304,"&lt;"&amp;G29)+1)</f>
        <v>0</v>
      </c>
      <c r="Q29" s="25"/>
    </row>
    <row r="30" spans="1:17">
      <c r="A30" s="7"/>
      <c r="B30" s="27"/>
      <c r="C30" s="8">
        <f>IF(A30="","",IFERROR(INDEX(Ingredients!$B$5:$B$304,MATCH(A30,Ingredients!$A$5:$A$304,0)),""))</f>
        <v>0</v>
      </c>
      <c r="D30" s="27"/>
      <c r="E30" s="28"/>
      <c r="F30" s="26"/>
      <c r="G30" s="8">
        <f>IF(OR(E30="",F30="",F30=0),"",E30/F30)</f>
        <v>0</v>
      </c>
      <c r="H30" s="30"/>
      <c r="I30" s="27"/>
      <c r="J30" s="28"/>
      <c r="K30" s="8">
        <f>IF(OR(E30="",J30=""),"",J30-E30)</f>
        <v>0</v>
      </c>
      <c r="L30" s="8">
        <f>IF(OR(K30="",J30="",J30=0),"",K30/J30)</f>
        <v>0</v>
      </c>
      <c r="M30" s="8">
        <f>IF(A30="","",IF(SUMPRODUCT(MIN(('Store Prices'!$A$5:$A$304=A30)*'Store Prices'!$G$5:$G$304+('Store Prices'!$A$5:$A$304&lt;&gt;A30)*1000000))&gt;=1000000,"",SUMPRODUCT(MIN(('Store Prices'!$A$5:$A$304=A30)*'Store Prices'!$G$5:$G$304+('Store Prices'!$A$5:$A$304&lt;&gt;A30)*1000000))))</f>
        <v>0</v>
      </c>
      <c r="N30" s="8">
        <f>IF(OR(A30="",G30="",M30=""),"",G30-M30)</f>
        <v>0</v>
      </c>
      <c r="O30" s="8">
        <f>IF(OR(A30="",G30=""),"",IF(G30=M30,"Best",""))</f>
        <v>0</v>
      </c>
      <c r="P30" s="8">
        <f>IF(OR(A30="",G30=""),"",COUNTIFS('Store Prices'!$A$5:$A$304,A30,'Store Prices'!$G$5:$G$304,"&lt;"&amp;G30)+1)</f>
        <v>0</v>
      </c>
      <c r="Q30" s="25"/>
    </row>
    <row r="31" spans="1:17">
      <c r="A31" s="7"/>
      <c r="B31" s="27"/>
      <c r="C31" s="8">
        <f>IF(A31="","",IFERROR(INDEX(Ingredients!$B$5:$B$304,MATCH(A31,Ingredients!$A$5:$A$304,0)),""))</f>
        <v>0</v>
      </c>
      <c r="D31" s="27"/>
      <c r="E31" s="28"/>
      <c r="F31" s="26"/>
      <c r="G31" s="8">
        <f>IF(OR(E31="",F31="",F31=0),"",E31/F31)</f>
        <v>0</v>
      </c>
      <c r="H31" s="30"/>
      <c r="I31" s="27"/>
      <c r="J31" s="28"/>
      <c r="K31" s="8">
        <f>IF(OR(E31="",J31=""),"",J31-E31)</f>
        <v>0</v>
      </c>
      <c r="L31" s="8">
        <f>IF(OR(K31="",J31="",J31=0),"",K31/J31)</f>
        <v>0</v>
      </c>
      <c r="M31" s="8">
        <f>IF(A31="","",IF(SUMPRODUCT(MIN(('Store Prices'!$A$5:$A$304=A31)*'Store Prices'!$G$5:$G$304+('Store Prices'!$A$5:$A$304&lt;&gt;A31)*1000000))&gt;=1000000,"",SUMPRODUCT(MIN(('Store Prices'!$A$5:$A$304=A31)*'Store Prices'!$G$5:$G$304+('Store Prices'!$A$5:$A$304&lt;&gt;A31)*1000000))))</f>
        <v>0</v>
      </c>
      <c r="N31" s="8">
        <f>IF(OR(A31="",G31="",M31=""),"",G31-M31)</f>
        <v>0</v>
      </c>
      <c r="O31" s="8">
        <f>IF(OR(A31="",G31=""),"",IF(G31=M31,"Best",""))</f>
        <v>0</v>
      </c>
      <c r="P31" s="8">
        <f>IF(OR(A31="",G31=""),"",COUNTIFS('Store Prices'!$A$5:$A$304,A31,'Store Prices'!$G$5:$G$304,"&lt;"&amp;G31)+1)</f>
        <v>0</v>
      </c>
      <c r="Q31" s="25"/>
    </row>
    <row r="32" spans="1:17">
      <c r="A32" s="7"/>
      <c r="B32" s="27"/>
      <c r="C32" s="8">
        <f>IF(A32="","",IFERROR(INDEX(Ingredients!$B$5:$B$304,MATCH(A32,Ingredients!$A$5:$A$304,0)),""))</f>
        <v>0</v>
      </c>
      <c r="D32" s="27"/>
      <c r="E32" s="28"/>
      <c r="F32" s="26"/>
      <c r="G32" s="8">
        <f>IF(OR(E32="",F32="",F32=0),"",E32/F32)</f>
        <v>0</v>
      </c>
      <c r="H32" s="30"/>
      <c r="I32" s="27"/>
      <c r="J32" s="28"/>
      <c r="K32" s="8">
        <f>IF(OR(E32="",J32=""),"",J32-E32)</f>
        <v>0</v>
      </c>
      <c r="L32" s="8">
        <f>IF(OR(K32="",J32="",J32=0),"",K32/J32)</f>
        <v>0</v>
      </c>
      <c r="M32" s="8">
        <f>IF(A32="","",IF(SUMPRODUCT(MIN(('Store Prices'!$A$5:$A$304=A32)*'Store Prices'!$G$5:$G$304+('Store Prices'!$A$5:$A$304&lt;&gt;A32)*1000000))&gt;=1000000,"",SUMPRODUCT(MIN(('Store Prices'!$A$5:$A$304=A32)*'Store Prices'!$G$5:$G$304+('Store Prices'!$A$5:$A$304&lt;&gt;A32)*1000000))))</f>
        <v>0</v>
      </c>
      <c r="N32" s="8">
        <f>IF(OR(A32="",G32="",M32=""),"",G32-M32)</f>
        <v>0</v>
      </c>
      <c r="O32" s="8">
        <f>IF(OR(A32="",G32=""),"",IF(G32=M32,"Best",""))</f>
        <v>0</v>
      </c>
      <c r="P32" s="8">
        <f>IF(OR(A32="",G32=""),"",COUNTIFS('Store Prices'!$A$5:$A$304,A32,'Store Prices'!$G$5:$G$304,"&lt;"&amp;G32)+1)</f>
        <v>0</v>
      </c>
      <c r="Q32" s="25"/>
    </row>
    <row r="33" spans="1:17">
      <c r="A33" s="7"/>
      <c r="B33" s="27"/>
      <c r="C33" s="8">
        <f>IF(A33="","",IFERROR(INDEX(Ingredients!$B$5:$B$304,MATCH(A33,Ingredients!$A$5:$A$304,0)),""))</f>
        <v>0</v>
      </c>
      <c r="D33" s="27"/>
      <c r="E33" s="28"/>
      <c r="F33" s="26"/>
      <c r="G33" s="8">
        <f>IF(OR(E33="",F33="",F33=0),"",E33/F33)</f>
        <v>0</v>
      </c>
      <c r="H33" s="30"/>
      <c r="I33" s="27"/>
      <c r="J33" s="28"/>
      <c r="K33" s="8">
        <f>IF(OR(E33="",J33=""),"",J33-E33)</f>
        <v>0</v>
      </c>
      <c r="L33" s="8">
        <f>IF(OR(K33="",J33="",J33=0),"",K33/J33)</f>
        <v>0</v>
      </c>
      <c r="M33" s="8">
        <f>IF(A33="","",IF(SUMPRODUCT(MIN(('Store Prices'!$A$5:$A$304=A33)*'Store Prices'!$G$5:$G$304+('Store Prices'!$A$5:$A$304&lt;&gt;A33)*1000000))&gt;=1000000,"",SUMPRODUCT(MIN(('Store Prices'!$A$5:$A$304=A33)*'Store Prices'!$G$5:$G$304+('Store Prices'!$A$5:$A$304&lt;&gt;A33)*1000000))))</f>
        <v>0</v>
      </c>
      <c r="N33" s="8">
        <f>IF(OR(A33="",G33="",M33=""),"",G33-M33)</f>
        <v>0</v>
      </c>
      <c r="O33" s="8">
        <f>IF(OR(A33="",G33=""),"",IF(G33=M33,"Best",""))</f>
        <v>0</v>
      </c>
      <c r="P33" s="8">
        <f>IF(OR(A33="",G33=""),"",COUNTIFS('Store Prices'!$A$5:$A$304,A33,'Store Prices'!$G$5:$G$304,"&lt;"&amp;G33)+1)</f>
        <v>0</v>
      </c>
      <c r="Q33" s="25"/>
    </row>
    <row r="34" spans="1:17">
      <c r="A34" s="7"/>
      <c r="B34" s="27"/>
      <c r="C34" s="8">
        <f>IF(A34="","",IFERROR(INDEX(Ingredients!$B$5:$B$304,MATCH(A34,Ingredients!$A$5:$A$304,0)),""))</f>
        <v>0</v>
      </c>
      <c r="D34" s="27"/>
      <c r="E34" s="28"/>
      <c r="F34" s="26"/>
      <c r="G34" s="8">
        <f>IF(OR(E34="",F34="",F34=0),"",E34/F34)</f>
        <v>0</v>
      </c>
      <c r="H34" s="30"/>
      <c r="I34" s="27"/>
      <c r="J34" s="28"/>
      <c r="K34" s="8">
        <f>IF(OR(E34="",J34=""),"",J34-E34)</f>
        <v>0</v>
      </c>
      <c r="L34" s="8">
        <f>IF(OR(K34="",J34="",J34=0),"",K34/J34)</f>
        <v>0</v>
      </c>
      <c r="M34" s="8">
        <f>IF(A34="","",IF(SUMPRODUCT(MIN(('Store Prices'!$A$5:$A$304=A34)*'Store Prices'!$G$5:$G$304+('Store Prices'!$A$5:$A$304&lt;&gt;A34)*1000000))&gt;=1000000,"",SUMPRODUCT(MIN(('Store Prices'!$A$5:$A$304=A34)*'Store Prices'!$G$5:$G$304+('Store Prices'!$A$5:$A$304&lt;&gt;A34)*1000000))))</f>
        <v>0</v>
      </c>
      <c r="N34" s="8">
        <f>IF(OR(A34="",G34="",M34=""),"",G34-M34)</f>
        <v>0</v>
      </c>
      <c r="O34" s="8">
        <f>IF(OR(A34="",G34=""),"",IF(G34=M34,"Best",""))</f>
        <v>0</v>
      </c>
      <c r="P34" s="8">
        <f>IF(OR(A34="",G34=""),"",COUNTIFS('Store Prices'!$A$5:$A$304,A34,'Store Prices'!$G$5:$G$304,"&lt;"&amp;G34)+1)</f>
        <v>0</v>
      </c>
      <c r="Q34" s="25"/>
    </row>
    <row r="35" spans="1:17">
      <c r="A35" s="7"/>
      <c r="B35" s="27"/>
      <c r="C35" s="8">
        <f>IF(A35="","",IFERROR(INDEX(Ingredients!$B$5:$B$304,MATCH(A35,Ingredients!$A$5:$A$304,0)),""))</f>
        <v>0</v>
      </c>
      <c r="D35" s="27"/>
      <c r="E35" s="28"/>
      <c r="F35" s="26"/>
      <c r="G35" s="8">
        <f>IF(OR(E35="",F35="",F35=0),"",E35/F35)</f>
        <v>0</v>
      </c>
      <c r="H35" s="30"/>
      <c r="I35" s="27"/>
      <c r="J35" s="28"/>
      <c r="K35" s="8">
        <f>IF(OR(E35="",J35=""),"",J35-E35)</f>
        <v>0</v>
      </c>
      <c r="L35" s="8">
        <f>IF(OR(K35="",J35="",J35=0),"",K35/J35)</f>
        <v>0</v>
      </c>
      <c r="M35" s="8">
        <f>IF(A35="","",IF(SUMPRODUCT(MIN(('Store Prices'!$A$5:$A$304=A35)*'Store Prices'!$G$5:$G$304+('Store Prices'!$A$5:$A$304&lt;&gt;A35)*1000000))&gt;=1000000,"",SUMPRODUCT(MIN(('Store Prices'!$A$5:$A$304=A35)*'Store Prices'!$G$5:$G$304+('Store Prices'!$A$5:$A$304&lt;&gt;A35)*1000000))))</f>
        <v>0</v>
      </c>
      <c r="N35" s="8">
        <f>IF(OR(A35="",G35="",M35=""),"",G35-M35)</f>
        <v>0</v>
      </c>
      <c r="O35" s="8">
        <f>IF(OR(A35="",G35=""),"",IF(G35=M35,"Best",""))</f>
        <v>0</v>
      </c>
      <c r="P35" s="8">
        <f>IF(OR(A35="",G35=""),"",COUNTIFS('Store Prices'!$A$5:$A$304,A35,'Store Prices'!$G$5:$G$304,"&lt;"&amp;G35)+1)</f>
        <v>0</v>
      </c>
      <c r="Q35" s="25"/>
    </row>
    <row r="36" spans="1:17">
      <c r="A36" s="7"/>
      <c r="B36" s="27"/>
      <c r="C36" s="8">
        <f>IF(A36="","",IFERROR(INDEX(Ingredients!$B$5:$B$304,MATCH(A36,Ingredients!$A$5:$A$304,0)),""))</f>
        <v>0</v>
      </c>
      <c r="D36" s="27"/>
      <c r="E36" s="28"/>
      <c r="F36" s="26"/>
      <c r="G36" s="8">
        <f>IF(OR(E36="",F36="",F36=0),"",E36/F36)</f>
        <v>0</v>
      </c>
      <c r="H36" s="30"/>
      <c r="I36" s="27"/>
      <c r="J36" s="28"/>
      <c r="K36" s="8">
        <f>IF(OR(E36="",J36=""),"",J36-E36)</f>
        <v>0</v>
      </c>
      <c r="L36" s="8">
        <f>IF(OR(K36="",J36="",J36=0),"",K36/J36)</f>
        <v>0</v>
      </c>
      <c r="M36" s="8">
        <f>IF(A36="","",IF(SUMPRODUCT(MIN(('Store Prices'!$A$5:$A$304=A36)*'Store Prices'!$G$5:$G$304+('Store Prices'!$A$5:$A$304&lt;&gt;A36)*1000000))&gt;=1000000,"",SUMPRODUCT(MIN(('Store Prices'!$A$5:$A$304=A36)*'Store Prices'!$G$5:$G$304+('Store Prices'!$A$5:$A$304&lt;&gt;A36)*1000000))))</f>
        <v>0</v>
      </c>
      <c r="N36" s="8">
        <f>IF(OR(A36="",G36="",M36=""),"",G36-M36)</f>
        <v>0</v>
      </c>
      <c r="O36" s="8">
        <f>IF(OR(A36="",G36=""),"",IF(G36=M36,"Best",""))</f>
        <v>0</v>
      </c>
      <c r="P36" s="8">
        <f>IF(OR(A36="",G36=""),"",COUNTIFS('Store Prices'!$A$5:$A$304,A36,'Store Prices'!$G$5:$G$304,"&lt;"&amp;G36)+1)</f>
        <v>0</v>
      </c>
      <c r="Q36" s="25"/>
    </row>
    <row r="37" spans="1:17">
      <c r="A37" s="7"/>
      <c r="B37" s="27"/>
      <c r="C37" s="8">
        <f>IF(A37="","",IFERROR(INDEX(Ingredients!$B$5:$B$304,MATCH(A37,Ingredients!$A$5:$A$304,0)),""))</f>
        <v>0</v>
      </c>
      <c r="D37" s="27"/>
      <c r="E37" s="28"/>
      <c r="F37" s="26"/>
      <c r="G37" s="8">
        <f>IF(OR(E37="",F37="",F37=0),"",E37/F37)</f>
        <v>0</v>
      </c>
      <c r="H37" s="30"/>
      <c r="I37" s="27"/>
      <c r="J37" s="28"/>
      <c r="K37" s="8">
        <f>IF(OR(E37="",J37=""),"",J37-E37)</f>
        <v>0</v>
      </c>
      <c r="L37" s="8">
        <f>IF(OR(K37="",J37="",J37=0),"",K37/J37)</f>
        <v>0</v>
      </c>
      <c r="M37" s="8">
        <f>IF(A37="","",IF(SUMPRODUCT(MIN(('Store Prices'!$A$5:$A$304=A37)*'Store Prices'!$G$5:$G$304+('Store Prices'!$A$5:$A$304&lt;&gt;A37)*1000000))&gt;=1000000,"",SUMPRODUCT(MIN(('Store Prices'!$A$5:$A$304=A37)*'Store Prices'!$G$5:$G$304+('Store Prices'!$A$5:$A$304&lt;&gt;A37)*1000000))))</f>
        <v>0</v>
      </c>
      <c r="N37" s="8">
        <f>IF(OR(A37="",G37="",M37=""),"",G37-M37)</f>
        <v>0</v>
      </c>
      <c r="O37" s="8">
        <f>IF(OR(A37="",G37=""),"",IF(G37=M37,"Best",""))</f>
        <v>0</v>
      </c>
      <c r="P37" s="8">
        <f>IF(OR(A37="",G37=""),"",COUNTIFS('Store Prices'!$A$5:$A$304,A37,'Store Prices'!$G$5:$G$304,"&lt;"&amp;G37)+1)</f>
        <v>0</v>
      </c>
      <c r="Q37" s="25"/>
    </row>
    <row r="38" spans="1:17">
      <c r="A38" s="7"/>
      <c r="B38" s="27"/>
      <c r="C38" s="8">
        <f>IF(A38="","",IFERROR(INDEX(Ingredients!$B$5:$B$304,MATCH(A38,Ingredients!$A$5:$A$304,0)),""))</f>
        <v>0</v>
      </c>
      <c r="D38" s="27"/>
      <c r="E38" s="28"/>
      <c r="F38" s="26"/>
      <c r="G38" s="8">
        <f>IF(OR(E38="",F38="",F38=0),"",E38/F38)</f>
        <v>0</v>
      </c>
      <c r="H38" s="30"/>
      <c r="I38" s="27"/>
      <c r="J38" s="28"/>
      <c r="K38" s="8">
        <f>IF(OR(E38="",J38=""),"",J38-E38)</f>
        <v>0</v>
      </c>
      <c r="L38" s="8">
        <f>IF(OR(K38="",J38="",J38=0),"",K38/J38)</f>
        <v>0</v>
      </c>
      <c r="M38" s="8">
        <f>IF(A38="","",IF(SUMPRODUCT(MIN(('Store Prices'!$A$5:$A$304=A38)*'Store Prices'!$G$5:$G$304+('Store Prices'!$A$5:$A$304&lt;&gt;A38)*1000000))&gt;=1000000,"",SUMPRODUCT(MIN(('Store Prices'!$A$5:$A$304=A38)*'Store Prices'!$G$5:$G$304+('Store Prices'!$A$5:$A$304&lt;&gt;A38)*1000000))))</f>
        <v>0</v>
      </c>
      <c r="N38" s="8">
        <f>IF(OR(A38="",G38="",M38=""),"",G38-M38)</f>
        <v>0</v>
      </c>
      <c r="O38" s="8">
        <f>IF(OR(A38="",G38=""),"",IF(G38=M38,"Best",""))</f>
        <v>0</v>
      </c>
      <c r="P38" s="8">
        <f>IF(OR(A38="",G38=""),"",COUNTIFS('Store Prices'!$A$5:$A$304,A38,'Store Prices'!$G$5:$G$304,"&lt;"&amp;G38)+1)</f>
        <v>0</v>
      </c>
      <c r="Q38" s="25"/>
    </row>
    <row r="39" spans="1:17">
      <c r="A39" s="7"/>
      <c r="B39" s="27"/>
      <c r="C39" s="8">
        <f>IF(A39="","",IFERROR(INDEX(Ingredients!$B$5:$B$304,MATCH(A39,Ingredients!$A$5:$A$304,0)),""))</f>
        <v>0</v>
      </c>
      <c r="D39" s="27"/>
      <c r="E39" s="28"/>
      <c r="F39" s="26"/>
      <c r="G39" s="8">
        <f>IF(OR(E39="",F39="",F39=0),"",E39/F39)</f>
        <v>0</v>
      </c>
      <c r="H39" s="30"/>
      <c r="I39" s="27"/>
      <c r="J39" s="28"/>
      <c r="K39" s="8">
        <f>IF(OR(E39="",J39=""),"",J39-E39)</f>
        <v>0</v>
      </c>
      <c r="L39" s="8">
        <f>IF(OR(K39="",J39="",J39=0),"",K39/J39)</f>
        <v>0</v>
      </c>
      <c r="M39" s="8">
        <f>IF(A39="","",IF(SUMPRODUCT(MIN(('Store Prices'!$A$5:$A$304=A39)*'Store Prices'!$G$5:$G$304+('Store Prices'!$A$5:$A$304&lt;&gt;A39)*1000000))&gt;=1000000,"",SUMPRODUCT(MIN(('Store Prices'!$A$5:$A$304=A39)*'Store Prices'!$G$5:$G$304+('Store Prices'!$A$5:$A$304&lt;&gt;A39)*1000000))))</f>
        <v>0</v>
      </c>
      <c r="N39" s="8">
        <f>IF(OR(A39="",G39="",M39=""),"",G39-M39)</f>
        <v>0</v>
      </c>
      <c r="O39" s="8">
        <f>IF(OR(A39="",G39=""),"",IF(G39=M39,"Best",""))</f>
        <v>0</v>
      </c>
      <c r="P39" s="8">
        <f>IF(OR(A39="",G39=""),"",COUNTIFS('Store Prices'!$A$5:$A$304,A39,'Store Prices'!$G$5:$G$304,"&lt;"&amp;G39)+1)</f>
        <v>0</v>
      </c>
      <c r="Q39" s="25"/>
    </row>
    <row r="40" spans="1:17">
      <c r="A40" s="7"/>
      <c r="B40" s="27"/>
      <c r="C40" s="8">
        <f>IF(A40="","",IFERROR(INDEX(Ingredients!$B$5:$B$304,MATCH(A40,Ingredients!$A$5:$A$304,0)),""))</f>
        <v>0</v>
      </c>
      <c r="D40" s="27"/>
      <c r="E40" s="28"/>
      <c r="F40" s="26"/>
      <c r="G40" s="8">
        <f>IF(OR(E40="",F40="",F40=0),"",E40/F40)</f>
        <v>0</v>
      </c>
      <c r="H40" s="30"/>
      <c r="I40" s="27"/>
      <c r="J40" s="28"/>
      <c r="K40" s="8">
        <f>IF(OR(E40="",J40=""),"",J40-E40)</f>
        <v>0</v>
      </c>
      <c r="L40" s="8">
        <f>IF(OR(K40="",J40="",J40=0),"",K40/J40)</f>
        <v>0</v>
      </c>
      <c r="M40" s="8">
        <f>IF(A40="","",IF(SUMPRODUCT(MIN(('Store Prices'!$A$5:$A$304=A40)*'Store Prices'!$G$5:$G$304+('Store Prices'!$A$5:$A$304&lt;&gt;A40)*1000000))&gt;=1000000,"",SUMPRODUCT(MIN(('Store Prices'!$A$5:$A$304=A40)*'Store Prices'!$G$5:$G$304+('Store Prices'!$A$5:$A$304&lt;&gt;A40)*1000000))))</f>
        <v>0</v>
      </c>
      <c r="N40" s="8">
        <f>IF(OR(A40="",G40="",M40=""),"",G40-M40)</f>
        <v>0</v>
      </c>
      <c r="O40" s="8">
        <f>IF(OR(A40="",G40=""),"",IF(G40=M40,"Best",""))</f>
        <v>0</v>
      </c>
      <c r="P40" s="8">
        <f>IF(OR(A40="",G40=""),"",COUNTIFS('Store Prices'!$A$5:$A$304,A40,'Store Prices'!$G$5:$G$304,"&lt;"&amp;G40)+1)</f>
        <v>0</v>
      </c>
      <c r="Q40" s="25"/>
    </row>
    <row r="41" spans="1:17">
      <c r="A41" s="7"/>
      <c r="B41" s="27"/>
      <c r="C41" s="8">
        <f>IF(A41="","",IFERROR(INDEX(Ingredients!$B$5:$B$304,MATCH(A41,Ingredients!$A$5:$A$304,0)),""))</f>
        <v>0</v>
      </c>
      <c r="D41" s="27"/>
      <c r="E41" s="28"/>
      <c r="F41" s="26"/>
      <c r="G41" s="8">
        <f>IF(OR(E41="",F41="",F41=0),"",E41/F41)</f>
        <v>0</v>
      </c>
      <c r="H41" s="30"/>
      <c r="I41" s="27"/>
      <c r="J41" s="28"/>
      <c r="K41" s="8">
        <f>IF(OR(E41="",J41=""),"",J41-E41)</f>
        <v>0</v>
      </c>
      <c r="L41" s="8">
        <f>IF(OR(K41="",J41="",J41=0),"",K41/J41)</f>
        <v>0</v>
      </c>
      <c r="M41" s="8">
        <f>IF(A41="","",IF(SUMPRODUCT(MIN(('Store Prices'!$A$5:$A$304=A41)*'Store Prices'!$G$5:$G$304+('Store Prices'!$A$5:$A$304&lt;&gt;A41)*1000000))&gt;=1000000,"",SUMPRODUCT(MIN(('Store Prices'!$A$5:$A$304=A41)*'Store Prices'!$G$5:$G$304+('Store Prices'!$A$5:$A$304&lt;&gt;A41)*1000000))))</f>
        <v>0</v>
      </c>
      <c r="N41" s="8">
        <f>IF(OR(A41="",G41="",M41=""),"",G41-M41)</f>
        <v>0</v>
      </c>
      <c r="O41" s="8">
        <f>IF(OR(A41="",G41=""),"",IF(G41=M41,"Best",""))</f>
        <v>0</v>
      </c>
      <c r="P41" s="8">
        <f>IF(OR(A41="",G41=""),"",COUNTIFS('Store Prices'!$A$5:$A$304,A41,'Store Prices'!$G$5:$G$304,"&lt;"&amp;G41)+1)</f>
        <v>0</v>
      </c>
      <c r="Q41" s="25"/>
    </row>
    <row r="42" spans="1:17">
      <c r="A42" s="7"/>
      <c r="B42" s="27"/>
      <c r="C42" s="8">
        <f>IF(A42="","",IFERROR(INDEX(Ingredients!$B$5:$B$304,MATCH(A42,Ingredients!$A$5:$A$304,0)),""))</f>
        <v>0</v>
      </c>
      <c r="D42" s="27"/>
      <c r="E42" s="28"/>
      <c r="F42" s="26"/>
      <c r="G42" s="8">
        <f>IF(OR(E42="",F42="",F42=0),"",E42/F42)</f>
        <v>0</v>
      </c>
      <c r="H42" s="30"/>
      <c r="I42" s="27"/>
      <c r="J42" s="28"/>
      <c r="K42" s="8">
        <f>IF(OR(E42="",J42=""),"",J42-E42)</f>
        <v>0</v>
      </c>
      <c r="L42" s="8">
        <f>IF(OR(K42="",J42="",J42=0),"",K42/J42)</f>
        <v>0</v>
      </c>
      <c r="M42" s="8">
        <f>IF(A42="","",IF(SUMPRODUCT(MIN(('Store Prices'!$A$5:$A$304=A42)*'Store Prices'!$G$5:$G$304+('Store Prices'!$A$5:$A$304&lt;&gt;A42)*1000000))&gt;=1000000,"",SUMPRODUCT(MIN(('Store Prices'!$A$5:$A$304=A42)*'Store Prices'!$G$5:$G$304+('Store Prices'!$A$5:$A$304&lt;&gt;A42)*1000000))))</f>
        <v>0</v>
      </c>
      <c r="N42" s="8">
        <f>IF(OR(A42="",G42="",M42=""),"",G42-M42)</f>
        <v>0</v>
      </c>
      <c r="O42" s="8">
        <f>IF(OR(A42="",G42=""),"",IF(G42=M42,"Best",""))</f>
        <v>0</v>
      </c>
      <c r="P42" s="8">
        <f>IF(OR(A42="",G42=""),"",COUNTIFS('Store Prices'!$A$5:$A$304,A42,'Store Prices'!$G$5:$G$304,"&lt;"&amp;G42)+1)</f>
        <v>0</v>
      </c>
      <c r="Q42" s="25"/>
    </row>
    <row r="43" spans="1:17">
      <c r="A43" s="7"/>
      <c r="B43" s="27"/>
      <c r="C43" s="8">
        <f>IF(A43="","",IFERROR(INDEX(Ingredients!$B$5:$B$304,MATCH(A43,Ingredients!$A$5:$A$304,0)),""))</f>
        <v>0</v>
      </c>
      <c r="D43" s="27"/>
      <c r="E43" s="28"/>
      <c r="F43" s="26"/>
      <c r="G43" s="8">
        <f>IF(OR(E43="",F43="",F43=0),"",E43/F43)</f>
        <v>0</v>
      </c>
      <c r="H43" s="30"/>
      <c r="I43" s="27"/>
      <c r="J43" s="28"/>
      <c r="K43" s="8">
        <f>IF(OR(E43="",J43=""),"",J43-E43)</f>
        <v>0</v>
      </c>
      <c r="L43" s="8">
        <f>IF(OR(K43="",J43="",J43=0),"",K43/J43)</f>
        <v>0</v>
      </c>
      <c r="M43" s="8">
        <f>IF(A43="","",IF(SUMPRODUCT(MIN(('Store Prices'!$A$5:$A$304=A43)*'Store Prices'!$G$5:$G$304+('Store Prices'!$A$5:$A$304&lt;&gt;A43)*1000000))&gt;=1000000,"",SUMPRODUCT(MIN(('Store Prices'!$A$5:$A$304=A43)*'Store Prices'!$G$5:$G$304+('Store Prices'!$A$5:$A$304&lt;&gt;A43)*1000000))))</f>
        <v>0</v>
      </c>
      <c r="N43" s="8">
        <f>IF(OR(A43="",G43="",M43=""),"",G43-M43)</f>
        <v>0</v>
      </c>
      <c r="O43" s="8">
        <f>IF(OR(A43="",G43=""),"",IF(G43=M43,"Best",""))</f>
        <v>0</v>
      </c>
      <c r="P43" s="8">
        <f>IF(OR(A43="",G43=""),"",COUNTIFS('Store Prices'!$A$5:$A$304,A43,'Store Prices'!$G$5:$G$304,"&lt;"&amp;G43)+1)</f>
        <v>0</v>
      </c>
      <c r="Q43" s="25"/>
    </row>
    <row r="44" spans="1:17">
      <c r="A44" s="7"/>
      <c r="B44" s="27"/>
      <c r="C44" s="8">
        <f>IF(A44="","",IFERROR(INDEX(Ingredients!$B$5:$B$304,MATCH(A44,Ingredients!$A$5:$A$304,0)),""))</f>
        <v>0</v>
      </c>
      <c r="D44" s="27"/>
      <c r="E44" s="28"/>
      <c r="F44" s="26"/>
      <c r="G44" s="8">
        <f>IF(OR(E44="",F44="",F44=0),"",E44/F44)</f>
        <v>0</v>
      </c>
      <c r="H44" s="30"/>
      <c r="I44" s="27"/>
      <c r="J44" s="28"/>
      <c r="K44" s="8">
        <f>IF(OR(E44="",J44=""),"",J44-E44)</f>
        <v>0</v>
      </c>
      <c r="L44" s="8">
        <f>IF(OR(K44="",J44="",J44=0),"",K44/J44)</f>
        <v>0</v>
      </c>
      <c r="M44" s="8">
        <f>IF(A44="","",IF(SUMPRODUCT(MIN(('Store Prices'!$A$5:$A$304=A44)*'Store Prices'!$G$5:$G$304+('Store Prices'!$A$5:$A$304&lt;&gt;A44)*1000000))&gt;=1000000,"",SUMPRODUCT(MIN(('Store Prices'!$A$5:$A$304=A44)*'Store Prices'!$G$5:$G$304+('Store Prices'!$A$5:$A$304&lt;&gt;A44)*1000000))))</f>
        <v>0</v>
      </c>
      <c r="N44" s="8">
        <f>IF(OR(A44="",G44="",M44=""),"",G44-M44)</f>
        <v>0</v>
      </c>
      <c r="O44" s="8">
        <f>IF(OR(A44="",G44=""),"",IF(G44=M44,"Best",""))</f>
        <v>0</v>
      </c>
      <c r="P44" s="8">
        <f>IF(OR(A44="",G44=""),"",COUNTIFS('Store Prices'!$A$5:$A$304,A44,'Store Prices'!$G$5:$G$304,"&lt;"&amp;G44)+1)</f>
        <v>0</v>
      </c>
      <c r="Q44" s="25"/>
    </row>
    <row r="45" spans="1:17">
      <c r="A45" s="7"/>
      <c r="B45" s="27"/>
      <c r="C45" s="8">
        <f>IF(A45="","",IFERROR(INDEX(Ingredients!$B$5:$B$304,MATCH(A45,Ingredients!$A$5:$A$304,0)),""))</f>
        <v>0</v>
      </c>
      <c r="D45" s="27"/>
      <c r="E45" s="28"/>
      <c r="F45" s="26"/>
      <c r="G45" s="8">
        <f>IF(OR(E45="",F45="",F45=0),"",E45/F45)</f>
        <v>0</v>
      </c>
      <c r="H45" s="30"/>
      <c r="I45" s="27"/>
      <c r="J45" s="28"/>
      <c r="K45" s="8">
        <f>IF(OR(E45="",J45=""),"",J45-E45)</f>
        <v>0</v>
      </c>
      <c r="L45" s="8">
        <f>IF(OR(K45="",J45="",J45=0),"",K45/J45)</f>
        <v>0</v>
      </c>
      <c r="M45" s="8">
        <f>IF(A45="","",IF(SUMPRODUCT(MIN(('Store Prices'!$A$5:$A$304=A45)*'Store Prices'!$G$5:$G$304+('Store Prices'!$A$5:$A$304&lt;&gt;A45)*1000000))&gt;=1000000,"",SUMPRODUCT(MIN(('Store Prices'!$A$5:$A$304=A45)*'Store Prices'!$G$5:$G$304+('Store Prices'!$A$5:$A$304&lt;&gt;A45)*1000000))))</f>
        <v>0</v>
      </c>
      <c r="N45" s="8">
        <f>IF(OR(A45="",G45="",M45=""),"",G45-M45)</f>
        <v>0</v>
      </c>
      <c r="O45" s="8">
        <f>IF(OR(A45="",G45=""),"",IF(G45=M45,"Best",""))</f>
        <v>0</v>
      </c>
      <c r="P45" s="8">
        <f>IF(OR(A45="",G45=""),"",COUNTIFS('Store Prices'!$A$5:$A$304,A45,'Store Prices'!$G$5:$G$304,"&lt;"&amp;G45)+1)</f>
        <v>0</v>
      </c>
      <c r="Q45" s="25"/>
    </row>
    <row r="46" spans="1:17">
      <c r="A46" s="7"/>
      <c r="B46" s="27"/>
      <c r="C46" s="8">
        <f>IF(A46="","",IFERROR(INDEX(Ingredients!$B$5:$B$304,MATCH(A46,Ingredients!$A$5:$A$304,0)),""))</f>
        <v>0</v>
      </c>
      <c r="D46" s="27"/>
      <c r="E46" s="28"/>
      <c r="F46" s="26"/>
      <c r="G46" s="8">
        <f>IF(OR(E46="",F46="",F46=0),"",E46/F46)</f>
        <v>0</v>
      </c>
      <c r="H46" s="30"/>
      <c r="I46" s="27"/>
      <c r="J46" s="28"/>
      <c r="K46" s="8">
        <f>IF(OR(E46="",J46=""),"",J46-E46)</f>
        <v>0</v>
      </c>
      <c r="L46" s="8">
        <f>IF(OR(K46="",J46="",J46=0),"",K46/J46)</f>
        <v>0</v>
      </c>
      <c r="M46" s="8">
        <f>IF(A46="","",IF(SUMPRODUCT(MIN(('Store Prices'!$A$5:$A$304=A46)*'Store Prices'!$G$5:$G$304+('Store Prices'!$A$5:$A$304&lt;&gt;A46)*1000000))&gt;=1000000,"",SUMPRODUCT(MIN(('Store Prices'!$A$5:$A$304=A46)*'Store Prices'!$G$5:$G$304+('Store Prices'!$A$5:$A$304&lt;&gt;A46)*1000000))))</f>
        <v>0</v>
      </c>
      <c r="N46" s="8">
        <f>IF(OR(A46="",G46="",M46=""),"",G46-M46)</f>
        <v>0</v>
      </c>
      <c r="O46" s="8">
        <f>IF(OR(A46="",G46=""),"",IF(G46=M46,"Best",""))</f>
        <v>0</v>
      </c>
      <c r="P46" s="8">
        <f>IF(OR(A46="",G46=""),"",COUNTIFS('Store Prices'!$A$5:$A$304,A46,'Store Prices'!$G$5:$G$304,"&lt;"&amp;G46)+1)</f>
        <v>0</v>
      </c>
      <c r="Q46" s="25"/>
    </row>
    <row r="47" spans="1:17">
      <c r="A47" s="7"/>
      <c r="B47" s="27"/>
      <c r="C47" s="8">
        <f>IF(A47="","",IFERROR(INDEX(Ingredients!$B$5:$B$304,MATCH(A47,Ingredients!$A$5:$A$304,0)),""))</f>
        <v>0</v>
      </c>
      <c r="D47" s="27"/>
      <c r="E47" s="28"/>
      <c r="F47" s="26"/>
      <c r="G47" s="8">
        <f>IF(OR(E47="",F47="",F47=0),"",E47/F47)</f>
        <v>0</v>
      </c>
      <c r="H47" s="30"/>
      <c r="I47" s="27"/>
      <c r="J47" s="28"/>
      <c r="K47" s="8">
        <f>IF(OR(E47="",J47=""),"",J47-E47)</f>
        <v>0</v>
      </c>
      <c r="L47" s="8">
        <f>IF(OR(K47="",J47="",J47=0),"",K47/J47)</f>
        <v>0</v>
      </c>
      <c r="M47" s="8">
        <f>IF(A47="","",IF(SUMPRODUCT(MIN(('Store Prices'!$A$5:$A$304=A47)*'Store Prices'!$G$5:$G$304+('Store Prices'!$A$5:$A$304&lt;&gt;A47)*1000000))&gt;=1000000,"",SUMPRODUCT(MIN(('Store Prices'!$A$5:$A$304=A47)*'Store Prices'!$G$5:$G$304+('Store Prices'!$A$5:$A$304&lt;&gt;A47)*1000000))))</f>
        <v>0</v>
      </c>
      <c r="N47" s="8">
        <f>IF(OR(A47="",G47="",M47=""),"",G47-M47)</f>
        <v>0</v>
      </c>
      <c r="O47" s="8">
        <f>IF(OR(A47="",G47=""),"",IF(G47=M47,"Best",""))</f>
        <v>0</v>
      </c>
      <c r="P47" s="8">
        <f>IF(OR(A47="",G47=""),"",COUNTIFS('Store Prices'!$A$5:$A$304,A47,'Store Prices'!$G$5:$G$304,"&lt;"&amp;G47)+1)</f>
        <v>0</v>
      </c>
      <c r="Q47" s="25"/>
    </row>
    <row r="48" spans="1:17">
      <c r="A48" s="7"/>
      <c r="B48" s="27"/>
      <c r="C48" s="8">
        <f>IF(A48="","",IFERROR(INDEX(Ingredients!$B$5:$B$304,MATCH(A48,Ingredients!$A$5:$A$304,0)),""))</f>
        <v>0</v>
      </c>
      <c r="D48" s="27"/>
      <c r="E48" s="28"/>
      <c r="F48" s="26"/>
      <c r="G48" s="8">
        <f>IF(OR(E48="",F48="",F48=0),"",E48/F48)</f>
        <v>0</v>
      </c>
      <c r="H48" s="30"/>
      <c r="I48" s="27"/>
      <c r="J48" s="28"/>
      <c r="K48" s="8">
        <f>IF(OR(E48="",J48=""),"",J48-E48)</f>
        <v>0</v>
      </c>
      <c r="L48" s="8">
        <f>IF(OR(K48="",J48="",J48=0),"",K48/J48)</f>
        <v>0</v>
      </c>
      <c r="M48" s="8">
        <f>IF(A48="","",IF(SUMPRODUCT(MIN(('Store Prices'!$A$5:$A$304=A48)*'Store Prices'!$G$5:$G$304+('Store Prices'!$A$5:$A$304&lt;&gt;A48)*1000000))&gt;=1000000,"",SUMPRODUCT(MIN(('Store Prices'!$A$5:$A$304=A48)*'Store Prices'!$G$5:$G$304+('Store Prices'!$A$5:$A$304&lt;&gt;A48)*1000000))))</f>
        <v>0</v>
      </c>
      <c r="N48" s="8">
        <f>IF(OR(A48="",G48="",M48=""),"",G48-M48)</f>
        <v>0</v>
      </c>
      <c r="O48" s="8">
        <f>IF(OR(A48="",G48=""),"",IF(G48=M48,"Best",""))</f>
        <v>0</v>
      </c>
      <c r="P48" s="8">
        <f>IF(OR(A48="",G48=""),"",COUNTIFS('Store Prices'!$A$5:$A$304,A48,'Store Prices'!$G$5:$G$304,"&lt;"&amp;G48)+1)</f>
        <v>0</v>
      </c>
      <c r="Q48" s="25"/>
    </row>
    <row r="49" spans="1:17">
      <c r="A49" s="7"/>
      <c r="B49" s="27"/>
      <c r="C49" s="8">
        <f>IF(A49="","",IFERROR(INDEX(Ingredients!$B$5:$B$304,MATCH(A49,Ingredients!$A$5:$A$304,0)),""))</f>
        <v>0</v>
      </c>
      <c r="D49" s="27"/>
      <c r="E49" s="28"/>
      <c r="F49" s="26"/>
      <c r="G49" s="8">
        <f>IF(OR(E49="",F49="",F49=0),"",E49/F49)</f>
        <v>0</v>
      </c>
      <c r="H49" s="30"/>
      <c r="I49" s="27"/>
      <c r="J49" s="28"/>
      <c r="K49" s="8">
        <f>IF(OR(E49="",J49=""),"",J49-E49)</f>
        <v>0</v>
      </c>
      <c r="L49" s="8">
        <f>IF(OR(K49="",J49="",J49=0),"",K49/J49)</f>
        <v>0</v>
      </c>
      <c r="M49" s="8">
        <f>IF(A49="","",IF(SUMPRODUCT(MIN(('Store Prices'!$A$5:$A$304=A49)*'Store Prices'!$G$5:$G$304+('Store Prices'!$A$5:$A$304&lt;&gt;A49)*1000000))&gt;=1000000,"",SUMPRODUCT(MIN(('Store Prices'!$A$5:$A$304=A49)*'Store Prices'!$G$5:$G$304+('Store Prices'!$A$5:$A$304&lt;&gt;A49)*1000000))))</f>
        <v>0</v>
      </c>
      <c r="N49" s="8">
        <f>IF(OR(A49="",G49="",M49=""),"",G49-M49)</f>
        <v>0</v>
      </c>
      <c r="O49" s="8">
        <f>IF(OR(A49="",G49=""),"",IF(G49=M49,"Best",""))</f>
        <v>0</v>
      </c>
      <c r="P49" s="8">
        <f>IF(OR(A49="",G49=""),"",COUNTIFS('Store Prices'!$A$5:$A$304,A49,'Store Prices'!$G$5:$G$304,"&lt;"&amp;G49)+1)</f>
        <v>0</v>
      </c>
      <c r="Q49" s="25"/>
    </row>
    <row r="50" spans="1:17">
      <c r="A50" s="7"/>
      <c r="B50" s="27"/>
      <c r="C50" s="8">
        <f>IF(A50="","",IFERROR(INDEX(Ingredients!$B$5:$B$304,MATCH(A50,Ingredients!$A$5:$A$304,0)),""))</f>
        <v>0</v>
      </c>
      <c r="D50" s="27"/>
      <c r="E50" s="28"/>
      <c r="F50" s="26"/>
      <c r="G50" s="8">
        <f>IF(OR(E50="",F50="",F50=0),"",E50/F50)</f>
        <v>0</v>
      </c>
      <c r="H50" s="30"/>
      <c r="I50" s="27"/>
      <c r="J50" s="28"/>
      <c r="K50" s="8">
        <f>IF(OR(E50="",J50=""),"",J50-E50)</f>
        <v>0</v>
      </c>
      <c r="L50" s="8">
        <f>IF(OR(K50="",J50="",J50=0),"",K50/J50)</f>
        <v>0</v>
      </c>
      <c r="M50" s="8">
        <f>IF(A50="","",IF(SUMPRODUCT(MIN(('Store Prices'!$A$5:$A$304=A50)*'Store Prices'!$G$5:$G$304+('Store Prices'!$A$5:$A$304&lt;&gt;A50)*1000000))&gt;=1000000,"",SUMPRODUCT(MIN(('Store Prices'!$A$5:$A$304=A50)*'Store Prices'!$G$5:$G$304+('Store Prices'!$A$5:$A$304&lt;&gt;A50)*1000000))))</f>
        <v>0</v>
      </c>
      <c r="N50" s="8">
        <f>IF(OR(A50="",G50="",M50=""),"",G50-M50)</f>
        <v>0</v>
      </c>
      <c r="O50" s="8">
        <f>IF(OR(A50="",G50=""),"",IF(G50=M50,"Best",""))</f>
        <v>0</v>
      </c>
      <c r="P50" s="8">
        <f>IF(OR(A50="",G50=""),"",COUNTIFS('Store Prices'!$A$5:$A$304,A50,'Store Prices'!$G$5:$G$304,"&lt;"&amp;G50)+1)</f>
        <v>0</v>
      </c>
      <c r="Q50" s="25"/>
    </row>
    <row r="51" spans="1:17">
      <c r="A51" s="7"/>
      <c r="B51" s="27"/>
      <c r="C51" s="8">
        <f>IF(A51="","",IFERROR(INDEX(Ingredients!$B$5:$B$304,MATCH(A51,Ingredients!$A$5:$A$304,0)),""))</f>
        <v>0</v>
      </c>
      <c r="D51" s="27"/>
      <c r="E51" s="28"/>
      <c r="F51" s="26"/>
      <c r="G51" s="8">
        <f>IF(OR(E51="",F51="",F51=0),"",E51/F51)</f>
        <v>0</v>
      </c>
      <c r="H51" s="30"/>
      <c r="I51" s="27"/>
      <c r="J51" s="28"/>
      <c r="K51" s="8">
        <f>IF(OR(E51="",J51=""),"",J51-E51)</f>
        <v>0</v>
      </c>
      <c r="L51" s="8">
        <f>IF(OR(K51="",J51="",J51=0),"",K51/J51)</f>
        <v>0</v>
      </c>
      <c r="M51" s="8">
        <f>IF(A51="","",IF(SUMPRODUCT(MIN(('Store Prices'!$A$5:$A$304=A51)*'Store Prices'!$G$5:$G$304+('Store Prices'!$A$5:$A$304&lt;&gt;A51)*1000000))&gt;=1000000,"",SUMPRODUCT(MIN(('Store Prices'!$A$5:$A$304=A51)*'Store Prices'!$G$5:$G$304+('Store Prices'!$A$5:$A$304&lt;&gt;A51)*1000000))))</f>
        <v>0</v>
      </c>
      <c r="N51" s="8">
        <f>IF(OR(A51="",G51="",M51=""),"",G51-M51)</f>
        <v>0</v>
      </c>
      <c r="O51" s="8">
        <f>IF(OR(A51="",G51=""),"",IF(G51=M51,"Best",""))</f>
        <v>0</v>
      </c>
      <c r="P51" s="8">
        <f>IF(OR(A51="",G51=""),"",COUNTIFS('Store Prices'!$A$5:$A$304,A51,'Store Prices'!$G$5:$G$304,"&lt;"&amp;G51)+1)</f>
        <v>0</v>
      </c>
      <c r="Q51" s="25"/>
    </row>
    <row r="52" spans="1:17">
      <c r="A52" s="7"/>
      <c r="B52" s="27"/>
      <c r="C52" s="8">
        <f>IF(A52="","",IFERROR(INDEX(Ingredients!$B$5:$B$304,MATCH(A52,Ingredients!$A$5:$A$304,0)),""))</f>
        <v>0</v>
      </c>
      <c r="D52" s="27"/>
      <c r="E52" s="28"/>
      <c r="F52" s="26"/>
      <c r="G52" s="8">
        <f>IF(OR(E52="",F52="",F52=0),"",E52/F52)</f>
        <v>0</v>
      </c>
      <c r="H52" s="30"/>
      <c r="I52" s="27"/>
      <c r="J52" s="28"/>
      <c r="K52" s="8">
        <f>IF(OR(E52="",J52=""),"",J52-E52)</f>
        <v>0</v>
      </c>
      <c r="L52" s="8">
        <f>IF(OR(K52="",J52="",J52=0),"",K52/J52)</f>
        <v>0</v>
      </c>
      <c r="M52" s="8">
        <f>IF(A52="","",IF(SUMPRODUCT(MIN(('Store Prices'!$A$5:$A$304=A52)*'Store Prices'!$G$5:$G$304+('Store Prices'!$A$5:$A$304&lt;&gt;A52)*1000000))&gt;=1000000,"",SUMPRODUCT(MIN(('Store Prices'!$A$5:$A$304=A52)*'Store Prices'!$G$5:$G$304+('Store Prices'!$A$5:$A$304&lt;&gt;A52)*1000000))))</f>
        <v>0</v>
      </c>
      <c r="N52" s="8">
        <f>IF(OR(A52="",G52="",M52=""),"",G52-M52)</f>
        <v>0</v>
      </c>
      <c r="O52" s="8">
        <f>IF(OR(A52="",G52=""),"",IF(G52=M52,"Best",""))</f>
        <v>0</v>
      </c>
      <c r="P52" s="8">
        <f>IF(OR(A52="",G52=""),"",COUNTIFS('Store Prices'!$A$5:$A$304,A52,'Store Prices'!$G$5:$G$304,"&lt;"&amp;G52)+1)</f>
        <v>0</v>
      </c>
      <c r="Q52" s="25"/>
    </row>
    <row r="53" spans="1:17">
      <c r="A53" s="7"/>
      <c r="B53" s="27"/>
      <c r="C53" s="8">
        <f>IF(A53="","",IFERROR(INDEX(Ingredients!$B$5:$B$304,MATCH(A53,Ingredients!$A$5:$A$304,0)),""))</f>
        <v>0</v>
      </c>
      <c r="D53" s="27"/>
      <c r="E53" s="28"/>
      <c r="F53" s="26"/>
      <c r="G53" s="8">
        <f>IF(OR(E53="",F53="",F53=0),"",E53/F53)</f>
        <v>0</v>
      </c>
      <c r="H53" s="30"/>
      <c r="I53" s="27"/>
      <c r="J53" s="28"/>
      <c r="K53" s="8">
        <f>IF(OR(E53="",J53=""),"",J53-E53)</f>
        <v>0</v>
      </c>
      <c r="L53" s="8">
        <f>IF(OR(K53="",J53="",J53=0),"",K53/J53)</f>
        <v>0</v>
      </c>
      <c r="M53" s="8">
        <f>IF(A53="","",IF(SUMPRODUCT(MIN(('Store Prices'!$A$5:$A$304=A53)*'Store Prices'!$G$5:$G$304+('Store Prices'!$A$5:$A$304&lt;&gt;A53)*1000000))&gt;=1000000,"",SUMPRODUCT(MIN(('Store Prices'!$A$5:$A$304=A53)*'Store Prices'!$G$5:$G$304+('Store Prices'!$A$5:$A$304&lt;&gt;A53)*1000000))))</f>
        <v>0</v>
      </c>
      <c r="N53" s="8">
        <f>IF(OR(A53="",G53="",M53=""),"",G53-M53)</f>
        <v>0</v>
      </c>
      <c r="O53" s="8">
        <f>IF(OR(A53="",G53=""),"",IF(G53=M53,"Best",""))</f>
        <v>0</v>
      </c>
      <c r="P53" s="8">
        <f>IF(OR(A53="",G53=""),"",COUNTIFS('Store Prices'!$A$5:$A$304,A53,'Store Prices'!$G$5:$G$304,"&lt;"&amp;G53)+1)</f>
        <v>0</v>
      </c>
      <c r="Q53" s="25"/>
    </row>
    <row r="54" spans="1:17">
      <c r="A54" s="7"/>
      <c r="B54" s="27"/>
      <c r="C54" s="8">
        <f>IF(A54="","",IFERROR(INDEX(Ingredients!$B$5:$B$304,MATCH(A54,Ingredients!$A$5:$A$304,0)),""))</f>
        <v>0</v>
      </c>
      <c r="D54" s="27"/>
      <c r="E54" s="28"/>
      <c r="F54" s="26"/>
      <c r="G54" s="8">
        <f>IF(OR(E54="",F54="",F54=0),"",E54/F54)</f>
        <v>0</v>
      </c>
      <c r="H54" s="30"/>
      <c r="I54" s="27"/>
      <c r="J54" s="28"/>
      <c r="K54" s="8">
        <f>IF(OR(E54="",J54=""),"",J54-E54)</f>
        <v>0</v>
      </c>
      <c r="L54" s="8">
        <f>IF(OR(K54="",J54="",J54=0),"",K54/J54)</f>
        <v>0</v>
      </c>
      <c r="M54" s="8">
        <f>IF(A54="","",IF(SUMPRODUCT(MIN(('Store Prices'!$A$5:$A$304=A54)*'Store Prices'!$G$5:$G$304+('Store Prices'!$A$5:$A$304&lt;&gt;A54)*1000000))&gt;=1000000,"",SUMPRODUCT(MIN(('Store Prices'!$A$5:$A$304=A54)*'Store Prices'!$G$5:$G$304+('Store Prices'!$A$5:$A$304&lt;&gt;A54)*1000000))))</f>
        <v>0</v>
      </c>
      <c r="N54" s="8">
        <f>IF(OR(A54="",G54="",M54=""),"",G54-M54)</f>
        <v>0</v>
      </c>
      <c r="O54" s="8">
        <f>IF(OR(A54="",G54=""),"",IF(G54=M54,"Best",""))</f>
        <v>0</v>
      </c>
      <c r="P54" s="8">
        <f>IF(OR(A54="",G54=""),"",COUNTIFS('Store Prices'!$A$5:$A$304,A54,'Store Prices'!$G$5:$G$304,"&lt;"&amp;G54)+1)</f>
        <v>0</v>
      </c>
      <c r="Q54" s="25"/>
    </row>
    <row r="55" spans="1:17">
      <c r="A55" s="7"/>
      <c r="B55" s="27"/>
      <c r="C55" s="8">
        <f>IF(A55="","",IFERROR(INDEX(Ingredients!$B$5:$B$304,MATCH(A55,Ingredients!$A$5:$A$304,0)),""))</f>
        <v>0</v>
      </c>
      <c r="D55" s="27"/>
      <c r="E55" s="28"/>
      <c r="F55" s="26"/>
      <c r="G55" s="8">
        <f>IF(OR(E55="",F55="",F55=0),"",E55/F55)</f>
        <v>0</v>
      </c>
      <c r="H55" s="30"/>
      <c r="I55" s="27"/>
      <c r="J55" s="28"/>
      <c r="K55" s="8">
        <f>IF(OR(E55="",J55=""),"",J55-E55)</f>
        <v>0</v>
      </c>
      <c r="L55" s="8">
        <f>IF(OR(K55="",J55="",J55=0),"",K55/J55)</f>
        <v>0</v>
      </c>
      <c r="M55" s="8">
        <f>IF(A55="","",IF(SUMPRODUCT(MIN(('Store Prices'!$A$5:$A$304=A55)*'Store Prices'!$G$5:$G$304+('Store Prices'!$A$5:$A$304&lt;&gt;A55)*1000000))&gt;=1000000,"",SUMPRODUCT(MIN(('Store Prices'!$A$5:$A$304=A55)*'Store Prices'!$G$5:$G$304+('Store Prices'!$A$5:$A$304&lt;&gt;A55)*1000000))))</f>
        <v>0</v>
      </c>
      <c r="N55" s="8">
        <f>IF(OR(A55="",G55="",M55=""),"",G55-M55)</f>
        <v>0</v>
      </c>
      <c r="O55" s="8">
        <f>IF(OR(A55="",G55=""),"",IF(G55=M55,"Best",""))</f>
        <v>0</v>
      </c>
      <c r="P55" s="8">
        <f>IF(OR(A55="",G55=""),"",COUNTIFS('Store Prices'!$A$5:$A$304,A55,'Store Prices'!$G$5:$G$304,"&lt;"&amp;G55)+1)</f>
        <v>0</v>
      </c>
      <c r="Q55" s="25"/>
    </row>
    <row r="56" spans="1:17">
      <c r="A56" s="7"/>
      <c r="B56" s="27"/>
      <c r="C56" s="8">
        <f>IF(A56="","",IFERROR(INDEX(Ingredients!$B$5:$B$304,MATCH(A56,Ingredients!$A$5:$A$304,0)),""))</f>
        <v>0</v>
      </c>
      <c r="D56" s="27"/>
      <c r="E56" s="28"/>
      <c r="F56" s="26"/>
      <c r="G56" s="8">
        <f>IF(OR(E56="",F56="",F56=0),"",E56/F56)</f>
        <v>0</v>
      </c>
      <c r="H56" s="30"/>
      <c r="I56" s="27"/>
      <c r="J56" s="28"/>
      <c r="K56" s="8">
        <f>IF(OR(E56="",J56=""),"",J56-E56)</f>
        <v>0</v>
      </c>
      <c r="L56" s="8">
        <f>IF(OR(K56="",J56="",J56=0),"",K56/J56)</f>
        <v>0</v>
      </c>
      <c r="M56" s="8">
        <f>IF(A56="","",IF(SUMPRODUCT(MIN(('Store Prices'!$A$5:$A$304=A56)*'Store Prices'!$G$5:$G$304+('Store Prices'!$A$5:$A$304&lt;&gt;A56)*1000000))&gt;=1000000,"",SUMPRODUCT(MIN(('Store Prices'!$A$5:$A$304=A56)*'Store Prices'!$G$5:$G$304+('Store Prices'!$A$5:$A$304&lt;&gt;A56)*1000000))))</f>
        <v>0</v>
      </c>
      <c r="N56" s="8">
        <f>IF(OR(A56="",G56="",M56=""),"",G56-M56)</f>
        <v>0</v>
      </c>
      <c r="O56" s="8">
        <f>IF(OR(A56="",G56=""),"",IF(G56=M56,"Best",""))</f>
        <v>0</v>
      </c>
      <c r="P56" s="8">
        <f>IF(OR(A56="",G56=""),"",COUNTIFS('Store Prices'!$A$5:$A$304,A56,'Store Prices'!$G$5:$G$304,"&lt;"&amp;G56)+1)</f>
        <v>0</v>
      </c>
      <c r="Q56" s="25"/>
    </row>
    <row r="57" spans="1:17">
      <c r="A57" s="7"/>
      <c r="B57" s="27"/>
      <c r="C57" s="8">
        <f>IF(A57="","",IFERROR(INDEX(Ingredients!$B$5:$B$304,MATCH(A57,Ingredients!$A$5:$A$304,0)),""))</f>
        <v>0</v>
      </c>
      <c r="D57" s="27"/>
      <c r="E57" s="28"/>
      <c r="F57" s="26"/>
      <c r="G57" s="8">
        <f>IF(OR(E57="",F57="",F57=0),"",E57/F57)</f>
        <v>0</v>
      </c>
      <c r="H57" s="30"/>
      <c r="I57" s="27"/>
      <c r="J57" s="28"/>
      <c r="K57" s="8">
        <f>IF(OR(E57="",J57=""),"",J57-E57)</f>
        <v>0</v>
      </c>
      <c r="L57" s="8">
        <f>IF(OR(K57="",J57="",J57=0),"",K57/J57)</f>
        <v>0</v>
      </c>
      <c r="M57" s="8">
        <f>IF(A57="","",IF(SUMPRODUCT(MIN(('Store Prices'!$A$5:$A$304=A57)*'Store Prices'!$G$5:$G$304+('Store Prices'!$A$5:$A$304&lt;&gt;A57)*1000000))&gt;=1000000,"",SUMPRODUCT(MIN(('Store Prices'!$A$5:$A$304=A57)*'Store Prices'!$G$5:$G$304+('Store Prices'!$A$5:$A$304&lt;&gt;A57)*1000000))))</f>
        <v>0</v>
      </c>
      <c r="N57" s="8">
        <f>IF(OR(A57="",G57="",M57=""),"",G57-M57)</f>
        <v>0</v>
      </c>
      <c r="O57" s="8">
        <f>IF(OR(A57="",G57=""),"",IF(G57=M57,"Best",""))</f>
        <v>0</v>
      </c>
      <c r="P57" s="8">
        <f>IF(OR(A57="",G57=""),"",COUNTIFS('Store Prices'!$A$5:$A$304,A57,'Store Prices'!$G$5:$G$304,"&lt;"&amp;G57)+1)</f>
        <v>0</v>
      </c>
      <c r="Q57" s="25"/>
    </row>
    <row r="58" spans="1:17">
      <c r="A58" s="7"/>
      <c r="B58" s="27"/>
      <c r="C58" s="8">
        <f>IF(A58="","",IFERROR(INDEX(Ingredients!$B$5:$B$304,MATCH(A58,Ingredients!$A$5:$A$304,0)),""))</f>
        <v>0</v>
      </c>
      <c r="D58" s="27"/>
      <c r="E58" s="28"/>
      <c r="F58" s="26"/>
      <c r="G58" s="8">
        <f>IF(OR(E58="",F58="",F58=0),"",E58/F58)</f>
        <v>0</v>
      </c>
      <c r="H58" s="30"/>
      <c r="I58" s="27"/>
      <c r="J58" s="28"/>
      <c r="K58" s="8">
        <f>IF(OR(E58="",J58=""),"",J58-E58)</f>
        <v>0</v>
      </c>
      <c r="L58" s="8">
        <f>IF(OR(K58="",J58="",J58=0),"",K58/J58)</f>
        <v>0</v>
      </c>
      <c r="M58" s="8">
        <f>IF(A58="","",IF(SUMPRODUCT(MIN(('Store Prices'!$A$5:$A$304=A58)*'Store Prices'!$G$5:$G$304+('Store Prices'!$A$5:$A$304&lt;&gt;A58)*1000000))&gt;=1000000,"",SUMPRODUCT(MIN(('Store Prices'!$A$5:$A$304=A58)*'Store Prices'!$G$5:$G$304+('Store Prices'!$A$5:$A$304&lt;&gt;A58)*1000000))))</f>
        <v>0</v>
      </c>
      <c r="N58" s="8">
        <f>IF(OR(A58="",G58="",M58=""),"",G58-M58)</f>
        <v>0</v>
      </c>
      <c r="O58" s="8">
        <f>IF(OR(A58="",G58=""),"",IF(G58=M58,"Best",""))</f>
        <v>0</v>
      </c>
      <c r="P58" s="8">
        <f>IF(OR(A58="",G58=""),"",COUNTIFS('Store Prices'!$A$5:$A$304,A58,'Store Prices'!$G$5:$G$304,"&lt;"&amp;G58)+1)</f>
        <v>0</v>
      </c>
      <c r="Q58" s="25"/>
    </row>
    <row r="59" spans="1:17">
      <c r="A59" s="7"/>
      <c r="B59" s="27"/>
      <c r="C59" s="8">
        <f>IF(A59="","",IFERROR(INDEX(Ingredients!$B$5:$B$304,MATCH(A59,Ingredients!$A$5:$A$304,0)),""))</f>
        <v>0</v>
      </c>
      <c r="D59" s="27"/>
      <c r="E59" s="28"/>
      <c r="F59" s="26"/>
      <c r="G59" s="8">
        <f>IF(OR(E59="",F59="",F59=0),"",E59/F59)</f>
        <v>0</v>
      </c>
      <c r="H59" s="30"/>
      <c r="I59" s="27"/>
      <c r="J59" s="28"/>
      <c r="K59" s="8">
        <f>IF(OR(E59="",J59=""),"",J59-E59)</f>
        <v>0</v>
      </c>
      <c r="L59" s="8">
        <f>IF(OR(K59="",J59="",J59=0),"",K59/J59)</f>
        <v>0</v>
      </c>
      <c r="M59" s="8">
        <f>IF(A59="","",IF(SUMPRODUCT(MIN(('Store Prices'!$A$5:$A$304=A59)*'Store Prices'!$G$5:$G$304+('Store Prices'!$A$5:$A$304&lt;&gt;A59)*1000000))&gt;=1000000,"",SUMPRODUCT(MIN(('Store Prices'!$A$5:$A$304=A59)*'Store Prices'!$G$5:$G$304+('Store Prices'!$A$5:$A$304&lt;&gt;A59)*1000000))))</f>
        <v>0</v>
      </c>
      <c r="N59" s="8">
        <f>IF(OR(A59="",G59="",M59=""),"",G59-M59)</f>
        <v>0</v>
      </c>
      <c r="O59" s="8">
        <f>IF(OR(A59="",G59=""),"",IF(G59=M59,"Best",""))</f>
        <v>0</v>
      </c>
      <c r="P59" s="8">
        <f>IF(OR(A59="",G59=""),"",COUNTIFS('Store Prices'!$A$5:$A$304,A59,'Store Prices'!$G$5:$G$304,"&lt;"&amp;G59)+1)</f>
        <v>0</v>
      </c>
      <c r="Q59" s="25"/>
    </row>
    <row r="60" spans="1:17">
      <c r="A60" s="7"/>
      <c r="B60" s="27"/>
      <c r="C60" s="8">
        <f>IF(A60="","",IFERROR(INDEX(Ingredients!$B$5:$B$304,MATCH(A60,Ingredients!$A$5:$A$304,0)),""))</f>
        <v>0</v>
      </c>
      <c r="D60" s="27"/>
      <c r="E60" s="28"/>
      <c r="F60" s="26"/>
      <c r="G60" s="8">
        <f>IF(OR(E60="",F60="",F60=0),"",E60/F60)</f>
        <v>0</v>
      </c>
      <c r="H60" s="30"/>
      <c r="I60" s="27"/>
      <c r="J60" s="28"/>
      <c r="K60" s="8">
        <f>IF(OR(E60="",J60=""),"",J60-E60)</f>
        <v>0</v>
      </c>
      <c r="L60" s="8">
        <f>IF(OR(K60="",J60="",J60=0),"",K60/J60)</f>
        <v>0</v>
      </c>
      <c r="M60" s="8">
        <f>IF(A60="","",IF(SUMPRODUCT(MIN(('Store Prices'!$A$5:$A$304=A60)*'Store Prices'!$G$5:$G$304+('Store Prices'!$A$5:$A$304&lt;&gt;A60)*1000000))&gt;=1000000,"",SUMPRODUCT(MIN(('Store Prices'!$A$5:$A$304=A60)*'Store Prices'!$G$5:$G$304+('Store Prices'!$A$5:$A$304&lt;&gt;A60)*1000000))))</f>
        <v>0</v>
      </c>
      <c r="N60" s="8">
        <f>IF(OR(A60="",G60="",M60=""),"",G60-M60)</f>
        <v>0</v>
      </c>
      <c r="O60" s="8">
        <f>IF(OR(A60="",G60=""),"",IF(G60=M60,"Best",""))</f>
        <v>0</v>
      </c>
      <c r="P60" s="8">
        <f>IF(OR(A60="",G60=""),"",COUNTIFS('Store Prices'!$A$5:$A$304,A60,'Store Prices'!$G$5:$G$304,"&lt;"&amp;G60)+1)</f>
        <v>0</v>
      </c>
      <c r="Q60" s="25"/>
    </row>
    <row r="61" spans="1:17">
      <c r="A61" s="7"/>
      <c r="B61" s="27"/>
      <c r="C61" s="8">
        <f>IF(A61="","",IFERROR(INDEX(Ingredients!$B$5:$B$304,MATCH(A61,Ingredients!$A$5:$A$304,0)),""))</f>
        <v>0</v>
      </c>
      <c r="D61" s="27"/>
      <c r="E61" s="28"/>
      <c r="F61" s="26"/>
      <c r="G61" s="8">
        <f>IF(OR(E61="",F61="",F61=0),"",E61/F61)</f>
        <v>0</v>
      </c>
      <c r="H61" s="30"/>
      <c r="I61" s="27"/>
      <c r="J61" s="28"/>
      <c r="K61" s="8">
        <f>IF(OR(E61="",J61=""),"",J61-E61)</f>
        <v>0</v>
      </c>
      <c r="L61" s="8">
        <f>IF(OR(K61="",J61="",J61=0),"",K61/J61)</f>
        <v>0</v>
      </c>
      <c r="M61" s="8">
        <f>IF(A61="","",IF(SUMPRODUCT(MIN(('Store Prices'!$A$5:$A$304=A61)*'Store Prices'!$G$5:$G$304+('Store Prices'!$A$5:$A$304&lt;&gt;A61)*1000000))&gt;=1000000,"",SUMPRODUCT(MIN(('Store Prices'!$A$5:$A$304=A61)*'Store Prices'!$G$5:$G$304+('Store Prices'!$A$5:$A$304&lt;&gt;A61)*1000000))))</f>
        <v>0</v>
      </c>
      <c r="N61" s="8">
        <f>IF(OR(A61="",G61="",M61=""),"",G61-M61)</f>
        <v>0</v>
      </c>
      <c r="O61" s="8">
        <f>IF(OR(A61="",G61=""),"",IF(G61=M61,"Best",""))</f>
        <v>0</v>
      </c>
      <c r="P61" s="8">
        <f>IF(OR(A61="",G61=""),"",COUNTIFS('Store Prices'!$A$5:$A$304,A61,'Store Prices'!$G$5:$G$304,"&lt;"&amp;G61)+1)</f>
        <v>0</v>
      </c>
      <c r="Q61" s="25"/>
    </row>
    <row r="62" spans="1:17">
      <c r="A62" s="7"/>
      <c r="B62" s="27"/>
      <c r="C62" s="8">
        <f>IF(A62="","",IFERROR(INDEX(Ingredients!$B$5:$B$304,MATCH(A62,Ingredients!$A$5:$A$304,0)),""))</f>
        <v>0</v>
      </c>
      <c r="D62" s="27"/>
      <c r="E62" s="28"/>
      <c r="F62" s="26"/>
      <c r="G62" s="8">
        <f>IF(OR(E62="",F62="",F62=0),"",E62/F62)</f>
        <v>0</v>
      </c>
      <c r="H62" s="30"/>
      <c r="I62" s="27"/>
      <c r="J62" s="28"/>
      <c r="K62" s="8">
        <f>IF(OR(E62="",J62=""),"",J62-E62)</f>
        <v>0</v>
      </c>
      <c r="L62" s="8">
        <f>IF(OR(K62="",J62="",J62=0),"",K62/J62)</f>
        <v>0</v>
      </c>
      <c r="M62" s="8">
        <f>IF(A62="","",IF(SUMPRODUCT(MIN(('Store Prices'!$A$5:$A$304=A62)*'Store Prices'!$G$5:$G$304+('Store Prices'!$A$5:$A$304&lt;&gt;A62)*1000000))&gt;=1000000,"",SUMPRODUCT(MIN(('Store Prices'!$A$5:$A$304=A62)*'Store Prices'!$G$5:$G$304+('Store Prices'!$A$5:$A$304&lt;&gt;A62)*1000000))))</f>
        <v>0</v>
      </c>
      <c r="N62" s="8">
        <f>IF(OR(A62="",G62="",M62=""),"",G62-M62)</f>
        <v>0</v>
      </c>
      <c r="O62" s="8">
        <f>IF(OR(A62="",G62=""),"",IF(G62=M62,"Best",""))</f>
        <v>0</v>
      </c>
      <c r="P62" s="8">
        <f>IF(OR(A62="",G62=""),"",COUNTIFS('Store Prices'!$A$5:$A$304,A62,'Store Prices'!$G$5:$G$304,"&lt;"&amp;G62)+1)</f>
        <v>0</v>
      </c>
      <c r="Q62" s="25"/>
    </row>
    <row r="63" spans="1:17">
      <c r="A63" s="7"/>
      <c r="B63" s="27"/>
      <c r="C63" s="8">
        <f>IF(A63="","",IFERROR(INDEX(Ingredients!$B$5:$B$304,MATCH(A63,Ingredients!$A$5:$A$304,0)),""))</f>
        <v>0</v>
      </c>
      <c r="D63" s="27"/>
      <c r="E63" s="28"/>
      <c r="F63" s="26"/>
      <c r="G63" s="8">
        <f>IF(OR(E63="",F63="",F63=0),"",E63/F63)</f>
        <v>0</v>
      </c>
      <c r="H63" s="30"/>
      <c r="I63" s="27"/>
      <c r="J63" s="28"/>
      <c r="K63" s="8">
        <f>IF(OR(E63="",J63=""),"",J63-E63)</f>
        <v>0</v>
      </c>
      <c r="L63" s="8">
        <f>IF(OR(K63="",J63="",J63=0),"",K63/J63)</f>
        <v>0</v>
      </c>
      <c r="M63" s="8">
        <f>IF(A63="","",IF(SUMPRODUCT(MIN(('Store Prices'!$A$5:$A$304=A63)*'Store Prices'!$G$5:$G$304+('Store Prices'!$A$5:$A$304&lt;&gt;A63)*1000000))&gt;=1000000,"",SUMPRODUCT(MIN(('Store Prices'!$A$5:$A$304=A63)*'Store Prices'!$G$5:$G$304+('Store Prices'!$A$5:$A$304&lt;&gt;A63)*1000000))))</f>
        <v>0</v>
      </c>
      <c r="N63" s="8">
        <f>IF(OR(A63="",G63="",M63=""),"",G63-M63)</f>
        <v>0</v>
      </c>
      <c r="O63" s="8">
        <f>IF(OR(A63="",G63=""),"",IF(G63=M63,"Best",""))</f>
        <v>0</v>
      </c>
      <c r="P63" s="8">
        <f>IF(OR(A63="",G63=""),"",COUNTIFS('Store Prices'!$A$5:$A$304,A63,'Store Prices'!$G$5:$G$304,"&lt;"&amp;G63)+1)</f>
        <v>0</v>
      </c>
      <c r="Q63" s="25"/>
    </row>
    <row r="64" spans="1:17">
      <c r="A64" s="7"/>
      <c r="B64" s="27"/>
      <c r="C64" s="8">
        <f>IF(A64="","",IFERROR(INDEX(Ingredients!$B$5:$B$304,MATCH(A64,Ingredients!$A$5:$A$304,0)),""))</f>
        <v>0</v>
      </c>
      <c r="D64" s="27"/>
      <c r="E64" s="28"/>
      <c r="F64" s="26"/>
      <c r="G64" s="8">
        <f>IF(OR(E64="",F64="",F64=0),"",E64/F64)</f>
        <v>0</v>
      </c>
      <c r="H64" s="30"/>
      <c r="I64" s="27"/>
      <c r="J64" s="28"/>
      <c r="K64" s="8">
        <f>IF(OR(E64="",J64=""),"",J64-E64)</f>
        <v>0</v>
      </c>
      <c r="L64" s="8">
        <f>IF(OR(K64="",J64="",J64=0),"",K64/J64)</f>
        <v>0</v>
      </c>
      <c r="M64" s="8">
        <f>IF(A64="","",IF(SUMPRODUCT(MIN(('Store Prices'!$A$5:$A$304=A64)*'Store Prices'!$G$5:$G$304+('Store Prices'!$A$5:$A$304&lt;&gt;A64)*1000000))&gt;=1000000,"",SUMPRODUCT(MIN(('Store Prices'!$A$5:$A$304=A64)*'Store Prices'!$G$5:$G$304+('Store Prices'!$A$5:$A$304&lt;&gt;A64)*1000000))))</f>
        <v>0</v>
      </c>
      <c r="N64" s="8">
        <f>IF(OR(A64="",G64="",M64=""),"",G64-M64)</f>
        <v>0</v>
      </c>
      <c r="O64" s="8">
        <f>IF(OR(A64="",G64=""),"",IF(G64=M64,"Best",""))</f>
        <v>0</v>
      </c>
      <c r="P64" s="8">
        <f>IF(OR(A64="",G64=""),"",COUNTIFS('Store Prices'!$A$5:$A$304,A64,'Store Prices'!$G$5:$G$304,"&lt;"&amp;G64)+1)</f>
        <v>0</v>
      </c>
      <c r="Q64" s="25"/>
    </row>
    <row r="65" spans="1:17">
      <c r="A65" s="7"/>
      <c r="B65" s="27"/>
      <c r="C65" s="8">
        <f>IF(A65="","",IFERROR(INDEX(Ingredients!$B$5:$B$304,MATCH(A65,Ingredients!$A$5:$A$304,0)),""))</f>
        <v>0</v>
      </c>
      <c r="D65" s="27"/>
      <c r="E65" s="28"/>
      <c r="F65" s="26"/>
      <c r="G65" s="8">
        <f>IF(OR(E65="",F65="",F65=0),"",E65/F65)</f>
        <v>0</v>
      </c>
      <c r="H65" s="30"/>
      <c r="I65" s="27"/>
      <c r="J65" s="28"/>
      <c r="K65" s="8">
        <f>IF(OR(E65="",J65=""),"",J65-E65)</f>
        <v>0</v>
      </c>
      <c r="L65" s="8">
        <f>IF(OR(K65="",J65="",J65=0),"",K65/J65)</f>
        <v>0</v>
      </c>
      <c r="M65" s="8">
        <f>IF(A65="","",IF(SUMPRODUCT(MIN(('Store Prices'!$A$5:$A$304=A65)*'Store Prices'!$G$5:$G$304+('Store Prices'!$A$5:$A$304&lt;&gt;A65)*1000000))&gt;=1000000,"",SUMPRODUCT(MIN(('Store Prices'!$A$5:$A$304=A65)*'Store Prices'!$G$5:$G$304+('Store Prices'!$A$5:$A$304&lt;&gt;A65)*1000000))))</f>
        <v>0</v>
      </c>
      <c r="N65" s="8">
        <f>IF(OR(A65="",G65="",M65=""),"",G65-M65)</f>
        <v>0</v>
      </c>
      <c r="O65" s="8">
        <f>IF(OR(A65="",G65=""),"",IF(G65=M65,"Best",""))</f>
        <v>0</v>
      </c>
      <c r="P65" s="8">
        <f>IF(OR(A65="",G65=""),"",COUNTIFS('Store Prices'!$A$5:$A$304,A65,'Store Prices'!$G$5:$G$304,"&lt;"&amp;G65)+1)</f>
        <v>0</v>
      </c>
      <c r="Q65" s="25"/>
    </row>
    <row r="66" spans="1:17">
      <c r="A66" s="7"/>
      <c r="B66" s="27"/>
      <c r="C66" s="8">
        <f>IF(A66="","",IFERROR(INDEX(Ingredients!$B$5:$B$304,MATCH(A66,Ingredients!$A$5:$A$304,0)),""))</f>
        <v>0</v>
      </c>
      <c r="D66" s="27"/>
      <c r="E66" s="28"/>
      <c r="F66" s="26"/>
      <c r="G66" s="8">
        <f>IF(OR(E66="",F66="",F66=0),"",E66/F66)</f>
        <v>0</v>
      </c>
      <c r="H66" s="30"/>
      <c r="I66" s="27"/>
      <c r="J66" s="28"/>
      <c r="K66" s="8">
        <f>IF(OR(E66="",J66=""),"",J66-E66)</f>
        <v>0</v>
      </c>
      <c r="L66" s="8">
        <f>IF(OR(K66="",J66="",J66=0),"",K66/J66)</f>
        <v>0</v>
      </c>
      <c r="M66" s="8">
        <f>IF(A66="","",IF(SUMPRODUCT(MIN(('Store Prices'!$A$5:$A$304=A66)*'Store Prices'!$G$5:$G$304+('Store Prices'!$A$5:$A$304&lt;&gt;A66)*1000000))&gt;=1000000,"",SUMPRODUCT(MIN(('Store Prices'!$A$5:$A$304=A66)*'Store Prices'!$G$5:$G$304+('Store Prices'!$A$5:$A$304&lt;&gt;A66)*1000000))))</f>
        <v>0</v>
      </c>
      <c r="N66" s="8">
        <f>IF(OR(A66="",G66="",M66=""),"",G66-M66)</f>
        <v>0</v>
      </c>
      <c r="O66" s="8">
        <f>IF(OR(A66="",G66=""),"",IF(G66=M66,"Best",""))</f>
        <v>0</v>
      </c>
      <c r="P66" s="8">
        <f>IF(OR(A66="",G66=""),"",COUNTIFS('Store Prices'!$A$5:$A$304,A66,'Store Prices'!$G$5:$G$304,"&lt;"&amp;G66)+1)</f>
        <v>0</v>
      </c>
      <c r="Q66" s="25"/>
    </row>
    <row r="67" spans="1:17">
      <c r="A67" s="7"/>
      <c r="B67" s="27"/>
      <c r="C67" s="8">
        <f>IF(A67="","",IFERROR(INDEX(Ingredients!$B$5:$B$304,MATCH(A67,Ingredients!$A$5:$A$304,0)),""))</f>
        <v>0</v>
      </c>
      <c r="D67" s="27"/>
      <c r="E67" s="28"/>
      <c r="F67" s="26"/>
      <c r="G67" s="8">
        <f>IF(OR(E67="",F67="",F67=0),"",E67/F67)</f>
        <v>0</v>
      </c>
      <c r="H67" s="30"/>
      <c r="I67" s="27"/>
      <c r="J67" s="28"/>
      <c r="K67" s="8">
        <f>IF(OR(E67="",J67=""),"",J67-E67)</f>
        <v>0</v>
      </c>
      <c r="L67" s="8">
        <f>IF(OR(K67="",J67="",J67=0),"",K67/J67)</f>
        <v>0</v>
      </c>
      <c r="M67" s="8">
        <f>IF(A67="","",IF(SUMPRODUCT(MIN(('Store Prices'!$A$5:$A$304=A67)*'Store Prices'!$G$5:$G$304+('Store Prices'!$A$5:$A$304&lt;&gt;A67)*1000000))&gt;=1000000,"",SUMPRODUCT(MIN(('Store Prices'!$A$5:$A$304=A67)*'Store Prices'!$G$5:$G$304+('Store Prices'!$A$5:$A$304&lt;&gt;A67)*1000000))))</f>
        <v>0</v>
      </c>
      <c r="N67" s="8">
        <f>IF(OR(A67="",G67="",M67=""),"",G67-M67)</f>
        <v>0</v>
      </c>
      <c r="O67" s="8">
        <f>IF(OR(A67="",G67=""),"",IF(G67=M67,"Best",""))</f>
        <v>0</v>
      </c>
      <c r="P67" s="8">
        <f>IF(OR(A67="",G67=""),"",COUNTIFS('Store Prices'!$A$5:$A$304,A67,'Store Prices'!$G$5:$G$304,"&lt;"&amp;G67)+1)</f>
        <v>0</v>
      </c>
      <c r="Q67" s="25"/>
    </row>
    <row r="68" spans="1:17">
      <c r="A68" s="7"/>
      <c r="B68" s="27"/>
      <c r="C68" s="8">
        <f>IF(A68="","",IFERROR(INDEX(Ingredients!$B$5:$B$304,MATCH(A68,Ingredients!$A$5:$A$304,0)),""))</f>
        <v>0</v>
      </c>
      <c r="D68" s="27"/>
      <c r="E68" s="28"/>
      <c r="F68" s="26"/>
      <c r="G68" s="8">
        <f>IF(OR(E68="",F68="",F68=0),"",E68/F68)</f>
        <v>0</v>
      </c>
      <c r="H68" s="30"/>
      <c r="I68" s="27"/>
      <c r="J68" s="28"/>
      <c r="K68" s="8">
        <f>IF(OR(E68="",J68=""),"",J68-E68)</f>
        <v>0</v>
      </c>
      <c r="L68" s="8">
        <f>IF(OR(K68="",J68="",J68=0),"",K68/J68)</f>
        <v>0</v>
      </c>
      <c r="M68" s="8">
        <f>IF(A68="","",IF(SUMPRODUCT(MIN(('Store Prices'!$A$5:$A$304=A68)*'Store Prices'!$G$5:$G$304+('Store Prices'!$A$5:$A$304&lt;&gt;A68)*1000000))&gt;=1000000,"",SUMPRODUCT(MIN(('Store Prices'!$A$5:$A$304=A68)*'Store Prices'!$G$5:$G$304+('Store Prices'!$A$5:$A$304&lt;&gt;A68)*1000000))))</f>
        <v>0</v>
      </c>
      <c r="N68" s="8">
        <f>IF(OR(A68="",G68="",M68=""),"",G68-M68)</f>
        <v>0</v>
      </c>
      <c r="O68" s="8">
        <f>IF(OR(A68="",G68=""),"",IF(G68=M68,"Best",""))</f>
        <v>0</v>
      </c>
      <c r="P68" s="8">
        <f>IF(OR(A68="",G68=""),"",COUNTIFS('Store Prices'!$A$5:$A$304,A68,'Store Prices'!$G$5:$G$304,"&lt;"&amp;G68)+1)</f>
        <v>0</v>
      </c>
      <c r="Q68" s="25"/>
    </row>
    <row r="69" spans="1:17">
      <c r="A69" s="7"/>
      <c r="B69" s="27"/>
      <c r="C69" s="8">
        <f>IF(A69="","",IFERROR(INDEX(Ingredients!$B$5:$B$304,MATCH(A69,Ingredients!$A$5:$A$304,0)),""))</f>
        <v>0</v>
      </c>
      <c r="D69" s="27"/>
      <c r="E69" s="28"/>
      <c r="F69" s="26"/>
      <c r="G69" s="8">
        <f>IF(OR(E69="",F69="",F69=0),"",E69/F69)</f>
        <v>0</v>
      </c>
      <c r="H69" s="30"/>
      <c r="I69" s="27"/>
      <c r="J69" s="28"/>
      <c r="K69" s="8">
        <f>IF(OR(E69="",J69=""),"",J69-E69)</f>
        <v>0</v>
      </c>
      <c r="L69" s="8">
        <f>IF(OR(K69="",J69="",J69=0),"",K69/J69)</f>
        <v>0</v>
      </c>
      <c r="M69" s="8">
        <f>IF(A69="","",IF(SUMPRODUCT(MIN(('Store Prices'!$A$5:$A$304=A69)*'Store Prices'!$G$5:$G$304+('Store Prices'!$A$5:$A$304&lt;&gt;A69)*1000000))&gt;=1000000,"",SUMPRODUCT(MIN(('Store Prices'!$A$5:$A$304=A69)*'Store Prices'!$G$5:$G$304+('Store Prices'!$A$5:$A$304&lt;&gt;A69)*1000000))))</f>
        <v>0</v>
      </c>
      <c r="N69" s="8">
        <f>IF(OR(A69="",G69="",M69=""),"",G69-M69)</f>
        <v>0</v>
      </c>
      <c r="O69" s="8">
        <f>IF(OR(A69="",G69=""),"",IF(G69=M69,"Best",""))</f>
        <v>0</v>
      </c>
      <c r="P69" s="8">
        <f>IF(OR(A69="",G69=""),"",COUNTIFS('Store Prices'!$A$5:$A$304,A69,'Store Prices'!$G$5:$G$304,"&lt;"&amp;G69)+1)</f>
        <v>0</v>
      </c>
      <c r="Q69" s="25"/>
    </row>
    <row r="70" spans="1:17">
      <c r="A70" s="7"/>
      <c r="B70" s="27"/>
      <c r="C70" s="8">
        <f>IF(A70="","",IFERROR(INDEX(Ingredients!$B$5:$B$304,MATCH(A70,Ingredients!$A$5:$A$304,0)),""))</f>
        <v>0</v>
      </c>
      <c r="D70" s="27"/>
      <c r="E70" s="28"/>
      <c r="F70" s="26"/>
      <c r="G70" s="8">
        <f>IF(OR(E70="",F70="",F70=0),"",E70/F70)</f>
        <v>0</v>
      </c>
      <c r="H70" s="30"/>
      <c r="I70" s="27"/>
      <c r="J70" s="28"/>
      <c r="K70" s="8">
        <f>IF(OR(E70="",J70=""),"",J70-E70)</f>
        <v>0</v>
      </c>
      <c r="L70" s="8">
        <f>IF(OR(K70="",J70="",J70=0),"",K70/J70)</f>
        <v>0</v>
      </c>
      <c r="M70" s="8">
        <f>IF(A70="","",IF(SUMPRODUCT(MIN(('Store Prices'!$A$5:$A$304=A70)*'Store Prices'!$G$5:$G$304+('Store Prices'!$A$5:$A$304&lt;&gt;A70)*1000000))&gt;=1000000,"",SUMPRODUCT(MIN(('Store Prices'!$A$5:$A$304=A70)*'Store Prices'!$G$5:$G$304+('Store Prices'!$A$5:$A$304&lt;&gt;A70)*1000000))))</f>
        <v>0</v>
      </c>
      <c r="N70" s="8">
        <f>IF(OR(A70="",G70="",M70=""),"",G70-M70)</f>
        <v>0</v>
      </c>
      <c r="O70" s="8">
        <f>IF(OR(A70="",G70=""),"",IF(G70=M70,"Best",""))</f>
        <v>0</v>
      </c>
      <c r="P70" s="8">
        <f>IF(OR(A70="",G70=""),"",COUNTIFS('Store Prices'!$A$5:$A$304,A70,'Store Prices'!$G$5:$G$304,"&lt;"&amp;G70)+1)</f>
        <v>0</v>
      </c>
      <c r="Q70" s="25"/>
    </row>
    <row r="71" spans="1:17">
      <c r="A71" s="7"/>
      <c r="B71" s="27"/>
      <c r="C71" s="8">
        <f>IF(A71="","",IFERROR(INDEX(Ingredients!$B$5:$B$304,MATCH(A71,Ingredients!$A$5:$A$304,0)),""))</f>
        <v>0</v>
      </c>
      <c r="D71" s="27"/>
      <c r="E71" s="28"/>
      <c r="F71" s="26"/>
      <c r="G71" s="8">
        <f>IF(OR(E71="",F71="",F71=0),"",E71/F71)</f>
        <v>0</v>
      </c>
      <c r="H71" s="30"/>
      <c r="I71" s="27"/>
      <c r="J71" s="28"/>
      <c r="K71" s="8">
        <f>IF(OR(E71="",J71=""),"",J71-E71)</f>
        <v>0</v>
      </c>
      <c r="L71" s="8">
        <f>IF(OR(K71="",J71="",J71=0),"",K71/J71)</f>
        <v>0</v>
      </c>
      <c r="M71" s="8">
        <f>IF(A71="","",IF(SUMPRODUCT(MIN(('Store Prices'!$A$5:$A$304=A71)*'Store Prices'!$G$5:$G$304+('Store Prices'!$A$5:$A$304&lt;&gt;A71)*1000000))&gt;=1000000,"",SUMPRODUCT(MIN(('Store Prices'!$A$5:$A$304=A71)*'Store Prices'!$G$5:$G$304+('Store Prices'!$A$5:$A$304&lt;&gt;A71)*1000000))))</f>
        <v>0</v>
      </c>
      <c r="N71" s="8">
        <f>IF(OR(A71="",G71="",M71=""),"",G71-M71)</f>
        <v>0</v>
      </c>
      <c r="O71" s="8">
        <f>IF(OR(A71="",G71=""),"",IF(G71=M71,"Best",""))</f>
        <v>0</v>
      </c>
      <c r="P71" s="8">
        <f>IF(OR(A71="",G71=""),"",COUNTIFS('Store Prices'!$A$5:$A$304,A71,'Store Prices'!$G$5:$G$304,"&lt;"&amp;G71)+1)</f>
        <v>0</v>
      </c>
      <c r="Q71" s="25"/>
    </row>
    <row r="72" spans="1:17">
      <c r="A72" s="7"/>
      <c r="B72" s="27"/>
      <c r="C72" s="8">
        <f>IF(A72="","",IFERROR(INDEX(Ingredients!$B$5:$B$304,MATCH(A72,Ingredients!$A$5:$A$304,0)),""))</f>
        <v>0</v>
      </c>
      <c r="D72" s="27"/>
      <c r="E72" s="28"/>
      <c r="F72" s="26"/>
      <c r="G72" s="8">
        <f>IF(OR(E72="",F72="",F72=0),"",E72/F72)</f>
        <v>0</v>
      </c>
      <c r="H72" s="30"/>
      <c r="I72" s="27"/>
      <c r="J72" s="28"/>
      <c r="K72" s="8">
        <f>IF(OR(E72="",J72=""),"",J72-E72)</f>
        <v>0</v>
      </c>
      <c r="L72" s="8">
        <f>IF(OR(K72="",J72="",J72=0),"",K72/J72)</f>
        <v>0</v>
      </c>
      <c r="M72" s="8">
        <f>IF(A72="","",IF(SUMPRODUCT(MIN(('Store Prices'!$A$5:$A$304=A72)*'Store Prices'!$G$5:$G$304+('Store Prices'!$A$5:$A$304&lt;&gt;A72)*1000000))&gt;=1000000,"",SUMPRODUCT(MIN(('Store Prices'!$A$5:$A$304=A72)*'Store Prices'!$G$5:$G$304+('Store Prices'!$A$5:$A$304&lt;&gt;A72)*1000000))))</f>
        <v>0</v>
      </c>
      <c r="N72" s="8">
        <f>IF(OR(A72="",G72="",M72=""),"",G72-M72)</f>
        <v>0</v>
      </c>
      <c r="O72" s="8">
        <f>IF(OR(A72="",G72=""),"",IF(G72=M72,"Best",""))</f>
        <v>0</v>
      </c>
      <c r="P72" s="8">
        <f>IF(OR(A72="",G72=""),"",COUNTIFS('Store Prices'!$A$5:$A$304,A72,'Store Prices'!$G$5:$G$304,"&lt;"&amp;G72)+1)</f>
        <v>0</v>
      </c>
      <c r="Q72" s="25"/>
    </row>
    <row r="73" spans="1:17">
      <c r="A73" s="7"/>
      <c r="B73" s="27"/>
      <c r="C73" s="8">
        <f>IF(A73="","",IFERROR(INDEX(Ingredients!$B$5:$B$304,MATCH(A73,Ingredients!$A$5:$A$304,0)),""))</f>
        <v>0</v>
      </c>
      <c r="D73" s="27"/>
      <c r="E73" s="28"/>
      <c r="F73" s="26"/>
      <c r="G73" s="8">
        <f>IF(OR(E73="",F73="",F73=0),"",E73/F73)</f>
        <v>0</v>
      </c>
      <c r="H73" s="30"/>
      <c r="I73" s="27"/>
      <c r="J73" s="28"/>
      <c r="K73" s="8">
        <f>IF(OR(E73="",J73=""),"",J73-E73)</f>
        <v>0</v>
      </c>
      <c r="L73" s="8">
        <f>IF(OR(K73="",J73="",J73=0),"",K73/J73)</f>
        <v>0</v>
      </c>
      <c r="M73" s="8">
        <f>IF(A73="","",IF(SUMPRODUCT(MIN(('Store Prices'!$A$5:$A$304=A73)*'Store Prices'!$G$5:$G$304+('Store Prices'!$A$5:$A$304&lt;&gt;A73)*1000000))&gt;=1000000,"",SUMPRODUCT(MIN(('Store Prices'!$A$5:$A$304=A73)*'Store Prices'!$G$5:$G$304+('Store Prices'!$A$5:$A$304&lt;&gt;A73)*1000000))))</f>
        <v>0</v>
      </c>
      <c r="N73" s="8">
        <f>IF(OR(A73="",G73="",M73=""),"",G73-M73)</f>
        <v>0</v>
      </c>
      <c r="O73" s="8">
        <f>IF(OR(A73="",G73=""),"",IF(G73=M73,"Best",""))</f>
        <v>0</v>
      </c>
      <c r="P73" s="8">
        <f>IF(OR(A73="",G73=""),"",COUNTIFS('Store Prices'!$A$5:$A$304,A73,'Store Prices'!$G$5:$G$304,"&lt;"&amp;G73)+1)</f>
        <v>0</v>
      </c>
      <c r="Q73" s="25"/>
    </row>
    <row r="74" spans="1:17">
      <c r="A74" s="7"/>
      <c r="B74" s="27"/>
      <c r="C74" s="8">
        <f>IF(A74="","",IFERROR(INDEX(Ingredients!$B$5:$B$304,MATCH(A74,Ingredients!$A$5:$A$304,0)),""))</f>
        <v>0</v>
      </c>
      <c r="D74" s="27"/>
      <c r="E74" s="28"/>
      <c r="F74" s="26"/>
      <c r="G74" s="8">
        <f>IF(OR(E74="",F74="",F74=0),"",E74/F74)</f>
        <v>0</v>
      </c>
      <c r="H74" s="30"/>
      <c r="I74" s="27"/>
      <c r="J74" s="28"/>
      <c r="K74" s="8">
        <f>IF(OR(E74="",J74=""),"",J74-E74)</f>
        <v>0</v>
      </c>
      <c r="L74" s="8">
        <f>IF(OR(K74="",J74="",J74=0),"",K74/J74)</f>
        <v>0</v>
      </c>
      <c r="M74" s="8">
        <f>IF(A74="","",IF(SUMPRODUCT(MIN(('Store Prices'!$A$5:$A$304=A74)*'Store Prices'!$G$5:$G$304+('Store Prices'!$A$5:$A$304&lt;&gt;A74)*1000000))&gt;=1000000,"",SUMPRODUCT(MIN(('Store Prices'!$A$5:$A$304=A74)*'Store Prices'!$G$5:$G$304+('Store Prices'!$A$5:$A$304&lt;&gt;A74)*1000000))))</f>
        <v>0</v>
      </c>
      <c r="N74" s="8">
        <f>IF(OR(A74="",G74="",M74=""),"",G74-M74)</f>
        <v>0</v>
      </c>
      <c r="O74" s="8">
        <f>IF(OR(A74="",G74=""),"",IF(G74=M74,"Best",""))</f>
        <v>0</v>
      </c>
      <c r="P74" s="8">
        <f>IF(OR(A74="",G74=""),"",COUNTIFS('Store Prices'!$A$5:$A$304,A74,'Store Prices'!$G$5:$G$304,"&lt;"&amp;G74)+1)</f>
        <v>0</v>
      </c>
      <c r="Q74" s="25"/>
    </row>
    <row r="75" spans="1:17">
      <c r="A75" s="7"/>
      <c r="B75" s="27"/>
      <c r="C75" s="8">
        <f>IF(A75="","",IFERROR(INDEX(Ingredients!$B$5:$B$304,MATCH(A75,Ingredients!$A$5:$A$304,0)),""))</f>
        <v>0</v>
      </c>
      <c r="D75" s="27"/>
      <c r="E75" s="28"/>
      <c r="F75" s="26"/>
      <c r="G75" s="8">
        <f>IF(OR(E75="",F75="",F75=0),"",E75/F75)</f>
        <v>0</v>
      </c>
      <c r="H75" s="30"/>
      <c r="I75" s="27"/>
      <c r="J75" s="28"/>
      <c r="K75" s="8">
        <f>IF(OR(E75="",J75=""),"",J75-E75)</f>
        <v>0</v>
      </c>
      <c r="L75" s="8">
        <f>IF(OR(K75="",J75="",J75=0),"",K75/J75)</f>
        <v>0</v>
      </c>
      <c r="M75" s="8">
        <f>IF(A75="","",IF(SUMPRODUCT(MIN(('Store Prices'!$A$5:$A$304=A75)*'Store Prices'!$G$5:$G$304+('Store Prices'!$A$5:$A$304&lt;&gt;A75)*1000000))&gt;=1000000,"",SUMPRODUCT(MIN(('Store Prices'!$A$5:$A$304=A75)*'Store Prices'!$G$5:$G$304+('Store Prices'!$A$5:$A$304&lt;&gt;A75)*1000000))))</f>
        <v>0</v>
      </c>
      <c r="N75" s="8">
        <f>IF(OR(A75="",G75="",M75=""),"",G75-M75)</f>
        <v>0</v>
      </c>
      <c r="O75" s="8">
        <f>IF(OR(A75="",G75=""),"",IF(G75=M75,"Best",""))</f>
        <v>0</v>
      </c>
      <c r="P75" s="8">
        <f>IF(OR(A75="",G75=""),"",COUNTIFS('Store Prices'!$A$5:$A$304,A75,'Store Prices'!$G$5:$G$304,"&lt;"&amp;G75)+1)</f>
        <v>0</v>
      </c>
      <c r="Q75" s="25"/>
    </row>
    <row r="76" spans="1:17">
      <c r="A76" s="7"/>
      <c r="B76" s="27"/>
      <c r="C76" s="8">
        <f>IF(A76="","",IFERROR(INDEX(Ingredients!$B$5:$B$304,MATCH(A76,Ingredients!$A$5:$A$304,0)),""))</f>
        <v>0</v>
      </c>
      <c r="D76" s="27"/>
      <c r="E76" s="28"/>
      <c r="F76" s="26"/>
      <c r="G76" s="8">
        <f>IF(OR(E76="",F76="",F76=0),"",E76/F76)</f>
        <v>0</v>
      </c>
      <c r="H76" s="30"/>
      <c r="I76" s="27"/>
      <c r="J76" s="28"/>
      <c r="K76" s="8">
        <f>IF(OR(E76="",J76=""),"",J76-E76)</f>
        <v>0</v>
      </c>
      <c r="L76" s="8">
        <f>IF(OR(K76="",J76="",J76=0),"",K76/J76)</f>
        <v>0</v>
      </c>
      <c r="M76" s="8">
        <f>IF(A76="","",IF(SUMPRODUCT(MIN(('Store Prices'!$A$5:$A$304=A76)*'Store Prices'!$G$5:$G$304+('Store Prices'!$A$5:$A$304&lt;&gt;A76)*1000000))&gt;=1000000,"",SUMPRODUCT(MIN(('Store Prices'!$A$5:$A$304=A76)*'Store Prices'!$G$5:$G$304+('Store Prices'!$A$5:$A$304&lt;&gt;A76)*1000000))))</f>
        <v>0</v>
      </c>
      <c r="N76" s="8">
        <f>IF(OR(A76="",G76="",M76=""),"",G76-M76)</f>
        <v>0</v>
      </c>
      <c r="O76" s="8">
        <f>IF(OR(A76="",G76=""),"",IF(G76=M76,"Best",""))</f>
        <v>0</v>
      </c>
      <c r="P76" s="8">
        <f>IF(OR(A76="",G76=""),"",COUNTIFS('Store Prices'!$A$5:$A$304,A76,'Store Prices'!$G$5:$G$304,"&lt;"&amp;G76)+1)</f>
        <v>0</v>
      </c>
      <c r="Q76" s="25"/>
    </row>
    <row r="77" spans="1:17">
      <c r="A77" s="7"/>
      <c r="B77" s="27"/>
      <c r="C77" s="8">
        <f>IF(A77="","",IFERROR(INDEX(Ingredients!$B$5:$B$304,MATCH(A77,Ingredients!$A$5:$A$304,0)),""))</f>
        <v>0</v>
      </c>
      <c r="D77" s="27"/>
      <c r="E77" s="28"/>
      <c r="F77" s="26"/>
      <c r="G77" s="8">
        <f>IF(OR(E77="",F77="",F77=0),"",E77/F77)</f>
        <v>0</v>
      </c>
      <c r="H77" s="30"/>
      <c r="I77" s="27"/>
      <c r="J77" s="28"/>
      <c r="K77" s="8">
        <f>IF(OR(E77="",J77=""),"",J77-E77)</f>
        <v>0</v>
      </c>
      <c r="L77" s="8">
        <f>IF(OR(K77="",J77="",J77=0),"",K77/J77)</f>
        <v>0</v>
      </c>
      <c r="M77" s="8">
        <f>IF(A77="","",IF(SUMPRODUCT(MIN(('Store Prices'!$A$5:$A$304=A77)*'Store Prices'!$G$5:$G$304+('Store Prices'!$A$5:$A$304&lt;&gt;A77)*1000000))&gt;=1000000,"",SUMPRODUCT(MIN(('Store Prices'!$A$5:$A$304=A77)*'Store Prices'!$G$5:$G$304+('Store Prices'!$A$5:$A$304&lt;&gt;A77)*1000000))))</f>
        <v>0</v>
      </c>
      <c r="N77" s="8">
        <f>IF(OR(A77="",G77="",M77=""),"",G77-M77)</f>
        <v>0</v>
      </c>
      <c r="O77" s="8">
        <f>IF(OR(A77="",G77=""),"",IF(G77=M77,"Best",""))</f>
        <v>0</v>
      </c>
      <c r="P77" s="8">
        <f>IF(OR(A77="",G77=""),"",COUNTIFS('Store Prices'!$A$5:$A$304,A77,'Store Prices'!$G$5:$G$304,"&lt;"&amp;G77)+1)</f>
        <v>0</v>
      </c>
      <c r="Q77" s="25"/>
    </row>
    <row r="78" spans="1:17">
      <c r="A78" s="7"/>
      <c r="B78" s="27"/>
      <c r="C78" s="8">
        <f>IF(A78="","",IFERROR(INDEX(Ingredients!$B$5:$B$304,MATCH(A78,Ingredients!$A$5:$A$304,0)),""))</f>
        <v>0</v>
      </c>
      <c r="D78" s="27"/>
      <c r="E78" s="28"/>
      <c r="F78" s="26"/>
      <c r="G78" s="8">
        <f>IF(OR(E78="",F78="",F78=0),"",E78/F78)</f>
        <v>0</v>
      </c>
      <c r="H78" s="30"/>
      <c r="I78" s="27"/>
      <c r="J78" s="28"/>
      <c r="K78" s="8">
        <f>IF(OR(E78="",J78=""),"",J78-E78)</f>
        <v>0</v>
      </c>
      <c r="L78" s="8">
        <f>IF(OR(K78="",J78="",J78=0),"",K78/J78)</f>
        <v>0</v>
      </c>
      <c r="M78" s="8">
        <f>IF(A78="","",IF(SUMPRODUCT(MIN(('Store Prices'!$A$5:$A$304=A78)*'Store Prices'!$G$5:$G$304+('Store Prices'!$A$5:$A$304&lt;&gt;A78)*1000000))&gt;=1000000,"",SUMPRODUCT(MIN(('Store Prices'!$A$5:$A$304=A78)*'Store Prices'!$G$5:$G$304+('Store Prices'!$A$5:$A$304&lt;&gt;A78)*1000000))))</f>
        <v>0</v>
      </c>
      <c r="N78" s="8">
        <f>IF(OR(A78="",G78="",M78=""),"",G78-M78)</f>
        <v>0</v>
      </c>
      <c r="O78" s="8">
        <f>IF(OR(A78="",G78=""),"",IF(G78=M78,"Best",""))</f>
        <v>0</v>
      </c>
      <c r="P78" s="8">
        <f>IF(OR(A78="",G78=""),"",COUNTIFS('Store Prices'!$A$5:$A$304,A78,'Store Prices'!$G$5:$G$304,"&lt;"&amp;G78)+1)</f>
        <v>0</v>
      </c>
      <c r="Q78" s="25"/>
    </row>
    <row r="79" spans="1:17">
      <c r="A79" s="7"/>
      <c r="B79" s="27"/>
      <c r="C79" s="8">
        <f>IF(A79="","",IFERROR(INDEX(Ingredients!$B$5:$B$304,MATCH(A79,Ingredients!$A$5:$A$304,0)),""))</f>
        <v>0</v>
      </c>
      <c r="D79" s="27"/>
      <c r="E79" s="28"/>
      <c r="F79" s="26"/>
      <c r="G79" s="8">
        <f>IF(OR(E79="",F79="",F79=0),"",E79/F79)</f>
        <v>0</v>
      </c>
      <c r="H79" s="30"/>
      <c r="I79" s="27"/>
      <c r="J79" s="28"/>
      <c r="K79" s="8">
        <f>IF(OR(E79="",J79=""),"",J79-E79)</f>
        <v>0</v>
      </c>
      <c r="L79" s="8">
        <f>IF(OR(K79="",J79="",J79=0),"",K79/J79)</f>
        <v>0</v>
      </c>
      <c r="M79" s="8">
        <f>IF(A79="","",IF(SUMPRODUCT(MIN(('Store Prices'!$A$5:$A$304=A79)*'Store Prices'!$G$5:$G$304+('Store Prices'!$A$5:$A$304&lt;&gt;A79)*1000000))&gt;=1000000,"",SUMPRODUCT(MIN(('Store Prices'!$A$5:$A$304=A79)*'Store Prices'!$G$5:$G$304+('Store Prices'!$A$5:$A$304&lt;&gt;A79)*1000000))))</f>
        <v>0</v>
      </c>
      <c r="N79" s="8">
        <f>IF(OR(A79="",G79="",M79=""),"",G79-M79)</f>
        <v>0</v>
      </c>
      <c r="O79" s="8">
        <f>IF(OR(A79="",G79=""),"",IF(G79=M79,"Best",""))</f>
        <v>0</v>
      </c>
      <c r="P79" s="8">
        <f>IF(OR(A79="",G79=""),"",COUNTIFS('Store Prices'!$A$5:$A$304,A79,'Store Prices'!$G$5:$G$304,"&lt;"&amp;G79)+1)</f>
        <v>0</v>
      </c>
      <c r="Q79" s="25"/>
    </row>
    <row r="80" spans="1:17">
      <c r="A80" s="7"/>
      <c r="B80" s="27"/>
      <c r="C80" s="8">
        <f>IF(A80="","",IFERROR(INDEX(Ingredients!$B$5:$B$304,MATCH(A80,Ingredients!$A$5:$A$304,0)),""))</f>
        <v>0</v>
      </c>
      <c r="D80" s="27"/>
      <c r="E80" s="28"/>
      <c r="F80" s="26"/>
      <c r="G80" s="8">
        <f>IF(OR(E80="",F80="",F80=0),"",E80/F80)</f>
        <v>0</v>
      </c>
      <c r="H80" s="30"/>
      <c r="I80" s="27"/>
      <c r="J80" s="28"/>
      <c r="K80" s="8">
        <f>IF(OR(E80="",J80=""),"",J80-E80)</f>
        <v>0</v>
      </c>
      <c r="L80" s="8">
        <f>IF(OR(K80="",J80="",J80=0),"",K80/J80)</f>
        <v>0</v>
      </c>
      <c r="M80" s="8">
        <f>IF(A80="","",IF(SUMPRODUCT(MIN(('Store Prices'!$A$5:$A$304=A80)*'Store Prices'!$G$5:$G$304+('Store Prices'!$A$5:$A$304&lt;&gt;A80)*1000000))&gt;=1000000,"",SUMPRODUCT(MIN(('Store Prices'!$A$5:$A$304=A80)*'Store Prices'!$G$5:$G$304+('Store Prices'!$A$5:$A$304&lt;&gt;A80)*1000000))))</f>
        <v>0</v>
      </c>
      <c r="N80" s="8">
        <f>IF(OR(A80="",G80="",M80=""),"",G80-M80)</f>
        <v>0</v>
      </c>
      <c r="O80" s="8">
        <f>IF(OR(A80="",G80=""),"",IF(G80=M80,"Best",""))</f>
        <v>0</v>
      </c>
      <c r="P80" s="8">
        <f>IF(OR(A80="",G80=""),"",COUNTIFS('Store Prices'!$A$5:$A$304,A80,'Store Prices'!$G$5:$G$304,"&lt;"&amp;G80)+1)</f>
        <v>0</v>
      </c>
      <c r="Q80" s="25"/>
    </row>
    <row r="81" spans="1:17">
      <c r="A81" s="7"/>
      <c r="B81" s="27"/>
      <c r="C81" s="8">
        <f>IF(A81="","",IFERROR(INDEX(Ingredients!$B$5:$B$304,MATCH(A81,Ingredients!$A$5:$A$304,0)),""))</f>
        <v>0</v>
      </c>
      <c r="D81" s="27"/>
      <c r="E81" s="28"/>
      <c r="F81" s="26"/>
      <c r="G81" s="8">
        <f>IF(OR(E81="",F81="",F81=0),"",E81/F81)</f>
        <v>0</v>
      </c>
      <c r="H81" s="30"/>
      <c r="I81" s="27"/>
      <c r="J81" s="28"/>
      <c r="K81" s="8">
        <f>IF(OR(E81="",J81=""),"",J81-E81)</f>
        <v>0</v>
      </c>
      <c r="L81" s="8">
        <f>IF(OR(K81="",J81="",J81=0),"",K81/J81)</f>
        <v>0</v>
      </c>
      <c r="M81" s="8">
        <f>IF(A81="","",IF(SUMPRODUCT(MIN(('Store Prices'!$A$5:$A$304=A81)*'Store Prices'!$G$5:$G$304+('Store Prices'!$A$5:$A$304&lt;&gt;A81)*1000000))&gt;=1000000,"",SUMPRODUCT(MIN(('Store Prices'!$A$5:$A$304=A81)*'Store Prices'!$G$5:$G$304+('Store Prices'!$A$5:$A$304&lt;&gt;A81)*1000000))))</f>
        <v>0</v>
      </c>
      <c r="N81" s="8">
        <f>IF(OR(A81="",G81="",M81=""),"",G81-M81)</f>
        <v>0</v>
      </c>
      <c r="O81" s="8">
        <f>IF(OR(A81="",G81=""),"",IF(G81=M81,"Best",""))</f>
        <v>0</v>
      </c>
      <c r="P81" s="8">
        <f>IF(OR(A81="",G81=""),"",COUNTIFS('Store Prices'!$A$5:$A$304,A81,'Store Prices'!$G$5:$G$304,"&lt;"&amp;G81)+1)</f>
        <v>0</v>
      </c>
      <c r="Q81" s="25"/>
    </row>
    <row r="82" spans="1:17">
      <c r="A82" s="7"/>
      <c r="B82" s="27"/>
      <c r="C82" s="8">
        <f>IF(A82="","",IFERROR(INDEX(Ingredients!$B$5:$B$304,MATCH(A82,Ingredients!$A$5:$A$304,0)),""))</f>
        <v>0</v>
      </c>
      <c r="D82" s="27"/>
      <c r="E82" s="28"/>
      <c r="F82" s="26"/>
      <c r="G82" s="8">
        <f>IF(OR(E82="",F82="",F82=0),"",E82/F82)</f>
        <v>0</v>
      </c>
      <c r="H82" s="30"/>
      <c r="I82" s="27"/>
      <c r="J82" s="28"/>
      <c r="K82" s="8">
        <f>IF(OR(E82="",J82=""),"",J82-E82)</f>
        <v>0</v>
      </c>
      <c r="L82" s="8">
        <f>IF(OR(K82="",J82="",J82=0),"",K82/J82)</f>
        <v>0</v>
      </c>
      <c r="M82" s="8">
        <f>IF(A82="","",IF(SUMPRODUCT(MIN(('Store Prices'!$A$5:$A$304=A82)*'Store Prices'!$G$5:$G$304+('Store Prices'!$A$5:$A$304&lt;&gt;A82)*1000000))&gt;=1000000,"",SUMPRODUCT(MIN(('Store Prices'!$A$5:$A$304=A82)*'Store Prices'!$G$5:$G$304+('Store Prices'!$A$5:$A$304&lt;&gt;A82)*1000000))))</f>
        <v>0</v>
      </c>
      <c r="N82" s="8">
        <f>IF(OR(A82="",G82="",M82=""),"",G82-M82)</f>
        <v>0</v>
      </c>
      <c r="O82" s="8">
        <f>IF(OR(A82="",G82=""),"",IF(G82=M82,"Best",""))</f>
        <v>0</v>
      </c>
      <c r="P82" s="8">
        <f>IF(OR(A82="",G82=""),"",COUNTIFS('Store Prices'!$A$5:$A$304,A82,'Store Prices'!$G$5:$G$304,"&lt;"&amp;G82)+1)</f>
        <v>0</v>
      </c>
      <c r="Q82" s="25"/>
    </row>
    <row r="83" spans="1:17">
      <c r="A83" s="7"/>
      <c r="B83" s="27"/>
      <c r="C83" s="8">
        <f>IF(A83="","",IFERROR(INDEX(Ingredients!$B$5:$B$304,MATCH(A83,Ingredients!$A$5:$A$304,0)),""))</f>
        <v>0</v>
      </c>
      <c r="D83" s="27"/>
      <c r="E83" s="28"/>
      <c r="F83" s="26"/>
      <c r="G83" s="8">
        <f>IF(OR(E83="",F83="",F83=0),"",E83/F83)</f>
        <v>0</v>
      </c>
      <c r="H83" s="30"/>
      <c r="I83" s="27"/>
      <c r="J83" s="28"/>
      <c r="K83" s="8">
        <f>IF(OR(E83="",J83=""),"",J83-E83)</f>
        <v>0</v>
      </c>
      <c r="L83" s="8">
        <f>IF(OR(K83="",J83="",J83=0),"",K83/J83)</f>
        <v>0</v>
      </c>
      <c r="M83" s="8">
        <f>IF(A83="","",IF(SUMPRODUCT(MIN(('Store Prices'!$A$5:$A$304=A83)*'Store Prices'!$G$5:$G$304+('Store Prices'!$A$5:$A$304&lt;&gt;A83)*1000000))&gt;=1000000,"",SUMPRODUCT(MIN(('Store Prices'!$A$5:$A$304=A83)*'Store Prices'!$G$5:$G$304+('Store Prices'!$A$5:$A$304&lt;&gt;A83)*1000000))))</f>
        <v>0</v>
      </c>
      <c r="N83" s="8">
        <f>IF(OR(A83="",G83="",M83=""),"",G83-M83)</f>
        <v>0</v>
      </c>
      <c r="O83" s="8">
        <f>IF(OR(A83="",G83=""),"",IF(G83=M83,"Best",""))</f>
        <v>0</v>
      </c>
      <c r="P83" s="8">
        <f>IF(OR(A83="",G83=""),"",COUNTIFS('Store Prices'!$A$5:$A$304,A83,'Store Prices'!$G$5:$G$304,"&lt;"&amp;G83)+1)</f>
        <v>0</v>
      </c>
      <c r="Q83" s="25"/>
    </row>
    <row r="84" spans="1:17">
      <c r="A84" s="7"/>
      <c r="B84" s="27"/>
      <c r="C84" s="8">
        <f>IF(A84="","",IFERROR(INDEX(Ingredients!$B$5:$B$304,MATCH(A84,Ingredients!$A$5:$A$304,0)),""))</f>
        <v>0</v>
      </c>
      <c r="D84" s="27"/>
      <c r="E84" s="28"/>
      <c r="F84" s="26"/>
      <c r="G84" s="8">
        <f>IF(OR(E84="",F84="",F84=0),"",E84/F84)</f>
        <v>0</v>
      </c>
      <c r="H84" s="30"/>
      <c r="I84" s="27"/>
      <c r="J84" s="28"/>
      <c r="K84" s="8">
        <f>IF(OR(E84="",J84=""),"",J84-E84)</f>
        <v>0</v>
      </c>
      <c r="L84" s="8">
        <f>IF(OR(K84="",J84="",J84=0),"",K84/J84)</f>
        <v>0</v>
      </c>
      <c r="M84" s="8">
        <f>IF(A84="","",IF(SUMPRODUCT(MIN(('Store Prices'!$A$5:$A$304=A84)*'Store Prices'!$G$5:$G$304+('Store Prices'!$A$5:$A$304&lt;&gt;A84)*1000000))&gt;=1000000,"",SUMPRODUCT(MIN(('Store Prices'!$A$5:$A$304=A84)*'Store Prices'!$G$5:$G$304+('Store Prices'!$A$5:$A$304&lt;&gt;A84)*1000000))))</f>
        <v>0</v>
      </c>
      <c r="N84" s="8">
        <f>IF(OR(A84="",G84="",M84=""),"",G84-M84)</f>
        <v>0</v>
      </c>
      <c r="O84" s="8">
        <f>IF(OR(A84="",G84=""),"",IF(G84=M84,"Best",""))</f>
        <v>0</v>
      </c>
      <c r="P84" s="8">
        <f>IF(OR(A84="",G84=""),"",COUNTIFS('Store Prices'!$A$5:$A$304,A84,'Store Prices'!$G$5:$G$304,"&lt;"&amp;G84)+1)</f>
        <v>0</v>
      </c>
      <c r="Q84" s="25"/>
    </row>
    <row r="85" spans="1:17">
      <c r="A85" s="7"/>
      <c r="B85" s="27"/>
      <c r="C85" s="8">
        <f>IF(A85="","",IFERROR(INDEX(Ingredients!$B$5:$B$304,MATCH(A85,Ingredients!$A$5:$A$304,0)),""))</f>
        <v>0</v>
      </c>
      <c r="D85" s="27"/>
      <c r="E85" s="28"/>
      <c r="F85" s="26"/>
      <c r="G85" s="8">
        <f>IF(OR(E85="",F85="",F85=0),"",E85/F85)</f>
        <v>0</v>
      </c>
      <c r="H85" s="30"/>
      <c r="I85" s="27"/>
      <c r="J85" s="28"/>
      <c r="K85" s="8">
        <f>IF(OR(E85="",J85=""),"",J85-E85)</f>
        <v>0</v>
      </c>
      <c r="L85" s="8">
        <f>IF(OR(K85="",J85="",J85=0),"",K85/J85)</f>
        <v>0</v>
      </c>
      <c r="M85" s="8">
        <f>IF(A85="","",IF(SUMPRODUCT(MIN(('Store Prices'!$A$5:$A$304=A85)*'Store Prices'!$G$5:$G$304+('Store Prices'!$A$5:$A$304&lt;&gt;A85)*1000000))&gt;=1000000,"",SUMPRODUCT(MIN(('Store Prices'!$A$5:$A$304=A85)*'Store Prices'!$G$5:$G$304+('Store Prices'!$A$5:$A$304&lt;&gt;A85)*1000000))))</f>
        <v>0</v>
      </c>
      <c r="N85" s="8">
        <f>IF(OR(A85="",G85="",M85=""),"",G85-M85)</f>
        <v>0</v>
      </c>
      <c r="O85" s="8">
        <f>IF(OR(A85="",G85=""),"",IF(G85=M85,"Best",""))</f>
        <v>0</v>
      </c>
      <c r="P85" s="8">
        <f>IF(OR(A85="",G85=""),"",COUNTIFS('Store Prices'!$A$5:$A$304,A85,'Store Prices'!$G$5:$G$304,"&lt;"&amp;G85)+1)</f>
        <v>0</v>
      </c>
      <c r="Q85" s="25"/>
    </row>
    <row r="86" spans="1:17">
      <c r="A86" s="7"/>
      <c r="B86" s="27"/>
      <c r="C86" s="8">
        <f>IF(A86="","",IFERROR(INDEX(Ingredients!$B$5:$B$304,MATCH(A86,Ingredients!$A$5:$A$304,0)),""))</f>
        <v>0</v>
      </c>
      <c r="D86" s="27"/>
      <c r="E86" s="28"/>
      <c r="F86" s="26"/>
      <c r="G86" s="8">
        <f>IF(OR(E86="",F86="",F86=0),"",E86/F86)</f>
        <v>0</v>
      </c>
      <c r="H86" s="30"/>
      <c r="I86" s="27"/>
      <c r="J86" s="28"/>
      <c r="K86" s="8">
        <f>IF(OR(E86="",J86=""),"",J86-E86)</f>
        <v>0</v>
      </c>
      <c r="L86" s="8">
        <f>IF(OR(K86="",J86="",J86=0),"",K86/J86)</f>
        <v>0</v>
      </c>
      <c r="M86" s="8">
        <f>IF(A86="","",IF(SUMPRODUCT(MIN(('Store Prices'!$A$5:$A$304=A86)*'Store Prices'!$G$5:$G$304+('Store Prices'!$A$5:$A$304&lt;&gt;A86)*1000000))&gt;=1000000,"",SUMPRODUCT(MIN(('Store Prices'!$A$5:$A$304=A86)*'Store Prices'!$G$5:$G$304+('Store Prices'!$A$5:$A$304&lt;&gt;A86)*1000000))))</f>
        <v>0</v>
      </c>
      <c r="N86" s="8">
        <f>IF(OR(A86="",G86="",M86=""),"",G86-M86)</f>
        <v>0</v>
      </c>
      <c r="O86" s="8">
        <f>IF(OR(A86="",G86=""),"",IF(G86=M86,"Best",""))</f>
        <v>0</v>
      </c>
      <c r="P86" s="8">
        <f>IF(OR(A86="",G86=""),"",COUNTIFS('Store Prices'!$A$5:$A$304,A86,'Store Prices'!$G$5:$G$304,"&lt;"&amp;G86)+1)</f>
        <v>0</v>
      </c>
      <c r="Q86" s="25"/>
    </row>
    <row r="87" spans="1:17">
      <c r="A87" s="7"/>
      <c r="B87" s="27"/>
      <c r="C87" s="8">
        <f>IF(A87="","",IFERROR(INDEX(Ingredients!$B$5:$B$304,MATCH(A87,Ingredients!$A$5:$A$304,0)),""))</f>
        <v>0</v>
      </c>
      <c r="D87" s="27"/>
      <c r="E87" s="28"/>
      <c r="F87" s="26"/>
      <c r="G87" s="8">
        <f>IF(OR(E87="",F87="",F87=0),"",E87/F87)</f>
        <v>0</v>
      </c>
      <c r="H87" s="30"/>
      <c r="I87" s="27"/>
      <c r="J87" s="28"/>
      <c r="K87" s="8">
        <f>IF(OR(E87="",J87=""),"",J87-E87)</f>
        <v>0</v>
      </c>
      <c r="L87" s="8">
        <f>IF(OR(K87="",J87="",J87=0),"",K87/J87)</f>
        <v>0</v>
      </c>
      <c r="M87" s="8">
        <f>IF(A87="","",IF(SUMPRODUCT(MIN(('Store Prices'!$A$5:$A$304=A87)*'Store Prices'!$G$5:$G$304+('Store Prices'!$A$5:$A$304&lt;&gt;A87)*1000000))&gt;=1000000,"",SUMPRODUCT(MIN(('Store Prices'!$A$5:$A$304=A87)*'Store Prices'!$G$5:$G$304+('Store Prices'!$A$5:$A$304&lt;&gt;A87)*1000000))))</f>
        <v>0</v>
      </c>
      <c r="N87" s="8">
        <f>IF(OR(A87="",G87="",M87=""),"",G87-M87)</f>
        <v>0</v>
      </c>
      <c r="O87" s="8">
        <f>IF(OR(A87="",G87=""),"",IF(G87=M87,"Best",""))</f>
        <v>0</v>
      </c>
      <c r="P87" s="8">
        <f>IF(OR(A87="",G87=""),"",COUNTIFS('Store Prices'!$A$5:$A$304,A87,'Store Prices'!$G$5:$G$304,"&lt;"&amp;G87)+1)</f>
        <v>0</v>
      </c>
      <c r="Q87" s="25"/>
    </row>
    <row r="88" spans="1:17">
      <c r="A88" s="7"/>
      <c r="B88" s="27"/>
      <c r="C88" s="8">
        <f>IF(A88="","",IFERROR(INDEX(Ingredients!$B$5:$B$304,MATCH(A88,Ingredients!$A$5:$A$304,0)),""))</f>
        <v>0</v>
      </c>
      <c r="D88" s="27"/>
      <c r="E88" s="28"/>
      <c r="F88" s="26"/>
      <c r="G88" s="8">
        <f>IF(OR(E88="",F88="",F88=0),"",E88/F88)</f>
        <v>0</v>
      </c>
      <c r="H88" s="30"/>
      <c r="I88" s="27"/>
      <c r="J88" s="28"/>
      <c r="K88" s="8">
        <f>IF(OR(E88="",J88=""),"",J88-E88)</f>
        <v>0</v>
      </c>
      <c r="L88" s="8">
        <f>IF(OR(K88="",J88="",J88=0),"",K88/J88)</f>
        <v>0</v>
      </c>
      <c r="M88" s="8">
        <f>IF(A88="","",IF(SUMPRODUCT(MIN(('Store Prices'!$A$5:$A$304=A88)*'Store Prices'!$G$5:$G$304+('Store Prices'!$A$5:$A$304&lt;&gt;A88)*1000000))&gt;=1000000,"",SUMPRODUCT(MIN(('Store Prices'!$A$5:$A$304=A88)*'Store Prices'!$G$5:$G$304+('Store Prices'!$A$5:$A$304&lt;&gt;A88)*1000000))))</f>
        <v>0</v>
      </c>
      <c r="N88" s="8">
        <f>IF(OR(A88="",G88="",M88=""),"",G88-M88)</f>
        <v>0</v>
      </c>
      <c r="O88" s="8">
        <f>IF(OR(A88="",G88=""),"",IF(G88=M88,"Best",""))</f>
        <v>0</v>
      </c>
      <c r="P88" s="8">
        <f>IF(OR(A88="",G88=""),"",COUNTIFS('Store Prices'!$A$5:$A$304,A88,'Store Prices'!$G$5:$G$304,"&lt;"&amp;G88)+1)</f>
        <v>0</v>
      </c>
      <c r="Q88" s="25"/>
    </row>
    <row r="89" spans="1:17">
      <c r="A89" s="7"/>
      <c r="B89" s="27"/>
      <c r="C89" s="8">
        <f>IF(A89="","",IFERROR(INDEX(Ingredients!$B$5:$B$304,MATCH(A89,Ingredients!$A$5:$A$304,0)),""))</f>
        <v>0</v>
      </c>
      <c r="D89" s="27"/>
      <c r="E89" s="28"/>
      <c r="F89" s="26"/>
      <c r="G89" s="8">
        <f>IF(OR(E89="",F89="",F89=0),"",E89/F89)</f>
        <v>0</v>
      </c>
      <c r="H89" s="30"/>
      <c r="I89" s="27"/>
      <c r="J89" s="28"/>
      <c r="K89" s="8">
        <f>IF(OR(E89="",J89=""),"",J89-E89)</f>
        <v>0</v>
      </c>
      <c r="L89" s="8">
        <f>IF(OR(K89="",J89="",J89=0),"",K89/J89)</f>
        <v>0</v>
      </c>
      <c r="M89" s="8">
        <f>IF(A89="","",IF(SUMPRODUCT(MIN(('Store Prices'!$A$5:$A$304=A89)*'Store Prices'!$G$5:$G$304+('Store Prices'!$A$5:$A$304&lt;&gt;A89)*1000000))&gt;=1000000,"",SUMPRODUCT(MIN(('Store Prices'!$A$5:$A$304=A89)*'Store Prices'!$G$5:$G$304+('Store Prices'!$A$5:$A$304&lt;&gt;A89)*1000000))))</f>
        <v>0</v>
      </c>
      <c r="N89" s="8">
        <f>IF(OR(A89="",G89="",M89=""),"",G89-M89)</f>
        <v>0</v>
      </c>
      <c r="O89" s="8">
        <f>IF(OR(A89="",G89=""),"",IF(G89=M89,"Best",""))</f>
        <v>0</v>
      </c>
      <c r="P89" s="8">
        <f>IF(OR(A89="",G89=""),"",COUNTIFS('Store Prices'!$A$5:$A$304,A89,'Store Prices'!$G$5:$G$304,"&lt;"&amp;G89)+1)</f>
        <v>0</v>
      </c>
      <c r="Q89" s="25"/>
    </row>
    <row r="90" spans="1:17">
      <c r="A90" s="7"/>
      <c r="B90" s="27"/>
      <c r="C90" s="8">
        <f>IF(A90="","",IFERROR(INDEX(Ingredients!$B$5:$B$304,MATCH(A90,Ingredients!$A$5:$A$304,0)),""))</f>
        <v>0</v>
      </c>
      <c r="D90" s="27"/>
      <c r="E90" s="28"/>
      <c r="F90" s="26"/>
      <c r="G90" s="8">
        <f>IF(OR(E90="",F90="",F90=0),"",E90/F90)</f>
        <v>0</v>
      </c>
      <c r="H90" s="30"/>
      <c r="I90" s="27"/>
      <c r="J90" s="28"/>
      <c r="K90" s="8">
        <f>IF(OR(E90="",J90=""),"",J90-E90)</f>
        <v>0</v>
      </c>
      <c r="L90" s="8">
        <f>IF(OR(K90="",J90="",J90=0),"",K90/J90)</f>
        <v>0</v>
      </c>
      <c r="M90" s="8">
        <f>IF(A90="","",IF(SUMPRODUCT(MIN(('Store Prices'!$A$5:$A$304=A90)*'Store Prices'!$G$5:$G$304+('Store Prices'!$A$5:$A$304&lt;&gt;A90)*1000000))&gt;=1000000,"",SUMPRODUCT(MIN(('Store Prices'!$A$5:$A$304=A90)*'Store Prices'!$G$5:$G$304+('Store Prices'!$A$5:$A$304&lt;&gt;A90)*1000000))))</f>
        <v>0</v>
      </c>
      <c r="N90" s="8">
        <f>IF(OR(A90="",G90="",M90=""),"",G90-M90)</f>
        <v>0</v>
      </c>
      <c r="O90" s="8">
        <f>IF(OR(A90="",G90=""),"",IF(G90=M90,"Best",""))</f>
        <v>0</v>
      </c>
      <c r="P90" s="8">
        <f>IF(OR(A90="",G90=""),"",COUNTIFS('Store Prices'!$A$5:$A$304,A90,'Store Prices'!$G$5:$G$304,"&lt;"&amp;G90)+1)</f>
        <v>0</v>
      </c>
      <c r="Q90" s="25"/>
    </row>
    <row r="91" spans="1:17">
      <c r="A91" s="7"/>
      <c r="B91" s="27"/>
      <c r="C91" s="8">
        <f>IF(A91="","",IFERROR(INDEX(Ingredients!$B$5:$B$304,MATCH(A91,Ingredients!$A$5:$A$304,0)),""))</f>
        <v>0</v>
      </c>
      <c r="D91" s="27"/>
      <c r="E91" s="28"/>
      <c r="F91" s="26"/>
      <c r="G91" s="8">
        <f>IF(OR(E91="",F91="",F91=0),"",E91/F91)</f>
        <v>0</v>
      </c>
      <c r="H91" s="30"/>
      <c r="I91" s="27"/>
      <c r="J91" s="28"/>
      <c r="K91" s="8">
        <f>IF(OR(E91="",J91=""),"",J91-E91)</f>
        <v>0</v>
      </c>
      <c r="L91" s="8">
        <f>IF(OR(K91="",J91="",J91=0),"",K91/J91)</f>
        <v>0</v>
      </c>
      <c r="M91" s="8">
        <f>IF(A91="","",IF(SUMPRODUCT(MIN(('Store Prices'!$A$5:$A$304=A91)*'Store Prices'!$G$5:$G$304+('Store Prices'!$A$5:$A$304&lt;&gt;A91)*1000000))&gt;=1000000,"",SUMPRODUCT(MIN(('Store Prices'!$A$5:$A$304=A91)*'Store Prices'!$G$5:$G$304+('Store Prices'!$A$5:$A$304&lt;&gt;A91)*1000000))))</f>
        <v>0</v>
      </c>
      <c r="N91" s="8">
        <f>IF(OR(A91="",G91="",M91=""),"",G91-M91)</f>
        <v>0</v>
      </c>
      <c r="O91" s="8">
        <f>IF(OR(A91="",G91=""),"",IF(G91=M91,"Best",""))</f>
        <v>0</v>
      </c>
      <c r="P91" s="8">
        <f>IF(OR(A91="",G91=""),"",COUNTIFS('Store Prices'!$A$5:$A$304,A91,'Store Prices'!$G$5:$G$304,"&lt;"&amp;G91)+1)</f>
        <v>0</v>
      </c>
      <c r="Q91" s="25"/>
    </row>
    <row r="92" spans="1:17">
      <c r="A92" s="7"/>
      <c r="B92" s="27"/>
      <c r="C92" s="8">
        <f>IF(A92="","",IFERROR(INDEX(Ingredients!$B$5:$B$304,MATCH(A92,Ingredients!$A$5:$A$304,0)),""))</f>
        <v>0</v>
      </c>
      <c r="D92" s="27"/>
      <c r="E92" s="28"/>
      <c r="F92" s="26"/>
      <c r="G92" s="8">
        <f>IF(OR(E92="",F92="",F92=0),"",E92/F92)</f>
        <v>0</v>
      </c>
      <c r="H92" s="30"/>
      <c r="I92" s="27"/>
      <c r="J92" s="28"/>
      <c r="K92" s="8">
        <f>IF(OR(E92="",J92=""),"",J92-E92)</f>
        <v>0</v>
      </c>
      <c r="L92" s="8">
        <f>IF(OR(K92="",J92="",J92=0),"",K92/J92)</f>
        <v>0</v>
      </c>
      <c r="M92" s="8">
        <f>IF(A92="","",IF(SUMPRODUCT(MIN(('Store Prices'!$A$5:$A$304=A92)*'Store Prices'!$G$5:$G$304+('Store Prices'!$A$5:$A$304&lt;&gt;A92)*1000000))&gt;=1000000,"",SUMPRODUCT(MIN(('Store Prices'!$A$5:$A$304=A92)*'Store Prices'!$G$5:$G$304+('Store Prices'!$A$5:$A$304&lt;&gt;A92)*1000000))))</f>
        <v>0</v>
      </c>
      <c r="N92" s="8">
        <f>IF(OR(A92="",G92="",M92=""),"",G92-M92)</f>
        <v>0</v>
      </c>
      <c r="O92" s="8">
        <f>IF(OR(A92="",G92=""),"",IF(G92=M92,"Best",""))</f>
        <v>0</v>
      </c>
      <c r="P92" s="8">
        <f>IF(OR(A92="",G92=""),"",COUNTIFS('Store Prices'!$A$5:$A$304,A92,'Store Prices'!$G$5:$G$304,"&lt;"&amp;G92)+1)</f>
        <v>0</v>
      </c>
      <c r="Q92" s="25"/>
    </row>
    <row r="93" spans="1:17">
      <c r="A93" s="7"/>
      <c r="B93" s="27"/>
      <c r="C93" s="8">
        <f>IF(A93="","",IFERROR(INDEX(Ingredients!$B$5:$B$304,MATCH(A93,Ingredients!$A$5:$A$304,0)),""))</f>
        <v>0</v>
      </c>
      <c r="D93" s="27"/>
      <c r="E93" s="28"/>
      <c r="F93" s="26"/>
      <c r="G93" s="8">
        <f>IF(OR(E93="",F93="",F93=0),"",E93/F93)</f>
        <v>0</v>
      </c>
      <c r="H93" s="30"/>
      <c r="I93" s="27"/>
      <c r="J93" s="28"/>
      <c r="K93" s="8">
        <f>IF(OR(E93="",J93=""),"",J93-E93)</f>
        <v>0</v>
      </c>
      <c r="L93" s="8">
        <f>IF(OR(K93="",J93="",J93=0),"",K93/J93)</f>
        <v>0</v>
      </c>
      <c r="M93" s="8">
        <f>IF(A93="","",IF(SUMPRODUCT(MIN(('Store Prices'!$A$5:$A$304=A93)*'Store Prices'!$G$5:$G$304+('Store Prices'!$A$5:$A$304&lt;&gt;A93)*1000000))&gt;=1000000,"",SUMPRODUCT(MIN(('Store Prices'!$A$5:$A$304=A93)*'Store Prices'!$G$5:$G$304+('Store Prices'!$A$5:$A$304&lt;&gt;A93)*1000000))))</f>
        <v>0</v>
      </c>
      <c r="N93" s="8">
        <f>IF(OR(A93="",G93="",M93=""),"",G93-M93)</f>
        <v>0</v>
      </c>
      <c r="O93" s="8">
        <f>IF(OR(A93="",G93=""),"",IF(G93=M93,"Best",""))</f>
        <v>0</v>
      </c>
      <c r="P93" s="8">
        <f>IF(OR(A93="",G93=""),"",COUNTIFS('Store Prices'!$A$5:$A$304,A93,'Store Prices'!$G$5:$G$304,"&lt;"&amp;G93)+1)</f>
        <v>0</v>
      </c>
      <c r="Q93" s="25"/>
    </row>
    <row r="94" spans="1:17">
      <c r="A94" s="7"/>
      <c r="B94" s="27"/>
      <c r="C94" s="8">
        <f>IF(A94="","",IFERROR(INDEX(Ingredients!$B$5:$B$304,MATCH(A94,Ingredients!$A$5:$A$304,0)),""))</f>
        <v>0</v>
      </c>
      <c r="D94" s="27"/>
      <c r="E94" s="28"/>
      <c r="F94" s="26"/>
      <c r="G94" s="8">
        <f>IF(OR(E94="",F94="",F94=0),"",E94/F94)</f>
        <v>0</v>
      </c>
      <c r="H94" s="30"/>
      <c r="I94" s="27"/>
      <c r="J94" s="28"/>
      <c r="K94" s="8">
        <f>IF(OR(E94="",J94=""),"",J94-E94)</f>
        <v>0</v>
      </c>
      <c r="L94" s="8">
        <f>IF(OR(K94="",J94="",J94=0),"",K94/J94)</f>
        <v>0</v>
      </c>
      <c r="M94" s="8">
        <f>IF(A94="","",IF(SUMPRODUCT(MIN(('Store Prices'!$A$5:$A$304=A94)*'Store Prices'!$G$5:$G$304+('Store Prices'!$A$5:$A$304&lt;&gt;A94)*1000000))&gt;=1000000,"",SUMPRODUCT(MIN(('Store Prices'!$A$5:$A$304=A94)*'Store Prices'!$G$5:$G$304+('Store Prices'!$A$5:$A$304&lt;&gt;A94)*1000000))))</f>
        <v>0</v>
      </c>
      <c r="N94" s="8">
        <f>IF(OR(A94="",G94="",M94=""),"",G94-M94)</f>
        <v>0</v>
      </c>
      <c r="O94" s="8">
        <f>IF(OR(A94="",G94=""),"",IF(G94=M94,"Best",""))</f>
        <v>0</v>
      </c>
      <c r="P94" s="8">
        <f>IF(OR(A94="",G94=""),"",COUNTIFS('Store Prices'!$A$5:$A$304,A94,'Store Prices'!$G$5:$G$304,"&lt;"&amp;G94)+1)</f>
        <v>0</v>
      </c>
      <c r="Q94" s="25"/>
    </row>
    <row r="95" spans="1:17">
      <c r="A95" s="7"/>
      <c r="B95" s="27"/>
      <c r="C95" s="8">
        <f>IF(A95="","",IFERROR(INDEX(Ingredients!$B$5:$B$304,MATCH(A95,Ingredients!$A$5:$A$304,0)),""))</f>
        <v>0</v>
      </c>
      <c r="D95" s="27"/>
      <c r="E95" s="28"/>
      <c r="F95" s="26"/>
      <c r="G95" s="8">
        <f>IF(OR(E95="",F95="",F95=0),"",E95/F95)</f>
        <v>0</v>
      </c>
      <c r="H95" s="30"/>
      <c r="I95" s="27"/>
      <c r="J95" s="28"/>
      <c r="K95" s="8">
        <f>IF(OR(E95="",J95=""),"",J95-E95)</f>
        <v>0</v>
      </c>
      <c r="L95" s="8">
        <f>IF(OR(K95="",J95="",J95=0),"",K95/J95)</f>
        <v>0</v>
      </c>
      <c r="M95" s="8">
        <f>IF(A95="","",IF(SUMPRODUCT(MIN(('Store Prices'!$A$5:$A$304=A95)*'Store Prices'!$G$5:$G$304+('Store Prices'!$A$5:$A$304&lt;&gt;A95)*1000000))&gt;=1000000,"",SUMPRODUCT(MIN(('Store Prices'!$A$5:$A$304=A95)*'Store Prices'!$G$5:$G$304+('Store Prices'!$A$5:$A$304&lt;&gt;A95)*1000000))))</f>
        <v>0</v>
      </c>
      <c r="N95" s="8">
        <f>IF(OR(A95="",G95="",M95=""),"",G95-M95)</f>
        <v>0</v>
      </c>
      <c r="O95" s="8">
        <f>IF(OR(A95="",G95=""),"",IF(G95=M95,"Best",""))</f>
        <v>0</v>
      </c>
      <c r="P95" s="8">
        <f>IF(OR(A95="",G95=""),"",COUNTIFS('Store Prices'!$A$5:$A$304,A95,'Store Prices'!$G$5:$G$304,"&lt;"&amp;G95)+1)</f>
        <v>0</v>
      </c>
      <c r="Q95" s="25"/>
    </row>
    <row r="96" spans="1:17">
      <c r="A96" s="7"/>
      <c r="B96" s="27"/>
      <c r="C96" s="8">
        <f>IF(A96="","",IFERROR(INDEX(Ingredients!$B$5:$B$304,MATCH(A96,Ingredients!$A$5:$A$304,0)),""))</f>
        <v>0</v>
      </c>
      <c r="D96" s="27"/>
      <c r="E96" s="28"/>
      <c r="F96" s="26"/>
      <c r="G96" s="8">
        <f>IF(OR(E96="",F96="",F96=0),"",E96/F96)</f>
        <v>0</v>
      </c>
      <c r="H96" s="30"/>
      <c r="I96" s="27"/>
      <c r="J96" s="28"/>
      <c r="K96" s="8">
        <f>IF(OR(E96="",J96=""),"",J96-E96)</f>
        <v>0</v>
      </c>
      <c r="L96" s="8">
        <f>IF(OR(K96="",J96="",J96=0),"",K96/J96)</f>
        <v>0</v>
      </c>
      <c r="M96" s="8">
        <f>IF(A96="","",IF(SUMPRODUCT(MIN(('Store Prices'!$A$5:$A$304=A96)*'Store Prices'!$G$5:$G$304+('Store Prices'!$A$5:$A$304&lt;&gt;A96)*1000000))&gt;=1000000,"",SUMPRODUCT(MIN(('Store Prices'!$A$5:$A$304=A96)*'Store Prices'!$G$5:$G$304+('Store Prices'!$A$5:$A$304&lt;&gt;A96)*1000000))))</f>
        <v>0</v>
      </c>
      <c r="N96" s="8">
        <f>IF(OR(A96="",G96="",M96=""),"",G96-M96)</f>
        <v>0</v>
      </c>
      <c r="O96" s="8">
        <f>IF(OR(A96="",G96=""),"",IF(G96=M96,"Best",""))</f>
        <v>0</v>
      </c>
      <c r="P96" s="8">
        <f>IF(OR(A96="",G96=""),"",COUNTIFS('Store Prices'!$A$5:$A$304,A96,'Store Prices'!$G$5:$G$304,"&lt;"&amp;G96)+1)</f>
        <v>0</v>
      </c>
      <c r="Q96" s="25"/>
    </row>
    <row r="97" spans="1:17">
      <c r="A97" s="7"/>
      <c r="B97" s="27"/>
      <c r="C97" s="8">
        <f>IF(A97="","",IFERROR(INDEX(Ingredients!$B$5:$B$304,MATCH(A97,Ingredients!$A$5:$A$304,0)),""))</f>
        <v>0</v>
      </c>
      <c r="D97" s="27"/>
      <c r="E97" s="28"/>
      <c r="F97" s="26"/>
      <c r="G97" s="8">
        <f>IF(OR(E97="",F97="",F97=0),"",E97/F97)</f>
        <v>0</v>
      </c>
      <c r="H97" s="30"/>
      <c r="I97" s="27"/>
      <c r="J97" s="28"/>
      <c r="K97" s="8">
        <f>IF(OR(E97="",J97=""),"",J97-E97)</f>
        <v>0</v>
      </c>
      <c r="L97" s="8">
        <f>IF(OR(K97="",J97="",J97=0),"",K97/J97)</f>
        <v>0</v>
      </c>
      <c r="M97" s="8">
        <f>IF(A97="","",IF(SUMPRODUCT(MIN(('Store Prices'!$A$5:$A$304=A97)*'Store Prices'!$G$5:$G$304+('Store Prices'!$A$5:$A$304&lt;&gt;A97)*1000000))&gt;=1000000,"",SUMPRODUCT(MIN(('Store Prices'!$A$5:$A$304=A97)*'Store Prices'!$G$5:$G$304+('Store Prices'!$A$5:$A$304&lt;&gt;A97)*1000000))))</f>
        <v>0</v>
      </c>
      <c r="N97" s="8">
        <f>IF(OR(A97="",G97="",M97=""),"",G97-M97)</f>
        <v>0</v>
      </c>
      <c r="O97" s="8">
        <f>IF(OR(A97="",G97=""),"",IF(G97=M97,"Best",""))</f>
        <v>0</v>
      </c>
      <c r="P97" s="8">
        <f>IF(OR(A97="",G97=""),"",COUNTIFS('Store Prices'!$A$5:$A$304,A97,'Store Prices'!$G$5:$G$304,"&lt;"&amp;G97)+1)</f>
        <v>0</v>
      </c>
      <c r="Q97" s="25"/>
    </row>
    <row r="98" spans="1:17">
      <c r="A98" s="7"/>
      <c r="B98" s="27"/>
      <c r="C98" s="8">
        <f>IF(A98="","",IFERROR(INDEX(Ingredients!$B$5:$B$304,MATCH(A98,Ingredients!$A$5:$A$304,0)),""))</f>
        <v>0</v>
      </c>
      <c r="D98" s="27"/>
      <c r="E98" s="28"/>
      <c r="F98" s="26"/>
      <c r="G98" s="8">
        <f>IF(OR(E98="",F98="",F98=0),"",E98/F98)</f>
        <v>0</v>
      </c>
      <c r="H98" s="30"/>
      <c r="I98" s="27"/>
      <c r="J98" s="28"/>
      <c r="K98" s="8">
        <f>IF(OR(E98="",J98=""),"",J98-E98)</f>
        <v>0</v>
      </c>
      <c r="L98" s="8">
        <f>IF(OR(K98="",J98="",J98=0),"",K98/J98)</f>
        <v>0</v>
      </c>
      <c r="M98" s="8">
        <f>IF(A98="","",IF(SUMPRODUCT(MIN(('Store Prices'!$A$5:$A$304=A98)*'Store Prices'!$G$5:$G$304+('Store Prices'!$A$5:$A$304&lt;&gt;A98)*1000000))&gt;=1000000,"",SUMPRODUCT(MIN(('Store Prices'!$A$5:$A$304=A98)*'Store Prices'!$G$5:$G$304+('Store Prices'!$A$5:$A$304&lt;&gt;A98)*1000000))))</f>
        <v>0</v>
      </c>
      <c r="N98" s="8">
        <f>IF(OR(A98="",G98="",M98=""),"",G98-M98)</f>
        <v>0</v>
      </c>
      <c r="O98" s="8">
        <f>IF(OR(A98="",G98=""),"",IF(G98=M98,"Best",""))</f>
        <v>0</v>
      </c>
      <c r="P98" s="8">
        <f>IF(OR(A98="",G98=""),"",COUNTIFS('Store Prices'!$A$5:$A$304,A98,'Store Prices'!$G$5:$G$304,"&lt;"&amp;G98)+1)</f>
        <v>0</v>
      </c>
      <c r="Q98" s="25"/>
    </row>
    <row r="99" spans="1:17">
      <c r="A99" s="7"/>
      <c r="B99" s="27"/>
      <c r="C99" s="8">
        <f>IF(A99="","",IFERROR(INDEX(Ingredients!$B$5:$B$304,MATCH(A99,Ingredients!$A$5:$A$304,0)),""))</f>
        <v>0</v>
      </c>
      <c r="D99" s="27"/>
      <c r="E99" s="28"/>
      <c r="F99" s="26"/>
      <c r="G99" s="8">
        <f>IF(OR(E99="",F99="",F99=0),"",E99/F99)</f>
        <v>0</v>
      </c>
      <c r="H99" s="30"/>
      <c r="I99" s="27"/>
      <c r="J99" s="28"/>
      <c r="K99" s="8">
        <f>IF(OR(E99="",J99=""),"",J99-E99)</f>
        <v>0</v>
      </c>
      <c r="L99" s="8">
        <f>IF(OR(K99="",J99="",J99=0),"",K99/J99)</f>
        <v>0</v>
      </c>
      <c r="M99" s="8">
        <f>IF(A99="","",IF(SUMPRODUCT(MIN(('Store Prices'!$A$5:$A$304=A99)*'Store Prices'!$G$5:$G$304+('Store Prices'!$A$5:$A$304&lt;&gt;A99)*1000000))&gt;=1000000,"",SUMPRODUCT(MIN(('Store Prices'!$A$5:$A$304=A99)*'Store Prices'!$G$5:$G$304+('Store Prices'!$A$5:$A$304&lt;&gt;A99)*1000000))))</f>
        <v>0</v>
      </c>
      <c r="N99" s="8">
        <f>IF(OR(A99="",G99="",M99=""),"",G99-M99)</f>
        <v>0</v>
      </c>
      <c r="O99" s="8">
        <f>IF(OR(A99="",G99=""),"",IF(G99=M99,"Best",""))</f>
        <v>0</v>
      </c>
      <c r="P99" s="8">
        <f>IF(OR(A99="",G99=""),"",COUNTIFS('Store Prices'!$A$5:$A$304,A99,'Store Prices'!$G$5:$G$304,"&lt;"&amp;G99)+1)</f>
        <v>0</v>
      </c>
      <c r="Q99" s="25"/>
    </row>
    <row r="100" spans="1:17">
      <c r="A100" s="7"/>
      <c r="B100" s="27"/>
      <c r="C100" s="8">
        <f>IF(A100="","",IFERROR(INDEX(Ingredients!$B$5:$B$304,MATCH(A100,Ingredients!$A$5:$A$304,0)),""))</f>
        <v>0</v>
      </c>
      <c r="D100" s="27"/>
      <c r="E100" s="28"/>
      <c r="F100" s="26"/>
      <c r="G100" s="8">
        <f>IF(OR(E100="",F100="",F100=0),"",E100/F100)</f>
        <v>0</v>
      </c>
      <c r="H100" s="30"/>
      <c r="I100" s="27"/>
      <c r="J100" s="28"/>
      <c r="K100" s="8">
        <f>IF(OR(E100="",J100=""),"",J100-E100)</f>
        <v>0</v>
      </c>
      <c r="L100" s="8">
        <f>IF(OR(K100="",J100="",J100=0),"",K100/J100)</f>
        <v>0</v>
      </c>
      <c r="M100" s="8">
        <f>IF(A100="","",IF(SUMPRODUCT(MIN(('Store Prices'!$A$5:$A$304=A100)*'Store Prices'!$G$5:$G$304+('Store Prices'!$A$5:$A$304&lt;&gt;A100)*1000000))&gt;=1000000,"",SUMPRODUCT(MIN(('Store Prices'!$A$5:$A$304=A100)*'Store Prices'!$G$5:$G$304+('Store Prices'!$A$5:$A$304&lt;&gt;A100)*1000000))))</f>
        <v>0</v>
      </c>
      <c r="N100" s="8">
        <f>IF(OR(A100="",G100="",M100=""),"",G100-M100)</f>
        <v>0</v>
      </c>
      <c r="O100" s="8">
        <f>IF(OR(A100="",G100=""),"",IF(G100=M100,"Best",""))</f>
        <v>0</v>
      </c>
      <c r="P100" s="8">
        <f>IF(OR(A100="",G100=""),"",COUNTIFS('Store Prices'!$A$5:$A$304,A100,'Store Prices'!$G$5:$G$304,"&lt;"&amp;G100)+1)</f>
        <v>0</v>
      </c>
      <c r="Q100" s="25"/>
    </row>
    <row r="101" spans="1:17">
      <c r="A101" s="7"/>
      <c r="B101" s="27"/>
      <c r="C101" s="8">
        <f>IF(A101="","",IFERROR(INDEX(Ingredients!$B$5:$B$304,MATCH(A101,Ingredients!$A$5:$A$304,0)),""))</f>
        <v>0</v>
      </c>
      <c r="D101" s="27"/>
      <c r="E101" s="28"/>
      <c r="F101" s="26"/>
      <c r="G101" s="8">
        <f>IF(OR(E101="",F101="",F101=0),"",E101/F101)</f>
        <v>0</v>
      </c>
      <c r="H101" s="30"/>
      <c r="I101" s="27"/>
      <c r="J101" s="28"/>
      <c r="K101" s="8">
        <f>IF(OR(E101="",J101=""),"",J101-E101)</f>
        <v>0</v>
      </c>
      <c r="L101" s="8">
        <f>IF(OR(K101="",J101="",J101=0),"",K101/J101)</f>
        <v>0</v>
      </c>
      <c r="M101" s="8">
        <f>IF(A101="","",IF(SUMPRODUCT(MIN(('Store Prices'!$A$5:$A$304=A101)*'Store Prices'!$G$5:$G$304+('Store Prices'!$A$5:$A$304&lt;&gt;A101)*1000000))&gt;=1000000,"",SUMPRODUCT(MIN(('Store Prices'!$A$5:$A$304=A101)*'Store Prices'!$G$5:$G$304+('Store Prices'!$A$5:$A$304&lt;&gt;A101)*1000000))))</f>
        <v>0</v>
      </c>
      <c r="N101" s="8">
        <f>IF(OR(A101="",G101="",M101=""),"",G101-M101)</f>
        <v>0</v>
      </c>
      <c r="O101" s="8">
        <f>IF(OR(A101="",G101=""),"",IF(G101=M101,"Best",""))</f>
        <v>0</v>
      </c>
      <c r="P101" s="8">
        <f>IF(OR(A101="",G101=""),"",COUNTIFS('Store Prices'!$A$5:$A$304,A101,'Store Prices'!$G$5:$G$304,"&lt;"&amp;G101)+1)</f>
        <v>0</v>
      </c>
      <c r="Q101" s="25"/>
    </row>
    <row r="102" spans="1:17">
      <c r="A102" s="7"/>
      <c r="B102" s="27"/>
      <c r="C102" s="8">
        <f>IF(A102="","",IFERROR(INDEX(Ingredients!$B$5:$B$304,MATCH(A102,Ingredients!$A$5:$A$304,0)),""))</f>
        <v>0</v>
      </c>
      <c r="D102" s="27"/>
      <c r="E102" s="28"/>
      <c r="F102" s="26"/>
      <c r="G102" s="8">
        <f>IF(OR(E102="",F102="",F102=0),"",E102/F102)</f>
        <v>0</v>
      </c>
      <c r="H102" s="30"/>
      <c r="I102" s="27"/>
      <c r="J102" s="28"/>
      <c r="K102" s="8">
        <f>IF(OR(E102="",J102=""),"",J102-E102)</f>
        <v>0</v>
      </c>
      <c r="L102" s="8">
        <f>IF(OR(K102="",J102="",J102=0),"",K102/J102)</f>
        <v>0</v>
      </c>
      <c r="M102" s="8">
        <f>IF(A102="","",IF(SUMPRODUCT(MIN(('Store Prices'!$A$5:$A$304=A102)*'Store Prices'!$G$5:$G$304+('Store Prices'!$A$5:$A$304&lt;&gt;A102)*1000000))&gt;=1000000,"",SUMPRODUCT(MIN(('Store Prices'!$A$5:$A$304=A102)*'Store Prices'!$G$5:$G$304+('Store Prices'!$A$5:$A$304&lt;&gt;A102)*1000000))))</f>
        <v>0</v>
      </c>
      <c r="N102" s="8">
        <f>IF(OR(A102="",G102="",M102=""),"",G102-M102)</f>
        <v>0</v>
      </c>
      <c r="O102" s="8">
        <f>IF(OR(A102="",G102=""),"",IF(G102=M102,"Best",""))</f>
        <v>0</v>
      </c>
      <c r="P102" s="8">
        <f>IF(OR(A102="",G102=""),"",COUNTIFS('Store Prices'!$A$5:$A$304,A102,'Store Prices'!$G$5:$G$304,"&lt;"&amp;G102)+1)</f>
        <v>0</v>
      </c>
      <c r="Q102" s="25"/>
    </row>
    <row r="103" spans="1:17">
      <c r="A103" s="7"/>
      <c r="B103" s="27"/>
      <c r="C103" s="8">
        <f>IF(A103="","",IFERROR(INDEX(Ingredients!$B$5:$B$304,MATCH(A103,Ingredients!$A$5:$A$304,0)),""))</f>
        <v>0</v>
      </c>
      <c r="D103" s="27"/>
      <c r="E103" s="28"/>
      <c r="F103" s="26"/>
      <c r="G103" s="8">
        <f>IF(OR(E103="",F103="",F103=0),"",E103/F103)</f>
        <v>0</v>
      </c>
      <c r="H103" s="30"/>
      <c r="I103" s="27"/>
      <c r="J103" s="28"/>
      <c r="K103" s="8">
        <f>IF(OR(E103="",J103=""),"",J103-E103)</f>
        <v>0</v>
      </c>
      <c r="L103" s="8">
        <f>IF(OR(K103="",J103="",J103=0),"",K103/J103)</f>
        <v>0</v>
      </c>
      <c r="M103" s="8">
        <f>IF(A103="","",IF(SUMPRODUCT(MIN(('Store Prices'!$A$5:$A$304=A103)*'Store Prices'!$G$5:$G$304+('Store Prices'!$A$5:$A$304&lt;&gt;A103)*1000000))&gt;=1000000,"",SUMPRODUCT(MIN(('Store Prices'!$A$5:$A$304=A103)*'Store Prices'!$G$5:$G$304+('Store Prices'!$A$5:$A$304&lt;&gt;A103)*1000000))))</f>
        <v>0</v>
      </c>
      <c r="N103" s="8">
        <f>IF(OR(A103="",G103="",M103=""),"",G103-M103)</f>
        <v>0</v>
      </c>
      <c r="O103" s="8">
        <f>IF(OR(A103="",G103=""),"",IF(G103=M103,"Best",""))</f>
        <v>0</v>
      </c>
      <c r="P103" s="8">
        <f>IF(OR(A103="",G103=""),"",COUNTIFS('Store Prices'!$A$5:$A$304,A103,'Store Prices'!$G$5:$G$304,"&lt;"&amp;G103)+1)</f>
        <v>0</v>
      </c>
      <c r="Q103" s="25"/>
    </row>
    <row r="104" spans="1:17">
      <c r="A104" s="7"/>
      <c r="B104" s="27"/>
      <c r="C104" s="8">
        <f>IF(A104="","",IFERROR(INDEX(Ingredients!$B$5:$B$304,MATCH(A104,Ingredients!$A$5:$A$304,0)),""))</f>
        <v>0</v>
      </c>
      <c r="D104" s="27"/>
      <c r="E104" s="28"/>
      <c r="F104" s="26"/>
      <c r="G104" s="8">
        <f>IF(OR(E104="",F104="",F104=0),"",E104/F104)</f>
        <v>0</v>
      </c>
      <c r="H104" s="30"/>
      <c r="I104" s="27"/>
      <c r="J104" s="28"/>
      <c r="K104" s="8">
        <f>IF(OR(E104="",J104=""),"",J104-E104)</f>
        <v>0</v>
      </c>
      <c r="L104" s="8">
        <f>IF(OR(K104="",J104="",J104=0),"",K104/J104)</f>
        <v>0</v>
      </c>
      <c r="M104" s="8">
        <f>IF(A104="","",IF(SUMPRODUCT(MIN(('Store Prices'!$A$5:$A$304=A104)*'Store Prices'!$G$5:$G$304+('Store Prices'!$A$5:$A$304&lt;&gt;A104)*1000000))&gt;=1000000,"",SUMPRODUCT(MIN(('Store Prices'!$A$5:$A$304=A104)*'Store Prices'!$G$5:$G$304+('Store Prices'!$A$5:$A$304&lt;&gt;A104)*1000000))))</f>
        <v>0</v>
      </c>
      <c r="N104" s="8">
        <f>IF(OR(A104="",G104="",M104=""),"",G104-M104)</f>
        <v>0</v>
      </c>
      <c r="O104" s="8">
        <f>IF(OR(A104="",G104=""),"",IF(G104=M104,"Best",""))</f>
        <v>0</v>
      </c>
      <c r="P104" s="8">
        <f>IF(OR(A104="",G104=""),"",COUNTIFS('Store Prices'!$A$5:$A$304,A104,'Store Prices'!$G$5:$G$304,"&lt;"&amp;G104)+1)</f>
        <v>0</v>
      </c>
      <c r="Q104" s="25"/>
    </row>
    <row r="105" spans="1:17">
      <c r="A105" s="7"/>
      <c r="B105" s="27"/>
      <c r="C105" s="8">
        <f>IF(A105="","",IFERROR(INDEX(Ingredients!$B$5:$B$304,MATCH(A105,Ingredients!$A$5:$A$304,0)),""))</f>
        <v>0</v>
      </c>
      <c r="D105" s="27"/>
      <c r="E105" s="28"/>
      <c r="F105" s="26"/>
      <c r="G105" s="8">
        <f>IF(OR(E105="",F105="",F105=0),"",E105/F105)</f>
        <v>0</v>
      </c>
      <c r="H105" s="30"/>
      <c r="I105" s="27"/>
      <c r="J105" s="28"/>
      <c r="K105" s="8">
        <f>IF(OR(E105="",J105=""),"",J105-E105)</f>
        <v>0</v>
      </c>
      <c r="L105" s="8">
        <f>IF(OR(K105="",J105="",J105=0),"",K105/J105)</f>
        <v>0</v>
      </c>
      <c r="M105" s="8">
        <f>IF(A105="","",IF(SUMPRODUCT(MIN(('Store Prices'!$A$5:$A$304=A105)*'Store Prices'!$G$5:$G$304+('Store Prices'!$A$5:$A$304&lt;&gt;A105)*1000000))&gt;=1000000,"",SUMPRODUCT(MIN(('Store Prices'!$A$5:$A$304=A105)*'Store Prices'!$G$5:$G$304+('Store Prices'!$A$5:$A$304&lt;&gt;A105)*1000000))))</f>
        <v>0</v>
      </c>
      <c r="N105" s="8">
        <f>IF(OR(A105="",G105="",M105=""),"",G105-M105)</f>
        <v>0</v>
      </c>
      <c r="O105" s="8">
        <f>IF(OR(A105="",G105=""),"",IF(G105=M105,"Best",""))</f>
        <v>0</v>
      </c>
      <c r="P105" s="8">
        <f>IF(OR(A105="",G105=""),"",COUNTIFS('Store Prices'!$A$5:$A$304,A105,'Store Prices'!$G$5:$G$304,"&lt;"&amp;G105)+1)</f>
        <v>0</v>
      </c>
      <c r="Q105" s="25"/>
    </row>
    <row r="106" spans="1:17">
      <c r="A106" s="7"/>
      <c r="B106" s="27"/>
      <c r="C106" s="8">
        <f>IF(A106="","",IFERROR(INDEX(Ingredients!$B$5:$B$304,MATCH(A106,Ingredients!$A$5:$A$304,0)),""))</f>
        <v>0</v>
      </c>
      <c r="D106" s="27"/>
      <c r="E106" s="28"/>
      <c r="F106" s="26"/>
      <c r="G106" s="8">
        <f>IF(OR(E106="",F106="",F106=0),"",E106/F106)</f>
        <v>0</v>
      </c>
      <c r="H106" s="30"/>
      <c r="I106" s="27"/>
      <c r="J106" s="28"/>
      <c r="K106" s="8">
        <f>IF(OR(E106="",J106=""),"",J106-E106)</f>
        <v>0</v>
      </c>
      <c r="L106" s="8">
        <f>IF(OR(K106="",J106="",J106=0),"",K106/J106)</f>
        <v>0</v>
      </c>
      <c r="M106" s="8">
        <f>IF(A106="","",IF(SUMPRODUCT(MIN(('Store Prices'!$A$5:$A$304=A106)*'Store Prices'!$G$5:$G$304+('Store Prices'!$A$5:$A$304&lt;&gt;A106)*1000000))&gt;=1000000,"",SUMPRODUCT(MIN(('Store Prices'!$A$5:$A$304=A106)*'Store Prices'!$G$5:$G$304+('Store Prices'!$A$5:$A$304&lt;&gt;A106)*1000000))))</f>
        <v>0</v>
      </c>
      <c r="N106" s="8">
        <f>IF(OR(A106="",G106="",M106=""),"",G106-M106)</f>
        <v>0</v>
      </c>
      <c r="O106" s="8">
        <f>IF(OR(A106="",G106=""),"",IF(G106=M106,"Best",""))</f>
        <v>0</v>
      </c>
      <c r="P106" s="8">
        <f>IF(OR(A106="",G106=""),"",COUNTIFS('Store Prices'!$A$5:$A$304,A106,'Store Prices'!$G$5:$G$304,"&lt;"&amp;G106)+1)</f>
        <v>0</v>
      </c>
      <c r="Q106" s="25"/>
    </row>
    <row r="107" spans="1:17">
      <c r="A107" s="7"/>
      <c r="B107" s="27"/>
      <c r="C107" s="8">
        <f>IF(A107="","",IFERROR(INDEX(Ingredients!$B$5:$B$304,MATCH(A107,Ingredients!$A$5:$A$304,0)),""))</f>
        <v>0</v>
      </c>
      <c r="D107" s="27"/>
      <c r="E107" s="28"/>
      <c r="F107" s="26"/>
      <c r="G107" s="8">
        <f>IF(OR(E107="",F107="",F107=0),"",E107/F107)</f>
        <v>0</v>
      </c>
      <c r="H107" s="30"/>
      <c r="I107" s="27"/>
      <c r="J107" s="28"/>
      <c r="K107" s="8">
        <f>IF(OR(E107="",J107=""),"",J107-E107)</f>
        <v>0</v>
      </c>
      <c r="L107" s="8">
        <f>IF(OR(K107="",J107="",J107=0),"",K107/J107)</f>
        <v>0</v>
      </c>
      <c r="M107" s="8">
        <f>IF(A107="","",IF(SUMPRODUCT(MIN(('Store Prices'!$A$5:$A$304=A107)*'Store Prices'!$G$5:$G$304+('Store Prices'!$A$5:$A$304&lt;&gt;A107)*1000000))&gt;=1000000,"",SUMPRODUCT(MIN(('Store Prices'!$A$5:$A$304=A107)*'Store Prices'!$G$5:$G$304+('Store Prices'!$A$5:$A$304&lt;&gt;A107)*1000000))))</f>
        <v>0</v>
      </c>
      <c r="N107" s="8">
        <f>IF(OR(A107="",G107="",M107=""),"",G107-M107)</f>
        <v>0</v>
      </c>
      <c r="O107" s="8">
        <f>IF(OR(A107="",G107=""),"",IF(G107=M107,"Best",""))</f>
        <v>0</v>
      </c>
      <c r="P107" s="8">
        <f>IF(OR(A107="",G107=""),"",COUNTIFS('Store Prices'!$A$5:$A$304,A107,'Store Prices'!$G$5:$G$304,"&lt;"&amp;G107)+1)</f>
        <v>0</v>
      </c>
      <c r="Q107" s="25"/>
    </row>
    <row r="108" spans="1:17">
      <c r="A108" s="7"/>
      <c r="B108" s="27"/>
      <c r="C108" s="8">
        <f>IF(A108="","",IFERROR(INDEX(Ingredients!$B$5:$B$304,MATCH(A108,Ingredients!$A$5:$A$304,0)),""))</f>
        <v>0</v>
      </c>
      <c r="D108" s="27"/>
      <c r="E108" s="28"/>
      <c r="F108" s="26"/>
      <c r="G108" s="8">
        <f>IF(OR(E108="",F108="",F108=0),"",E108/F108)</f>
        <v>0</v>
      </c>
      <c r="H108" s="30"/>
      <c r="I108" s="27"/>
      <c r="J108" s="28"/>
      <c r="K108" s="8">
        <f>IF(OR(E108="",J108=""),"",J108-E108)</f>
        <v>0</v>
      </c>
      <c r="L108" s="8">
        <f>IF(OR(K108="",J108="",J108=0),"",K108/J108)</f>
        <v>0</v>
      </c>
      <c r="M108" s="8">
        <f>IF(A108="","",IF(SUMPRODUCT(MIN(('Store Prices'!$A$5:$A$304=A108)*'Store Prices'!$G$5:$G$304+('Store Prices'!$A$5:$A$304&lt;&gt;A108)*1000000))&gt;=1000000,"",SUMPRODUCT(MIN(('Store Prices'!$A$5:$A$304=A108)*'Store Prices'!$G$5:$G$304+('Store Prices'!$A$5:$A$304&lt;&gt;A108)*1000000))))</f>
        <v>0</v>
      </c>
      <c r="N108" s="8">
        <f>IF(OR(A108="",G108="",M108=""),"",G108-M108)</f>
        <v>0</v>
      </c>
      <c r="O108" s="8">
        <f>IF(OR(A108="",G108=""),"",IF(G108=M108,"Best",""))</f>
        <v>0</v>
      </c>
      <c r="P108" s="8">
        <f>IF(OR(A108="",G108=""),"",COUNTIFS('Store Prices'!$A$5:$A$304,A108,'Store Prices'!$G$5:$G$304,"&lt;"&amp;G108)+1)</f>
        <v>0</v>
      </c>
      <c r="Q108" s="25"/>
    </row>
    <row r="109" spans="1:17">
      <c r="A109" s="7"/>
      <c r="B109" s="27"/>
      <c r="C109" s="8">
        <f>IF(A109="","",IFERROR(INDEX(Ingredients!$B$5:$B$304,MATCH(A109,Ingredients!$A$5:$A$304,0)),""))</f>
        <v>0</v>
      </c>
      <c r="D109" s="27"/>
      <c r="E109" s="28"/>
      <c r="F109" s="26"/>
      <c r="G109" s="8">
        <f>IF(OR(E109="",F109="",F109=0),"",E109/F109)</f>
        <v>0</v>
      </c>
      <c r="H109" s="30"/>
      <c r="I109" s="27"/>
      <c r="J109" s="28"/>
      <c r="K109" s="8">
        <f>IF(OR(E109="",J109=""),"",J109-E109)</f>
        <v>0</v>
      </c>
      <c r="L109" s="8">
        <f>IF(OR(K109="",J109="",J109=0),"",K109/J109)</f>
        <v>0</v>
      </c>
      <c r="M109" s="8">
        <f>IF(A109="","",IF(SUMPRODUCT(MIN(('Store Prices'!$A$5:$A$304=A109)*'Store Prices'!$G$5:$G$304+('Store Prices'!$A$5:$A$304&lt;&gt;A109)*1000000))&gt;=1000000,"",SUMPRODUCT(MIN(('Store Prices'!$A$5:$A$304=A109)*'Store Prices'!$G$5:$G$304+('Store Prices'!$A$5:$A$304&lt;&gt;A109)*1000000))))</f>
        <v>0</v>
      </c>
      <c r="N109" s="8">
        <f>IF(OR(A109="",G109="",M109=""),"",G109-M109)</f>
        <v>0</v>
      </c>
      <c r="O109" s="8">
        <f>IF(OR(A109="",G109=""),"",IF(G109=M109,"Best",""))</f>
        <v>0</v>
      </c>
      <c r="P109" s="8">
        <f>IF(OR(A109="",G109=""),"",COUNTIFS('Store Prices'!$A$5:$A$304,A109,'Store Prices'!$G$5:$G$304,"&lt;"&amp;G109)+1)</f>
        <v>0</v>
      </c>
      <c r="Q109" s="25"/>
    </row>
    <row r="110" spans="1:17">
      <c r="A110" s="7"/>
      <c r="B110" s="27"/>
      <c r="C110" s="8">
        <f>IF(A110="","",IFERROR(INDEX(Ingredients!$B$5:$B$304,MATCH(A110,Ingredients!$A$5:$A$304,0)),""))</f>
        <v>0</v>
      </c>
      <c r="D110" s="27"/>
      <c r="E110" s="28"/>
      <c r="F110" s="26"/>
      <c r="G110" s="8">
        <f>IF(OR(E110="",F110="",F110=0),"",E110/F110)</f>
        <v>0</v>
      </c>
      <c r="H110" s="30"/>
      <c r="I110" s="27"/>
      <c r="J110" s="28"/>
      <c r="K110" s="8">
        <f>IF(OR(E110="",J110=""),"",J110-E110)</f>
        <v>0</v>
      </c>
      <c r="L110" s="8">
        <f>IF(OR(K110="",J110="",J110=0),"",K110/J110)</f>
        <v>0</v>
      </c>
      <c r="M110" s="8">
        <f>IF(A110="","",IF(SUMPRODUCT(MIN(('Store Prices'!$A$5:$A$304=A110)*'Store Prices'!$G$5:$G$304+('Store Prices'!$A$5:$A$304&lt;&gt;A110)*1000000))&gt;=1000000,"",SUMPRODUCT(MIN(('Store Prices'!$A$5:$A$304=A110)*'Store Prices'!$G$5:$G$304+('Store Prices'!$A$5:$A$304&lt;&gt;A110)*1000000))))</f>
        <v>0</v>
      </c>
      <c r="N110" s="8">
        <f>IF(OR(A110="",G110="",M110=""),"",G110-M110)</f>
        <v>0</v>
      </c>
      <c r="O110" s="8">
        <f>IF(OR(A110="",G110=""),"",IF(G110=M110,"Best",""))</f>
        <v>0</v>
      </c>
      <c r="P110" s="8">
        <f>IF(OR(A110="",G110=""),"",COUNTIFS('Store Prices'!$A$5:$A$304,A110,'Store Prices'!$G$5:$G$304,"&lt;"&amp;G110)+1)</f>
        <v>0</v>
      </c>
      <c r="Q110" s="25"/>
    </row>
    <row r="111" spans="1:17">
      <c r="A111" s="7"/>
      <c r="B111" s="27"/>
      <c r="C111" s="8">
        <f>IF(A111="","",IFERROR(INDEX(Ingredients!$B$5:$B$304,MATCH(A111,Ingredients!$A$5:$A$304,0)),""))</f>
        <v>0</v>
      </c>
      <c r="D111" s="27"/>
      <c r="E111" s="28"/>
      <c r="F111" s="26"/>
      <c r="G111" s="8">
        <f>IF(OR(E111="",F111="",F111=0),"",E111/F111)</f>
        <v>0</v>
      </c>
      <c r="H111" s="30"/>
      <c r="I111" s="27"/>
      <c r="J111" s="28"/>
      <c r="K111" s="8">
        <f>IF(OR(E111="",J111=""),"",J111-E111)</f>
        <v>0</v>
      </c>
      <c r="L111" s="8">
        <f>IF(OR(K111="",J111="",J111=0),"",K111/J111)</f>
        <v>0</v>
      </c>
      <c r="M111" s="8">
        <f>IF(A111="","",IF(SUMPRODUCT(MIN(('Store Prices'!$A$5:$A$304=A111)*'Store Prices'!$G$5:$G$304+('Store Prices'!$A$5:$A$304&lt;&gt;A111)*1000000))&gt;=1000000,"",SUMPRODUCT(MIN(('Store Prices'!$A$5:$A$304=A111)*'Store Prices'!$G$5:$G$304+('Store Prices'!$A$5:$A$304&lt;&gt;A111)*1000000))))</f>
        <v>0</v>
      </c>
      <c r="N111" s="8">
        <f>IF(OR(A111="",G111="",M111=""),"",G111-M111)</f>
        <v>0</v>
      </c>
      <c r="O111" s="8">
        <f>IF(OR(A111="",G111=""),"",IF(G111=M111,"Best",""))</f>
        <v>0</v>
      </c>
      <c r="P111" s="8">
        <f>IF(OR(A111="",G111=""),"",COUNTIFS('Store Prices'!$A$5:$A$304,A111,'Store Prices'!$G$5:$G$304,"&lt;"&amp;G111)+1)</f>
        <v>0</v>
      </c>
      <c r="Q111" s="25"/>
    </row>
    <row r="112" spans="1:17">
      <c r="A112" s="7"/>
      <c r="B112" s="27"/>
      <c r="C112" s="8">
        <f>IF(A112="","",IFERROR(INDEX(Ingredients!$B$5:$B$304,MATCH(A112,Ingredients!$A$5:$A$304,0)),""))</f>
        <v>0</v>
      </c>
      <c r="D112" s="27"/>
      <c r="E112" s="28"/>
      <c r="F112" s="26"/>
      <c r="G112" s="8">
        <f>IF(OR(E112="",F112="",F112=0),"",E112/F112)</f>
        <v>0</v>
      </c>
      <c r="H112" s="30"/>
      <c r="I112" s="27"/>
      <c r="J112" s="28"/>
      <c r="K112" s="8">
        <f>IF(OR(E112="",J112=""),"",J112-E112)</f>
        <v>0</v>
      </c>
      <c r="L112" s="8">
        <f>IF(OR(K112="",J112="",J112=0),"",K112/J112)</f>
        <v>0</v>
      </c>
      <c r="M112" s="8">
        <f>IF(A112="","",IF(SUMPRODUCT(MIN(('Store Prices'!$A$5:$A$304=A112)*'Store Prices'!$G$5:$G$304+('Store Prices'!$A$5:$A$304&lt;&gt;A112)*1000000))&gt;=1000000,"",SUMPRODUCT(MIN(('Store Prices'!$A$5:$A$304=A112)*'Store Prices'!$G$5:$G$304+('Store Prices'!$A$5:$A$304&lt;&gt;A112)*1000000))))</f>
        <v>0</v>
      </c>
      <c r="N112" s="8">
        <f>IF(OR(A112="",G112="",M112=""),"",G112-M112)</f>
        <v>0</v>
      </c>
      <c r="O112" s="8">
        <f>IF(OR(A112="",G112=""),"",IF(G112=M112,"Best",""))</f>
        <v>0</v>
      </c>
      <c r="P112" s="8">
        <f>IF(OR(A112="",G112=""),"",COUNTIFS('Store Prices'!$A$5:$A$304,A112,'Store Prices'!$G$5:$G$304,"&lt;"&amp;G112)+1)</f>
        <v>0</v>
      </c>
      <c r="Q112" s="25"/>
    </row>
    <row r="113" spans="1:17">
      <c r="A113" s="7"/>
      <c r="B113" s="27"/>
      <c r="C113" s="8">
        <f>IF(A113="","",IFERROR(INDEX(Ingredients!$B$5:$B$304,MATCH(A113,Ingredients!$A$5:$A$304,0)),""))</f>
        <v>0</v>
      </c>
      <c r="D113" s="27"/>
      <c r="E113" s="28"/>
      <c r="F113" s="26"/>
      <c r="G113" s="8">
        <f>IF(OR(E113="",F113="",F113=0),"",E113/F113)</f>
        <v>0</v>
      </c>
      <c r="H113" s="30"/>
      <c r="I113" s="27"/>
      <c r="J113" s="28"/>
      <c r="K113" s="8">
        <f>IF(OR(E113="",J113=""),"",J113-E113)</f>
        <v>0</v>
      </c>
      <c r="L113" s="8">
        <f>IF(OR(K113="",J113="",J113=0),"",K113/J113)</f>
        <v>0</v>
      </c>
      <c r="M113" s="8">
        <f>IF(A113="","",IF(SUMPRODUCT(MIN(('Store Prices'!$A$5:$A$304=A113)*'Store Prices'!$G$5:$G$304+('Store Prices'!$A$5:$A$304&lt;&gt;A113)*1000000))&gt;=1000000,"",SUMPRODUCT(MIN(('Store Prices'!$A$5:$A$304=A113)*'Store Prices'!$G$5:$G$304+('Store Prices'!$A$5:$A$304&lt;&gt;A113)*1000000))))</f>
        <v>0</v>
      </c>
      <c r="N113" s="8">
        <f>IF(OR(A113="",G113="",M113=""),"",G113-M113)</f>
        <v>0</v>
      </c>
      <c r="O113" s="8">
        <f>IF(OR(A113="",G113=""),"",IF(G113=M113,"Best",""))</f>
        <v>0</v>
      </c>
      <c r="P113" s="8">
        <f>IF(OR(A113="",G113=""),"",COUNTIFS('Store Prices'!$A$5:$A$304,A113,'Store Prices'!$G$5:$G$304,"&lt;"&amp;G113)+1)</f>
        <v>0</v>
      </c>
      <c r="Q113" s="25"/>
    </row>
    <row r="114" spans="1:17">
      <c r="A114" s="7"/>
      <c r="B114" s="27"/>
      <c r="C114" s="8">
        <f>IF(A114="","",IFERROR(INDEX(Ingredients!$B$5:$B$304,MATCH(A114,Ingredients!$A$5:$A$304,0)),""))</f>
        <v>0</v>
      </c>
      <c r="D114" s="27"/>
      <c r="E114" s="28"/>
      <c r="F114" s="26"/>
      <c r="G114" s="8">
        <f>IF(OR(E114="",F114="",F114=0),"",E114/F114)</f>
        <v>0</v>
      </c>
      <c r="H114" s="30"/>
      <c r="I114" s="27"/>
      <c r="J114" s="28"/>
      <c r="K114" s="8">
        <f>IF(OR(E114="",J114=""),"",J114-E114)</f>
        <v>0</v>
      </c>
      <c r="L114" s="8">
        <f>IF(OR(K114="",J114="",J114=0),"",K114/J114)</f>
        <v>0</v>
      </c>
      <c r="M114" s="8">
        <f>IF(A114="","",IF(SUMPRODUCT(MIN(('Store Prices'!$A$5:$A$304=A114)*'Store Prices'!$G$5:$G$304+('Store Prices'!$A$5:$A$304&lt;&gt;A114)*1000000))&gt;=1000000,"",SUMPRODUCT(MIN(('Store Prices'!$A$5:$A$304=A114)*'Store Prices'!$G$5:$G$304+('Store Prices'!$A$5:$A$304&lt;&gt;A114)*1000000))))</f>
        <v>0</v>
      </c>
      <c r="N114" s="8">
        <f>IF(OR(A114="",G114="",M114=""),"",G114-M114)</f>
        <v>0</v>
      </c>
      <c r="O114" s="8">
        <f>IF(OR(A114="",G114=""),"",IF(G114=M114,"Best",""))</f>
        <v>0</v>
      </c>
      <c r="P114" s="8">
        <f>IF(OR(A114="",G114=""),"",COUNTIFS('Store Prices'!$A$5:$A$304,A114,'Store Prices'!$G$5:$G$304,"&lt;"&amp;G114)+1)</f>
        <v>0</v>
      </c>
      <c r="Q114" s="25"/>
    </row>
    <row r="115" spans="1:17">
      <c r="A115" s="7"/>
      <c r="B115" s="27"/>
      <c r="C115" s="8">
        <f>IF(A115="","",IFERROR(INDEX(Ingredients!$B$5:$B$304,MATCH(A115,Ingredients!$A$5:$A$304,0)),""))</f>
        <v>0</v>
      </c>
      <c r="D115" s="27"/>
      <c r="E115" s="28"/>
      <c r="F115" s="26"/>
      <c r="G115" s="8">
        <f>IF(OR(E115="",F115="",F115=0),"",E115/F115)</f>
        <v>0</v>
      </c>
      <c r="H115" s="30"/>
      <c r="I115" s="27"/>
      <c r="J115" s="28"/>
      <c r="K115" s="8">
        <f>IF(OR(E115="",J115=""),"",J115-E115)</f>
        <v>0</v>
      </c>
      <c r="L115" s="8">
        <f>IF(OR(K115="",J115="",J115=0),"",K115/J115)</f>
        <v>0</v>
      </c>
      <c r="M115" s="8">
        <f>IF(A115="","",IF(SUMPRODUCT(MIN(('Store Prices'!$A$5:$A$304=A115)*'Store Prices'!$G$5:$G$304+('Store Prices'!$A$5:$A$304&lt;&gt;A115)*1000000))&gt;=1000000,"",SUMPRODUCT(MIN(('Store Prices'!$A$5:$A$304=A115)*'Store Prices'!$G$5:$G$304+('Store Prices'!$A$5:$A$304&lt;&gt;A115)*1000000))))</f>
        <v>0</v>
      </c>
      <c r="N115" s="8">
        <f>IF(OR(A115="",G115="",M115=""),"",G115-M115)</f>
        <v>0</v>
      </c>
      <c r="O115" s="8">
        <f>IF(OR(A115="",G115=""),"",IF(G115=M115,"Best",""))</f>
        <v>0</v>
      </c>
      <c r="P115" s="8">
        <f>IF(OR(A115="",G115=""),"",COUNTIFS('Store Prices'!$A$5:$A$304,A115,'Store Prices'!$G$5:$G$304,"&lt;"&amp;G115)+1)</f>
        <v>0</v>
      </c>
      <c r="Q115" s="25"/>
    </row>
    <row r="116" spans="1:17">
      <c r="A116" s="7"/>
      <c r="B116" s="27"/>
      <c r="C116" s="8">
        <f>IF(A116="","",IFERROR(INDEX(Ingredients!$B$5:$B$304,MATCH(A116,Ingredients!$A$5:$A$304,0)),""))</f>
        <v>0</v>
      </c>
      <c r="D116" s="27"/>
      <c r="E116" s="28"/>
      <c r="F116" s="26"/>
      <c r="G116" s="8">
        <f>IF(OR(E116="",F116="",F116=0),"",E116/F116)</f>
        <v>0</v>
      </c>
      <c r="H116" s="30"/>
      <c r="I116" s="27"/>
      <c r="J116" s="28"/>
      <c r="K116" s="8">
        <f>IF(OR(E116="",J116=""),"",J116-E116)</f>
        <v>0</v>
      </c>
      <c r="L116" s="8">
        <f>IF(OR(K116="",J116="",J116=0),"",K116/J116)</f>
        <v>0</v>
      </c>
      <c r="M116" s="8">
        <f>IF(A116="","",IF(SUMPRODUCT(MIN(('Store Prices'!$A$5:$A$304=A116)*'Store Prices'!$G$5:$G$304+('Store Prices'!$A$5:$A$304&lt;&gt;A116)*1000000))&gt;=1000000,"",SUMPRODUCT(MIN(('Store Prices'!$A$5:$A$304=A116)*'Store Prices'!$G$5:$G$304+('Store Prices'!$A$5:$A$304&lt;&gt;A116)*1000000))))</f>
        <v>0</v>
      </c>
      <c r="N116" s="8">
        <f>IF(OR(A116="",G116="",M116=""),"",G116-M116)</f>
        <v>0</v>
      </c>
      <c r="O116" s="8">
        <f>IF(OR(A116="",G116=""),"",IF(G116=M116,"Best",""))</f>
        <v>0</v>
      </c>
      <c r="P116" s="8">
        <f>IF(OR(A116="",G116=""),"",COUNTIFS('Store Prices'!$A$5:$A$304,A116,'Store Prices'!$G$5:$G$304,"&lt;"&amp;G116)+1)</f>
        <v>0</v>
      </c>
      <c r="Q116" s="25"/>
    </row>
    <row r="117" spans="1:17">
      <c r="A117" s="7"/>
      <c r="B117" s="27"/>
      <c r="C117" s="8">
        <f>IF(A117="","",IFERROR(INDEX(Ingredients!$B$5:$B$304,MATCH(A117,Ingredients!$A$5:$A$304,0)),""))</f>
        <v>0</v>
      </c>
      <c r="D117" s="27"/>
      <c r="E117" s="28"/>
      <c r="F117" s="26"/>
      <c r="G117" s="8">
        <f>IF(OR(E117="",F117="",F117=0),"",E117/F117)</f>
        <v>0</v>
      </c>
      <c r="H117" s="30"/>
      <c r="I117" s="27"/>
      <c r="J117" s="28"/>
      <c r="K117" s="8">
        <f>IF(OR(E117="",J117=""),"",J117-E117)</f>
        <v>0</v>
      </c>
      <c r="L117" s="8">
        <f>IF(OR(K117="",J117="",J117=0),"",K117/J117)</f>
        <v>0</v>
      </c>
      <c r="M117" s="8">
        <f>IF(A117="","",IF(SUMPRODUCT(MIN(('Store Prices'!$A$5:$A$304=A117)*'Store Prices'!$G$5:$G$304+('Store Prices'!$A$5:$A$304&lt;&gt;A117)*1000000))&gt;=1000000,"",SUMPRODUCT(MIN(('Store Prices'!$A$5:$A$304=A117)*'Store Prices'!$G$5:$G$304+('Store Prices'!$A$5:$A$304&lt;&gt;A117)*1000000))))</f>
        <v>0</v>
      </c>
      <c r="N117" s="8">
        <f>IF(OR(A117="",G117="",M117=""),"",G117-M117)</f>
        <v>0</v>
      </c>
      <c r="O117" s="8">
        <f>IF(OR(A117="",G117=""),"",IF(G117=M117,"Best",""))</f>
        <v>0</v>
      </c>
      <c r="P117" s="8">
        <f>IF(OR(A117="",G117=""),"",COUNTIFS('Store Prices'!$A$5:$A$304,A117,'Store Prices'!$G$5:$G$304,"&lt;"&amp;G117)+1)</f>
        <v>0</v>
      </c>
      <c r="Q117" s="25"/>
    </row>
    <row r="118" spans="1:17">
      <c r="A118" s="7"/>
      <c r="B118" s="27"/>
      <c r="C118" s="8">
        <f>IF(A118="","",IFERROR(INDEX(Ingredients!$B$5:$B$304,MATCH(A118,Ingredients!$A$5:$A$304,0)),""))</f>
        <v>0</v>
      </c>
      <c r="D118" s="27"/>
      <c r="E118" s="28"/>
      <c r="F118" s="26"/>
      <c r="G118" s="8">
        <f>IF(OR(E118="",F118="",F118=0),"",E118/F118)</f>
        <v>0</v>
      </c>
      <c r="H118" s="30"/>
      <c r="I118" s="27"/>
      <c r="J118" s="28"/>
      <c r="K118" s="8">
        <f>IF(OR(E118="",J118=""),"",J118-E118)</f>
        <v>0</v>
      </c>
      <c r="L118" s="8">
        <f>IF(OR(K118="",J118="",J118=0),"",K118/J118)</f>
        <v>0</v>
      </c>
      <c r="M118" s="8">
        <f>IF(A118="","",IF(SUMPRODUCT(MIN(('Store Prices'!$A$5:$A$304=A118)*'Store Prices'!$G$5:$G$304+('Store Prices'!$A$5:$A$304&lt;&gt;A118)*1000000))&gt;=1000000,"",SUMPRODUCT(MIN(('Store Prices'!$A$5:$A$304=A118)*'Store Prices'!$G$5:$G$304+('Store Prices'!$A$5:$A$304&lt;&gt;A118)*1000000))))</f>
        <v>0</v>
      </c>
      <c r="N118" s="8">
        <f>IF(OR(A118="",G118="",M118=""),"",G118-M118)</f>
        <v>0</v>
      </c>
      <c r="O118" s="8">
        <f>IF(OR(A118="",G118=""),"",IF(G118=M118,"Best",""))</f>
        <v>0</v>
      </c>
      <c r="P118" s="8">
        <f>IF(OR(A118="",G118=""),"",COUNTIFS('Store Prices'!$A$5:$A$304,A118,'Store Prices'!$G$5:$G$304,"&lt;"&amp;G118)+1)</f>
        <v>0</v>
      </c>
      <c r="Q118" s="25"/>
    </row>
    <row r="119" spans="1:17">
      <c r="A119" s="7"/>
      <c r="B119" s="27"/>
      <c r="C119" s="8">
        <f>IF(A119="","",IFERROR(INDEX(Ingredients!$B$5:$B$304,MATCH(A119,Ingredients!$A$5:$A$304,0)),""))</f>
        <v>0</v>
      </c>
      <c r="D119" s="27"/>
      <c r="E119" s="28"/>
      <c r="F119" s="26"/>
      <c r="G119" s="8">
        <f>IF(OR(E119="",F119="",F119=0),"",E119/F119)</f>
        <v>0</v>
      </c>
      <c r="H119" s="30"/>
      <c r="I119" s="27"/>
      <c r="J119" s="28"/>
      <c r="K119" s="8">
        <f>IF(OR(E119="",J119=""),"",J119-E119)</f>
        <v>0</v>
      </c>
      <c r="L119" s="8">
        <f>IF(OR(K119="",J119="",J119=0),"",K119/J119)</f>
        <v>0</v>
      </c>
      <c r="M119" s="8">
        <f>IF(A119="","",IF(SUMPRODUCT(MIN(('Store Prices'!$A$5:$A$304=A119)*'Store Prices'!$G$5:$G$304+('Store Prices'!$A$5:$A$304&lt;&gt;A119)*1000000))&gt;=1000000,"",SUMPRODUCT(MIN(('Store Prices'!$A$5:$A$304=A119)*'Store Prices'!$G$5:$G$304+('Store Prices'!$A$5:$A$304&lt;&gt;A119)*1000000))))</f>
        <v>0</v>
      </c>
      <c r="N119" s="8">
        <f>IF(OR(A119="",G119="",M119=""),"",G119-M119)</f>
        <v>0</v>
      </c>
      <c r="O119" s="8">
        <f>IF(OR(A119="",G119=""),"",IF(G119=M119,"Best",""))</f>
        <v>0</v>
      </c>
      <c r="P119" s="8">
        <f>IF(OR(A119="",G119=""),"",COUNTIFS('Store Prices'!$A$5:$A$304,A119,'Store Prices'!$G$5:$G$304,"&lt;"&amp;G119)+1)</f>
        <v>0</v>
      </c>
      <c r="Q119" s="25"/>
    </row>
    <row r="120" spans="1:17">
      <c r="A120" s="7"/>
      <c r="B120" s="27"/>
      <c r="C120" s="8">
        <f>IF(A120="","",IFERROR(INDEX(Ingredients!$B$5:$B$304,MATCH(A120,Ingredients!$A$5:$A$304,0)),""))</f>
        <v>0</v>
      </c>
      <c r="D120" s="27"/>
      <c r="E120" s="28"/>
      <c r="F120" s="26"/>
      <c r="G120" s="8">
        <f>IF(OR(E120="",F120="",F120=0),"",E120/F120)</f>
        <v>0</v>
      </c>
      <c r="H120" s="30"/>
      <c r="I120" s="27"/>
      <c r="J120" s="28"/>
      <c r="K120" s="8">
        <f>IF(OR(E120="",J120=""),"",J120-E120)</f>
        <v>0</v>
      </c>
      <c r="L120" s="8">
        <f>IF(OR(K120="",J120="",J120=0),"",K120/J120)</f>
        <v>0</v>
      </c>
      <c r="M120" s="8">
        <f>IF(A120="","",IF(SUMPRODUCT(MIN(('Store Prices'!$A$5:$A$304=A120)*'Store Prices'!$G$5:$G$304+('Store Prices'!$A$5:$A$304&lt;&gt;A120)*1000000))&gt;=1000000,"",SUMPRODUCT(MIN(('Store Prices'!$A$5:$A$304=A120)*'Store Prices'!$G$5:$G$304+('Store Prices'!$A$5:$A$304&lt;&gt;A120)*1000000))))</f>
        <v>0</v>
      </c>
      <c r="N120" s="8">
        <f>IF(OR(A120="",G120="",M120=""),"",G120-M120)</f>
        <v>0</v>
      </c>
      <c r="O120" s="8">
        <f>IF(OR(A120="",G120=""),"",IF(G120=M120,"Best",""))</f>
        <v>0</v>
      </c>
      <c r="P120" s="8">
        <f>IF(OR(A120="",G120=""),"",COUNTIFS('Store Prices'!$A$5:$A$304,A120,'Store Prices'!$G$5:$G$304,"&lt;"&amp;G120)+1)</f>
        <v>0</v>
      </c>
      <c r="Q120" s="25"/>
    </row>
    <row r="121" spans="1:17">
      <c r="A121" s="7"/>
      <c r="B121" s="27"/>
      <c r="C121" s="8">
        <f>IF(A121="","",IFERROR(INDEX(Ingredients!$B$5:$B$304,MATCH(A121,Ingredients!$A$5:$A$304,0)),""))</f>
        <v>0</v>
      </c>
      <c r="D121" s="27"/>
      <c r="E121" s="28"/>
      <c r="F121" s="26"/>
      <c r="G121" s="8">
        <f>IF(OR(E121="",F121="",F121=0),"",E121/F121)</f>
        <v>0</v>
      </c>
      <c r="H121" s="30"/>
      <c r="I121" s="27"/>
      <c r="J121" s="28"/>
      <c r="K121" s="8">
        <f>IF(OR(E121="",J121=""),"",J121-E121)</f>
        <v>0</v>
      </c>
      <c r="L121" s="8">
        <f>IF(OR(K121="",J121="",J121=0),"",K121/J121)</f>
        <v>0</v>
      </c>
      <c r="M121" s="8">
        <f>IF(A121="","",IF(SUMPRODUCT(MIN(('Store Prices'!$A$5:$A$304=A121)*'Store Prices'!$G$5:$G$304+('Store Prices'!$A$5:$A$304&lt;&gt;A121)*1000000))&gt;=1000000,"",SUMPRODUCT(MIN(('Store Prices'!$A$5:$A$304=A121)*'Store Prices'!$G$5:$G$304+('Store Prices'!$A$5:$A$304&lt;&gt;A121)*1000000))))</f>
        <v>0</v>
      </c>
      <c r="N121" s="8">
        <f>IF(OR(A121="",G121="",M121=""),"",G121-M121)</f>
        <v>0</v>
      </c>
      <c r="O121" s="8">
        <f>IF(OR(A121="",G121=""),"",IF(G121=M121,"Best",""))</f>
        <v>0</v>
      </c>
      <c r="P121" s="8">
        <f>IF(OR(A121="",G121=""),"",COUNTIFS('Store Prices'!$A$5:$A$304,A121,'Store Prices'!$G$5:$G$304,"&lt;"&amp;G121)+1)</f>
        <v>0</v>
      </c>
      <c r="Q121" s="25"/>
    </row>
    <row r="122" spans="1:17">
      <c r="A122" s="7"/>
      <c r="B122" s="27"/>
      <c r="C122" s="8">
        <f>IF(A122="","",IFERROR(INDEX(Ingredients!$B$5:$B$304,MATCH(A122,Ingredients!$A$5:$A$304,0)),""))</f>
        <v>0</v>
      </c>
      <c r="D122" s="27"/>
      <c r="E122" s="28"/>
      <c r="F122" s="26"/>
      <c r="G122" s="8">
        <f>IF(OR(E122="",F122="",F122=0),"",E122/F122)</f>
        <v>0</v>
      </c>
      <c r="H122" s="30"/>
      <c r="I122" s="27"/>
      <c r="J122" s="28"/>
      <c r="K122" s="8">
        <f>IF(OR(E122="",J122=""),"",J122-E122)</f>
        <v>0</v>
      </c>
      <c r="L122" s="8">
        <f>IF(OR(K122="",J122="",J122=0),"",K122/J122)</f>
        <v>0</v>
      </c>
      <c r="M122" s="8">
        <f>IF(A122="","",IF(SUMPRODUCT(MIN(('Store Prices'!$A$5:$A$304=A122)*'Store Prices'!$G$5:$G$304+('Store Prices'!$A$5:$A$304&lt;&gt;A122)*1000000))&gt;=1000000,"",SUMPRODUCT(MIN(('Store Prices'!$A$5:$A$304=A122)*'Store Prices'!$G$5:$G$304+('Store Prices'!$A$5:$A$304&lt;&gt;A122)*1000000))))</f>
        <v>0</v>
      </c>
      <c r="N122" s="8">
        <f>IF(OR(A122="",G122="",M122=""),"",G122-M122)</f>
        <v>0</v>
      </c>
      <c r="O122" s="8">
        <f>IF(OR(A122="",G122=""),"",IF(G122=M122,"Best",""))</f>
        <v>0</v>
      </c>
      <c r="P122" s="8">
        <f>IF(OR(A122="",G122=""),"",COUNTIFS('Store Prices'!$A$5:$A$304,A122,'Store Prices'!$G$5:$G$304,"&lt;"&amp;G122)+1)</f>
        <v>0</v>
      </c>
      <c r="Q122" s="25"/>
    </row>
    <row r="123" spans="1:17">
      <c r="A123" s="7"/>
      <c r="B123" s="27"/>
      <c r="C123" s="8">
        <f>IF(A123="","",IFERROR(INDEX(Ingredients!$B$5:$B$304,MATCH(A123,Ingredients!$A$5:$A$304,0)),""))</f>
        <v>0</v>
      </c>
      <c r="D123" s="27"/>
      <c r="E123" s="28"/>
      <c r="F123" s="26"/>
      <c r="G123" s="8">
        <f>IF(OR(E123="",F123="",F123=0),"",E123/F123)</f>
        <v>0</v>
      </c>
      <c r="H123" s="30"/>
      <c r="I123" s="27"/>
      <c r="J123" s="28"/>
      <c r="K123" s="8">
        <f>IF(OR(E123="",J123=""),"",J123-E123)</f>
        <v>0</v>
      </c>
      <c r="L123" s="8">
        <f>IF(OR(K123="",J123="",J123=0),"",K123/J123)</f>
        <v>0</v>
      </c>
      <c r="M123" s="8">
        <f>IF(A123="","",IF(SUMPRODUCT(MIN(('Store Prices'!$A$5:$A$304=A123)*'Store Prices'!$G$5:$G$304+('Store Prices'!$A$5:$A$304&lt;&gt;A123)*1000000))&gt;=1000000,"",SUMPRODUCT(MIN(('Store Prices'!$A$5:$A$304=A123)*'Store Prices'!$G$5:$G$304+('Store Prices'!$A$5:$A$304&lt;&gt;A123)*1000000))))</f>
        <v>0</v>
      </c>
      <c r="N123" s="8">
        <f>IF(OR(A123="",G123="",M123=""),"",G123-M123)</f>
        <v>0</v>
      </c>
      <c r="O123" s="8">
        <f>IF(OR(A123="",G123=""),"",IF(G123=M123,"Best",""))</f>
        <v>0</v>
      </c>
      <c r="P123" s="8">
        <f>IF(OR(A123="",G123=""),"",COUNTIFS('Store Prices'!$A$5:$A$304,A123,'Store Prices'!$G$5:$G$304,"&lt;"&amp;G123)+1)</f>
        <v>0</v>
      </c>
      <c r="Q123" s="25"/>
    </row>
    <row r="124" spans="1:17">
      <c r="A124" s="7"/>
      <c r="B124" s="27"/>
      <c r="C124" s="8">
        <f>IF(A124="","",IFERROR(INDEX(Ingredients!$B$5:$B$304,MATCH(A124,Ingredients!$A$5:$A$304,0)),""))</f>
        <v>0</v>
      </c>
      <c r="D124" s="27"/>
      <c r="E124" s="28"/>
      <c r="F124" s="26"/>
      <c r="G124" s="8">
        <f>IF(OR(E124="",F124="",F124=0),"",E124/F124)</f>
        <v>0</v>
      </c>
      <c r="H124" s="30"/>
      <c r="I124" s="27"/>
      <c r="J124" s="28"/>
      <c r="K124" s="8">
        <f>IF(OR(E124="",J124=""),"",J124-E124)</f>
        <v>0</v>
      </c>
      <c r="L124" s="8">
        <f>IF(OR(K124="",J124="",J124=0),"",K124/J124)</f>
        <v>0</v>
      </c>
      <c r="M124" s="8">
        <f>IF(A124="","",IF(SUMPRODUCT(MIN(('Store Prices'!$A$5:$A$304=A124)*'Store Prices'!$G$5:$G$304+('Store Prices'!$A$5:$A$304&lt;&gt;A124)*1000000))&gt;=1000000,"",SUMPRODUCT(MIN(('Store Prices'!$A$5:$A$304=A124)*'Store Prices'!$G$5:$G$304+('Store Prices'!$A$5:$A$304&lt;&gt;A124)*1000000))))</f>
        <v>0</v>
      </c>
      <c r="N124" s="8">
        <f>IF(OR(A124="",G124="",M124=""),"",G124-M124)</f>
        <v>0</v>
      </c>
      <c r="O124" s="8">
        <f>IF(OR(A124="",G124=""),"",IF(G124=M124,"Best",""))</f>
        <v>0</v>
      </c>
      <c r="P124" s="8">
        <f>IF(OR(A124="",G124=""),"",COUNTIFS('Store Prices'!$A$5:$A$304,A124,'Store Prices'!$G$5:$G$304,"&lt;"&amp;G124)+1)</f>
        <v>0</v>
      </c>
      <c r="Q124" s="25"/>
    </row>
    <row r="125" spans="1:17">
      <c r="A125" s="7"/>
      <c r="B125" s="27"/>
      <c r="C125" s="8">
        <f>IF(A125="","",IFERROR(INDEX(Ingredients!$B$5:$B$304,MATCH(A125,Ingredients!$A$5:$A$304,0)),""))</f>
        <v>0</v>
      </c>
      <c r="D125" s="27"/>
      <c r="E125" s="28"/>
      <c r="F125" s="26"/>
      <c r="G125" s="8">
        <f>IF(OR(E125="",F125="",F125=0),"",E125/F125)</f>
        <v>0</v>
      </c>
      <c r="H125" s="30"/>
      <c r="I125" s="27"/>
      <c r="J125" s="28"/>
      <c r="K125" s="8">
        <f>IF(OR(E125="",J125=""),"",J125-E125)</f>
        <v>0</v>
      </c>
      <c r="L125" s="8">
        <f>IF(OR(K125="",J125="",J125=0),"",K125/J125)</f>
        <v>0</v>
      </c>
      <c r="M125" s="8">
        <f>IF(A125="","",IF(SUMPRODUCT(MIN(('Store Prices'!$A$5:$A$304=A125)*'Store Prices'!$G$5:$G$304+('Store Prices'!$A$5:$A$304&lt;&gt;A125)*1000000))&gt;=1000000,"",SUMPRODUCT(MIN(('Store Prices'!$A$5:$A$304=A125)*'Store Prices'!$G$5:$G$304+('Store Prices'!$A$5:$A$304&lt;&gt;A125)*1000000))))</f>
        <v>0</v>
      </c>
      <c r="N125" s="8">
        <f>IF(OR(A125="",G125="",M125=""),"",G125-M125)</f>
        <v>0</v>
      </c>
      <c r="O125" s="8">
        <f>IF(OR(A125="",G125=""),"",IF(G125=M125,"Best",""))</f>
        <v>0</v>
      </c>
      <c r="P125" s="8">
        <f>IF(OR(A125="",G125=""),"",COUNTIFS('Store Prices'!$A$5:$A$304,A125,'Store Prices'!$G$5:$G$304,"&lt;"&amp;G125)+1)</f>
        <v>0</v>
      </c>
      <c r="Q125" s="25"/>
    </row>
    <row r="126" spans="1:17">
      <c r="A126" s="7"/>
      <c r="B126" s="27"/>
      <c r="C126" s="8">
        <f>IF(A126="","",IFERROR(INDEX(Ingredients!$B$5:$B$304,MATCH(A126,Ingredients!$A$5:$A$304,0)),""))</f>
        <v>0</v>
      </c>
      <c r="D126" s="27"/>
      <c r="E126" s="28"/>
      <c r="F126" s="26"/>
      <c r="G126" s="8">
        <f>IF(OR(E126="",F126="",F126=0),"",E126/F126)</f>
        <v>0</v>
      </c>
      <c r="H126" s="30"/>
      <c r="I126" s="27"/>
      <c r="J126" s="28"/>
      <c r="K126" s="8">
        <f>IF(OR(E126="",J126=""),"",J126-E126)</f>
        <v>0</v>
      </c>
      <c r="L126" s="8">
        <f>IF(OR(K126="",J126="",J126=0),"",K126/J126)</f>
        <v>0</v>
      </c>
      <c r="M126" s="8">
        <f>IF(A126="","",IF(SUMPRODUCT(MIN(('Store Prices'!$A$5:$A$304=A126)*'Store Prices'!$G$5:$G$304+('Store Prices'!$A$5:$A$304&lt;&gt;A126)*1000000))&gt;=1000000,"",SUMPRODUCT(MIN(('Store Prices'!$A$5:$A$304=A126)*'Store Prices'!$G$5:$G$304+('Store Prices'!$A$5:$A$304&lt;&gt;A126)*1000000))))</f>
        <v>0</v>
      </c>
      <c r="N126" s="8">
        <f>IF(OR(A126="",G126="",M126=""),"",G126-M126)</f>
        <v>0</v>
      </c>
      <c r="O126" s="8">
        <f>IF(OR(A126="",G126=""),"",IF(G126=M126,"Best",""))</f>
        <v>0</v>
      </c>
      <c r="P126" s="8">
        <f>IF(OR(A126="",G126=""),"",COUNTIFS('Store Prices'!$A$5:$A$304,A126,'Store Prices'!$G$5:$G$304,"&lt;"&amp;G126)+1)</f>
        <v>0</v>
      </c>
      <c r="Q126" s="25"/>
    </row>
    <row r="127" spans="1:17">
      <c r="A127" s="7"/>
      <c r="B127" s="27"/>
      <c r="C127" s="8">
        <f>IF(A127="","",IFERROR(INDEX(Ingredients!$B$5:$B$304,MATCH(A127,Ingredients!$A$5:$A$304,0)),""))</f>
        <v>0</v>
      </c>
      <c r="D127" s="27"/>
      <c r="E127" s="28"/>
      <c r="F127" s="26"/>
      <c r="G127" s="8">
        <f>IF(OR(E127="",F127="",F127=0),"",E127/F127)</f>
        <v>0</v>
      </c>
      <c r="H127" s="30"/>
      <c r="I127" s="27"/>
      <c r="J127" s="28"/>
      <c r="K127" s="8">
        <f>IF(OR(E127="",J127=""),"",J127-E127)</f>
        <v>0</v>
      </c>
      <c r="L127" s="8">
        <f>IF(OR(K127="",J127="",J127=0),"",K127/J127)</f>
        <v>0</v>
      </c>
      <c r="M127" s="8">
        <f>IF(A127="","",IF(SUMPRODUCT(MIN(('Store Prices'!$A$5:$A$304=A127)*'Store Prices'!$G$5:$G$304+('Store Prices'!$A$5:$A$304&lt;&gt;A127)*1000000))&gt;=1000000,"",SUMPRODUCT(MIN(('Store Prices'!$A$5:$A$304=A127)*'Store Prices'!$G$5:$G$304+('Store Prices'!$A$5:$A$304&lt;&gt;A127)*1000000))))</f>
        <v>0</v>
      </c>
      <c r="N127" s="8">
        <f>IF(OR(A127="",G127="",M127=""),"",G127-M127)</f>
        <v>0</v>
      </c>
      <c r="O127" s="8">
        <f>IF(OR(A127="",G127=""),"",IF(G127=M127,"Best",""))</f>
        <v>0</v>
      </c>
      <c r="P127" s="8">
        <f>IF(OR(A127="",G127=""),"",COUNTIFS('Store Prices'!$A$5:$A$304,A127,'Store Prices'!$G$5:$G$304,"&lt;"&amp;G127)+1)</f>
        <v>0</v>
      </c>
      <c r="Q127" s="25"/>
    </row>
    <row r="128" spans="1:17">
      <c r="A128" s="7"/>
      <c r="B128" s="27"/>
      <c r="C128" s="8">
        <f>IF(A128="","",IFERROR(INDEX(Ingredients!$B$5:$B$304,MATCH(A128,Ingredients!$A$5:$A$304,0)),""))</f>
        <v>0</v>
      </c>
      <c r="D128" s="27"/>
      <c r="E128" s="28"/>
      <c r="F128" s="26"/>
      <c r="G128" s="8">
        <f>IF(OR(E128="",F128="",F128=0),"",E128/F128)</f>
        <v>0</v>
      </c>
      <c r="H128" s="30"/>
      <c r="I128" s="27"/>
      <c r="J128" s="28"/>
      <c r="K128" s="8">
        <f>IF(OR(E128="",J128=""),"",J128-E128)</f>
        <v>0</v>
      </c>
      <c r="L128" s="8">
        <f>IF(OR(K128="",J128="",J128=0),"",K128/J128)</f>
        <v>0</v>
      </c>
      <c r="M128" s="8">
        <f>IF(A128="","",IF(SUMPRODUCT(MIN(('Store Prices'!$A$5:$A$304=A128)*'Store Prices'!$G$5:$G$304+('Store Prices'!$A$5:$A$304&lt;&gt;A128)*1000000))&gt;=1000000,"",SUMPRODUCT(MIN(('Store Prices'!$A$5:$A$304=A128)*'Store Prices'!$G$5:$G$304+('Store Prices'!$A$5:$A$304&lt;&gt;A128)*1000000))))</f>
        <v>0</v>
      </c>
      <c r="N128" s="8">
        <f>IF(OR(A128="",G128="",M128=""),"",G128-M128)</f>
        <v>0</v>
      </c>
      <c r="O128" s="8">
        <f>IF(OR(A128="",G128=""),"",IF(G128=M128,"Best",""))</f>
        <v>0</v>
      </c>
      <c r="P128" s="8">
        <f>IF(OR(A128="",G128=""),"",COUNTIFS('Store Prices'!$A$5:$A$304,A128,'Store Prices'!$G$5:$G$304,"&lt;"&amp;G128)+1)</f>
        <v>0</v>
      </c>
      <c r="Q128" s="25"/>
    </row>
    <row r="129" spans="1:17">
      <c r="A129" s="7"/>
      <c r="B129" s="27"/>
      <c r="C129" s="8">
        <f>IF(A129="","",IFERROR(INDEX(Ingredients!$B$5:$B$304,MATCH(A129,Ingredients!$A$5:$A$304,0)),""))</f>
        <v>0</v>
      </c>
      <c r="D129" s="27"/>
      <c r="E129" s="28"/>
      <c r="F129" s="26"/>
      <c r="G129" s="8">
        <f>IF(OR(E129="",F129="",F129=0),"",E129/F129)</f>
        <v>0</v>
      </c>
      <c r="H129" s="30"/>
      <c r="I129" s="27"/>
      <c r="J129" s="28"/>
      <c r="K129" s="8">
        <f>IF(OR(E129="",J129=""),"",J129-E129)</f>
        <v>0</v>
      </c>
      <c r="L129" s="8">
        <f>IF(OR(K129="",J129="",J129=0),"",K129/J129)</f>
        <v>0</v>
      </c>
      <c r="M129" s="8">
        <f>IF(A129="","",IF(SUMPRODUCT(MIN(('Store Prices'!$A$5:$A$304=A129)*'Store Prices'!$G$5:$G$304+('Store Prices'!$A$5:$A$304&lt;&gt;A129)*1000000))&gt;=1000000,"",SUMPRODUCT(MIN(('Store Prices'!$A$5:$A$304=A129)*'Store Prices'!$G$5:$G$304+('Store Prices'!$A$5:$A$304&lt;&gt;A129)*1000000))))</f>
        <v>0</v>
      </c>
      <c r="N129" s="8">
        <f>IF(OR(A129="",G129="",M129=""),"",G129-M129)</f>
        <v>0</v>
      </c>
      <c r="O129" s="8">
        <f>IF(OR(A129="",G129=""),"",IF(G129=M129,"Best",""))</f>
        <v>0</v>
      </c>
      <c r="P129" s="8">
        <f>IF(OR(A129="",G129=""),"",COUNTIFS('Store Prices'!$A$5:$A$304,A129,'Store Prices'!$G$5:$G$304,"&lt;"&amp;G129)+1)</f>
        <v>0</v>
      </c>
      <c r="Q129" s="25"/>
    </row>
    <row r="130" spans="1:17">
      <c r="A130" s="7"/>
      <c r="B130" s="27"/>
      <c r="C130" s="8">
        <f>IF(A130="","",IFERROR(INDEX(Ingredients!$B$5:$B$304,MATCH(A130,Ingredients!$A$5:$A$304,0)),""))</f>
        <v>0</v>
      </c>
      <c r="D130" s="27"/>
      <c r="E130" s="28"/>
      <c r="F130" s="26"/>
      <c r="G130" s="8">
        <f>IF(OR(E130="",F130="",F130=0),"",E130/F130)</f>
        <v>0</v>
      </c>
      <c r="H130" s="30"/>
      <c r="I130" s="27"/>
      <c r="J130" s="28"/>
      <c r="K130" s="8">
        <f>IF(OR(E130="",J130=""),"",J130-E130)</f>
        <v>0</v>
      </c>
      <c r="L130" s="8">
        <f>IF(OR(K130="",J130="",J130=0),"",K130/J130)</f>
        <v>0</v>
      </c>
      <c r="M130" s="8">
        <f>IF(A130="","",IF(SUMPRODUCT(MIN(('Store Prices'!$A$5:$A$304=A130)*'Store Prices'!$G$5:$G$304+('Store Prices'!$A$5:$A$304&lt;&gt;A130)*1000000))&gt;=1000000,"",SUMPRODUCT(MIN(('Store Prices'!$A$5:$A$304=A130)*'Store Prices'!$G$5:$G$304+('Store Prices'!$A$5:$A$304&lt;&gt;A130)*1000000))))</f>
        <v>0</v>
      </c>
      <c r="N130" s="8">
        <f>IF(OR(A130="",G130="",M130=""),"",G130-M130)</f>
        <v>0</v>
      </c>
      <c r="O130" s="8">
        <f>IF(OR(A130="",G130=""),"",IF(G130=M130,"Best",""))</f>
        <v>0</v>
      </c>
      <c r="P130" s="8">
        <f>IF(OR(A130="",G130=""),"",COUNTIFS('Store Prices'!$A$5:$A$304,A130,'Store Prices'!$G$5:$G$304,"&lt;"&amp;G130)+1)</f>
        <v>0</v>
      </c>
      <c r="Q130" s="25"/>
    </row>
    <row r="131" spans="1:17">
      <c r="A131" s="7"/>
      <c r="B131" s="27"/>
      <c r="C131" s="8">
        <f>IF(A131="","",IFERROR(INDEX(Ingredients!$B$5:$B$304,MATCH(A131,Ingredients!$A$5:$A$304,0)),""))</f>
        <v>0</v>
      </c>
      <c r="D131" s="27"/>
      <c r="E131" s="28"/>
      <c r="F131" s="26"/>
      <c r="G131" s="8">
        <f>IF(OR(E131="",F131="",F131=0),"",E131/F131)</f>
        <v>0</v>
      </c>
      <c r="H131" s="30"/>
      <c r="I131" s="27"/>
      <c r="J131" s="28"/>
      <c r="K131" s="8">
        <f>IF(OR(E131="",J131=""),"",J131-E131)</f>
        <v>0</v>
      </c>
      <c r="L131" s="8">
        <f>IF(OR(K131="",J131="",J131=0),"",K131/J131)</f>
        <v>0</v>
      </c>
      <c r="M131" s="8">
        <f>IF(A131="","",IF(SUMPRODUCT(MIN(('Store Prices'!$A$5:$A$304=A131)*'Store Prices'!$G$5:$G$304+('Store Prices'!$A$5:$A$304&lt;&gt;A131)*1000000))&gt;=1000000,"",SUMPRODUCT(MIN(('Store Prices'!$A$5:$A$304=A131)*'Store Prices'!$G$5:$G$304+('Store Prices'!$A$5:$A$304&lt;&gt;A131)*1000000))))</f>
        <v>0</v>
      </c>
      <c r="N131" s="8">
        <f>IF(OR(A131="",G131="",M131=""),"",G131-M131)</f>
        <v>0</v>
      </c>
      <c r="O131" s="8">
        <f>IF(OR(A131="",G131=""),"",IF(G131=M131,"Best",""))</f>
        <v>0</v>
      </c>
      <c r="P131" s="8">
        <f>IF(OR(A131="",G131=""),"",COUNTIFS('Store Prices'!$A$5:$A$304,A131,'Store Prices'!$G$5:$G$304,"&lt;"&amp;G131)+1)</f>
        <v>0</v>
      </c>
      <c r="Q131" s="25"/>
    </row>
    <row r="132" spans="1:17">
      <c r="A132" s="7"/>
      <c r="B132" s="27"/>
      <c r="C132" s="8">
        <f>IF(A132="","",IFERROR(INDEX(Ingredients!$B$5:$B$304,MATCH(A132,Ingredients!$A$5:$A$304,0)),""))</f>
        <v>0</v>
      </c>
      <c r="D132" s="27"/>
      <c r="E132" s="28"/>
      <c r="F132" s="26"/>
      <c r="G132" s="8">
        <f>IF(OR(E132="",F132="",F132=0),"",E132/F132)</f>
        <v>0</v>
      </c>
      <c r="H132" s="30"/>
      <c r="I132" s="27"/>
      <c r="J132" s="28"/>
      <c r="K132" s="8">
        <f>IF(OR(E132="",J132=""),"",J132-E132)</f>
        <v>0</v>
      </c>
      <c r="L132" s="8">
        <f>IF(OR(K132="",J132="",J132=0),"",K132/J132)</f>
        <v>0</v>
      </c>
      <c r="M132" s="8">
        <f>IF(A132="","",IF(SUMPRODUCT(MIN(('Store Prices'!$A$5:$A$304=A132)*'Store Prices'!$G$5:$G$304+('Store Prices'!$A$5:$A$304&lt;&gt;A132)*1000000))&gt;=1000000,"",SUMPRODUCT(MIN(('Store Prices'!$A$5:$A$304=A132)*'Store Prices'!$G$5:$G$304+('Store Prices'!$A$5:$A$304&lt;&gt;A132)*1000000))))</f>
        <v>0</v>
      </c>
      <c r="N132" s="8">
        <f>IF(OR(A132="",G132="",M132=""),"",G132-M132)</f>
        <v>0</v>
      </c>
      <c r="O132" s="8">
        <f>IF(OR(A132="",G132=""),"",IF(G132=M132,"Best",""))</f>
        <v>0</v>
      </c>
      <c r="P132" s="8">
        <f>IF(OR(A132="",G132=""),"",COUNTIFS('Store Prices'!$A$5:$A$304,A132,'Store Prices'!$G$5:$G$304,"&lt;"&amp;G132)+1)</f>
        <v>0</v>
      </c>
      <c r="Q132" s="25"/>
    </row>
    <row r="133" spans="1:17">
      <c r="A133" s="7"/>
      <c r="B133" s="27"/>
      <c r="C133" s="8">
        <f>IF(A133="","",IFERROR(INDEX(Ingredients!$B$5:$B$304,MATCH(A133,Ingredients!$A$5:$A$304,0)),""))</f>
        <v>0</v>
      </c>
      <c r="D133" s="27"/>
      <c r="E133" s="28"/>
      <c r="F133" s="26"/>
      <c r="G133" s="8">
        <f>IF(OR(E133="",F133="",F133=0),"",E133/F133)</f>
        <v>0</v>
      </c>
      <c r="H133" s="30"/>
      <c r="I133" s="27"/>
      <c r="J133" s="28"/>
      <c r="K133" s="8">
        <f>IF(OR(E133="",J133=""),"",J133-E133)</f>
        <v>0</v>
      </c>
      <c r="L133" s="8">
        <f>IF(OR(K133="",J133="",J133=0),"",K133/J133)</f>
        <v>0</v>
      </c>
      <c r="M133" s="8">
        <f>IF(A133="","",IF(SUMPRODUCT(MIN(('Store Prices'!$A$5:$A$304=A133)*'Store Prices'!$G$5:$G$304+('Store Prices'!$A$5:$A$304&lt;&gt;A133)*1000000))&gt;=1000000,"",SUMPRODUCT(MIN(('Store Prices'!$A$5:$A$304=A133)*'Store Prices'!$G$5:$G$304+('Store Prices'!$A$5:$A$304&lt;&gt;A133)*1000000))))</f>
        <v>0</v>
      </c>
      <c r="N133" s="8">
        <f>IF(OR(A133="",G133="",M133=""),"",G133-M133)</f>
        <v>0</v>
      </c>
      <c r="O133" s="8">
        <f>IF(OR(A133="",G133=""),"",IF(G133=M133,"Best",""))</f>
        <v>0</v>
      </c>
      <c r="P133" s="8">
        <f>IF(OR(A133="",G133=""),"",COUNTIFS('Store Prices'!$A$5:$A$304,A133,'Store Prices'!$G$5:$G$304,"&lt;"&amp;G133)+1)</f>
        <v>0</v>
      </c>
      <c r="Q133" s="25"/>
    </row>
    <row r="134" spans="1:17">
      <c r="A134" s="7"/>
      <c r="B134" s="27"/>
      <c r="C134" s="8">
        <f>IF(A134="","",IFERROR(INDEX(Ingredients!$B$5:$B$304,MATCH(A134,Ingredients!$A$5:$A$304,0)),""))</f>
        <v>0</v>
      </c>
      <c r="D134" s="27"/>
      <c r="E134" s="28"/>
      <c r="F134" s="26"/>
      <c r="G134" s="8">
        <f>IF(OR(E134="",F134="",F134=0),"",E134/F134)</f>
        <v>0</v>
      </c>
      <c r="H134" s="30"/>
      <c r="I134" s="27"/>
      <c r="J134" s="28"/>
      <c r="K134" s="8">
        <f>IF(OR(E134="",J134=""),"",J134-E134)</f>
        <v>0</v>
      </c>
      <c r="L134" s="8">
        <f>IF(OR(K134="",J134="",J134=0),"",K134/J134)</f>
        <v>0</v>
      </c>
      <c r="M134" s="8">
        <f>IF(A134="","",IF(SUMPRODUCT(MIN(('Store Prices'!$A$5:$A$304=A134)*'Store Prices'!$G$5:$G$304+('Store Prices'!$A$5:$A$304&lt;&gt;A134)*1000000))&gt;=1000000,"",SUMPRODUCT(MIN(('Store Prices'!$A$5:$A$304=A134)*'Store Prices'!$G$5:$G$304+('Store Prices'!$A$5:$A$304&lt;&gt;A134)*1000000))))</f>
        <v>0</v>
      </c>
      <c r="N134" s="8">
        <f>IF(OR(A134="",G134="",M134=""),"",G134-M134)</f>
        <v>0</v>
      </c>
      <c r="O134" s="8">
        <f>IF(OR(A134="",G134=""),"",IF(G134=M134,"Best",""))</f>
        <v>0</v>
      </c>
      <c r="P134" s="8">
        <f>IF(OR(A134="",G134=""),"",COUNTIFS('Store Prices'!$A$5:$A$304,A134,'Store Prices'!$G$5:$G$304,"&lt;"&amp;G134)+1)</f>
        <v>0</v>
      </c>
      <c r="Q134" s="25"/>
    </row>
    <row r="135" spans="1:17">
      <c r="A135" s="7"/>
      <c r="B135" s="27"/>
      <c r="C135" s="8">
        <f>IF(A135="","",IFERROR(INDEX(Ingredients!$B$5:$B$304,MATCH(A135,Ingredients!$A$5:$A$304,0)),""))</f>
        <v>0</v>
      </c>
      <c r="D135" s="27"/>
      <c r="E135" s="28"/>
      <c r="F135" s="26"/>
      <c r="G135" s="8">
        <f>IF(OR(E135="",F135="",F135=0),"",E135/F135)</f>
        <v>0</v>
      </c>
      <c r="H135" s="30"/>
      <c r="I135" s="27"/>
      <c r="J135" s="28"/>
      <c r="K135" s="8">
        <f>IF(OR(E135="",J135=""),"",J135-E135)</f>
        <v>0</v>
      </c>
      <c r="L135" s="8">
        <f>IF(OR(K135="",J135="",J135=0),"",K135/J135)</f>
        <v>0</v>
      </c>
      <c r="M135" s="8">
        <f>IF(A135="","",IF(SUMPRODUCT(MIN(('Store Prices'!$A$5:$A$304=A135)*'Store Prices'!$G$5:$G$304+('Store Prices'!$A$5:$A$304&lt;&gt;A135)*1000000))&gt;=1000000,"",SUMPRODUCT(MIN(('Store Prices'!$A$5:$A$304=A135)*'Store Prices'!$G$5:$G$304+('Store Prices'!$A$5:$A$304&lt;&gt;A135)*1000000))))</f>
        <v>0</v>
      </c>
      <c r="N135" s="8">
        <f>IF(OR(A135="",G135="",M135=""),"",G135-M135)</f>
        <v>0</v>
      </c>
      <c r="O135" s="8">
        <f>IF(OR(A135="",G135=""),"",IF(G135=M135,"Best",""))</f>
        <v>0</v>
      </c>
      <c r="P135" s="8">
        <f>IF(OR(A135="",G135=""),"",COUNTIFS('Store Prices'!$A$5:$A$304,A135,'Store Prices'!$G$5:$G$304,"&lt;"&amp;G135)+1)</f>
        <v>0</v>
      </c>
      <c r="Q135" s="25"/>
    </row>
    <row r="136" spans="1:17">
      <c r="A136" s="7"/>
      <c r="B136" s="27"/>
      <c r="C136" s="8">
        <f>IF(A136="","",IFERROR(INDEX(Ingredients!$B$5:$B$304,MATCH(A136,Ingredients!$A$5:$A$304,0)),""))</f>
        <v>0</v>
      </c>
      <c r="D136" s="27"/>
      <c r="E136" s="28"/>
      <c r="F136" s="26"/>
      <c r="G136" s="8">
        <f>IF(OR(E136="",F136="",F136=0),"",E136/F136)</f>
        <v>0</v>
      </c>
      <c r="H136" s="30"/>
      <c r="I136" s="27"/>
      <c r="J136" s="28"/>
      <c r="K136" s="8">
        <f>IF(OR(E136="",J136=""),"",J136-E136)</f>
        <v>0</v>
      </c>
      <c r="L136" s="8">
        <f>IF(OR(K136="",J136="",J136=0),"",K136/J136)</f>
        <v>0</v>
      </c>
      <c r="M136" s="8">
        <f>IF(A136="","",IF(SUMPRODUCT(MIN(('Store Prices'!$A$5:$A$304=A136)*'Store Prices'!$G$5:$G$304+('Store Prices'!$A$5:$A$304&lt;&gt;A136)*1000000))&gt;=1000000,"",SUMPRODUCT(MIN(('Store Prices'!$A$5:$A$304=A136)*'Store Prices'!$G$5:$G$304+('Store Prices'!$A$5:$A$304&lt;&gt;A136)*1000000))))</f>
        <v>0</v>
      </c>
      <c r="N136" s="8">
        <f>IF(OR(A136="",G136="",M136=""),"",G136-M136)</f>
        <v>0</v>
      </c>
      <c r="O136" s="8">
        <f>IF(OR(A136="",G136=""),"",IF(G136=M136,"Best",""))</f>
        <v>0</v>
      </c>
      <c r="P136" s="8">
        <f>IF(OR(A136="",G136=""),"",COUNTIFS('Store Prices'!$A$5:$A$304,A136,'Store Prices'!$G$5:$G$304,"&lt;"&amp;G136)+1)</f>
        <v>0</v>
      </c>
      <c r="Q136" s="25"/>
    </row>
    <row r="137" spans="1:17">
      <c r="A137" s="7"/>
      <c r="B137" s="27"/>
      <c r="C137" s="8">
        <f>IF(A137="","",IFERROR(INDEX(Ingredients!$B$5:$B$304,MATCH(A137,Ingredients!$A$5:$A$304,0)),""))</f>
        <v>0</v>
      </c>
      <c r="D137" s="27"/>
      <c r="E137" s="28"/>
      <c r="F137" s="26"/>
      <c r="G137" s="8">
        <f>IF(OR(E137="",F137="",F137=0),"",E137/F137)</f>
        <v>0</v>
      </c>
      <c r="H137" s="30"/>
      <c r="I137" s="27"/>
      <c r="J137" s="28"/>
      <c r="K137" s="8">
        <f>IF(OR(E137="",J137=""),"",J137-E137)</f>
        <v>0</v>
      </c>
      <c r="L137" s="8">
        <f>IF(OR(K137="",J137="",J137=0),"",K137/J137)</f>
        <v>0</v>
      </c>
      <c r="M137" s="8">
        <f>IF(A137="","",IF(SUMPRODUCT(MIN(('Store Prices'!$A$5:$A$304=A137)*'Store Prices'!$G$5:$G$304+('Store Prices'!$A$5:$A$304&lt;&gt;A137)*1000000))&gt;=1000000,"",SUMPRODUCT(MIN(('Store Prices'!$A$5:$A$304=A137)*'Store Prices'!$G$5:$G$304+('Store Prices'!$A$5:$A$304&lt;&gt;A137)*1000000))))</f>
        <v>0</v>
      </c>
      <c r="N137" s="8">
        <f>IF(OR(A137="",G137="",M137=""),"",G137-M137)</f>
        <v>0</v>
      </c>
      <c r="O137" s="8">
        <f>IF(OR(A137="",G137=""),"",IF(G137=M137,"Best",""))</f>
        <v>0</v>
      </c>
      <c r="P137" s="8">
        <f>IF(OR(A137="",G137=""),"",COUNTIFS('Store Prices'!$A$5:$A$304,A137,'Store Prices'!$G$5:$G$304,"&lt;"&amp;G137)+1)</f>
        <v>0</v>
      </c>
      <c r="Q137" s="25"/>
    </row>
    <row r="138" spans="1:17">
      <c r="A138" s="7"/>
      <c r="B138" s="27"/>
      <c r="C138" s="8">
        <f>IF(A138="","",IFERROR(INDEX(Ingredients!$B$5:$B$304,MATCH(A138,Ingredients!$A$5:$A$304,0)),""))</f>
        <v>0</v>
      </c>
      <c r="D138" s="27"/>
      <c r="E138" s="28"/>
      <c r="F138" s="26"/>
      <c r="G138" s="8">
        <f>IF(OR(E138="",F138="",F138=0),"",E138/F138)</f>
        <v>0</v>
      </c>
      <c r="H138" s="30"/>
      <c r="I138" s="27"/>
      <c r="J138" s="28"/>
      <c r="K138" s="8">
        <f>IF(OR(E138="",J138=""),"",J138-E138)</f>
        <v>0</v>
      </c>
      <c r="L138" s="8">
        <f>IF(OR(K138="",J138="",J138=0),"",K138/J138)</f>
        <v>0</v>
      </c>
      <c r="M138" s="8">
        <f>IF(A138="","",IF(SUMPRODUCT(MIN(('Store Prices'!$A$5:$A$304=A138)*'Store Prices'!$G$5:$G$304+('Store Prices'!$A$5:$A$304&lt;&gt;A138)*1000000))&gt;=1000000,"",SUMPRODUCT(MIN(('Store Prices'!$A$5:$A$304=A138)*'Store Prices'!$G$5:$G$304+('Store Prices'!$A$5:$A$304&lt;&gt;A138)*1000000))))</f>
        <v>0</v>
      </c>
      <c r="N138" s="8">
        <f>IF(OR(A138="",G138="",M138=""),"",G138-M138)</f>
        <v>0</v>
      </c>
      <c r="O138" s="8">
        <f>IF(OR(A138="",G138=""),"",IF(G138=M138,"Best",""))</f>
        <v>0</v>
      </c>
      <c r="P138" s="8">
        <f>IF(OR(A138="",G138=""),"",COUNTIFS('Store Prices'!$A$5:$A$304,A138,'Store Prices'!$G$5:$G$304,"&lt;"&amp;G138)+1)</f>
        <v>0</v>
      </c>
      <c r="Q138" s="25"/>
    </row>
    <row r="139" spans="1:17">
      <c r="A139" s="7"/>
      <c r="B139" s="27"/>
      <c r="C139" s="8">
        <f>IF(A139="","",IFERROR(INDEX(Ingredients!$B$5:$B$304,MATCH(A139,Ingredients!$A$5:$A$304,0)),""))</f>
        <v>0</v>
      </c>
      <c r="D139" s="27"/>
      <c r="E139" s="28"/>
      <c r="F139" s="26"/>
      <c r="G139" s="8">
        <f>IF(OR(E139="",F139="",F139=0),"",E139/F139)</f>
        <v>0</v>
      </c>
      <c r="H139" s="30"/>
      <c r="I139" s="27"/>
      <c r="J139" s="28"/>
      <c r="K139" s="8">
        <f>IF(OR(E139="",J139=""),"",J139-E139)</f>
        <v>0</v>
      </c>
      <c r="L139" s="8">
        <f>IF(OR(K139="",J139="",J139=0),"",K139/J139)</f>
        <v>0</v>
      </c>
      <c r="M139" s="8">
        <f>IF(A139="","",IF(SUMPRODUCT(MIN(('Store Prices'!$A$5:$A$304=A139)*'Store Prices'!$G$5:$G$304+('Store Prices'!$A$5:$A$304&lt;&gt;A139)*1000000))&gt;=1000000,"",SUMPRODUCT(MIN(('Store Prices'!$A$5:$A$304=A139)*'Store Prices'!$G$5:$G$304+('Store Prices'!$A$5:$A$304&lt;&gt;A139)*1000000))))</f>
        <v>0</v>
      </c>
      <c r="N139" s="8">
        <f>IF(OR(A139="",G139="",M139=""),"",G139-M139)</f>
        <v>0</v>
      </c>
      <c r="O139" s="8">
        <f>IF(OR(A139="",G139=""),"",IF(G139=M139,"Best",""))</f>
        <v>0</v>
      </c>
      <c r="P139" s="8">
        <f>IF(OR(A139="",G139=""),"",COUNTIFS('Store Prices'!$A$5:$A$304,A139,'Store Prices'!$G$5:$G$304,"&lt;"&amp;G139)+1)</f>
        <v>0</v>
      </c>
      <c r="Q139" s="25"/>
    </row>
    <row r="140" spans="1:17">
      <c r="A140" s="7"/>
      <c r="B140" s="27"/>
      <c r="C140" s="8">
        <f>IF(A140="","",IFERROR(INDEX(Ingredients!$B$5:$B$304,MATCH(A140,Ingredients!$A$5:$A$304,0)),""))</f>
        <v>0</v>
      </c>
      <c r="D140" s="27"/>
      <c r="E140" s="28"/>
      <c r="F140" s="26"/>
      <c r="G140" s="8">
        <f>IF(OR(E140="",F140="",F140=0),"",E140/F140)</f>
        <v>0</v>
      </c>
      <c r="H140" s="30"/>
      <c r="I140" s="27"/>
      <c r="J140" s="28"/>
      <c r="K140" s="8">
        <f>IF(OR(E140="",J140=""),"",J140-E140)</f>
        <v>0</v>
      </c>
      <c r="L140" s="8">
        <f>IF(OR(K140="",J140="",J140=0),"",K140/J140)</f>
        <v>0</v>
      </c>
      <c r="M140" s="8">
        <f>IF(A140="","",IF(SUMPRODUCT(MIN(('Store Prices'!$A$5:$A$304=A140)*'Store Prices'!$G$5:$G$304+('Store Prices'!$A$5:$A$304&lt;&gt;A140)*1000000))&gt;=1000000,"",SUMPRODUCT(MIN(('Store Prices'!$A$5:$A$304=A140)*'Store Prices'!$G$5:$G$304+('Store Prices'!$A$5:$A$304&lt;&gt;A140)*1000000))))</f>
        <v>0</v>
      </c>
      <c r="N140" s="8">
        <f>IF(OR(A140="",G140="",M140=""),"",G140-M140)</f>
        <v>0</v>
      </c>
      <c r="O140" s="8">
        <f>IF(OR(A140="",G140=""),"",IF(G140=M140,"Best",""))</f>
        <v>0</v>
      </c>
      <c r="P140" s="8">
        <f>IF(OR(A140="",G140=""),"",COUNTIFS('Store Prices'!$A$5:$A$304,A140,'Store Prices'!$G$5:$G$304,"&lt;"&amp;G140)+1)</f>
        <v>0</v>
      </c>
      <c r="Q140" s="25"/>
    </row>
    <row r="141" spans="1:17">
      <c r="A141" s="7"/>
      <c r="B141" s="27"/>
      <c r="C141" s="8">
        <f>IF(A141="","",IFERROR(INDEX(Ingredients!$B$5:$B$304,MATCH(A141,Ingredients!$A$5:$A$304,0)),""))</f>
        <v>0</v>
      </c>
      <c r="D141" s="27"/>
      <c r="E141" s="28"/>
      <c r="F141" s="26"/>
      <c r="G141" s="8">
        <f>IF(OR(E141="",F141="",F141=0),"",E141/F141)</f>
        <v>0</v>
      </c>
      <c r="H141" s="30"/>
      <c r="I141" s="27"/>
      <c r="J141" s="28"/>
      <c r="K141" s="8">
        <f>IF(OR(E141="",J141=""),"",J141-E141)</f>
        <v>0</v>
      </c>
      <c r="L141" s="8">
        <f>IF(OR(K141="",J141="",J141=0),"",K141/J141)</f>
        <v>0</v>
      </c>
      <c r="M141" s="8">
        <f>IF(A141="","",IF(SUMPRODUCT(MIN(('Store Prices'!$A$5:$A$304=A141)*'Store Prices'!$G$5:$G$304+('Store Prices'!$A$5:$A$304&lt;&gt;A141)*1000000))&gt;=1000000,"",SUMPRODUCT(MIN(('Store Prices'!$A$5:$A$304=A141)*'Store Prices'!$G$5:$G$304+('Store Prices'!$A$5:$A$304&lt;&gt;A141)*1000000))))</f>
        <v>0</v>
      </c>
      <c r="N141" s="8">
        <f>IF(OR(A141="",G141="",M141=""),"",G141-M141)</f>
        <v>0</v>
      </c>
      <c r="O141" s="8">
        <f>IF(OR(A141="",G141=""),"",IF(G141=M141,"Best",""))</f>
        <v>0</v>
      </c>
      <c r="P141" s="8">
        <f>IF(OR(A141="",G141=""),"",COUNTIFS('Store Prices'!$A$5:$A$304,A141,'Store Prices'!$G$5:$G$304,"&lt;"&amp;G141)+1)</f>
        <v>0</v>
      </c>
      <c r="Q141" s="25"/>
    </row>
    <row r="142" spans="1:17">
      <c r="A142" s="7"/>
      <c r="B142" s="27"/>
      <c r="C142" s="8">
        <f>IF(A142="","",IFERROR(INDEX(Ingredients!$B$5:$B$304,MATCH(A142,Ingredients!$A$5:$A$304,0)),""))</f>
        <v>0</v>
      </c>
      <c r="D142" s="27"/>
      <c r="E142" s="28"/>
      <c r="F142" s="26"/>
      <c r="G142" s="8">
        <f>IF(OR(E142="",F142="",F142=0),"",E142/F142)</f>
        <v>0</v>
      </c>
      <c r="H142" s="30"/>
      <c r="I142" s="27"/>
      <c r="J142" s="28"/>
      <c r="K142" s="8">
        <f>IF(OR(E142="",J142=""),"",J142-E142)</f>
        <v>0</v>
      </c>
      <c r="L142" s="8">
        <f>IF(OR(K142="",J142="",J142=0),"",K142/J142)</f>
        <v>0</v>
      </c>
      <c r="M142" s="8">
        <f>IF(A142="","",IF(SUMPRODUCT(MIN(('Store Prices'!$A$5:$A$304=A142)*'Store Prices'!$G$5:$G$304+('Store Prices'!$A$5:$A$304&lt;&gt;A142)*1000000))&gt;=1000000,"",SUMPRODUCT(MIN(('Store Prices'!$A$5:$A$304=A142)*'Store Prices'!$G$5:$G$304+('Store Prices'!$A$5:$A$304&lt;&gt;A142)*1000000))))</f>
        <v>0</v>
      </c>
      <c r="N142" s="8">
        <f>IF(OR(A142="",G142="",M142=""),"",G142-M142)</f>
        <v>0</v>
      </c>
      <c r="O142" s="8">
        <f>IF(OR(A142="",G142=""),"",IF(G142=M142,"Best",""))</f>
        <v>0</v>
      </c>
      <c r="P142" s="8">
        <f>IF(OR(A142="",G142=""),"",COUNTIFS('Store Prices'!$A$5:$A$304,A142,'Store Prices'!$G$5:$G$304,"&lt;"&amp;G142)+1)</f>
        <v>0</v>
      </c>
      <c r="Q142" s="25"/>
    </row>
    <row r="143" spans="1:17">
      <c r="A143" s="7"/>
      <c r="B143" s="27"/>
      <c r="C143" s="8">
        <f>IF(A143="","",IFERROR(INDEX(Ingredients!$B$5:$B$304,MATCH(A143,Ingredients!$A$5:$A$304,0)),""))</f>
        <v>0</v>
      </c>
      <c r="D143" s="27"/>
      <c r="E143" s="28"/>
      <c r="F143" s="26"/>
      <c r="G143" s="8">
        <f>IF(OR(E143="",F143="",F143=0),"",E143/F143)</f>
        <v>0</v>
      </c>
      <c r="H143" s="30"/>
      <c r="I143" s="27"/>
      <c r="J143" s="28"/>
      <c r="K143" s="8">
        <f>IF(OR(E143="",J143=""),"",J143-E143)</f>
        <v>0</v>
      </c>
      <c r="L143" s="8">
        <f>IF(OR(K143="",J143="",J143=0),"",K143/J143)</f>
        <v>0</v>
      </c>
      <c r="M143" s="8">
        <f>IF(A143="","",IF(SUMPRODUCT(MIN(('Store Prices'!$A$5:$A$304=A143)*'Store Prices'!$G$5:$G$304+('Store Prices'!$A$5:$A$304&lt;&gt;A143)*1000000))&gt;=1000000,"",SUMPRODUCT(MIN(('Store Prices'!$A$5:$A$304=A143)*'Store Prices'!$G$5:$G$304+('Store Prices'!$A$5:$A$304&lt;&gt;A143)*1000000))))</f>
        <v>0</v>
      </c>
      <c r="N143" s="8">
        <f>IF(OR(A143="",G143="",M143=""),"",G143-M143)</f>
        <v>0</v>
      </c>
      <c r="O143" s="8">
        <f>IF(OR(A143="",G143=""),"",IF(G143=M143,"Best",""))</f>
        <v>0</v>
      </c>
      <c r="P143" s="8">
        <f>IF(OR(A143="",G143=""),"",COUNTIFS('Store Prices'!$A$5:$A$304,A143,'Store Prices'!$G$5:$G$304,"&lt;"&amp;G143)+1)</f>
        <v>0</v>
      </c>
      <c r="Q143" s="25"/>
    </row>
    <row r="144" spans="1:17">
      <c r="A144" s="7"/>
      <c r="B144" s="27"/>
      <c r="C144" s="8">
        <f>IF(A144="","",IFERROR(INDEX(Ingredients!$B$5:$B$304,MATCH(A144,Ingredients!$A$5:$A$304,0)),""))</f>
        <v>0</v>
      </c>
      <c r="D144" s="27"/>
      <c r="E144" s="28"/>
      <c r="F144" s="26"/>
      <c r="G144" s="8">
        <f>IF(OR(E144="",F144="",F144=0),"",E144/F144)</f>
        <v>0</v>
      </c>
      <c r="H144" s="30"/>
      <c r="I144" s="27"/>
      <c r="J144" s="28"/>
      <c r="K144" s="8">
        <f>IF(OR(E144="",J144=""),"",J144-E144)</f>
        <v>0</v>
      </c>
      <c r="L144" s="8">
        <f>IF(OR(K144="",J144="",J144=0),"",K144/J144)</f>
        <v>0</v>
      </c>
      <c r="M144" s="8">
        <f>IF(A144="","",IF(SUMPRODUCT(MIN(('Store Prices'!$A$5:$A$304=A144)*'Store Prices'!$G$5:$G$304+('Store Prices'!$A$5:$A$304&lt;&gt;A144)*1000000))&gt;=1000000,"",SUMPRODUCT(MIN(('Store Prices'!$A$5:$A$304=A144)*'Store Prices'!$G$5:$G$304+('Store Prices'!$A$5:$A$304&lt;&gt;A144)*1000000))))</f>
        <v>0</v>
      </c>
      <c r="N144" s="8">
        <f>IF(OR(A144="",G144="",M144=""),"",G144-M144)</f>
        <v>0</v>
      </c>
      <c r="O144" s="8">
        <f>IF(OR(A144="",G144=""),"",IF(G144=M144,"Best",""))</f>
        <v>0</v>
      </c>
      <c r="P144" s="8">
        <f>IF(OR(A144="",G144=""),"",COUNTIFS('Store Prices'!$A$5:$A$304,A144,'Store Prices'!$G$5:$G$304,"&lt;"&amp;G144)+1)</f>
        <v>0</v>
      </c>
      <c r="Q144" s="25"/>
    </row>
    <row r="145" spans="1:17">
      <c r="A145" s="7"/>
      <c r="B145" s="27"/>
      <c r="C145" s="8">
        <f>IF(A145="","",IFERROR(INDEX(Ingredients!$B$5:$B$304,MATCH(A145,Ingredients!$A$5:$A$304,0)),""))</f>
        <v>0</v>
      </c>
      <c r="D145" s="27"/>
      <c r="E145" s="28"/>
      <c r="F145" s="26"/>
      <c r="G145" s="8">
        <f>IF(OR(E145="",F145="",F145=0),"",E145/F145)</f>
        <v>0</v>
      </c>
      <c r="H145" s="30"/>
      <c r="I145" s="27"/>
      <c r="J145" s="28"/>
      <c r="K145" s="8">
        <f>IF(OR(E145="",J145=""),"",J145-E145)</f>
        <v>0</v>
      </c>
      <c r="L145" s="8">
        <f>IF(OR(K145="",J145="",J145=0),"",K145/J145)</f>
        <v>0</v>
      </c>
      <c r="M145" s="8">
        <f>IF(A145="","",IF(SUMPRODUCT(MIN(('Store Prices'!$A$5:$A$304=A145)*'Store Prices'!$G$5:$G$304+('Store Prices'!$A$5:$A$304&lt;&gt;A145)*1000000))&gt;=1000000,"",SUMPRODUCT(MIN(('Store Prices'!$A$5:$A$304=A145)*'Store Prices'!$G$5:$G$304+('Store Prices'!$A$5:$A$304&lt;&gt;A145)*1000000))))</f>
        <v>0</v>
      </c>
      <c r="N145" s="8">
        <f>IF(OR(A145="",G145="",M145=""),"",G145-M145)</f>
        <v>0</v>
      </c>
      <c r="O145" s="8">
        <f>IF(OR(A145="",G145=""),"",IF(G145=M145,"Best",""))</f>
        <v>0</v>
      </c>
      <c r="P145" s="8">
        <f>IF(OR(A145="",G145=""),"",COUNTIFS('Store Prices'!$A$5:$A$304,A145,'Store Prices'!$G$5:$G$304,"&lt;"&amp;G145)+1)</f>
        <v>0</v>
      </c>
      <c r="Q145" s="25"/>
    </row>
    <row r="146" spans="1:17">
      <c r="A146" s="7"/>
      <c r="B146" s="27"/>
      <c r="C146" s="8">
        <f>IF(A146="","",IFERROR(INDEX(Ingredients!$B$5:$B$304,MATCH(A146,Ingredients!$A$5:$A$304,0)),""))</f>
        <v>0</v>
      </c>
      <c r="D146" s="27"/>
      <c r="E146" s="28"/>
      <c r="F146" s="26"/>
      <c r="G146" s="8">
        <f>IF(OR(E146="",F146="",F146=0),"",E146/F146)</f>
        <v>0</v>
      </c>
      <c r="H146" s="30"/>
      <c r="I146" s="27"/>
      <c r="J146" s="28"/>
      <c r="K146" s="8">
        <f>IF(OR(E146="",J146=""),"",J146-E146)</f>
        <v>0</v>
      </c>
      <c r="L146" s="8">
        <f>IF(OR(K146="",J146="",J146=0),"",K146/J146)</f>
        <v>0</v>
      </c>
      <c r="M146" s="8">
        <f>IF(A146="","",IF(SUMPRODUCT(MIN(('Store Prices'!$A$5:$A$304=A146)*'Store Prices'!$G$5:$G$304+('Store Prices'!$A$5:$A$304&lt;&gt;A146)*1000000))&gt;=1000000,"",SUMPRODUCT(MIN(('Store Prices'!$A$5:$A$304=A146)*'Store Prices'!$G$5:$G$304+('Store Prices'!$A$5:$A$304&lt;&gt;A146)*1000000))))</f>
        <v>0</v>
      </c>
      <c r="N146" s="8">
        <f>IF(OR(A146="",G146="",M146=""),"",G146-M146)</f>
        <v>0</v>
      </c>
      <c r="O146" s="8">
        <f>IF(OR(A146="",G146=""),"",IF(G146=M146,"Best",""))</f>
        <v>0</v>
      </c>
      <c r="P146" s="8">
        <f>IF(OR(A146="",G146=""),"",COUNTIFS('Store Prices'!$A$5:$A$304,A146,'Store Prices'!$G$5:$G$304,"&lt;"&amp;G146)+1)</f>
        <v>0</v>
      </c>
      <c r="Q146" s="25"/>
    </row>
    <row r="147" spans="1:17">
      <c r="A147" s="7"/>
      <c r="B147" s="27"/>
      <c r="C147" s="8">
        <f>IF(A147="","",IFERROR(INDEX(Ingredients!$B$5:$B$304,MATCH(A147,Ingredients!$A$5:$A$304,0)),""))</f>
        <v>0</v>
      </c>
      <c r="D147" s="27"/>
      <c r="E147" s="28"/>
      <c r="F147" s="26"/>
      <c r="G147" s="8">
        <f>IF(OR(E147="",F147="",F147=0),"",E147/F147)</f>
        <v>0</v>
      </c>
      <c r="H147" s="30"/>
      <c r="I147" s="27"/>
      <c r="J147" s="28"/>
      <c r="K147" s="8">
        <f>IF(OR(E147="",J147=""),"",J147-E147)</f>
        <v>0</v>
      </c>
      <c r="L147" s="8">
        <f>IF(OR(K147="",J147="",J147=0),"",K147/J147)</f>
        <v>0</v>
      </c>
      <c r="M147" s="8">
        <f>IF(A147="","",IF(SUMPRODUCT(MIN(('Store Prices'!$A$5:$A$304=A147)*'Store Prices'!$G$5:$G$304+('Store Prices'!$A$5:$A$304&lt;&gt;A147)*1000000))&gt;=1000000,"",SUMPRODUCT(MIN(('Store Prices'!$A$5:$A$304=A147)*'Store Prices'!$G$5:$G$304+('Store Prices'!$A$5:$A$304&lt;&gt;A147)*1000000))))</f>
        <v>0</v>
      </c>
      <c r="N147" s="8">
        <f>IF(OR(A147="",G147="",M147=""),"",G147-M147)</f>
        <v>0</v>
      </c>
      <c r="O147" s="8">
        <f>IF(OR(A147="",G147=""),"",IF(G147=M147,"Best",""))</f>
        <v>0</v>
      </c>
      <c r="P147" s="8">
        <f>IF(OR(A147="",G147=""),"",COUNTIFS('Store Prices'!$A$5:$A$304,A147,'Store Prices'!$G$5:$G$304,"&lt;"&amp;G147)+1)</f>
        <v>0</v>
      </c>
      <c r="Q147" s="25"/>
    </row>
    <row r="148" spans="1:17">
      <c r="A148" s="7"/>
      <c r="B148" s="27"/>
      <c r="C148" s="8">
        <f>IF(A148="","",IFERROR(INDEX(Ingredients!$B$5:$B$304,MATCH(A148,Ingredients!$A$5:$A$304,0)),""))</f>
        <v>0</v>
      </c>
      <c r="D148" s="27"/>
      <c r="E148" s="28"/>
      <c r="F148" s="26"/>
      <c r="G148" s="8">
        <f>IF(OR(E148="",F148="",F148=0),"",E148/F148)</f>
        <v>0</v>
      </c>
      <c r="H148" s="30"/>
      <c r="I148" s="27"/>
      <c r="J148" s="28"/>
      <c r="K148" s="8">
        <f>IF(OR(E148="",J148=""),"",J148-E148)</f>
        <v>0</v>
      </c>
      <c r="L148" s="8">
        <f>IF(OR(K148="",J148="",J148=0),"",K148/J148)</f>
        <v>0</v>
      </c>
      <c r="M148" s="8">
        <f>IF(A148="","",IF(SUMPRODUCT(MIN(('Store Prices'!$A$5:$A$304=A148)*'Store Prices'!$G$5:$G$304+('Store Prices'!$A$5:$A$304&lt;&gt;A148)*1000000))&gt;=1000000,"",SUMPRODUCT(MIN(('Store Prices'!$A$5:$A$304=A148)*'Store Prices'!$G$5:$G$304+('Store Prices'!$A$5:$A$304&lt;&gt;A148)*1000000))))</f>
        <v>0</v>
      </c>
      <c r="N148" s="8">
        <f>IF(OR(A148="",G148="",M148=""),"",G148-M148)</f>
        <v>0</v>
      </c>
      <c r="O148" s="8">
        <f>IF(OR(A148="",G148=""),"",IF(G148=M148,"Best",""))</f>
        <v>0</v>
      </c>
      <c r="P148" s="8">
        <f>IF(OR(A148="",G148=""),"",COUNTIFS('Store Prices'!$A$5:$A$304,A148,'Store Prices'!$G$5:$G$304,"&lt;"&amp;G148)+1)</f>
        <v>0</v>
      </c>
      <c r="Q148" s="25"/>
    </row>
    <row r="149" spans="1:17">
      <c r="A149" s="7"/>
      <c r="B149" s="27"/>
      <c r="C149" s="8">
        <f>IF(A149="","",IFERROR(INDEX(Ingredients!$B$5:$B$304,MATCH(A149,Ingredients!$A$5:$A$304,0)),""))</f>
        <v>0</v>
      </c>
      <c r="D149" s="27"/>
      <c r="E149" s="28"/>
      <c r="F149" s="26"/>
      <c r="G149" s="8">
        <f>IF(OR(E149="",F149="",F149=0),"",E149/F149)</f>
        <v>0</v>
      </c>
      <c r="H149" s="30"/>
      <c r="I149" s="27"/>
      <c r="J149" s="28"/>
      <c r="K149" s="8">
        <f>IF(OR(E149="",J149=""),"",J149-E149)</f>
        <v>0</v>
      </c>
      <c r="L149" s="8">
        <f>IF(OR(K149="",J149="",J149=0),"",K149/J149)</f>
        <v>0</v>
      </c>
      <c r="M149" s="8">
        <f>IF(A149="","",IF(SUMPRODUCT(MIN(('Store Prices'!$A$5:$A$304=A149)*'Store Prices'!$G$5:$G$304+('Store Prices'!$A$5:$A$304&lt;&gt;A149)*1000000))&gt;=1000000,"",SUMPRODUCT(MIN(('Store Prices'!$A$5:$A$304=A149)*'Store Prices'!$G$5:$G$304+('Store Prices'!$A$5:$A$304&lt;&gt;A149)*1000000))))</f>
        <v>0</v>
      </c>
      <c r="N149" s="8">
        <f>IF(OR(A149="",G149="",M149=""),"",G149-M149)</f>
        <v>0</v>
      </c>
      <c r="O149" s="8">
        <f>IF(OR(A149="",G149=""),"",IF(G149=M149,"Best",""))</f>
        <v>0</v>
      </c>
      <c r="P149" s="8">
        <f>IF(OR(A149="",G149=""),"",COUNTIFS('Store Prices'!$A$5:$A$304,A149,'Store Prices'!$G$5:$G$304,"&lt;"&amp;G149)+1)</f>
        <v>0</v>
      </c>
      <c r="Q149" s="25"/>
    </row>
    <row r="150" spans="1:17">
      <c r="A150" s="7"/>
      <c r="B150" s="27"/>
      <c r="C150" s="8">
        <f>IF(A150="","",IFERROR(INDEX(Ingredients!$B$5:$B$304,MATCH(A150,Ingredients!$A$5:$A$304,0)),""))</f>
        <v>0</v>
      </c>
      <c r="D150" s="27"/>
      <c r="E150" s="28"/>
      <c r="F150" s="26"/>
      <c r="G150" s="8">
        <f>IF(OR(E150="",F150="",F150=0),"",E150/F150)</f>
        <v>0</v>
      </c>
      <c r="H150" s="30"/>
      <c r="I150" s="27"/>
      <c r="J150" s="28"/>
      <c r="K150" s="8">
        <f>IF(OR(E150="",J150=""),"",J150-E150)</f>
        <v>0</v>
      </c>
      <c r="L150" s="8">
        <f>IF(OR(K150="",J150="",J150=0),"",K150/J150)</f>
        <v>0</v>
      </c>
      <c r="M150" s="8">
        <f>IF(A150="","",IF(SUMPRODUCT(MIN(('Store Prices'!$A$5:$A$304=A150)*'Store Prices'!$G$5:$G$304+('Store Prices'!$A$5:$A$304&lt;&gt;A150)*1000000))&gt;=1000000,"",SUMPRODUCT(MIN(('Store Prices'!$A$5:$A$304=A150)*'Store Prices'!$G$5:$G$304+('Store Prices'!$A$5:$A$304&lt;&gt;A150)*1000000))))</f>
        <v>0</v>
      </c>
      <c r="N150" s="8">
        <f>IF(OR(A150="",G150="",M150=""),"",G150-M150)</f>
        <v>0</v>
      </c>
      <c r="O150" s="8">
        <f>IF(OR(A150="",G150=""),"",IF(G150=M150,"Best",""))</f>
        <v>0</v>
      </c>
      <c r="P150" s="8">
        <f>IF(OR(A150="",G150=""),"",COUNTIFS('Store Prices'!$A$5:$A$304,A150,'Store Prices'!$G$5:$G$304,"&lt;"&amp;G150)+1)</f>
        <v>0</v>
      </c>
      <c r="Q150" s="25"/>
    </row>
    <row r="151" spans="1:17">
      <c r="A151" s="7"/>
      <c r="B151" s="27"/>
      <c r="C151" s="8">
        <f>IF(A151="","",IFERROR(INDEX(Ingredients!$B$5:$B$304,MATCH(A151,Ingredients!$A$5:$A$304,0)),""))</f>
        <v>0</v>
      </c>
      <c r="D151" s="27"/>
      <c r="E151" s="28"/>
      <c r="F151" s="26"/>
      <c r="G151" s="8">
        <f>IF(OR(E151="",F151="",F151=0),"",E151/F151)</f>
        <v>0</v>
      </c>
      <c r="H151" s="30"/>
      <c r="I151" s="27"/>
      <c r="J151" s="28"/>
      <c r="K151" s="8">
        <f>IF(OR(E151="",J151=""),"",J151-E151)</f>
        <v>0</v>
      </c>
      <c r="L151" s="8">
        <f>IF(OR(K151="",J151="",J151=0),"",K151/J151)</f>
        <v>0</v>
      </c>
      <c r="M151" s="8">
        <f>IF(A151="","",IF(SUMPRODUCT(MIN(('Store Prices'!$A$5:$A$304=A151)*'Store Prices'!$G$5:$G$304+('Store Prices'!$A$5:$A$304&lt;&gt;A151)*1000000))&gt;=1000000,"",SUMPRODUCT(MIN(('Store Prices'!$A$5:$A$304=A151)*'Store Prices'!$G$5:$G$304+('Store Prices'!$A$5:$A$304&lt;&gt;A151)*1000000))))</f>
        <v>0</v>
      </c>
      <c r="N151" s="8">
        <f>IF(OR(A151="",G151="",M151=""),"",G151-M151)</f>
        <v>0</v>
      </c>
      <c r="O151" s="8">
        <f>IF(OR(A151="",G151=""),"",IF(G151=M151,"Best",""))</f>
        <v>0</v>
      </c>
      <c r="P151" s="8">
        <f>IF(OR(A151="",G151=""),"",COUNTIFS('Store Prices'!$A$5:$A$304,A151,'Store Prices'!$G$5:$G$304,"&lt;"&amp;G151)+1)</f>
        <v>0</v>
      </c>
      <c r="Q151" s="25"/>
    </row>
    <row r="152" spans="1:17">
      <c r="A152" s="7"/>
      <c r="B152" s="27"/>
      <c r="C152" s="8">
        <f>IF(A152="","",IFERROR(INDEX(Ingredients!$B$5:$B$304,MATCH(A152,Ingredients!$A$5:$A$304,0)),""))</f>
        <v>0</v>
      </c>
      <c r="D152" s="27"/>
      <c r="E152" s="28"/>
      <c r="F152" s="26"/>
      <c r="G152" s="8">
        <f>IF(OR(E152="",F152="",F152=0),"",E152/F152)</f>
        <v>0</v>
      </c>
      <c r="H152" s="30"/>
      <c r="I152" s="27"/>
      <c r="J152" s="28"/>
      <c r="K152" s="8">
        <f>IF(OR(E152="",J152=""),"",J152-E152)</f>
        <v>0</v>
      </c>
      <c r="L152" s="8">
        <f>IF(OR(K152="",J152="",J152=0),"",K152/J152)</f>
        <v>0</v>
      </c>
      <c r="M152" s="8">
        <f>IF(A152="","",IF(SUMPRODUCT(MIN(('Store Prices'!$A$5:$A$304=A152)*'Store Prices'!$G$5:$G$304+('Store Prices'!$A$5:$A$304&lt;&gt;A152)*1000000))&gt;=1000000,"",SUMPRODUCT(MIN(('Store Prices'!$A$5:$A$304=A152)*'Store Prices'!$G$5:$G$304+('Store Prices'!$A$5:$A$304&lt;&gt;A152)*1000000))))</f>
        <v>0</v>
      </c>
      <c r="N152" s="8">
        <f>IF(OR(A152="",G152="",M152=""),"",G152-M152)</f>
        <v>0</v>
      </c>
      <c r="O152" s="8">
        <f>IF(OR(A152="",G152=""),"",IF(G152=M152,"Best",""))</f>
        <v>0</v>
      </c>
      <c r="P152" s="8">
        <f>IF(OR(A152="",G152=""),"",COUNTIFS('Store Prices'!$A$5:$A$304,A152,'Store Prices'!$G$5:$G$304,"&lt;"&amp;G152)+1)</f>
        <v>0</v>
      </c>
      <c r="Q152" s="25"/>
    </row>
    <row r="153" spans="1:17">
      <c r="A153" s="7"/>
      <c r="B153" s="27"/>
      <c r="C153" s="8">
        <f>IF(A153="","",IFERROR(INDEX(Ingredients!$B$5:$B$304,MATCH(A153,Ingredients!$A$5:$A$304,0)),""))</f>
        <v>0</v>
      </c>
      <c r="D153" s="27"/>
      <c r="E153" s="28"/>
      <c r="F153" s="26"/>
      <c r="G153" s="8">
        <f>IF(OR(E153="",F153="",F153=0),"",E153/F153)</f>
        <v>0</v>
      </c>
      <c r="H153" s="30"/>
      <c r="I153" s="27"/>
      <c r="J153" s="28"/>
      <c r="K153" s="8">
        <f>IF(OR(E153="",J153=""),"",J153-E153)</f>
        <v>0</v>
      </c>
      <c r="L153" s="8">
        <f>IF(OR(K153="",J153="",J153=0),"",K153/J153)</f>
        <v>0</v>
      </c>
      <c r="M153" s="8">
        <f>IF(A153="","",IF(SUMPRODUCT(MIN(('Store Prices'!$A$5:$A$304=A153)*'Store Prices'!$G$5:$G$304+('Store Prices'!$A$5:$A$304&lt;&gt;A153)*1000000))&gt;=1000000,"",SUMPRODUCT(MIN(('Store Prices'!$A$5:$A$304=A153)*'Store Prices'!$G$5:$G$304+('Store Prices'!$A$5:$A$304&lt;&gt;A153)*1000000))))</f>
        <v>0</v>
      </c>
      <c r="N153" s="8">
        <f>IF(OR(A153="",G153="",M153=""),"",G153-M153)</f>
        <v>0</v>
      </c>
      <c r="O153" s="8">
        <f>IF(OR(A153="",G153=""),"",IF(G153=M153,"Best",""))</f>
        <v>0</v>
      </c>
      <c r="P153" s="8">
        <f>IF(OR(A153="",G153=""),"",COUNTIFS('Store Prices'!$A$5:$A$304,A153,'Store Prices'!$G$5:$G$304,"&lt;"&amp;G153)+1)</f>
        <v>0</v>
      </c>
      <c r="Q153" s="25"/>
    </row>
    <row r="154" spans="1:17">
      <c r="A154" s="7"/>
      <c r="B154" s="27"/>
      <c r="C154" s="8">
        <f>IF(A154="","",IFERROR(INDEX(Ingredients!$B$5:$B$304,MATCH(A154,Ingredients!$A$5:$A$304,0)),""))</f>
        <v>0</v>
      </c>
      <c r="D154" s="27"/>
      <c r="E154" s="28"/>
      <c r="F154" s="26"/>
      <c r="G154" s="8">
        <f>IF(OR(E154="",F154="",F154=0),"",E154/F154)</f>
        <v>0</v>
      </c>
      <c r="H154" s="30"/>
      <c r="I154" s="27"/>
      <c r="J154" s="28"/>
      <c r="K154" s="8">
        <f>IF(OR(E154="",J154=""),"",J154-E154)</f>
        <v>0</v>
      </c>
      <c r="L154" s="8">
        <f>IF(OR(K154="",J154="",J154=0),"",K154/J154)</f>
        <v>0</v>
      </c>
      <c r="M154" s="8">
        <f>IF(A154="","",IF(SUMPRODUCT(MIN(('Store Prices'!$A$5:$A$304=A154)*'Store Prices'!$G$5:$G$304+('Store Prices'!$A$5:$A$304&lt;&gt;A154)*1000000))&gt;=1000000,"",SUMPRODUCT(MIN(('Store Prices'!$A$5:$A$304=A154)*'Store Prices'!$G$5:$G$304+('Store Prices'!$A$5:$A$304&lt;&gt;A154)*1000000))))</f>
        <v>0</v>
      </c>
      <c r="N154" s="8">
        <f>IF(OR(A154="",G154="",M154=""),"",G154-M154)</f>
        <v>0</v>
      </c>
      <c r="O154" s="8">
        <f>IF(OR(A154="",G154=""),"",IF(G154=M154,"Best",""))</f>
        <v>0</v>
      </c>
      <c r="P154" s="8">
        <f>IF(OR(A154="",G154=""),"",COUNTIFS('Store Prices'!$A$5:$A$304,A154,'Store Prices'!$G$5:$G$304,"&lt;"&amp;G154)+1)</f>
        <v>0</v>
      </c>
      <c r="Q154" s="25"/>
    </row>
    <row r="155" spans="1:17">
      <c r="A155" s="7"/>
      <c r="B155" s="27"/>
      <c r="C155" s="8">
        <f>IF(A155="","",IFERROR(INDEX(Ingredients!$B$5:$B$304,MATCH(A155,Ingredients!$A$5:$A$304,0)),""))</f>
        <v>0</v>
      </c>
      <c r="D155" s="27"/>
      <c r="E155" s="28"/>
      <c r="F155" s="26"/>
      <c r="G155" s="8">
        <f>IF(OR(E155="",F155="",F155=0),"",E155/F155)</f>
        <v>0</v>
      </c>
      <c r="H155" s="30"/>
      <c r="I155" s="27"/>
      <c r="J155" s="28"/>
      <c r="K155" s="8">
        <f>IF(OR(E155="",J155=""),"",J155-E155)</f>
        <v>0</v>
      </c>
      <c r="L155" s="8">
        <f>IF(OR(K155="",J155="",J155=0),"",K155/J155)</f>
        <v>0</v>
      </c>
      <c r="M155" s="8">
        <f>IF(A155="","",IF(SUMPRODUCT(MIN(('Store Prices'!$A$5:$A$304=A155)*'Store Prices'!$G$5:$G$304+('Store Prices'!$A$5:$A$304&lt;&gt;A155)*1000000))&gt;=1000000,"",SUMPRODUCT(MIN(('Store Prices'!$A$5:$A$304=A155)*'Store Prices'!$G$5:$G$304+('Store Prices'!$A$5:$A$304&lt;&gt;A155)*1000000))))</f>
        <v>0</v>
      </c>
      <c r="N155" s="8">
        <f>IF(OR(A155="",G155="",M155=""),"",G155-M155)</f>
        <v>0</v>
      </c>
      <c r="O155" s="8">
        <f>IF(OR(A155="",G155=""),"",IF(G155=M155,"Best",""))</f>
        <v>0</v>
      </c>
      <c r="P155" s="8">
        <f>IF(OR(A155="",G155=""),"",COUNTIFS('Store Prices'!$A$5:$A$304,A155,'Store Prices'!$G$5:$G$304,"&lt;"&amp;G155)+1)</f>
        <v>0</v>
      </c>
      <c r="Q155" s="25"/>
    </row>
    <row r="156" spans="1:17">
      <c r="A156" s="7"/>
      <c r="B156" s="27"/>
      <c r="C156" s="8">
        <f>IF(A156="","",IFERROR(INDEX(Ingredients!$B$5:$B$304,MATCH(A156,Ingredients!$A$5:$A$304,0)),""))</f>
        <v>0</v>
      </c>
      <c r="D156" s="27"/>
      <c r="E156" s="28"/>
      <c r="F156" s="26"/>
      <c r="G156" s="8">
        <f>IF(OR(E156="",F156="",F156=0),"",E156/F156)</f>
        <v>0</v>
      </c>
      <c r="H156" s="30"/>
      <c r="I156" s="27"/>
      <c r="J156" s="28"/>
      <c r="K156" s="8">
        <f>IF(OR(E156="",J156=""),"",J156-E156)</f>
        <v>0</v>
      </c>
      <c r="L156" s="8">
        <f>IF(OR(K156="",J156="",J156=0),"",K156/J156)</f>
        <v>0</v>
      </c>
      <c r="M156" s="8">
        <f>IF(A156="","",IF(SUMPRODUCT(MIN(('Store Prices'!$A$5:$A$304=A156)*'Store Prices'!$G$5:$G$304+('Store Prices'!$A$5:$A$304&lt;&gt;A156)*1000000))&gt;=1000000,"",SUMPRODUCT(MIN(('Store Prices'!$A$5:$A$304=A156)*'Store Prices'!$G$5:$G$304+('Store Prices'!$A$5:$A$304&lt;&gt;A156)*1000000))))</f>
        <v>0</v>
      </c>
      <c r="N156" s="8">
        <f>IF(OR(A156="",G156="",M156=""),"",G156-M156)</f>
        <v>0</v>
      </c>
      <c r="O156" s="8">
        <f>IF(OR(A156="",G156=""),"",IF(G156=M156,"Best",""))</f>
        <v>0</v>
      </c>
      <c r="P156" s="8">
        <f>IF(OR(A156="",G156=""),"",COUNTIFS('Store Prices'!$A$5:$A$304,A156,'Store Prices'!$G$5:$G$304,"&lt;"&amp;G156)+1)</f>
        <v>0</v>
      </c>
      <c r="Q156" s="25"/>
    </row>
    <row r="157" spans="1:17">
      <c r="A157" s="7"/>
      <c r="B157" s="27"/>
      <c r="C157" s="8">
        <f>IF(A157="","",IFERROR(INDEX(Ingredients!$B$5:$B$304,MATCH(A157,Ingredients!$A$5:$A$304,0)),""))</f>
        <v>0</v>
      </c>
      <c r="D157" s="27"/>
      <c r="E157" s="28"/>
      <c r="F157" s="26"/>
      <c r="G157" s="8">
        <f>IF(OR(E157="",F157="",F157=0),"",E157/F157)</f>
        <v>0</v>
      </c>
      <c r="H157" s="30"/>
      <c r="I157" s="27"/>
      <c r="J157" s="28"/>
      <c r="K157" s="8">
        <f>IF(OR(E157="",J157=""),"",J157-E157)</f>
        <v>0</v>
      </c>
      <c r="L157" s="8">
        <f>IF(OR(K157="",J157="",J157=0),"",K157/J157)</f>
        <v>0</v>
      </c>
      <c r="M157" s="8">
        <f>IF(A157="","",IF(SUMPRODUCT(MIN(('Store Prices'!$A$5:$A$304=A157)*'Store Prices'!$G$5:$G$304+('Store Prices'!$A$5:$A$304&lt;&gt;A157)*1000000))&gt;=1000000,"",SUMPRODUCT(MIN(('Store Prices'!$A$5:$A$304=A157)*'Store Prices'!$G$5:$G$304+('Store Prices'!$A$5:$A$304&lt;&gt;A157)*1000000))))</f>
        <v>0</v>
      </c>
      <c r="N157" s="8">
        <f>IF(OR(A157="",G157="",M157=""),"",G157-M157)</f>
        <v>0</v>
      </c>
      <c r="O157" s="8">
        <f>IF(OR(A157="",G157=""),"",IF(G157=M157,"Best",""))</f>
        <v>0</v>
      </c>
      <c r="P157" s="8">
        <f>IF(OR(A157="",G157=""),"",COUNTIFS('Store Prices'!$A$5:$A$304,A157,'Store Prices'!$G$5:$G$304,"&lt;"&amp;G157)+1)</f>
        <v>0</v>
      </c>
      <c r="Q157" s="25"/>
    </row>
    <row r="158" spans="1:17">
      <c r="A158" s="7"/>
      <c r="B158" s="27"/>
      <c r="C158" s="8">
        <f>IF(A158="","",IFERROR(INDEX(Ingredients!$B$5:$B$304,MATCH(A158,Ingredients!$A$5:$A$304,0)),""))</f>
        <v>0</v>
      </c>
      <c r="D158" s="27"/>
      <c r="E158" s="28"/>
      <c r="F158" s="26"/>
      <c r="G158" s="8">
        <f>IF(OR(E158="",F158="",F158=0),"",E158/F158)</f>
        <v>0</v>
      </c>
      <c r="H158" s="30"/>
      <c r="I158" s="27"/>
      <c r="J158" s="28"/>
      <c r="K158" s="8">
        <f>IF(OR(E158="",J158=""),"",J158-E158)</f>
        <v>0</v>
      </c>
      <c r="L158" s="8">
        <f>IF(OR(K158="",J158="",J158=0),"",K158/J158)</f>
        <v>0</v>
      </c>
      <c r="M158" s="8">
        <f>IF(A158="","",IF(SUMPRODUCT(MIN(('Store Prices'!$A$5:$A$304=A158)*'Store Prices'!$G$5:$G$304+('Store Prices'!$A$5:$A$304&lt;&gt;A158)*1000000))&gt;=1000000,"",SUMPRODUCT(MIN(('Store Prices'!$A$5:$A$304=A158)*'Store Prices'!$G$5:$G$304+('Store Prices'!$A$5:$A$304&lt;&gt;A158)*1000000))))</f>
        <v>0</v>
      </c>
      <c r="N158" s="8">
        <f>IF(OR(A158="",G158="",M158=""),"",G158-M158)</f>
        <v>0</v>
      </c>
      <c r="O158" s="8">
        <f>IF(OR(A158="",G158=""),"",IF(G158=M158,"Best",""))</f>
        <v>0</v>
      </c>
      <c r="P158" s="8">
        <f>IF(OR(A158="",G158=""),"",COUNTIFS('Store Prices'!$A$5:$A$304,A158,'Store Prices'!$G$5:$G$304,"&lt;"&amp;G158)+1)</f>
        <v>0</v>
      </c>
      <c r="Q158" s="25"/>
    </row>
    <row r="159" spans="1:17">
      <c r="A159" s="7"/>
      <c r="B159" s="27"/>
      <c r="C159" s="8">
        <f>IF(A159="","",IFERROR(INDEX(Ingredients!$B$5:$B$304,MATCH(A159,Ingredients!$A$5:$A$304,0)),""))</f>
        <v>0</v>
      </c>
      <c r="D159" s="27"/>
      <c r="E159" s="28"/>
      <c r="F159" s="26"/>
      <c r="G159" s="8">
        <f>IF(OR(E159="",F159="",F159=0),"",E159/F159)</f>
        <v>0</v>
      </c>
      <c r="H159" s="30"/>
      <c r="I159" s="27"/>
      <c r="J159" s="28"/>
      <c r="K159" s="8">
        <f>IF(OR(E159="",J159=""),"",J159-E159)</f>
        <v>0</v>
      </c>
      <c r="L159" s="8">
        <f>IF(OR(K159="",J159="",J159=0),"",K159/J159)</f>
        <v>0</v>
      </c>
      <c r="M159" s="8">
        <f>IF(A159="","",IF(SUMPRODUCT(MIN(('Store Prices'!$A$5:$A$304=A159)*'Store Prices'!$G$5:$G$304+('Store Prices'!$A$5:$A$304&lt;&gt;A159)*1000000))&gt;=1000000,"",SUMPRODUCT(MIN(('Store Prices'!$A$5:$A$304=A159)*'Store Prices'!$G$5:$G$304+('Store Prices'!$A$5:$A$304&lt;&gt;A159)*1000000))))</f>
        <v>0</v>
      </c>
      <c r="N159" s="8">
        <f>IF(OR(A159="",G159="",M159=""),"",G159-M159)</f>
        <v>0</v>
      </c>
      <c r="O159" s="8">
        <f>IF(OR(A159="",G159=""),"",IF(G159=M159,"Best",""))</f>
        <v>0</v>
      </c>
      <c r="P159" s="8">
        <f>IF(OR(A159="",G159=""),"",COUNTIFS('Store Prices'!$A$5:$A$304,A159,'Store Prices'!$G$5:$G$304,"&lt;"&amp;G159)+1)</f>
        <v>0</v>
      </c>
      <c r="Q159" s="25"/>
    </row>
    <row r="160" spans="1:17">
      <c r="A160" s="7"/>
      <c r="B160" s="27"/>
      <c r="C160" s="8">
        <f>IF(A160="","",IFERROR(INDEX(Ingredients!$B$5:$B$304,MATCH(A160,Ingredients!$A$5:$A$304,0)),""))</f>
        <v>0</v>
      </c>
      <c r="D160" s="27"/>
      <c r="E160" s="28"/>
      <c r="F160" s="26"/>
      <c r="G160" s="8">
        <f>IF(OR(E160="",F160="",F160=0),"",E160/F160)</f>
        <v>0</v>
      </c>
      <c r="H160" s="30"/>
      <c r="I160" s="27"/>
      <c r="J160" s="28"/>
      <c r="K160" s="8">
        <f>IF(OR(E160="",J160=""),"",J160-E160)</f>
        <v>0</v>
      </c>
      <c r="L160" s="8">
        <f>IF(OR(K160="",J160="",J160=0),"",K160/J160)</f>
        <v>0</v>
      </c>
      <c r="M160" s="8">
        <f>IF(A160="","",IF(SUMPRODUCT(MIN(('Store Prices'!$A$5:$A$304=A160)*'Store Prices'!$G$5:$G$304+('Store Prices'!$A$5:$A$304&lt;&gt;A160)*1000000))&gt;=1000000,"",SUMPRODUCT(MIN(('Store Prices'!$A$5:$A$304=A160)*'Store Prices'!$G$5:$G$304+('Store Prices'!$A$5:$A$304&lt;&gt;A160)*1000000))))</f>
        <v>0</v>
      </c>
      <c r="N160" s="8">
        <f>IF(OR(A160="",G160="",M160=""),"",G160-M160)</f>
        <v>0</v>
      </c>
      <c r="O160" s="8">
        <f>IF(OR(A160="",G160=""),"",IF(G160=M160,"Best",""))</f>
        <v>0</v>
      </c>
      <c r="P160" s="8">
        <f>IF(OR(A160="",G160=""),"",COUNTIFS('Store Prices'!$A$5:$A$304,A160,'Store Prices'!$G$5:$G$304,"&lt;"&amp;G160)+1)</f>
        <v>0</v>
      </c>
      <c r="Q160" s="25"/>
    </row>
    <row r="161" spans="1:17">
      <c r="A161" s="7"/>
      <c r="B161" s="27"/>
      <c r="C161" s="8">
        <f>IF(A161="","",IFERROR(INDEX(Ingredients!$B$5:$B$304,MATCH(A161,Ingredients!$A$5:$A$304,0)),""))</f>
        <v>0</v>
      </c>
      <c r="D161" s="27"/>
      <c r="E161" s="28"/>
      <c r="F161" s="26"/>
      <c r="G161" s="8">
        <f>IF(OR(E161="",F161="",F161=0),"",E161/F161)</f>
        <v>0</v>
      </c>
      <c r="H161" s="30"/>
      <c r="I161" s="27"/>
      <c r="J161" s="28"/>
      <c r="K161" s="8">
        <f>IF(OR(E161="",J161=""),"",J161-E161)</f>
        <v>0</v>
      </c>
      <c r="L161" s="8">
        <f>IF(OR(K161="",J161="",J161=0),"",K161/J161)</f>
        <v>0</v>
      </c>
      <c r="M161" s="8">
        <f>IF(A161="","",IF(SUMPRODUCT(MIN(('Store Prices'!$A$5:$A$304=A161)*'Store Prices'!$G$5:$G$304+('Store Prices'!$A$5:$A$304&lt;&gt;A161)*1000000))&gt;=1000000,"",SUMPRODUCT(MIN(('Store Prices'!$A$5:$A$304=A161)*'Store Prices'!$G$5:$G$304+('Store Prices'!$A$5:$A$304&lt;&gt;A161)*1000000))))</f>
        <v>0</v>
      </c>
      <c r="N161" s="8">
        <f>IF(OR(A161="",G161="",M161=""),"",G161-M161)</f>
        <v>0</v>
      </c>
      <c r="O161" s="8">
        <f>IF(OR(A161="",G161=""),"",IF(G161=M161,"Best",""))</f>
        <v>0</v>
      </c>
      <c r="P161" s="8">
        <f>IF(OR(A161="",G161=""),"",COUNTIFS('Store Prices'!$A$5:$A$304,A161,'Store Prices'!$G$5:$G$304,"&lt;"&amp;G161)+1)</f>
        <v>0</v>
      </c>
      <c r="Q161" s="25"/>
    </row>
    <row r="162" spans="1:17">
      <c r="A162" s="7"/>
      <c r="B162" s="27"/>
      <c r="C162" s="8">
        <f>IF(A162="","",IFERROR(INDEX(Ingredients!$B$5:$B$304,MATCH(A162,Ingredients!$A$5:$A$304,0)),""))</f>
        <v>0</v>
      </c>
      <c r="D162" s="27"/>
      <c r="E162" s="28"/>
      <c r="F162" s="26"/>
      <c r="G162" s="8">
        <f>IF(OR(E162="",F162="",F162=0),"",E162/F162)</f>
        <v>0</v>
      </c>
      <c r="H162" s="30"/>
      <c r="I162" s="27"/>
      <c r="J162" s="28"/>
      <c r="K162" s="8">
        <f>IF(OR(E162="",J162=""),"",J162-E162)</f>
        <v>0</v>
      </c>
      <c r="L162" s="8">
        <f>IF(OR(K162="",J162="",J162=0),"",K162/J162)</f>
        <v>0</v>
      </c>
      <c r="M162" s="8">
        <f>IF(A162="","",IF(SUMPRODUCT(MIN(('Store Prices'!$A$5:$A$304=A162)*'Store Prices'!$G$5:$G$304+('Store Prices'!$A$5:$A$304&lt;&gt;A162)*1000000))&gt;=1000000,"",SUMPRODUCT(MIN(('Store Prices'!$A$5:$A$304=A162)*'Store Prices'!$G$5:$G$304+('Store Prices'!$A$5:$A$304&lt;&gt;A162)*1000000))))</f>
        <v>0</v>
      </c>
      <c r="N162" s="8">
        <f>IF(OR(A162="",G162="",M162=""),"",G162-M162)</f>
        <v>0</v>
      </c>
      <c r="O162" s="8">
        <f>IF(OR(A162="",G162=""),"",IF(G162=M162,"Best",""))</f>
        <v>0</v>
      </c>
      <c r="P162" s="8">
        <f>IF(OR(A162="",G162=""),"",COUNTIFS('Store Prices'!$A$5:$A$304,A162,'Store Prices'!$G$5:$G$304,"&lt;"&amp;G162)+1)</f>
        <v>0</v>
      </c>
      <c r="Q162" s="25"/>
    </row>
    <row r="163" spans="1:17">
      <c r="A163" s="7"/>
      <c r="B163" s="27"/>
      <c r="C163" s="8">
        <f>IF(A163="","",IFERROR(INDEX(Ingredients!$B$5:$B$304,MATCH(A163,Ingredients!$A$5:$A$304,0)),""))</f>
        <v>0</v>
      </c>
      <c r="D163" s="27"/>
      <c r="E163" s="28"/>
      <c r="F163" s="26"/>
      <c r="G163" s="8">
        <f>IF(OR(E163="",F163="",F163=0),"",E163/F163)</f>
        <v>0</v>
      </c>
      <c r="H163" s="30"/>
      <c r="I163" s="27"/>
      <c r="J163" s="28"/>
      <c r="K163" s="8">
        <f>IF(OR(E163="",J163=""),"",J163-E163)</f>
        <v>0</v>
      </c>
      <c r="L163" s="8">
        <f>IF(OR(K163="",J163="",J163=0),"",K163/J163)</f>
        <v>0</v>
      </c>
      <c r="M163" s="8">
        <f>IF(A163="","",IF(SUMPRODUCT(MIN(('Store Prices'!$A$5:$A$304=A163)*'Store Prices'!$G$5:$G$304+('Store Prices'!$A$5:$A$304&lt;&gt;A163)*1000000))&gt;=1000000,"",SUMPRODUCT(MIN(('Store Prices'!$A$5:$A$304=A163)*'Store Prices'!$G$5:$G$304+('Store Prices'!$A$5:$A$304&lt;&gt;A163)*1000000))))</f>
        <v>0</v>
      </c>
      <c r="N163" s="8">
        <f>IF(OR(A163="",G163="",M163=""),"",G163-M163)</f>
        <v>0</v>
      </c>
      <c r="O163" s="8">
        <f>IF(OR(A163="",G163=""),"",IF(G163=M163,"Best",""))</f>
        <v>0</v>
      </c>
      <c r="P163" s="8">
        <f>IF(OR(A163="",G163=""),"",COUNTIFS('Store Prices'!$A$5:$A$304,A163,'Store Prices'!$G$5:$G$304,"&lt;"&amp;G163)+1)</f>
        <v>0</v>
      </c>
      <c r="Q163" s="25"/>
    </row>
    <row r="164" spans="1:17">
      <c r="A164" s="7"/>
      <c r="B164" s="27"/>
      <c r="C164" s="8">
        <f>IF(A164="","",IFERROR(INDEX(Ingredients!$B$5:$B$304,MATCH(A164,Ingredients!$A$5:$A$304,0)),""))</f>
        <v>0</v>
      </c>
      <c r="D164" s="27"/>
      <c r="E164" s="28"/>
      <c r="F164" s="26"/>
      <c r="G164" s="8">
        <f>IF(OR(E164="",F164="",F164=0),"",E164/F164)</f>
        <v>0</v>
      </c>
      <c r="H164" s="30"/>
      <c r="I164" s="27"/>
      <c r="J164" s="28"/>
      <c r="K164" s="8">
        <f>IF(OR(E164="",J164=""),"",J164-E164)</f>
        <v>0</v>
      </c>
      <c r="L164" s="8">
        <f>IF(OR(K164="",J164="",J164=0),"",K164/J164)</f>
        <v>0</v>
      </c>
      <c r="M164" s="8">
        <f>IF(A164="","",IF(SUMPRODUCT(MIN(('Store Prices'!$A$5:$A$304=A164)*'Store Prices'!$G$5:$G$304+('Store Prices'!$A$5:$A$304&lt;&gt;A164)*1000000))&gt;=1000000,"",SUMPRODUCT(MIN(('Store Prices'!$A$5:$A$304=A164)*'Store Prices'!$G$5:$G$304+('Store Prices'!$A$5:$A$304&lt;&gt;A164)*1000000))))</f>
        <v>0</v>
      </c>
      <c r="N164" s="8">
        <f>IF(OR(A164="",G164="",M164=""),"",G164-M164)</f>
        <v>0</v>
      </c>
      <c r="O164" s="8">
        <f>IF(OR(A164="",G164=""),"",IF(G164=M164,"Best",""))</f>
        <v>0</v>
      </c>
      <c r="P164" s="8">
        <f>IF(OR(A164="",G164=""),"",COUNTIFS('Store Prices'!$A$5:$A$304,A164,'Store Prices'!$G$5:$G$304,"&lt;"&amp;G164)+1)</f>
        <v>0</v>
      </c>
      <c r="Q164" s="25"/>
    </row>
    <row r="165" spans="1:17">
      <c r="A165" s="7"/>
      <c r="B165" s="27"/>
      <c r="C165" s="8">
        <f>IF(A165="","",IFERROR(INDEX(Ingredients!$B$5:$B$304,MATCH(A165,Ingredients!$A$5:$A$304,0)),""))</f>
        <v>0</v>
      </c>
      <c r="D165" s="27"/>
      <c r="E165" s="28"/>
      <c r="F165" s="26"/>
      <c r="G165" s="8">
        <f>IF(OR(E165="",F165="",F165=0),"",E165/F165)</f>
        <v>0</v>
      </c>
      <c r="H165" s="30"/>
      <c r="I165" s="27"/>
      <c r="J165" s="28"/>
      <c r="K165" s="8">
        <f>IF(OR(E165="",J165=""),"",J165-E165)</f>
        <v>0</v>
      </c>
      <c r="L165" s="8">
        <f>IF(OR(K165="",J165="",J165=0),"",K165/J165)</f>
        <v>0</v>
      </c>
      <c r="M165" s="8">
        <f>IF(A165="","",IF(SUMPRODUCT(MIN(('Store Prices'!$A$5:$A$304=A165)*'Store Prices'!$G$5:$G$304+('Store Prices'!$A$5:$A$304&lt;&gt;A165)*1000000))&gt;=1000000,"",SUMPRODUCT(MIN(('Store Prices'!$A$5:$A$304=A165)*'Store Prices'!$G$5:$G$304+('Store Prices'!$A$5:$A$304&lt;&gt;A165)*1000000))))</f>
        <v>0</v>
      </c>
      <c r="N165" s="8">
        <f>IF(OR(A165="",G165="",M165=""),"",G165-M165)</f>
        <v>0</v>
      </c>
      <c r="O165" s="8">
        <f>IF(OR(A165="",G165=""),"",IF(G165=M165,"Best",""))</f>
        <v>0</v>
      </c>
      <c r="P165" s="8">
        <f>IF(OR(A165="",G165=""),"",COUNTIFS('Store Prices'!$A$5:$A$304,A165,'Store Prices'!$G$5:$G$304,"&lt;"&amp;G165)+1)</f>
        <v>0</v>
      </c>
      <c r="Q165" s="25"/>
    </row>
    <row r="166" spans="1:17">
      <c r="A166" s="7"/>
      <c r="B166" s="27"/>
      <c r="C166" s="8">
        <f>IF(A166="","",IFERROR(INDEX(Ingredients!$B$5:$B$304,MATCH(A166,Ingredients!$A$5:$A$304,0)),""))</f>
        <v>0</v>
      </c>
      <c r="D166" s="27"/>
      <c r="E166" s="28"/>
      <c r="F166" s="26"/>
      <c r="G166" s="8">
        <f>IF(OR(E166="",F166="",F166=0),"",E166/F166)</f>
        <v>0</v>
      </c>
      <c r="H166" s="30"/>
      <c r="I166" s="27"/>
      <c r="J166" s="28"/>
      <c r="K166" s="8">
        <f>IF(OR(E166="",J166=""),"",J166-E166)</f>
        <v>0</v>
      </c>
      <c r="L166" s="8">
        <f>IF(OR(K166="",J166="",J166=0),"",K166/J166)</f>
        <v>0</v>
      </c>
      <c r="M166" s="8">
        <f>IF(A166="","",IF(SUMPRODUCT(MIN(('Store Prices'!$A$5:$A$304=A166)*'Store Prices'!$G$5:$G$304+('Store Prices'!$A$5:$A$304&lt;&gt;A166)*1000000))&gt;=1000000,"",SUMPRODUCT(MIN(('Store Prices'!$A$5:$A$304=A166)*'Store Prices'!$G$5:$G$304+('Store Prices'!$A$5:$A$304&lt;&gt;A166)*1000000))))</f>
        <v>0</v>
      </c>
      <c r="N166" s="8">
        <f>IF(OR(A166="",G166="",M166=""),"",G166-M166)</f>
        <v>0</v>
      </c>
      <c r="O166" s="8">
        <f>IF(OR(A166="",G166=""),"",IF(G166=M166,"Best",""))</f>
        <v>0</v>
      </c>
      <c r="P166" s="8">
        <f>IF(OR(A166="",G166=""),"",COUNTIFS('Store Prices'!$A$5:$A$304,A166,'Store Prices'!$G$5:$G$304,"&lt;"&amp;G166)+1)</f>
        <v>0</v>
      </c>
      <c r="Q166" s="25"/>
    </row>
    <row r="167" spans="1:17">
      <c r="A167" s="7"/>
      <c r="B167" s="27"/>
      <c r="C167" s="8">
        <f>IF(A167="","",IFERROR(INDEX(Ingredients!$B$5:$B$304,MATCH(A167,Ingredients!$A$5:$A$304,0)),""))</f>
        <v>0</v>
      </c>
      <c r="D167" s="27"/>
      <c r="E167" s="28"/>
      <c r="F167" s="26"/>
      <c r="G167" s="8">
        <f>IF(OR(E167="",F167="",F167=0),"",E167/F167)</f>
        <v>0</v>
      </c>
      <c r="H167" s="30"/>
      <c r="I167" s="27"/>
      <c r="J167" s="28"/>
      <c r="K167" s="8">
        <f>IF(OR(E167="",J167=""),"",J167-E167)</f>
        <v>0</v>
      </c>
      <c r="L167" s="8">
        <f>IF(OR(K167="",J167="",J167=0),"",K167/J167)</f>
        <v>0</v>
      </c>
      <c r="M167" s="8">
        <f>IF(A167="","",IF(SUMPRODUCT(MIN(('Store Prices'!$A$5:$A$304=A167)*'Store Prices'!$G$5:$G$304+('Store Prices'!$A$5:$A$304&lt;&gt;A167)*1000000))&gt;=1000000,"",SUMPRODUCT(MIN(('Store Prices'!$A$5:$A$304=A167)*'Store Prices'!$G$5:$G$304+('Store Prices'!$A$5:$A$304&lt;&gt;A167)*1000000))))</f>
        <v>0</v>
      </c>
      <c r="N167" s="8">
        <f>IF(OR(A167="",G167="",M167=""),"",G167-M167)</f>
        <v>0</v>
      </c>
      <c r="O167" s="8">
        <f>IF(OR(A167="",G167=""),"",IF(G167=M167,"Best",""))</f>
        <v>0</v>
      </c>
      <c r="P167" s="8">
        <f>IF(OR(A167="",G167=""),"",COUNTIFS('Store Prices'!$A$5:$A$304,A167,'Store Prices'!$G$5:$G$304,"&lt;"&amp;G167)+1)</f>
        <v>0</v>
      </c>
      <c r="Q167" s="25"/>
    </row>
    <row r="168" spans="1:17">
      <c r="A168" s="7"/>
      <c r="B168" s="27"/>
      <c r="C168" s="8">
        <f>IF(A168="","",IFERROR(INDEX(Ingredients!$B$5:$B$304,MATCH(A168,Ingredients!$A$5:$A$304,0)),""))</f>
        <v>0</v>
      </c>
      <c r="D168" s="27"/>
      <c r="E168" s="28"/>
      <c r="F168" s="26"/>
      <c r="G168" s="8">
        <f>IF(OR(E168="",F168="",F168=0),"",E168/F168)</f>
        <v>0</v>
      </c>
      <c r="H168" s="30"/>
      <c r="I168" s="27"/>
      <c r="J168" s="28"/>
      <c r="K168" s="8">
        <f>IF(OR(E168="",J168=""),"",J168-E168)</f>
        <v>0</v>
      </c>
      <c r="L168" s="8">
        <f>IF(OR(K168="",J168="",J168=0),"",K168/J168)</f>
        <v>0</v>
      </c>
      <c r="M168" s="8">
        <f>IF(A168="","",IF(SUMPRODUCT(MIN(('Store Prices'!$A$5:$A$304=A168)*'Store Prices'!$G$5:$G$304+('Store Prices'!$A$5:$A$304&lt;&gt;A168)*1000000))&gt;=1000000,"",SUMPRODUCT(MIN(('Store Prices'!$A$5:$A$304=A168)*'Store Prices'!$G$5:$G$304+('Store Prices'!$A$5:$A$304&lt;&gt;A168)*1000000))))</f>
        <v>0</v>
      </c>
      <c r="N168" s="8">
        <f>IF(OR(A168="",G168="",M168=""),"",G168-M168)</f>
        <v>0</v>
      </c>
      <c r="O168" s="8">
        <f>IF(OR(A168="",G168=""),"",IF(G168=M168,"Best",""))</f>
        <v>0</v>
      </c>
      <c r="P168" s="8">
        <f>IF(OR(A168="",G168=""),"",COUNTIFS('Store Prices'!$A$5:$A$304,A168,'Store Prices'!$G$5:$G$304,"&lt;"&amp;G168)+1)</f>
        <v>0</v>
      </c>
      <c r="Q168" s="25"/>
    </row>
    <row r="169" spans="1:17">
      <c r="A169" s="7"/>
      <c r="B169" s="27"/>
      <c r="C169" s="8">
        <f>IF(A169="","",IFERROR(INDEX(Ingredients!$B$5:$B$304,MATCH(A169,Ingredients!$A$5:$A$304,0)),""))</f>
        <v>0</v>
      </c>
      <c r="D169" s="27"/>
      <c r="E169" s="28"/>
      <c r="F169" s="26"/>
      <c r="G169" s="8">
        <f>IF(OR(E169="",F169="",F169=0),"",E169/F169)</f>
        <v>0</v>
      </c>
      <c r="H169" s="30"/>
      <c r="I169" s="27"/>
      <c r="J169" s="28"/>
      <c r="K169" s="8">
        <f>IF(OR(E169="",J169=""),"",J169-E169)</f>
        <v>0</v>
      </c>
      <c r="L169" s="8">
        <f>IF(OR(K169="",J169="",J169=0),"",K169/J169)</f>
        <v>0</v>
      </c>
      <c r="M169" s="8">
        <f>IF(A169="","",IF(SUMPRODUCT(MIN(('Store Prices'!$A$5:$A$304=A169)*'Store Prices'!$G$5:$G$304+('Store Prices'!$A$5:$A$304&lt;&gt;A169)*1000000))&gt;=1000000,"",SUMPRODUCT(MIN(('Store Prices'!$A$5:$A$304=A169)*'Store Prices'!$G$5:$G$304+('Store Prices'!$A$5:$A$304&lt;&gt;A169)*1000000))))</f>
        <v>0</v>
      </c>
      <c r="N169" s="8">
        <f>IF(OR(A169="",G169="",M169=""),"",G169-M169)</f>
        <v>0</v>
      </c>
      <c r="O169" s="8">
        <f>IF(OR(A169="",G169=""),"",IF(G169=M169,"Best",""))</f>
        <v>0</v>
      </c>
      <c r="P169" s="8">
        <f>IF(OR(A169="",G169=""),"",COUNTIFS('Store Prices'!$A$5:$A$304,A169,'Store Prices'!$G$5:$G$304,"&lt;"&amp;G169)+1)</f>
        <v>0</v>
      </c>
      <c r="Q169" s="25"/>
    </row>
    <row r="170" spans="1:17">
      <c r="A170" s="7"/>
      <c r="B170" s="27"/>
      <c r="C170" s="8">
        <f>IF(A170="","",IFERROR(INDEX(Ingredients!$B$5:$B$304,MATCH(A170,Ingredients!$A$5:$A$304,0)),""))</f>
        <v>0</v>
      </c>
      <c r="D170" s="27"/>
      <c r="E170" s="28"/>
      <c r="F170" s="26"/>
      <c r="G170" s="8">
        <f>IF(OR(E170="",F170="",F170=0),"",E170/F170)</f>
        <v>0</v>
      </c>
      <c r="H170" s="30"/>
      <c r="I170" s="27"/>
      <c r="J170" s="28"/>
      <c r="K170" s="8">
        <f>IF(OR(E170="",J170=""),"",J170-E170)</f>
        <v>0</v>
      </c>
      <c r="L170" s="8">
        <f>IF(OR(K170="",J170="",J170=0),"",K170/J170)</f>
        <v>0</v>
      </c>
      <c r="M170" s="8">
        <f>IF(A170="","",IF(SUMPRODUCT(MIN(('Store Prices'!$A$5:$A$304=A170)*'Store Prices'!$G$5:$G$304+('Store Prices'!$A$5:$A$304&lt;&gt;A170)*1000000))&gt;=1000000,"",SUMPRODUCT(MIN(('Store Prices'!$A$5:$A$304=A170)*'Store Prices'!$G$5:$G$304+('Store Prices'!$A$5:$A$304&lt;&gt;A170)*1000000))))</f>
        <v>0</v>
      </c>
      <c r="N170" s="8">
        <f>IF(OR(A170="",G170="",M170=""),"",G170-M170)</f>
        <v>0</v>
      </c>
      <c r="O170" s="8">
        <f>IF(OR(A170="",G170=""),"",IF(G170=M170,"Best",""))</f>
        <v>0</v>
      </c>
      <c r="P170" s="8">
        <f>IF(OR(A170="",G170=""),"",COUNTIFS('Store Prices'!$A$5:$A$304,A170,'Store Prices'!$G$5:$G$304,"&lt;"&amp;G170)+1)</f>
        <v>0</v>
      </c>
      <c r="Q170" s="25"/>
    </row>
    <row r="171" spans="1:17">
      <c r="A171" s="7"/>
      <c r="B171" s="27"/>
      <c r="C171" s="8">
        <f>IF(A171="","",IFERROR(INDEX(Ingredients!$B$5:$B$304,MATCH(A171,Ingredients!$A$5:$A$304,0)),""))</f>
        <v>0</v>
      </c>
      <c r="D171" s="27"/>
      <c r="E171" s="28"/>
      <c r="F171" s="26"/>
      <c r="G171" s="8">
        <f>IF(OR(E171="",F171="",F171=0),"",E171/F171)</f>
        <v>0</v>
      </c>
      <c r="H171" s="30"/>
      <c r="I171" s="27"/>
      <c r="J171" s="28"/>
      <c r="K171" s="8">
        <f>IF(OR(E171="",J171=""),"",J171-E171)</f>
        <v>0</v>
      </c>
      <c r="L171" s="8">
        <f>IF(OR(K171="",J171="",J171=0),"",K171/J171)</f>
        <v>0</v>
      </c>
      <c r="M171" s="8">
        <f>IF(A171="","",IF(SUMPRODUCT(MIN(('Store Prices'!$A$5:$A$304=A171)*'Store Prices'!$G$5:$G$304+('Store Prices'!$A$5:$A$304&lt;&gt;A171)*1000000))&gt;=1000000,"",SUMPRODUCT(MIN(('Store Prices'!$A$5:$A$304=A171)*'Store Prices'!$G$5:$G$304+('Store Prices'!$A$5:$A$304&lt;&gt;A171)*1000000))))</f>
        <v>0</v>
      </c>
      <c r="N171" s="8">
        <f>IF(OR(A171="",G171="",M171=""),"",G171-M171)</f>
        <v>0</v>
      </c>
      <c r="O171" s="8">
        <f>IF(OR(A171="",G171=""),"",IF(G171=M171,"Best",""))</f>
        <v>0</v>
      </c>
      <c r="P171" s="8">
        <f>IF(OR(A171="",G171=""),"",COUNTIFS('Store Prices'!$A$5:$A$304,A171,'Store Prices'!$G$5:$G$304,"&lt;"&amp;G171)+1)</f>
        <v>0</v>
      </c>
      <c r="Q171" s="25"/>
    </row>
    <row r="172" spans="1:17">
      <c r="A172" s="7"/>
      <c r="B172" s="27"/>
      <c r="C172" s="8">
        <f>IF(A172="","",IFERROR(INDEX(Ingredients!$B$5:$B$304,MATCH(A172,Ingredients!$A$5:$A$304,0)),""))</f>
        <v>0</v>
      </c>
      <c r="D172" s="27"/>
      <c r="E172" s="28"/>
      <c r="F172" s="26"/>
      <c r="G172" s="8">
        <f>IF(OR(E172="",F172="",F172=0),"",E172/F172)</f>
        <v>0</v>
      </c>
      <c r="H172" s="30"/>
      <c r="I172" s="27"/>
      <c r="J172" s="28"/>
      <c r="K172" s="8">
        <f>IF(OR(E172="",J172=""),"",J172-E172)</f>
        <v>0</v>
      </c>
      <c r="L172" s="8">
        <f>IF(OR(K172="",J172="",J172=0),"",K172/J172)</f>
        <v>0</v>
      </c>
      <c r="M172" s="8">
        <f>IF(A172="","",IF(SUMPRODUCT(MIN(('Store Prices'!$A$5:$A$304=A172)*'Store Prices'!$G$5:$G$304+('Store Prices'!$A$5:$A$304&lt;&gt;A172)*1000000))&gt;=1000000,"",SUMPRODUCT(MIN(('Store Prices'!$A$5:$A$304=A172)*'Store Prices'!$G$5:$G$304+('Store Prices'!$A$5:$A$304&lt;&gt;A172)*1000000))))</f>
        <v>0</v>
      </c>
      <c r="N172" s="8">
        <f>IF(OR(A172="",G172="",M172=""),"",G172-M172)</f>
        <v>0</v>
      </c>
      <c r="O172" s="8">
        <f>IF(OR(A172="",G172=""),"",IF(G172=M172,"Best",""))</f>
        <v>0</v>
      </c>
      <c r="P172" s="8">
        <f>IF(OR(A172="",G172=""),"",COUNTIFS('Store Prices'!$A$5:$A$304,A172,'Store Prices'!$G$5:$G$304,"&lt;"&amp;G172)+1)</f>
        <v>0</v>
      </c>
      <c r="Q172" s="25"/>
    </row>
    <row r="173" spans="1:17">
      <c r="A173" s="7"/>
      <c r="B173" s="27"/>
      <c r="C173" s="8">
        <f>IF(A173="","",IFERROR(INDEX(Ingredients!$B$5:$B$304,MATCH(A173,Ingredients!$A$5:$A$304,0)),""))</f>
        <v>0</v>
      </c>
      <c r="D173" s="27"/>
      <c r="E173" s="28"/>
      <c r="F173" s="26"/>
      <c r="G173" s="8">
        <f>IF(OR(E173="",F173="",F173=0),"",E173/F173)</f>
        <v>0</v>
      </c>
      <c r="H173" s="30"/>
      <c r="I173" s="27"/>
      <c r="J173" s="28"/>
      <c r="K173" s="8">
        <f>IF(OR(E173="",J173=""),"",J173-E173)</f>
        <v>0</v>
      </c>
      <c r="L173" s="8">
        <f>IF(OR(K173="",J173="",J173=0),"",K173/J173)</f>
        <v>0</v>
      </c>
      <c r="M173" s="8">
        <f>IF(A173="","",IF(SUMPRODUCT(MIN(('Store Prices'!$A$5:$A$304=A173)*'Store Prices'!$G$5:$G$304+('Store Prices'!$A$5:$A$304&lt;&gt;A173)*1000000))&gt;=1000000,"",SUMPRODUCT(MIN(('Store Prices'!$A$5:$A$304=A173)*'Store Prices'!$G$5:$G$304+('Store Prices'!$A$5:$A$304&lt;&gt;A173)*1000000))))</f>
        <v>0</v>
      </c>
      <c r="N173" s="8">
        <f>IF(OR(A173="",G173="",M173=""),"",G173-M173)</f>
        <v>0</v>
      </c>
      <c r="O173" s="8">
        <f>IF(OR(A173="",G173=""),"",IF(G173=M173,"Best",""))</f>
        <v>0</v>
      </c>
      <c r="P173" s="8">
        <f>IF(OR(A173="",G173=""),"",COUNTIFS('Store Prices'!$A$5:$A$304,A173,'Store Prices'!$G$5:$G$304,"&lt;"&amp;G173)+1)</f>
        <v>0</v>
      </c>
      <c r="Q173" s="25"/>
    </row>
    <row r="174" spans="1:17">
      <c r="A174" s="7"/>
      <c r="B174" s="27"/>
      <c r="C174" s="8">
        <f>IF(A174="","",IFERROR(INDEX(Ingredients!$B$5:$B$304,MATCH(A174,Ingredients!$A$5:$A$304,0)),""))</f>
        <v>0</v>
      </c>
      <c r="D174" s="27"/>
      <c r="E174" s="28"/>
      <c r="F174" s="26"/>
      <c r="G174" s="8">
        <f>IF(OR(E174="",F174="",F174=0),"",E174/F174)</f>
        <v>0</v>
      </c>
      <c r="H174" s="30"/>
      <c r="I174" s="27"/>
      <c r="J174" s="28"/>
      <c r="K174" s="8">
        <f>IF(OR(E174="",J174=""),"",J174-E174)</f>
        <v>0</v>
      </c>
      <c r="L174" s="8">
        <f>IF(OR(K174="",J174="",J174=0),"",K174/J174)</f>
        <v>0</v>
      </c>
      <c r="M174" s="8">
        <f>IF(A174="","",IF(SUMPRODUCT(MIN(('Store Prices'!$A$5:$A$304=A174)*'Store Prices'!$G$5:$G$304+('Store Prices'!$A$5:$A$304&lt;&gt;A174)*1000000))&gt;=1000000,"",SUMPRODUCT(MIN(('Store Prices'!$A$5:$A$304=A174)*'Store Prices'!$G$5:$G$304+('Store Prices'!$A$5:$A$304&lt;&gt;A174)*1000000))))</f>
        <v>0</v>
      </c>
      <c r="N174" s="8">
        <f>IF(OR(A174="",G174="",M174=""),"",G174-M174)</f>
        <v>0</v>
      </c>
      <c r="O174" s="8">
        <f>IF(OR(A174="",G174=""),"",IF(G174=M174,"Best",""))</f>
        <v>0</v>
      </c>
      <c r="P174" s="8">
        <f>IF(OR(A174="",G174=""),"",COUNTIFS('Store Prices'!$A$5:$A$304,A174,'Store Prices'!$G$5:$G$304,"&lt;"&amp;G174)+1)</f>
        <v>0</v>
      </c>
      <c r="Q174" s="25"/>
    </row>
    <row r="175" spans="1:17">
      <c r="A175" s="7"/>
      <c r="B175" s="27"/>
      <c r="C175" s="8">
        <f>IF(A175="","",IFERROR(INDEX(Ingredients!$B$5:$B$304,MATCH(A175,Ingredients!$A$5:$A$304,0)),""))</f>
        <v>0</v>
      </c>
      <c r="D175" s="27"/>
      <c r="E175" s="28"/>
      <c r="F175" s="26"/>
      <c r="G175" s="8">
        <f>IF(OR(E175="",F175="",F175=0),"",E175/F175)</f>
        <v>0</v>
      </c>
      <c r="H175" s="30"/>
      <c r="I175" s="27"/>
      <c r="J175" s="28"/>
      <c r="K175" s="8">
        <f>IF(OR(E175="",J175=""),"",J175-E175)</f>
        <v>0</v>
      </c>
      <c r="L175" s="8">
        <f>IF(OR(K175="",J175="",J175=0),"",K175/J175)</f>
        <v>0</v>
      </c>
      <c r="M175" s="8">
        <f>IF(A175="","",IF(SUMPRODUCT(MIN(('Store Prices'!$A$5:$A$304=A175)*'Store Prices'!$G$5:$G$304+('Store Prices'!$A$5:$A$304&lt;&gt;A175)*1000000))&gt;=1000000,"",SUMPRODUCT(MIN(('Store Prices'!$A$5:$A$304=A175)*'Store Prices'!$G$5:$G$304+('Store Prices'!$A$5:$A$304&lt;&gt;A175)*1000000))))</f>
        <v>0</v>
      </c>
      <c r="N175" s="8">
        <f>IF(OR(A175="",G175="",M175=""),"",G175-M175)</f>
        <v>0</v>
      </c>
      <c r="O175" s="8">
        <f>IF(OR(A175="",G175=""),"",IF(G175=M175,"Best",""))</f>
        <v>0</v>
      </c>
      <c r="P175" s="8">
        <f>IF(OR(A175="",G175=""),"",COUNTIFS('Store Prices'!$A$5:$A$304,A175,'Store Prices'!$G$5:$G$304,"&lt;"&amp;G175)+1)</f>
        <v>0</v>
      </c>
      <c r="Q175" s="25"/>
    </row>
    <row r="176" spans="1:17">
      <c r="A176" s="7"/>
      <c r="B176" s="27"/>
      <c r="C176" s="8">
        <f>IF(A176="","",IFERROR(INDEX(Ingredients!$B$5:$B$304,MATCH(A176,Ingredients!$A$5:$A$304,0)),""))</f>
        <v>0</v>
      </c>
      <c r="D176" s="27"/>
      <c r="E176" s="28"/>
      <c r="F176" s="26"/>
      <c r="G176" s="8">
        <f>IF(OR(E176="",F176="",F176=0),"",E176/F176)</f>
        <v>0</v>
      </c>
      <c r="H176" s="30"/>
      <c r="I176" s="27"/>
      <c r="J176" s="28"/>
      <c r="K176" s="8">
        <f>IF(OR(E176="",J176=""),"",J176-E176)</f>
        <v>0</v>
      </c>
      <c r="L176" s="8">
        <f>IF(OR(K176="",J176="",J176=0),"",K176/J176)</f>
        <v>0</v>
      </c>
      <c r="M176" s="8">
        <f>IF(A176="","",IF(SUMPRODUCT(MIN(('Store Prices'!$A$5:$A$304=A176)*'Store Prices'!$G$5:$G$304+('Store Prices'!$A$5:$A$304&lt;&gt;A176)*1000000))&gt;=1000000,"",SUMPRODUCT(MIN(('Store Prices'!$A$5:$A$304=A176)*'Store Prices'!$G$5:$G$304+('Store Prices'!$A$5:$A$304&lt;&gt;A176)*1000000))))</f>
        <v>0</v>
      </c>
      <c r="N176" s="8">
        <f>IF(OR(A176="",G176="",M176=""),"",G176-M176)</f>
        <v>0</v>
      </c>
      <c r="O176" s="8">
        <f>IF(OR(A176="",G176=""),"",IF(G176=M176,"Best",""))</f>
        <v>0</v>
      </c>
      <c r="P176" s="8">
        <f>IF(OR(A176="",G176=""),"",COUNTIFS('Store Prices'!$A$5:$A$304,A176,'Store Prices'!$G$5:$G$304,"&lt;"&amp;G176)+1)</f>
        <v>0</v>
      </c>
      <c r="Q176" s="25"/>
    </row>
    <row r="177" spans="1:17">
      <c r="A177" s="7"/>
      <c r="B177" s="27"/>
      <c r="C177" s="8">
        <f>IF(A177="","",IFERROR(INDEX(Ingredients!$B$5:$B$304,MATCH(A177,Ingredients!$A$5:$A$304,0)),""))</f>
        <v>0</v>
      </c>
      <c r="D177" s="27"/>
      <c r="E177" s="28"/>
      <c r="F177" s="26"/>
      <c r="G177" s="8">
        <f>IF(OR(E177="",F177="",F177=0),"",E177/F177)</f>
        <v>0</v>
      </c>
      <c r="H177" s="30"/>
      <c r="I177" s="27"/>
      <c r="J177" s="28"/>
      <c r="K177" s="8">
        <f>IF(OR(E177="",J177=""),"",J177-E177)</f>
        <v>0</v>
      </c>
      <c r="L177" s="8">
        <f>IF(OR(K177="",J177="",J177=0),"",K177/J177)</f>
        <v>0</v>
      </c>
      <c r="M177" s="8">
        <f>IF(A177="","",IF(SUMPRODUCT(MIN(('Store Prices'!$A$5:$A$304=A177)*'Store Prices'!$G$5:$G$304+('Store Prices'!$A$5:$A$304&lt;&gt;A177)*1000000))&gt;=1000000,"",SUMPRODUCT(MIN(('Store Prices'!$A$5:$A$304=A177)*'Store Prices'!$G$5:$G$304+('Store Prices'!$A$5:$A$304&lt;&gt;A177)*1000000))))</f>
        <v>0</v>
      </c>
      <c r="N177" s="8">
        <f>IF(OR(A177="",G177="",M177=""),"",G177-M177)</f>
        <v>0</v>
      </c>
      <c r="O177" s="8">
        <f>IF(OR(A177="",G177=""),"",IF(G177=M177,"Best",""))</f>
        <v>0</v>
      </c>
      <c r="P177" s="8">
        <f>IF(OR(A177="",G177=""),"",COUNTIFS('Store Prices'!$A$5:$A$304,A177,'Store Prices'!$G$5:$G$304,"&lt;"&amp;G177)+1)</f>
        <v>0</v>
      </c>
      <c r="Q177" s="25"/>
    </row>
    <row r="178" spans="1:17">
      <c r="A178" s="7"/>
      <c r="B178" s="27"/>
      <c r="C178" s="8">
        <f>IF(A178="","",IFERROR(INDEX(Ingredients!$B$5:$B$304,MATCH(A178,Ingredients!$A$5:$A$304,0)),""))</f>
        <v>0</v>
      </c>
      <c r="D178" s="27"/>
      <c r="E178" s="28"/>
      <c r="F178" s="26"/>
      <c r="G178" s="8">
        <f>IF(OR(E178="",F178="",F178=0),"",E178/F178)</f>
        <v>0</v>
      </c>
      <c r="H178" s="30"/>
      <c r="I178" s="27"/>
      <c r="J178" s="28"/>
      <c r="K178" s="8">
        <f>IF(OR(E178="",J178=""),"",J178-E178)</f>
        <v>0</v>
      </c>
      <c r="L178" s="8">
        <f>IF(OR(K178="",J178="",J178=0),"",K178/J178)</f>
        <v>0</v>
      </c>
      <c r="M178" s="8">
        <f>IF(A178="","",IF(SUMPRODUCT(MIN(('Store Prices'!$A$5:$A$304=A178)*'Store Prices'!$G$5:$G$304+('Store Prices'!$A$5:$A$304&lt;&gt;A178)*1000000))&gt;=1000000,"",SUMPRODUCT(MIN(('Store Prices'!$A$5:$A$304=A178)*'Store Prices'!$G$5:$G$304+('Store Prices'!$A$5:$A$304&lt;&gt;A178)*1000000))))</f>
        <v>0</v>
      </c>
      <c r="N178" s="8">
        <f>IF(OR(A178="",G178="",M178=""),"",G178-M178)</f>
        <v>0</v>
      </c>
      <c r="O178" s="8">
        <f>IF(OR(A178="",G178=""),"",IF(G178=M178,"Best",""))</f>
        <v>0</v>
      </c>
      <c r="P178" s="8">
        <f>IF(OR(A178="",G178=""),"",COUNTIFS('Store Prices'!$A$5:$A$304,A178,'Store Prices'!$G$5:$G$304,"&lt;"&amp;G178)+1)</f>
        <v>0</v>
      </c>
      <c r="Q178" s="25"/>
    </row>
    <row r="179" spans="1:17">
      <c r="A179" s="7"/>
      <c r="B179" s="27"/>
      <c r="C179" s="8">
        <f>IF(A179="","",IFERROR(INDEX(Ingredients!$B$5:$B$304,MATCH(A179,Ingredients!$A$5:$A$304,0)),""))</f>
        <v>0</v>
      </c>
      <c r="D179" s="27"/>
      <c r="E179" s="28"/>
      <c r="F179" s="26"/>
      <c r="G179" s="8">
        <f>IF(OR(E179="",F179="",F179=0),"",E179/F179)</f>
        <v>0</v>
      </c>
      <c r="H179" s="30"/>
      <c r="I179" s="27"/>
      <c r="J179" s="28"/>
      <c r="K179" s="8">
        <f>IF(OR(E179="",J179=""),"",J179-E179)</f>
        <v>0</v>
      </c>
      <c r="L179" s="8">
        <f>IF(OR(K179="",J179="",J179=0),"",K179/J179)</f>
        <v>0</v>
      </c>
      <c r="M179" s="8">
        <f>IF(A179="","",IF(SUMPRODUCT(MIN(('Store Prices'!$A$5:$A$304=A179)*'Store Prices'!$G$5:$G$304+('Store Prices'!$A$5:$A$304&lt;&gt;A179)*1000000))&gt;=1000000,"",SUMPRODUCT(MIN(('Store Prices'!$A$5:$A$304=A179)*'Store Prices'!$G$5:$G$304+('Store Prices'!$A$5:$A$304&lt;&gt;A179)*1000000))))</f>
        <v>0</v>
      </c>
      <c r="N179" s="8">
        <f>IF(OR(A179="",G179="",M179=""),"",G179-M179)</f>
        <v>0</v>
      </c>
      <c r="O179" s="8">
        <f>IF(OR(A179="",G179=""),"",IF(G179=M179,"Best",""))</f>
        <v>0</v>
      </c>
      <c r="P179" s="8">
        <f>IF(OR(A179="",G179=""),"",COUNTIFS('Store Prices'!$A$5:$A$304,A179,'Store Prices'!$G$5:$G$304,"&lt;"&amp;G179)+1)</f>
        <v>0</v>
      </c>
      <c r="Q179" s="25"/>
    </row>
    <row r="180" spans="1:17">
      <c r="A180" s="7"/>
      <c r="B180" s="27"/>
      <c r="C180" s="8">
        <f>IF(A180="","",IFERROR(INDEX(Ingredients!$B$5:$B$304,MATCH(A180,Ingredients!$A$5:$A$304,0)),""))</f>
        <v>0</v>
      </c>
      <c r="D180" s="27"/>
      <c r="E180" s="28"/>
      <c r="F180" s="26"/>
      <c r="G180" s="8">
        <f>IF(OR(E180="",F180="",F180=0),"",E180/F180)</f>
        <v>0</v>
      </c>
      <c r="H180" s="30"/>
      <c r="I180" s="27"/>
      <c r="J180" s="28"/>
      <c r="K180" s="8">
        <f>IF(OR(E180="",J180=""),"",J180-E180)</f>
        <v>0</v>
      </c>
      <c r="L180" s="8">
        <f>IF(OR(K180="",J180="",J180=0),"",K180/J180)</f>
        <v>0</v>
      </c>
      <c r="M180" s="8">
        <f>IF(A180="","",IF(SUMPRODUCT(MIN(('Store Prices'!$A$5:$A$304=A180)*'Store Prices'!$G$5:$G$304+('Store Prices'!$A$5:$A$304&lt;&gt;A180)*1000000))&gt;=1000000,"",SUMPRODUCT(MIN(('Store Prices'!$A$5:$A$304=A180)*'Store Prices'!$G$5:$G$304+('Store Prices'!$A$5:$A$304&lt;&gt;A180)*1000000))))</f>
        <v>0</v>
      </c>
      <c r="N180" s="8">
        <f>IF(OR(A180="",G180="",M180=""),"",G180-M180)</f>
        <v>0</v>
      </c>
      <c r="O180" s="8">
        <f>IF(OR(A180="",G180=""),"",IF(G180=M180,"Best",""))</f>
        <v>0</v>
      </c>
      <c r="P180" s="8">
        <f>IF(OR(A180="",G180=""),"",COUNTIFS('Store Prices'!$A$5:$A$304,A180,'Store Prices'!$G$5:$G$304,"&lt;"&amp;G180)+1)</f>
        <v>0</v>
      </c>
      <c r="Q180" s="25"/>
    </row>
    <row r="181" spans="1:17">
      <c r="A181" s="7"/>
      <c r="B181" s="27"/>
      <c r="C181" s="8">
        <f>IF(A181="","",IFERROR(INDEX(Ingredients!$B$5:$B$304,MATCH(A181,Ingredients!$A$5:$A$304,0)),""))</f>
        <v>0</v>
      </c>
      <c r="D181" s="27"/>
      <c r="E181" s="28"/>
      <c r="F181" s="26"/>
      <c r="G181" s="8">
        <f>IF(OR(E181="",F181="",F181=0),"",E181/F181)</f>
        <v>0</v>
      </c>
      <c r="H181" s="30"/>
      <c r="I181" s="27"/>
      <c r="J181" s="28"/>
      <c r="K181" s="8">
        <f>IF(OR(E181="",J181=""),"",J181-E181)</f>
        <v>0</v>
      </c>
      <c r="L181" s="8">
        <f>IF(OR(K181="",J181="",J181=0),"",K181/J181)</f>
        <v>0</v>
      </c>
      <c r="M181" s="8">
        <f>IF(A181="","",IF(SUMPRODUCT(MIN(('Store Prices'!$A$5:$A$304=A181)*'Store Prices'!$G$5:$G$304+('Store Prices'!$A$5:$A$304&lt;&gt;A181)*1000000))&gt;=1000000,"",SUMPRODUCT(MIN(('Store Prices'!$A$5:$A$304=A181)*'Store Prices'!$G$5:$G$304+('Store Prices'!$A$5:$A$304&lt;&gt;A181)*1000000))))</f>
        <v>0</v>
      </c>
      <c r="N181" s="8">
        <f>IF(OR(A181="",G181="",M181=""),"",G181-M181)</f>
        <v>0</v>
      </c>
      <c r="O181" s="8">
        <f>IF(OR(A181="",G181=""),"",IF(G181=M181,"Best",""))</f>
        <v>0</v>
      </c>
      <c r="P181" s="8">
        <f>IF(OR(A181="",G181=""),"",COUNTIFS('Store Prices'!$A$5:$A$304,A181,'Store Prices'!$G$5:$G$304,"&lt;"&amp;G181)+1)</f>
        <v>0</v>
      </c>
      <c r="Q181" s="25"/>
    </row>
    <row r="182" spans="1:17">
      <c r="A182" s="7"/>
      <c r="B182" s="27"/>
      <c r="C182" s="8">
        <f>IF(A182="","",IFERROR(INDEX(Ingredients!$B$5:$B$304,MATCH(A182,Ingredients!$A$5:$A$304,0)),""))</f>
        <v>0</v>
      </c>
      <c r="D182" s="27"/>
      <c r="E182" s="28"/>
      <c r="F182" s="26"/>
      <c r="G182" s="8">
        <f>IF(OR(E182="",F182="",F182=0),"",E182/F182)</f>
        <v>0</v>
      </c>
      <c r="H182" s="30"/>
      <c r="I182" s="27"/>
      <c r="J182" s="28"/>
      <c r="K182" s="8">
        <f>IF(OR(E182="",J182=""),"",J182-E182)</f>
        <v>0</v>
      </c>
      <c r="L182" s="8">
        <f>IF(OR(K182="",J182="",J182=0),"",K182/J182)</f>
        <v>0</v>
      </c>
      <c r="M182" s="8">
        <f>IF(A182="","",IF(SUMPRODUCT(MIN(('Store Prices'!$A$5:$A$304=A182)*'Store Prices'!$G$5:$G$304+('Store Prices'!$A$5:$A$304&lt;&gt;A182)*1000000))&gt;=1000000,"",SUMPRODUCT(MIN(('Store Prices'!$A$5:$A$304=A182)*'Store Prices'!$G$5:$G$304+('Store Prices'!$A$5:$A$304&lt;&gt;A182)*1000000))))</f>
        <v>0</v>
      </c>
      <c r="N182" s="8">
        <f>IF(OR(A182="",G182="",M182=""),"",G182-M182)</f>
        <v>0</v>
      </c>
      <c r="O182" s="8">
        <f>IF(OR(A182="",G182=""),"",IF(G182=M182,"Best",""))</f>
        <v>0</v>
      </c>
      <c r="P182" s="8">
        <f>IF(OR(A182="",G182=""),"",COUNTIFS('Store Prices'!$A$5:$A$304,A182,'Store Prices'!$G$5:$G$304,"&lt;"&amp;G182)+1)</f>
        <v>0</v>
      </c>
      <c r="Q182" s="25"/>
    </row>
    <row r="183" spans="1:17">
      <c r="A183" s="7"/>
      <c r="B183" s="27"/>
      <c r="C183" s="8">
        <f>IF(A183="","",IFERROR(INDEX(Ingredients!$B$5:$B$304,MATCH(A183,Ingredients!$A$5:$A$304,0)),""))</f>
        <v>0</v>
      </c>
      <c r="D183" s="27"/>
      <c r="E183" s="28"/>
      <c r="F183" s="26"/>
      <c r="G183" s="8">
        <f>IF(OR(E183="",F183="",F183=0),"",E183/F183)</f>
        <v>0</v>
      </c>
      <c r="H183" s="30"/>
      <c r="I183" s="27"/>
      <c r="J183" s="28"/>
      <c r="K183" s="8">
        <f>IF(OR(E183="",J183=""),"",J183-E183)</f>
        <v>0</v>
      </c>
      <c r="L183" s="8">
        <f>IF(OR(K183="",J183="",J183=0),"",K183/J183)</f>
        <v>0</v>
      </c>
      <c r="M183" s="8">
        <f>IF(A183="","",IF(SUMPRODUCT(MIN(('Store Prices'!$A$5:$A$304=A183)*'Store Prices'!$G$5:$G$304+('Store Prices'!$A$5:$A$304&lt;&gt;A183)*1000000))&gt;=1000000,"",SUMPRODUCT(MIN(('Store Prices'!$A$5:$A$304=A183)*'Store Prices'!$G$5:$G$304+('Store Prices'!$A$5:$A$304&lt;&gt;A183)*1000000))))</f>
        <v>0</v>
      </c>
      <c r="N183" s="8">
        <f>IF(OR(A183="",G183="",M183=""),"",G183-M183)</f>
        <v>0</v>
      </c>
      <c r="O183" s="8">
        <f>IF(OR(A183="",G183=""),"",IF(G183=M183,"Best",""))</f>
        <v>0</v>
      </c>
      <c r="P183" s="8">
        <f>IF(OR(A183="",G183=""),"",COUNTIFS('Store Prices'!$A$5:$A$304,A183,'Store Prices'!$G$5:$G$304,"&lt;"&amp;G183)+1)</f>
        <v>0</v>
      </c>
      <c r="Q183" s="25"/>
    </row>
    <row r="184" spans="1:17">
      <c r="A184" s="7"/>
      <c r="B184" s="27"/>
      <c r="C184" s="8">
        <f>IF(A184="","",IFERROR(INDEX(Ingredients!$B$5:$B$304,MATCH(A184,Ingredients!$A$5:$A$304,0)),""))</f>
        <v>0</v>
      </c>
      <c r="D184" s="27"/>
      <c r="E184" s="28"/>
      <c r="F184" s="26"/>
      <c r="G184" s="8">
        <f>IF(OR(E184="",F184="",F184=0),"",E184/F184)</f>
        <v>0</v>
      </c>
      <c r="H184" s="30"/>
      <c r="I184" s="27"/>
      <c r="J184" s="28"/>
      <c r="K184" s="8">
        <f>IF(OR(E184="",J184=""),"",J184-E184)</f>
        <v>0</v>
      </c>
      <c r="L184" s="8">
        <f>IF(OR(K184="",J184="",J184=0),"",K184/J184)</f>
        <v>0</v>
      </c>
      <c r="M184" s="8">
        <f>IF(A184="","",IF(SUMPRODUCT(MIN(('Store Prices'!$A$5:$A$304=A184)*'Store Prices'!$G$5:$G$304+('Store Prices'!$A$5:$A$304&lt;&gt;A184)*1000000))&gt;=1000000,"",SUMPRODUCT(MIN(('Store Prices'!$A$5:$A$304=A184)*'Store Prices'!$G$5:$G$304+('Store Prices'!$A$5:$A$304&lt;&gt;A184)*1000000))))</f>
        <v>0</v>
      </c>
      <c r="N184" s="8">
        <f>IF(OR(A184="",G184="",M184=""),"",G184-M184)</f>
        <v>0</v>
      </c>
      <c r="O184" s="8">
        <f>IF(OR(A184="",G184=""),"",IF(G184=M184,"Best",""))</f>
        <v>0</v>
      </c>
      <c r="P184" s="8">
        <f>IF(OR(A184="",G184=""),"",COUNTIFS('Store Prices'!$A$5:$A$304,A184,'Store Prices'!$G$5:$G$304,"&lt;"&amp;G184)+1)</f>
        <v>0</v>
      </c>
      <c r="Q184" s="25"/>
    </row>
    <row r="185" spans="1:17">
      <c r="A185" s="7"/>
      <c r="B185" s="27"/>
      <c r="C185" s="8">
        <f>IF(A185="","",IFERROR(INDEX(Ingredients!$B$5:$B$304,MATCH(A185,Ingredients!$A$5:$A$304,0)),""))</f>
        <v>0</v>
      </c>
      <c r="D185" s="27"/>
      <c r="E185" s="28"/>
      <c r="F185" s="26"/>
      <c r="G185" s="8">
        <f>IF(OR(E185="",F185="",F185=0),"",E185/F185)</f>
        <v>0</v>
      </c>
      <c r="H185" s="30"/>
      <c r="I185" s="27"/>
      <c r="J185" s="28"/>
      <c r="K185" s="8">
        <f>IF(OR(E185="",J185=""),"",J185-E185)</f>
        <v>0</v>
      </c>
      <c r="L185" s="8">
        <f>IF(OR(K185="",J185="",J185=0),"",K185/J185)</f>
        <v>0</v>
      </c>
      <c r="M185" s="8">
        <f>IF(A185="","",IF(SUMPRODUCT(MIN(('Store Prices'!$A$5:$A$304=A185)*'Store Prices'!$G$5:$G$304+('Store Prices'!$A$5:$A$304&lt;&gt;A185)*1000000))&gt;=1000000,"",SUMPRODUCT(MIN(('Store Prices'!$A$5:$A$304=A185)*'Store Prices'!$G$5:$G$304+('Store Prices'!$A$5:$A$304&lt;&gt;A185)*1000000))))</f>
        <v>0</v>
      </c>
      <c r="N185" s="8">
        <f>IF(OR(A185="",G185="",M185=""),"",G185-M185)</f>
        <v>0</v>
      </c>
      <c r="O185" s="8">
        <f>IF(OR(A185="",G185=""),"",IF(G185=M185,"Best",""))</f>
        <v>0</v>
      </c>
      <c r="P185" s="8">
        <f>IF(OR(A185="",G185=""),"",COUNTIFS('Store Prices'!$A$5:$A$304,A185,'Store Prices'!$G$5:$G$304,"&lt;"&amp;G185)+1)</f>
        <v>0</v>
      </c>
      <c r="Q185" s="25"/>
    </row>
    <row r="186" spans="1:17">
      <c r="A186" s="7"/>
      <c r="B186" s="27"/>
      <c r="C186" s="8">
        <f>IF(A186="","",IFERROR(INDEX(Ingredients!$B$5:$B$304,MATCH(A186,Ingredients!$A$5:$A$304,0)),""))</f>
        <v>0</v>
      </c>
      <c r="D186" s="27"/>
      <c r="E186" s="28"/>
      <c r="F186" s="26"/>
      <c r="G186" s="8">
        <f>IF(OR(E186="",F186="",F186=0),"",E186/F186)</f>
        <v>0</v>
      </c>
      <c r="H186" s="30"/>
      <c r="I186" s="27"/>
      <c r="J186" s="28"/>
      <c r="K186" s="8">
        <f>IF(OR(E186="",J186=""),"",J186-E186)</f>
        <v>0</v>
      </c>
      <c r="L186" s="8">
        <f>IF(OR(K186="",J186="",J186=0),"",K186/J186)</f>
        <v>0</v>
      </c>
      <c r="M186" s="8">
        <f>IF(A186="","",IF(SUMPRODUCT(MIN(('Store Prices'!$A$5:$A$304=A186)*'Store Prices'!$G$5:$G$304+('Store Prices'!$A$5:$A$304&lt;&gt;A186)*1000000))&gt;=1000000,"",SUMPRODUCT(MIN(('Store Prices'!$A$5:$A$304=A186)*'Store Prices'!$G$5:$G$304+('Store Prices'!$A$5:$A$304&lt;&gt;A186)*1000000))))</f>
        <v>0</v>
      </c>
      <c r="N186" s="8">
        <f>IF(OR(A186="",G186="",M186=""),"",G186-M186)</f>
        <v>0</v>
      </c>
      <c r="O186" s="8">
        <f>IF(OR(A186="",G186=""),"",IF(G186=M186,"Best",""))</f>
        <v>0</v>
      </c>
      <c r="P186" s="8">
        <f>IF(OR(A186="",G186=""),"",COUNTIFS('Store Prices'!$A$5:$A$304,A186,'Store Prices'!$G$5:$G$304,"&lt;"&amp;G186)+1)</f>
        <v>0</v>
      </c>
      <c r="Q186" s="25"/>
    </row>
    <row r="187" spans="1:17">
      <c r="A187" s="7"/>
      <c r="B187" s="27"/>
      <c r="C187" s="8">
        <f>IF(A187="","",IFERROR(INDEX(Ingredients!$B$5:$B$304,MATCH(A187,Ingredients!$A$5:$A$304,0)),""))</f>
        <v>0</v>
      </c>
      <c r="D187" s="27"/>
      <c r="E187" s="28"/>
      <c r="F187" s="26"/>
      <c r="G187" s="8">
        <f>IF(OR(E187="",F187="",F187=0),"",E187/F187)</f>
        <v>0</v>
      </c>
      <c r="H187" s="30"/>
      <c r="I187" s="27"/>
      <c r="J187" s="28"/>
      <c r="K187" s="8">
        <f>IF(OR(E187="",J187=""),"",J187-E187)</f>
        <v>0</v>
      </c>
      <c r="L187" s="8">
        <f>IF(OR(K187="",J187="",J187=0),"",K187/J187)</f>
        <v>0</v>
      </c>
      <c r="M187" s="8">
        <f>IF(A187="","",IF(SUMPRODUCT(MIN(('Store Prices'!$A$5:$A$304=A187)*'Store Prices'!$G$5:$G$304+('Store Prices'!$A$5:$A$304&lt;&gt;A187)*1000000))&gt;=1000000,"",SUMPRODUCT(MIN(('Store Prices'!$A$5:$A$304=A187)*'Store Prices'!$G$5:$G$304+('Store Prices'!$A$5:$A$304&lt;&gt;A187)*1000000))))</f>
        <v>0</v>
      </c>
      <c r="N187" s="8">
        <f>IF(OR(A187="",G187="",M187=""),"",G187-M187)</f>
        <v>0</v>
      </c>
      <c r="O187" s="8">
        <f>IF(OR(A187="",G187=""),"",IF(G187=M187,"Best",""))</f>
        <v>0</v>
      </c>
      <c r="P187" s="8">
        <f>IF(OR(A187="",G187=""),"",COUNTIFS('Store Prices'!$A$5:$A$304,A187,'Store Prices'!$G$5:$G$304,"&lt;"&amp;G187)+1)</f>
        <v>0</v>
      </c>
      <c r="Q187" s="25"/>
    </row>
    <row r="188" spans="1:17">
      <c r="A188" s="7"/>
      <c r="B188" s="27"/>
      <c r="C188" s="8">
        <f>IF(A188="","",IFERROR(INDEX(Ingredients!$B$5:$B$304,MATCH(A188,Ingredients!$A$5:$A$304,0)),""))</f>
        <v>0</v>
      </c>
      <c r="D188" s="27"/>
      <c r="E188" s="28"/>
      <c r="F188" s="26"/>
      <c r="G188" s="8">
        <f>IF(OR(E188="",F188="",F188=0),"",E188/F188)</f>
        <v>0</v>
      </c>
      <c r="H188" s="30"/>
      <c r="I188" s="27"/>
      <c r="J188" s="28"/>
      <c r="K188" s="8">
        <f>IF(OR(E188="",J188=""),"",J188-E188)</f>
        <v>0</v>
      </c>
      <c r="L188" s="8">
        <f>IF(OR(K188="",J188="",J188=0),"",K188/J188)</f>
        <v>0</v>
      </c>
      <c r="M188" s="8">
        <f>IF(A188="","",IF(SUMPRODUCT(MIN(('Store Prices'!$A$5:$A$304=A188)*'Store Prices'!$G$5:$G$304+('Store Prices'!$A$5:$A$304&lt;&gt;A188)*1000000))&gt;=1000000,"",SUMPRODUCT(MIN(('Store Prices'!$A$5:$A$304=A188)*'Store Prices'!$G$5:$G$304+('Store Prices'!$A$5:$A$304&lt;&gt;A188)*1000000))))</f>
        <v>0</v>
      </c>
      <c r="N188" s="8">
        <f>IF(OR(A188="",G188="",M188=""),"",G188-M188)</f>
        <v>0</v>
      </c>
      <c r="O188" s="8">
        <f>IF(OR(A188="",G188=""),"",IF(G188=M188,"Best",""))</f>
        <v>0</v>
      </c>
      <c r="P188" s="8">
        <f>IF(OR(A188="",G188=""),"",COUNTIFS('Store Prices'!$A$5:$A$304,A188,'Store Prices'!$G$5:$G$304,"&lt;"&amp;G188)+1)</f>
        <v>0</v>
      </c>
      <c r="Q188" s="25"/>
    </row>
    <row r="189" spans="1:17">
      <c r="A189" s="7"/>
      <c r="B189" s="27"/>
      <c r="C189" s="8">
        <f>IF(A189="","",IFERROR(INDEX(Ingredients!$B$5:$B$304,MATCH(A189,Ingredients!$A$5:$A$304,0)),""))</f>
        <v>0</v>
      </c>
      <c r="D189" s="27"/>
      <c r="E189" s="28"/>
      <c r="F189" s="26"/>
      <c r="G189" s="8">
        <f>IF(OR(E189="",F189="",F189=0),"",E189/F189)</f>
        <v>0</v>
      </c>
      <c r="H189" s="30"/>
      <c r="I189" s="27"/>
      <c r="J189" s="28"/>
      <c r="K189" s="8">
        <f>IF(OR(E189="",J189=""),"",J189-E189)</f>
        <v>0</v>
      </c>
      <c r="L189" s="8">
        <f>IF(OR(K189="",J189="",J189=0),"",K189/J189)</f>
        <v>0</v>
      </c>
      <c r="M189" s="8">
        <f>IF(A189="","",IF(SUMPRODUCT(MIN(('Store Prices'!$A$5:$A$304=A189)*'Store Prices'!$G$5:$G$304+('Store Prices'!$A$5:$A$304&lt;&gt;A189)*1000000))&gt;=1000000,"",SUMPRODUCT(MIN(('Store Prices'!$A$5:$A$304=A189)*'Store Prices'!$G$5:$G$304+('Store Prices'!$A$5:$A$304&lt;&gt;A189)*1000000))))</f>
        <v>0</v>
      </c>
      <c r="N189" s="8">
        <f>IF(OR(A189="",G189="",M189=""),"",G189-M189)</f>
        <v>0</v>
      </c>
      <c r="O189" s="8">
        <f>IF(OR(A189="",G189=""),"",IF(G189=M189,"Best",""))</f>
        <v>0</v>
      </c>
      <c r="P189" s="8">
        <f>IF(OR(A189="",G189=""),"",COUNTIFS('Store Prices'!$A$5:$A$304,A189,'Store Prices'!$G$5:$G$304,"&lt;"&amp;G189)+1)</f>
        <v>0</v>
      </c>
      <c r="Q189" s="25"/>
    </row>
    <row r="190" spans="1:17">
      <c r="A190" s="7"/>
      <c r="B190" s="27"/>
      <c r="C190" s="8">
        <f>IF(A190="","",IFERROR(INDEX(Ingredients!$B$5:$B$304,MATCH(A190,Ingredients!$A$5:$A$304,0)),""))</f>
        <v>0</v>
      </c>
      <c r="D190" s="27"/>
      <c r="E190" s="28"/>
      <c r="F190" s="26"/>
      <c r="G190" s="8">
        <f>IF(OR(E190="",F190="",F190=0),"",E190/F190)</f>
        <v>0</v>
      </c>
      <c r="H190" s="30"/>
      <c r="I190" s="27"/>
      <c r="J190" s="28"/>
      <c r="K190" s="8">
        <f>IF(OR(E190="",J190=""),"",J190-E190)</f>
        <v>0</v>
      </c>
      <c r="L190" s="8">
        <f>IF(OR(K190="",J190="",J190=0),"",K190/J190)</f>
        <v>0</v>
      </c>
      <c r="M190" s="8">
        <f>IF(A190="","",IF(SUMPRODUCT(MIN(('Store Prices'!$A$5:$A$304=A190)*'Store Prices'!$G$5:$G$304+('Store Prices'!$A$5:$A$304&lt;&gt;A190)*1000000))&gt;=1000000,"",SUMPRODUCT(MIN(('Store Prices'!$A$5:$A$304=A190)*'Store Prices'!$G$5:$G$304+('Store Prices'!$A$5:$A$304&lt;&gt;A190)*1000000))))</f>
        <v>0</v>
      </c>
      <c r="N190" s="8">
        <f>IF(OR(A190="",G190="",M190=""),"",G190-M190)</f>
        <v>0</v>
      </c>
      <c r="O190" s="8">
        <f>IF(OR(A190="",G190=""),"",IF(G190=M190,"Best",""))</f>
        <v>0</v>
      </c>
      <c r="P190" s="8">
        <f>IF(OR(A190="",G190=""),"",COUNTIFS('Store Prices'!$A$5:$A$304,A190,'Store Prices'!$G$5:$G$304,"&lt;"&amp;G190)+1)</f>
        <v>0</v>
      </c>
      <c r="Q190" s="25"/>
    </row>
    <row r="191" spans="1:17">
      <c r="A191" s="7"/>
      <c r="B191" s="27"/>
      <c r="C191" s="8">
        <f>IF(A191="","",IFERROR(INDEX(Ingredients!$B$5:$B$304,MATCH(A191,Ingredients!$A$5:$A$304,0)),""))</f>
        <v>0</v>
      </c>
      <c r="D191" s="27"/>
      <c r="E191" s="28"/>
      <c r="F191" s="26"/>
      <c r="G191" s="8">
        <f>IF(OR(E191="",F191="",F191=0),"",E191/F191)</f>
        <v>0</v>
      </c>
      <c r="H191" s="30"/>
      <c r="I191" s="27"/>
      <c r="J191" s="28"/>
      <c r="K191" s="8">
        <f>IF(OR(E191="",J191=""),"",J191-E191)</f>
        <v>0</v>
      </c>
      <c r="L191" s="8">
        <f>IF(OR(K191="",J191="",J191=0),"",K191/J191)</f>
        <v>0</v>
      </c>
      <c r="M191" s="8">
        <f>IF(A191="","",IF(SUMPRODUCT(MIN(('Store Prices'!$A$5:$A$304=A191)*'Store Prices'!$G$5:$G$304+('Store Prices'!$A$5:$A$304&lt;&gt;A191)*1000000))&gt;=1000000,"",SUMPRODUCT(MIN(('Store Prices'!$A$5:$A$304=A191)*'Store Prices'!$G$5:$G$304+('Store Prices'!$A$5:$A$304&lt;&gt;A191)*1000000))))</f>
        <v>0</v>
      </c>
      <c r="N191" s="8">
        <f>IF(OR(A191="",G191="",M191=""),"",G191-M191)</f>
        <v>0</v>
      </c>
      <c r="O191" s="8">
        <f>IF(OR(A191="",G191=""),"",IF(G191=M191,"Best",""))</f>
        <v>0</v>
      </c>
      <c r="P191" s="8">
        <f>IF(OR(A191="",G191=""),"",COUNTIFS('Store Prices'!$A$5:$A$304,A191,'Store Prices'!$G$5:$G$304,"&lt;"&amp;G191)+1)</f>
        <v>0</v>
      </c>
      <c r="Q191" s="25"/>
    </row>
    <row r="192" spans="1:17">
      <c r="A192" s="7"/>
      <c r="B192" s="27"/>
      <c r="C192" s="8">
        <f>IF(A192="","",IFERROR(INDEX(Ingredients!$B$5:$B$304,MATCH(A192,Ingredients!$A$5:$A$304,0)),""))</f>
        <v>0</v>
      </c>
      <c r="D192" s="27"/>
      <c r="E192" s="28"/>
      <c r="F192" s="26"/>
      <c r="G192" s="8">
        <f>IF(OR(E192="",F192="",F192=0),"",E192/F192)</f>
        <v>0</v>
      </c>
      <c r="H192" s="30"/>
      <c r="I192" s="27"/>
      <c r="J192" s="28"/>
      <c r="K192" s="8">
        <f>IF(OR(E192="",J192=""),"",J192-E192)</f>
        <v>0</v>
      </c>
      <c r="L192" s="8">
        <f>IF(OR(K192="",J192="",J192=0),"",K192/J192)</f>
        <v>0</v>
      </c>
      <c r="M192" s="8">
        <f>IF(A192="","",IF(SUMPRODUCT(MIN(('Store Prices'!$A$5:$A$304=A192)*'Store Prices'!$G$5:$G$304+('Store Prices'!$A$5:$A$304&lt;&gt;A192)*1000000))&gt;=1000000,"",SUMPRODUCT(MIN(('Store Prices'!$A$5:$A$304=A192)*'Store Prices'!$G$5:$G$304+('Store Prices'!$A$5:$A$304&lt;&gt;A192)*1000000))))</f>
        <v>0</v>
      </c>
      <c r="N192" s="8">
        <f>IF(OR(A192="",G192="",M192=""),"",G192-M192)</f>
        <v>0</v>
      </c>
      <c r="O192" s="8">
        <f>IF(OR(A192="",G192=""),"",IF(G192=M192,"Best",""))</f>
        <v>0</v>
      </c>
      <c r="P192" s="8">
        <f>IF(OR(A192="",G192=""),"",COUNTIFS('Store Prices'!$A$5:$A$304,A192,'Store Prices'!$G$5:$G$304,"&lt;"&amp;G192)+1)</f>
        <v>0</v>
      </c>
      <c r="Q192" s="25"/>
    </row>
    <row r="193" spans="1:17">
      <c r="A193" s="7"/>
      <c r="B193" s="27"/>
      <c r="C193" s="8">
        <f>IF(A193="","",IFERROR(INDEX(Ingredients!$B$5:$B$304,MATCH(A193,Ingredients!$A$5:$A$304,0)),""))</f>
        <v>0</v>
      </c>
      <c r="D193" s="27"/>
      <c r="E193" s="28"/>
      <c r="F193" s="26"/>
      <c r="G193" s="8">
        <f>IF(OR(E193="",F193="",F193=0),"",E193/F193)</f>
        <v>0</v>
      </c>
      <c r="H193" s="30"/>
      <c r="I193" s="27"/>
      <c r="J193" s="28"/>
      <c r="K193" s="8">
        <f>IF(OR(E193="",J193=""),"",J193-E193)</f>
        <v>0</v>
      </c>
      <c r="L193" s="8">
        <f>IF(OR(K193="",J193="",J193=0),"",K193/J193)</f>
        <v>0</v>
      </c>
      <c r="M193" s="8">
        <f>IF(A193="","",IF(SUMPRODUCT(MIN(('Store Prices'!$A$5:$A$304=A193)*'Store Prices'!$G$5:$G$304+('Store Prices'!$A$5:$A$304&lt;&gt;A193)*1000000))&gt;=1000000,"",SUMPRODUCT(MIN(('Store Prices'!$A$5:$A$304=A193)*'Store Prices'!$G$5:$G$304+('Store Prices'!$A$5:$A$304&lt;&gt;A193)*1000000))))</f>
        <v>0</v>
      </c>
      <c r="N193" s="8">
        <f>IF(OR(A193="",G193="",M193=""),"",G193-M193)</f>
        <v>0</v>
      </c>
      <c r="O193" s="8">
        <f>IF(OR(A193="",G193=""),"",IF(G193=M193,"Best",""))</f>
        <v>0</v>
      </c>
      <c r="P193" s="8">
        <f>IF(OR(A193="",G193=""),"",COUNTIFS('Store Prices'!$A$5:$A$304,A193,'Store Prices'!$G$5:$G$304,"&lt;"&amp;G193)+1)</f>
        <v>0</v>
      </c>
      <c r="Q193" s="25"/>
    </row>
    <row r="194" spans="1:17">
      <c r="A194" s="7"/>
      <c r="B194" s="27"/>
      <c r="C194" s="8">
        <f>IF(A194="","",IFERROR(INDEX(Ingredients!$B$5:$B$304,MATCH(A194,Ingredients!$A$5:$A$304,0)),""))</f>
        <v>0</v>
      </c>
      <c r="D194" s="27"/>
      <c r="E194" s="28"/>
      <c r="F194" s="26"/>
      <c r="G194" s="8">
        <f>IF(OR(E194="",F194="",F194=0),"",E194/F194)</f>
        <v>0</v>
      </c>
      <c r="H194" s="30"/>
      <c r="I194" s="27"/>
      <c r="J194" s="28"/>
      <c r="K194" s="8">
        <f>IF(OR(E194="",J194=""),"",J194-E194)</f>
        <v>0</v>
      </c>
      <c r="L194" s="8">
        <f>IF(OR(K194="",J194="",J194=0),"",K194/J194)</f>
        <v>0</v>
      </c>
      <c r="M194" s="8">
        <f>IF(A194="","",IF(SUMPRODUCT(MIN(('Store Prices'!$A$5:$A$304=A194)*'Store Prices'!$G$5:$G$304+('Store Prices'!$A$5:$A$304&lt;&gt;A194)*1000000))&gt;=1000000,"",SUMPRODUCT(MIN(('Store Prices'!$A$5:$A$304=A194)*'Store Prices'!$G$5:$G$304+('Store Prices'!$A$5:$A$304&lt;&gt;A194)*1000000))))</f>
        <v>0</v>
      </c>
      <c r="N194" s="8">
        <f>IF(OR(A194="",G194="",M194=""),"",G194-M194)</f>
        <v>0</v>
      </c>
      <c r="O194" s="8">
        <f>IF(OR(A194="",G194=""),"",IF(G194=M194,"Best",""))</f>
        <v>0</v>
      </c>
      <c r="P194" s="8">
        <f>IF(OR(A194="",G194=""),"",COUNTIFS('Store Prices'!$A$5:$A$304,A194,'Store Prices'!$G$5:$G$304,"&lt;"&amp;G194)+1)</f>
        <v>0</v>
      </c>
      <c r="Q194" s="25"/>
    </row>
    <row r="195" spans="1:17">
      <c r="A195" s="7"/>
      <c r="B195" s="27"/>
      <c r="C195" s="8">
        <f>IF(A195="","",IFERROR(INDEX(Ingredients!$B$5:$B$304,MATCH(A195,Ingredients!$A$5:$A$304,0)),""))</f>
        <v>0</v>
      </c>
      <c r="D195" s="27"/>
      <c r="E195" s="28"/>
      <c r="F195" s="26"/>
      <c r="G195" s="8">
        <f>IF(OR(E195="",F195="",F195=0),"",E195/F195)</f>
        <v>0</v>
      </c>
      <c r="H195" s="30"/>
      <c r="I195" s="27"/>
      <c r="J195" s="28"/>
      <c r="K195" s="8">
        <f>IF(OR(E195="",J195=""),"",J195-E195)</f>
        <v>0</v>
      </c>
      <c r="L195" s="8">
        <f>IF(OR(K195="",J195="",J195=0),"",K195/J195)</f>
        <v>0</v>
      </c>
      <c r="M195" s="8">
        <f>IF(A195="","",IF(SUMPRODUCT(MIN(('Store Prices'!$A$5:$A$304=A195)*'Store Prices'!$G$5:$G$304+('Store Prices'!$A$5:$A$304&lt;&gt;A195)*1000000))&gt;=1000000,"",SUMPRODUCT(MIN(('Store Prices'!$A$5:$A$304=A195)*'Store Prices'!$G$5:$G$304+('Store Prices'!$A$5:$A$304&lt;&gt;A195)*1000000))))</f>
        <v>0</v>
      </c>
      <c r="N195" s="8">
        <f>IF(OR(A195="",G195="",M195=""),"",G195-M195)</f>
        <v>0</v>
      </c>
      <c r="O195" s="8">
        <f>IF(OR(A195="",G195=""),"",IF(G195=M195,"Best",""))</f>
        <v>0</v>
      </c>
      <c r="P195" s="8">
        <f>IF(OR(A195="",G195=""),"",COUNTIFS('Store Prices'!$A$5:$A$304,A195,'Store Prices'!$G$5:$G$304,"&lt;"&amp;G195)+1)</f>
        <v>0</v>
      </c>
      <c r="Q195" s="25"/>
    </row>
    <row r="196" spans="1:17">
      <c r="A196" s="7"/>
      <c r="B196" s="27"/>
      <c r="C196" s="8">
        <f>IF(A196="","",IFERROR(INDEX(Ingredients!$B$5:$B$304,MATCH(A196,Ingredients!$A$5:$A$304,0)),""))</f>
        <v>0</v>
      </c>
      <c r="D196" s="27"/>
      <c r="E196" s="28"/>
      <c r="F196" s="26"/>
      <c r="G196" s="8">
        <f>IF(OR(E196="",F196="",F196=0),"",E196/F196)</f>
        <v>0</v>
      </c>
      <c r="H196" s="30"/>
      <c r="I196" s="27"/>
      <c r="J196" s="28"/>
      <c r="K196" s="8">
        <f>IF(OR(E196="",J196=""),"",J196-E196)</f>
        <v>0</v>
      </c>
      <c r="L196" s="8">
        <f>IF(OR(K196="",J196="",J196=0),"",K196/J196)</f>
        <v>0</v>
      </c>
      <c r="M196" s="8">
        <f>IF(A196="","",IF(SUMPRODUCT(MIN(('Store Prices'!$A$5:$A$304=A196)*'Store Prices'!$G$5:$G$304+('Store Prices'!$A$5:$A$304&lt;&gt;A196)*1000000))&gt;=1000000,"",SUMPRODUCT(MIN(('Store Prices'!$A$5:$A$304=A196)*'Store Prices'!$G$5:$G$304+('Store Prices'!$A$5:$A$304&lt;&gt;A196)*1000000))))</f>
        <v>0</v>
      </c>
      <c r="N196" s="8">
        <f>IF(OR(A196="",G196="",M196=""),"",G196-M196)</f>
        <v>0</v>
      </c>
      <c r="O196" s="8">
        <f>IF(OR(A196="",G196=""),"",IF(G196=M196,"Best",""))</f>
        <v>0</v>
      </c>
      <c r="P196" s="8">
        <f>IF(OR(A196="",G196=""),"",COUNTIFS('Store Prices'!$A$5:$A$304,A196,'Store Prices'!$G$5:$G$304,"&lt;"&amp;G196)+1)</f>
        <v>0</v>
      </c>
      <c r="Q196" s="25"/>
    </row>
    <row r="197" spans="1:17">
      <c r="A197" s="7"/>
      <c r="B197" s="27"/>
      <c r="C197" s="8">
        <f>IF(A197="","",IFERROR(INDEX(Ingredients!$B$5:$B$304,MATCH(A197,Ingredients!$A$5:$A$304,0)),""))</f>
        <v>0</v>
      </c>
      <c r="D197" s="27"/>
      <c r="E197" s="28"/>
      <c r="F197" s="26"/>
      <c r="G197" s="8">
        <f>IF(OR(E197="",F197="",F197=0),"",E197/F197)</f>
        <v>0</v>
      </c>
      <c r="H197" s="30"/>
      <c r="I197" s="27"/>
      <c r="J197" s="28"/>
      <c r="K197" s="8">
        <f>IF(OR(E197="",J197=""),"",J197-E197)</f>
        <v>0</v>
      </c>
      <c r="L197" s="8">
        <f>IF(OR(K197="",J197="",J197=0),"",K197/J197)</f>
        <v>0</v>
      </c>
      <c r="M197" s="8">
        <f>IF(A197="","",IF(SUMPRODUCT(MIN(('Store Prices'!$A$5:$A$304=A197)*'Store Prices'!$G$5:$G$304+('Store Prices'!$A$5:$A$304&lt;&gt;A197)*1000000))&gt;=1000000,"",SUMPRODUCT(MIN(('Store Prices'!$A$5:$A$304=A197)*'Store Prices'!$G$5:$G$304+('Store Prices'!$A$5:$A$304&lt;&gt;A197)*1000000))))</f>
        <v>0</v>
      </c>
      <c r="N197" s="8">
        <f>IF(OR(A197="",G197="",M197=""),"",G197-M197)</f>
        <v>0</v>
      </c>
      <c r="O197" s="8">
        <f>IF(OR(A197="",G197=""),"",IF(G197=M197,"Best",""))</f>
        <v>0</v>
      </c>
      <c r="P197" s="8">
        <f>IF(OR(A197="",G197=""),"",COUNTIFS('Store Prices'!$A$5:$A$304,A197,'Store Prices'!$G$5:$G$304,"&lt;"&amp;G197)+1)</f>
        <v>0</v>
      </c>
      <c r="Q197" s="25"/>
    </row>
    <row r="198" spans="1:17">
      <c r="A198" s="7"/>
      <c r="B198" s="27"/>
      <c r="C198" s="8">
        <f>IF(A198="","",IFERROR(INDEX(Ingredients!$B$5:$B$304,MATCH(A198,Ingredients!$A$5:$A$304,0)),""))</f>
        <v>0</v>
      </c>
      <c r="D198" s="27"/>
      <c r="E198" s="28"/>
      <c r="F198" s="26"/>
      <c r="G198" s="8">
        <f>IF(OR(E198="",F198="",F198=0),"",E198/F198)</f>
        <v>0</v>
      </c>
      <c r="H198" s="30"/>
      <c r="I198" s="27"/>
      <c r="J198" s="28"/>
      <c r="K198" s="8">
        <f>IF(OR(E198="",J198=""),"",J198-E198)</f>
        <v>0</v>
      </c>
      <c r="L198" s="8">
        <f>IF(OR(K198="",J198="",J198=0),"",K198/J198)</f>
        <v>0</v>
      </c>
      <c r="M198" s="8">
        <f>IF(A198="","",IF(SUMPRODUCT(MIN(('Store Prices'!$A$5:$A$304=A198)*'Store Prices'!$G$5:$G$304+('Store Prices'!$A$5:$A$304&lt;&gt;A198)*1000000))&gt;=1000000,"",SUMPRODUCT(MIN(('Store Prices'!$A$5:$A$304=A198)*'Store Prices'!$G$5:$G$304+('Store Prices'!$A$5:$A$304&lt;&gt;A198)*1000000))))</f>
        <v>0</v>
      </c>
      <c r="N198" s="8">
        <f>IF(OR(A198="",G198="",M198=""),"",G198-M198)</f>
        <v>0</v>
      </c>
      <c r="O198" s="8">
        <f>IF(OR(A198="",G198=""),"",IF(G198=M198,"Best",""))</f>
        <v>0</v>
      </c>
      <c r="P198" s="8">
        <f>IF(OR(A198="",G198=""),"",COUNTIFS('Store Prices'!$A$5:$A$304,A198,'Store Prices'!$G$5:$G$304,"&lt;"&amp;G198)+1)</f>
        <v>0</v>
      </c>
      <c r="Q198" s="25"/>
    </row>
    <row r="199" spans="1:17">
      <c r="A199" s="7"/>
      <c r="B199" s="27"/>
      <c r="C199" s="8">
        <f>IF(A199="","",IFERROR(INDEX(Ingredients!$B$5:$B$304,MATCH(A199,Ingredients!$A$5:$A$304,0)),""))</f>
        <v>0</v>
      </c>
      <c r="D199" s="27"/>
      <c r="E199" s="28"/>
      <c r="F199" s="26"/>
      <c r="G199" s="8">
        <f>IF(OR(E199="",F199="",F199=0),"",E199/F199)</f>
        <v>0</v>
      </c>
      <c r="H199" s="30"/>
      <c r="I199" s="27"/>
      <c r="J199" s="28"/>
      <c r="K199" s="8">
        <f>IF(OR(E199="",J199=""),"",J199-E199)</f>
        <v>0</v>
      </c>
      <c r="L199" s="8">
        <f>IF(OR(K199="",J199="",J199=0),"",K199/J199)</f>
        <v>0</v>
      </c>
      <c r="M199" s="8">
        <f>IF(A199="","",IF(SUMPRODUCT(MIN(('Store Prices'!$A$5:$A$304=A199)*'Store Prices'!$G$5:$G$304+('Store Prices'!$A$5:$A$304&lt;&gt;A199)*1000000))&gt;=1000000,"",SUMPRODUCT(MIN(('Store Prices'!$A$5:$A$304=A199)*'Store Prices'!$G$5:$G$304+('Store Prices'!$A$5:$A$304&lt;&gt;A199)*1000000))))</f>
        <v>0</v>
      </c>
      <c r="N199" s="8">
        <f>IF(OR(A199="",G199="",M199=""),"",G199-M199)</f>
        <v>0</v>
      </c>
      <c r="O199" s="8">
        <f>IF(OR(A199="",G199=""),"",IF(G199=M199,"Best",""))</f>
        <v>0</v>
      </c>
      <c r="P199" s="8">
        <f>IF(OR(A199="",G199=""),"",COUNTIFS('Store Prices'!$A$5:$A$304,A199,'Store Prices'!$G$5:$G$304,"&lt;"&amp;G199)+1)</f>
        <v>0</v>
      </c>
      <c r="Q199" s="25"/>
    </row>
    <row r="200" spans="1:17">
      <c r="A200" s="7"/>
      <c r="B200" s="27"/>
      <c r="C200" s="8">
        <f>IF(A200="","",IFERROR(INDEX(Ingredients!$B$5:$B$304,MATCH(A200,Ingredients!$A$5:$A$304,0)),""))</f>
        <v>0</v>
      </c>
      <c r="D200" s="27"/>
      <c r="E200" s="28"/>
      <c r="F200" s="26"/>
      <c r="G200" s="8">
        <f>IF(OR(E200="",F200="",F200=0),"",E200/F200)</f>
        <v>0</v>
      </c>
      <c r="H200" s="30"/>
      <c r="I200" s="27"/>
      <c r="J200" s="28"/>
      <c r="K200" s="8">
        <f>IF(OR(E200="",J200=""),"",J200-E200)</f>
        <v>0</v>
      </c>
      <c r="L200" s="8">
        <f>IF(OR(K200="",J200="",J200=0),"",K200/J200)</f>
        <v>0</v>
      </c>
      <c r="M200" s="8">
        <f>IF(A200="","",IF(SUMPRODUCT(MIN(('Store Prices'!$A$5:$A$304=A200)*'Store Prices'!$G$5:$G$304+('Store Prices'!$A$5:$A$304&lt;&gt;A200)*1000000))&gt;=1000000,"",SUMPRODUCT(MIN(('Store Prices'!$A$5:$A$304=A200)*'Store Prices'!$G$5:$G$304+('Store Prices'!$A$5:$A$304&lt;&gt;A200)*1000000))))</f>
        <v>0</v>
      </c>
      <c r="N200" s="8">
        <f>IF(OR(A200="",G200="",M200=""),"",G200-M200)</f>
        <v>0</v>
      </c>
      <c r="O200" s="8">
        <f>IF(OR(A200="",G200=""),"",IF(G200=M200,"Best",""))</f>
        <v>0</v>
      </c>
      <c r="P200" s="8">
        <f>IF(OR(A200="",G200=""),"",COUNTIFS('Store Prices'!$A$5:$A$304,A200,'Store Prices'!$G$5:$G$304,"&lt;"&amp;G200)+1)</f>
        <v>0</v>
      </c>
      <c r="Q200" s="25"/>
    </row>
    <row r="201" spans="1:17">
      <c r="A201" s="7"/>
      <c r="B201" s="27"/>
      <c r="C201" s="8">
        <f>IF(A201="","",IFERROR(INDEX(Ingredients!$B$5:$B$304,MATCH(A201,Ingredients!$A$5:$A$304,0)),""))</f>
        <v>0</v>
      </c>
      <c r="D201" s="27"/>
      <c r="E201" s="28"/>
      <c r="F201" s="26"/>
      <c r="G201" s="8">
        <f>IF(OR(E201="",F201="",F201=0),"",E201/F201)</f>
        <v>0</v>
      </c>
      <c r="H201" s="30"/>
      <c r="I201" s="27"/>
      <c r="J201" s="28"/>
      <c r="K201" s="8">
        <f>IF(OR(E201="",J201=""),"",J201-E201)</f>
        <v>0</v>
      </c>
      <c r="L201" s="8">
        <f>IF(OR(K201="",J201="",J201=0),"",K201/J201)</f>
        <v>0</v>
      </c>
      <c r="M201" s="8">
        <f>IF(A201="","",IF(SUMPRODUCT(MIN(('Store Prices'!$A$5:$A$304=A201)*'Store Prices'!$G$5:$G$304+('Store Prices'!$A$5:$A$304&lt;&gt;A201)*1000000))&gt;=1000000,"",SUMPRODUCT(MIN(('Store Prices'!$A$5:$A$304=A201)*'Store Prices'!$G$5:$G$304+('Store Prices'!$A$5:$A$304&lt;&gt;A201)*1000000))))</f>
        <v>0</v>
      </c>
      <c r="N201" s="8">
        <f>IF(OR(A201="",G201="",M201=""),"",G201-M201)</f>
        <v>0</v>
      </c>
      <c r="O201" s="8">
        <f>IF(OR(A201="",G201=""),"",IF(G201=M201,"Best",""))</f>
        <v>0</v>
      </c>
      <c r="P201" s="8">
        <f>IF(OR(A201="",G201=""),"",COUNTIFS('Store Prices'!$A$5:$A$304,A201,'Store Prices'!$G$5:$G$304,"&lt;"&amp;G201)+1)</f>
        <v>0</v>
      </c>
      <c r="Q201" s="25"/>
    </row>
    <row r="202" spans="1:17">
      <c r="A202" s="7"/>
      <c r="B202" s="27"/>
      <c r="C202" s="8">
        <f>IF(A202="","",IFERROR(INDEX(Ingredients!$B$5:$B$304,MATCH(A202,Ingredients!$A$5:$A$304,0)),""))</f>
        <v>0</v>
      </c>
      <c r="D202" s="27"/>
      <c r="E202" s="28"/>
      <c r="F202" s="26"/>
      <c r="G202" s="8">
        <f>IF(OR(E202="",F202="",F202=0),"",E202/F202)</f>
        <v>0</v>
      </c>
      <c r="H202" s="30"/>
      <c r="I202" s="27"/>
      <c r="J202" s="28"/>
      <c r="K202" s="8">
        <f>IF(OR(E202="",J202=""),"",J202-E202)</f>
        <v>0</v>
      </c>
      <c r="L202" s="8">
        <f>IF(OR(K202="",J202="",J202=0),"",K202/J202)</f>
        <v>0</v>
      </c>
      <c r="M202" s="8">
        <f>IF(A202="","",IF(SUMPRODUCT(MIN(('Store Prices'!$A$5:$A$304=A202)*'Store Prices'!$G$5:$G$304+('Store Prices'!$A$5:$A$304&lt;&gt;A202)*1000000))&gt;=1000000,"",SUMPRODUCT(MIN(('Store Prices'!$A$5:$A$304=A202)*'Store Prices'!$G$5:$G$304+('Store Prices'!$A$5:$A$304&lt;&gt;A202)*1000000))))</f>
        <v>0</v>
      </c>
      <c r="N202" s="8">
        <f>IF(OR(A202="",G202="",M202=""),"",G202-M202)</f>
        <v>0</v>
      </c>
      <c r="O202" s="8">
        <f>IF(OR(A202="",G202=""),"",IF(G202=M202,"Best",""))</f>
        <v>0</v>
      </c>
      <c r="P202" s="8">
        <f>IF(OR(A202="",G202=""),"",COUNTIFS('Store Prices'!$A$5:$A$304,A202,'Store Prices'!$G$5:$G$304,"&lt;"&amp;G202)+1)</f>
        <v>0</v>
      </c>
      <c r="Q202" s="25"/>
    </row>
    <row r="203" spans="1:17">
      <c r="A203" s="7"/>
      <c r="B203" s="27"/>
      <c r="C203" s="8">
        <f>IF(A203="","",IFERROR(INDEX(Ingredients!$B$5:$B$304,MATCH(A203,Ingredients!$A$5:$A$304,0)),""))</f>
        <v>0</v>
      </c>
      <c r="D203" s="27"/>
      <c r="E203" s="28"/>
      <c r="F203" s="26"/>
      <c r="G203" s="8">
        <f>IF(OR(E203="",F203="",F203=0),"",E203/F203)</f>
        <v>0</v>
      </c>
      <c r="H203" s="30"/>
      <c r="I203" s="27"/>
      <c r="J203" s="28"/>
      <c r="K203" s="8">
        <f>IF(OR(E203="",J203=""),"",J203-E203)</f>
        <v>0</v>
      </c>
      <c r="L203" s="8">
        <f>IF(OR(K203="",J203="",J203=0),"",K203/J203)</f>
        <v>0</v>
      </c>
      <c r="M203" s="8">
        <f>IF(A203="","",IF(SUMPRODUCT(MIN(('Store Prices'!$A$5:$A$304=A203)*'Store Prices'!$G$5:$G$304+('Store Prices'!$A$5:$A$304&lt;&gt;A203)*1000000))&gt;=1000000,"",SUMPRODUCT(MIN(('Store Prices'!$A$5:$A$304=A203)*'Store Prices'!$G$5:$G$304+('Store Prices'!$A$5:$A$304&lt;&gt;A203)*1000000))))</f>
        <v>0</v>
      </c>
      <c r="N203" s="8">
        <f>IF(OR(A203="",G203="",M203=""),"",G203-M203)</f>
        <v>0</v>
      </c>
      <c r="O203" s="8">
        <f>IF(OR(A203="",G203=""),"",IF(G203=M203,"Best",""))</f>
        <v>0</v>
      </c>
      <c r="P203" s="8">
        <f>IF(OR(A203="",G203=""),"",COUNTIFS('Store Prices'!$A$5:$A$304,A203,'Store Prices'!$G$5:$G$304,"&lt;"&amp;G203)+1)</f>
        <v>0</v>
      </c>
      <c r="Q203" s="25"/>
    </row>
    <row r="204" spans="1:17">
      <c r="A204" s="7"/>
      <c r="B204" s="27"/>
      <c r="C204" s="8">
        <f>IF(A204="","",IFERROR(INDEX(Ingredients!$B$5:$B$304,MATCH(A204,Ingredients!$A$5:$A$304,0)),""))</f>
        <v>0</v>
      </c>
      <c r="D204" s="27"/>
      <c r="E204" s="28"/>
      <c r="F204" s="26"/>
      <c r="G204" s="8">
        <f>IF(OR(E204="",F204="",F204=0),"",E204/F204)</f>
        <v>0</v>
      </c>
      <c r="H204" s="30"/>
      <c r="I204" s="27"/>
      <c r="J204" s="28"/>
      <c r="K204" s="8">
        <f>IF(OR(E204="",J204=""),"",J204-E204)</f>
        <v>0</v>
      </c>
      <c r="L204" s="8">
        <f>IF(OR(K204="",J204="",J204=0),"",K204/J204)</f>
        <v>0</v>
      </c>
      <c r="M204" s="8">
        <f>IF(A204="","",IF(SUMPRODUCT(MIN(('Store Prices'!$A$5:$A$304=A204)*'Store Prices'!$G$5:$G$304+('Store Prices'!$A$5:$A$304&lt;&gt;A204)*1000000))&gt;=1000000,"",SUMPRODUCT(MIN(('Store Prices'!$A$5:$A$304=A204)*'Store Prices'!$G$5:$G$304+('Store Prices'!$A$5:$A$304&lt;&gt;A204)*1000000))))</f>
        <v>0</v>
      </c>
      <c r="N204" s="8">
        <f>IF(OR(A204="",G204="",M204=""),"",G204-M204)</f>
        <v>0</v>
      </c>
      <c r="O204" s="8">
        <f>IF(OR(A204="",G204=""),"",IF(G204=M204,"Best",""))</f>
        <v>0</v>
      </c>
      <c r="P204" s="8">
        <f>IF(OR(A204="",G204=""),"",COUNTIFS('Store Prices'!$A$5:$A$304,A204,'Store Prices'!$G$5:$G$304,"&lt;"&amp;G204)+1)</f>
        <v>0</v>
      </c>
      <c r="Q204" s="25"/>
    </row>
    <row r="205" spans="1:17">
      <c r="A205" s="7"/>
      <c r="B205" s="27"/>
      <c r="C205" s="8">
        <f>IF(A205="","",IFERROR(INDEX(Ingredients!$B$5:$B$304,MATCH(A205,Ingredients!$A$5:$A$304,0)),""))</f>
        <v>0</v>
      </c>
      <c r="D205" s="27"/>
      <c r="E205" s="28"/>
      <c r="F205" s="26"/>
      <c r="G205" s="8">
        <f>IF(OR(E205="",F205="",F205=0),"",E205/F205)</f>
        <v>0</v>
      </c>
      <c r="H205" s="30"/>
      <c r="I205" s="27"/>
      <c r="J205" s="28"/>
      <c r="K205" s="8">
        <f>IF(OR(E205="",J205=""),"",J205-E205)</f>
        <v>0</v>
      </c>
      <c r="L205" s="8">
        <f>IF(OR(K205="",J205="",J205=0),"",K205/J205)</f>
        <v>0</v>
      </c>
      <c r="M205" s="8">
        <f>IF(A205="","",IF(SUMPRODUCT(MIN(('Store Prices'!$A$5:$A$304=A205)*'Store Prices'!$G$5:$G$304+('Store Prices'!$A$5:$A$304&lt;&gt;A205)*1000000))&gt;=1000000,"",SUMPRODUCT(MIN(('Store Prices'!$A$5:$A$304=A205)*'Store Prices'!$G$5:$G$304+('Store Prices'!$A$5:$A$304&lt;&gt;A205)*1000000))))</f>
        <v>0</v>
      </c>
      <c r="N205" s="8">
        <f>IF(OR(A205="",G205="",M205=""),"",G205-M205)</f>
        <v>0</v>
      </c>
      <c r="O205" s="8">
        <f>IF(OR(A205="",G205=""),"",IF(G205=M205,"Best",""))</f>
        <v>0</v>
      </c>
      <c r="P205" s="8">
        <f>IF(OR(A205="",G205=""),"",COUNTIFS('Store Prices'!$A$5:$A$304,A205,'Store Prices'!$G$5:$G$304,"&lt;"&amp;G205)+1)</f>
        <v>0</v>
      </c>
      <c r="Q205" s="25"/>
    </row>
    <row r="206" spans="1:17">
      <c r="A206" s="7"/>
      <c r="B206" s="27"/>
      <c r="C206" s="8">
        <f>IF(A206="","",IFERROR(INDEX(Ingredients!$B$5:$B$304,MATCH(A206,Ingredients!$A$5:$A$304,0)),""))</f>
        <v>0</v>
      </c>
      <c r="D206" s="27"/>
      <c r="E206" s="28"/>
      <c r="F206" s="26"/>
      <c r="G206" s="8">
        <f>IF(OR(E206="",F206="",F206=0),"",E206/F206)</f>
        <v>0</v>
      </c>
      <c r="H206" s="30"/>
      <c r="I206" s="27"/>
      <c r="J206" s="28"/>
      <c r="K206" s="8">
        <f>IF(OR(E206="",J206=""),"",J206-E206)</f>
        <v>0</v>
      </c>
      <c r="L206" s="8">
        <f>IF(OR(K206="",J206="",J206=0),"",K206/J206)</f>
        <v>0</v>
      </c>
      <c r="M206" s="8">
        <f>IF(A206="","",IF(SUMPRODUCT(MIN(('Store Prices'!$A$5:$A$304=A206)*'Store Prices'!$G$5:$G$304+('Store Prices'!$A$5:$A$304&lt;&gt;A206)*1000000))&gt;=1000000,"",SUMPRODUCT(MIN(('Store Prices'!$A$5:$A$304=A206)*'Store Prices'!$G$5:$G$304+('Store Prices'!$A$5:$A$304&lt;&gt;A206)*1000000))))</f>
        <v>0</v>
      </c>
      <c r="N206" s="8">
        <f>IF(OR(A206="",G206="",M206=""),"",G206-M206)</f>
        <v>0</v>
      </c>
      <c r="O206" s="8">
        <f>IF(OR(A206="",G206=""),"",IF(G206=M206,"Best",""))</f>
        <v>0</v>
      </c>
      <c r="P206" s="8">
        <f>IF(OR(A206="",G206=""),"",COUNTIFS('Store Prices'!$A$5:$A$304,A206,'Store Prices'!$G$5:$G$304,"&lt;"&amp;G206)+1)</f>
        <v>0</v>
      </c>
      <c r="Q206" s="25"/>
    </row>
    <row r="207" spans="1:17">
      <c r="A207" s="7"/>
      <c r="B207" s="27"/>
      <c r="C207" s="8">
        <f>IF(A207="","",IFERROR(INDEX(Ingredients!$B$5:$B$304,MATCH(A207,Ingredients!$A$5:$A$304,0)),""))</f>
        <v>0</v>
      </c>
      <c r="D207" s="27"/>
      <c r="E207" s="28"/>
      <c r="F207" s="26"/>
      <c r="G207" s="8">
        <f>IF(OR(E207="",F207="",F207=0),"",E207/F207)</f>
        <v>0</v>
      </c>
      <c r="H207" s="30"/>
      <c r="I207" s="27"/>
      <c r="J207" s="28"/>
      <c r="K207" s="8">
        <f>IF(OR(E207="",J207=""),"",J207-E207)</f>
        <v>0</v>
      </c>
      <c r="L207" s="8">
        <f>IF(OR(K207="",J207="",J207=0),"",K207/J207)</f>
        <v>0</v>
      </c>
      <c r="M207" s="8">
        <f>IF(A207="","",IF(SUMPRODUCT(MIN(('Store Prices'!$A$5:$A$304=A207)*'Store Prices'!$G$5:$G$304+('Store Prices'!$A$5:$A$304&lt;&gt;A207)*1000000))&gt;=1000000,"",SUMPRODUCT(MIN(('Store Prices'!$A$5:$A$304=A207)*'Store Prices'!$G$5:$G$304+('Store Prices'!$A$5:$A$304&lt;&gt;A207)*1000000))))</f>
        <v>0</v>
      </c>
      <c r="N207" s="8">
        <f>IF(OR(A207="",G207="",M207=""),"",G207-M207)</f>
        <v>0</v>
      </c>
      <c r="O207" s="8">
        <f>IF(OR(A207="",G207=""),"",IF(G207=M207,"Best",""))</f>
        <v>0</v>
      </c>
      <c r="P207" s="8">
        <f>IF(OR(A207="",G207=""),"",COUNTIFS('Store Prices'!$A$5:$A$304,A207,'Store Prices'!$G$5:$G$304,"&lt;"&amp;G207)+1)</f>
        <v>0</v>
      </c>
      <c r="Q207" s="25"/>
    </row>
    <row r="208" spans="1:17">
      <c r="A208" s="7"/>
      <c r="B208" s="27"/>
      <c r="C208" s="8">
        <f>IF(A208="","",IFERROR(INDEX(Ingredients!$B$5:$B$304,MATCH(A208,Ingredients!$A$5:$A$304,0)),""))</f>
        <v>0</v>
      </c>
      <c r="D208" s="27"/>
      <c r="E208" s="28"/>
      <c r="F208" s="26"/>
      <c r="G208" s="8">
        <f>IF(OR(E208="",F208="",F208=0),"",E208/F208)</f>
        <v>0</v>
      </c>
      <c r="H208" s="30"/>
      <c r="I208" s="27"/>
      <c r="J208" s="28"/>
      <c r="K208" s="8">
        <f>IF(OR(E208="",J208=""),"",J208-E208)</f>
        <v>0</v>
      </c>
      <c r="L208" s="8">
        <f>IF(OR(K208="",J208="",J208=0),"",K208/J208)</f>
        <v>0</v>
      </c>
      <c r="M208" s="8">
        <f>IF(A208="","",IF(SUMPRODUCT(MIN(('Store Prices'!$A$5:$A$304=A208)*'Store Prices'!$G$5:$G$304+('Store Prices'!$A$5:$A$304&lt;&gt;A208)*1000000))&gt;=1000000,"",SUMPRODUCT(MIN(('Store Prices'!$A$5:$A$304=A208)*'Store Prices'!$G$5:$G$304+('Store Prices'!$A$5:$A$304&lt;&gt;A208)*1000000))))</f>
        <v>0</v>
      </c>
      <c r="N208" s="8">
        <f>IF(OR(A208="",G208="",M208=""),"",G208-M208)</f>
        <v>0</v>
      </c>
      <c r="O208" s="8">
        <f>IF(OR(A208="",G208=""),"",IF(G208=M208,"Best",""))</f>
        <v>0</v>
      </c>
      <c r="P208" s="8">
        <f>IF(OR(A208="",G208=""),"",COUNTIFS('Store Prices'!$A$5:$A$304,A208,'Store Prices'!$G$5:$G$304,"&lt;"&amp;G208)+1)</f>
        <v>0</v>
      </c>
      <c r="Q208" s="25"/>
    </row>
    <row r="209" spans="1:17">
      <c r="A209" s="7"/>
      <c r="B209" s="27"/>
      <c r="C209" s="8">
        <f>IF(A209="","",IFERROR(INDEX(Ingredients!$B$5:$B$304,MATCH(A209,Ingredients!$A$5:$A$304,0)),""))</f>
        <v>0</v>
      </c>
      <c r="D209" s="27"/>
      <c r="E209" s="28"/>
      <c r="F209" s="26"/>
      <c r="G209" s="8">
        <f>IF(OR(E209="",F209="",F209=0),"",E209/F209)</f>
        <v>0</v>
      </c>
      <c r="H209" s="30"/>
      <c r="I209" s="27"/>
      <c r="J209" s="28"/>
      <c r="K209" s="8">
        <f>IF(OR(E209="",J209=""),"",J209-E209)</f>
        <v>0</v>
      </c>
      <c r="L209" s="8">
        <f>IF(OR(K209="",J209="",J209=0),"",K209/J209)</f>
        <v>0</v>
      </c>
      <c r="M209" s="8">
        <f>IF(A209="","",IF(SUMPRODUCT(MIN(('Store Prices'!$A$5:$A$304=A209)*'Store Prices'!$G$5:$G$304+('Store Prices'!$A$5:$A$304&lt;&gt;A209)*1000000))&gt;=1000000,"",SUMPRODUCT(MIN(('Store Prices'!$A$5:$A$304=A209)*'Store Prices'!$G$5:$G$304+('Store Prices'!$A$5:$A$304&lt;&gt;A209)*1000000))))</f>
        <v>0</v>
      </c>
      <c r="N209" s="8">
        <f>IF(OR(A209="",G209="",M209=""),"",G209-M209)</f>
        <v>0</v>
      </c>
      <c r="O209" s="8">
        <f>IF(OR(A209="",G209=""),"",IF(G209=M209,"Best",""))</f>
        <v>0</v>
      </c>
      <c r="P209" s="8">
        <f>IF(OR(A209="",G209=""),"",COUNTIFS('Store Prices'!$A$5:$A$304,A209,'Store Prices'!$G$5:$G$304,"&lt;"&amp;G209)+1)</f>
        <v>0</v>
      </c>
      <c r="Q209" s="25"/>
    </row>
    <row r="210" spans="1:17">
      <c r="A210" s="7"/>
      <c r="B210" s="27"/>
      <c r="C210" s="8">
        <f>IF(A210="","",IFERROR(INDEX(Ingredients!$B$5:$B$304,MATCH(A210,Ingredients!$A$5:$A$304,0)),""))</f>
        <v>0</v>
      </c>
      <c r="D210" s="27"/>
      <c r="E210" s="28"/>
      <c r="F210" s="26"/>
      <c r="G210" s="8">
        <f>IF(OR(E210="",F210="",F210=0),"",E210/F210)</f>
        <v>0</v>
      </c>
      <c r="H210" s="30"/>
      <c r="I210" s="27"/>
      <c r="J210" s="28"/>
      <c r="K210" s="8">
        <f>IF(OR(E210="",J210=""),"",J210-E210)</f>
        <v>0</v>
      </c>
      <c r="L210" s="8">
        <f>IF(OR(K210="",J210="",J210=0),"",K210/J210)</f>
        <v>0</v>
      </c>
      <c r="M210" s="8">
        <f>IF(A210="","",IF(SUMPRODUCT(MIN(('Store Prices'!$A$5:$A$304=A210)*'Store Prices'!$G$5:$G$304+('Store Prices'!$A$5:$A$304&lt;&gt;A210)*1000000))&gt;=1000000,"",SUMPRODUCT(MIN(('Store Prices'!$A$5:$A$304=A210)*'Store Prices'!$G$5:$G$304+('Store Prices'!$A$5:$A$304&lt;&gt;A210)*1000000))))</f>
        <v>0</v>
      </c>
      <c r="N210" s="8">
        <f>IF(OR(A210="",G210="",M210=""),"",G210-M210)</f>
        <v>0</v>
      </c>
      <c r="O210" s="8">
        <f>IF(OR(A210="",G210=""),"",IF(G210=M210,"Best",""))</f>
        <v>0</v>
      </c>
      <c r="P210" s="8">
        <f>IF(OR(A210="",G210=""),"",COUNTIFS('Store Prices'!$A$5:$A$304,A210,'Store Prices'!$G$5:$G$304,"&lt;"&amp;G210)+1)</f>
        <v>0</v>
      </c>
      <c r="Q210" s="25"/>
    </row>
    <row r="211" spans="1:17">
      <c r="A211" s="7"/>
      <c r="B211" s="27"/>
      <c r="C211" s="8">
        <f>IF(A211="","",IFERROR(INDEX(Ingredients!$B$5:$B$304,MATCH(A211,Ingredients!$A$5:$A$304,0)),""))</f>
        <v>0</v>
      </c>
      <c r="D211" s="27"/>
      <c r="E211" s="28"/>
      <c r="F211" s="26"/>
      <c r="G211" s="8">
        <f>IF(OR(E211="",F211="",F211=0),"",E211/F211)</f>
        <v>0</v>
      </c>
      <c r="H211" s="30"/>
      <c r="I211" s="27"/>
      <c r="J211" s="28"/>
      <c r="K211" s="8">
        <f>IF(OR(E211="",J211=""),"",J211-E211)</f>
        <v>0</v>
      </c>
      <c r="L211" s="8">
        <f>IF(OR(K211="",J211="",J211=0),"",K211/J211)</f>
        <v>0</v>
      </c>
      <c r="M211" s="8">
        <f>IF(A211="","",IF(SUMPRODUCT(MIN(('Store Prices'!$A$5:$A$304=A211)*'Store Prices'!$G$5:$G$304+('Store Prices'!$A$5:$A$304&lt;&gt;A211)*1000000))&gt;=1000000,"",SUMPRODUCT(MIN(('Store Prices'!$A$5:$A$304=A211)*'Store Prices'!$G$5:$G$304+('Store Prices'!$A$5:$A$304&lt;&gt;A211)*1000000))))</f>
        <v>0</v>
      </c>
      <c r="N211" s="8">
        <f>IF(OR(A211="",G211="",M211=""),"",G211-M211)</f>
        <v>0</v>
      </c>
      <c r="O211" s="8">
        <f>IF(OR(A211="",G211=""),"",IF(G211=M211,"Best",""))</f>
        <v>0</v>
      </c>
      <c r="P211" s="8">
        <f>IF(OR(A211="",G211=""),"",COUNTIFS('Store Prices'!$A$5:$A$304,A211,'Store Prices'!$G$5:$G$304,"&lt;"&amp;G211)+1)</f>
        <v>0</v>
      </c>
      <c r="Q211" s="25"/>
    </row>
    <row r="212" spans="1:17">
      <c r="A212" s="7"/>
      <c r="B212" s="27"/>
      <c r="C212" s="8">
        <f>IF(A212="","",IFERROR(INDEX(Ingredients!$B$5:$B$304,MATCH(A212,Ingredients!$A$5:$A$304,0)),""))</f>
        <v>0</v>
      </c>
      <c r="D212" s="27"/>
      <c r="E212" s="28"/>
      <c r="F212" s="26"/>
      <c r="G212" s="8">
        <f>IF(OR(E212="",F212="",F212=0),"",E212/F212)</f>
        <v>0</v>
      </c>
      <c r="H212" s="30"/>
      <c r="I212" s="27"/>
      <c r="J212" s="28"/>
      <c r="K212" s="8">
        <f>IF(OR(E212="",J212=""),"",J212-E212)</f>
        <v>0</v>
      </c>
      <c r="L212" s="8">
        <f>IF(OR(K212="",J212="",J212=0),"",K212/J212)</f>
        <v>0</v>
      </c>
      <c r="M212" s="8">
        <f>IF(A212="","",IF(SUMPRODUCT(MIN(('Store Prices'!$A$5:$A$304=A212)*'Store Prices'!$G$5:$G$304+('Store Prices'!$A$5:$A$304&lt;&gt;A212)*1000000))&gt;=1000000,"",SUMPRODUCT(MIN(('Store Prices'!$A$5:$A$304=A212)*'Store Prices'!$G$5:$G$304+('Store Prices'!$A$5:$A$304&lt;&gt;A212)*1000000))))</f>
        <v>0</v>
      </c>
      <c r="N212" s="8">
        <f>IF(OR(A212="",G212="",M212=""),"",G212-M212)</f>
        <v>0</v>
      </c>
      <c r="O212" s="8">
        <f>IF(OR(A212="",G212=""),"",IF(G212=M212,"Best",""))</f>
        <v>0</v>
      </c>
      <c r="P212" s="8">
        <f>IF(OR(A212="",G212=""),"",COUNTIFS('Store Prices'!$A$5:$A$304,A212,'Store Prices'!$G$5:$G$304,"&lt;"&amp;G212)+1)</f>
        <v>0</v>
      </c>
      <c r="Q212" s="25"/>
    </row>
    <row r="213" spans="1:17">
      <c r="A213" s="7"/>
      <c r="B213" s="27"/>
      <c r="C213" s="8">
        <f>IF(A213="","",IFERROR(INDEX(Ingredients!$B$5:$B$304,MATCH(A213,Ingredients!$A$5:$A$304,0)),""))</f>
        <v>0</v>
      </c>
      <c r="D213" s="27"/>
      <c r="E213" s="28"/>
      <c r="F213" s="26"/>
      <c r="G213" s="8">
        <f>IF(OR(E213="",F213="",F213=0),"",E213/F213)</f>
        <v>0</v>
      </c>
      <c r="H213" s="30"/>
      <c r="I213" s="27"/>
      <c r="J213" s="28"/>
      <c r="K213" s="8">
        <f>IF(OR(E213="",J213=""),"",J213-E213)</f>
        <v>0</v>
      </c>
      <c r="L213" s="8">
        <f>IF(OR(K213="",J213="",J213=0),"",K213/J213)</f>
        <v>0</v>
      </c>
      <c r="M213" s="8">
        <f>IF(A213="","",IF(SUMPRODUCT(MIN(('Store Prices'!$A$5:$A$304=A213)*'Store Prices'!$G$5:$G$304+('Store Prices'!$A$5:$A$304&lt;&gt;A213)*1000000))&gt;=1000000,"",SUMPRODUCT(MIN(('Store Prices'!$A$5:$A$304=A213)*'Store Prices'!$G$5:$G$304+('Store Prices'!$A$5:$A$304&lt;&gt;A213)*1000000))))</f>
        <v>0</v>
      </c>
      <c r="N213" s="8">
        <f>IF(OR(A213="",G213="",M213=""),"",G213-M213)</f>
        <v>0</v>
      </c>
      <c r="O213" s="8">
        <f>IF(OR(A213="",G213=""),"",IF(G213=M213,"Best",""))</f>
        <v>0</v>
      </c>
      <c r="P213" s="8">
        <f>IF(OR(A213="",G213=""),"",COUNTIFS('Store Prices'!$A$5:$A$304,A213,'Store Prices'!$G$5:$G$304,"&lt;"&amp;G213)+1)</f>
        <v>0</v>
      </c>
      <c r="Q213" s="25"/>
    </row>
    <row r="214" spans="1:17">
      <c r="A214" s="7"/>
      <c r="B214" s="27"/>
      <c r="C214" s="8">
        <f>IF(A214="","",IFERROR(INDEX(Ingredients!$B$5:$B$304,MATCH(A214,Ingredients!$A$5:$A$304,0)),""))</f>
        <v>0</v>
      </c>
      <c r="D214" s="27"/>
      <c r="E214" s="28"/>
      <c r="F214" s="26"/>
      <c r="G214" s="8">
        <f>IF(OR(E214="",F214="",F214=0),"",E214/F214)</f>
        <v>0</v>
      </c>
      <c r="H214" s="30"/>
      <c r="I214" s="27"/>
      <c r="J214" s="28"/>
      <c r="K214" s="8">
        <f>IF(OR(E214="",J214=""),"",J214-E214)</f>
        <v>0</v>
      </c>
      <c r="L214" s="8">
        <f>IF(OR(K214="",J214="",J214=0),"",K214/J214)</f>
        <v>0</v>
      </c>
      <c r="M214" s="8">
        <f>IF(A214="","",IF(SUMPRODUCT(MIN(('Store Prices'!$A$5:$A$304=A214)*'Store Prices'!$G$5:$G$304+('Store Prices'!$A$5:$A$304&lt;&gt;A214)*1000000))&gt;=1000000,"",SUMPRODUCT(MIN(('Store Prices'!$A$5:$A$304=A214)*'Store Prices'!$G$5:$G$304+('Store Prices'!$A$5:$A$304&lt;&gt;A214)*1000000))))</f>
        <v>0</v>
      </c>
      <c r="N214" s="8">
        <f>IF(OR(A214="",G214="",M214=""),"",G214-M214)</f>
        <v>0</v>
      </c>
      <c r="O214" s="8">
        <f>IF(OR(A214="",G214=""),"",IF(G214=M214,"Best",""))</f>
        <v>0</v>
      </c>
      <c r="P214" s="8">
        <f>IF(OR(A214="",G214=""),"",COUNTIFS('Store Prices'!$A$5:$A$304,A214,'Store Prices'!$G$5:$G$304,"&lt;"&amp;G214)+1)</f>
        <v>0</v>
      </c>
      <c r="Q214" s="25"/>
    </row>
    <row r="215" spans="1:17">
      <c r="A215" s="7"/>
      <c r="B215" s="27"/>
      <c r="C215" s="8">
        <f>IF(A215="","",IFERROR(INDEX(Ingredients!$B$5:$B$304,MATCH(A215,Ingredients!$A$5:$A$304,0)),""))</f>
        <v>0</v>
      </c>
      <c r="D215" s="27"/>
      <c r="E215" s="28"/>
      <c r="F215" s="26"/>
      <c r="G215" s="8">
        <f>IF(OR(E215="",F215="",F215=0),"",E215/F215)</f>
        <v>0</v>
      </c>
      <c r="H215" s="30"/>
      <c r="I215" s="27"/>
      <c r="J215" s="28"/>
      <c r="K215" s="8">
        <f>IF(OR(E215="",J215=""),"",J215-E215)</f>
        <v>0</v>
      </c>
      <c r="L215" s="8">
        <f>IF(OR(K215="",J215="",J215=0),"",K215/J215)</f>
        <v>0</v>
      </c>
      <c r="M215" s="8">
        <f>IF(A215="","",IF(SUMPRODUCT(MIN(('Store Prices'!$A$5:$A$304=A215)*'Store Prices'!$G$5:$G$304+('Store Prices'!$A$5:$A$304&lt;&gt;A215)*1000000))&gt;=1000000,"",SUMPRODUCT(MIN(('Store Prices'!$A$5:$A$304=A215)*'Store Prices'!$G$5:$G$304+('Store Prices'!$A$5:$A$304&lt;&gt;A215)*1000000))))</f>
        <v>0</v>
      </c>
      <c r="N215" s="8">
        <f>IF(OR(A215="",G215="",M215=""),"",G215-M215)</f>
        <v>0</v>
      </c>
      <c r="O215" s="8">
        <f>IF(OR(A215="",G215=""),"",IF(G215=M215,"Best",""))</f>
        <v>0</v>
      </c>
      <c r="P215" s="8">
        <f>IF(OR(A215="",G215=""),"",COUNTIFS('Store Prices'!$A$5:$A$304,A215,'Store Prices'!$G$5:$G$304,"&lt;"&amp;G215)+1)</f>
        <v>0</v>
      </c>
      <c r="Q215" s="25"/>
    </row>
    <row r="216" spans="1:17">
      <c r="A216" s="7"/>
      <c r="B216" s="27"/>
      <c r="C216" s="8">
        <f>IF(A216="","",IFERROR(INDEX(Ingredients!$B$5:$B$304,MATCH(A216,Ingredients!$A$5:$A$304,0)),""))</f>
        <v>0</v>
      </c>
      <c r="D216" s="27"/>
      <c r="E216" s="28"/>
      <c r="F216" s="26"/>
      <c r="G216" s="8">
        <f>IF(OR(E216="",F216="",F216=0),"",E216/F216)</f>
        <v>0</v>
      </c>
      <c r="H216" s="30"/>
      <c r="I216" s="27"/>
      <c r="J216" s="28"/>
      <c r="K216" s="8">
        <f>IF(OR(E216="",J216=""),"",J216-E216)</f>
        <v>0</v>
      </c>
      <c r="L216" s="8">
        <f>IF(OR(K216="",J216="",J216=0),"",K216/J216)</f>
        <v>0</v>
      </c>
      <c r="M216" s="8">
        <f>IF(A216="","",IF(SUMPRODUCT(MIN(('Store Prices'!$A$5:$A$304=A216)*'Store Prices'!$G$5:$G$304+('Store Prices'!$A$5:$A$304&lt;&gt;A216)*1000000))&gt;=1000000,"",SUMPRODUCT(MIN(('Store Prices'!$A$5:$A$304=A216)*'Store Prices'!$G$5:$G$304+('Store Prices'!$A$5:$A$304&lt;&gt;A216)*1000000))))</f>
        <v>0</v>
      </c>
      <c r="N216" s="8">
        <f>IF(OR(A216="",G216="",M216=""),"",G216-M216)</f>
        <v>0</v>
      </c>
      <c r="O216" s="8">
        <f>IF(OR(A216="",G216=""),"",IF(G216=M216,"Best",""))</f>
        <v>0</v>
      </c>
      <c r="P216" s="8">
        <f>IF(OR(A216="",G216=""),"",COUNTIFS('Store Prices'!$A$5:$A$304,A216,'Store Prices'!$G$5:$G$304,"&lt;"&amp;G216)+1)</f>
        <v>0</v>
      </c>
      <c r="Q216" s="25"/>
    </row>
    <row r="217" spans="1:17">
      <c r="A217" s="7"/>
      <c r="B217" s="27"/>
      <c r="C217" s="8">
        <f>IF(A217="","",IFERROR(INDEX(Ingredients!$B$5:$B$304,MATCH(A217,Ingredients!$A$5:$A$304,0)),""))</f>
        <v>0</v>
      </c>
      <c r="D217" s="27"/>
      <c r="E217" s="28"/>
      <c r="F217" s="26"/>
      <c r="G217" s="8">
        <f>IF(OR(E217="",F217="",F217=0),"",E217/F217)</f>
        <v>0</v>
      </c>
      <c r="H217" s="30"/>
      <c r="I217" s="27"/>
      <c r="J217" s="28"/>
      <c r="K217" s="8">
        <f>IF(OR(E217="",J217=""),"",J217-E217)</f>
        <v>0</v>
      </c>
      <c r="L217" s="8">
        <f>IF(OR(K217="",J217="",J217=0),"",K217/J217)</f>
        <v>0</v>
      </c>
      <c r="M217" s="8">
        <f>IF(A217="","",IF(SUMPRODUCT(MIN(('Store Prices'!$A$5:$A$304=A217)*'Store Prices'!$G$5:$G$304+('Store Prices'!$A$5:$A$304&lt;&gt;A217)*1000000))&gt;=1000000,"",SUMPRODUCT(MIN(('Store Prices'!$A$5:$A$304=A217)*'Store Prices'!$G$5:$G$304+('Store Prices'!$A$5:$A$304&lt;&gt;A217)*1000000))))</f>
        <v>0</v>
      </c>
      <c r="N217" s="8">
        <f>IF(OR(A217="",G217="",M217=""),"",G217-M217)</f>
        <v>0</v>
      </c>
      <c r="O217" s="8">
        <f>IF(OR(A217="",G217=""),"",IF(G217=M217,"Best",""))</f>
        <v>0</v>
      </c>
      <c r="P217" s="8">
        <f>IF(OR(A217="",G217=""),"",COUNTIFS('Store Prices'!$A$5:$A$304,A217,'Store Prices'!$G$5:$G$304,"&lt;"&amp;G217)+1)</f>
        <v>0</v>
      </c>
      <c r="Q217" s="25"/>
    </row>
    <row r="218" spans="1:17">
      <c r="A218" s="7"/>
      <c r="B218" s="27"/>
      <c r="C218" s="8">
        <f>IF(A218="","",IFERROR(INDEX(Ingredients!$B$5:$B$304,MATCH(A218,Ingredients!$A$5:$A$304,0)),""))</f>
        <v>0</v>
      </c>
      <c r="D218" s="27"/>
      <c r="E218" s="28"/>
      <c r="F218" s="26"/>
      <c r="G218" s="8">
        <f>IF(OR(E218="",F218="",F218=0),"",E218/F218)</f>
        <v>0</v>
      </c>
      <c r="H218" s="30"/>
      <c r="I218" s="27"/>
      <c r="J218" s="28"/>
      <c r="K218" s="8">
        <f>IF(OR(E218="",J218=""),"",J218-E218)</f>
        <v>0</v>
      </c>
      <c r="L218" s="8">
        <f>IF(OR(K218="",J218="",J218=0),"",K218/J218)</f>
        <v>0</v>
      </c>
      <c r="M218" s="8">
        <f>IF(A218="","",IF(SUMPRODUCT(MIN(('Store Prices'!$A$5:$A$304=A218)*'Store Prices'!$G$5:$G$304+('Store Prices'!$A$5:$A$304&lt;&gt;A218)*1000000))&gt;=1000000,"",SUMPRODUCT(MIN(('Store Prices'!$A$5:$A$304=A218)*'Store Prices'!$G$5:$G$304+('Store Prices'!$A$5:$A$304&lt;&gt;A218)*1000000))))</f>
        <v>0</v>
      </c>
      <c r="N218" s="8">
        <f>IF(OR(A218="",G218="",M218=""),"",G218-M218)</f>
        <v>0</v>
      </c>
      <c r="O218" s="8">
        <f>IF(OR(A218="",G218=""),"",IF(G218=M218,"Best",""))</f>
        <v>0</v>
      </c>
      <c r="P218" s="8">
        <f>IF(OR(A218="",G218=""),"",COUNTIFS('Store Prices'!$A$5:$A$304,A218,'Store Prices'!$G$5:$G$304,"&lt;"&amp;G218)+1)</f>
        <v>0</v>
      </c>
      <c r="Q218" s="25"/>
    </row>
    <row r="219" spans="1:17">
      <c r="A219" s="7"/>
      <c r="B219" s="27"/>
      <c r="C219" s="8">
        <f>IF(A219="","",IFERROR(INDEX(Ingredients!$B$5:$B$304,MATCH(A219,Ingredients!$A$5:$A$304,0)),""))</f>
        <v>0</v>
      </c>
      <c r="D219" s="27"/>
      <c r="E219" s="28"/>
      <c r="F219" s="26"/>
      <c r="G219" s="8">
        <f>IF(OR(E219="",F219="",F219=0),"",E219/F219)</f>
        <v>0</v>
      </c>
      <c r="H219" s="30"/>
      <c r="I219" s="27"/>
      <c r="J219" s="28"/>
      <c r="K219" s="8">
        <f>IF(OR(E219="",J219=""),"",J219-E219)</f>
        <v>0</v>
      </c>
      <c r="L219" s="8">
        <f>IF(OR(K219="",J219="",J219=0),"",K219/J219)</f>
        <v>0</v>
      </c>
      <c r="M219" s="8">
        <f>IF(A219="","",IF(SUMPRODUCT(MIN(('Store Prices'!$A$5:$A$304=A219)*'Store Prices'!$G$5:$G$304+('Store Prices'!$A$5:$A$304&lt;&gt;A219)*1000000))&gt;=1000000,"",SUMPRODUCT(MIN(('Store Prices'!$A$5:$A$304=A219)*'Store Prices'!$G$5:$G$304+('Store Prices'!$A$5:$A$304&lt;&gt;A219)*1000000))))</f>
        <v>0</v>
      </c>
      <c r="N219" s="8">
        <f>IF(OR(A219="",G219="",M219=""),"",G219-M219)</f>
        <v>0</v>
      </c>
      <c r="O219" s="8">
        <f>IF(OR(A219="",G219=""),"",IF(G219=M219,"Best",""))</f>
        <v>0</v>
      </c>
      <c r="P219" s="8">
        <f>IF(OR(A219="",G219=""),"",COUNTIFS('Store Prices'!$A$5:$A$304,A219,'Store Prices'!$G$5:$G$304,"&lt;"&amp;G219)+1)</f>
        <v>0</v>
      </c>
      <c r="Q219" s="25"/>
    </row>
    <row r="220" spans="1:17">
      <c r="A220" s="7"/>
      <c r="B220" s="27"/>
      <c r="C220" s="8">
        <f>IF(A220="","",IFERROR(INDEX(Ingredients!$B$5:$B$304,MATCH(A220,Ingredients!$A$5:$A$304,0)),""))</f>
        <v>0</v>
      </c>
      <c r="D220" s="27"/>
      <c r="E220" s="28"/>
      <c r="F220" s="26"/>
      <c r="G220" s="8">
        <f>IF(OR(E220="",F220="",F220=0),"",E220/F220)</f>
        <v>0</v>
      </c>
      <c r="H220" s="30"/>
      <c r="I220" s="27"/>
      <c r="J220" s="28"/>
      <c r="K220" s="8">
        <f>IF(OR(E220="",J220=""),"",J220-E220)</f>
        <v>0</v>
      </c>
      <c r="L220" s="8">
        <f>IF(OR(K220="",J220="",J220=0),"",K220/J220)</f>
        <v>0</v>
      </c>
      <c r="M220" s="8">
        <f>IF(A220="","",IF(SUMPRODUCT(MIN(('Store Prices'!$A$5:$A$304=A220)*'Store Prices'!$G$5:$G$304+('Store Prices'!$A$5:$A$304&lt;&gt;A220)*1000000))&gt;=1000000,"",SUMPRODUCT(MIN(('Store Prices'!$A$5:$A$304=A220)*'Store Prices'!$G$5:$G$304+('Store Prices'!$A$5:$A$304&lt;&gt;A220)*1000000))))</f>
        <v>0</v>
      </c>
      <c r="N220" s="8">
        <f>IF(OR(A220="",G220="",M220=""),"",G220-M220)</f>
        <v>0</v>
      </c>
      <c r="O220" s="8">
        <f>IF(OR(A220="",G220=""),"",IF(G220=M220,"Best",""))</f>
        <v>0</v>
      </c>
      <c r="P220" s="8">
        <f>IF(OR(A220="",G220=""),"",COUNTIFS('Store Prices'!$A$5:$A$304,A220,'Store Prices'!$G$5:$G$304,"&lt;"&amp;G220)+1)</f>
        <v>0</v>
      </c>
      <c r="Q220" s="25"/>
    </row>
    <row r="221" spans="1:17">
      <c r="A221" s="7"/>
      <c r="B221" s="27"/>
      <c r="C221" s="8">
        <f>IF(A221="","",IFERROR(INDEX(Ingredients!$B$5:$B$304,MATCH(A221,Ingredients!$A$5:$A$304,0)),""))</f>
        <v>0</v>
      </c>
      <c r="D221" s="27"/>
      <c r="E221" s="28"/>
      <c r="F221" s="26"/>
      <c r="G221" s="8">
        <f>IF(OR(E221="",F221="",F221=0),"",E221/F221)</f>
        <v>0</v>
      </c>
      <c r="H221" s="30"/>
      <c r="I221" s="27"/>
      <c r="J221" s="28"/>
      <c r="K221" s="8">
        <f>IF(OR(E221="",J221=""),"",J221-E221)</f>
        <v>0</v>
      </c>
      <c r="L221" s="8">
        <f>IF(OR(K221="",J221="",J221=0),"",K221/J221)</f>
        <v>0</v>
      </c>
      <c r="M221" s="8">
        <f>IF(A221="","",IF(SUMPRODUCT(MIN(('Store Prices'!$A$5:$A$304=A221)*'Store Prices'!$G$5:$G$304+('Store Prices'!$A$5:$A$304&lt;&gt;A221)*1000000))&gt;=1000000,"",SUMPRODUCT(MIN(('Store Prices'!$A$5:$A$304=A221)*'Store Prices'!$G$5:$G$304+('Store Prices'!$A$5:$A$304&lt;&gt;A221)*1000000))))</f>
        <v>0</v>
      </c>
      <c r="N221" s="8">
        <f>IF(OR(A221="",G221="",M221=""),"",G221-M221)</f>
        <v>0</v>
      </c>
      <c r="O221" s="8">
        <f>IF(OR(A221="",G221=""),"",IF(G221=M221,"Best",""))</f>
        <v>0</v>
      </c>
      <c r="P221" s="8">
        <f>IF(OR(A221="",G221=""),"",COUNTIFS('Store Prices'!$A$5:$A$304,A221,'Store Prices'!$G$5:$G$304,"&lt;"&amp;G221)+1)</f>
        <v>0</v>
      </c>
      <c r="Q221" s="25"/>
    </row>
    <row r="222" spans="1:17">
      <c r="A222" s="7"/>
      <c r="B222" s="27"/>
      <c r="C222" s="8">
        <f>IF(A222="","",IFERROR(INDEX(Ingredients!$B$5:$B$304,MATCH(A222,Ingredients!$A$5:$A$304,0)),""))</f>
        <v>0</v>
      </c>
      <c r="D222" s="27"/>
      <c r="E222" s="28"/>
      <c r="F222" s="26"/>
      <c r="G222" s="8">
        <f>IF(OR(E222="",F222="",F222=0),"",E222/F222)</f>
        <v>0</v>
      </c>
      <c r="H222" s="30"/>
      <c r="I222" s="27"/>
      <c r="J222" s="28"/>
      <c r="K222" s="8">
        <f>IF(OR(E222="",J222=""),"",J222-E222)</f>
        <v>0</v>
      </c>
      <c r="L222" s="8">
        <f>IF(OR(K222="",J222="",J222=0),"",K222/J222)</f>
        <v>0</v>
      </c>
      <c r="M222" s="8">
        <f>IF(A222="","",IF(SUMPRODUCT(MIN(('Store Prices'!$A$5:$A$304=A222)*'Store Prices'!$G$5:$G$304+('Store Prices'!$A$5:$A$304&lt;&gt;A222)*1000000))&gt;=1000000,"",SUMPRODUCT(MIN(('Store Prices'!$A$5:$A$304=A222)*'Store Prices'!$G$5:$G$304+('Store Prices'!$A$5:$A$304&lt;&gt;A222)*1000000))))</f>
        <v>0</v>
      </c>
      <c r="N222" s="8">
        <f>IF(OR(A222="",G222="",M222=""),"",G222-M222)</f>
        <v>0</v>
      </c>
      <c r="O222" s="8">
        <f>IF(OR(A222="",G222=""),"",IF(G222=M222,"Best",""))</f>
        <v>0</v>
      </c>
      <c r="P222" s="8">
        <f>IF(OR(A222="",G222=""),"",COUNTIFS('Store Prices'!$A$5:$A$304,A222,'Store Prices'!$G$5:$G$304,"&lt;"&amp;G222)+1)</f>
        <v>0</v>
      </c>
      <c r="Q222" s="25"/>
    </row>
    <row r="223" spans="1:17">
      <c r="A223" s="7"/>
      <c r="B223" s="27"/>
      <c r="C223" s="8">
        <f>IF(A223="","",IFERROR(INDEX(Ingredients!$B$5:$B$304,MATCH(A223,Ingredients!$A$5:$A$304,0)),""))</f>
        <v>0</v>
      </c>
      <c r="D223" s="27"/>
      <c r="E223" s="28"/>
      <c r="F223" s="26"/>
      <c r="G223" s="8">
        <f>IF(OR(E223="",F223="",F223=0),"",E223/F223)</f>
        <v>0</v>
      </c>
      <c r="H223" s="30"/>
      <c r="I223" s="27"/>
      <c r="J223" s="28"/>
      <c r="K223" s="8">
        <f>IF(OR(E223="",J223=""),"",J223-E223)</f>
        <v>0</v>
      </c>
      <c r="L223" s="8">
        <f>IF(OR(K223="",J223="",J223=0),"",K223/J223)</f>
        <v>0</v>
      </c>
      <c r="M223" s="8">
        <f>IF(A223="","",IF(SUMPRODUCT(MIN(('Store Prices'!$A$5:$A$304=A223)*'Store Prices'!$G$5:$G$304+('Store Prices'!$A$5:$A$304&lt;&gt;A223)*1000000))&gt;=1000000,"",SUMPRODUCT(MIN(('Store Prices'!$A$5:$A$304=A223)*'Store Prices'!$G$5:$G$304+('Store Prices'!$A$5:$A$304&lt;&gt;A223)*1000000))))</f>
        <v>0</v>
      </c>
      <c r="N223" s="8">
        <f>IF(OR(A223="",G223="",M223=""),"",G223-M223)</f>
        <v>0</v>
      </c>
      <c r="O223" s="8">
        <f>IF(OR(A223="",G223=""),"",IF(G223=M223,"Best",""))</f>
        <v>0</v>
      </c>
      <c r="P223" s="8">
        <f>IF(OR(A223="",G223=""),"",COUNTIFS('Store Prices'!$A$5:$A$304,A223,'Store Prices'!$G$5:$G$304,"&lt;"&amp;G223)+1)</f>
        <v>0</v>
      </c>
      <c r="Q223" s="25"/>
    </row>
    <row r="224" spans="1:17">
      <c r="A224" s="7"/>
      <c r="B224" s="27"/>
      <c r="C224" s="8">
        <f>IF(A224="","",IFERROR(INDEX(Ingredients!$B$5:$B$304,MATCH(A224,Ingredients!$A$5:$A$304,0)),""))</f>
        <v>0</v>
      </c>
      <c r="D224" s="27"/>
      <c r="E224" s="28"/>
      <c r="F224" s="26"/>
      <c r="G224" s="8">
        <f>IF(OR(E224="",F224="",F224=0),"",E224/F224)</f>
        <v>0</v>
      </c>
      <c r="H224" s="30"/>
      <c r="I224" s="27"/>
      <c r="J224" s="28"/>
      <c r="K224" s="8">
        <f>IF(OR(E224="",J224=""),"",J224-E224)</f>
        <v>0</v>
      </c>
      <c r="L224" s="8">
        <f>IF(OR(K224="",J224="",J224=0),"",K224/J224)</f>
        <v>0</v>
      </c>
      <c r="M224" s="8">
        <f>IF(A224="","",IF(SUMPRODUCT(MIN(('Store Prices'!$A$5:$A$304=A224)*'Store Prices'!$G$5:$G$304+('Store Prices'!$A$5:$A$304&lt;&gt;A224)*1000000))&gt;=1000000,"",SUMPRODUCT(MIN(('Store Prices'!$A$5:$A$304=A224)*'Store Prices'!$G$5:$G$304+('Store Prices'!$A$5:$A$304&lt;&gt;A224)*1000000))))</f>
        <v>0</v>
      </c>
      <c r="N224" s="8">
        <f>IF(OR(A224="",G224="",M224=""),"",G224-M224)</f>
        <v>0</v>
      </c>
      <c r="O224" s="8">
        <f>IF(OR(A224="",G224=""),"",IF(G224=M224,"Best",""))</f>
        <v>0</v>
      </c>
      <c r="P224" s="8">
        <f>IF(OR(A224="",G224=""),"",COUNTIFS('Store Prices'!$A$5:$A$304,A224,'Store Prices'!$G$5:$G$304,"&lt;"&amp;G224)+1)</f>
        <v>0</v>
      </c>
      <c r="Q224" s="25"/>
    </row>
    <row r="225" spans="1:17">
      <c r="A225" s="7"/>
      <c r="B225" s="27"/>
      <c r="C225" s="8">
        <f>IF(A225="","",IFERROR(INDEX(Ingredients!$B$5:$B$304,MATCH(A225,Ingredients!$A$5:$A$304,0)),""))</f>
        <v>0</v>
      </c>
      <c r="D225" s="27"/>
      <c r="E225" s="28"/>
      <c r="F225" s="26"/>
      <c r="G225" s="8">
        <f>IF(OR(E225="",F225="",F225=0),"",E225/F225)</f>
        <v>0</v>
      </c>
      <c r="H225" s="30"/>
      <c r="I225" s="27"/>
      <c r="J225" s="28"/>
      <c r="K225" s="8">
        <f>IF(OR(E225="",J225=""),"",J225-E225)</f>
        <v>0</v>
      </c>
      <c r="L225" s="8">
        <f>IF(OR(K225="",J225="",J225=0),"",K225/J225)</f>
        <v>0</v>
      </c>
      <c r="M225" s="8">
        <f>IF(A225="","",IF(SUMPRODUCT(MIN(('Store Prices'!$A$5:$A$304=A225)*'Store Prices'!$G$5:$G$304+('Store Prices'!$A$5:$A$304&lt;&gt;A225)*1000000))&gt;=1000000,"",SUMPRODUCT(MIN(('Store Prices'!$A$5:$A$304=A225)*'Store Prices'!$G$5:$G$304+('Store Prices'!$A$5:$A$304&lt;&gt;A225)*1000000))))</f>
        <v>0</v>
      </c>
      <c r="N225" s="8">
        <f>IF(OR(A225="",G225="",M225=""),"",G225-M225)</f>
        <v>0</v>
      </c>
      <c r="O225" s="8">
        <f>IF(OR(A225="",G225=""),"",IF(G225=M225,"Best",""))</f>
        <v>0</v>
      </c>
      <c r="P225" s="8">
        <f>IF(OR(A225="",G225=""),"",COUNTIFS('Store Prices'!$A$5:$A$304,A225,'Store Prices'!$G$5:$G$304,"&lt;"&amp;G225)+1)</f>
        <v>0</v>
      </c>
      <c r="Q225" s="25"/>
    </row>
    <row r="226" spans="1:17">
      <c r="A226" s="7"/>
      <c r="B226" s="27"/>
      <c r="C226" s="8">
        <f>IF(A226="","",IFERROR(INDEX(Ingredients!$B$5:$B$304,MATCH(A226,Ingredients!$A$5:$A$304,0)),""))</f>
        <v>0</v>
      </c>
      <c r="D226" s="27"/>
      <c r="E226" s="28"/>
      <c r="F226" s="26"/>
      <c r="G226" s="8">
        <f>IF(OR(E226="",F226="",F226=0),"",E226/F226)</f>
        <v>0</v>
      </c>
      <c r="H226" s="30"/>
      <c r="I226" s="27"/>
      <c r="J226" s="28"/>
      <c r="K226" s="8">
        <f>IF(OR(E226="",J226=""),"",J226-E226)</f>
        <v>0</v>
      </c>
      <c r="L226" s="8">
        <f>IF(OR(K226="",J226="",J226=0),"",K226/J226)</f>
        <v>0</v>
      </c>
      <c r="M226" s="8">
        <f>IF(A226="","",IF(SUMPRODUCT(MIN(('Store Prices'!$A$5:$A$304=A226)*'Store Prices'!$G$5:$G$304+('Store Prices'!$A$5:$A$304&lt;&gt;A226)*1000000))&gt;=1000000,"",SUMPRODUCT(MIN(('Store Prices'!$A$5:$A$304=A226)*'Store Prices'!$G$5:$G$304+('Store Prices'!$A$5:$A$304&lt;&gt;A226)*1000000))))</f>
        <v>0</v>
      </c>
      <c r="N226" s="8">
        <f>IF(OR(A226="",G226="",M226=""),"",G226-M226)</f>
        <v>0</v>
      </c>
      <c r="O226" s="8">
        <f>IF(OR(A226="",G226=""),"",IF(G226=M226,"Best",""))</f>
        <v>0</v>
      </c>
      <c r="P226" s="8">
        <f>IF(OR(A226="",G226=""),"",COUNTIFS('Store Prices'!$A$5:$A$304,A226,'Store Prices'!$G$5:$G$304,"&lt;"&amp;G226)+1)</f>
        <v>0</v>
      </c>
      <c r="Q226" s="25"/>
    </row>
    <row r="227" spans="1:17">
      <c r="A227" s="7"/>
      <c r="B227" s="27"/>
      <c r="C227" s="8">
        <f>IF(A227="","",IFERROR(INDEX(Ingredients!$B$5:$B$304,MATCH(A227,Ingredients!$A$5:$A$304,0)),""))</f>
        <v>0</v>
      </c>
      <c r="D227" s="27"/>
      <c r="E227" s="28"/>
      <c r="F227" s="26"/>
      <c r="G227" s="8">
        <f>IF(OR(E227="",F227="",F227=0),"",E227/F227)</f>
        <v>0</v>
      </c>
      <c r="H227" s="30"/>
      <c r="I227" s="27"/>
      <c r="J227" s="28"/>
      <c r="K227" s="8">
        <f>IF(OR(E227="",J227=""),"",J227-E227)</f>
        <v>0</v>
      </c>
      <c r="L227" s="8">
        <f>IF(OR(K227="",J227="",J227=0),"",K227/J227)</f>
        <v>0</v>
      </c>
      <c r="M227" s="8">
        <f>IF(A227="","",IF(SUMPRODUCT(MIN(('Store Prices'!$A$5:$A$304=A227)*'Store Prices'!$G$5:$G$304+('Store Prices'!$A$5:$A$304&lt;&gt;A227)*1000000))&gt;=1000000,"",SUMPRODUCT(MIN(('Store Prices'!$A$5:$A$304=A227)*'Store Prices'!$G$5:$G$304+('Store Prices'!$A$5:$A$304&lt;&gt;A227)*1000000))))</f>
        <v>0</v>
      </c>
      <c r="N227" s="8">
        <f>IF(OR(A227="",G227="",M227=""),"",G227-M227)</f>
        <v>0</v>
      </c>
      <c r="O227" s="8">
        <f>IF(OR(A227="",G227=""),"",IF(G227=M227,"Best",""))</f>
        <v>0</v>
      </c>
      <c r="P227" s="8">
        <f>IF(OR(A227="",G227=""),"",COUNTIFS('Store Prices'!$A$5:$A$304,A227,'Store Prices'!$G$5:$G$304,"&lt;"&amp;G227)+1)</f>
        <v>0</v>
      </c>
      <c r="Q227" s="25"/>
    </row>
    <row r="228" spans="1:17">
      <c r="A228" s="7"/>
      <c r="B228" s="27"/>
      <c r="C228" s="8">
        <f>IF(A228="","",IFERROR(INDEX(Ingredients!$B$5:$B$304,MATCH(A228,Ingredients!$A$5:$A$304,0)),""))</f>
        <v>0</v>
      </c>
      <c r="D228" s="27"/>
      <c r="E228" s="28"/>
      <c r="F228" s="26"/>
      <c r="G228" s="8">
        <f>IF(OR(E228="",F228="",F228=0),"",E228/F228)</f>
        <v>0</v>
      </c>
      <c r="H228" s="30"/>
      <c r="I228" s="27"/>
      <c r="J228" s="28"/>
      <c r="K228" s="8">
        <f>IF(OR(E228="",J228=""),"",J228-E228)</f>
        <v>0</v>
      </c>
      <c r="L228" s="8">
        <f>IF(OR(K228="",J228="",J228=0),"",K228/J228)</f>
        <v>0</v>
      </c>
      <c r="M228" s="8">
        <f>IF(A228="","",IF(SUMPRODUCT(MIN(('Store Prices'!$A$5:$A$304=A228)*'Store Prices'!$G$5:$G$304+('Store Prices'!$A$5:$A$304&lt;&gt;A228)*1000000))&gt;=1000000,"",SUMPRODUCT(MIN(('Store Prices'!$A$5:$A$304=A228)*'Store Prices'!$G$5:$G$304+('Store Prices'!$A$5:$A$304&lt;&gt;A228)*1000000))))</f>
        <v>0</v>
      </c>
      <c r="N228" s="8">
        <f>IF(OR(A228="",G228="",M228=""),"",G228-M228)</f>
        <v>0</v>
      </c>
      <c r="O228" s="8">
        <f>IF(OR(A228="",G228=""),"",IF(G228=M228,"Best",""))</f>
        <v>0</v>
      </c>
      <c r="P228" s="8">
        <f>IF(OR(A228="",G228=""),"",COUNTIFS('Store Prices'!$A$5:$A$304,A228,'Store Prices'!$G$5:$G$304,"&lt;"&amp;G228)+1)</f>
        <v>0</v>
      </c>
      <c r="Q228" s="25"/>
    </row>
    <row r="229" spans="1:17">
      <c r="A229" s="7"/>
      <c r="B229" s="27"/>
      <c r="C229" s="8">
        <f>IF(A229="","",IFERROR(INDEX(Ingredients!$B$5:$B$304,MATCH(A229,Ingredients!$A$5:$A$304,0)),""))</f>
        <v>0</v>
      </c>
      <c r="D229" s="27"/>
      <c r="E229" s="28"/>
      <c r="F229" s="26"/>
      <c r="G229" s="8">
        <f>IF(OR(E229="",F229="",F229=0),"",E229/F229)</f>
        <v>0</v>
      </c>
      <c r="H229" s="30"/>
      <c r="I229" s="27"/>
      <c r="J229" s="28"/>
      <c r="K229" s="8">
        <f>IF(OR(E229="",J229=""),"",J229-E229)</f>
        <v>0</v>
      </c>
      <c r="L229" s="8">
        <f>IF(OR(K229="",J229="",J229=0),"",K229/J229)</f>
        <v>0</v>
      </c>
      <c r="M229" s="8">
        <f>IF(A229="","",IF(SUMPRODUCT(MIN(('Store Prices'!$A$5:$A$304=A229)*'Store Prices'!$G$5:$G$304+('Store Prices'!$A$5:$A$304&lt;&gt;A229)*1000000))&gt;=1000000,"",SUMPRODUCT(MIN(('Store Prices'!$A$5:$A$304=A229)*'Store Prices'!$G$5:$G$304+('Store Prices'!$A$5:$A$304&lt;&gt;A229)*1000000))))</f>
        <v>0</v>
      </c>
      <c r="N229" s="8">
        <f>IF(OR(A229="",G229="",M229=""),"",G229-M229)</f>
        <v>0</v>
      </c>
      <c r="O229" s="8">
        <f>IF(OR(A229="",G229=""),"",IF(G229=M229,"Best",""))</f>
        <v>0</v>
      </c>
      <c r="P229" s="8">
        <f>IF(OR(A229="",G229=""),"",COUNTIFS('Store Prices'!$A$5:$A$304,A229,'Store Prices'!$G$5:$G$304,"&lt;"&amp;G229)+1)</f>
        <v>0</v>
      </c>
      <c r="Q229" s="25"/>
    </row>
    <row r="230" spans="1:17">
      <c r="A230" s="7"/>
      <c r="B230" s="27"/>
      <c r="C230" s="8">
        <f>IF(A230="","",IFERROR(INDEX(Ingredients!$B$5:$B$304,MATCH(A230,Ingredients!$A$5:$A$304,0)),""))</f>
        <v>0</v>
      </c>
      <c r="D230" s="27"/>
      <c r="E230" s="28"/>
      <c r="F230" s="26"/>
      <c r="G230" s="8">
        <f>IF(OR(E230="",F230="",F230=0),"",E230/F230)</f>
        <v>0</v>
      </c>
      <c r="H230" s="30"/>
      <c r="I230" s="27"/>
      <c r="J230" s="28"/>
      <c r="K230" s="8">
        <f>IF(OR(E230="",J230=""),"",J230-E230)</f>
        <v>0</v>
      </c>
      <c r="L230" s="8">
        <f>IF(OR(K230="",J230="",J230=0),"",K230/J230)</f>
        <v>0</v>
      </c>
      <c r="M230" s="8">
        <f>IF(A230="","",IF(SUMPRODUCT(MIN(('Store Prices'!$A$5:$A$304=A230)*'Store Prices'!$G$5:$G$304+('Store Prices'!$A$5:$A$304&lt;&gt;A230)*1000000))&gt;=1000000,"",SUMPRODUCT(MIN(('Store Prices'!$A$5:$A$304=A230)*'Store Prices'!$G$5:$G$304+('Store Prices'!$A$5:$A$304&lt;&gt;A230)*1000000))))</f>
        <v>0</v>
      </c>
      <c r="N230" s="8">
        <f>IF(OR(A230="",G230="",M230=""),"",G230-M230)</f>
        <v>0</v>
      </c>
      <c r="O230" s="8">
        <f>IF(OR(A230="",G230=""),"",IF(G230=M230,"Best",""))</f>
        <v>0</v>
      </c>
      <c r="P230" s="8">
        <f>IF(OR(A230="",G230=""),"",COUNTIFS('Store Prices'!$A$5:$A$304,A230,'Store Prices'!$G$5:$G$304,"&lt;"&amp;G230)+1)</f>
        <v>0</v>
      </c>
      <c r="Q230" s="25"/>
    </row>
    <row r="231" spans="1:17">
      <c r="A231" s="7"/>
      <c r="B231" s="27"/>
      <c r="C231" s="8">
        <f>IF(A231="","",IFERROR(INDEX(Ingredients!$B$5:$B$304,MATCH(A231,Ingredients!$A$5:$A$304,0)),""))</f>
        <v>0</v>
      </c>
      <c r="D231" s="27"/>
      <c r="E231" s="28"/>
      <c r="F231" s="26"/>
      <c r="G231" s="8">
        <f>IF(OR(E231="",F231="",F231=0),"",E231/F231)</f>
        <v>0</v>
      </c>
      <c r="H231" s="30"/>
      <c r="I231" s="27"/>
      <c r="J231" s="28"/>
      <c r="K231" s="8">
        <f>IF(OR(E231="",J231=""),"",J231-E231)</f>
        <v>0</v>
      </c>
      <c r="L231" s="8">
        <f>IF(OR(K231="",J231="",J231=0),"",K231/J231)</f>
        <v>0</v>
      </c>
      <c r="M231" s="8">
        <f>IF(A231="","",IF(SUMPRODUCT(MIN(('Store Prices'!$A$5:$A$304=A231)*'Store Prices'!$G$5:$G$304+('Store Prices'!$A$5:$A$304&lt;&gt;A231)*1000000))&gt;=1000000,"",SUMPRODUCT(MIN(('Store Prices'!$A$5:$A$304=A231)*'Store Prices'!$G$5:$G$304+('Store Prices'!$A$5:$A$304&lt;&gt;A231)*1000000))))</f>
        <v>0</v>
      </c>
      <c r="N231" s="8">
        <f>IF(OR(A231="",G231="",M231=""),"",G231-M231)</f>
        <v>0</v>
      </c>
      <c r="O231" s="8">
        <f>IF(OR(A231="",G231=""),"",IF(G231=M231,"Best",""))</f>
        <v>0</v>
      </c>
      <c r="P231" s="8">
        <f>IF(OR(A231="",G231=""),"",COUNTIFS('Store Prices'!$A$5:$A$304,A231,'Store Prices'!$G$5:$G$304,"&lt;"&amp;G231)+1)</f>
        <v>0</v>
      </c>
      <c r="Q231" s="25"/>
    </row>
    <row r="232" spans="1:17">
      <c r="A232" s="7"/>
      <c r="B232" s="27"/>
      <c r="C232" s="8">
        <f>IF(A232="","",IFERROR(INDEX(Ingredients!$B$5:$B$304,MATCH(A232,Ingredients!$A$5:$A$304,0)),""))</f>
        <v>0</v>
      </c>
      <c r="D232" s="27"/>
      <c r="E232" s="28"/>
      <c r="F232" s="26"/>
      <c r="G232" s="8">
        <f>IF(OR(E232="",F232="",F232=0),"",E232/F232)</f>
        <v>0</v>
      </c>
      <c r="H232" s="30"/>
      <c r="I232" s="27"/>
      <c r="J232" s="28"/>
      <c r="K232" s="8">
        <f>IF(OR(E232="",J232=""),"",J232-E232)</f>
        <v>0</v>
      </c>
      <c r="L232" s="8">
        <f>IF(OR(K232="",J232="",J232=0),"",K232/J232)</f>
        <v>0</v>
      </c>
      <c r="M232" s="8">
        <f>IF(A232="","",IF(SUMPRODUCT(MIN(('Store Prices'!$A$5:$A$304=A232)*'Store Prices'!$G$5:$G$304+('Store Prices'!$A$5:$A$304&lt;&gt;A232)*1000000))&gt;=1000000,"",SUMPRODUCT(MIN(('Store Prices'!$A$5:$A$304=A232)*'Store Prices'!$G$5:$G$304+('Store Prices'!$A$5:$A$304&lt;&gt;A232)*1000000))))</f>
        <v>0</v>
      </c>
      <c r="N232" s="8">
        <f>IF(OR(A232="",G232="",M232=""),"",G232-M232)</f>
        <v>0</v>
      </c>
      <c r="O232" s="8">
        <f>IF(OR(A232="",G232=""),"",IF(G232=M232,"Best",""))</f>
        <v>0</v>
      </c>
      <c r="P232" s="8">
        <f>IF(OR(A232="",G232=""),"",COUNTIFS('Store Prices'!$A$5:$A$304,A232,'Store Prices'!$G$5:$G$304,"&lt;"&amp;G232)+1)</f>
        <v>0</v>
      </c>
      <c r="Q232" s="25"/>
    </row>
    <row r="233" spans="1:17">
      <c r="A233" s="7"/>
      <c r="B233" s="27"/>
      <c r="C233" s="8">
        <f>IF(A233="","",IFERROR(INDEX(Ingredients!$B$5:$B$304,MATCH(A233,Ingredients!$A$5:$A$304,0)),""))</f>
        <v>0</v>
      </c>
      <c r="D233" s="27"/>
      <c r="E233" s="28"/>
      <c r="F233" s="26"/>
      <c r="G233" s="8">
        <f>IF(OR(E233="",F233="",F233=0),"",E233/F233)</f>
        <v>0</v>
      </c>
      <c r="H233" s="30"/>
      <c r="I233" s="27"/>
      <c r="J233" s="28"/>
      <c r="K233" s="8">
        <f>IF(OR(E233="",J233=""),"",J233-E233)</f>
        <v>0</v>
      </c>
      <c r="L233" s="8">
        <f>IF(OR(K233="",J233="",J233=0),"",K233/J233)</f>
        <v>0</v>
      </c>
      <c r="M233" s="8">
        <f>IF(A233="","",IF(SUMPRODUCT(MIN(('Store Prices'!$A$5:$A$304=A233)*'Store Prices'!$G$5:$G$304+('Store Prices'!$A$5:$A$304&lt;&gt;A233)*1000000))&gt;=1000000,"",SUMPRODUCT(MIN(('Store Prices'!$A$5:$A$304=A233)*'Store Prices'!$G$5:$G$304+('Store Prices'!$A$5:$A$304&lt;&gt;A233)*1000000))))</f>
        <v>0</v>
      </c>
      <c r="N233" s="8">
        <f>IF(OR(A233="",G233="",M233=""),"",G233-M233)</f>
        <v>0</v>
      </c>
      <c r="O233" s="8">
        <f>IF(OR(A233="",G233=""),"",IF(G233=M233,"Best",""))</f>
        <v>0</v>
      </c>
      <c r="P233" s="8">
        <f>IF(OR(A233="",G233=""),"",COUNTIFS('Store Prices'!$A$5:$A$304,A233,'Store Prices'!$G$5:$G$304,"&lt;"&amp;G233)+1)</f>
        <v>0</v>
      </c>
      <c r="Q233" s="25"/>
    </row>
    <row r="234" spans="1:17">
      <c r="A234" s="7"/>
      <c r="B234" s="27"/>
      <c r="C234" s="8">
        <f>IF(A234="","",IFERROR(INDEX(Ingredients!$B$5:$B$304,MATCH(A234,Ingredients!$A$5:$A$304,0)),""))</f>
        <v>0</v>
      </c>
      <c r="D234" s="27"/>
      <c r="E234" s="28"/>
      <c r="F234" s="26"/>
      <c r="G234" s="8">
        <f>IF(OR(E234="",F234="",F234=0),"",E234/F234)</f>
        <v>0</v>
      </c>
      <c r="H234" s="30"/>
      <c r="I234" s="27"/>
      <c r="J234" s="28"/>
      <c r="K234" s="8">
        <f>IF(OR(E234="",J234=""),"",J234-E234)</f>
        <v>0</v>
      </c>
      <c r="L234" s="8">
        <f>IF(OR(K234="",J234="",J234=0),"",K234/J234)</f>
        <v>0</v>
      </c>
      <c r="M234" s="8">
        <f>IF(A234="","",IF(SUMPRODUCT(MIN(('Store Prices'!$A$5:$A$304=A234)*'Store Prices'!$G$5:$G$304+('Store Prices'!$A$5:$A$304&lt;&gt;A234)*1000000))&gt;=1000000,"",SUMPRODUCT(MIN(('Store Prices'!$A$5:$A$304=A234)*'Store Prices'!$G$5:$G$304+('Store Prices'!$A$5:$A$304&lt;&gt;A234)*1000000))))</f>
        <v>0</v>
      </c>
      <c r="N234" s="8">
        <f>IF(OR(A234="",G234="",M234=""),"",G234-M234)</f>
        <v>0</v>
      </c>
      <c r="O234" s="8">
        <f>IF(OR(A234="",G234=""),"",IF(G234=M234,"Best",""))</f>
        <v>0</v>
      </c>
      <c r="P234" s="8">
        <f>IF(OR(A234="",G234=""),"",COUNTIFS('Store Prices'!$A$5:$A$304,A234,'Store Prices'!$G$5:$G$304,"&lt;"&amp;G234)+1)</f>
        <v>0</v>
      </c>
      <c r="Q234" s="25"/>
    </row>
    <row r="235" spans="1:17">
      <c r="A235" s="7"/>
      <c r="B235" s="27"/>
      <c r="C235" s="8">
        <f>IF(A235="","",IFERROR(INDEX(Ingredients!$B$5:$B$304,MATCH(A235,Ingredients!$A$5:$A$304,0)),""))</f>
        <v>0</v>
      </c>
      <c r="D235" s="27"/>
      <c r="E235" s="28"/>
      <c r="F235" s="26"/>
      <c r="G235" s="8">
        <f>IF(OR(E235="",F235="",F235=0),"",E235/F235)</f>
        <v>0</v>
      </c>
      <c r="H235" s="30"/>
      <c r="I235" s="27"/>
      <c r="J235" s="28"/>
      <c r="K235" s="8">
        <f>IF(OR(E235="",J235=""),"",J235-E235)</f>
        <v>0</v>
      </c>
      <c r="L235" s="8">
        <f>IF(OR(K235="",J235="",J235=0),"",K235/J235)</f>
        <v>0</v>
      </c>
      <c r="M235" s="8">
        <f>IF(A235="","",IF(SUMPRODUCT(MIN(('Store Prices'!$A$5:$A$304=A235)*'Store Prices'!$G$5:$G$304+('Store Prices'!$A$5:$A$304&lt;&gt;A235)*1000000))&gt;=1000000,"",SUMPRODUCT(MIN(('Store Prices'!$A$5:$A$304=A235)*'Store Prices'!$G$5:$G$304+('Store Prices'!$A$5:$A$304&lt;&gt;A235)*1000000))))</f>
        <v>0</v>
      </c>
      <c r="N235" s="8">
        <f>IF(OR(A235="",G235="",M235=""),"",G235-M235)</f>
        <v>0</v>
      </c>
      <c r="O235" s="8">
        <f>IF(OR(A235="",G235=""),"",IF(G235=M235,"Best",""))</f>
        <v>0</v>
      </c>
      <c r="P235" s="8">
        <f>IF(OR(A235="",G235=""),"",COUNTIFS('Store Prices'!$A$5:$A$304,A235,'Store Prices'!$G$5:$G$304,"&lt;"&amp;G235)+1)</f>
        <v>0</v>
      </c>
      <c r="Q235" s="25"/>
    </row>
    <row r="236" spans="1:17">
      <c r="A236" s="7"/>
      <c r="B236" s="27"/>
      <c r="C236" s="8">
        <f>IF(A236="","",IFERROR(INDEX(Ingredients!$B$5:$B$304,MATCH(A236,Ingredients!$A$5:$A$304,0)),""))</f>
        <v>0</v>
      </c>
      <c r="D236" s="27"/>
      <c r="E236" s="28"/>
      <c r="F236" s="26"/>
      <c r="G236" s="8">
        <f>IF(OR(E236="",F236="",F236=0),"",E236/F236)</f>
        <v>0</v>
      </c>
      <c r="H236" s="30"/>
      <c r="I236" s="27"/>
      <c r="J236" s="28"/>
      <c r="K236" s="8">
        <f>IF(OR(E236="",J236=""),"",J236-E236)</f>
        <v>0</v>
      </c>
      <c r="L236" s="8">
        <f>IF(OR(K236="",J236="",J236=0),"",K236/J236)</f>
        <v>0</v>
      </c>
      <c r="M236" s="8">
        <f>IF(A236="","",IF(SUMPRODUCT(MIN(('Store Prices'!$A$5:$A$304=A236)*'Store Prices'!$G$5:$G$304+('Store Prices'!$A$5:$A$304&lt;&gt;A236)*1000000))&gt;=1000000,"",SUMPRODUCT(MIN(('Store Prices'!$A$5:$A$304=A236)*'Store Prices'!$G$5:$G$304+('Store Prices'!$A$5:$A$304&lt;&gt;A236)*1000000))))</f>
        <v>0</v>
      </c>
      <c r="N236" s="8">
        <f>IF(OR(A236="",G236="",M236=""),"",G236-M236)</f>
        <v>0</v>
      </c>
      <c r="O236" s="8">
        <f>IF(OR(A236="",G236=""),"",IF(G236=M236,"Best",""))</f>
        <v>0</v>
      </c>
      <c r="P236" s="8">
        <f>IF(OR(A236="",G236=""),"",COUNTIFS('Store Prices'!$A$5:$A$304,A236,'Store Prices'!$G$5:$G$304,"&lt;"&amp;G236)+1)</f>
        <v>0</v>
      </c>
      <c r="Q236" s="25"/>
    </row>
    <row r="237" spans="1:17">
      <c r="A237" s="7"/>
      <c r="B237" s="27"/>
      <c r="C237" s="8">
        <f>IF(A237="","",IFERROR(INDEX(Ingredients!$B$5:$B$304,MATCH(A237,Ingredients!$A$5:$A$304,0)),""))</f>
        <v>0</v>
      </c>
      <c r="D237" s="27"/>
      <c r="E237" s="28"/>
      <c r="F237" s="26"/>
      <c r="G237" s="8">
        <f>IF(OR(E237="",F237="",F237=0),"",E237/F237)</f>
        <v>0</v>
      </c>
      <c r="H237" s="30"/>
      <c r="I237" s="27"/>
      <c r="J237" s="28"/>
      <c r="K237" s="8">
        <f>IF(OR(E237="",J237=""),"",J237-E237)</f>
        <v>0</v>
      </c>
      <c r="L237" s="8">
        <f>IF(OR(K237="",J237="",J237=0),"",K237/J237)</f>
        <v>0</v>
      </c>
      <c r="M237" s="8">
        <f>IF(A237="","",IF(SUMPRODUCT(MIN(('Store Prices'!$A$5:$A$304=A237)*'Store Prices'!$G$5:$G$304+('Store Prices'!$A$5:$A$304&lt;&gt;A237)*1000000))&gt;=1000000,"",SUMPRODUCT(MIN(('Store Prices'!$A$5:$A$304=A237)*'Store Prices'!$G$5:$G$304+('Store Prices'!$A$5:$A$304&lt;&gt;A237)*1000000))))</f>
        <v>0</v>
      </c>
      <c r="N237" s="8">
        <f>IF(OR(A237="",G237="",M237=""),"",G237-M237)</f>
        <v>0</v>
      </c>
      <c r="O237" s="8">
        <f>IF(OR(A237="",G237=""),"",IF(G237=M237,"Best",""))</f>
        <v>0</v>
      </c>
      <c r="P237" s="8">
        <f>IF(OR(A237="",G237=""),"",COUNTIFS('Store Prices'!$A$5:$A$304,A237,'Store Prices'!$G$5:$G$304,"&lt;"&amp;G237)+1)</f>
        <v>0</v>
      </c>
      <c r="Q237" s="25"/>
    </row>
    <row r="238" spans="1:17">
      <c r="A238" s="7"/>
      <c r="B238" s="27"/>
      <c r="C238" s="8">
        <f>IF(A238="","",IFERROR(INDEX(Ingredients!$B$5:$B$304,MATCH(A238,Ingredients!$A$5:$A$304,0)),""))</f>
        <v>0</v>
      </c>
      <c r="D238" s="27"/>
      <c r="E238" s="28"/>
      <c r="F238" s="26"/>
      <c r="G238" s="8">
        <f>IF(OR(E238="",F238="",F238=0),"",E238/F238)</f>
        <v>0</v>
      </c>
      <c r="H238" s="30"/>
      <c r="I238" s="27"/>
      <c r="J238" s="28"/>
      <c r="K238" s="8">
        <f>IF(OR(E238="",J238=""),"",J238-E238)</f>
        <v>0</v>
      </c>
      <c r="L238" s="8">
        <f>IF(OR(K238="",J238="",J238=0),"",K238/J238)</f>
        <v>0</v>
      </c>
      <c r="M238" s="8">
        <f>IF(A238="","",IF(SUMPRODUCT(MIN(('Store Prices'!$A$5:$A$304=A238)*'Store Prices'!$G$5:$G$304+('Store Prices'!$A$5:$A$304&lt;&gt;A238)*1000000))&gt;=1000000,"",SUMPRODUCT(MIN(('Store Prices'!$A$5:$A$304=A238)*'Store Prices'!$G$5:$G$304+('Store Prices'!$A$5:$A$304&lt;&gt;A238)*1000000))))</f>
        <v>0</v>
      </c>
      <c r="N238" s="8">
        <f>IF(OR(A238="",G238="",M238=""),"",G238-M238)</f>
        <v>0</v>
      </c>
      <c r="O238" s="8">
        <f>IF(OR(A238="",G238=""),"",IF(G238=M238,"Best",""))</f>
        <v>0</v>
      </c>
      <c r="P238" s="8">
        <f>IF(OR(A238="",G238=""),"",COUNTIFS('Store Prices'!$A$5:$A$304,A238,'Store Prices'!$G$5:$G$304,"&lt;"&amp;G238)+1)</f>
        <v>0</v>
      </c>
      <c r="Q238" s="25"/>
    </row>
    <row r="239" spans="1:17">
      <c r="A239" s="7"/>
      <c r="B239" s="27"/>
      <c r="C239" s="8">
        <f>IF(A239="","",IFERROR(INDEX(Ingredients!$B$5:$B$304,MATCH(A239,Ingredients!$A$5:$A$304,0)),""))</f>
        <v>0</v>
      </c>
      <c r="D239" s="27"/>
      <c r="E239" s="28"/>
      <c r="F239" s="26"/>
      <c r="G239" s="8">
        <f>IF(OR(E239="",F239="",F239=0),"",E239/F239)</f>
        <v>0</v>
      </c>
      <c r="H239" s="30"/>
      <c r="I239" s="27"/>
      <c r="J239" s="28"/>
      <c r="K239" s="8">
        <f>IF(OR(E239="",J239=""),"",J239-E239)</f>
        <v>0</v>
      </c>
      <c r="L239" s="8">
        <f>IF(OR(K239="",J239="",J239=0),"",K239/J239)</f>
        <v>0</v>
      </c>
      <c r="M239" s="8">
        <f>IF(A239="","",IF(SUMPRODUCT(MIN(('Store Prices'!$A$5:$A$304=A239)*'Store Prices'!$G$5:$G$304+('Store Prices'!$A$5:$A$304&lt;&gt;A239)*1000000))&gt;=1000000,"",SUMPRODUCT(MIN(('Store Prices'!$A$5:$A$304=A239)*'Store Prices'!$G$5:$G$304+('Store Prices'!$A$5:$A$304&lt;&gt;A239)*1000000))))</f>
        <v>0</v>
      </c>
      <c r="N239" s="8">
        <f>IF(OR(A239="",G239="",M239=""),"",G239-M239)</f>
        <v>0</v>
      </c>
      <c r="O239" s="8">
        <f>IF(OR(A239="",G239=""),"",IF(G239=M239,"Best",""))</f>
        <v>0</v>
      </c>
      <c r="P239" s="8">
        <f>IF(OR(A239="",G239=""),"",COUNTIFS('Store Prices'!$A$5:$A$304,A239,'Store Prices'!$G$5:$G$304,"&lt;"&amp;G239)+1)</f>
        <v>0</v>
      </c>
      <c r="Q239" s="25"/>
    </row>
    <row r="240" spans="1:17">
      <c r="A240" s="7"/>
      <c r="B240" s="27"/>
      <c r="C240" s="8">
        <f>IF(A240="","",IFERROR(INDEX(Ingredients!$B$5:$B$304,MATCH(A240,Ingredients!$A$5:$A$304,0)),""))</f>
        <v>0</v>
      </c>
      <c r="D240" s="27"/>
      <c r="E240" s="28"/>
      <c r="F240" s="26"/>
      <c r="G240" s="8">
        <f>IF(OR(E240="",F240="",F240=0),"",E240/F240)</f>
        <v>0</v>
      </c>
      <c r="H240" s="30"/>
      <c r="I240" s="27"/>
      <c r="J240" s="28"/>
      <c r="K240" s="8">
        <f>IF(OR(E240="",J240=""),"",J240-E240)</f>
        <v>0</v>
      </c>
      <c r="L240" s="8">
        <f>IF(OR(K240="",J240="",J240=0),"",K240/J240)</f>
        <v>0</v>
      </c>
      <c r="M240" s="8">
        <f>IF(A240="","",IF(SUMPRODUCT(MIN(('Store Prices'!$A$5:$A$304=A240)*'Store Prices'!$G$5:$G$304+('Store Prices'!$A$5:$A$304&lt;&gt;A240)*1000000))&gt;=1000000,"",SUMPRODUCT(MIN(('Store Prices'!$A$5:$A$304=A240)*'Store Prices'!$G$5:$G$304+('Store Prices'!$A$5:$A$304&lt;&gt;A240)*1000000))))</f>
        <v>0</v>
      </c>
      <c r="N240" s="8">
        <f>IF(OR(A240="",G240="",M240=""),"",G240-M240)</f>
        <v>0</v>
      </c>
      <c r="O240" s="8">
        <f>IF(OR(A240="",G240=""),"",IF(G240=M240,"Best",""))</f>
        <v>0</v>
      </c>
      <c r="P240" s="8">
        <f>IF(OR(A240="",G240=""),"",COUNTIFS('Store Prices'!$A$5:$A$304,A240,'Store Prices'!$G$5:$G$304,"&lt;"&amp;G240)+1)</f>
        <v>0</v>
      </c>
      <c r="Q240" s="25"/>
    </row>
    <row r="241" spans="1:17">
      <c r="A241" s="7"/>
      <c r="B241" s="27"/>
      <c r="C241" s="8">
        <f>IF(A241="","",IFERROR(INDEX(Ingredients!$B$5:$B$304,MATCH(A241,Ingredients!$A$5:$A$304,0)),""))</f>
        <v>0</v>
      </c>
      <c r="D241" s="27"/>
      <c r="E241" s="28"/>
      <c r="F241" s="26"/>
      <c r="G241" s="8">
        <f>IF(OR(E241="",F241="",F241=0),"",E241/F241)</f>
        <v>0</v>
      </c>
      <c r="H241" s="30"/>
      <c r="I241" s="27"/>
      <c r="J241" s="28"/>
      <c r="K241" s="8">
        <f>IF(OR(E241="",J241=""),"",J241-E241)</f>
        <v>0</v>
      </c>
      <c r="L241" s="8">
        <f>IF(OR(K241="",J241="",J241=0),"",K241/J241)</f>
        <v>0</v>
      </c>
      <c r="M241" s="8">
        <f>IF(A241="","",IF(SUMPRODUCT(MIN(('Store Prices'!$A$5:$A$304=A241)*'Store Prices'!$G$5:$G$304+('Store Prices'!$A$5:$A$304&lt;&gt;A241)*1000000))&gt;=1000000,"",SUMPRODUCT(MIN(('Store Prices'!$A$5:$A$304=A241)*'Store Prices'!$G$5:$G$304+('Store Prices'!$A$5:$A$304&lt;&gt;A241)*1000000))))</f>
        <v>0</v>
      </c>
      <c r="N241" s="8">
        <f>IF(OR(A241="",G241="",M241=""),"",G241-M241)</f>
        <v>0</v>
      </c>
      <c r="O241" s="8">
        <f>IF(OR(A241="",G241=""),"",IF(G241=M241,"Best",""))</f>
        <v>0</v>
      </c>
      <c r="P241" s="8">
        <f>IF(OR(A241="",G241=""),"",COUNTIFS('Store Prices'!$A$5:$A$304,A241,'Store Prices'!$G$5:$G$304,"&lt;"&amp;G241)+1)</f>
        <v>0</v>
      </c>
      <c r="Q241" s="25"/>
    </row>
    <row r="242" spans="1:17">
      <c r="A242" s="7"/>
      <c r="B242" s="27"/>
      <c r="C242" s="8">
        <f>IF(A242="","",IFERROR(INDEX(Ingredients!$B$5:$B$304,MATCH(A242,Ingredients!$A$5:$A$304,0)),""))</f>
        <v>0</v>
      </c>
      <c r="D242" s="27"/>
      <c r="E242" s="28"/>
      <c r="F242" s="26"/>
      <c r="G242" s="8">
        <f>IF(OR(E242="",F242="",F242=0),"",E242/F242)</f>
        <v>0</v>
      </c>
      <c r="H242" s="30"/>
      <c r="I242" s="27"/>
      <c r="J242" s="28"/>
      <c r="K242" s="8">
        <f>IF(OR(E242="",J242=""),"",J242-E242)</f>
        <v>0</v>
      </c>
      <c r="L242" s="8">
        <f>IF(OR(K242="",J242="",J242=0),"",K242/J242)</f>
        <v>0</v>
      </c>
      <c r="M242" s="8">
        <f>IF(A242="","",IF(SUMPRODUCT(MIN(('Store Prices'!$A$5:$A$304=A242)*'Store Prices'!$G$5:$G$304+('Store Prices'!$A$5:$A$304&lt;&gt;A242)*1000000))&gt;=1000000,"",SUMPRODUCT(MIN(('Store Prices'!$A$5:$A$304=A242)*'Store Prices'!$G$5:$G$304+('Store Prices'!$A$5:$A$304&lt;&gt;A242)*1000000))))</f>
        <v>0</v>
      </c>
      <c r="N242" s="8">
        <f>IF(OR(A242="",G242="",M242=""),"",G242-M242)</f>
        <v>0</v>
      </c>
      <c r="O242" s="8">
        <f>IF(OR(A242="",G242=""),"",IF(G242=M242,"Best",""))</f>
        <v>0</v>
      </c>
      <c r="P242" s="8">
        <f>IF(OR(A242="",G242=""),"",COUNTIFS('Store Prices'!$A$5:$A$304,A242,'Store Prices'!$G$5:$G$304,"&lt;"&amp;G242)+1)</f>
        <v>0</v>
      </c>
      <c r="Q242" s="25"/>
    </row>
    <row r="243" spans="1:17">
      <c r="A243" s="7"/>
      <c r="B243" s="27"/>
      <c r="C243" s="8">
        <f>IF(A243="","",IFERROR(INDEX(Ingredients!$B$5:$B$304,MATCH(A243,Ingredients!$A$5:$A$304,0)),""))</f>
        <v>0</v>
      </c>
      <c r="D243" s="27"/>
      <c r="E243" s="28"/>
      <c r="F243" s="26"/>
      <c r="G243" s="8">
        <f>IF(OR(E243="",F243="",F243=0),"",E243/F243)</f>
        <v>0</v>
      </c>
      <c r="H243" s="30"/>
      <c r="I243" s="27"/>
      <c r="J243" s="28"/>
      <c r="K243" s="8">
        <f>IF(OR(E243="",J243=""),"",J243-E243)</f>
        <v>0</v>
      </c>
      <c r="L243" s="8">
        <f>IF(OR(K243="",J243="",J243=0),"",K243/J243)</f>
        <v>0</v>
      </c>
      <c r="M243" s="8">
        <f>IF(A243="","",IF(SUMPRODUCT(MIN(('Store Prices'!$A$5:$A$304=A243)*'Store Prices'!$G$5:$G$304+('Store Prices'!$A$5:$A$304&lt;&gt;A243)*1000000))&gt;=1000000,"",SUMPRODUCT(MIN(('Store Prices'!$A$5:$A$304=A243)*'Store Prices'!$G$5:$G$304+('Store Prices'!$A$5:$A$304&lt;&gt;A243)*1000000))))</f>
        <v>0</v>
      </c>
      <c r="N243" s="8">
        <f>IF(OR(A243="",G243="",M243=""),"",G243-M243)</f>
        <v>0</v>
      </c>
      <c r="O243" s="8">
        <f>IF(OR(A243="",G243=""),"",IF(G243=M243,"Best",""))</f>
        <v>0</v>
      </c>
      <c r="P243" s="8">
        <f>IF(OR(A243="",G243=""),"",COUNTIFS('Store Prices'!$A$5:$A$304,A243,'Store Prices'!$G$5:$G$304,"&lt;"&amp;G243)+1)</f>
        <v>0</v>
      </c>
      <c r="Q243" s="25"/>
    </row>
    <row r="244" spans="1:17">
      <c r="A244" s="7"/>
      <c r="B244" s="27"/>
      <c r="C244" s="8">
        <f>IF(A244="","",IFERROR(INDEX(Ingredients!$B$5:$B$304,MATCH(A244,Ingredients!$A$5:$A$304,0)),""))</f>
        <v>0</v>
      </c>
      <c r="D244" s="27"/>
      <c r="E244" s="28"/>
      <c r="F244" s="26"/>
      <c r="G244" s="8">
        <f>IF(OR(E244="",F244="",F244=0),"",E244/F244)</f>
        <v>0</v>
      </c>
      <c r="H244" s="30"/>
      <c r="I244" s="27"/>
      <c r="J244" s="28"/>
      <c r="K244" s="8">
        <f>IF(OR(E244="",J244=""),"",J244-E244)</f>
        <v>0</v>
      </c>
      <c r="L244" s="8">
        <f>IF(OR(K244="",J244="",J244=0),"",K244/J244)</f>
        <v>0</v>
      </c>
      <c r="M244" s="8">
        <f>IF(A244="","",IF(SUMPRODUCT(MIN(('Store Prices'!$A$5:$A$304=A244)*'Store Prices'!$G$5:$G$304+('Store Prices'!$A$5:$A$304&lt;&gt;A244)*1000000))&gt;=1000000,"",SUMPRODUCT(MIN(('Store Prices'!$A$5:$A$304=A244)*'Store Prices'!$G$5:$G$304+('Store Prices'!$A$5:$A$304&lt;&gt;A244)*1000000))))</f>
        <v>0</v>
      </c>
      <c r="N244" s="8">
        <f>IF(OR(A244="",G244="",M244=""),"",G244-M244)</f>
        <v>0</v>
      </c>
      <c r="O244" s="8">
        <f>IF(OR(A244="",G244=""),"",IF(G244=M244,"Best",""))</f>
        <v>0</v>
      </c>
      <c r="P244" s="8">
        <f>IF(OR(A244="",G244=""),"",COUNTIFS('Store Prices'!$A$5:$A$304,A244,'Store Prices'!$G$5:$G$304,"&lt;"&amp;G244)+1)</f>
        <v>0</v>
      </c>
      <c r="Q244" s="25"/>
    </row>
    <row r="245" spans="1:17">
      <c r="A245" s="7"/>
      <c r="B245" s="27"/>
      <c r="C245" s="8">
        <f>IF(A245="","",IFERROR(INDEX(Ingredients!$B$5:$B$304,MATCH(A245,Ingredients!$A$5:$A$304,0)),""))</f>
        <v>0</v>
      </c>
      <c r="D245" s="27"/>
      <c r="E245" s="28"/>
      <c r="F245" s="26"/>
      <c r="G245" s="8">
        <f>IF(OR(E245="",F245="",F245=0),"",E245/F245)</f>
        <v>0</v>
      </c>
      <c r="H245" s="30"/>
      <c r="I245" s="27"/>
      <c r="J245" s="28"/>
      <c r="K245" s="8">
        <f>IF(OR(E245="",J245=""),"",J245-E245)</f>
        <v>0</v>
      </c>
      <c r="L245" s="8">
        <f>IF(OR(K245="",J245="",J245=0),"",K245/J245)</f>
        <v>0</v>
      </c>
      <c r="M245" s="8">
        <f>IF(A245="","",IF(SUMPRODUCT(MIN(('Store Prices'!$A$5:$A$304=A245)*'Store Prices'!$G$5:$G$304+('Store Prices'!$A$5:$A$304&lt;&gt;A245)*1000000))&gt;=1000000,"",SUMPRODUCT(MIN(('Store Prices'!$A$5:$A$304=A245)*'Store Prices'!$G$5:$G$304+('Store Prices'!$A$5:$A$304&lt;&gt;A245)*1000000))))</f>
        <v>0</v>
      </c>
      <c r="N245" s="8">
        <f>IF(OR(A245="",G245="",M245=""),"",G245-M245)</f>
        <v>0</v>
      </c>
      <c r="O245" s="8">
        <f>IF(OR(A245="",G245=""),"",IF(G245=M245,"Best",""))</f>
        <v>0</v>
      </c>
      <c r="P245" s="8">
        <f>IF(OR(A245="",G245=""),"",COUNTIFS('Store Prices'!$A$5:$A$304,A245,'Store Prices'!$G$5:$G$304,"&lt;"&amp;G245)+1)</f>
        <v>0</v>
      </c>
      <c r="Q245" s="25"/>
    </row>
    <row r="246" spans="1:17">
      <c r="A246" s="7"/>
      <c r="B246" s="27"/>
      <c r="C246" s="8">
        <f>IF(A246="","",IFERROR(INDEX(Ingredients!$B$5:$B$304,MATCH(A246,Ingredients!$A$5:$A$304,0)),""))</f>
        <v>0</v>
      </c>
      <c r="D246" s="27"/>
      <c r="E246" s="28"/>
      <c r="F246" s="26"/>
      <c r="G246" s="8">
        <f>IF(OR(E246="",F246="",F246=0),"",E246/F246)</f>
        <v>0</v>
      </c>
      <c r="H246" s="30"/>
      <c r="I246" s="27"/>
      <c r="J246" s="28"/>
      <c r="K246" s="8">
        <f>IF(OR(E246="",J246=""),"",J246-E246)</f>
        <v>0</v>
      </c>
      <c r="L246" s="8">
        <f>IF(OR(K246="",J246="",J246=0),"",K246/J246)</f>
        <v>0</v>
      </c>
      <c r="M246" s="8">
        <f>IF(A246="","",IF(SUMPRODUCT(MIN(('Store Prices'!$A$5:$A$304=A246)*'Store Prices'!$G$5:$G$304+('Store Prices'!$A$5:$A$304&lt;&gt;A246)*1000000))&gt;=1000000,"",SUMPRODUCT(MIN(('Store Prices'!$A$5:$A$304=A246)*'Store Prices'!$G$5:$G$304+('Store Prices'!$A$5:$A$304&lt;&gt;A246)*1000000))))</f>
        <v>0</v>
      </c>
      <c r="N246" s="8">
        <f>IF(OR(A246="",G246="",M246=""),"",G246-M246)</f>
        <v>0</v>
      </c>
      <c r="O246" s="8">
        <f>IF(OR(A246="",G246=""),"",IF(G246=M246,"Best",""))</f>
        <v>0</v>
      </c>
      <c r="P246" s="8">
        <f>IF(OR(A246="",G246=""),"",COUNTIFS('Store Prices'!$A$5:$A$304,A246,'Store Prices'!$G$5:$G$304,"&lt;"&amp;G246)+1)</f>
        <v>0</v>
      </c>
      <c r="Q246" s="25"/>
    </row>
    <row r="247" spans="1:17">
      <c r="A247" s="7"/>
      <c r="B247" s="27"/>
      <c r="C247" s="8">
        <f>IF(A247="","",IFERROR(INDEX(Ingredients!$B$5:$B$304,MATCH(A247,Ingredients!$A$5:$A$304,0)),""))</f>
        <v>0</v>
      </c>
      <c r="D247" s="27"/>
      <c r="E247" s="28"/>
      <c r="F247" s="26"/>
      <c r="G247" s="8">
        <f>IF(OR(E247="",F247="",F247=0),"",E247/F247)</f>
        <v>0</v>
      </c>
      <c r="H247" s="30"/>
      <c r="I247" s="27"/>
      <c r="J247" s="28"/>
      <c r="K247" s="8">
        <f>IF(OR(E247="",J247=""),"",J247-E247)</f>
        <v>0</v>
      </c>
      <c r="L247" s="8">
        <f>IF(OR(K247="",J247="",J247=0),"",K247/J247)</f>
        <v>0</v>
      </c>
      <c r="M247" s="8">
        <f>IF(A247="","",IF(SUMPRODUCT(MIN(('Store Prices'!$A$5:$A$304=A247)*'Store Prices'!$G$5:$G$304+('Store Prices'!$A$5:$A$304&lt;&gt;A247)*1000000))&gt;=1000000,"",SUMPRODUCT(MIN(('Store Prices'!$A$5:$A$304=A247)*'Store Prices'!$G$5:$G$304+('Store Prices'!$A$5:$A$304&lt;&gt;A247)*1000000))))</f>
        <v>0</v>
      </c>
      <c r="N247" s="8">
        <f>IF(OR(A247="",G247="",M247=""),"",G247-M247)</f>
        <v>0</v>
      </c>
      <c r="O247" s="8">
        <f>IF(OR(A247="",G247=""),"",IF(G247=M247,"Best",""))</f>
        <v>0</v>
      </c>
      <c r="P247" s="8">
        <f>IF(OR(A247="",G247=""),"",COUNTIFS('Store Prices'!$A$5:$A$304,A247,'Store Prices'!$G$5:$G$304,"&lt;"&amp;G247)+1)</f>
        <v>0</v>
      </c>
      <c r="Q247" s="25"/>
    </row>
    <row r="248" spans="1:17">
      <c r="A248" s="7"/>
      <c r="B248" s="27"/>
      <c r="C248" s="8">
        <f>IF(A248="","",IFERROR(INDEX(Ingredients!$B$5:$B$304,MATCH(A248,Ingredients!$A$5:$A$304,0)),""))</f>
        <v>0</v>
      </c>
      <c r="D248" s="27"/>
      <c r="E248" s="28"/>
      <c r="F248" s="26"/>
      <c r="G248" s="8">
        <f>IF(OR(E248="",F248="",F248=0),"",E248/F248)</f>
        <v>0</v>
      </c>
      <c r="H248" s="30"/>
      <c r="I248" s="27"/>
      <c r="J248" s="28"/>
      <c r="K248" s="8">
        <f>IF(OR(E248="",J248=""),"",J248-E248)</f>
        <v>0</v>
      </c>
      <c r="L248" s="8">
        <f>IF(OR(K248="",J248="",J248=0),"",K248/J248)</f>
        <v>0</v>
      </c>
      <c r="M248" s="8">
        <f>IF(A248="","",IF(SUMPRODUCT(MIN(('Store Prices'!$A$5:$A$304=A248)*'Store Prices'!$G$5:$G$304+('Store Prices'!$A$5:$A$304&lt;&gt;A248)*1000000))&gt;=1000000,"",SUMPRODUCT(MIN(('Store Prices'!$A$5:$A$304=A248)*'Store Prices'!$G$5:$G$304+('Store Prices'!$A$5:$A$304&lt;&gt;A248)*1000000))))</f>
        <v>0</v>
      </c>
      <c r="N248" s="8">
        <f>IF(OR(A248="",G248="",M248=""),"",G248-M248)</f>
        <v>0</v>
      </c>
      <c r="O248" s="8">
        <f>IF(OR(A248="",G248=""),"",IF(G248=M248,"Best",""))</f>
        <v>0</v>
      </c>
      <c r="P248" s="8">
        <f>IF(OR(A248="",G248=""),"",COUNTIFS('Store Prices'!$A$5:$A$304,A248,'Store Prices'!$G$5:$G$304,"&lt;"&amp;G248)+1)</f>
        <v>0</v>
      </c>
      <c r="Q248" s="25"/>
    </row>
    <row r="249" spans="1:17">
      <c r="A249" s="7"/>
      <c r="B249" s="27"/>
      <c r="C249" s="8">
        <f>IF(A249="","",IFERROR(INDEX(Ingredients!$B$5:$B$304,MATCH(A249,Ingredients!$A$5:$A$304,0)),""))</f>
        <v>0</v>
      </c>
      <c r="D249" s="27"/>
      <c r="E249" s="28"/>
      <c r="F249" s="26"/>
      <c r="G249" s="8">
        <f>IF(OR(E249="",F249="",F249=0),"",E249/F249)</f>
        <v>0</v>
      </c>
      <c r="H249" s="30"/>
      <c r="I249" s="27"/>
      <c r="J249" s="28"/>
      <c r="K249" s="8">
        <f>IF(OR(E249="",J249=""),"",J249-E249)</f>
        <v>0</v>
      </c>
      <c r="L249" s="8">
        <f>IF(OR(K249="",J249="",J249=0),"",K249/J249)</f>
        <v>0</v>
      </c>
      <c r="M249" s="8">
        <f>IF(A249="","",IF(SUMPRODUCT(MIN(('Store Prices'!$A$5:$A$304=A249)*'Store Prices'!$G$5:$G$304+('Store Prices'!$A$5:$A$304&lt;&gt;A249)*1000000))&gt;=1000000,"",SUMPRODUCT(MIN(('Store Prices'!$A$5:$A$304=A249)*'Store Prices'!$G$5:$G$304+('Store Prices'!$A$5:$A$304&lt;&gt;A249)*1000000))))</f>
        <v>0</v>
      </c>
      <c r="N249" s="8">
        <f>IF(OR(A249="",G249="",M249=""),"",G249-M249)</f>
        <v>0</v>
      </c>
      <c r="O249" s="8">
        <f>IF(OR(A249="",G249=""),"",IF(G249=M249,"Best",""))</f>
        <v>0</v>
      </c>
      <c r="P249" s="8">
        <f>IF(OR(A249="",G249=""),"",COUNTIFS('Store Prices'!$A$5:$A$304,A249,'Store Prices'!$G$5:$G$304,"&lt;"&amp;G249)+1)</f>
        <v>0</v>
      </c>
      <c r="Q249" s="25"/>
    </row>
    <row r="250" spans="1:17">
      <c r="A250" s="7"/>
      <c r="B250" s="27"/>
      <c r="C250" s="8">
        <f>IF(A250="","",IFERROR(INDEX(Ingredients!$B$5:$B$304,MATCH(A250,Ingredients!$A$5:$A$304,0)),""))</f>
        <v>0</v>
      </c>
      <c r="D250" s="27"/>
      <c r="E250" s="28"/>
      <c r="F250" s="26"/>
      <c r="G250" s="8">
        <f>IF(OR(E250="",F250="",F250=0),"",E250/F250)</f>
        <v>0</v>
      </c>
      <c r="H250" s="30"/>
      <c r="I250" s="27"/>
      <c r="J250" s="28"/>
      <c r="K250" s="8">
        <f>IF(OR(E250="",J250=""),"",J250-E250)</f>
        <v>0</v>
      </c>
      <c r="L250" s="8">
        <f>IF(OR(K250="",J250="",J250=0),"",K250/J250)</f>
        <v>0</v>
      </c>
      <c r="M250" s="8">
        <f>IF(A250="","",IF(SUMPRODUCT(MIN(('Store Prices'!$A$5:$A$304=A250)*'Store Prices'!$G$5:$G$304+('Store Prices'!$A$5:$A$304&lt;&gt;A250)*1000000))&gt;=1000000,"",SUMPRODUCT(MIN(('Store Prices'!$A$5:$A$304=A250)*'Store Prices'!$G$5:$G$304+('Store Prices'!$A$5:$A$304&lt;&gt;A250)*1000000))))</f>
        <v>0</v>
      </c>
      <c r="N250" s="8">
        <f>IF(OR(A250="",G250="",M250=""),"",G250-M250)</f>
        <v>0</v>
      </c>
      <c r="O250" s="8">
        <f>IF(OR(A250="",G250=""),"",IF(G250=M250,"Best",""))</f>
        <v>0</v>
      </c>
      <c r="P250" s="8">
        <f>IF(OR(A250="",G250=""),"",COUNTIFS('Store Prices'!$A$5:$A$304,A250,'Store Prices'!$G$5:$G$304,"&lt;"&amp;G250)+1)</f>
        <v>0</v>
      </c>
      <c r="Q250" s="25"/>
    </row>
    <row r="251" spans="1:17">
      <c r="A251" s="7"/>
      <c r="B251" s="27"/>
      <c r="C251" s="8">
        <f>IF(A251="","",IFERROR(INDEX(Ingredients!$B$5:$B$304,MATCH(A251,Ingredients!$A$5:$A$304,0)),""))</f>
        <v>0</v>
      </c>
      <c r="D251" s="27"/>
      <c r="E251" s="28"/>
      <c r="F251" s="26"/>
      <c r="G251" s="8">
        <f>IF(OR(E251="",F251="",F251=0),"",E251/F251)</f>
        <v>0</v>
      </c>
      <c r="H251" s="30"/>
      <c r="I251" s="27"/>
      <c r="J251" s="28"/>
      <c r="K251" s="8">
        <f>IF(OR(E251="",J251=""),"",J251-E251)</f>
        <v>0</v>
      </c>
      <c r="L251" s="8">
        <f>IF(OR(K251="",J251="",J251=0),"",K251/J251)</f>
        <v>0</v>
      </c>
      <c r="M251" s="8">
        <f>IF(A251="","",IF(SUMPRODUCT(MIN(('Store Prices'!$A$5:$A$304=A251)*'Store Prices'!$G$5:$G$304+('Store Prices'!$A$5:$A$304&lt;&gt;A251)*1000000))&gt;=1000000,"",SUMPRODUCT(MIN(('Store Prices'!$A$5:$A$304=A251)*'Store Prices'!$G$5:$G$304+('Store Prices'!$A$5:$A$304&lt;&gt;A251)*1000000))))</f>
        <v>0</v>
      </c>
      <c r="N251" s="8">
        <f>IF(OR(A251="",G251="",M251=""),"",G251-M251)</f>
        <v>0</v>
      </c>
      <c r="O251" s="8">
        <f>IF(OR(A251="",G251=""),"",IF(G251=M251,"Best",""))</f>
        <v>0</v>
      </c>
      <c r="P251" s="8">
        <f>IF(OR(A251="",G251=""),"",COUNTIFS('Store Prices'!$A$5:$A$304,A251,'Store Prices'!$G$5:$G$304,"&lt;"&amp;G251)+1)</f>
        <v>0</v>
      </c>
      <c r="Q251" s="25"/>
    </row>
    <row r="252" spans="1:17">
      <c r="A252" s="7"/>
      <c r="B252" s="27"/>
      <c r="C252" s="8">
        <f>IF(A252="","",IFERROR(INDEX(Ingredients!$B$5:$B$304,MATCH(A252,Ingredients!$A$5:$A$304,0)),""))</f>
        <v>0</v>
      </c>
      <c r="D252" s="27"/>
      <c r="E252" s="28"/>
      <c r="F252" s="26"/>
      <c r="G252" s="8">
        <f>IF(OR(E252="",F252="",F252=0),"",E252/F252)</f>
        <v>0</v>
      </c>
      <c r="H252" s="30"/>
      <c r="I252" s="27"/>
      <c r="J252" s="28"/>
      <c r="K252" s="8">
        <f>IF(OR(E252="",J252=""),"",J252-E252)</f>
        <v>0</v>
      </c>
      <c r="L252" s="8">
        <f>IF(OR(K252="",J252="",J252=0),"",K252/J252)</f>
        <v>0</v>
      </c>
      <c r="M252" s="8">
        <f>IF(A252="","",IF(SUMPRODUCT(MIN(('Store Prices'!$A$5:$A$304=A252)*'Store Prices'!$G$5:$G$304+('Store Prices'!$A$5:$A$304&lt;&gt;A252)*1000000))&gt;=1000000,"",SUMPRODUCT(MIN(('Store Prices'!$A$5:$A$304=A252)*'Store Prices'!$G$5:$G$304+('Store Prices'!$A$5:$A$304&lt;&gt;A252)*1000000))))</f>
        <v>0</v>
      </c>
      <c r="N252" s="8">
        <f>IF(OR(A252="",G252="",M252=""),"",G252-M252)</f>
        <v>0</v>
      </c>
      <c r="O252" s="8">
        <f>IF(OR(A252="",G252=""),"",IF(G252=M252,"Best",""))</f>
        <v>0</v>
      </c>
      <c r="P252" s="8">
        <f>IF(OR(A252="",G252=""),"",COUNTIFS('Store Prices'!$A$5:$A$304,A252,'Store Prices'!$G$5:$G$304,"&lt;"&amp;G252)+1)</f>
        <v>0</v>
      </c>
      <c r="Q252" s="25"/>
    </row>
    <row r="253" spans="1:17">
      <c r="A253" s="7"/>
      <c r="B253" s="27"/>
      <c r="C253" s="8">
        <f>IF(A253="","",IFERROR(INDEX(Ingredients!$B$5:$B$304,MATCH(A253,Ingredients!$A$5:$A$304,0)),""))</f>
        <v>0</v>
      </c>
      <c r="D253" s="27"/>
      <c r="E253" s="28"/>
      <c r="F253" s="26"/>
      <c r="G253" s="8">
        <f>IF(OR(E253="",F253="",F253=0),"",E253/F253)</f>
        <v>0</v>
      </c>
      <c r="H253" s="30"/>
      <c r="I253" s="27"/>
      <c r="J253" s="28"/>
      <c r="K253" s="8">
        <f>IF(OR(E253="",J253=""),"",J253-E253)</f>
        <v>0</v>
      </c>
      <c r="L253" s="8">
        <f>IF(OR(K253="",J253="",J253=0),"",K253/J253)</f>
        <v>0</v>
      </c>
      <c r="M253" s="8">
        <f>IF(A253="","",IF(SUMPRODUCT(MIN(('Store Prices'!$A$5:$A$304=A253)*'Store Prices'!$G$5:$G$304+('Store Prices'!$A$5:$A$304&lt;&gt;A253)*1000000))&gt;=1000000,"",SUMPRODUCT(MIN(('Store Prices'!$A$5:$A$304=A253)*'Store Prices'!$G$5:$G$304+('Store Prices'!$A$5:$A$304&lt;&gt;A253)*1000000))))</f>
        <v>0</v>
      </c>
      <c r="N253" s="8">
        <f>IF(OR(A253="",G253="",M253=""),"",G253-M253)</f>
        <v>0</v>
      </c>
      <c r="O253" s="8">
        <f>IF(OR(A253="",G253=""),"",IF(G253=M253,"Best",""))</f>
        <v>0</v>
      </c>
      <c r="P253" s="8">
        <f>IF(OR(A253="",G253=""),"",COUNTIFS('Store Prices'!$A$5:$A$304,A253,'Store Prices'!$G$5:$G$304,"&lt;"&amp;G253)+1)</f>
        <v>0</v>
      </c>
      <c r="Q253" s="25"/>
    </row>
    <row r="254" spans="1:17">
      <c r="A254" s="7"/>
      <c r="B254" s="27"/>
      <c r="C254" s="8">
        <f>IF(A254="","",IFERROR(INDEX(Ingredients!$B$5:$B$304,MATCH(A254,Ingredients!$A$5:$A$304,0)),""))</f>
        <v>0</v>
      </c>
      <c r="D254" s="27"/>
      <c r="E254" s="28"/>
      <c r="F254" s="26"/>
      <c r="G254" s="8">
        <f>IF(OR(E254="",F254="",F254=0),"",E254/F254)</f>
        <v>0</v>
      </c>
      <c r="H254" s="30"/>
      <c r="I254" s="27"/>
      <c r="J254" s="28"/>
      <c r="K254" s="8">
        <f>IF(OR(E254="",J254=""),"",J254-E254)</f>
        <v>0</v>
      </c>
      <c r="L254" s="8">
        <f>IF(OR(K254="",J254="",J254=0),"",K254/J254)</f>
        <v>0</v>
      </c>
      <c r="M254" s="8">
        <f>IF(A254="","",IF(SUMPRODUCT(MIN(('Store Prices'!$A$5:$A$304=A254)*'Store Prices'!$G$5:$G$304+('Store Prices'!$A$5:$A$304&lt;&gt;A254)*1000000))&gt;=1000000,"",SUMPRODUCT(MIN(('Store Prices'!$A$5:$A$304=A254)*'Store Prices'!$G$5:$G$304+('Store Prices'!$A$5:$A$304&lt;&gt;A254)*1000000))))</f>
        <v>0</v>
      </c>
      <c r="N254" s="8">
        <f>IF(OR(A254="",G254="",M254=""),"",G254-M254)</f>
        <v>0</v>
      </c>
      <c r="O254" s="8">
        <f>IF(OR(A254="",G254=""),"",IF(G254=M254,"Best",""))</f>
        <v>0</v>
      </c>
      <c r="P254" s="8">
        <f>IF(OR(A254="",G254=""),"",COUNTIFS('Store Prices'!$A$5:$A$304,A254,'Store Prices'!$G$5:$G$304,"&lt;"&amp;G254)+1)</f>
        <v>0</v>
      </c>
      <c r="Q254" s="25"/>
    </row>
    <row r="255" spans="1:17">
      <c r="A255" s="7"/>
      <c r="B255" s="27"/>
      <c r="C255" s="8">
        <f>IF(A255="","",IFERROR(INDEX(Ingredients!$B$5:$B$304,MATCH(A255,Ingredients!$A$5:$A$304,0)),""))</f>
        <v>0</v>
      </c>
      <c r="D255" s="27"/>
      <c r="E255" s="28"/>
      <c r="F255" s="26"/>
      <c r="G255" s="8">
        <f>IF(OR(E255="",F255="",F255=0),"",E255/F255)</f>
        <v>0</v>
      </c>
      <c r="H255" s="30"/>
      <c r="I255" s="27"/>
      <c r="J255" s="28"/>
      <c r="K255" s="8">
        <f>IF(OR(E255="",J255=""),"",J255-E255)</f>
        <v>0</v>
      </c>
      <c r="L255" s="8">
        <f>IF(OR(K255="",J255="",J255=0),"",K255/J255)</f>
        <v>0</v>
      </c>
      <c r="M255" s="8">
        <f>IF(A255="","",IF(SUMPRODUCT(MIN(('Store Prices'!$A$5:$A$304=A255)*'Store Prices'!$G$5:$G$304+('Store Prices'!$A$5:$A$304&lt;&gt;A255)*1000000))&gt;=1000000,"",SUMPRODUCT(MIN(('Store Prices'!$A$5:$A$304=A255)*'Store Prices'!$G$5:$G$304+('Store Prices'!$A$5:$A$304&lt;&gt;A255)*1000000))))</f>
        <v>0</v>
      </c>
      <c r="N255" s="8">
        <f>IF(OR(A255="",G255="",M255=""),"",G255-M255)</f>
        <v>0</v>
      </c>
      <c r="O255" s="8">
        <f>IF(OR(A255="",G255=""),"",IF(G255=M255,"Best",""))</f>
        <v>0</v>
      </c>
      <c r="P255" s="8">
        <f>IF(OR(A255="",G255=""),"",COUNTIFS('Store Prices'!$A$5:$A$304,A255,'Store Prices'!$G$5:$G$304,"&lt;"&amp;G255)+1)</f>
        <v>0</v>
      </c>
      <c r="Q255" s="25"/>
    </row>
    <row r="256" spans="1:17">
      <c r="A256" s="7"/>
      <c r="B256" s="27"/>
      <c r="C256" s="8">
        <f>IF(A256="","",IFERROR(INDEX(Ingredients!$B$5:$B$304,MATCH(A256,Ingredients!$A$5:$A$304,0)),""))</f>
        <v>0</v>
      </c>
      <c r="D256" s="27"/>
      <c r="E256" s="28"/>
      <c r="F256" s="26"/>
      <c r="G256" s="8">
        <f>IF(OR(E256="",F256="",F256=0),"",E256/F256)</f>
        <v>0</v>
      </c>
      <c r="H256" s="30"/>
      <c r="I256" s="27"/>
      <c r="J256" s="28"/>
      <c r="K256" s="8">
        <f>IF(OR(E256="",J256=""),"",J256-E256)</f>
        <v>0</v>
      </c>
      <c r="L256" s="8">
        <f>IF(OR(K256="",J256="",J256=0),"",K256/J256)</f>
        <v>0</v>
      </c>
      <c r="M256" s="8">
        <f>IF(A256="","",IF(SUMPRODUCT(MIN(('Store Prices'!$A$5:$A$304=A256)*'Store Prices'!$G$5:$G$304+('Store Prices'!$A$5:$A$304&lt;&gt;A256)*1000000))&gt;=1000000,"",SUMPRODUCT(MIN(('Store Prices'!$A$5:$A$304=A256)*'Store Prices'!$G$5:$G$304+('Store Prices'!$A$5:$A$304&lt;&gt;A256)*1000000))))</f>
        <v>0</v>
      </c>
      <c r="N256" s="8">
        <f>IF(OR(A256="",G256="",M256=""),"",G256-M256)</f>
        <v>0</v>
      </c>
      <c r="O256" s="8">
        <f>IF(OR(A256="",G256=""),"",IF(G256=M256,"Best",""))</f>
        <v>0</v>
      </c>
      <c r="P256" s="8">
        <f>IF(OR(A256="",G256=""),"",COUNTIFS('Store Prices'!$A$5:$A$304,A256,'Store Prices'!$G$5:$G$304,"&lt;"&amp;G256)+1)</f>
        <v>0</v>
      </c>
      <c r="Q256" s="25"/>
    </row>
    <row r="257" spans="1:17">
      <c r="A257" s="7"/>
      <c r="B257" s="27"/>
      <c r="C257" s="8">
        <f>IF(A257="","",IFERROR(INDEX(Ingredients!$B$5:$B$304,MATCH(A257,Ingredients!$A$5:$A$304,0)),""))</f>
        <v>0</v>
      </c>
      <c r="D257" s="27"/>
      <c r="E257" s="28"/>
      <c r="F257" s="26"/>
      <c r="G257" s="8">
        <f>IF(OR(E257="",F257="",F257=0),"",E257/F257)</f>
        <v>0</v>
      </c>
      <c r="H257" s="30"/>
      <c r="I257" s="27"/>
      <c r="J257" s="28"/>
      <c r="K257" s="8">
        <f>IF(OR(E257="",J257=""),"",J257-E257)</f>
        <v>0</v>
      </c>
      <c r="L257" s="8">
        <f>IF(OR(K257="",J257="",J257=0),"",K257/J257)</f>
        <v>0</v>
      </c>
      <c r="M257" s="8">
        <f>IF(A257="","",IF(SUMPRODUCT(MIN(('Store Prices'!$A$5:$A$304=A257)*'Store Prices'!$G$5:$G$304+('Store Prices'!$A$5:$A$304&lt;&gt;A257)*1000000))&gt;=1000000,"",SUMPRODUCT(MIN(('Store Prices'!$A$5:$A$304=A257)*'Store Prices'!$G$5:$G$304+('Store Prices'!$A$5:$A$304&lt;&gt;A257)*1000000))))</f>
        <v>0</v>
      </c>
      <c r="N257" s="8">
        <f>IF(OR(A257="",G257="",M257=""),"",G257-M257)</f>
        <v>0</v>
      </c>
      <c r="O257" s="8">
        <f>IF(OR(A257="",G257=""),"",IF(G257=M257,"Best",""))</f>
        <v>0</v>
      </c>
      <c r="P257" s="8">
        <f>IF(OR(A257="",G257=""),"",COUNTIFS('Store Prices'!$A$5:$A$304,A257,'Store Prices'!$G$5:$G$304,"&lt;"&amp;G257)+1)</f>
        <v>0</v>
      </c>
      <c r="Q257" s="25"/>
    </row>
    <row r="258" spans="1:17">
      <c r="A258" s="7"/>
      <c r="B258" s="27"/>
      <c r="C258" s="8">
        <f>IF(A258="","",IFERROR(INDEX(Ingredients!$B$5:$B$304,MATCH(A258,Ingredients!$A$5:$A$304,0)),""))</f>
        <v>0</v>
      </c>
      <c r="D258" s="27"/>
      <c r="E258" s="28"/>
      <c r="F258" s="26"/>
      <c r="G258" s="8">
        <f>IF(OR(E258="",F258="",F258=0),"",E258/F258)</f>
        <v>0</v>
      </c>
      <c r="H258" s="30"/>
      <c r="I258" s="27"/>
      <c r="J258" s="28"/>
      <c r="K258" s="8">
        <f>IF(OR(E258="",J258=""),"",J258-E258)</f>
        <v>0</v>
      </c>
      <c r="L258" s="8">
        <f>IF(OR(K258="",J258="",J258=0),"",K258/J258)</f>
        <v>0</v>
      </c>
      <c r="M258" s="8">
        <f>IF(A258="","",IF(SUMPRODUCT(MIN(('Store Prices'!$A$5:$A$304=A258)*'Store Prices'!$G$5:$G$304+('Store Prices'!$A$5:$A$304&lt;&gt;A258)*1000000))&gt;=1000000,"",SUMPRODUCT(MIN(('Store Prices'!$A$5:$A$304=A258)*'Store Prices'!$G$5:$G$304+('Store Prices'!$A$5:$A$304&lt;&gt;A258)*1000000))))</f>
        <v>0</v>
      </c>
      <c r="N258" s="8">
        <f>IF(OR(A258="",G258="",M258=""),"",G258-M258)</f>
        <v>0</v>
      </c>
      <c r="O258" s="8">
        <f>IF(OR(A258="",G258=""),"",IF(G258=M258,"Best",""))</f>
        <v>0</v>
      </c>
      <c r="P258" s="8">
        <f>IF(OR(A258="",G258=""),"",COUNTIFS('Store Prices'!$A$5:$A$304,A258,'Store Prices'!$G$5:$G$304,"&lt;"&amp;G258)+1)</f>
        <v>0</v>
      </c>
      <c r="Q258" s="25"/>
    </row>
    <row r="259" spans="1:17">
      <c r="A259" s="7"/>
      <c r="B259" s="27"/>
      <c r="C259" s="8">
        <f>IF(A259="","",IFERROR(INDEX(Ingredients!$B$5:$B$304,MATCH(A259,Ingredients!$A$5:$A$304,0)),""))</f>
        <v>0</v>
      </c>
      <c r="D259" s="27"/>
      <c r="E259" s="28"/>
      <c r="F259" s="26"/>
      <c r="G259" s="8">
        <f>IF(OR(E259="",F259="",F259=0),"",E259/F259)</f>
        <v>0</v>
      </c>
      <c r="H259" s="30"/>
      <c r="I259" s="27"/>
      <c r="J259" s="28"/>
      <c r="K259" s="8">
        <f>IF(OR(E259="",J259=""),"",J259-E259)</f>
        <v>0</v>
      </c>
      <c r="L259" s="8">
        <f>IF(OR(K259="",J259="",J259=0),"",K259/J259)</f>
        <v>0</v>
      </c>
      <c r="M259" s="8">
        <f>IF(A259="","",IF(SUMPRODUCT(MIN(('Store Prices'!$A$5:$A$304=A259)*'Store Prices'!$G$5:$G$304+('Store Prices'!$A$5:$A$304&lt;&gt;A259)*1000000))&gt;=1000000,"",SUMPRODUCT(MIN(('Store Prices'!$A$5:$A$304=A259)*'Store Prices'!$G$5:$G$304+('Store Prices'!$A$5:$A$304&lt;&gt;A259)*1000000))))</f>
        <v>0</v>
      </c>
      <c r="N259" s="8">
        <f>IF(OR(A259="",G259="",M259=""),"",G259-M259)</f>
        <v>0</v>
      </c>
      <c r="O259" s="8">
        <f>IF(OR(A259="",G259=""),"",IF(G259=M259,"Best",""))</f>
        <v>0</v>
      </c>
      <c r="P259" s="8">
        <f>IF(OR(A259="",G259=""),"",COUNTIFS('Store Prices'!$A$5:$A$304,A259,'Store Prices'!$G$5:$G$304,"&lt;"&amp;G259)+1)</f>
        <v>0</v>
      </c>
      <c r="Q259" s="25"/>
    </row>
    <row r="260" spans="1:17">
      <c r="A260" s="7"/>
      <c r="B260" s="27"/>
      <c r="C260" s="8">
        <f>IF(A260="","",IFERROR(INDEX(Ingredients!$B$5:$B$304,MATCH(A260,Ingredients!$A$5:$A$304,0)),""))</f>
        <v>0</v>
      </c>
      <c r="D260" s="27"/>
      <c r="E260" s="28"/>
      <c r="F260" s="26"/>
      <c r="G260" s="8">
        <f>IF(OR(E260="",F260="",F260=0),"",E260/F260)</f>
        <v>0</v>
      </c>
      <c r="H260" s="30"/>
      <c r="I260" s="27"/>
      <c r="J260" s="28"/>
      <c r="K260" s="8">
        <f>IF(OR(E260="",J260=""),"",J260-E260)</f>
        <v>0</v>
      </c>
      <c r="L260" s="8">
        <f>IF(OR(K260="",J260="",J260=0),"",K260/J260)</f>
        <v>0</v>
      </c>
      <c r="M260" s="8">
        <f>IF(A260="","",IF(SUMPRODUCT(MIN(('Store Prices'!$A$5:$A$304=A260)*'Store Prices'!$G$5:$G$304+('Store Prices'!$A$5:$A$304&lt;&gt;A260)*1000000))&gt;=1000000,"",SUMPRODUCT(MIN(('Store Prices'!$A$5:$A$304=A260)*'Store Prices'!$G$5:$G$304+('Store Prices'!$A$5:$A$304&lt;&gt;A260)*1000000))))</f>
        <v>0</v>
      </c>
      <c r="N260" s="8">
        <f>IF(OR(A260="",G260="",M260=""),"",G260-M260)</f>
        <v>0</v>
      </c>
      <c r="O260" s="8">
        <f>IF(OR(A260="",G260=""),"",IF(G260=M260,"Best",""))</f>
        <v>0</v>
      </c>
      <c r="P260" s="8">
        <f>IF(OR(A260="",G260=""),"",COUNTIFS('Store Prices'!$A$5:$A$304,A260,'Store Prices'!$G$5:$G$304,"&lt;"&amp;G260)+1)</f>
        <v>0</v>
      </c>
      <c r="Q260" s="25"/>
    </row>
    <row r="261" spans="1:17">
      <c r="A261" s="7"/>
      <c r="B261" s="27"/>
      <c r="C261" s="8">
        <f>IF(A261="","",IFERROR(INDEX(Ingredients!$B$5:$B$304,MATCH(A261,Ingredients!$A$5:$A$304,0)),""))</f>
        <v>0</v>
      </c>
      <c r="D261" s="27"/>
      <c r="E261" s="28"/>
      <c r="F261" s="26"/>
      <c r="G261" s="8">
        <f>IF(OR(E261="",F261="",F261=0),"",E261/F261)</f>
        <v>0</v>
      </c>
      <c r="H261" s="30"/>
      <c r="I261" s="27"/>
      <c r="J261" s="28"/>
      <c r="K261" s="8">
        <f>IF(OR(E261="",J261=""),"",J261-E261)</f>
        <v>0</v>
      </c>
      <c r="L261" s="8">
        <f>IF(OR(K261="",J261="",J261=0),"",K261/J261)</f>
        <v>0</v>
      </c>
      <c r="M261" s="8">
        <f>IF(A261="","",IF(SUMPRODUCT(MIN(('Store Prices'!$A$5:$A$304=A261)*'Store Prices'!$G$5:$G$304+('Store Prices'!$A$5:$A$304&lt;&gt;A261)*1000000))&gt;=1000000,"",SUMPRODUCT(MIN(('Store Prices'!$A$5:$A$304=A261)*'Store Prices'!$G$5:$G$304+('Store Prices'!$A$5:$A$304&lt;&gt;A261)*1000000))))</f>
        <v>0</v>
      </c>
      <c r="N261" s="8">
        <f>IF(OR(A261="",G261="",M261=""),"",G261-M261)</f>
        <v>0</v>
      </c>
      <c r="O261" s="8">
        <f>IF(OR(A261="",G261=""),"",IF(G261=M261,"Best",""))</f>
        <v>0</v>
      </c>
      <c r="P261" s="8">
        <f>IF(OR(A261="",G261=""),"",COUNTIFS('Store Prices'!$A$5:$A$304,A261,'Store Prices'!$G$5:$G$304,"&lt;"&amp;G261)+1)</f>
        <v>0</v>
      </c>
      <c r="Q261" s="25"/>
    </row>
    <row r="262" spans="1:17">
      <c r="A262" s="7"/>
      <c r="B262" s="27"/>
      <c r="C262" s="8">
        <f>IF(A262="","",IFERROR(INDEX(Ingredients!$B$5:$B$304,MATCH(A262,Ingredients!$A$5:$A$304,0)),""))</f>
        <v>0</v>
      </c>
      <c r="D262" s="27"/>
      <c r="E262" s="28"/>
      <c r="F262" s="26"/>
      <c r="G262" s="8">
        <f>IF(OR(E262="",F262="",F262=0),"",E262/F262)</f>
        <v>0</v>
      </c>
      <c r="H262" s="30"/>
      <c r="I262" s="27"/>
      <c r="J262" s="28"/>
      <c r="K262" s="8">
        <f>IF(OR(E262="",J262=""),"",J262-E262)</f>
        <v>0</v>
      </c>
      <c r="L262" s="8">
        <f>IF(OR(K262="",J262="",J262=0),"",K262/J262)</f>
        <v>0</v>
      </c>
      <c r="M262" s="8">
        <f>IF(A262="","",IF(SUMPRODUCT(MIN(('Store Prices'!$A$5:$A$304=A262)*'Store Prices'!$G$5:$G$304+('Store Prices'!$A$5:$A$304&lt;&gt;A262)*1000000))&gt;=1000000,"",SUMPRODUCT(MIN(('Store Prices'!$A$5:$A$304=A262)*'Store Prices'!$G$5:$G$304+('Store Prices'!$A$5:$A$304&lt;&gt;A262)*1000000))))</f>
        <v>0</v>
      </c>
      <c r="N262" s="8">
        <f>IF(OR(A262="",G262="",M262=""),"",G262-M262)</f>
        <v>0</v>
      </c>
      <c r="O262" s="8">
        <f>IF(OR(A262="",G262=""),"",IF(G262=M262,"Best",""))</f>
        <v>0</v>
      </c>
      <c r="P262" s="8">
        <f>IF(OR(A262="",G262=""),"",COUNTIFS('Store Prices'!$A$5:$A$304,A262,'Store Prices'!$G$5:$G$304,"&lt;"&amp;G262)+1)</f>
        <v>0</v>
      </c>
      <c r="Q262" s="25"/>
    </row>
    <row r="263" spans="1:17">
      <c r="A263" s="7"/>
      <c r="B263" s="27"/>
      <c r="C263" s="8">
        <f>IF(A263="","",IFERROR(INDEX(Ingredients!$B$5:$B$304,MATCH(A263,Ingredients!$A$5:$A$304,0)),""))</f>
        <v>0</v>
      </c>
      <c r="D263" s="27"/>
      <c r="E263" s="28"/>
      <c r="F263" s="26"/>
      <c r="G263" s="8">
        <f>IF(OR(E263="",F263="",F263=0),"",E263/F263)</f>
        <v>0</v>
      </c>
      <c r="H263" s="30"/>
      <c r="I263" s="27"/>
      <c r="J263" s="28"/>
      <c r="K263" s="8">
        <f>IF(OR(E263="",J263=""),"",J263-E263)</f>
        <v>0</v>
      </c>
      <c r="L263" s="8">
        <f>IF(OR(K263="",J263="",J263=0),"",K263/J263)</f>
        <v>0</v>
      </c>
      <c r="M263" s="8">
        <f>IF(A263="","",IF(SUMPRODUCT(MIN(('Store Prices'!$A$5:$A$304=A263)*'Store Prices'!$G$5:$G$304+('Store Prices'!$A$5:$A$304&lt;&gt;A263)*1000000))&gt;=1000000,"",SUMPRODUCT(MIN(('Store Prices'!$A$5:$A$304=A263)*'Store Prices'!$G$5:$G$304+('Store Prices'!$A$5:$A$304&lt;&gt;A263)*1000000))))</f>
        <v>0</v>
      </c>
      <c r="N263" s="8">
        <f>IF(OR(A263="",G263="",M263=""),"",G263-M263)</f>
        <v>0</v>
      </c>
      <c r="O263" s="8">
        <f>IF(OR(A263="",G263=""),"",IF(G263=M263,"Best",""))</f>
        <v>0</v>
      </c>
      <c r="P263" s="8">
        <f>IF(OR(A263="",G263=""),"",COUNTIFS('Store Prices'!$A$5:$A$304,A263,'Store Prices'!$G$5:$G$304,"&lt;"&amp;G263)+1)</f>
        <v>0</v>
      </c>
      <c r="Q263" s="25"/>
    </row>
    <row r="264" spans="1:17">
      <c r="A264" s="7"/>
      <c r="B264" s="27"/>
      <c r="C264" s="8">
        <f>IF(A264="","",IFERROR(INDEX(Ingredients!$B$5:$B$304,MATCH(A264,Ingredients!$A$5:$A$304,0)),""))</f>
        <v>0</v>
      </c>
      <c r="D264" s="27"/>
      <c r="E264" s="28"/>
      <c r="F264" s="26"/>
      <c r="G264" s="8">
        <f>IF(OR(E264="",F264="",F264=0),"",E264/F264)</f>
        <v>0</v>
      </c>
      <c r="H264" s="30"/>
      <c r="I264" s="27"/>
      <c r="J264" s="28"/>
      <c r="K264" s="8">
        <f>IF(OR(E264="",J264=""),"",J264-E264)</f>
        <v>0</v>
      </c>
      <c r="L264" s="8">
        <f>IF(OR(K264="",J264="",J264=0),"",K264/J264)</f>
        <v>0</v>
      </c>
      <c r="M264" s="8">
        <f>IF(A264="","",IF(SUMPRODUCT(MIN(('Store Prices'!$A$5:$A$304=A264)*'Store Prices'!$G$5:$G$304+('Store Prices'!$A$5:$A$304&lt;&gt;A264)*1000000))&gt;=1000000,"",SUMPRODUCT(MIN(('Store Prices'!$A$5:$A$304=A264)*'Store Prices'!$G$5:$G$304+('Store Prices'!$A$5:$A$304&lt;&gt;A264)*1000000))))</f>
        <v>0</v>
      </c>
      <c r="N264" s="8">
        <f>IF(OR(A264="",G264="",M264=""),"",G264-M264)</f>
        <v>0</v>
      </c>
      <c r="O264" s="8">
        <f>IF(OR(A264="",G264=""),"",IF(G264=M264,"Best",""))</f>
        <v>0</v>
      </c>
      <c r="P264" s="8">
        <f>IF(OR(A264="",G264=""),"",COUNTIFS('Store Prices'!$A$5:$A$304,A264,'Store Prices'!$G$5:$G$304,"&lt;"&amp;G264)+1)</f>
        <v>0</v>
      </c>
      <c r="Q264" s="25"/>
    </row>
    <row r="265" spans="1:17">
      <c r="A265" s="7"/>
      <c r="B265" s="27"/>
      <c r="C265" s="8">
        <f>IF(A265="","",IFERROR(INDEX(Ingredients!$B$5:$B$304,MATCH(A265,Ingredients!$A$5:$A$304,0)),""))</f>
        <v>0</v>
      </c>
      <c r="D265" s="27"/>
      <c r="E265" s="28"/>
      <c r="F265" s="26"/>
      <c r="G265" s="8">
        <f>IF(OR(E265="",F265="",F265=0),"",E265/F265)</f>
        <v>0</v>
      </c>
      <c r="H265" s="30"/>
      <c r="I265" s="27"/>
      <c r="J265" s="28"/>
      <c r="K265" s="8">
        <f>IF(OR(E265="",J265=""),"",J265-E265)</f>
        <v>0</v>
      </c>
      <c r="L265" s="8">
        <f>IF(OR(K265="",J265="",J265=0),"",K265/J265)</f>
        <v>0</v>
      </c>
      <c r="M265" s="8">
        <f>IF(A265="","",IF(SUMPRODUCT(MIN(('Store Prices'!$A$5:$A$304=A265)*'Store Prices'!$G$5:$G$304+('Store Prices'!$A$5:$A$304&lt;&gt;A265)*1000000))&gt;=1000000,"",SUMPRODUCT(MIN(('Store Prices'!$A$5:$A$304=A265)*'Store Prices'!$G$5:$G$304+('Store Prices'!$A$5:$A$304&lt;&gt;A265)*1000000))))</f>
        <v>0</v>
      </c>
      <c r="N265" s="8">
        <f>IF(OR(A265="",G265="",M265=""),"",G265-M265)</f>
        <v>0</v>
      </c>
      <c r="O265" s="8">
        <f>IF(OR(A265="",G265=""),"",IF(G265=M265,"Best",""))</f>
        <v>0</v>
      </c>
      <c r="P265" s="8">
        <f>IF(OR(A265="",G265=""),"",COUNTIFS('Store Prices'!$A$5:$A$304,A265,'Store Prices'!$G$5:$G$304,"&lt;"&amp;G265)+1)</f>
        <v>0</v>
      </c>
      <c r="Q265" s="25"/>
    </row>
    <row r="266" spans="1:17">
      <c r="A266" s="7"/>
      <c r="B266" s="27"/>
      <c r="C266" s="8">
        <f>IF(A266="","",IFERROR(INDEX(Ingredients!$B$5:$B$304,MATCH(A266,Ingredients!$A$5:$A$304,0)),""))</f>
        <v>0</v>
      </c>
      <c r="D266" s="27"/>
      <c r="E266" s="28"/>
      <c r="F266" s="26"/>
      <c r="G266" s="8">
        <f>IF(OR(E266="",F266="",F266=0),"",E266/F266)</f>
        <v>0</v>
      </c>
      <c r="H266" s="30"/>
      <c r="I266" s="27"/>
      <c r="J266" s="28"/>
      <c r="K266" s="8">
        <f>IF(OR(E266="",J266=""),"",J266-E266)</f>
        <v>0</v>
      </c>
      <c r="L266" s="8">
        <f>IF(OR(K266="",J266="",J266=0),"",K266/J266)</f>
        <v>0</v>
      </c>
      <c r="M266" s="8">
        <f>IF(A266="","",IF(SUMPRODUCT(MIN(('Store Prices'!$A$5:$A$304=A266)*'Store Prices'!$G$5:$G$304+('Store Prices'!$A$5:$A$304&lt;&gt;A266)*1000000))&gt;=1000000,"",SUMPRODUCT(MIN(('Store Prices'!$A$5:$A$304=A266)*'Store Prices'!$G$5:$G$304+('Store Prices'!$A$5:$A$304&lt;&gt;A266)*1000000))))</f>
        <v>0</v>
      </c>
      <c r="N266" s="8">
        <f>IF(OR(A266="",G266="",M266=""),"",G266-M266)</f>
        <v>0</v>
      </c>
      <c r="O266" s="8">
        <f>IF(OR(A266="",G266=""),"",IF(G266=M266,"Best",""))</f>
        <v>0</v>
      </c>
      <c r="P266" s="8">
        <f>IF(OR(A266="",G266=""),"",COUNTIFS('Store Prices'!$A$5:$A$304,A266,'Store Prices'!$G$5:$G$304,"&lt;"&amp;G266)+1)</f>
        <v>0</v>
      </c>
      <c r="Q266" s="25"/>
    </row>
    <row r="267" spans="1:17">
      <c r="A267" s="7"/>
      <c r="B267" s="27"/>
      <c r="C267" s="8">
        <f>IF(A267="","",IFERROR(INDEX(Ingredients!$B$5:$B$304,MATCH(A267,Ingredients!$A$5:$A$304,0)),""))</f>
        <v>0</v>
      </c>
      <c r="D267" s="27"/>
      <c r="E267" s="28"/>
      <c r="F267" s="26"/>
      <c r="G267" s="8">
        <f>IF(OR(E267="",F267="",F267=0),"",E267/F267)</f>
        <v>0</v>
      </c>
      <c r="H267" s="30"/>
      <c r="I267" s="27"/>
      <c r="J267" s="28"/>
      <c r="K267" s="8">
        <f>IF(OR(E267="",J267=""),"",J267-E267)</f>
        <v>0</v>
      </c>
      <c r="L267" s="8">
        <f>IF(OR(K267="",J267="",J267=0),"",K267/J267)</f>
        <v>0</v>
      </c>
      <c r="M267" s="8">
        <f>IF(A267="","",IF(SUMPRODUCT(MIN(('Store Prices'!$A$5:$A$304=A267)*'Store Prices'!$G$5:$G$304+('Store Prices'!$A$5:$A$304&lt;&gt;A267)*1000000))&gt;=1000000,"",SUMPRODUCT(MIN(('Store Prices'!$A$5:$A$304=A267)*'Store Prices'!$G$5:$G$304+('Store Prices'!$A$5:$A$304&lt;&gt;A267)*1000000))))</f>
        <v>0</v>
      </c>
      <c r="N267" s="8">
        <f>IF(OR(A267="",G267="",M267=""),"",G267-M267)</f>
        <v>0</v>
      </c>
      <c r="O267" s="8">
        <f>IF(OR(A267="",G267=""),"",IF(G267=M267,"Best",""))</f>
        <v>0</v>
      </c>
      <c r="P267" s="8">
        <f>IF(OR(A267="",G267=""),"",COUNTIFS('Store Prices'!$A$5:$A$304,A267,'Store Prices'!$G$5:$G$304,"&lt;"&amp;G267)+1)</f>
        <v>0</v>
      </c>
      <c r="Q267" s="25"/>
    </row>
    <row r="268" spans="1:17">
      <c r="A268" s="7"/>
      <c r="B268" s="27"/>
      <c r="C268" s="8">
        <f>IF(A268="","",IFERROR(INDEX(Ingredients!$B$5:$B$304,MATCH(A268,Ingredients!$A$5:$A$304,0)),""))</f>
        <v>0</v>
      </c>
      <c r="D268" s="27"/>
      <c r="E268" s="28"/>
      <c r="F268" s="26"/>
      <c r="G268" s="8">
        <f>IF(OR(E268="",F268="",F268=0),"",E268/F268)</f>
        <v>0</v>
      </c>
      <c r="H268" s="30"/>
      <c r="I268" s="27"/>
      <c r="J268" s="28"/>
      <c r="K268" s="8">
        <f>IF(OR(E268="",J268=""),"",J268-E268)</f>
        <v>0</v>
      </c>
      <c r="L268" s="8">
        <f>IF(OR(K268="",J268="",J268=0),"",K268/J268)</f>
        <v>0</v>
      </c>
      <c r="M268" s="8">
        <f>IF(A268="","",IF(SUMPRODUCT(MIN(('Store Prices'!$A$5:$A$304=A268)*'Store Prices'!$G$5:$G$304+('Store Prices'!$A$5:$A$304&lt;&gt;A268)*1000000))&gt;=1000000,"",SUMPRODUCT(MIN(('Store Prices'!$A$5:$A$304=A268)*'Store Prices'!$G$5:$G$304+('Store Prices'!$A$5:$A$304&lt;&gt;A268)*1000000))))</f>
        <v>0</v>
      </c>
      <c r="N268" s="8">
        <f>IF(OR(A268="",G268="",M268=""),"",G268-M268)</f>
        <v>0</v>
      </c>
      <c r="O268" s="8">
        <f>IF(OR(A268="",G268=""),"",IF(G268=M268,"Best",""))</f>
        <v>0</v>
      </c>
      <c r="P268" s="8">
        <f>IF(OR(A268="",G268=""),"",COUNTIFS('Store Prices'!$A$5:$A$304,A268,'Store Prices'!$G$5:$G$304,"&lt;"&amp;G268)+1)</f>
        <v>0</v>
      </c>
      <c r="Q268" s="25"/>
    </row>
    <row r="269" spans="1:17">
      <c r="A269" s="7"/>
      <c r="B269" s="27"/>
      <c r="C269" s="8">
        <f>IF(A269="","",IFERROR(INDEX(Ingredients!$B$5:$B$304,MATCH(A269,Ingredients!$A$5:$A$304,0)),""))</f>
        <v>0</v>
      </c>
      <c r="D269" s="27"/>
      <c r="E269" s="28"/>
      <c r="F269" s="26"/>
      <c r="G269" s="8">
        <f>IF(OR(E269="",F269="",F269=0),"",E269/F269)</f>
        <v>0</v>
      </c>
      <c r="H269" s="30"/>
      <c r="I269" s="27"/>
      <c r="J269" s="28"/>
      <c r="K269" s="8">
        <f>IF(OR(E269="",J269=""),"",J269-E269)</f>
        <v>0</v>
      </c>
      <c r="L269" s="8">
        <f>IF(OR(K269="",J269="",J269=0),"",K269/J269)</f>
        <v>0</v>
      </c>
      <c r="M269" s="8">
        <f>IF(A269="","",IF(SUMPRODUCT(MIN(('Store Prices'!$A$5:$A$304=A269)*'Store Prices'!$G$5:$G$304+('Store Prices'!$A$5:$A$304&lt;&gt;A269)*1000000))&gt;=1000000,"",SUMPRODUCT(MIN(('Store Prices'!$A$5:$A$304=A269)*'Store Prices'!$G$5:$G$304+('Store Prices'!$A$5:$A$304&lt;&gt;A269)*1000000))))</f>
        <v>0</v>
      </c>
      <c r="N269" s="8">
        <f>IF(OR(A269="",G269="",M269=""),"",G269-M269)</f>
        <v>0</v>
      </c>
      <c r="O269" s="8">
        <f>IF(OR(A269="",G269=""),"",IF(G269=M269,"Best",""))</f>
        <v>0</v>
      </c>
      <c r="P269" s="8">
        <f>IF(OR(A269="",G269=""),"",COUNTIFS('Store Prices'!$A$5:$A$304,A269,'Store Prices'!$G$5:$G$304,"&lt;"&amp;G269)+1)</f>
        <v>0</v>
      </c>
      <c r="Q269" s="25"/>
    </row>
    <row r="270" spans="1:17">
      <c r="A270" s="7"/>
      <c r="B270" s="27"/>
      <c r="C270" s="8">
        <f>IF(A270="","",IFERROR(INDEX(Ingredients!$B$5:$B$304,MATCH(A270,Ingredients!$A$5:$A$304,0)),""))</f>
        <v>0</v>
      </c>
      <c r="D270" s="27"/>
      <c r="E270" s="28"/>
      <c r="F270" s="26"/>
      <c r="G270" s="8">
        <f>IF(OR(E270="",F270="",F270=0),"",E270/F270)</f>
        <v>0</v>
      </c>
      <c r="H270" s="30"/>
      <c r="I270" s="27"/>
      <c r="J270" s="28"/>
      <c r="K270" s="8">
        <f>IF(OR(E270="",J270=""),"",J270-E270)</f>
        <v>0</v>
      </c>
      <c r="L270" s="8">
        <f>IF(OR(K270="",J270="",J270=0),"",K270/J270)</f>
        <v>0</v>
      </c>
      <c r="M270" s="8">
        <f>IF(A270="","",IF(SUMPRODUCT(MIN(('Store Prices'!$A$5:$A$304=A270)*'Store Prices'!$G$5:$G$304+('Store Prices'!$A$5:$A$304&lt;&gt;A270)*1000000))&gt;=1000000,"",SUMPRODUCT(MIN(('Store Prices'!$A$5:$A$304=A270)*'Store Prices'!$G$5:$G$304+('Store Prices'!$A$5:$A$304&lt;&gt;A270)*1000000))))</f>
        <v>0</v>
      </c>
      <c r="N270" s="8">
        <f>IF(OR(A270="",G270="",M270=""),"",G270-M270)</f>
        <v>0</v>
      </c>
      <c r="O270" s="8">
        <f>IF(OR(A270="",G270=""),"",IF(G270=M270,"Best",""))</f>
        <v>0</v>
      </c>
      <c r="P270" s="8">
        <f>IF(OR(A270="",G270=""),"",COUNTIFS('Store Prices'!$A$5:$A$304,A270,'Store Prices'!$G$5:$G$304,"&lt;"&amp;G270)+1)</f>
        <v>0</v>
      </c>
      <c r="Q270" s="25"/>
    </row>
    <row r="271" spans="1:17">
      <c r="A271" s="7"/>
      <c r="B271" s="27"/>
      <c r="C271" s="8">
        <f>IF(A271="","",IFERROR(INDEX(Ingredients!$B$5:$B$304,MATCH(A271,Ingredients!$A$5:$A$304,0)),""))</f>
        <v>0</v>
      </c>
      <c r="D271" s="27"/>
      <c r="E271" s="28"/>
      <c r="F271" s="26"/>
      <c r="G271" s="8">
        <f>IF(OR(E271="",F271="",F271=0),"",E271/F271)</f>
        <v>0</v>
      </c>
      <c r="H271" s="30"/>
      <c r="I271" s="27"/>
      <c r="J271" s="28"/>
      <c r="K271" s="8">
        <f>IF(OR(E271="",J271=""),"",J271-E271)</f>
        <v>0</v>
      </c>
      <c r="L271" s="8">
        <f>IF(OR(K271="",J271="",J271=0),"",K271/J271)</f>
        <v>0</v>
      </c>
      <c r="M271" s="8">
        <f>IF(A271="","",IF(SUMPRODUCT(MIN(('Store Prices'!$A$5:$A$304=A271)*'Store Prices'!$G$5:$G$304+('Store Prices'!$A$5:$A$304&lt;&gt;A271)*1000000))&gt;=1000000,"",SUMPRODUCT(MIN(('Store Prices'!$A$5:$A$304=A271)*'Store Prices'!$G$5:$G$304+('Store Prices'!$A$5:$A$304&lt;&gt;A271)*1000000))))</f>
        <v>0</v>
      </c>
      <c r="N271" s="8">
        <f>IF(OR(A271="",G271="",M271=""),"",G271-M271)</f>
        <v>0</v>
      </c>
      <c r="O271" s="8">
        <f>IF(OR(A271="",G271=""),"",IF(G271=M271,"Best",""))</f>
        <v>0</v>
      </c>
      <c r="P271" s="8">
        <f>IF(OR(A271="",G271=""),"",COUNTIFS('Store Prices'!$A$5:$A$304,A271,'Store Prices'!$G$5:$G$304,"&lt;"&amp;G271)+1)</f>
        <v>0</v>
      </c>
      <c r="Q271" s="25"/>
    </row>
    <row r="272" spans="1:17">
      <c r="A272" s="7"/>
      <c r="B272" s="27"/>
      <c r="C272" s="8">
        <f>IF(A272="","",IFERROR(INDEX(Ingredients!$B$5:$B$304,MATCH(A272,Ingredients!$A$5:$A$304,0)),""))</f>
        <v>0</v>
      </c>
      <c r="D272" s="27"/>
      <c r="E272" s="28"/>
      <c r="F272" s="26"/>
      <c r="G272" s="8">
        <f>IF(OR(E272="",F272="",F272=0),"",E272/F272)</f>
        <v>0</v>
      </c>
      <c r="H272" s="30"/>
      <c r="I272" s="27"/>
      <c r="J272" s="28"/>
      <c r="K272" s="8">
        <f>IF(OR(E272="",J272=""),"",J272-E272)</f>
        <v>0</v>
      </c>
      <c r="L272" s="8">
        <f>IF(OR(K272="",J272="",J272=0),"",K272/J272)</f>
        <v>0</v>
      </c>
      <c r="M272" s="8">
        <f>IF(A272="","",IF(SUMPRODUCT(MIN(('Store Prices'!$A$5:$A$304=A272)*'Store Prices'!$G$5:$G$304+('Store Prices'!$A$5:$A$304&lt;&gt;A272)*1000000))&gt;=1000000,"",SUMPRODUCT(MIN(('Store Prices'!$A$5:$A$304=A272)*'Store Prices'!$G$5:$G$304+('Store Prices'!$A$5:$A$304&lt;&gt;A272)*1000000))))</f>
        <v>0</v>
      </c>
      <c r="N272" s="8">
        <f>IF(OR(A272="",G272="",M272=""),"",G272-M272)</f>
        <v>0</v>
      </c>
      <c r="O272" s="8">
        <f>IF(OR(A272="",G272=""),"",IF(G272=M272,"Best",""))</f>
        <v>0</v>
      </c>
      <c r="P272" s="8">
        <f>IF(OR(A272="",G272=""),"",COUNTIFS('Store Prices'!$A$5:$A$304,A272,'Store Prices'!$G$5:$G$304,"&lt;"&amp;G272)+1)</f>
        <v>0</v>
      </c>
      <c r="Q272" s="25"/>
    </row>
    <row r="273" spans="1:17">
      <c r="A273" s="7"/>
      <c r="B273" s="27"/>
      <c r="C273" s="8">
        <f>IF(A273="","",IFERROR(INDEX(Ingredients!$B$5:$B$304,MATCH(A273,Ingredients!$A$5:$A$304,0)),""))</f>
        <v>0</v>
      </c>
      <c r="D273" s="27"/>
      <c r="E273" s="28"/>
      <c r="F273" s="26"/>
      <c r="G273" s="8">
        <f>IF(OR(E273="",F273="",F273=0),"",E273/F273)</f>
        <v>0</v>
      </c>
      <c r="H273" s="30"/>
      <c r="I273" s="27"/>
      <c r="J273" s="28"/>
      <c r="K273" s="8">
        <f>IF(OR(E273="",J273=""),"",J273-E273)</f>
        <v>0</v>
      </c>
      <c r="L273" s="8">
        <f>IF(OR(K273="",J273="",J273=0),"",K273/J273)</f>
        <v>0</v>
      </c>
      <c r="M273" s="8">
        <f>IF(A273="","",IF(SUMPRODUCT(MIN(('Store Prices'!$A$5:$A$304=A273)*'Store Prices'!$G$5:$G$304+('Store Prices'!$A$5:$A$304&lt;&gt;A273)*1000000))&gt;=1000000,"",SUMPRODUCT(MIN(('Store Prices'!$A$5:$A$304=A273)*'Store Prices'!$G$5:$G$304+('Store Prices'!$A$5:$A$304&lt;&gt;A273)*1000000))))</f>
        <v>0</v>
      </c>
      <c r="N273" s="8">
        <f>IF(OR(A273="",G273="",M273=""),"",G273-M273)</f>
        <v>0</v>
      </c>
      <c r="O273" s="8">
        <f>IF(OR(A273="",G273=""),"",IF(G273=M273,"Best",""))</f>
        <v>0</v>
      </c>
      <c r="P273" s="8">
        <f>IF(OR(A273="",G273=""),"",COUNTIFS('Store Prices'!$A$5:$A$304,A273,'Store Prices'!$G$5:$G$304,"&lt;"&amp;G273)+1)</f>
        <v>0</v>
      </c>
      <c r="Q273" s="25"/>
    </row>
    <row r="274" spans="1:17">
      <c r="A274" s="7"/>
      <c r="B274" s="27"/>
      <c r="C274" s="8">
        <f>IF(A274="","",IFERROR(INDEX(Ingredients!$B$5:$B$304,MATCH(A274,Ingredients!$A$5:$A$304,0)),""))</f>
        <v>0</v>
      </c>
      <c r="D274" s="27"/>
      <c r="E274" s="28"/>
      <c r="F274" s="26"/>
      <c r="G274" s="8">
        <f>IF(OR(E274="",F274="",F274=0),"",E274/F274)</f>
        <v>0</v>
      </c>
      <c r="H274" s="30"/>
      <c r="I274" s="27"/>
      <c r="J274" s="28"/>
      <c r="K274" s="8">
        <f>IF(OR(E274="",J274=""),"",J274-E274)</f>
        <v>0</v>
      </c>
      <c r="L274" s="8">
        <f>IF(OR(K274="",J274="",J274=0),"",K274/J274)</f>
        <v>0</v>
      </c>
      <c r="M274" s="8">
        <f>IF(A274="","",IF(SUMPRODUCT(MIN(('Store Prices'!$A$5:$A$304=A274)*'Store Prices'!$G$5:$G$304+('Store Prices'!$A$5:$A$304&lt;&gt;A274)*1000000))&gt;=1000000,"",SUMPRODUCT(MIN(('Store Prices'!$A$5:$A$304=A274)*'Store Prices'!$G$5:$G$304+('Store Prices'!$A$5:$A$304&lt;&gt;A274)*1000000))))</f>
        <v>0</v>
      </c>
      <c r="N274" s="8">
        <f>IF(OR(A274="",G274="",M274=""),"",G274-M274)</f>
        <v>0</v>
      </c>
      <c r="O274" s="8">
        <f>IF(OR(A274="",G274=""),"",IF(G274=M274,"Best",""))</f>
        <v>0</v>
      </c>
      <c r="P274" s="8">
        <f>IF(OR(A274="",G274=""),"",COUNTIFS('Store Prices'!$A$5:$A$304,A274,'Store Prices'!$G$5:$G$304,"&lt;"&amp;G274)+1)</f>
        <v>0</v>
      </c>
      <c r="Q274" s="25"/>
    </row>
    <row r="275" spans="1:17">
      <c r="A275" s="7"/>
      <c r="B275" s="27"/>
      <c r="C275" s="8">
        <f>IF(A275="","",IFERROR(INDEX(Ingredients!$B$5:$B$304,MATCH(A275,Ingredients!$A$5:$A$304,0)),""))</f>
        <v>0</v>
      </c>
      <c r="D275" s="27"/>
      <c r="E275" s="28"/>
      <c r="F275" s="26"/>
      <c r="G275" s="8">
        <f>IF(OR(E275="",F275="",F275=0),"",E275/F275)</f>
        <v>0</v>
      </c>
      <c r="H275" s="30"/>
      <c r="I275" s="27"/>
      <c r="J275" s="28"/>
      <c r="K275" s="8">
        <f>IF(OR(E275="",J275=""),"",J275-E275)</f>
        <v>0</v>
      </c>
      <c r="L275" s="8">
        <f>IF(OR(K275="",J275="",J275=0),"",K275/J275)</f>
        <v>0</v>
      </c>
      <c r="M275" s="8">
        <f>IF(A275="","",IF(SUMPRODUCT(MIN(('Store Prices'!$A$5:$A$304=A275)*'Store Prices'!$G$5:$G$304+('Store Prices'!$A$5:$A$304&lt;&gt;A275)*1000000))&gt;=1000000,"",SUMPRODUCT(MIN(('Store Prices'!$A$5:$A$304=A275)*'Store Prices'!$G$5:$G$304+('Store Prices'!$A$5:$A$304&lt;&gt;A275)*1000000))))</f>
        <v>0</v>
      </c>
      <c r="N275" s="8">
        <f>IF(OR(A275="",G275="",M275=""),"",G275-M275)</f>
        <v>0</v>
      </c>
      <c r="O275" s="8">
        <f>IF(OR(A275="",G275=""),"",IF(G275=M275,"Best",""))</f>
        <v>0</v>
      </c>
      <c r="P275" s="8">
        <f>IF(OR(A275="",G275=""),"",COUNTIFS('Store Prices'!$A$5:$A$304,A275,'Store Prices'!$G$5:$G$304,"&lt;"&amp;G275)+1)</f>
        <v>0</v>
      </c>
      <c r="Q275" s="25"/>
    </row>
    <row r="276" spans="1:17">
      <c r="A276" s="7"/>
      <c r="B276" s="27"/>
      <c r="C276" s="8">
        <f>IF(A276="","",IFERROR(INDEX(Ingredients!$B$5:$B$304,MATCH(A276,Ingredients!$A$5:$A$304,0)),""))</f>
        <v>0</v>
      </c>
      <c r="D276" s="27"/>
      <c r="E276" s="28"/>
      <c r="F276" s="26"/>
      <c r="G276" s="8">
        <f>IF(OR(E276="",F276="",F276=0),"",E276/F276)</f>
        <v>0</v>
      </c>
      <c r="H276" s="30"/>
      <c r="I276" s="27"/>
      <c r="J276" s="28"/>
      <c r="K276" s="8">
        <f>IF(OR(E276="",J276=""),"",J276-E276)</f>
        <v>0</v>
      </c>
      <c r="L276" s="8">
        <f>IF(OR(K276="",J276="",J276=0),"",K276/J276)</f>
        <v>0</v>
      </c>
      <c r="M276" s="8">
        <f>IF(A276="","",IF(SUMPRODUCT(MIN(('Store Prices'!$A$5:$A$304=A276)*'Store Prices'!$G$5:$G$304+('Store Prices'!$A$5:$A$304&lt;&gt;A276)*1000000))&gt;=1000000,"",SUMPRODUCT(MIN(('Store Prices'!$A$5:$A$304=A276)*'Store Prices'!$G$5:$G$304+('Store Prices'!$A$5:$A$304&lt;&gt;A276)*1000000))))</f>
        <v>0</v>
      </c>
      <c r="N276" s="8">
        <f>IF(OR(A276="",G276="",M276=""),"",G276-M276)</f>
        <v>0</v>
      </c>
      <c r="O276" s="8">
        <f>IF(OR(A276="",G276=""),"",IF(G276=M276,"Best",""))</f>
        <v>0</v>
      </c>
      <c r="P276" s="8">
        <f>IF(OR(A276="",G276=""),"",COUNTIFS('Store Prices'!$A$5:$A$304,A276,'Store Prices'!$G$5:$G$304,"&lt;"&amp;G276)+1)</f>
        <v>0</v>
      </c>
      <c r="Q276" s="25"/>
    </row>
    <row r="277" spans="1:17">
      <c r="A277" s="7"/>
      <c r="B277" s="27"/>
      <c r="C277" s="8">
        <f>IF(A277="","",IFERROR(INDEX(Ingredients!$B$5:$B$304,MATCH(A277,Ingredients!$A$5:$A$304,0)),""))</f>
        <v>0</v>
      </c>
      <c r="D277" s="27"/>
      <c r="E277" s="28"/>
      <c r="F277" s="26"/>
      <c r="G277" s="8">
        <f>IF(OR(E277="",F277="",F277=0),"",E277/F277)</f>
        <v>0</v>
      </c>
      <c r="H277" s="30"/>
      <c r="I277" s="27"/>
      <c r="J277" s="28"/>
      <c r="K277" s="8">
        <f>IF(OR(E277="",J277=""),"",J277-E277)</f>
        <v>0</v>
      </c>
      <c r="L277" s="8">
        <f>IF(OR(K277="",J277="",J277=0),"",K277/J277)</f>
        <v>0</v>
      </c>
      <c r="M277" s="8">
        <f>IF(A277="","",IF(SUMPRODUCT(MIN(('Store Prices'!$A$5:$A$304=A277)*'Store Prices'!$G$5:$G$304+('Store Prices'!$A$5:$A$304&lt;&gt;A277)*1000000))&gt;=1000000,"",SUMPRODUCT(MIN(('Store Prices'!$A$5:$A$304=A277)*'Store Prices'!$G$5:$G$304+('Store Prices'!$A$5:$A$304&lt;&gt;A277)*1000000))))</f>
        <v>0</v>
      </c>
      <c r="N277" s="8">
        <f>IF(OR(A277="",G277="",M277=""),"",G277-M277)</f>
        <v>0</v>
      </c>
      <c r="O277" s="8">
        <f>IF(OR(A277="",G277=""),"",IF(G277=M277,"Best",""))</f>
        <v>0</v>
      </c>
      <c r="P277" s="8">
        <f>IF(OR(A277="",G277=""),"",COUNTIFS('Store Prices'!$A$5:$A$304,A277,'Store Prices'!$G$5:$G$304,"&lt;"&amp;G277)+1)</f>
        <v>0</v>
      </c>
      <c r="Q277" s="25"/>
    </row>
    <row r="278" spans="1:17">
      <c r="A278" s="7"/>
      <c r="B278" s="27"/>
      <c r="C278" s="8">
        <f>IF(A278="","",IFERROR(INDEX(Ingredients!$B$5:$B$304,MATCH(A278,Ingredients!$A$5:$A$304,0)),""))</f>
        <v>0</v>
      </c>
      <c r="D278" s="27"/>
      <c r="E278" s="28"/>
      <c r="F278" s="26"/>
      <c r="G278" s="8">
        <f>IF(OR(E278="",F278="",F278=0),"",E278/F278)</f>
        <v>0</v>
      </c>
      <c r="H278" s="30"/>
      <c r="I278" s="27"/>
      <c r="J278" s="28"/>
      <c r="K278" s="8">
        <f>IF(OR(E278="",J278=""),"",J278-E278)</f>
        <v>0</v>
      </c>
      <c r="L278" s="8">
        <f>IF(OR(K278="",J278="",J278=0),"",K278/J278)</f>
        <v>0</v>
      </c>
      <c r="M278" s="8">
        <f>IF(A278="","",IF(SUMPRODUCT(MIN(('Store Prices'!$A$5:$A$304=A278)*'Store Prices'!$G$5:$G$304+('Store Prices'!$A$5:$A$304&lt;&gt;A278)*1000000))&gt;=1000000,"",SUMPRODUCT(MIN(('Store Prices'!$A$5:$A$304=A278)*'Store Prices'!$G$5:$G$304+('Store Prices'!$A$5:$A$304&lt;&gt;A278)*1000000))))</f>
        <v>0</v>
      </c>
      <c r="N278" s="8">
        <f>IF(OR(A278="",G278="",M278=""),"",G278-M278)</f>
        <v>0</v>
      </c>
      <c r="O278" s="8">
        <f>IF(OR(A278="",G278=""),"",IF(G278=M278,"Best",""))</f>
        <v>0</v>
      </c>
      <c r="P278" s="8">
        <f>IF(OR(A278="",G278=""),"",COUNTIFS('Store Prices'!$A$5:$A$304,A278,'Store Prices'!$G$5:$G$304,"&lt;"&amp;G278)+1)</f>
        <v>0</v>
      </c>
      <c r="Q278" s="25"/>
    </row>
    <row r="279" spans="1:17">
      <c r="A279" s="7"/>
      <c r="B279" s="27"/>
      <c r="C279" s="8">
        <f>IF(A279="","",IFERROR(INDEX(Ingredients!$B$5:$B$304,MATCH(A279,Ingredients!$A$5:$A$304,0)),""))</f>
        <v>0</v>
      </c>
      <c r="D279" s="27"/>
      <c r="E279" s="28"/>
      <c r="F279" s="26"/>
      <c r="G279" s="8">
        <f>IF(OR(E279="",F279="",F279=0),"",E279/F279)</f>
        <v>0</v>
      </c>
      <c r="H279" s="30"/>
      <c r="I279" s="27"/>
      <c r="J279" s="28"/>
      <c r="K279" s="8">
        <f>IF(OR(E279="",J279=""),"",J279-E279)</f>
        <v>0</v>
      </c>
      <c r="L279" s="8">
        <f>IF(OR(K279="",J279="",J279=0),"",K279/J279)</f>
        <v>0</v>
      </c>
      <c r="M279" s="8">
        <f>IF(A279="","",IF(SUMPRODUCT(MIN(('Store Prices'!$A$5:$A$304=A279)*'Store Prices'!$G$5:$G$304+('Store Prices'!$A$5:$A$304&lt;&gt;A279)*1000000))&gt;=1000000,"",SUMPRODUCT(MIN(('Store Prices'!$A$5:$A$304=A279)*'Store Prices'!$G$5:$G$304+('Store Prices'!$A$5:$A$304&lt;&gt;A279)*1000000))))</f>
        <v>0</v>
      </c>
      <c r="N279" s="8">
        <f>IF(OR(A279="",G279="",M279=""),"",G279-M279)</f>
        <v>0</v>
      </c>
      <c r="O279" s="8">
        <f>IF(OR(A279="",G279=""),"",IF(G279=M279,"Best",""))</f>
        <v>0</v>
      </c>
      <c r="P279" s="8">
        <f>IF(OR(A279="",G279=""),"",COUNTIFS('Store Prices'!$A$5:$A$304,A279,'Store Prices'!$G$5:$G$304,"&lt;"&amp;G279)+1)</f>
        <v>0</v>
      </c>
      <c r="Q279" s="25"/>
    </row>
    <row r="280" spans="1:17">
      <c r="A280" s="7"/>
      <c r="B280" s="27"/>
      <c r="C280" s="8">
        <f>IF(A280="","",IFERROR(INDEX(Ingredients!$B$5:$B$304,MATCH(A280,Ingredients!$A$5:$A$304,0)),""))</f>
        <v>0</v>
      </c>
      <c r="D280" s="27"/>
      <c r="E280" s="28"/>
      <c r="F280" s="26"/>
      <c r="G280" s="8">
        <f>IF(OR(E280="",F280="",F280=0),"",E280/F280)</f>
        <v>0</v>
      </c>
      <c r="H280" s="30"/>
      <c r="I280" s="27"/>
      <c r="J280" s="28"/>
      <c r="K280" s="8">
        <f>IF(OR(E280="",J280=""),"",J280-E280)</f>
        <v>0</v>
      </c>
      <c r="L280" s="8">
        <f>IF(OR(K280="",J280="",J280=0),"",K280/J280)</f>
        <v>0</v>
      </c>
      <c r="M280" s="8">
        <f>IF(A280="","",IF(SUMPRODUCT(MIN(('Store Prices'!$A$5:$A$304=A280)*'Store Prices'!$G$5:$G$304+('Store Prices'!$A$5:$A$304&lt;&gt;A280)*1000000))&gt;=1000000,"",SUMPRODUCT(MIN(('Store Prices'!$A$5:$A$304=A280)*'Store Prices'!$G$5:$G$304+('Store Prices'!$A$5:$A$304&lt;&gt;A280)*1000000))))</f>
        <v>0</v>
      </c>
      <c r="N280" s="8">
        <f>IF(OR(A280="",G280="",M280=""),"",G280-M280)</f>
        <v>0</v>
      </c>
      <c r="O280" s="8">
        <f>IF(OR(A280="",G280=""),"",IF(G280=M280,"Best",""))</f>
        <v>0</v>
      </c>
      <c r="P280" s="8">
        <f>IF(OR(A280="",G280=""),"",COUNTIFS('Store Prices'!$A$5:$A$304,A280,'Store Prices'!$G$5:$G$304,"&lt;"&amp;G280)+1)</f>
        <v>0</v>
      </c>
      <c r="Q280" s="25"/>
    </row>
    <row r="281" spans="1:17">
      <c r="A281" s="7"/>
      <c r="B281" s="27"/>
      <c r="C281" s="8">
        <f>IF(A281="","",IFERROR(INDEX(Ingredients!$B$5:$B$304,MATCH(A281,Ingredients!$A$5:$A$304,0)),""))</f>
        <v>0</v>
      </c>
      <c r="D281" s="27"/>
      <c r="E281" s="28"/>
      <c r="F281" s="26"/>
      <c r="G281" s="8">
        <f>IF(OR(E281="",F281="",F281=0),"",E281/F281)</f>
        <v>0</v>
      </c>
      <c r="H281" s="30"/>
      <c r="I281" s="27"/>
      <c r="J281" s="28"/>
      <c r="K281" s="8">
        <f>IF(OR(E281="",J281=""),"",J281-E281)</f>
        <v>0</v>
      </c>
      <c r="L281" s="8">
        <f>IF(OR(K281="",J281="",J281=0),"",K281/J281)</f>
        <v>0</v>
      </c>
      <c r="M281" s="8">
        <f>IF(A281="","",IF(SUMPRODUCT(MIN(('Store Prices'!$A$5:$A$304=A281)*'Store Prices'!$G$5:$G$304+('Store Prices'!$A$5:$A$304&lt;&gt;A281)*1000000))&gt;=1000000,"",SUMPRODUCT(MIN(('Store Prices'!$A$5:$A$304=A281)*'Store Prices'!$G$5:$G$304+('Store Prices'!$A$5:$A$304&lt;&gt;A281)*1000000))))</f>
        <v>0</v>
      </c>
      <c r="N281" s="8">
        <f>IF(OR(A281="",G281="",M281=""),"",G281-M281)</f>
        <v>0</v>
      </c>
      <c r="O281" s="8">
        <f>IF(OR(A281="",G281=""),"",IF(G281=M281,"Best",""))</f>
        <v>0</v>
      </c>
      <c r="P281" s="8">
        <f>IF(OR(A281="",G281=""),"",COUNTIFS('Store Prices'!$A$5:$A$304,A281,'Store Prices'!$G$5:$G$304,"&lt;"&amp;G281)+1)</f>
        <v>0</v>
      </c>
      <c r="Q281" s="25"/>
    </row>
    <row r="282" spans="1:17">
      <c r="A282" s="7"/>
      <c r="B282" s="27"/>
      <c r="C282" s="8">
        <f>IF(A282="","",IFERROR(INDEX(Ingredients!$B$5:$B$304,MATCH(A282,Ingredients!$A$5:$A$304,0)),""))</f>
        <v>0</v>
      </c>
      <c r="D282" s="27"/>
      <c r="E282" s="28"/>
      <c r="F282" s="26"/>
      <c r="G282" s="8">
        <f>IF(OR(E282="",F282="",F282=0),"",E282/F282)</f>
        <v>0</v>
      </c>
      <c r="H282" s="30"/>
      <c r="I282" s="27"/>
      <c r="J282" s="28"/>
      <c r="K282" s="8">
        <f>IF(OR(E282="",J282=""),"",J282-E282)</f>
        <v>0</v>
      </c>
      <c r="L282" s="8">
        <f>IF(OR(K282="",J282="",J282=0),"",K282/J282)</f>
        <v>0</v>
      </c>
      <c r="M282" s="8">
        <f>IF(A282="","",IF(SUMPRODUCT(MIN(('Store Prices'!$A$5:$A$304=A282)*'Store Prices'!$G$5:$G$304+('Store Prices'!$A$5:$A$304&lt;&gt;A282)*1000000))&gt;=1000000,"",SUMPRODUCT(MIN(('Store Prices'!$A$5:$A$304=A282)*'Store Prices'!$G$5:$G$304+('Store Prices'!$A$5:$A$304&lt;&gt;A282)*1000000))))</f>
        <v>0</v>
      </c>
      <c r="N282" s="8">
        <f>IF(OR(A282="",G282="",M282=""),"",G282-M282)</f>
        <v>0</v>
      </c>
      <c r="O282" s="8">
        <f>IF(OR(A282="",G282=""),"",IF(G282=M282,"Best",""))</f>
        <v>0</v>
      </c>
      <c r="P282" s="8">
        <f>IF(OR(A282="",G282=""),"",COUNTIFS('Store Prices'!$A$5:$A$304,A282,'Store Prices'!$G$5:$G$304,"&lt;"&amp;G282)+1)</f>
        <v>0</v>
      </c>
      <c r="Q282" s="25"/>
    </row>
    <row r="283" spans="1:17">
      <c r="A283" s="7"/>
      <c r="B283" s="27"/>
      <c r="C283" s="8">
        <f>IF(A283="","",IFERROR(INDEX(Ingredients!$B$5:$B$304,MATCH(A283,Ingredients!$A$5:$A$304,0)),""))</f>
        <v>0</v>
      </c>
      <c r="D283" s="27"/>
      <c r="E283" s="28"/>
      <c r="F283" s="26"/>
      <c r="G283" s="8">
        <f>IF(OR(E283="",F283="",F283=0),"",E283/F283)</f>
        <v>0</v>
      </c>
      <c r="H283" s="30"/>
      <c r="I283" s="27"/>
      <c r="J283" s="28"/>
      <c r="K283" s="8">
        <f>IF(OR(E283="",J283=""),"",J283-E283)</f>
        <v>0</v>
      </c>
      <c r="L283" s="8">
        <f>IF(OR(K283="",J283="",J283=0),"",K283/J283)</f>
        <v>0</v>
      </c>
      <c r="M283" s="8">
        <f>IF(A283="","",IF(SUMPRODUCT(MIN(('Store Prices'!$A$5:$A$304=A283)*'Store Prices'!$G$5:$G$304+('Store Prices'!$A$5:$A$304&lt;&gt;A283)*1000000))&gt;=1000000,"",SUMPRODUCT(MIN(('Store Prices'!$A$5:$A$304=A283)*'Store Prices'!$G$5:$G$304+('Store Prices'!$A$5:$A$304&lt;&gt;A283)*1000000))))</f>
        <v>0</v>
      </c>
      <c r="N283" s="8">
        <f>IF(OR(A283="",G283="",M283=""),"",G283-M283)</f>
        <v>0</v>
      </c>
      <c r="O283" s="8">
        <f>IF(OR(A283="",G283=""),"",IF(G283=M283,"Best",""))</f>
        <v>0</v>
      </c>
      <c r="P283" s="8">
        <f>IF(OR(A283="",G283=""),"",COUNTIFS('Store Prices'!$A$5:$A$304,A283,'Store Prices'!$G$5:$G$304,"&lt;"&amp;G283)+1)</f>
        <v>0</v>
      </c>
      <c r="Q283" s="25"/>
    </row>
    <row r="284" spans="1:17">
      <c r="A284" s="7"/>
      <c r="B284" s="27"/>
      <c r="C284" s="8">
        <f>IF(A284="","",IFERROR(INDEX(Ingredients!$B$5:$B$304,MATCH(A284,Ingredients!$A$5:$A$304,0)),""))</f>
        <v>0</v>
      </c>
      <c r="D284" s="27"/>
      <c r="E284" s="28"/>
      <c r="F284" s="26"/>
      <c r="G284" s="8">
        <f>IF(OR(E284="",F284="",F284=0),"",E284/F284)</f>
        <v>0</v>
      </c>
      <c r="H284" s="30"/>
      <c r="I284" s="27"/>
      <c r="J284" s="28"/>
      <c r="K284" s="8">
        <f>IF(OR(E284="",J284=""),"",J284-E284)</f>
        <v>0</v>
      </c>
      <c r="L284" s="8">
        <f>IF(OR(K284="",J284="",J284=0),"",K284/J284)</f>
        <v>0</v>
      </c>
      <c r="M284" s="8">
        <f>IF(A284="","",IF(SUMPRODUCT(MIN(('Store Prices'!$A$5:$A$304=A284)*'Store Prices'!$G$5:$G$304+('Store Prices'!$A$5:$A$304&lt;&gt;A284)*1000000))&gt;=1000000,"",SUMPRODUCT(MIN(('Store Prices'!$A$5:$A$304=A284)*'Store Prices'!$G$5:$G$304+('Store Prices'!$A$5:$A$304&lt;&gt;A284)*1000000))))</f>
        <v>0</v>
      </c>
      <c r="N284" s="8">
        <f>IF(OR(A284="",G284="",M284=""),"",G284-M284)</f>
        <v>0</v>
      </c>
      <c r="O284" s="8">
        <f>IF(OR(A284="",G284=""),"",IF(G284=M284,"Best",""))</f>
        <v>0</v>
      </c>
      <c r="P284" s="8">
        <f>IF(OR(A284="",G284=""),"",COUNTIFS('Store Prices'!$A$5:$A$304,A284,'Store Prices'!$G$5:$G$304,"&lt;"&amp;G284)+1)</f>
        <v>0</v>
      </c>
      <c r="Q284" s="25"/>
    </row>
    <row r="285" spans="1:17">
      <c r="A285" s="7"/>
      <c r="B285" s="27"/>
      <c r="C285" s="8">
        <f>IF(A285="","",IFERROR(INDEX(Ingredients!$B$5:$B$304,MATCH(A285,Ingredients!$A$5:$A$304,0)),""))</f>
        <v>0</v>
      </c>
      <c r="D285" s="27"/>
      <c r="E285" s="28"/>
      <c r="F285" s="26"/>
      <c r="G285" s="8">
        <f>IF(OR(E285="",F285="",F285=0),"",E285/F285)</f>
        <v>0</v>
      </c>
      <c r="H285" s="30"/>
      <c r="I285" s="27"/>
      <c r="J285" s="28"/>
      <c r="K285" s="8">
        <f>IF(OR(E285="",J285=""),"",J285-E285)</f>
        <v>0</v>
      </c>
      <c r="L285" s="8">
        <f>IF(OR(K285="",J285="",J285=0),"",K285/J285)</f>
        <v>0</v>
      </c>
      <c r="M285" s="8">
        <f>IF(A285="","",IF(SUMPRODUCT(MIN(('Store Prices'!$A$5:$A$304=A285)*'Store Prices'!$G$5:$G$304+('Store Prices'!$A$5:$A$304&lt;&gt;A285)*1000000))&gt;=1000000,"",SUMPRODUCT(MIN(('Store Prices'!$A$5:$A$304=A285)*'Store Prices'!$G$5:$G$304+('Store Prices'!$A$5:$A$304&lt;&gt;A285)*1000000))))</f>
        <v>0</v>
      </c>
      <c r="N285" s="8">
        <f>IF(OR(A285="",G285="",M285=""),"",G285-M285)</f>
        <v>0</v>
      </c>
      <c r="O285" s="8">
        <f>IF(OR(A285="",G285=""),"",IF(G285=M285,"Best",""))</f>
        <v>0</v>
      </c>
      <c r="P285" s="8">
        <f>IF(OR(A285="",G285=""),"",COUNTIFS('Store Prices'!$A$5:$A$304,A285,'Store Prices'!$G$5:$G$304,"&lt;"&amp;G285)+1)</f>
        <v>0</v>
      </c>
      <c r="Q285" s="25"/>
    </row>
    <row r="286" spans="1:17">
      <c r="A286" s="7"/>
      <c r="B286" s="27"/>
      <c r="C286" s="8">
        <f>IF(A286="","",IFERROR(INDEX(Ingredients!$B$5:$B$304,MATCH(A286,Ingredients!$A$5:$A$304,0)),""))</f>
        <v>0</v>
      </c>
      <c r="D286" s="27"/>
      <c r="E286" s="28"/>
      <c r="F286" s="26"/>
      <c r="G286" s="8">
        <f>IF(OR(E286="",F286="",F286=0),"",E286/F286)</f>
        <v>0</v>
      </c>
      <c r="H286" s="30"/>
      <c r="I286" s="27"/>
      <c r="J286" s="28"/>
      <c r="K286" s="8">
        <f>IF(OR(E286="",J286=""),"",J286-E286)</f>
        <v>0</v>
      </c>
      <c r="L286" s="8">
        <f>IF(OR(K286="",J286="",J286=0),"",K286/J286)</f>
        <v>0</v>
      </c>
      <c r="M286" s="8">
        <f>IF(A286="","",IF(SUMPRODUCT(MIN(('Store Prices'!$A$5:$A$304=A286)*'Store Prices'!$G$5:$G$304+('Store Prices'!$A$5:$A$304&lt;&gt;A286)*1000000))&gt;=1000000,"",SUMPRODUCT(MIN(('Store Prices'!$A$5:$A$304=A286)*'Store Prices'!$G$5:$G$304+('Store Prices'!$A$5:$A$304&lt;&gt;A286)*1000000))))</f>
        <v>0</v>
      </c>
      <c r="N286" s="8">
        <f>IF(OR(A286="",G286="",M286=""),"",G286-M286)</f>
        <v>0</v>
      </c>
      <c r="O286" s="8">
        <f>IF(OR(A286="",G286=""),"",IF(G286=M286,"Best",""))</f>
        <v>0</v>
      </c>
      <c r="P286" s="8">
        <f>IF(OR(A286="",G286=""),"",COUNTIFS('Store Prices'!$A$5:$A$304,A286,'Store Prices'!$G$5:$G$304,"&lt;"&amp;G286)+1)</f>
        <v>0</v>
      </c>
      <c r="Q286" s="25"/>
    </row>
    <row r="287" spans="1:17">
      <c r="A287" s="7"/>
      <c r="B287" s="27"/>
      <c r="C287" s="8">
        <f>IF(A287="","",IFERROR(INDEX(Ingredients!$B$5:$B$304,MATCH(A287,Ingredients!$A$5:$A$304,0)),""))</f>
        <v>0</v>
      </c>
      <c r="D287" s="27"/>
      <c r="E287" s="28"/>
      <c r="F287" s="26"/>
      <c r="G287" s="8">
        <f>IF(OR(E287="",F287="",F287=0),"",E287/F287)</f>
        <v>0</v>
      </c>
      <c r="H287" s="30"/>
      <c r="I287" s="27"/>
      <c r="J287" s="28"/>
      <c r="K287" s="8">
        <f>IF(OR(E287="",J287=""),"",J287-E287)</f>
        <v>0</v>
      </c>
      <c r="L287" s="8">
        <f>IF(OR(K287="",J287="",J287=0),"",K287/J287)</f>
        <v>0</v>
      </c>
      <c r="M287" s="8">
        <f>IF(A287="","",IF(SUMPRODUCT(MIN(('Store Prices'!$A$5:$A$304=A287)*'Store Prices'!$G$5:$G$304+('Store Prices'!$A$5:$A$304&lt;&gt;A287)*1000000))&gt;=1000000,"",SUMPRODUCT(MIN(('Store Prices'!$A$5:$A$304=A287)*'Store Prices'!$G$5:$G$304+('Store Prices'!$A$5:$A$304&lt;&gt;A287)*1000000))))</f>
        <v>0</v>
      </c>
      <c r="N287" s="8">
        <f>IF(OR(A287="",G287="",M287=""),"",G287-M287)</f>
        <v>0</v>
      </c>
      <c r="O287" s="8">
        <f>IF(OR(A287="",G287=""),"",IF(G287=M287,"Best",""))</f>
        <v>0</v>
      </c>
      <c r="P287" s="8">
        <f>IF(OR(A287="",G287=""),"",COUNTIFS('Store Prices'!$A$5:$A$304,A287,'Store Prices'!$G$5:$G$304,"&lt;"&amp;G287)+1)</f>
        <v>0</v>
      </c>
      <c r="Q287" s="25"/>
    </row>
    <row r="288" spans="1:17">
      <c r="A288" s="7"/>
      <c r="B288" s="27"/>
      <c r="C288" s="8">
        <f>IF(A288="","",IFERROR(INDEX(Ingredients!$B$5:$B$304,MATCH(A288,Ingredients!$A$5:$A$304,0)),""))</f>
        <v>0</v>
      </c>
      <c r="D288" s="27"/>
      <c r="E288" s="28"/>
      <c r="F288" s="26"/>
      <c r="G288" s="8">
        <f>IF(OR(E288="",F288="",F288=0),"",E288/F288)</f>
        <v>0</v>
      </c>
      <c r="H288" s="30"/>
      <c r="I288" s="27"/>
      <c r="J288" s="28"/>
      <c r="K288" s="8">
        <f>IF(OR(E288="",J288=""),"",J288-E288)</f>
        <v>0</v>
      </c>
      <c r="L288" s="8">
        <f>IF(OR(K288="",J288="",J288=0),"",K288/J288)</f>
        <v>0</v>
      </c>
      <c r="M288" s="8">
        <f>IF(A288="","",IF(SUMPRODUCT(MIN(('Store Prices'!$A$5:$A$304=A288)*'Store Prices'!$G$5:$G$304+('Store Prices'!$A$5:$A$304&lt;&gt;A288)*1000000))&gt;=1000000,"",SUMPRODUCT(MIN(('Store Prices'!$A$5:$A$304=A288)*'Store Prices'!$G$5:$G$304+('Store Prices'!$A$5:$A$304&lt;&gt;A288)*1000000))))</f>
        <v>0</v>
      </c>
      <c r="N288" s="8">
        <f>IF(OR(A288="",G288="",M288=""),"",G288-M288)</f>
        <v>0</v>
      </c>
      <c r="O288" s="8">
        <f>IF(OR(A288="",G288=""),"",IF(G288=M288,"Best",""))</f>
        <v>0</v>
      </c>
      <c r="P288" s="8">
        <f>IF(OR(A288="",G288=""),"",COUNTIFS('Store Prices'!$A$5:$A$304,A288,'Store Prices'!$G$5:$G$304,"&lt;"&amp;G288)+1)</f>
        <v>0</v>
      </c>
      <c r="Q288" s="25"/>
    </row>
    <row r="289" spans="1:17">
      <c r="A289" s="7"/>
      <c r="B289" s="27"/>
      <c r="C289" s="8">
        <f>IF(A289="","",IFERROR(INDEX(Ingredients!$B$5:$B$304,MATCH(A289,Ingredients!$A$5:$A$304,0)),""))</f>
        <v>0</v>
      </c>
      <c r="D289" s="27"/>
      <c r="E289" s="28"/>
      <c r="F289" s="26"/>
      <c r="G289" s="8">
        <f>IF(OR(E289="",F289="",F289=0),"",E289/F289)</f>
        <v>0</v>
      </c>
      <c r="H289" s="30"/>
      <c r="I289" s="27"/>
      <c r="J289" s="28"/>
      <c r="K289" s="8">
        <f>IF(OR(E289="",J289=""),"",J289-E289)</f>
        <v>0</v>
      </c>
      <c r="L289" s="8">
        <f>IF(OR(K289="",J289="",J289=0),"",K289/J289)</f>
        <v>0</v>
      </c>
      <c r="M289" s="8">
        <f>IF(A289="","",IF(SUMPRODUCT(MIN(('Store Prices'!$A$5:$A$304=A289)*'Store Prices'!$G$5:$G$304+('Store Prices'!$A$5:$A$304&lt;&gt;A289)*1000000))&gt;=1000000,"",SUMPRODUCT(MIN(('Store Prices'!$A$5:$A$304=A289)*'Store Prices'!$G$5:$G$304+('Store Prices'!$A$5:$A$304&lt;&gt;A289)*1000000))))</f>
        <v>0</v>
      </c>
      <c r="N289" s="8">
        <f>IF(OR(A289="",G289="",M289=""),"",G289-M289)</f>
        <v>0</v>
      </c>
      <c r="O289" s="8">
        <f>IF(OR(A289="",G289=""),"",IF(G289=M289,"Best",""))</f>
        <v>0</v>
      </c>
      <c r="P289" s="8">
        <f>IF(OR(A289="",G289=""),"",COUNTIFS('Store Prices'!$A$5:$A$304,A289,'Store Prices'!$G$5:$G$304,"&lt;"&amp;G289)+1)</f>
        <v>0</v>
      </c>
      <c r="Q289" s="25"/>
    </row>
    <row r="290" spans="1:17">
      <c r="A290" s="7"/>
      <c r="B290" s="27"/>
      <c r="C290" s="8">
        <f>IF(A290="","",IFERROR(INDEX(Ingredients!$B$5:$B$304,MATCH(A290,Ingredients!$A$5:$A$304,0)),""))</f>
        <v>0</v>
      </c>
      <c r="D290" s="27"/>
      <c r="E290" s="28"/>
      <c r="F290" s="26"/>
      <c r="G290" s="8">
        <f>IF(OR(E290="",F290="",F290=0),"",E290/F290)</f>
        <v>0</v>
      </c>
      <c r="H290" s="30"/>
      <c r="I290" s="27"/>
      <c r="J290" s="28"/>
      <c r="K290" s="8">
        <f>IF(OR(E290="",J290=""),"",J290-E290)</f>
        <v>0</v>
      </c>
      <c r="L290" s="8">
        <f>IF(OR(K290="",J290="",J290=0),"",K290/J290)</f>
        <v>0</v>
      </c>
      <c r="M290" s="8">
        <f>IF(A290="","",IF(SUMPRODUCT(MIN(('Store Prices'!$A$5:$A$304=A290)*'Store Prices'!$G$5:$G$304+('Store Prices'!$A$5:$A$304&lt;&gt;A290)*1000000))&gt;=1000000,"",SUMPRODUCT(MIN(('Store Prices'!$A$5:$A$304=A290)*'Store Prices'!$G$5:$G$304+('Store Prices'!$A$5:$A$304&lt;&gt;A290)*1000000))))</f>
        <v>0</v>
      </c>
      <c r="N290" s="8">
        <f>IF(OR(A290="",G290="",M290=""),"",G290-M290)</f>
        <v>0</v>
      </c>
      <c r="O290" s="8">
        <f>IF(OR(A290="",G290=""),"",IF(G290=M290,"Best",""))</f>
        <v>0</v>
      </c>
      <c r="P290" s="8">
        <f>IF(OR(A290="",G290=""),"",COUNTIFS('Store Prices'!$A$5:$A$304,A290,'Store Prices'!$G$5:$G$304,"&lt;"&amp;G290)+1)</f>
        <v>0</v>
      </c>
      <c r="Q290" s="25"/>
    </row>
    <row r="291" spans="1:17">
      <c r="A291" s="7"/>
      <c r="B291" s="27"/>
      <c r="C291" s="8">
        <f>IF(A291="","",IFERROR(INDEX(Ingredients!$B$5:$B$304,MATCH(A291,Ingredients!$A$5:$A$304,0)),""))</f>
        <v>0</v>
      </c>
      <c r="D291" s="27"/>
      <c r="E291" s="28"/>
      <c r="F291" s="26"/>
      <c r="G291" s="8">
        <f>IF(OR(E291="",F291="",F291=0),"",E291/F291)</f>
        <v>0</v>
      </c>
      <c r="H291" s="30"/>
      <c r="I291" s="27"/>
      <c r="J291" s="28"/>
      <c r="K291" s="8">
        <f>IF(OR(E291="",J291=""),"",J291-E291)</f>
        <v>0</v>
      </c>
      <c r="L291" s="8">
        <f>IF(OR(K291="",J291="",J291=0),"",K291/J291)</f>
        <v>0</v>
      </c>
      <c r="M291" s="8">
        <f>IF(A291="","",IF(SUMPRODUCT(MIN(('Store Prices'!$A$5:$A$304=A291)*'Store Prices'!$G$5:$G$304+('Store Prices'!$A$5:$A$304&lt;&gt;A291)*1000000))&gt;=1000000,"",SUMPRODUCT(MIN(('Store Prices'!$A$5:$A$304=A291)*'Store Prices'!$G$5:$G$304+('Store Prices'!$A$5:$A$304&lt;&gt;A291)*1000000))))</f>
        <v>0</v>
      </c>
      <c r="N291" s="8">
        <f>IF(OR(A291="",G291="",M291=""),"",G291-M291)</f>
        <v>0</v>
      </c>
      <c r="O291" s="8">
        <f>IF(OR(A291="",G291=""),"",IF(G291=M291,"Best",""))</f>
        <v>0</v>
      </c>
      <c r="P291" s="8">
        <f>IF(OR(A291="",G291=""),"",COUNTIFS('Store Prices'!$A$5:$A$304,A291,'Store Prices'!$G$5:$G$304,"&lt;"&amp;G291)+1)</f>
        <v>0</v>
      </c>
      <c r="Q291" s="25"/>
    </row>
    <row r="292" spans="1:17">
      <c r="A292" s="7"/>
      <c r="B292" s="27"/>
      <c r="C292" s="8">
        <f>IF(A292="","",IFERROR(INDEX(Ingredients!$B$5:$B$304,MATCH(A292,Ingredients!$A$5:$A$304,0)),""))</f>
        <v>0</v>
      </c>
      <c r="D292" s="27"/>
      <c r="E292" s="28"/>
      <c r="F292" s="26"/>
      <c r="G292" s="8">
        <f>IF(OR(E292="",F292="",F292=0),"",E292/F292)</f>
        <v>0</v>
      </c>
      <c r="H292" s="30"/>
      <c r="I292" s="27"/>
      <c r="J292" s="28"/>
      <c r="K292" s="8">
        <f>IF(OR(E292="",J292=""),"",J292-E292)</f>
        <v>0</v>
      </c>
      <c r="L292" s="8">
        <f>IF(OR(K292="",J292="",J292=0),"",K292/J292)</f>
        <v>0</v>
      </c>
      <c r="M292" s="8">
        <f>IF(A292="","",IF(SUMPRODUCT(MIN(('Store Prices'!$A$5:$A$304=A292)*'Store Prices'!$G$5:$G$304+('Store Prices'!$A$5:$A$304&lt;&gt;A292)*1000000))&gt;=1000000,"",SUMPRODUCT(MIN(('Store Prices'!$A$5:$A$304=A292)*'Store Prices'!$G$5:$G$304+('Store Prices'!$A$5:$A$304&lt;&gt;A292)*1000000))))</f>
        <v>0</v>
      </c>
      <c r="N292" s="8">
        <f>IF(OR(A292="",G292="",M292=""),"",G292-M292)</f>
        <v>0</v>
      </c>
      <c r="O292" s="8">
        <f>IF(OR(A292="",G292=""),"",IF(G292=M292,"Best",""))</f>
        <v>0</v>
      </c>
      <c r="P292" s="8">
        <f>IF(OR(A292="",G292=""),"",COUNTIFS('Store Prices'!$A$5:$A$304,A292,'Store Prices'!$G$5:$G$304,"&lt;"&amp;G292)+1)</f>
        <v>0</v>
      </c>
      <c r="Q292" s="25"/>
    </row>
    <row r="293" spans="1:17">
      <c r="A293" s="7"/>
      <c r="B293" s="27"/>
      <c r="C293" s="8">
        <f>IF(A293="","",IFERROR(INDEX(Ingredients!$B$5:$B$304,MATCH(A293,Ingredients!$A$5:$A$304,0)),""))</f>
        <v>0</v>
      </c>
      <c r="D293" s="27"/>
      <c r="E293" s="28"/>
      <c r="F293" s="26"/>
      <c r="G293" s="8">
        <f>IF(OR(E293="",F293="",F293=0),"",E293/F293)</f>
        <v>0</v>
      </c>
      <c r="H293" s="30"/>
      <c r="I293" s="27"/>
      <c r="J293" s="28"/>
      <c r="K293" s="8">
        <f>IF(OR(E293="",J293=""),"",J293-E293)</f>
        <v>0</v>
      </c>
      <c r="L293" s="8">
        <f>IF(OR(K293="",J293="",J293=0),"",K293/J293)</f>
        <v>0</v>
      </c>
      <c r="M293" s="8">
        <f>IF(A293="","",IF(SUMPRODUCT(MIN(('Store Prices'!$A$5:$A$304=A293)*'Store Prices'!$G$5:$G$304+('Store Prices'!$A$5:$A$304&lt;&gt;A293)*1000000))&gt;=1000000,"",SUMPRODUCT(MIN(('Store Prices'!$A$5:$A$304=A293)*'Store Prices'!$G$5:$G$304+('Store Prices'!$A$5:$A$304&lt;&gt;A293)*1000000))))</f>
        <v>0</v>
      </c>
      <c r="N293" s="8">
        <f>IF(OR(A293="",G293="",M293=""),"",G293-M293)</f>
        <v>0</v>
      </c>
      <c r="O293" s="8">
        <f>IF(OR(A293="",G293=""),"",IF(G293=M293,"Best",""))</f>
        <v>0</v>
      </c>
      <c r="P293" s="8">
        <f>IF(OR(A293="",G293=""),"",COUNTIFS('Store Prices'!$A$5:$A$304,A293,'Store Prices'!$G$5:$G$304,"&lt;"&amp;G293)+1)</f>
        <v>0</v>
      </c>
      <c r="Q293" s="25"/>
    </row>
    <row r="294" spans="1:17">
      <c r="A294" s="7"/>
      <c r="B294" s="27"/>
      <c r="C294" s="8">
        <f>IF(A294="","",IFERROR(INDEX(Ingredients!$B$5:$B$304,MATCH(A294,Ingredients!$A$5:$A$304,0)),""))</f>
        <v>0</v>
      </c>
      <c r="D294" s="27"/>
      <c r="E294" s="28"/>
      <c r="F294" s="26"/>
      <c r="G294" s="8">
        <f>IF(OR(E294="",F294="",F294=0),"",E294/F294)</f>
        <v>0</v>
      </c>
      <c r="H294" s="30"/>
      <c r="I294" s="27"/>
      <c r="J294" s="28"/>
      <c r="K294" s="8">
        <f>IF(OR(E294="",J294=""),"",J294-E294)</f>
        <v>0</v>
      </c>
      <c r="L294" s="8">
        <f>IF(OR(K294="",J294="",J294=0),"",K294/J294)</f>
        <v>0</v>
      </c>
      <c r="M294" s="8">
        <f>IF(A294="","",IF(SUMPRODUCT(MIN(('Store Prices'!$A$5:$A$304=A294)*'Store Prices'!$G$5:$G$304+('Store Prices'!$A$5:$A$304&lt;&gt;A294)*1000000))&gt;=1000000,"",SUMPRODUCT(MIN(('Store Prices'!$A$5:$A$304=A294)*'Store Prices'!$G$5:$G$304+('Store Prices'!$A$5:$A$304&lt;&gt;A294)*1000000))))</f>
        <v>0</v>
      </c>
      <c r="N294" s="8">
        <f>IF(OR(A294="",G294="",M294=""),"",G294-M294)</f>
        <v>0</v>
      </c>
      <c r="O294" s="8">
        <f>IF(OR(A294="",G294=""),"",IF(G294=M294,"Best",""))</f>
        <v>0</v>
      </c>
      <c r="P294" s="8">
        <f>IF(OR(A294="",G294=""),"",COUNTIFS('Store Prices'!$A$5:$A$304,A294,'Store Prices'!$G$5:$G$304,"&lt;"&amp;G294)+1)</f>
        <v>0</v>
      </c>
      <c r="Q294" s="25"/>
    </row>
    <row r="295" spans="1:17">
      <c r="A295" s="7"/>
      <c r="B295" s="27"/>
      <c r="C295" s="8">
        <f>IF(A295="","",IFERROR(INDEX(Ingredients!$B$5:$B$304,MATCH(A295,Ingredients!$A$5:$A$304,0)),""))</f>
        <v>0</v>
      </c>
      <c r="D295" s="27"/>
      <c r="E295" s="28"/>
      <c r="F295" s="26"/>
      <c r="G295" s="8">
        <f>IF(OR(E295="",F295="",F295=0),"",E295/F295)</f>
        <v>0</v>
      </c>
      <c r="H295" s="30"/>
      <c r="I295" s="27"/>
      <c r="J295" s="28"/>
      <c r="K295" s="8">
        <f>IF(OR(E295="",J295=""),"",J295-E295)</f>
        <v>0</v>
      </c>
      <c r="L295" s="8">
        <f>IF(OR(K295="",J295="",J295=0),"",K295/J295)</f>
        <v>0</v>
      </c>
      <c r="M295" s="8">
        <f>IF(A295="","",IF(SUMPRODUCT(MIN(('Store Prices'!$A$5:$A$304=A295)*'Store Prices'!$G$5:$G$304+('Store Prices'!$A$5:$A$304&lt;&gt;A295)*1000000))&gt;=1000000,"",SUMPRODUCT(MIN(('Store Prices'!$A$5:$A$304=A295)*'Store Prices'!$G$5:$G$304+('Store Prices'!$A$5:$A$304&lt;&gt;A295)*1000000))))</f>
        <v>0</v>
      </c>
      <c r="N295" s="8">
        <f>IF(OR(A295="",G295="",M295=""),"",G295-M295)</f>
        <v>0</v>
      </c>
      <c r="O295" s="8">
        <f>IF(OR(A295="",G295=""),"",IF(G295=M295,"Best",""))</f>
        <v>0</v>
      </c>
      <c r="P295" s="8">
        <f>IF(OR(A295="",G295=""),"",COUNTIFS('Store Prices'!$A$5:$A$304,A295,'Store Prices'!$G$5:$G$304,"&lt;"&amp;G295)+1)</f>
        <v>0</v>
      </c>
      <c r="Q295" s="25"/>
    </row>
    <row r="296" spans="1:17">
      <c r="A296" s="7"/>
      <c r="B296" s="27"/>
      <c r="C296" s="8">
        <f>IF(A296="","",IFERROR(INDEX(Ingredients!$B$5:$B$304,MATCH(A296,Ingredients!$A$5:$A$304,0)),""))</f>
        <v>0</v>
      </c>
      <c r="D296" s="27"/>
      <c r="E296" s="28"/>
      <c r="F296" s="26"/>
      <c r="G296" s="8">
        <f>IF(OR(E296="",F296="",F296=0),"",E296/F296)</f>
        <v>0</v>
      </c>
      <c r="H296" s="30"/>
      <c r="I296" s="27"/>
      <c r="J296" s="28"/>
      <c r="K296" s="8">
        <f>IF(OR(E296="",J296=""),"",J296-E296)</f>
        <v>0</v>
      </c>
      <c r="L296" s="8">
        <f>IF(OR(K296="",J296="",J296=0),"",K296/J296)</f>
        <v>0</v>
      </c>
      <c r="M296" s="8">
        <f>IF(A296="","",IF(SUMPRODUCT(MIN(('Store Prices'!$A$5:$A$304=A296)*'Store Prices'!$G$5:$G$304+('Store Prices'!$A$5:$A$304&lt;&gt;A296)*1000000))&gt;=1000000,"",SUMPRODUCT(MIN(('Store Prices'!$A$5:$A$304=A296)*'Store Prices'!$G$5:$G$304+('Store Prices'!$A$5:$A$304&lt;&gt;A296)*1000000))))</f>
        <v>0</v>
      </c>
      <c r="N296" s="8">
        <f>IF(OR(A296="",G296="",M296=""),"",G296-M296)</f>
        <v>0</v>
      </c>
      <c r="O296" s="8">
        <f>IF(OR(A296="",G296=""),"",IF(G296=M296,"Best",""))</f>
        <v>0</v>
      </c>
      <c r="P296" s="8">
        <f>IF(OR(A296="",G296=""),"",COUNTIFS('Store Prices'!$A$5:$A$304,A296,'Store Prices'!$G$5:$G$304,"&lt;"&amp;G296)+1)</f>
        <v>0</v>
      </c>
      <c r="Q296" s="25"/>
    </row>
    <row r="297" spans="1:17">
      <c r="A297" s="7"/>
      <c r="B297" s="27"/>
      <c r="C297" s="8">
        <f>IF(A297="","",IFERROR(INDEX(Ingredients!$B$5:$B$304,MATCH(A297,Ingredients!$A$5:$A$304,0)),""))</f>
        <v>0</v>
      </c>
      <c r="D297" s="27"/>
      <c r="E297" s="28"/>
      <c r="F297" s="26"/>
      <c r="G297" s="8">
        <f>IF(OR(E297="",F297="",F297=0),"",E297/F297)</f>
        <v>0</v>
      </c>
      <c r="H297" s="30"/>
      <c r="I297" s="27"/>
      <c r="J297" s="28"/>
      <c r="K297" s="8">
        <f>IF(OR(E297="",J297=""),"",J297-E297)</f>
        <v>0</v>
      </c>
      <c r="L297" s="8">
        <f>IF(OR(K297="",J297="",J297=0),"",K297/J297)</f>
        <v>0</v>
      </c>
      <c r="M297" s="8">
        <f>IF(A297="","",IF(SUMPRODUCT(MIN(('Store Prices'!$A$5:$A$304=A297)*'Store Prices'!$G$5:$G$304+('Store Prices'!$A$5:$A$304&lt;&gt;A297)*1000000))&gt;=1000000,"",SUMPRODUCT(MIN(('Store Prices'!$A$5:$A$304=A297)*'Store Prices'!$G$5:$G$304+('Store Prices'!$A$5:$A$304&lt;&gt;A297)*1000000))))</f>
        <v>0</v>
      </c>
      <c r="N297" s="8">
        <f>IF(OR(A297="",G297="",M297=""),"",G297-M297)</f>
        <v>0</v>
      </c>
      <c r="O297" s="8">
        <f>IF(OR(A297="",G297=""),"",IF(G297=M297,"Best",""))</f>
        <v>0</v>
      </c>
      <c r="P297" s="8">
        <f>IF(OR(A297="",G297=""),"",COUNTIFS('Store Prices'!$A$5:$A$304,A297,'Store Prices'!$G$5:$G$304,"&lt;"&amp;G297)+1)</f>
        <v>0</v>
      </c>
      <c r="Q297" s="25"/>
    </row>
    <row r="298" spans="1:17">
      <c r="A298" s="7"/>
      <c r="B298" s="27"/>
      <c r="C298" s="8">
        <f>IF(A298="","",IFERROR(INDEX(Ingredients!$B$5:$B$304,MATCH(A298,Ingredients!$A$5:$A$304,0)),""))</f>
        <v>0</v>
      </c>
      <c r="D298" s="27"/>
      <c r="E298" s="28"/>
      <c r="F298" s="26"/>
      <c r="G298" s="8">
        <f>IF(OR(E298="",F298="",F298=0),"",E298/F298)</f>
        <v>0</v>
      </c>
      <c r="H298" s="30"/>
      <c r="I298" s="27"/>
      <c r="J298" s="28"/>
      <c r="K298" s="8">
        <f>IF(OR(E298="",J298=""),"",J298-E298)</f>
        <v>0</v>
      </c>
      <c r="L298" s="8">
        <f>IF(OR(K298="",J298="",J298=0),"",K298/J298)</f>
        <v>0</v>
      </c>
      <c r="M298" s="8">
        <f>IF(A298="","",IF(SUMPRODUCT(MIN(('Store Prices'!$A$5:$A$304=A298)*'Store Prices'!$G$5:$G$304+('Store Prices'!$A$5:$A$304&lt;&gt;A298)*1000000))&gt;=1000000,"",SUMPRODUCT(MIN(('Store Prices'!$A$5:$A$304=A298)*'Store Prices'!$G$5:$G$304+('Store Prices'!$A$5:$A$304&lt;&gt;A298)*1000000))))</f>
        <v>0</v>
      </c>
      <c r="N298" s="8">
        <f>IF(OR(A298="",G298="",M298=""),"",G298-M298)</f>
        <v>0</v>
      </c>
      <c r="O298" s="8">
        <f>IF(OR(A298="",G298=""),"",IF(G298=M298,"Best",""))</f>
        <v>0</v>
      </c>
      <c r="P298" s="8">
        <f>IF(OR(A298="",G298=""),"",COUNTIFS('Store Prices'!$A$5:$A$304,A298,'Store Prices'!$G$5:$G$304,"&lt;"&amp;G298)+1)</f>
        <v>0</v>
      </c>
      <c r="Q298" s="25"/>
    </row>
    <row r="299" spans="1:17">
      <c r="A299" s="7"/>
      <c r="B299" s="27"/>
      <c r="C299" s="8">
        <f>IF(A299="","",IFERROR(INDEX(Ingredients!$B$5:$B$304,MATCH(A299,Ingredients!$A$5:$A$304,0)),""))</f>
        <v>0</v>
      </c>
      <c r="D299" s="27"/>
      <c r="E299" s="28"/>
      <c r="F299" s="26"/>
      <c r="G299" s="8">
        <f>IF(OR(E299="",F299="",F299=0),"",E299/F299)</f>
        <v>0</v>
      </c>
      <c r="H299" s="30"/>
      <c r="I299" s="27"/>
      <c r="J299" s="28"/>
      <c r="K299" s="8">
        <f>IF(OR(E299="",J299=""),"",J299-E299)</f>
        <v>0</v>
      </c>
      <c r="L299" s="8">
        <f>IF(OR(K299="",J299="",J299=0),"",K299/J299)</f>
        <v>0</v>
      </c>
      <c r="M299" s="8">
        <f>IF(A299="","",IF(SUMPRODUCT(MIN(('Store Prices'!$A$5:$A$304=A299)*'Store Prices'!$G$5:$G$304+('Store Prices'!$A$5:$A$304&lt;&gt;A299)*1000000))&gt;=1000000,"",SUMPRODUCT(MIN(('Store Prices'!$A$5:$A$304=A299)*'Store Prices'!$G$5:$G$304+('Store Prices'!$A$5:$A$304&lt;&gt;A299)*1000000))))</f>
        <v>0</v>
      </c>
      <c r="N299" s="8">
        <f>IF(OR(A299="",G299="",M299=""),"",G299-M299)</f>
        <v>0</v>
      </c>
      <c r="O299" s="8">
        <f>IF(OR(A299="",G299=""),"",IF(G299=M299,"Best",""))</f>
        <v>0</v>
      </c>
      <c r="P299" s="8">
        <f>IF(OR(A299="",G299=""),"",COUNTIFS('Store Prices'!$A$5:$A$304,A299,'Store Prices'!$G$5:$G$304,"&lt;"&amp;G299)+1)</f>
        <v>0</v>
      </c>
      <c r="Q299" s="25"/>
    </row>
    <row r="300" spans="1:17">
      <c r="A300" s="7"/>
      <c r="B300" s="27"/>
      <c r="C300" s="8">
        <f>IF(A300="","",IFERROR(INDEX(Ingredients!$B$5:$B$304,MATCH(A300,Ingredients!$A$5:$A$304,0)),""))</f>
        <v>0</v>
      </c>
      <c r="D300" s="27"/>
      <c r="E300" s="28"/>
      <c r="F300" s="26"/>
      <c r="G300" s="8">
        <f>IF(OR(E300="",F300="",F300=0),"",E300/F300)</f>
        <v>0</v>
      </c>
      <c r="H300" s="30"/>
      <c r="I300" s="27"/>
      <c r="J300" s="28"/>
      <c r="K300" s="8">
        <f>IF(OR(E300="",J300=""),"",J300-E300)</f>
        <v>0</v>
      </c>
      <c r="L300" s="8">
        <f>IF(OR(K300="",J300="",J300=0),"",K300/J300)</f>
        <v>0</v>
      </c>
      <c r="M300" s="8">
        <f>IF(A300="","",IF(SUMPRODUCT(MIN(('Store Prices'!$A$5:$A$304=A300)*'Store Prices'!$G$5:$G$304+('Store Prices'!$A$5:$A$304&lt;&gt;A300)*1000000))&gt;=1000000,"",SUMPRODUCT(MIN(('Store Prices'!$A$5:$A$304=A300)*'Store Prices'!$G$5:$G$304+('Store Prices'!$A$5:$A$304&lt;&gt;A300)*1000000))))</f>
        <v>0</v>
      </c>
      <c r="N300" s="8">
        <f>IF(OR(A300="",G300="",M300=""),"",G300-M300)</f>
        <v>0</v>
      </c>
      <c r="O300" s="8">
        <f>IF(OR(A300="",G300=""),"",IF(G300=M300,"Best",""))</f>
        <v>0</v>
      </c>
      <c r="P300" s="8">
        <f>IF(OR(A300="",G300=""),"",COUNTIFS('Store Prices'!$A$5:$A$304,A300,'Store Prices'!$G$5:$G$304,"&lt;"&amp;G300)+1)</f>
        <v>0</v>
      </c>
      <c r="Q300" s="25"/>
    </row>
    <row r="301" spans="1:17">
      <c r="A301" s="7"/>
      <c r="B301" s="27"/>
      <c r="C301" s="8">
        <f>IF(A301="","",IFERROR(INDEX(Ingredients!$B$5:$B$304,MATCH(A301,Ingredients!$A$5:$A$304,0)),""))</f>
        <v>0</v>
      </c>
      <c r="D301" s="27"/>
      <c r="E301" s="28"/>
      <c r="F301" s="26"/>
      <c r="G301" s="8">
        <f>IF(OR(E301="",F301="",F301=0),"",E301/F301)</f>
        <v>0</v>
      </c>
      <c r="H301" s="30"/>
      <c r="I301" s="27"/>
      <c r="J301" s="28"/>
      <c r="K301" s="8">
        <f>IF(OR(E301="",J301=""),"",J301-E301)</f>
        <v>0</v>
      </c>
      <c r="L301" s="8">
        <f>IF(OR(K301="",J301="",J301=0),"",K301/J301)</f>
        <v>0</v>
      </c>
      <c r="M301" s="8">
        <f>IF(A301="","",IF(SUMPRODUCT(MIN(('Store Prices'!$A$5:$A$304=A301)*'Store Prices'!$G$5:$G$304+('Store Prices'!$A$5:$A$304&lt;&gt;A301)*1000000))&gt;=1000000,"",SUMPRODUCT(MIN(('Store Prices'!$A$5:$A$304=A301)*'Store Prices'!$G$5:$G$304+('Store Prices'!$A$5:$A$304&lt;&gt;A301)*1000000))))</f>
        <v>0</v>
      </c>
      <c r="N301" s="8">
        <f>IF(OR(A301="",G301="",M301=""),"",G301-M301)</f>
        <v>0</v>
      </c>
      <c r="O301" s="8">
        <f>IF(OR(A301="",G301=""),"",IF(G301=M301,"Best",""))</f>
        <v>0</v>
      </c>
      <c r="P301" s="8">
        <f>IF(OR(A301="",G301=""),"",COUNTIFS('Store Prices'!$A$5:$A$304,A301,'Store Prices'!$G$5:$G$304,"&lt;"&amp;G301)+1)</f>
        <v>0</v>
      </c>
      <c r="Q301" s="25"/>
    </row>
    <row r="302" spans="1:17">
      <c r="A302" s="7"/>
      <c r="B302" s="27"/>
      <c r="C302" s="8">
        <f>IF(A302="","",IFERROR(INDEX(Ingredients!$B$5:$B$304,MATCH(A302,Ingredients!$A$5:$A$304,0)),""))</f>
        <v>0</v>
      </c>
      <c r="D302" s="27"/>
      <c r="E302" s="28"/>
      <c r="F302" s="26"/>
      <c r="G302" s="8">
        <f>IF(OR(E302="",F302="",F302=0),"",E302/F302)</f>
        <v>0</v>
      </c>
      <c r="H302" s="30"/>
      <c r="I302" s="27"/>
      <c r="J302" s="28"/>
      <c r="K302" s="8">
        <f>IF(OR(E302="",J302=""),"",J302-E302)</f>
        <v>0</v>
      </c>
      <c r="L302" s="8">
        <f>IF(OR(K302="",J302="",J302=0),"",K302/J302)</f>
        <v>0</v>
      </c>
      <c r="M302" s="8">
        <f>IF(A302="","",IF(SUMPRODUCT(MIN(('Store Prices'!$A$5:$A$304=A302)*'Store Prices'!$G$5:$G$304+('Store Prices'!$A$5:$A$304&lt;&gt;A302)*1000000))&gt;=1000000,"",SUMPRODUCT(MIN(('Store Prices'!$A$5:$A$304=A302)*'Store Prices'!$G$5:$G$304+('Store Prices'!$A$5:$A$304&lt;&gt;A302)*1000000))))</f>
        <v>0</v>
      </c>
      <c r="N302" s="8">
        <f>IF(OR(A302="",G302="",M302=""),"",G302-M302)</f>
        <v>0</v>
      </c>
      <c r="O302" s="8">
        <f>IF(OR(A302="",G302=""),"",IF(G302=M302,"Best",""))</f>
        <v>0</v>
      </c>
      <c r="P302" s="8">
        <f>IF(OR(A302="",G302=""),"",COUNTIFS('Store Prices'!$A$5:$A$304,A302,'Store Prices'!$G$5:$G$304,"&lt;"&amp;G302)+1)</f>
        <v>0</v>
      </c>
      <c r="Q302" s="25"/>
    </row>
    <row r="303" spans="1:17">
      <c r="A303" s="7"/>
      <c r="B303" s="27"/>
      <c r="C303" s="8">
        <f>IF(A303="","",IFERROR(INDEX(Ingredients!$B$5:$B$304,MATCH(A303,Ingredients!$A$5:$A$304,0)),""))</f>
        <v>0</v>
      </c>
      <c r="D303" s="27"/>
      <c r="E303" s="28"/>
      <c r="F303" s="26"/>
      <c r="G303" s="8">
        <f>IF(OR(E303="",F303="",F303=0),"",E303/F303)</f>
        <v>0</v>
      </c>
      <c r="H303" s="30"/>
      <c r="I303" s="27"/>
      <c r="J303" s="28"/>
      <c r="K303" s="8">
        <f>IF(OR(E303="",J303=""),"",J303-E303)</f>
        <v>0</v>
      </c>
      <c r="L303" s="8">
        <f>IF(OR(K303="",J303="",J303=0),"",K303/J303)</f>
        <v>0</v>
      </c>
      <c r="M303" s="8">
        <f>IF(A303="","",IF(SUMPRODUCT(MIN(('Store Prices'!$A$5:$A$304=A303)*'Store Prices'!$G$5:$G$304+('Store Prices'!$A$5:$A$304&lt;&gt;A303)*1000000))&gt;=1000000,"",SUMPRODUCT(MIN(('Store Prices'!$A$5:$A$304=A303)*'Store Prices'!$G$5:$G$304+('Store Prices'!$A$5:$A$304&lt;&gt;A303)*1000000))))</f>
        <v>0</v>
      </c>
      <c r="N303" s="8">
        <f>IF(OR(A303="",G303="",M303=""),"",G303-M303)</f>
        <v>0</v>
      </c>
      <c r="O303" s="8">
        <f>IF(OR(A303="",G303=""),"",IF(G303=M303,"Best",""))</f>
        <v>0</v>
      </c>
      <c r="P303" s="8">
        <f>IF(OR(A303="",G303=""),"",COUNTIFS('Store Prices'!$A$5:$A$304,A303,'Store Prices'!$G$5:$G$304,"&lt;"&amp;G303)+1)</f>
        <v>0</v>
      </c>
      <c r="Q303" s="25"/>
    </row>
    <row r="304" spans="1:17">
      <c r="A304" s="7"/>
      <c r="B304" s="27"/>
      <c r="C304" s="8">
        <f>IF(A304="","",IFERROR(INDEX(Ingredients!$B$5:$B$304,MATCH(A304,Ingredients!$A$5:$A$304,0)),""))</f>
        <v>0</v>
      </c>
      <c r="D304" s="27"/>
      <c r="E304" s="28"/>
      <c r="F304" s="26"/>
      <c r="G304" s="8">
        <f>IF(OR(E304="",F304="",F304=0),"",E304/F304)</f>
        <v>0</v>
      </c>
      <c r="H304" s="30"/>
      <c r="I304" s="27"/>
      <c r="J304" s="28"/>
      <c r="K304" s="8">
        <f>IF(OR(E304="",J304=""),"",J304-E304)</f>
        <v>0</v>
      </c>
      <c r="L304" s="8">
        <f>IF(OR(K304="",J304="",J304=0),"",K304/J304)</f>
        <v>0</v>
      </c>
      <c r="M304" s="8">
        <f>IF(A304="","",IF(SUMPRODUCT(MIN(('Store Prices'!$A$5:$A$304=A304)*'Store Prices'!$G$5:$G$304+('Store Prices'!$A$5:$A$304&lt;&gt;A304)*1000000))&gt;=1000000,"",SUMPRODUCT(MIN(('Store Prices'!$A$5:$A$304=A304)*'Store Prices'!$G$5:$G$304+('Store Prices'!$A$5:$A$304&lt;&gt;A304)*1000000))))</f>
        <v>0</v>
      </c>
      <c r="N304" s="8">
        <f>IF(OR(A304="",G304="",M304=""),"",G304-M304)</f>
        <v>0</v>
      </c>
      <c r="O304" s="8">
        <f>IF(OR(A304="",G304=""),"",IF(G304=M304,"Best",""))</f>
        <v>0</v>
      </c>
      <c r="P304" s="8">
        <f>IF(OR(A304="",G304=""),"",COUNTIFS('Store Prices'!$A$5:$A$304,A304,'Store Prices'!$G$5:$G$304,"&lt;"&amp;G304)+1)</f>
        <v>0</v>
      </c>
      <c r="Q304" s="25"/>
    </row>
  </sheetData>
  <sheetProtection password="EC7C" sheet="1" objects="1" scenarios="1" selectLockedCells="1" selectUnlockedCells="1"/>
  <autoFilter ref="A4:Q304"/>
  <conditionalFormatting sqref="A101:Q101">
    <cfRule type="expression" dxfId="0" priority="49">
      <formula>MOD(ROW(),2)=0</formula>
    </cfRule>
  </conditionalFormatting>
  <conditionalFormatting sqref="A103:Q103">
    <cfRule type="expression" dxfId="0" priority="50">
      <formula>MOD(ROW(),2)=0</formula>
    </cfRule>
  </conditionalFormatting>
  <conditionalFormatting sqref="A105:Q105">
    <cfRule type="expression" dxfId="0" priority="51">
      <formula>MOD(ROW(),2)=0</formula>
    </cfRule>
  </conditionalFormatting>
  <conditionalFormatting sqref="A107:Q107">
    <cfRule type="expression" dxfId="0" priority="52">
      <formula>MOD(ROW(),2)=0</formula>
    </cfRule>
  </conditionalFormatting>
  <conditionalFormatting sqref="A109:Q109">
    <cfRule type="expression" dxfId="0" priority="53">
      <formula>MOD(ROW(),2)=0</formula>
    </cfRule>
  </conditionalFormatting>
  <conditionalFormatting sqref="A111:Q111">
    <cfRule type="expression" dxfId="0" priority="54">
      <formula>MOD(ROW(),2)=0</formula>
    </cfRule>
  </conditionalFormatting>
  <conditionalFormatting sqref="A113:Q113">
    <cfRule type="expression" dxfId="0" priority="55">
      <formula>MOD(ROW(),2)=0</formula>
    </cfRule>
  </conditionalFormatting>
  <conditionalFormatting sqref="A115:Q115">
    <cfRule type="expression" dxfId="0" priority="56">
      <formula>MOD(ROW(),2)=0</formula>
    </cfRule>
  </conditionalFormatting>
  <conditionalFormatting sqref="A117:Q117">
    <cfRule type="expression" dxfId="0" priority="57">
      <formula>MOD(ROW(),2)=0</formula>
    </cfRule>
  </conditionalFormatting>
  <conditionalFormatting sqref="A119:Q119">
    <cfRule type="expression" dxfId="0" priority="58">
      <formula>MOD(ROW(),2)=0</formula>
    </cfRule>
  </conditionalFormatting>
  <conditionalFormatting sqref="A11:Q11">
    <cfRule type="expression" dxfId="0" priority="4">
      <formula>MOD(ROW(),2)=0</formula>
    </cfRule>
  </conditionalFormatting>
  <conditionalFormatting sqref="A121:Q121">
    <cfRule type="expression" dxfId="0" priority="59">
      <formula>MOD(ROW(),2)=0</formula>
    </cfRule>
  </conditionalFormatting>
  <conditionalFormatting sqref="A123:Q123">
    <cfRule type="expression" dxfId="0" priority="60">
      <formula>MOD(ROW(),2)=0</formula>
    </cfRule>
  </conditionalFormatting>
  <conditionalFormatting sqref="A125:Q125">
    <cfRule type="expression" dxfId="0" priority="61">
      <formula>MOD(ROW(),2)=0</formula>
    </cfRule>
  </conditionalFormatting>
  <conditionalFormatting sqref="A127:Q127">
    <cfRule type="expression" dxfId="0" priority="62">
      <formula>MOD(ROW(),2)=0</formula>
    </cfRule>
  </conditionalFormatting>
  <conditionalFormatting sqref="A129:Q129">
    <cfRule type="expression" dxfId="0" priority="63">
      <formula>MOD(ROW(),2)=0</formula>
    </cfRule>
  </conditionalFormatting>
  <conditionalFormatting sqref="A131:Q131">
    <cfRule type="expression" dxfId="0" priority="64">
      <formula>MOD(ROW(),2)=0</formula>
    </cfRule>
  </conditionalFormatting>
  <conditionalFormatting sqref="A133:Q133">
    <cfRule type="expression" dxfId="0" priority="65">
      <formula>MOD(ROW(),2)=0</formula>
    </cfRule>
  </conditionalFormatting>
  <conditionalFormatting sqref="A135:Q135">
    <cfRule type="expression" dxfId="0" priority="66">
      <formula>MOD(ROW(),2)=0</formula>
    </cfRule>
  </conditionalFormatting>
  <conditionalFormatting sqref="A137:Q137">
    <cfRule type="expression" dxfId="0" priority="67">
      <formula>MOD(ROW(),2)=0</formula>
    </cfRule>
  </conditionalFormatting>
  <conditionalFormatting sqref="A139:Q139">
    <cfRule type="expression" dxfId="0" priority="68">
      <formula>MOD(ROW(),2)=0</formula>
    </cfRule>
  </conditionalFormatting>
  <conditionalFormatting sqref="A13:Q13">
    <cfRule type="expression" dxfId="0" priority="5">
      <formula>MOD(ROW(),2)=0</formula>
    </cfRule>
  </conditionalFormatting>
  <conditionalFormatting sqref="A141:Q141">
    <cfRule type="expression" dxfId="0" priority="69">
      <formula>MOD(ROW(),2)=0</formula>
    </cfRule>
  </conditionalFormatting>
  <conditionalFormatting sqref="A143:Q143">
    <cfRule type="expression" dxfId="0" priority="70">
      <formula>MOD(ROW(),2)=0</formula>
    </cfRule>
  </conditionalFormatting>
  <conditionalFormatting sqref="A145:Q145">
    <cfRule type="expression" dxfId="0" priority="71">
      <formula>MOD(ROW(),2)=0</formula>
    </cfRule>
  </conditionalFormatting>
  <conditionalFormatting sqref="A147:Q147">
    <cfRule type="expression" dxfId="0" priority="72">
      <formula>MOD(ROW(),2)=0</formula>
    </cfRule>
  </conditionalFormatting>
  <conditionalFormatting sqref="A149:Q149">
    <cfRule type="expression" dxfId="0" priority="73">
      <formula>MOD(ROW(),2)=0</formula>
    </cfRule>
  </conditionalFormatting>
  <conditionalFormatting sqref="A151:Q151">
    <cfRule type="expression" dxfId="0" priority="74">
      <formula>MOD(ROW(),2)=0</formula>
    </cfRule>
  </conditionalFormatting>
  <conditionalFormatting sqref="A153:Q153">
    <cfRule type="expression" dxfId="0" priority="75">
      <formula>MOD(ROW(),2)=0</formula>
    </cfRule>
  </conditionalFormatting>
  <conditionalFormatting sqref="A155:Q155">
    <cfRule type="expression" dxfId="0" priority="76">
      <formula>MOD(ROW(),2)=0</formula>
    </cfRule>
  </conditionalFormatting>
  <conditionalFormatting sqref="A157:Q157">
    <cfRule type="expression" dxfId="0" priority="77">
      <formula>MOD(ROW(),2)=0</formula>
    </cfRule>
  </conditionalFormatting>
  <conditionalFormatting sqref="A159:Q159">
    <cfRule type="expression" dxfId="0" priority="78">
      <formula>MOD(ROW(),2)=0</formula>
    </cfRule>
  </conditionalFormatting>
  <conditionalFormatting sqref="A15:Q15">
    <cfRule type="expression" dxfId="0" priority="6">
      <formula>MOD(ROW(),2)=0</formula>
    </cfRule>
  </conditionalFormatting>
  <conditionalFormatting sqref="A161:Q161">
    <cfRule type="expression" dxfId="0" priority="79">
      <formula>MOD(ROW(),2)=0</formula>
    </cfRule>
  </conditionalFormatting>
  <conditionalFormatting sqref="A163:Q163">
    <cfRule type="expression" dxfId="0" priority="80">
      <formula>MOD(ROW(),2)=0</formula>
    </cfRule>
  </conditionalFormatting>
  <conditionalFormatting sqref="A165:Q165">
    <cfRule type="expression" dxfId="0" priority="81">
      <formula>MOD(ROW(),2)=0</formula>
    </cfRule>
  </conditionalFormatting>
  <conditionalFormatting sqref="A167:Q167">
    <cfRule type="expression" dxfId="0" priority="82">
      <formula>MOD(ROW(),2)=0</formula>
    </cfRule>
  </conditionalFormatting>
  <conditionalFormatting sqref="A169:Q169">
    <cfRule type="expression" dxfId="0" priority="83">
      <formula>MOD(ROW(),2)=0</formula>
    </cfRule>
  </conditionalFormatting>
  <conditionalFormatting sqref="A171:Q171">
    <cfRule type="expression" dxfId="0" priority="84">
      <formula>MOD(ROW(),2)=0</formula>
    </cfRule>
  </conditionalFormatting>
  <conditionalFormatting sqref="A173:Q173">
    <cfRule type="expression" dxfId="0" priority="85">
      <formula>MOD(ROW(),2)=0</formula>
    </cfRule>
  </conditionalFormatting>
  <conditionalFormatting sqref="A175:Q175">
    <cfRule type="expression" dxfId="0" priority="86">
      <formula>MOD(ROW(),2)=0</formula>
    </cfRule>
  </conditionalFormatting>
  <conditionalFormatting sqref="A177:Q177">
    <cfRule type="expression" dxfId="0" priority="87">
      <formula>MOD(ROW(),2)=0</formula>
    </cfRule>
  </conditionalFormatting>
  <conditionalFormatting sqref="A179:Q179">
    <cfRule type="expression" dxfId="0" priority="88">
      <formula>MOD(ROW(),2)=0</formula>
    </cfRule>
  </conditionalFormatting>
  <conditionalFormatting sqref="A17:Q17">
    <cfRule type="expression" dxfId="0" priority="7">
      <formula>MOD(ROW(),2)=0</formula>
    </cfRule>
  </conditionalFormatting>
  <conditionalFormatting sqref="A181:Q181">
    <cfRule type="expression" dxfId="0" priority="89">
      <formula>MOD(ROW(),2)=0</formula>
    </cfRule>
  </conditionalFormatting>
  <conditionalFormatting sqref="A183:Q183">
    <cfRule type="expression" dxfId="0" priority="90">
      <formula>MOD(ROW(),2)=0</formula>
    </cfRule>
  </conditionalFormatting>
  <conditionalFormatting sqref="A185:Q185">
    <cfRule type="expression" dxfId="0" priority="91">
      <formula>MOD(ROW(),2)=0</formula>
    </cfRule>
  </conditionalFormatting>
  <conditionalFormatting sqref="A187:Q187">
    <cfRule type="expression" dxfId="0" priority="92">
      <formula>MOD(ROW(),2)=0</formula>
    </cfRule>
  </conditionalFormatting>
  <conditionalFormatting sqref="A189:Q189">
    <cfRule type="expression" dxfId="0" priority="93">
      <formula>MOD(ROW(),2)=0</formula>
    </cfRule>
  </conditionalFormatting>
  <conditionalFormatting sqref="A191:Q191">
    <cfRule type="expression" dxfId="0" priority="94">
      <formula>MOD(ROW(),2)=0</formula>
    </cfRule>
  </conditionalFormatting>
  <conditionalFormatting sqref="A193:Q193">
    <cfRule type="expression" dxfId="0" priority="95">
      <formula>MOD(ROW(),2)=0</formula>
    </cfRule>
  </conditionalFormatting>
  <conditionalFormatting sqref="A195:Q195">
    <cfRule type="expression" dxfId="0" priority="96">
      <formula>MOD(ROW(),2)=0</formula>
    </cfRule>
  </conditionalFormatting>
  <conditionalFormatting sqref="A197:Q197">
    <cfRule type="expression" dxfId="0" priority="97">
      <formula>MOD(ROW(),2)=0</formula>
    </cfRule>
  </conditionalFormatting>
  <conditionalFormatting sqref="A199:Q199">
    <cfRule type="expression" dxfId="0" priority="98">
      <formula>MOD(ROW(),2)=0</formula>
    </cfRule>
  </conditionalFormatting>
  <conditionalFormatting sqref="A19:Q19">
    <cfRule type="expression" dxfId="0" priority="8">
      <formula>MOD(ROW(),2)=0</formula>
    </cfRule>
  </conditionalFormatting>
  <conditionalFormatting sqref="A201:Q201">
    <cfRule type="expression" dxfId="0" priority="99">
      <formula>MOD(ROW(),2)=0</formula>
    </cfRule>
  </conditionalFormatting>
  <conditionalFormatting sqref="A203:Q203">
    <cfRule type="expression" dxfId="0" priority="100">
      <formula>MOD(ROW(),2)=0</formula>
    </cfRule>
  </conditionalFormatting>
  <conditionalFormatting sqref="A205:Q205">
    <cfRule type="expression" dxfId="0" priority="101">
      <formula>MOD(ROW(),2)=0</formula>
    </cfRule>
  </conditionalFormatting>
  <conditionalFormatting sqref="A207:Q207">
    <cfRule type="expression" dxfId="0" priority="102">
      <formula>MOD(ROW(),2)=0</formula>
    </cfRule>
  </conditionalFormatting>
  <conditionalFormatting sqref="A209:Q209">
    <cfRule type="expression" dxfId="0" priority="103">
      <formula>MOD(ROW(),2)=0</formula>
    </cfRule>
  </conditionalFormatting>
  <conditionalFormatting sqref="A211:Q211">
    <cfRule type="expression" dxfId="0" priority="104">
      <formula>MOD(ROW(),2)=0</formula>
    </cfRule>
  </conditionalFormatting>
  <conditionalFormatting sqref="A213:Q213">
    <cfRule type="expression" dxfId="0" priority="105">
      <formula>MOD(ROW(),2)=0</formula>
    </cfRule>
  </conditionalFormatting>
  <conditionalFormatting sqref="A215:Q215">
    <cfRule type="expression" dxfId="0" priority="106">
      <formula>MOD(ROW(),2)=0</formula>
    </cfRule>
  </conditionalFormatting>
  <conditionalFormatting sqref="A217:Q217">
    <cfRule type="expression" dxfId="0" priority="107">
      <formula>MOD(ROW(),2)=0</formula>
    </cfRule>
  </conditionalFormatting>
  <conditionalFormatting sqref="A219:Q219">
    <cfRule type="expression" dxfId="0" priority="108">
      <formula>MOD(ROW(),2)=0</formula>
    </cfRule>
  </conditionalFormatting>
  <conditionalFormatting sqref="A21:Q21">
    <cfRule type="expression" dxfId="0" priority="9">
      <formula>MOD(ROW(),2)=0</formula>
    </cfRule>
  </conditionalFormatting>
  <conditionalFormatting sqref="A221:Q221">
    <cfRule type="expression" dxfId="0" priority="109">
      <formula>MOD(ROW(),2)=0</formula>
    </cfRule>
  </conditionalFormatting>
  <conditionalFormatting sqref="A223:Q223">
    <cfRule type="expression" dxfId="0" priority="110">
      <formula>MOD(ROW(),2)=0</formula>
    </cfRule>
  </conditionalFormatting>
  <conditionalFormatting sqref="A225:Q225">
    <cfRule type="expression" dxfId="0" priority="111">
      <formula>MOD(ROW(),2)=0</formula>
    </cfRule>
  </conditionalFormatting>
  <conditionalFormatting sqref="A227:Q227">
    <cfRule type="expression" dxfId="0" priority="112">
      <formula>MOD(ROW(),2)=0</formula>
    </cfRule>
  </conditionalFormatting>
  <conditionalFormatting sqref="A229:Q229">
    <cfRule type="expression" dxfId="0" priority="113">
      <formula>MOD(ROW(),2)=0</formula>
    </cfRule>
  </conditionalFormatting>
  <conditionalFormatting sqref="A231:Q231">
    <cfRule type="expression" dxfId="0" priority="114">
      <formula>MOD(ROW(),2)=0</formula>
    </cfRule>
  </conditionalFormatting>
  <conditionalFormatting sqref="A233:Q233">
    <cfRule type="expression" dxfId="0" priority="115">
      <formula>MOD(ROW(),2)=0</formula>
    </cfRule>
  </conditionalFormatting>
  <conditionalFormatting sqref="A235:Q235">
    <cfRule type="expression" dxfId="0" priority="116">
      <formula>MOD(ROW(),2)=0</formula>
    </cfRule>
  </conditionalFormatting>
  <conditionalFormatting sqref="A237:Q237">
    <cfRule type="expression" dxfId="0" priority="117">
      <formula>MOD(ROW(),2)=0</formula>
    </cfRule>
  </conditionalFormatting>
  <conditionalFormatting sqref="A239:Q239">
    <cfRule type="expression" dxfId="0" priority="118">
      <formula>MOD(ROW(),2)=0</formula>
    </cfRule>
  </conditionalFormatting>
  <conditionalFormatting sqref="A23:Q23">
    <cfRule type="expression" dxfId="0" priority="10">
      <formula>MOD(ROW(),2)=0</formula>
    </cfRule>
  </conditionalFormatting>
  <conditionalFormatting sqref="A241:Q241">
    <cfRule type="expression" dxfId="0" priority="119">
      <formula>MOD(ROW(),2)=0</formula>
    </cfRule>
  </conditionalFormatting>
  <conditionalFormatting sqref="A243:Q243">
    <cfRule type="expression" dxfId="0" priority="120">
      <formula>MOD(ROW(),2)=0</formula>
    </cfRule>
  </conditionalFormatting>
  <conditionalFormatting sqref="A245:Q245">
    <cfRule type="expression" dxfId="0" priority="121">
      <formula>MOD(ROW(),2)=0</formula>
    </cfRule>
  </conditionalFormatting>
  <conditionalFormatting sqref="A247:Q247">
    <cfRule type="expression" dxfId="0" priority="122">
      <formula>MOD(ROW(),2)=0</formula>
    </cfRule>
  </conditionalFormatting>
  <conditionalFormatting sqref="A249:Q249">
    <cfRule type="expression" dxfId="0" priority="123">
      <formula>MOD(ROW(),2)=0</formula>
    </cfRule>
  </conditionalFormatting>
  <conditionalFormatting sqref="A251:Q251">
    <cfRule type="expression" dxfId="0" priority="124">
      <formula>MOD(ROW(),2)=0</formula>
    </cfRule>
  </conditionalFormatting>
  <conditionalFormatting sqref="A253:Q253">
    <cfRule type="expression" dxfId="0" priority="125">
      <formula>MOD(ROW(),2)=0</formula>
    </cfRule>
  </conditionalFormatting>
  <conditionalFormatting sqref="A255:Q255">
    <cfRule type="expression" dxfId="0" priority="126">
      <formula>MOD(ROW(),2)=0</formula>
    </cfRule>
  </conditionalFormatting>
  <conditionalFormatting sqref="A257:Q257">
    <cfRule type="expression" dxfId="0" priority="127">
      <formula>MOD(ROW(),2)=0</formula>
    </cfRule>
  </conditionalFormatting>
  <conditionalFormatting sqref="A259:Q259">
    <cfRule type="expression" dxfId="0" priority="128">
      <formula>MOD(ROW(),2)=0</formula>
    </cfRule>
  </conditionalFormatting>
  <conditionalFormatting sqref="A25:Q25">
    <cfRule type="expression" dxfId="0" priority="11">
      <formula>MOD(ROW(),2)=0</formula>
    </cfRule>
  </conditionalFormatting>
  <conditionalFormatting sqref="A261:Q261">
    <cfRule type="expression" dxfId="0" priority="129">
      <formula>MOD(ROW(),2)=0</formula>
    </cfRule>
  </conditionalFormatting>
  <conditionalFormatting sqref="A263:Q263">
    <cfRule type="expression" dxfId="0" priority="130">
      <formula>MOD(ROW(),2)=0</formula>
    </cfRule>
  </conditionalFormatting>
  <conditionalFormatting sqref="A265:Q265">
    <cfRule type="expression" dxfId="0" priority="131">
      <formula>MOD(ROW(),2)=0</formula>
    </cfRule>
  </conditionalFormatting>
  <conditionalFormatting sqref="A267:Q267">
    <cfRule type="expression" dxfId="0" priority="132">
      <formula>MOD(ROW(),2)=0</formula>
    </cfRule>
  </conditionalFormatting>
  <conditionalFormatting sqref="A269:Q269">
    <cfRule type="expression" dxfId="0" priority="133">
      <formula>MOD(ROW(),2)=0</formula>
    </cfRule>
  </conditionalFormatting>
  <conditionalFormatting sqref="A271:Q271">
    <cfRule type="expression" dxfId="0" priority="134">
      <formula>MOD(ROW(),2)=0</formula>
    </cfRule>
  </conditionalFormatting>
  <conditionalFormatting sqref="A273:Q273">
    <cfRule type="expression" dxfId="0" priority="135">
      <formula>MOD(ROW(),2)=0</formula>
    </cfRule>
  </conditionalFormatting>
  <conditionalFormatting sqref="A275:Q275">
    <cfRule type="expression" dxfId="0" priority="136">
      <formula>MOD(ROW(),2)=0</formula>
    </cfRule>
  </conditionalFormatting>
  <conditionalFormatting sqref="A277:Q277">
    <cfRule type="expression" dxfId="0" priority="137">
      <formula>MOD(ROW(),2)=0</formula>
    </cfRule>
  </conditionalFormatting>
  <conditionalFormatting sqref="A279:Q279">
    <cfRule type="expression" dxfId="0" priority="138">
      <formula>MOD(ROW(),2)=0</formula>
    </cfRule>
  </conditionalFormatting>
  <conditionalFormatting sqref="A27:Q27">
    <cfRule type="expression" dxfId="0" priority="12">
      <formula>MOD(ROW(),2)=0</formula>
    </cfRule>
  </conditionalFormatting>
  <conditionalFormatting sqref="A281:Q281">
    <cfRule type="expression" dxfId="0" priority="139">
      <formula>MOD(ROW(),2)=0</formula>
    </cfRule>
  </conditionalFormatting>
  <conditionalFormatting sqref="A283:Q283">
    <cfRule type="expression" dxfId="0" priority="140">
      <formula>MOD(ROW(),2)=0</formula>
    </cfRule>
  </conditionalFormatting>
  <conditionalFormatting sqref="A285:Q285">
    <cfRule type="expression" dxfId="0" priority="141">
      <formula>MOD(ROW(),2)=0</formula>
    </cfRule>
  </conditionalFormatting>
  <conditionalFormatting sqref="A287:Q287">
    <cfRule type="expression" dxfId="0" priority="142">
      <formula>MOD(ROW(),2)=0</formula>
    </cfRule>
  </conditionalFormatting>
  <conditionalFormatting sqref="A289:Q289">
    <cfRule type="expression" dxfId="0" priority="143">
      <formula>MOD(ROW(),2)=0</formula>
    </cfRule>
  </conditionalFormatting>
  <conditionalFormatting sqref="A291:Q291">
    <cfRule type="expression" dxfId="0" priority="144">
      <formula>MOD(ROW(),2)=0</formula>
    </cfRule>
  </conditionalFormatting>
  <conditionalFormatting sqref="A293:Q293">
    <cfRule type="expression" dxfId="0" priority="145">
      <formula>MOD(ROW(),2)=0</formula>
    </cfRule>
  </conditionalFormatting>
  <conditionalFormatting sqref="A295:Q295">
    <cfRule type="expression" dxfId="0" priority="146">
      <formula>MOD(ROW(),2)=0</formula>
    </cfRule>
  </conditionalFormatting>
  <conditionalFormatting sqref="A297:Q297">
    <cfRule type="expression" dxfId="0" priority="147">
      <formula>MOD(ROW(),2)=0</formula>
    </cfRule>
  </conditionalFormatting>
  <conditionalFormatting sqref="A299:Q299">
    <cfRule type="expression" dxfId="0" priority="148">
      <formula>MOD(ROW(),2)=0</formula>
    </cfRule>
  </conditionalFormatting>
  <conditionalFormatting sqref="A29:Q29">
    <cfRule type="expression" dxfId="0" priority="13">
      <formula>MOD(ROW(),2)=0</formula>
    </cfRule>
  </conditionalFormatting>
  <conditionalFormatting sqref="A301:Q301">
    <cfRule type="expression" dxfId="0" priority="149">
      <formula>MOD(ROW(),2)=0</formula>
    </cfRule>
  </conditionalFormatting>
  <conditionalFormatting sqref="A303:Q303">
    <cfRule type="expression" dxfId="0" priority="150">
      <formula>MOD(ROW(),2)=0</formula>
    </cfRule>
  </conditionalFormatting>
  <conditionalFormatting sqref="A31:Q31">
    <cfRule type="expression" dxfId="0" priority="14">
      <formula>MOD(ROW(),2)=0</formula>
    </cfRule>
  </conditionalFormatting>
  <conditionalFormatting sqref="A33:Q33">
    <cfRule type="expression" dxfId="0" priority="15">
      <formula>MOD(ROW(),2)=0</formula>
    </cfRule>
  </conditionalFormatting>
  <conditionalFormatting sqref="A35:Q35">
    <cfRule type="expression" dxfId="0" priority="16">
      <formula>MOD(ROW(),2)=0</formula>
    </cfRule>
  </conditionalFormatting>
  <conditionalFormatting sqref="A37:Q37">
    <cfRule type="expression" dxfId="0" priority="17">
      <formula>MOD(ROW(),2)=0</formula>
    </cfRule>
  </conditionalFormatting>
  <conditionalFormatting sqref="A39:Q39">
    <cfRule type="expression" dxfId="0" priority="18">
      <formula>MOD(ROW(),2)=0</formula>
    </cfRule>
  </conditionalFormatting>
  <conditionalFormatting sqref="A41:Q41">
    <cfRule type="expression" dxfId="0" priority="19">
      <formula>MOD(ROW(),2)=0</formula>
    </cfRule>
  </conditionalFormatting>
  <conditionalFormatting sqref="A43:Q43">
    <cfRule type="expression" dxfId="0" priority="20">
      <formula>MOD(ROW(),2)=0</formula>
    </cfRule>
  </conditionalFormatting>
  <conditionalFormatting sqref="A45:Q45">
    <cfRule type="expression" dxfId="0" priority="21">
      <formula>MOD(ROW(),2)=0</formula>
    </cfRule>
  </conditionalFormatting>
  <conditionalFormatting sqref="A47:Q47">
    <cfRule type="expression" dxfId="0" priority="22">
      <formula>MOD(ROW(),2)=0</formula>
    </cfRule>
  </conditionalFormatting>
  <conditionalFormatting sqref="A49:Q49">
    <cfRule type="expression" dxfId="0" priority="23">
      <formula>MOD(ROW(),2)=0</formula>
    </cfRule>
  </conditionalFormatting>
  <conditionalFormatting sqref="A51:Q51">
    <cfRule type="expression" dxfId="0" priority="24">
      <formula>MOD(ROW(),2)=0</formula>
    </cfRule>
  </conditionalFormatting>
  <conditionalFormatting sqref="A53:Q53">
    <cfRule type="expression" dxfId="0" priority="25">
      <formula>MOD(ROW(),2)=0</formula>
    </cfRule>
  </conditionalFormatting>
  <conditionalFormatting sqref="A55:Q55">
    <cfRule type="expression" dxfId="0" priority="26">
      <formula>MOD(ROW(),2)=0</formula>
    </cfRule>
  </conditionalFormatting>
  <conditionalFormatting sqref="A57:Q57">
    <cfRule type="expression" dxfId="0" priority="27">
      <formula>MOD(ROW(),2)=0</formula>
    </cfRule>
  </conditionalFormatting>
  <conditionalFormatting sqref="A59:Q59">
    <cfRule type="expression" dxfId="0" priority="28">
      <formula>MOD(ROW(),2)=0</formula>
    </cfRule>
  </conditionalFormatting>
  <conditionalFormatting sqref="A5:Q5">
    <cfRule type="expression" dxfId="0" priority="1">
      <formula>MOD(ROW(),2)=0</formula>
    </cfRule>
  </conditionalFormatting>
  <conditionalFormatting sqref="A61:Q61">
    <cfRule type="expression" dxfId="0" priority="29">
      <formula>MOD(ROW(),2)=0</formula>
    </cfRule>
  </conditionalFormatting>
  <conditionalFormatting sqref="A63:Q63">
    <cfRule type="expression" dxfId="0" priority="30">
      <formula>MOD(ROW(),2)=0</formula>
    </cfRule>
  </conditionalFormatting>
  <conditionalFormatting sqref="A65:Q65">
    <cfRule type="expression" dxfId="0" priority="31">
      <formula>MOD(ROW(),2)=0</formula>
    </cfRule>
  </conditionalFormatting>
  <conditionalFormatting sqref="A67:Q67">
    <cfRule type="expression" dxfId="0" priority="32">
      <formula>MOD(ROW(),2)=0</formula>
    </cfRule>
  </conditionalFormatting>
  <conditionalFormatting sqref="A69:Q69">
    <cfRule type="expression" dxfId="0" priority="33">
      <formula>MOD(ROW(),2)=0</formula>
    </cfRule>
  </conditionalFormatting>
  <conditionalFormatting sqref="A71:Q71">
    <cfRule type="expression" dxfId="0" priority="34">
      <formula>MOD(ROW(),2)=0</formula>
    </cfRule>
  </conditionalFormatting>
  <conditionalFormatting sqref="A73:Q73">
    <cfRule type="expression" dxfId="0" priority="35">
      <formula>MOD(ROW(),2)=0</formula>
    </cfRule>
  </conditionalFormatting>
  <conditionalFormatting sqref="A75:Q75">
    <cfRule type="expression" dxfId="0" priority="36">
      <formula>MOD(ROW(),2)=0</formula>
    </cfRule>
  </conditionalFormatting>
  <conditionalFormatting sqref="A77:Q77">
    <cfRule type="expression" dxfId="0" priority="37">
      <formula>MOD(ROW(),2)=0</formula>
    </cfRule>
  </conditionalFormatting>
  <conditionalFormatting sqref="A79:Q79">
    <cfRule type="expression" dxfId="0" priority="38">
      <formula>MOD(ROW(),2)=0</formula>
    </cfRule>
  </conditionalFormatting>
  <conditionalFormatting sqref="A7:Q7">
    <cfRule type="expression" dxfId="0" priority="2">
      <formula>MOD(ROW(),2)=0</formula>
    </cfRule>
  </conditionalFormatting>
  <conditionalFormatting sqref="A81:Q81">
    <cfRule type="expression" dxfId="0" priority="39">
      <formula>MOD(ROW(),2)=0</formula>
    </cfRule>
  </conditionalFormatting>
  <conditionalFormatting sqref="A83:Q83">
    <cfRule type="expression" dxfId="0" priority="40">
      <formula>MOD(ROW(),2)=0</formula>
    </cfRule>
  </conditionalFormatting>
  <conditionalFormatting sqref="A85:Q85">
    <cfRule type="expression" dxfId="0" priority="41">
      <formula>MOD(ROW(),2)=0</formula>
    </cfRule>
  </conditionalFormatting>
  <conditionalFormatting sqref="A87:Q87">
    <cfRule type="expression" dxfId="0" priority="42">
      <formula>MOD(ROW(),2)=0</formula>
    </cfRule>
  </conditionalFormatting>
  <conditionalFormatting sqref="A89:Q89">
    <cfRule type="expression" dxfId="0" priority="43">
      <formula>MOD(ROW(),2)=0</formula>
    </cfRule>
  </conditionalFormatting>
  <conditionalFormatting sqref="A91:Q91">
    <cfRule type="expression" dxfId="0" priority="44">
      <formula>MOD(ROW(),2)=0</formula>
    </cfRule>
  </conditionalFormatting>
  <conditionalFormatting sqref="A93:Q93">
    <cfRule type="expression" dxfId="0" priority="45">
      <formula>MOD(ROW(),2)=0</formula>
    </cfRule>
  </conditionalFormatting>
  <conditionalFormatting sqref="A95:Q95">
    <cfRule type="expression" dxfId="0" priority="46">
      <formula>MOD(ROW(),2)=0</formula>
    </cfRule>
  </conditionalFormatting>
  <conditionalFormatting sqref="A97:Q97">
    <cfRule type="expression" dxfId="0" priority="47">
      <formula>MOD(ROW(),2)=0</formula>
    </cfRule>
  </conditionalFormatting>
  <conditionalFormatting sqref="A99:Q99">
    <cfRule type="expression" dxfId="0" priority="48">
      <formula>MOD(ROW(),2)=0</formula>
    </cfRule>
  </conditionalFormatting>
  <conditionalFormatting sqref="A9:Q9">
    <cfRule type="expression" dxfId="0" priority="3">
      <formula>MOD(ROW(),2)=0</formula>
    </cfRule>
  </conditionalFormatting>
  <dataValidations count="1800">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Spreadsheet&amp;R&amp;"Calibri,Italic"Store Prices</oddHeader>
    <oddFooter>&amp;LPage &amp;P of &amp;N&amp;R&amp;D</oddFooter>
  </headerFooter>
  <legacyDrawing r:id="rId1"/>
</worksheet>
</file>

<file path=xl/worksheets/sheet28.xml><?xml version="1.0" encoding="utf-8"?>
<worksheet xmlns="http://schemas.openxmlformats.org/spreadsheetml/2006/main" xmlns:r="http://schemas.openxmlformats.org/officeDocument/2006/relationships">
  <sheetPr>
    <tabColor rgb="FF4E8A63"/>
    <pageSetUpPr fitToPage="1"/>
  </sheetPr>
  <dimension ref="A4:W4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2" width="30.7109375" customWidth="1"/>
    <col min="3" max="3" width="16.7109375" customWidth="1"/>
    <col min="4" max="4" width="22.7109375" customWidth="1"/>
    <col min="5" max="5" width="18.7109375" customWidth="1"/>
    <col min="6" max="6" width="10.7109375" customWidth="1"/>
    <col min="7" max="9" width="12.7109375" customWidth="1"/>
    <col min="10" max="10" width="13.7109375" customWidth="1"/>
    <col min="11" max="11" width="20.7109375" customWidth="1"/>
    <col min="12" max="14" width="12.7109375" customWidth="1"/>
    <col min="15" max="15" width="10.7109375" customWidth="1"/>
    <col min="16" max="16" width="18.7109375" customWidth="1"/>
    <col min="17" max="19" width="12.7109375" customWidth="1"/>
    <col min="20" max="20" width="10.7109375" customWidth="1"/>
    <col min="21" max="21" width="26.7109375" customWidth="1"/>
    <col min="22" max="22" width="11.7109375" customWidth="1"/>
    <col min="23" max="23" width="34.7109375" customWidth="1"/>
  </cols>
  <sheetData>
    <row r="4" spans="1:23" ht="32" customHeight="1">
      <c r="A4" s="9" t="s">
        <v>384</v>
      </c>
      <c r="B4" s="9" t="s">
        <v>579</v>
      </c>
      <c r="C4" s="9" t="s">
        <v>580</v>
      </c>
      <c r="D4" s="9" t="s">
        <v>581</v>
      </c>
      <c r="E4" s="9" t="s">
        <v>582</v>
      </c>
      <c r="F4" s="9" t="s">
        <v>583</v>
      </c>
      <c r="G4" s="9" t="s">
        <v>584</v>
      </c>
      <c r="H4" s="9" t="s">
        <v>585</v>
      </c>
      <c r="I4" s="9" t="s">
        <v>586</v>
      </c>
      <c r="J4" s="9" t="s">
        <v>587</v>
      </c>
      <c r="K4" s="9" t="s">
        <v>588</v>
      </c>
      <c r="L4" s="9" t="s">
        <v>589</v>
      </c>
      <c r="M4" s="9" t="s">
        <v>590</v>
      </c>
      <c r="N4" s="9" t="s">
        <v>591</v>
      </c>
      <c r="O4" s="9" t="s">
        <v>592</v>
      </c>
      <c r="P4" s="9" t="s">
        <v>593</v>
      </c>
      <c r="Q4" s="9" t="s">
        <v>594</v>
      </c>
      <c r="R4" s="9" t="s">
        <v>595</v>
      </c>
      <c r="S4" s="9" t="s">
        <v>596</v>
      </c>
      <c r="T4" s="9" t="s">
        <v>358</v>
      </c>
      <c r="U4" s="9" t="s">
        <v>597</v>
      </c>
      <c r="V4" s="9" t="s">
        <v>312</v>
      </c>
      <c r="W4" s="9" t="s">
        <v>173</v>
      </c>
    </row>
    <row r="5" spans="1:23">
      <c r="A5" s="7"/>
      <c r="B5" s="7"/>
      <c r="C5" s="7"/>
      <c r="D5" s="7"/>
      <c r="E5" s="7"/>
      <c r="F5" s="27"/>
      <c r="G5" s="27"/>
      <c r="H5" s="28"/>
      <c r="I5" s="28"/>
      <c r="J5" s="27"/>
      <c r="K5" s="7"/>
      <c r="L5" s="26"/>
      <c r="M5" s="27"/>
      <c r="N5" s="27"/>
      <c r="O5" s="27"/>
      <c r="P5" s="7"/>
      <c r="Q5" s="8">
        <f>IF(A5="","",COUNTIFS('Grocery Spending'!$D$5:$D$404,A5))</f>
        <v>0</v>
      </c>
      <c r="R5" s="8">
        <f>IF(A5="","",SUMIFS('Grocery Spending'!$J$5:$J$404,'Grocery Spending'!$D$5:$D$404,A5))</f>
        <v>0</v>
      </c>
      <c r="S5" s="8">
        <f>IF(OR(A5="",Q5=0),"",ROUND(R5/Q5,2))</f>
        <v>0</v>
      </c>
      <c r="T5" s="8">
        <f>IF(OR(A5="",R5=0),"",COUNTIFS($R$5:$R$44,"&gt;"&amp;R5)+1)</f>
        <v>0</v>
      </c>
      <c r="U5" s="7"/>
      <c r="V5" s="26"/>
      <c r="W5" s="25"/>
    </row>
    <row r="6" spans="1:23">
      <c r="A6" s="7"/>
      <c r="B6" s="7"/>
      <c r="C6" s="7"/>
      <c r="D6" s="7"/>
      <c r="E6" s="7"/>
      <c r="F6" s="27"/>
      <c r="G6" s="27"/>
      <c r="H6" s="28"/>
      <c r="I6" s="28"/>
      <c r="J6" s="27"/>
      <c r="K6" s="7"/>
      <c r="L6" s="26"/>
      <c r="M6" s="27"/>
      <c r="N6" s="27"/>
      <c r="O6" s="27"/>
      <c r="P6" s="7"/>
      <c r="Q6" s="8">
        <f>IF(A6="","",COUNTIFS('Grocery Spending'!$D$5:$D$404,A6))</f>
        <v>0</v>
      </c>
      <c r="R6" s="8">
        <f>IF(A6="","",SUMIFS('Grocery Spending'!$J$5:$J$404,'Grocery Spending'!$D$5:$D$404,A6))</f>
        <v>0</v>
      </c>
      <c r="S6" s="8">
        <f>IF(OR(A6="",Q6=0),"",ROUND(R6/Q6,2))</f>
        <v>0</v>
      </c>
      <c r="T6" s="8">
        <f>IF(OR(A6="",R6=0),"",COUNTIFS($R$5:$R$44,"&gt;"&amp;R6)+1)</f>
        <v>0</v>
      </c>
      <c r="U6" s="7"/>
      <c r="V6" s="26"/>
      <c r="W6" s="25"/>
    </row>
    <row r="7" spans="1:23">
      <c r="A7" s="7"/>
      <c r="B7" s="7"/>
      <c r="C7" s="7"/>
      <c r="D7" s="7"/>
      <c r="E7" s="7"/>
      <c r="F7" s="27"/>
      <c r="G7" s="27"/>
      <c r="H7" s="28"/>
      <c r="I7" s="28"/>
      <c r="J7" s="27"/>
      <c r="K7" s="7"/>
      <c r="L7" s="26"/>
      <c r="M7" s="27"/>
      <c r="N7" s="27"/>
      <c r="O7" s="27"/>
      <c r="P7" s="7"/>
      <c r="Q7" s="8">
        <f>IF(A7="","",COUNTIFS('Grocery Spending'!$D$5:$D$404,A7))</f>
        <v>0</v>
      </c>
      <c r="R7" s="8">
        <f>IF(A7="","",SUMIFS('Grocery Spending'!$J$5:$J$404,'Grocery Spending'!$D$5:$D$404,A7))</f>
        <v>0</v>
      </c>
      <c r="S7" s="8">
        <f>IF(OR(A7="",Q7=0),"",ROUND(R7/Q7,2))</f>
        <v>0</v>
      </c>
      <c r="T7" s="8">
        <f>IF(OR(A7="",R7=0),"",COUNTIFS($R$5:$R$44,"&gt;"&amp;R7)+1)</f>
        <v>0</v>
      </c>
      <c r="U7" s="7"/>
      <c r="V7" s="26"/>
      <c r="W7" s="25"/>
    </row>
    <row r="8" spans="1:23">
      <c r="A8" s="7"/>
      <c r="B8" s="7"/>
      <c r="C8" s="7"/>
      <c r="D8" s="7"/>
      <c r="E8" s="7"/>
      <c r="F8" s="27"/>
      <c r="G8" s="27"/>
      <c r="H8" s="28"/>
      <c r="I8" s="28"/>
      <c r="J8" s="27"/>
      <c r="K8" s="7"/>
      <c r="L8" s="26"/>
      <c r="M8" s="27"/>
      <c r="N8" s="27"/>
      <c r="O8" s="27"/>
      <c r="P8" s="7"/>
      <c r="Q8" s="8">
        <f>IF(A8="","",COUNTIFS('Grocery Spending'!$D$5:$D$404,A8))</f>
        <v>0</v>
      </c>
      <c r="R8" s="8">
        <f>IF(A8="","",SUMIFS('Grocery Spending'!$J$5:$J$404,'Grocery Spending'!$D$5:$D$404,A8))</f>
        <v>0</v>
      </c>
      <c r="S8" s="8">
        <f>IF(OR(A8="",Q8=0),"",ROUND(R8/Q8,2))</f>
        <v>0</v>
      </c>
      <c r="T8" s="8">
        <f>IF(OR(A8="",R8=0),"",COUNTIFS($R$5:$R$44,"&gt;"&amp;R8)+1)</f>
        <v>0</v>
      </c>
      <c r="U8" s="7"/>
      <c r="V8" s="26"/>
      <c r="W8" s="25"/>
    </row>
    <row r="9" spans="1:23">
      <c r="A9" s="7"/>
      <c r="B9" s="7"/>
      <c r="C9" s="7"/>
      <c r="D9" s="7"/>
      <c r="E9" s="7"/>
      <c r="F9" s="27"/>
      <c r="G9" s="27"/>
      <c r="H9" s="28"/>
      <c r="I9" s="28"/>
      <c r="J9" s="27"/>
      <c r="K9" s="7"/>
      <c r="L9" s="26"/>
      <c r="M9" s="27"/>
      <c r="N9" s="27"/>
      <c r="O9" s="27"/>
      <c r="P9" s="7"/>
      <c r="Q9" s="8">
        <f>IF(A9="","",COUNTIFS('Grocery Spending'!$D$5:$D$404,A9))</f>
        <v>0</v>
      </c>
      <c r="R9" s="8">
        <f>IF(A9="","",SUMIFS('Grocery Spending'!$J$5:$J$404,'Grocery Spending'!$D$5:$D$404,A9))</f>
        <v>0</v>
      </c>
      <c r="S9" s="8">
        <f>IF(OR(A9="",Q9=0),"",ROUND(R9/Q9,2))</f>
        <v>0</v>
      </c>
      <c r="T9" s="8">
        <f>IF(OR(A9="",R9=0),"",COUNTIFS($R$5:$R$44,"&gt;"&amp;R9)+1)</f>
        <v>0</v>
      </c>
      <c r="U9" s="7"/>
      <c r="V9" s="26"/>
      <c r="W9" s="25"/>
    </row>
    <row r="10" spans="1:23">
      <c r="A10" s="7"/>
      <c r="B10" s="7"/>
      <c r="C10" s="7"/>
      <c r="D10" s="7"/>
      <c r="E10" s="7"/>
      <c r="F10" s="27"/>
      <c r="G10" s="27"/>
      <c r="H10" s="28"/>
      <c r="I10" s="28"/>
      <c r="J10" s="27"/>
      <c r="K10" s="7"/>
      <c r="L10" s="26"/>
      <c r="M10" s="27"/>
      <c r="N10" s="27"/>
      <c r="O10" s="27"/>
      <c r="P10" s="7"/>
      <c r="Q10" s="8">
        <f>IF(A10="","",COUNTIFS('Grocery Spending'!$D$5:$D$404,A10))</f>
        <v>0</v>
      </c>
      <c r="R10" s="8">
        <f>IF(A10="","",SUMIFS('Grocery Spending'!$J$5:$J$404,'Grocery Spending'!$D$5:$D$404,A10))</f>
        <v>0</v>
      </c>
      <c r="S10" s="8">
        <f>IF(OR(A10="",Q10=0),"",ROUND(R10/Q10,2))</f>
        <v>0</v>
      </c>
      <c r="T10" s="8">
        <f>IF(OR(A10="",R10=0),"",COUNTIFS($R$5:$R$44,"&gt;"&amp;R10)+1)</f>
        <v>0</v>
      </c>
      <c r="U10" s="7"/>
      <c r="V10" s="26"/>
      <c r="W10" s="25"/>
    </row>
    <row r="11" spans="1:23">
      <c r="A11" s="7"/>
      <c r="B11" s="7"/>
      <c r="C11" s="7"/>
      <c r="D11" s="7"/>
      <c r="E11" s="7"/>
      <c r="F11" s="27"/>
      <c r="G11" s="27"/>
      <c r="H11" s="28"/>
      <c r="I11" s="28"/>
      <c r="J11" s="27"/>
      <c r="K11" s="7"/>
      <c r="L11" s="26"/>
      <c r="M11" s="27"/>
      <c r="N11" s="27"/>
      <c r="O11" s="27"/>
      <c r="P11" s="7"/>
      <c r="Q11" s="8">
        <f>IF(A11="","",COUNTIFS('Grocery Spending'!$D$5:$D$404,A11))</f>
        <v>0</v>
      </c>
      <c r="R11" s="8">
        <f>IF(A11="","",SUMIFS('Grocery Spending'!$J$5:$J$404,'Grocery Spending'!$D$5:$D$404,A11))</f>
        <v>0</v>
      </c>
      <c r="S11" s="8">
        <f>IF(OR(A11="",Q11=0),"",ROUND(R11/Q11,2))</f>
        <v>0</v>
      </c>
      <c r="T11" s="8">
        <f>IF(OR(A11="",R11=0),"",COUNTIFS($R$5:$R$44,"&gt;"&amp;R11)+1)</f>
        <v>0</v>
      </c>
      <c r="U11" s="7"/>
      <c r="V11" s="26"/>
      <c r="W11" s="25"/>
    </row>
    <row r="12" spans="1:23">
      <c r="A12" s="7"/>
      <c r="B12" s="7"/>
      <c r="C12" s="7"/>
      <c r="D12" s="7"/>
      <c r="E12" s="7"/>
      <c r="F12" s="27"/>
      <c r="G12" s="27"/>
      <c r="H12" s="28"/>
      <c r="I12" s="28"/>
      <c r="J12" s="27"/>
      <c r="K12" s="7"/>
      <c r="L12" s="26"/>
      <c r="M12" s="27"/>
      <c r="N12" s="27"/>
      <c r="O12" s="27"/>
      <c r="P12" s="7"/>
      <c r="Q12" s="8">
        <f>IF(A12="","",COUNTIFS('Grocery Spending'!$D$5:$D$404,A12))</f>
        <v>0</v>
      </c>
      <c r="R12" s="8">
        <f>IF(A12="","",SUMIFS('Grocery Spending'!$J$5:$J$404,'Grocery Spending'!$D$5:$D$404,A12))</f>
        <v>0</v>
      </c>
      <c r="S12" s="8">
        <f>IF(OR(A12="",Q12=0),"",ROUND(R12/Q12,2))</f>
        <v>0</v>
      </c>
      <c r="T12" s="8">
        <f>IF(OR(A12="",R12=0),"",COUNTIFS($R$5:$R$44,"&gt;"&amp;R12)+1)</f>
        <v>0</v>
      </c>
      <c r="U12" s="7"/>
      <c r="V12" s="26"/>
      <c r="W12" s="25"/>
    </row>
    <row r="13" spans="1:23">
      <c r="A13" s="7"/>
      <c r="B13" s="7"/>
      <c r="C13" s="7"/>
      <c r="D13" s="7"/>
      <c r="E13" s="7"/>
      <c r="F13" s="27"/>
      <c r="G13" s="27"/>
      <c r="H13" s="28"/>
      <c r="I13" s="28"/>
      <c r="J13" s="27"/>
      <c r="K13" s="7"/>
      <c r="L13" s="26"/>
      <c r="M13" s="27"/>
      <c r="N13" s="27"/>
      <c r="O13" s="27"/>
      <c r="P13" s="7"/>
      <c r="Q13" s="8">
        <f>IF(A13="","",COUNTIFS('Grocery Spending'!$D$5:$D$404,A13))</f>
        <v>0</v>
      </c>
      <c r="R13" s="8">
        <f>IF(A13="","",SUMIFS('Grocery Spending'!$J$5:$J$404,'Grocery Spending'!$D$5:$D$404,A13))</f>
        <v>0</v>
      </c>
      <c r="S13" s="8">
        <f>IF(OR(A13="",Q13=0),"",ROUND(R13/Q13,2))</f>
        <v>0</v>
      </c>
      <c r="T13" s="8">
        <f>IF(OR(A13="",R13=0),"",COUNTIFS($R$5:$R$44,"&gt;"&amp;R13)+1)</f>
        <v>0</v>
      </c>
      <c r="U13" s="7"/>
      <c r="V13" s="26"/>
      <c r="W13" s="25"/>
    </row>
    <row r="14" spans="1:23">
      <c r="A14" s="7"/>
      <c r="B14" s="7"/>
      <c r="C14" s="7"/>
      <c r="D14" s="7"/>
      <c r="E14" s="7"/>
      <c r="F14" s="27"/>
      <c r="G14" s="27"/>
      <c r="H14" s="28"/>
      <c r="I14" s="28"/>
      <c r="J14" s="27"/>
      <c r="K14" s="7"/>
      <c r="L14" s="26"/>
      <c r="M14" s="27"/>
      <c r="N14" s="27"/>
      <c r="O14" s="27"/>
      <c r="P14" s="7"/>
      <c r="Q14" s="8">
        <f>IF(A14="","",COUNTIFS('Grocery Spending'!$D$5:$D$404,A14))</f>
        <v>0</v>
      </c>
      <c r="R14" s="8">
        <f>IF(A14="","",SUMIFS('Grocery Spending'!$J$5:$J$404,'Grocery Spending'!$D$5:$D$404,A14))</f>
        <v>0</v>
      </c>
      <c r="S14" s="8">
        <f>IF(OR(A14="",Q14=0),"",ROUND(R14/Q14,2))</f>
        <v>0</v>
      </c>
      <c r="T14" s="8">
        <f>IF(OR(A14="",R14=0),"",COUNTIFS($R$5:$R$44,"&gt;"&amp;R14)+1)</f>
        <v>0</v>
      </c>
      <c r="U14" s="7"/>
      <c r="V14" s="26"/>
      <c r="W14" s="25"/>
    </row>
    <row r="15" spans="1:23">
      <c r="A15" s="7"/>
      <c r="B15" s="7"/>
      <c r="C15" s="7"/>
      <c r="D15" s="7"/>
      <c r="E15" s="7"/>
      <c r="F15" s="27"/>
      <c r="G15" s="27"/>
      <c r="H15" s="28"/>
      <c r="I15" s="28"/>
      <c r="J15" s="27"/>
      <c r="K15" s="7"/>
      <c r="L15" s="26"/>
      <c r="M15" s="27"/>
      <c r="N15" s="27"/>
      <c r="O15" s="27"/>
      <c r="P15" s="7"/>
      <c r="Q15" s="8">
        <f>IF(A15="","",COUNTIFS('Grocery Spending'!$D$5:$D$404,A15))</f>
        <v>0</v>
      </c>
      <c r="R15" s="8">
        <f>IF(A15="","",SUMIFS('Grocery Spending'!$J$5:$J$404,'Grocery Spending'!$D$5:$D$404,A15))</f>
        <v>0</v>
      </c>
      <c r="S15" s="8">
        <f>IF(OR(A15="",Q15=0),"",ROUND(R15/Q15,2))</f>
        <v>0</v>
      </c>
      <c r="T15" s="8">
        <f>IF(OR(A15="",R15=0),"",COUNTIFS($R$5:$R$44,"&gt;"&amp;R15)+1)</f>
        <v>0</v>
      </c>
      <c r="U15" s="7"/>
      <c r="V15" s="26"/>
      <c r="W15" s="25"/>
    </row>
    <row r="16" spans="1:23">
      <c r="A16" s="7"/>
      <c r="B16" s="7"/>
      <c r="C16" s="7"/>
      <c r="D16" s="7"/>
      <c r="E16" s="7"/>
      <c r="F16" s="27"/>
      <c r="G16" s="27"/>
      <c r="H16" s="28"/>
      <c r="I16" s="28"/>
      <c r="J16" s="27"/>
      <c r="K16" s="7"/>
      <c r="L16" s="26"/>
      <c r="M16" s="27"/>
      <c r="N16" s="27"/>
      <c r="O16" s="27"/>
      <c r="P16" s="7"/>
      <c r="Q16" s="8">
        <f>IF(A16="","",COUNTIFS('Grocery Spending'!$D$5:$D$404,A16))</f>
        <v>0</v>
      </c>
      <c r="R16" s="8">
        <f>IF(A16="","",SUMIFS('Grocery Spending'!$J$5:$J$404,'Grocery Spending'!$D$5:$D$404,A16))</f>
        <v>0</v>
      </c>
      <c r="S16" s="8">
        <f>IF(OR(A16="",Q16=0),"",ROUND(R16/Q16,2))</f>
        <v>0</v>
      </c>
      <c r="T16" s="8">
        <f>IF(OR(A16="",R16=0),"",COUNTIFS($R$5:$R$44,"&gt;"&amp;R16)+1)</f>
        <v>0</v>
      </c>
      <c r="U16" s="7"/>
      <c r="V16" s="26"/>
      <c r="W16" s="25"/>
    </row>
    <row r="17" spans="1:23">
      <c r="A17" s="7"/>
      <c r="B17" s="7"/>
      <c r="C17" s="7"/>
      <c r="D17" s="7"/>
      <c r="E17" s="7"/>
      <c r="F17" s="27"/>
      <c r="G17" s="27"/>
      <c r="H17" s="28"/>
      <c r="I17" s="28"/>
      <c r="J17" s="27"/>
      <c r="K17" s="7"/>
      <c r="L17" s="26"/>
      <c r="M17" s="27"/>
      <c r="N17" s="27"/>
      <c r="O17" s="27"/>
      <c r="P17" s="7"/>
      <c r="Q17" s="8">
        <f>IF(A17="","",COUNTIFS('Grocery Spending'!$D$5:$D$404,A17))</f>
        <v>0</v>
      </c>
      <c r="R17" s="8">
        <f>IF(A17="","",SUMIFS('Grocery Spending'!$J$5:$J$404,'Grocery Spending'!$D$5:$D$404,A17))</f>
        <v>0</v>
      </c>
      <c r="S17" s="8">
        <f>IF(OR(A17="",Q17=0),"",ROUND(R17/Q17,2))</f>
        <v>0</v>
      </c>
      <c r="T17" s="8">
        <f>IF(OR(A17="",R17=0),"",COUNTIFS($R$5:$R$44,"&gt;"&amp;R17)+1)</f>
        <v>0</v>
      </c>
      <c r="U17" s="7"/>
      <c r="V17" s="26"/>
      <c r="W17" s="25"/>
    </row>
    <row r="18" spans="1:23">
      <c r="A18" s="7"/>
      <c r="B18" s="7"/>
      <c r="C18" s="7"/>
      <c r="D18" s="7"/>
      <c r="E18" s="7"/>
      <c r="F18" s="27"/>
      <c r="G18" s="27"/>
      <c r="H18" s="28"/>
      <c r="I18" s="28"/>
      <c r="J18" s="27"/>
      <c r="K18" s="7"/>
      <c r="L18" s="26"/>
      <c r="M18" s="27"/>
      <c r="N18" s="27"/>
      <c r="O18" s="27"/>
      <c r="P18" s="7"/>
      <c r="Q18" s="8">
        <f>IF(A18="","",COUNTIFS('Grocery Spending'!$D$5:$D$404,A18))</f>
        <v>0</v>
      </c>
      <c r="R18" s="8">
        <f>IF(A18="","",SUMIFS('Grocery Spending'!$J$5:$J$404,'Grocery Spending'!$D$5:$D$404,A18))</f>
        <v>0</v>
      </c>
      <c r="S18" s="8">
        <f>IF(OR(A18="",Q18=0),"",ROUND(R18/Q18,2))</f>
        <v>0</v>
      </c>
      <c r="T18" s="8">
        <f>IF(OR(A18="",R18=0),"",COUNTIFS($R$5:$R$44,"&gt;"&amp;R18)+1)</f>
        <v>0</v>
      </c>
      <c r="U18" s="7"/>
      <c r="V18" s="26"/>
      <c r="W18" s="25"/>
    </row>
    <row r="19" spans="1:23">
      <c r="A19" s="7"/>
      <c r="B19" s="7"/>
      <c r="C19" s="7"/>
      <c r="D19" s="7"/>
      <c r="E19" s="7"/>
      <c r="F19" s="27"/>
      <c r="G19" s="27"/>
      <c r="H19" s="28"/>
      <c r="I19" s="28"/>
      <c r="J19" s="27"/>
      <c r="K19" s="7"/>
      <c r="L19" s="26"/>
      <c r="M19" s="27"/>
      <c r="N19" s="27"/>
      <c r="O19" s="27"/>
      <c r="P19" s="7"/>
      <c r="Q19" s="8">
        <f>IF(A19="","",COUNTIFS('Grocery Spending'!$D$5:$D$404,A19))</f>
        <v>0</v>
      </c>
      <c r="R19" s="8">
        <f>IF(A19="","",SUMIFS('Grocery Spending'!$J$5:$J$404,'Grocery Spending'!$D$5:$D$404,A19))</f>
        <v>0</v>
      </c>
      <c r="S19" s="8">
        <f>IF(OR(A19="",Q19=0),"",ROUND(R19/Q19,2))</f>
        <v>0</v>
      </c>
      <c r="T19" s="8">
        <f>IF(OR(A19="",R19=0),"",COUNTIFS($R$5:$R$44,"&gt;"&amp;R19)+1)</f>
        <v>0</v>
      </c>
      <c r="U19" s="7"/>
      <c r="V19" s="26"/>
      <c r="W19" s="25"/>
    </row>
    <row r="20" spans="1:23">
      <c r="A20" s="7"/>
      <c r="B20" s="7"/>
      <c r="C20" s="7"/>
      <c r="D20" s="7"/>
      <c r="E20" s="7"/>
      <c r="F20" s="27"/>
      <c r="G20" s="27"/>
      <c r="H20" s="28"/>
      <c r="I20" s="28"/>
      <c r="J20" s="27"/>
      <c r="K20" s="7"/>
      <c r="L20" s="26"/>
      <c r="M20" s="27"/>
      <c r="N20" s="27"/>
      <c r="O20" s="27"/>
      <c r="P20" s="7"/>
      <c r="Q20" s="8">
        <f>IF(A20="","",COUNTIFS('Grocery Spending'!$D$5:$D$404,A20))</f>
        <v>0</v>
      </c>
      <c r="R20" s="8">
        <f>IF(A20="","",SUMIFS('Grocery Spending'!$J$5:$J$404,'Grocery Spending'!$D$5:$D$404,A20))</f>
        <v>0</v>
      </c>
      <c r="S20" s="8">
        <f>IF(OR(A20="",Q20=0),"",ROUND(R20/Q20,2))</f>
        <v>0</v>
      </c>
      <c r="T20" s="8">
        <f>IF(OR(A20="",R20=0),"",COUNTIFS($R$5:$R$44,"&gt;"&amp;R20)+1)</f>
        <v>0</v>
      </c>
      <c r="U20" s="7"/>
      <c r="V20" s="26"/>
      <c r="W20" s="25"/>
    </row>
    <row r="21" spans="1:23">
      <c r="A21" s="7"/>
      <c r="B21" s="7"/>
      <c r="C21" s="7"/>
      <c r="D21" s="7"/>
      <c r="E21" s="7"/>
      <c r="F21" s="27"/>
      <c r="G21" s="27"/>
      <c r="H21" s="28"/>
      <c r="I21" s="28"/>
      <c r="J21" s="27"/>
      <c r="K21" s="7"/>
      <c r="L21" s="26"/>
      <c r="M21" s="27"/>
      <c r="N21" s="27"/>
      <c r="O21" s="27"/>
      <c r="P21" s="7"/>
      <c r="Q21" s="8">
        <f>IF(A21="","",COUNTIFS('Grocery Spending'!$D$5:$D$404,A21))</f>
        <v>0</v>
      </c>
      <c r="R21" s="8">
        <f>IF(A21="","",SUMIFS('Grocery Spending'!$J$5:$J$404,'Grocery Spending'!$D$5:$D$404,A21))</f>
        <v>0</v>
      </c>
      <c r="S21" s="8">
        <f>IF(OR(A21="",Q21=0),"",ROUND(R21/Q21,2))</f>
        <v>0</v>
      </c>
      <c r="T21" s="8">
        <f>IF(OR(A21="",R21=0),"",COUNTIFS($R$5:$R$44,"&gt;"&amp;R21)+1)</f>
        <v>0</v>
      </c>
      <c r="U21" s="7"/>
      <c r="V21" s="26"/>
      <c r="W21" s="25"/>
    </row>
    <row r="22" spans="1:23">
      <c r="A22" s="7"/>
      <c r="B22" s="7"/>
      <c r="C22" s="7"/>
      <c r="D22" s="7"/>
      <c r="E22" s="7"/>
      <c r="F22" s="27"/>
      <c r="G22" s="27"/>
      <c r="H22" s="28"/>
      <c r="I22" s="28"/>
      <c r="J22" s="27"/>
      <c r="K22" s="7"/>
      <c r="L22" s="26"/>
      <c r="M22" s="27"/>
      <c r="N22" s="27"/>
      <c r="O22" s="27"/>
      <c r="P22" s="7"/>
      <c r="Q22" s="8">
        <f>IF(A22="","",COUNTIFS('Grocery Spending'!$D$5:$D$404,A22))</f>
        <v>0</v>
      </c>
      <c r="R22" s="8">
        <f>IF(A22="","",SUMIFS('Grocery Spending'!$J$5:$J$404,'Grocery Spending'!$D$5:$D$404,A22))</f>
        <v>0</v>
      </c>
      <c r="S22" s="8">
        <f>IF(OR(A22="",Q22=0),"",ROUND(R22/Q22,2))</f>
        <v>0</v>
      </c>
      <c r="T22" s="8">
        <f>IF(OR(A22="",R22=0),"",COUNTIFS($R$5:$R$44,"&gt;"&amp;R22)+1)</f>
        <v>0</v>
      </c>
      <c r="U22" s="7"/>
      <c r="V22" s="26"/>
      <c r="W22" s="25"/>
    </row>
    <row r="23" spans="1:23">
      <c r="A23" s="7"/>
      <c r="B23" s="7"/>
      <c r="C23" s="7"/>
      <c r="D23" s="7"/>
      <c r="E23" s="7"/>
      <c r="F23" s="27"/>
      <c r="G23" s="27"/>
      <c r="H23" s="28"/>
      <c r="I23" s="28"/>
      <c r="J23" s="27"/>
      <c r="K23" s="7"/>
      <c r="L23" s="26"/>
      <c r="M23" s="27"/>
      <c r="N23" s="27"/>
      <c r="O23" s="27"/>
      <c r="P23" s="7"/>
      <c r="Q23" s="8">
        <f>IF(A23="","",COUNTIFS('Grocery Spending'!$D$5:$D$404,A23))</f>
        <v>0</v>
      </c>
      <c r="R23" s="8">
        <f>IF(A23="","",SUMIFS('Grocery Spending'!$J$5:$J$404,'Grocery Spending'!$D$5:$D$404,A23))</f>
        <v>0</v>
      </c>
      <c r="S23" s="8">
        <f>IF(OR(A23="",Q23=0),"",ROUND(R23/Q23,2))</f>
        <v>0</v>
      </c>
      <c r="T23" s="8">
        <f>IF(OR(A23="",R23=0),"",COUNTIFS($R$5:$R$44,"&gt;"&amp;R23)+1)</f>
        <v>0</v>
      </c>
      <c r="U23" s="7"/>
      <c r="V23" s="26"/>
      <c r="W23" s="25"/>
    </row>
    <row r="24" spans="1:23">
      <c r="A24" s="7"/>
      <c r="B24" s="7"/>
      <c r="C24" s="7"/>
      <c r="D24" s="7"/>
      <c r="E24" s="7"/>
      <c r="F24" s="27"/>
      <c r="G24" s="27"/>
      <c r="H24" s="28"/>
      <c r="I24" s="28"/>
      <c r="J24" s="27"/>
      <c r="K24" s="7"/>
      <c r="L24" s="26"/>
      <c r="M24" s="27"/>
      <c r="N24" s="27"/>
      <c r="O24" s="27"/>
      <c r="P24" s="7"/>
      <c r="Q24" s="8">
        <f>IF(A24="","",COUNTIFS('Grocery Spending'!$D$5:$D$404,A24))</f>
        <v>0</v>
      </c>
      <c r="R24" s="8">
        <f>IF(A24="","",SUMIFS('Grocery Spending'!$J$5:$J$404,'Grocery Spending'!$D$5:$D$404,A24))</f>
        <v>0</v>
      </c>
      <c r="S24" s="8">
        <f>IF(OR(A24="",Q24=0),"",ROUND(R24/Q24,2))</f>
        <v>0</v>
      </c>
      <c r="T24" s="8">
        <f>IF(OR(A24="",R24=0),"",COUNTIFS($R$5:$R$44,"&gt;"&amp;R24)+1)</f>
        <v>0</v>
      </c>
      <c r="U24" s="7"/>
      <c r="V24" s="26"/>
      <c r="W24" s="25"/>
    </row>
    <row r="25" spans="1:23">
      <c r="A25" s="7"/>
      <c r="B25" s="7"/>
      <c r="C25" s="7"/>
      <c r="D25" s="7"/>
      <c r="E25" s="7"/>
      <c r="F25" s="27"/>
      <c r="G25" s="27"/>
      <c r="H25" s="28"/>
      <c r="I25" s="28"/>
      <c r="J25" s="27"/>
      <c r="K25" s="7"/>
      <c r="L25" s="26"/>
      <c r="M25" s="27"/>
      <c r="N25" s="27"/>
      <c r="O25" s="27"/>
      <c r="P25" s="7"/>
      <c r="Q25" s="8">
        <f>IF(A25="","",COUNTIFS('Grocery Spending'!$D$5:$D$404,A25))</f>
        <v>0</v>
      </c>
      <c r="R25" s="8">
        <f>IF(A25="","",SUMIFS('Grocery Spending'!$J$5:$J$404,'Grocery Spending'!$D$5:$D$404,A25))</f>
        <v>0</v>
      </c>
      <c r="S25" s="8">
        <f>IF(OR(A25="",Q25=0),"",ROUND(R25/Q25,2))</f>
        <v>0</v>
      </c>
      <c r="T25" s="8">
        <f>IF(OR(A25="",R25=0),"",COUNTIFS($R$5:$R$44,"&gt;"&amp;R25)+1)</f>
        <v>0</v>
      </c>
      <c r="U25" s="7"/>
      <c r="V25" s="26"/>
      <c r="W25" s="25"/>
    </row>
    <row r="26" spans="1:23">
      <c r="A26" s="7"/>
      <c r="B26" s="7"/>
      <c r="C26" s="7"/>
      <c r="D26" s="7"/>
      <c r="E26" s="7"/>
      <c r="F26" s="27"/>
      <c r="G26" s="27"/>
      <c r="H26" s="28"/>
      <c r="I26" s="28"/>
      <c r="J26" s="27"/>
      <c r="K26" s="7"/>
      <c r="L26" s="26"/>
      <c r="M26" s="27"/>
      <c r="N26" s="27"/>
      <c r="O26" s="27"/>
      <c r="P26" s="7"/>
      <c r="Q26" s="8">
        <f>IF(A26="","",COUNTIFS('Grocery Spending'!$D$5:$D$404,A26))</f>
        <v>0</v>
      </c>
      <c r="R26" s="8">
        <f>IF(A26="","",SUMIFS('Grocery Spending'!$J$5:$J$404,'Grocery Spending'!$D$5:$D$404,A26))</f>
        <v>0</v>
      </c>
      <c r="S26" s="8">
        <f>IF(OR(A26="",Q26=0),"",ROUND(R26/Q26,2))</f>
        <v>0</v>
      </c>
      <c r="T26" s="8">
        <f>IF(OR(A26="",R26=0),"",COUNTIFS($R$5:$R$44,"&gt;"&amp;R26)+1)</f>
        <v>0</v>
      </c>
      <c r="U26" s="7"/>
      <c r="V26" s="26"/>
      <c r="W26" s="25"/>
    </row>
    <row r="27" spans="1:23">
      <c r="A27" s="7"/>
      <c r="B27" s="7"/>
      <c r="C27" s="7"/>
      <c r="D27" s="7"/>
      <c r="E27" s="7"/>
      <c r="F27" s="27"/>
      <c r="G27" s="27"/>
      <c r="H27" s="28"/>
      <c r="I27" s="28"/>
      <c r="J27" s="27"/>
      <c r="K27" s="7"/>
      <c r="L27" s="26"/>
      <c r="M27" s="27"/>
      <c r="N27" s="27"/>
      <c r="O27" s="27"/>
      <c r="P27" s="7"/>
      <c r="Q27" s="8">
        <f>IF(A27="","",COUNTIFS('Grocery Spending'!$D$5:$D$404,A27))</f>
        <v>0</v>
      </c>
      <c r="R27" s="8">
        <f>IF(A27="","",SUMIFS('Grocery Spending'!$J$5:$J$404,'Grocery Spending'!$D$5:$D$404,A27))</f>
        <v>0</v>
      </c>
      <c r="S27" s="8">
        <f>IF(OR(A27="",Q27=0),"",ROUND(R27/Q27,2))</f>
        <v>0</v>
      </c>
      <c r="T27" s="8">
        <f>IF(OR(A27="",R27=0),"",COUNTIFS($R$5:$R$44,"&gt;"&amp;R27)+1)</f>
        <v>0</v>
      </c>
      <c r="U27" s="7"/>
      <c r="V27" s="26"/>
      <c r="W27" s="25"/>
    </row>
    <row r="28" spans="1:23">
      <c r="A28" s="7"/>
      <c r="B28" s="7"/>
      <c r="C28" s="7"/>
      <c r="D28" s="7"/>
      <c r="E28" s="7"/>
      <c r="F28" s="27"/>
      <c r="G28" s="27"/>
      <c r="H28" s="28"/>
      <c r="I28" s="28"/>
      <c r="J28" s="27"/>
      <c r="K28" s="7"/>
      <c r="L28" s="26"/>
      <c r="M28" s="27"/>
      <c r="N28" s="27"/>
      <c r="O28" s="27"/>
      <c r="P28" s="7"/>
      <c r="Q28" s="8">
        <f>IF(A28="","",COUNTIFS('Grocery Spending'!$D$5:$D$404,A28))</f>
        <v>0</v>
      </c>
      <c r="R28" s="8">
        <f>IF(A28="","",SUMIFS('Grocery Spending'!$J$5:$J$404,'Grocery Spending'!$D$5:$D$404,A28))</f>
        <v>0</v>
      </c>
      <c r="S28" s="8">
        <f>IF(OR(A28="",Q28=0),"",ROUND(R28/Q28,2))</f>
        <v>0</v>
      </c>
      <c r="T28" s="8">
        <f>IF(OR(A28="",R28=0),"",COUNTIFS($R$5:$R$44,"&gt;"&amp;R28)+1)</f>
        <v>0</v>
      </c>
      <c r="U28" s="7"/>
      <c r="V28" s="26"/>
      <c r="W28" s="25"/>
    </row>
    <row r="29" spans="1:23">
      <c r="A29" s="7"/>
      <c r="B29" s="7"/>
      <c r="C29" s="7"/>
      <c r="D29" s="7"/>
      <c r="E29" s="7"/>
      <c r="F29" s="27"/>
      <c r="G29" s="27"/>
      <c r="H29" s="28"/>
      <c r="I29" s="28"/>
      <c r="J29" s="27"/>
      <c r="K29" s="7"/>
      <c r="L29" s="26"/>
      <c r="M29" s="27"/>
      <c r="N29" s="27"/>
      <c r="O29" s="27"/>
      <c r="P29" s="7"/>
      <c r="Q29" s="8">
        <f>IF(A29="","",COUNTIFS('Grocery Spending'!$D$5:$D$404,A29))</f>
        <v>0</v>
      </c>
      <c r="R29" s="8">
        <f>IF(A29="","",SUMIFS('Grocery Spending'!$J$5:$J$404,'Grocery Spending'!$D$5:$D$404,A29))</f>
        <v>0</v>
      </c>
      <c r="S29" s="8">
        <f>IF(OR(A29="",Q29=0),"",ROUND(R29/Q29,2))</f>
        <v>0</v>
      </c>
      <c r="T29" s="8">
        <f>IF(OR(A29="",R29=0),"",COUNTIFS($R$5:$R$44,"&gt;"&amp;R29)+1)</f>
        <v>0</v>
      </c>
      <c r="U29" s="7"/>
      <c r="V29" s="26"/>
      <c r="W29" s="25"/>
    </row>
    <row r="30" spans="1:23">
      <c r="A30" s="7"/>
      <c r="B30" s="7"/>
      <c r="C30" s="7"/>
      <c r="D30" s="7"/>
      <c r="E30" s="7"/>
      <c r="F30" s="27"/>
      <c r="G30" s="27"/>
      <c r="H30" s="28"/>
      <c r="I30" s="28"/>
      <c r="J30" s="27"/>
      <c r="K30" s="7"/>
      <c r="L30" s="26"/>
      <c r="M30" s="27"/>
      <c r="N30" s="27"/>
      <c r="O30" s="27"/>
      <c r="P30" s="7"/>
      <c r="Q30" s="8">
        <f>IF(A30="","",COUNTIFS('Grocery Spending'!$D$5:$D$404,A30))</f>
        <v>0</v>
      </c>
      <c r="R30" s="8">
        <f>IF(A30="","",SUMIFS('Grocery Spending'!$J$5:$J$404,'Grocery Spending'!$D$5:$D$404,A30))</f>
        <v>0</v>
      </c>
      <c r="S30" s="8">
        <f>IF(OR(A30="",Q30=0),"",ROUND(R30/Q30,2))</f>
        <v>0</v>
      </c>
      <c r="T30" s="8">
        <f>IF(OR(A30="",R30=0),"",COUNTIFS($R$5:$R$44,"&gt;"&amp;R30)+1)</f>
        <v>0</v>
      </c>
      <c r="U30" s="7"/>
      <c r="V30" s="26"/>
      <c r="W30" s="25"/>
    </row>
    <row r="31" spans="1:23">
      <c r="A31" s="7"/>
      <c r="B31" s="7"/>
      <c r="C31" s="7"/>
      <c r="D31" s="7"/>
      <c r="E31" s="7"/>
      <c r="F31" s="27"/>
      <c r="G31" s="27"/>
      <c r="H31" s="28"/>
      <c r="I31" s="28"/>
      <c r="J31" s="27"/>
      <c r="K31" s="7"/>
      <c r="L31" s="26"/>
      <c r="M31" s="27"/>
      <c r="N31" s="27"/>
      <c r="O31" s="27"/>
      <c r="P31" s="7"/>
      <c r="Q31" s="8">
        <f>IF(A31="","",COUNTIFS('Grocery Spending'!$D$5:$D$404,A31))</f>
        <v>0</v>
      </c>
      <c r="R31" s="8">
        <f>IF(A31="","",SUMIFS('Grocery Spending'!$J$5:$J$404,'Grocery Spending'!$D$5:$D$404,A31))</f>
        <v>0</v>
      </c>
      <c r="S31" s="8">
        <f>IF(OR(A31="",Q31=0),"",ROUND(R31/Q31,2))</f>
        <v>0</v>
      </c>
      <c r="T31" s="8">
        <f>IF(OR(A31="",R31=0),"",COUNTIFS($R$5:$R$44,"&gt;"&amp;R31)+1)</f>
        <v>0</v>
      </c>
      <c r="U31" s="7"/>
      <c r="V31" s="26"/>
      <c r="W31" s="25"/>
    </row>
    <row r="32" spans="1:23">
      <c r="A32" s="7"/>
      <c r="B32" s="7"/>
      <c r="C32" s="7"/>
      <c r="D32" s="7"/>
      <c r="E32" s="7"/>
      <c r="F32" s="27"/>
      <c r="G32" s="27"/>
      <c r="H32" s="28"/>
      <c r="I32" s="28"/>
      <c r="J32" s="27"/>
      <c r="K32" s="7"/>
      <c r="L32" s="26"/>
      <c r="M32" s="27"/>
      <c r="N32" s="27"/>
      <c r="O32" s="27"/>
      <c r="P32" s="7"/>
      <c r="Q32" s="8">
        <f>IF(A32="","",COUNTIFS('Grocery Spending'!$D$5:$D$404,A32))</f>
        <v>0</v>
      </c>
      <c r="R32" s="8">
        <f>IF(A32="","",SUMIFS('Grocery Spending'!$J$5:$J$404,'Grocery Spending'!$D$5:$D$404,A32))</f>
        <v>0</v>
      </c>
      <c r="S32" s="8">
        <f>IF(OR(A32="",Q32=0),"",ROUND(R32/Q32,2))</f>
        <v>0</v>
      </c>
      <c r="T32" s="8">
        <f>IF(OR(A32="",R32=0),"",COUNTIFS($R$5:$R$44,"&gt;"&amp;R32)+1)</f>
        <v>0</v>
      </c>
      <c r="U32" s="7"/>
      <c r="V32" s="26"/>
      <c r="W32" s="25"/>
    </row>
    <row r="33" spans="1:23">
      <c r="A33" s="7"/>
      <c r="B33" s="7"/>
      <c r="C33" s="7"/>
      <c r="D33" s="7"/>
      <c r="E33" s="7"/>
      <c r="F33" s="27"/>
      <c r="G33" s="27"/>
      <c r="H33" s="28"/>
      <c r="I33" s="28"/>
      <c r="J33" s="27"/>
      <c r="K33" s="7"/>
      <c r="L33" s="26"/>
      <c r="M33" s="27"/>
      <c r="N33" s="27"/>
      <c r="O33" s="27"/>
      <c r="P33" s="7"/>
      <c r="Q33" s="8">
        <f>IF(A33="","",COUNTIFS('Grocery Spending'!$D$5:$D$404,A33))</f>
        <v>0</v>
      </c>
      <c r="R33" s="8">
        <f>IF(A33="","",SUMIFS('Grocery Spending'!$J$5:$J$404,'Grocery Spending'!$D$5:$D$404,A33))</f>
        <v>0</v>
      </c>
      <c r="S33" s="8">
        <f>IF(OR(A33="",Q33=0),"",ROUND(R33/Q33,2))</f>
        <v>0</v>
      </c>
      <c r="T33" s="8">
        <f>IF(OR(A33="",R33=0),"",COUNTIFS($R$5:$R$44,"&gt;"&amp;R33)+1)</f>
        <v>0</v>
      </c>
      <c r="U33" s="7"/>
      <c r="V33" s="26"/>
      <c r="W33" s="25"/>
    </row>
    <row r="34" spans="1:23">
      <c r="A34" s="7"/>
      <c r="B34" s="7"/>
      <c r="C34" s="7"/>
      <c r="D34" s="7"/>
      <c r="E34" s="7"/>
      <c r="F34" s="27"/>
      <c r="G34" s="27"/>
      <c r="H34" s="28"/>
      <c r="I34" s="28"/>
      <c r="J34" s="27"/>
      <c r="K34" s="7"/>
      <c r="L34" s="26"/>
      <c r="M34" s="27"/>
      <c r="N34" s="27"/>
      <c r="O34" s="27"/>
      <c r="P34" s="7"/>
      <c r="Q34" s="8">
        <f>IF(A34="","",COUNTIFS('Grocery Spending'!$D$5:$D$404,A34))</f>
        <v>0</v>
      </c>
      <c r="R34" s="8">
        <f>IF(A34="","",SUMIFS('Grocery Spending'!$J$5:$J$404,'Grocery Spending'!$D$5:$D$404,A34))</f>
        <v>0</v>
      </c>
      <c r="S34" s="8">
        <f>IF(OR(A34="",Q34=0),"",ROUND(R34/Q34,2))</f>
        <v>0</v>
      </c>
      <c r="T34" s="8">
        <f>IF(OR(A34="",R34=0),"",COUNTIFS($R$5:$R$44,"&gt;"&amp;R34)+1)</f>
        <v>0</v>
      </c>
      <c r="U34" s="7"/>
      <c r="V34" s="26"/>
      <c r="W34" s="25"/>
    </row>
    <row r="35" spans="1:23">
      <c r="A35" s="7"/>
      <c r="B35" s="7"/>
      <c r="C35" s="7"/>
      <c r="D35" s="7"/>
      <c r="E35" s="7"/>
      <c r="F35" s="27"/>
      <c r="G35" s="27"/>
      <c r="H35" s="28"/>
      <c r="I35" s="28"/>
      <c r="J35" s="27"/>
      <c r="K35" s="7"/>
      <c r="L35" s="26"/>
      <c r="M35" s="27"/>
      <c r="N35" s="27"/>
      <c r="O35" s="27"/>
      <c r="P35" s="7"/>
      <c r="Q35" s="8">
        <f>IF(A35="","",COUNTIFS('Grocery Spending'!$D$5:$D$404,A35))</f>
        <v>0</v>
      </c>
      <c r="R35" s="8">
        <f>IF(A35="","",SUMIFS('Grocery Spending'!$J$5:$J$404,'Grocery Spending'!$D$5:$D$404,A35))</f>
        <v>0</v>
      </c>
      <c r="S35" s="8">
        <f>IF(OR(A35="",Q35=0),"",ROUND(R35/Q35,2))</f>
        <v>0</v>
      </c>
      <c r="T35" s="8">
        <f>IF(OR(A35="",R35=0),"",COUNTIFS($R$5:$R$44,"&gt;"&amp;R35)+1)</f>
        <v>0</v>
      </c>
      <c r="U35" s="7"/>
      <c r="V35" s="26"/>
      <c r="W35" s="25"/>
    </row>
    <row r="36" spans="1:23">
      <c r="A36" s="7"/>
      <c r="B36" s="7"/>
      <c r="C36" s="7"/>
      <c r="D36" s="7"/>
      <c r="E36" s="7"/>
      <c r="F36" s="27"/>
      <c r="G36" s="27"/>
      <c r="H36" s="28"/>
      <c r="I36" s="28"/>
      <c r="J36" s="27"/>
      <c r="K36" s="7"/>
      <c r="L36" s="26"/>
      <c r="M36" s="27"/>
      <c r="N36" s="27"/>
      <c r="O36" s="27"/>
      <c r="P36" s="7"/>
      <c r="Q36" s="8">
        <f>IF(A36="","",COUNTIFS('Grocery Spending'!$D$5:$D$404,A36))</f>
        <v>0</v>
      </c>
      <c r="R36" s="8">
        <f>IF(A36="","",SUMIFS('Grocery Spending'!$J$5:$J$404,'Grocery Spending'!$D$5:$D$404,A36))</f>
        <v>0</v>
      </c>
      <c r="S36" s="8">
        <f>IF(OR(A36="",Q36=0),"",ROUND(R36/Q36,2))</f>
        <v>0</v>
      </c>
      <c r="T36" s="8">
        <f>IF(OR(A36="",R36=0),"",COUNTIFS($R$5:$R$44,"&gt;"&amp;R36)+1)</f>
        <v>0</v>
      </c>
      <c r="U36" s="7"/>
      <c r="V36" s="26"/>
      <c r="W36" s="25"/>
    </row>
    <row r="37" spans="1:23">
      <c r="A37" s="7"/>
      <c r="B37" s="7"/>
      <c r="C37" s="7"/>
      <c r="D37" s="7"/>
      <c r="E37" s="7"/>
      <c r="F37" s="27"/>
      <c r="G37" s="27"/>
      <c r="H37" s="28"/>
      <c r="I37" s="28"/>
      <c r="J37" s="27"/>
      <c r="K37" s="7"/>
      <c r="L37" s="26"/>
      <c r="M37" s="27"/>
      <c r="N37" s="27"/>
      <c r="O37" s="27"/>
      <c r="P37" s="7"/>
      <c r="Q37" s="8">
        <f>IF(A37="","",COUNTIFS('Grocery Spending'!$D$5:$D$404,A37))</f>
        <v>0</v>
      </c>
      <c r="R37" s="8">
        <f>IF(A37="","",SUMIFS('Grocery Spending'!$J$5:$J$404,'Grocery Spending'!$D$5:$D$404,A37))</f>
        <v>0</v>
      </c>
      <c r="S37" s="8">
        <f>IF(OR(A37="",Q37=0),"",ROUND(R37/Q37,2))</f>
        <v>0</v>
      </c>
      <c r="T37" s="8">
        <f>IF(OR(A37="",R37=0),"",COUNTIFS($R$5:$R$44,"&gt;"&amp;R37)+1)</f>
        <v>0</v>
      </c>
      <c r="U37" s="7"/>
      <c r="V37" s="26"/>
      <c r="W37" s="25"/>
    </row>
    <row r="38" spans="1:23">
      <c r="A38" s="7"/>
      <c r="B38" s="7"/>
      <c r="C38" s="7"/>
      <c r="D38" s="7"/>
      <c r="E38" s="7"/>
      <c r="F38" s="27"/>
      <c r="G38" s="27"/>
      <c r="H38" s="28"/>
      <c r="I38" s="28"/>
      <c r="J38" s="27"/>
      <c r="K38" s="7"/>
      <c r="L38" s="26"/>
      <c r="M38" s="27"/>
      <c r="N38" s="27"/>
      <c r="O38" s="27"/>
      <c r="P38" s="7"/>
      <c r="Q38" s="8">
        <f>IF(A38="","",COUNTIFS('Grocery Spending'!$D$5:$D$404,A38))</f>
        <v>0</v>
      </c>
      <c r="R38" s="8">
        <f>IF(A38="","",SUMIFS('Grocery Spending'!$J$5:$J$404,'Grocery Spending'!$D$5:$D$404,A38))</f>
        <v>0</v>
      </c>
      <c r="S38" s="8">
        <f>IF(OR(A38="",Q38=0),"",ROUND(R38/Q38,2))</f>
        <v>0</v>
      </c>
      <c r="T38" s="8">
        <f>IF(OR(A38="",R38=0),"",COUNTIFS($R$5:$R$44,"&gt;"&amp;R38)+1)</f>
        <v>0</v>
      </c>
      <c r="U38" s="7"/>
      <c r="V38" s="26"/>
      <c r="W38" s="25"/>
    </row>
    <row r="39" spans="1:23">
      <c r="A39" s="7"/>
      <c r="B39" s="7"/>
      <c r="C39" s="7"/>
      <c r="D39" s="7"/>
      <c r="E39" s="7"/>
      <c r="F39" s="27"/>
      <c r="G39" s="27"/>
      <c r="H39" s="28"/>
      <c r="I39" s="28"/>
      <c r="J39" s="27"/>
      <c r="K39" s="7"/>
      <c r="L39" s="26"/>
      <c r="M39" s="27"/>
      <c r="N39" s="27"/>
      <c r="O39" s="27"/>
      <c r="P39" s="7"/>
      <c r="Q39" s="8">
        <f>IF(A39="","",COUNTIFS('Grocery Spending'!$D$5:$D$404,A39))</f>
        <v>0</v>
      </c>
      <c r="R39" s="8">
        <f>IF(A39="","",SUMIFS('Grocery Spending'!$J$5:$J$404,'Grocery Spending'!$D$5:$D$404,A39))</f>
        <v>0</v>
      </c>
      <c r="S39" s="8">
        <f>IF(OR(A39="",Q39=0),"",ROUND(R39/Q39,2))</f>
        <v>0</v>
      </c>
      <c r="T39" s="8">
        <f>IF(OR(A39="",R39=0),"",COUNTIFS($R$5:$R$44,"&gt;"&amp;R39)+1)</f>
        <v>0</v>
      </c>
      <c r="U39" s="7"/>
      <c r="V39" s="26"/>
      <c r="W39" s="25"/>
    </row>
    <row r="40" spans="1:23">
      <c r="A40" s="7"/>
      <c r="B40" s="7"/>
      <c r="C40" s="7"/>
      <c r="D40" s="7"/>
      <c r="E40" s="7"/>
      <c r="F40" s="27"/>
      <c r="G40" s="27"/>
      <c r="H40" s="28"/>
      <c r="I40" s="28"/>
      <c r="J40" s="27"/>
      <c r="K40" s="7"/>
      <c r="L40" s="26"/>
      <c r="M40" s="27"/>
      <c r="N40" s="27"/>
      <c r="O40" s="27"/>
      <c r="P40" s="7"/>
      <c r="Q40" s="8">
        <f>IF(A40="","",COUNTIFS('Grocery Spending'!$D$5:$D$404,A40))</f>
        <v>0</v>
      </c>
      <c r="R40" s="8">
        <f>IF(A40="","",SUMIFS('Grocery Spending'!$J$5:$J$404,'Grocery Spending'!$D$5:$D$404,A40))</f>
        <v>0</v>
      </c>
      <c r="S40" s="8">
        <f>IF(OR(A40="",Q40=0),"",ROUND(R40/Q40,2))</f>
        <v>0</v>
      </c>
      <c r="T40" s="8">
        <f>IF(OR(A40="",R40=0),"",COUNTIFS($R$5:$R$44,"&gt;"&amp;R40)+1)</f>
        <v>0</v>
      </c>
      <c r="U40" s="7"/>
      <c r="V40" s="26"/>
      <c r="W40" s="25"/>
    </row>
    <row r="41" spans="1:23">
      <c r="A41" s="7"/>
      <c r="B41" s="7"/>
      <c r="C41" s="7"/>
      <c r="D41" s="7"/>
      <c r="E41" s="7"/>
      <c r="F41" s="27"/>
      <c r="G41" s="27"/>
      <c r="H41" s="28"/>
      <c r="I41" s="28"/>
      <c r="J41" s="27"/>
      <c r="K41" s="7"/>
      <c r="L41" s="26"/>
      <c r="M41" s="27"/>
      <c r="N41" s="27"/>
      <c r="O41" s="27"/>
      <c r="P41" s="7"/>
      <c r="Q41" s="8">
        <f>IF(A41="","",COUNTIFS('Grocery Spending'!$D$5:$D$404,A41))</f>
        <v>0</v>
      </c>
      <c r="R41" s="8">
        <f>IF(A41="","",SUMIFS('Grocery Spending'!$J$5:$J$404,'Grocery Spending'!$D$5:$D$404,A41))</f>
        <v>0</v>
      </c>
      <c r="S41" s="8">
        <f>IF(OR(A41="",Q41=0),"",ROUND(R41/Q41,2))</f>
        <v>0</v>
      </c>
      <c r="T41" s="8">
        <f>IF(OR(A41="",R41=0),"",COUNTIFS($R$5:$R$44,"&gt;"&amp;R41)+1)</f>
        <v>0</v>
      </c>
      <c r="U41" s="7"/>
      <c r="V41" s="26"/>
      <c r="W41" s="25"/>
    </row>
    <row r="42" spans="1:23">
      <c r="A42" s="7"/>
      <c r="B42" s="7"/>
      <c r="C42" s="7"/>
      <c r="D42" s="7"/>
      <c r="E42" s="7"/>
      <c r="F42" s="27"/>
      <c r="G42" s="27"/>
      <c r="H42" s="28"/>
      <c r="I42" s="28"/>
      <c r="J42" s="27"/>
      <c r="K42" s="7"/>
      <c r="L42" s="26"/>
      <c r="M42" s="27"/>
      <c r="N42" s="27"/>
      <c r="O42" s="27"/>
      <c r="P42" s="7"/>
      <c r="Q42" s="8">
        <f>IF(A42="","",COUNTIFS('Grocery Spending'!$D$5:$D$404,A42))</f>
        <v>0</v>
      </c>
      <c r="R42" s="8">
        <f>IF(A42="","",SUMIFS('Grocery Spending'!$J$5:$J$404,'Grocery Spending'!$D$5:$D$404,A42))</f>
        <v>0</v>
      </c>
      <c r="S42" s="8">
        <f>IF(OR(A42="",Q42=0),"",ROUND(R42/Q42,2))</f>
        <v>0</v>
      </c>
      <c r="T42" s="8">
        <f>IF(OR(A42="",R42=0),"",COUNTIFS($R$5:$R$44,"&gt;"&amp;R42)+1)</f>
        <v>0</v>
      </c>
      <c r="U42" s="7"/>
      <c r="V42" s="26"/>
      <c r="W42" s="25"/>
    </row>
    <row r="43" spans="1:23">
      <c r="A43" s="7"/>
      <c r="B43" s="7"/>
      <c r="C43" s="7"/>
      <c r="D43" s="7"/>
      <c r="E43" s="7"/>
      <c r="F43" s="27"/>
      <c r="G43" s="27"/>
      <c r="H43" s="28"/>
      <c r="I43" s="28"/>
      <c r="J43" s="27"/>
      <c r="K43" s="7"/>
      <c r="L43" s="26"/>
      <c r="M43" s="27"/>
      <c r="N43" s="27"/>
      <c r="O43" s="27"/>
      <c r="P43" s="7"/>
      <c r="Q43" s="8">
        <f>IF(A43="","",COUNTIFS('Grocery Spending'!$D$5:$D$404,A43))</f>
        <v>0</v>
      </c>
      <c r="R43" s="8">
        <f>IF(A43="","",SUMIFS('Grocery Spending'!$J$5:$J$404,'Grocery Spending'!$D$5:$D$404,A43))</f>
        <v>0</v>
      </c>
      <c r="S43" s="8">
        <f>IF(OR(A43="",Q43=0),"",ROUND(R43/Q43,2))</f>
        <v>0</v>
      </c>
      <c r="T43" s="8">
        <f>IF(OR(A43="",R43=0),"",COUNTIFS($R$5:$R$44,"&gt;"&amp;R43)+1)</f>
        <v>0</v>
      </c>
      <c r="U43" s="7"/>
      <c r="V43" s="26"/>
      <c r="W43" s="25"/>
    </row>
    <row r="44" spans="1:23">
      <c r="A44" s="7"/>
      <c r="B44" s="7"/>
      <c r="C44" s="7"/>
      <c r="D44" s="7"/>
      <c r="E44" s="7"/>
      <c r="F44" s="27"/>
      <c r="G44" s="27"/>
      <c r="H44" s="28"/>
      <c r="I44" s="28"/>
      <c r="J44" s="27"/>
      <c r="K44" s="7"/>
      <c r="L44" s="26"/>
      <c r="M44" s="27"/>
      <c r="N44" s="27"/>
      <c r="O44" s="27"/>
      <c r="P44" s="7"/>
      <c r="Q44" s="8">
        <f>IF(A44="","",COUNTIFS('Grocery Spending'!$D$5:$D$404,A44))</f>
        <v>0</v>
      </c>
      <c r="R44" s="8">
        <f>IF(A44="","",SUMIFS('Grocery Spending'!$J$5:$J$404,'Grocery Spending'!$D$5:$D$404,A44))</f>
        <v>0</v>
      </c>
      <c r="S44" s="8">
        <f>IF(OR(A44="",Q44=0),"",ROUND(R44/Q44,2))</f>
        <v>0</v>
      </c>
      <c r="T44" s="8">
        <f>IF(OR(A44="",R44=0),"",COUNTIFS($R$5:$R$44,"&gt;"&amp;R44)+1)</f>
        <v>0</v>
      </c>
      <c r="U44" s="7"/>
      <c r="V44" s="26"/>
      <c r="W44" s="25"/>
    </row>
  </sheetData>
  <sheetProtection password="EC7C" sheet="1" objects="1" scenarios="1" selectLockedCells="1" selectUnlockedCells="1"/>
  <autoFilter ref="A4:W44"/>
  <conditionalFormatting sqref="A11:W11">
    <cfRule type="expression" dxfId="0" priority="4">
      <formula>MOD(ROW(),2)=0</formula>
    </cfRule>
  </conditionalFormatting>
  <conditionalFormatting sqref="A13:W13">
    <cfRule type="expression" dxfId="0" priority="5">
      <formula>MOD(ROW(),2)=0</formula>
    </cfRule>
  </conditionalFormatting>
  <conditionalFormatting sqref="A15:W15">
    <cfRule type="expression" dxfId="0" priority="6">
      <formula>MOD(ROW(),2)=0</formula>
    </cfRule>
  </conditionalFormatting>
  <conditionalFormatting sqref="A17:W17">
    <cfRule type="expression" dxfId="0" priority="7">
      <formula>MOD(ROW(),2)=0</formula>
    </cfRule>
  </conditionalFormatting>
  <conditionalFormatting sqref="A19:W19">
    <cfRule type="expression" dxfId="0" priority="8">
      <formula>MOD(ROW(),2)=0</formula>
    </cfRule>
  </conditionalFormatting>
  <conditionalFormatting sqref="A21:W21">
    <cfRule type="expression" dxfId="0" priority="9">
      <formula>MOD(ROW(),2)=0</formula>
    </cfRule>
  </conditionalFormatting>
  <conditionalFormatting sqref="A23:W23">
    <cfRule type="expression" dxfId="0" priority="10">
      <formula>MOD(ROW(),2)=0</formula>
    </cfRule>
  </conditionalFormatting>
  <conditionalFormatting sqref="A25:W25">
    <cfRule type="expression" dxfId="0" priority="11">
      <formula>MOD(ROW(),2)=0</formula>
    </cfRule>
  </conditionalFormatting>
  <conditionalFormatting sqref="A27:W27">
    <cfRule type="expression" dxfId="0" priority="12">
      <formula>MOD(ROW(),2)=0</formula>
    </cfRule>
  </conditionalFormatting>
  <conditionalFormatting sqref="A29:W29">
    <cfRule type="expression" dxfId="0" priority="13">
      <formula>MOD(ROW(),2)=0</formula>
    </cfRule>
  </conditionalFormatting>
  <conditionalFormatting sqref="A31:W31">
    <cfRule type="expression" dxfId="0" priority="14">
      <formula>MOD(ROW(),2)=0</formula>
    </cfRule>
  </conditionalFormatting>
  <conditionalFormatting sqref="A33:W33">
    <cfRule type="expression" dxfId="0" priority="15">
      <formula>MOD(ROW(),2)=0</formula>
    </cfRule>
  </conditionalFormatting>
  <conditionalFormatting sqref="A35:W35">
    <cfRule type="expression" dxfId="0" priority="16">
      <formula>MOD(ROW(),2)=0</formula>
    </cfRule>
  </conditionalFormatting>
  <conditionalFormatting sqref="A37:W37">
    <cfRule type="expression" dxfId="0" priority="17">
      <formula>MOD(ROW(),2)=0</formula>
    </cfRule>
  </conditionalFormatting>
  <conditionalFormatting sqref="A39:W39">
    <cfRule type="expression" dxfId="0" priority="18">
      <formula>MOD(ROW(),2)=0</formula>
    </cfRule>
  </conditionalFormatting>
  <conditionalFormatting sqref="A41:W41">
    <cfRule type="expression" dxfId="0" priority="19">
      <formula>MOD(ROW(),2)=0</formula>
    </cfRule>
  </conditionalFormatting>
  <conditionalFormatting sqref="A43:W43">
    <cfRule type="expression" dxfId="0" priority="20">
      <formula>MOD(ROW(),2)=0</formula>
    </cfRule>
  </conditionalFormatting>
  <conditionalFormatting sqref="A5:W5">
    <cfRule type="expression" dxfId="0" priority="1">
      <formula>MOD(ROW(),2)=0</formula>
    </cfRule>
  </conditionalFormatting>
  <conditionalFormatting sqref="A7:W7">
    <cfRule type="expression" dxfId="0" priority="2">
      <formula>MOD(ROW(),2)=0</formula>
    </cfRule>
  </conditionalFormatting>
  <conditionalFormatting sqref="A9:W9">
    <cfRule type="expression" dxfId="0" priority="3">
      <formula>MOD(ROW(),2)=0</formula>
    </cfRule>
  </conditionalFormatting>
  <dataValidations count="400">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Spreadsheet&amp;R&amp;"Calibri,Italic"Stores</oddHeader>
    <oddFooter>&amp;LPage &amp;P of &amp;N&amp;R&amp;D</oddFooter>
  </headerFooter>
</worksheet>
</file>

<file path=xl/worksheets/sheet29.xml><?xml version="1.0" encoding="utf-8"?>
<worksheet xmlns="http://schemas.openxmlformats.org/spreadsheetml/2006/main" xmlns:r="http://schemas.openxmlformats.org/officeDocument/2006/relationships">
  <sheetPr>
    <tabColor rgb="FFD9703C"/>
    <pageSetUpPr fitToPage="1"/>
  </sheetPr>
  <dimension ref="A4:W4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4.7109375" customWidth="1"/>
    <col min="2" max="2" width="12.7109375" customWidth="1"/>
    <col min="3" max="3" width="9.7109375" customWidth="1"/>
    <col min="4" max="4" width="13.7109375" customWidth="1"/>
    <col min="5" max="5" width="16.7109375" customWidth="1"/>
    <col min="6" max="6" width="22.7109375" customWidth="1"/>
    <col min="7" max="7" width="12.7109375" customWidth="1"/>
    <col min="8" max="12" width="24.7109375" customWidth="1"/>
    <col min="13" max="13" width="22.7109375" customWidth="1"/>
    <col min="14" max="16" width="12.7109375" customWidth="1"/>
    <col min="17" max="19" width="11.7109375" customWidth="1"/>
    <col min="20" max="21" width="26.7109375" customWidth="1"/>
    <col min="22" max="22" width="12.7109375" customWidth="1"/>
    <col min="23" max="23" width="30.7109375" customWidth="1"/>
  </cols>
  <sheetData>
    <row r="4" spans="1:23" ht="32" customHeight="1">
      <c r="A4" s="9" t="s">
        <v>598</v>
      </c>
      <c r="B4" s="9" t="s">
        <v>128</v>
      </c>
      <c r="C4" s="9" t="s">
        <v>599</v>
      </c>
      <c r="D4" s="9" t="s">
        <v>600</v>
      </c>
      <c r="E4" s="9" t="s">
        <v>601</v>
      </c>
      <c r="F4" s="9" t="s">
        <v>602</v>
      </c>
      <c r="G4" s="9" t="s">
        <v>64</v>
      </c>
      <c r="H4" s="9" t="s">
        <v>603</v>
      </c>
      <c r="I4" s="9" t="s">
        <v>604</v>
      </c>
      <c r="J4" s="9" t="s">
        <v>605</v>
      </c>
      <c r="K4" s="9" t="s">
        <v>606</v>
      </c>
      <c r="L4" s="9" t="s">
        <v>172</v>
      </c>
      <c r="M4" s="9" t="s">
        <v>607</v>
      </c>
      <c r="N4" s="9" t="s">
        <v>608</v>
      </c>
      <c r="O4" s="9" t="s">
        <v>609</v>
      </c>
      <c r="P4" s="9" t="s">
        <v>610</v>
      </c>
      <c r="Q4" s="9" t="s">
        <v>611</v>
      </c>
      <c r="R4" s="9" t="s">
        <v>612</v>
      </c>
      <c r="S4" s="9" t="s">
        <v>613</v>
      </c>
      <c r="T4" s="9" t="s">
        <v>614</v>
      </c>
      <c r="U4" s="9" t="s">
        <v>615</v>
      </c>
      <c r="V4" s="9" t="s">
        <v>135</v>
      </c>
      <c r="W4" s="9" t="s">
        <v>173</v>
      </c>
    </row>
    <row r="5" spans="1:23">
      <c r="A5" s="7"/>
      <c r="B5" s="30"/>
      <c r="C5" s="26"/>
      <c r="D5" s="27"/>
      <c r="E5" s="7"/>
      <c r="F5" s="7"/>
      <c r="G5" s="28"/>
      <c r="H5" s="27"/>
      <c r="I5" s="27"/>
      <c r="J5" s="27"/>
      <c r="K5" s="27"/>
      <c r="L5" s="27"/>
      <c r="M5" s="7"/>
      <c r="N5" s="26"/>
      <c r="O5" s="8">
        <f>IF(A5="","",IFERROR(IFERROR(INDEX(Recipes!$Q$5:$Q$204,MATCH(H5,Recipes!$A$5:$A$204,0)),"")*N5*C5,0)+IFERROR(IFERROR(INDEX(Recipes!$Q$5:$Q$204,MATCH(I5,Recipes!$A$5:$A$204,0)),"")*N5*C5,0)+IFERROR(IFERROR(INDEX(Recipes!$Q$5:$Q$204,MATCH(J5,Recipes!$A$5:$A$204,0)),"")*N5*C5,0)+IFERROR(IFERROR(INDEX(Recipes!$Q$5:$Q$204,MATCH(K5,Recipes!$A$5:$A$204,0)),"")*N5*C5,0)+IFERROR(IFERROR(INDEX(Recipes!$Q$5:$Q$204,MATCH(L5,Recipes!$A$5:$A$204,0)),"")*N5*C5,0))</f>
        <v>0</v>
      </c>
      <c r="P5" s="8">
        <f>IF(OR(A5="",C5=0),"",IFERROR(O5/C5,""))</f>
        <v>0</v>
      </c>
      <c r="Q5" s="8">
        <f>IF(OR(A5="",G5=""),"",G5-O5)</f>
        <v>0</v>
      </c>
      <c r="R5" s="8">
        <f>IF(OR(A5="",B5=""),"",B5-TODAY())</f>
        <v>0</v>
      </c>
      <c r="S5" s="8">
        <f>IF(A5="","",COUNTIFS('Meal Prep'!$D$5:$D$124,H5)+COUNTIFS('Meal Prep'!$D$5:$D$124,I5)+COUNTIFS('Meal Prep'!$D$5:$D$124,J5)+COUNTIFS('Meal Prep'!$D$5:$D$124,K5)+COUNTIFS('Meal Prep'!$D$5:$D$124,L5))</f>
        <v>0</v>
      </c>
      <c r="T5" s="7"/>
      <c r="U5" s="7"/>
      <c r="V5" s="27"/>
      <c r="W5" s="25"/>
    </row>
    <row r="6" spans="1:23">
      <c r="A6" s="7"/>
      <c r="B6" s="30"/>
      <c r="C6" s="26"/>
      <c r="D6" s="27"/>
      <c r="E6" s="7"/>
      <c r="F6" s="7"/>
      <c r="G6" s="28"/>
      <c r="H6" s="27"/>
      <c r="I6" s="27"/>
      <c r="J6" s="27"/>
      <c r="K6" s="27"/>
      <c r="L6" s="27"/>
      <c r="M6" s="7"/>
      <c r="N6" s="26"/>
      <c r="O6" s="8">
        <f>IF(A6="","",IFERROR(IFERROR(INDEX(Recipes!$Q$5:$Q$204,MATCH(H6,Recipes!$A$5:$A$204,0)),"")*N6*C6,0)+IFERROR(IFERROR(INDEX(Recipes!$Q$5:$Q$204,MATCH(I6,Recipes!$A$5:$A$204,0)),"")*N6*C6,0)+IFERROR(IFERROR(INDEX(Recipes!$Q$5:$Q$204,MATCH(J6,Recipes!$A$5:$A$204,0)),"")*N6*C6,0)+IFERROR(IFERROR(INDEX(Recipes!$Q$5:$Q$204,MATCH(K6,Recipes!$A$5:$A$204,0)),"")*N6*C6,0)+IFERROR(IFERROR(INDEX(Recipes!$Q$5:$Q$204,MATCH(L6,Recipes!$A$5:$A$204,0)),"")*N6*C6,0))</f>
        <v>0</v>
      </c>
      <c r="P6" s="8">
        <f>IF(OR(A6="",C6=0),"",IFERROR(O6/C6,""))</f>
        <v>0</v>
      </c>
      <c r="Q6" s="8">
        <f>IF(OR(A6="",G6=""),"",G6-O6)</f>
        <v>0</v>
      </c>
      <c r="R6" s="8">
        <f>IF(OR(A6="",B6=""),"",B6-TODAY())</f>
        <v>0</v>
      </c>
      <c r="S6" s="8">
        <f>IF(A6="","",COUNTIFS('Meal Prep'!$D$5:$D$124,H6)+COUNTIFS('Meal Prep'!$D$5:$D$124,I6)+COUNTIFS('Meal Prep'!$D$5:$D$124,J6)+COUNTIFS('Meal Prep'!$D$5:$D$124,K6)+COUNTIFS('Meal Prep'!$D$5:$D$124,L6))</f>
        <v>0</v>
      </c>
      <c r="T6" s="7"/>
      <c r="U6" s="7"/>
      <c r="V6" s="27"/>
      <c r="W6" s="25"/>
    </row>
    <row r="7" spans="1:23">
      <c r="A7" s="7"/>
      <c r="B7" s="30"/>
      <c r="C7" s="26"/>
      <c r="D7" s="27"/>
      <c r="E7" s="7"/>
      <c r="F7" s="7"/>
      <c r="G7" s="28"/>
      <c r="H7" s="27"/>
      <c r="I7" s="27"/>
      <c r="J7" s="27"/>
      <c r="K7" s="27"/>
      <c r="L7" s="27"/>
      <c r="M7" s="7"/>
      <c r="N7" s="26"/>
      <c r="O7" s="8">
        <f>IF(A7="","",IFERROR(IFERROR(INDEX(Recipes!$Q$5:$Q$204,MATCH(H7,Recipes!$A$5:$A$204,0)),"")*N7*C7,0)+IFERROR(IFERROR(INDEX(Recipes!$Q$5:$Q$204,MATCH(I7,Recipes!$A$5:$A$204,0)),"")*N7*C7,0)+IFERROR(IFERROR(INDEX(Recipes!$Q$5:$Q$204,MATCH(J7,Recipes!$A$5:$A$204,0)),"")*N7*C7,0)+IFERROR(IFERROR(INDEX(Recipes!$Q$5:$Q$204,MATCH(K7,Recipes!$A$5:$A$204,0)),"")*N7*C7,0)+IFERROR(IFERROR(INDEX(Recipes!$Q$5:$Q$204,MATCH(L7,Recipes!$A$5:$A$204,0)),"")*N7*C7,0))</f>
        <v>0</v>
      </c>
      <c r="P7" s="8">
        <f>IF(OR(A7="",C7=0),"",IFERROR(O7/C7,""))</f>
        <v>0</v>
      </c>
      <c r="Q7" s="8">
        <f>IF(OR(A7="",G7=""),"",G7-O7)</f>
        <v>0</v>
      </c>
      <c r="R7" s="8">
        <f>IF(OR(A7="",B7=""),"",B7-TODAY())</f>
        <v>0</v>
      </c>
      <c r="S7" s="8">
        <f>IF(A7="","",COUNTIFS('Meal Prep'!$D$5:$D$124,H7)+COUNTIFS('Meal Prep'!$D$5:$D$124,I7)+COUNTIFS('Meal Prep'!$D$5:$D$124,J7)+COUNTIFS('Meal Prep'!$D$5:$D$124,K7)+COUNTIFS('Meal Prep'!$D$5:$D$124,L7))</f>
        <v>0</v>
      </c>
      <c r="T7" s="7"/>
      <c r="U7" s="7"/>
      <c r="V7" s="27"/>
      <c r="W7" s="25"/>
    </row>
    <row r="8" spans="1:23">
      <c r="A8" s="7"/>
      <c r="B8" s="30"/>
      <c r="C8" s="26"/>
      <c r="D8" s="27"/>
      <c r="E8" s="7"/>
      <c r="F8" s="7"/>
      <c r="G8" s="28"/>
      <c r="H8" s="27"/>
      <c r="I8" s="27"/>
      <c r="J8" s="27"/>
      <c r="K8" s="27"/>
      <c r="L8" s="27"/>
      <c r="M8" s="7"/>
      <c r="N8" s="26"/>
      <c r="O8" s="8">
        <f>IF(A8="","",IFERROR(IFERROR(INDEX(Recipes!$Q$5:$Q$204,MATCH(H8,Recipes!$A$5:$A$204,0)),"")*N8*C8,0)+IFERROR(IFERROR(INDEX(Recipes!$Q$5:$Q$204,MATCH(I8,Recipes!$A$5:$A$204,0)),"")*N8*C8,0)+IFERROR(IFERROR(INDEX(Recipes!$Q$5:$Q$204,MATCH(J8,Recipes!$A$5:$A$204,0)),"")*N8*C8,0)+IFERROR(IFERROR(INDEX(Recipes!$Q$5:$Q$204,MATCH(K8,Recipes!$A$5:$A$204,0)),"")*N8*C8,0)+IFERROR(IFERROR(INDEX(Recipes!$Q$5:$Q$204,MATCH(L8,Recipes!$A$5:$A$204,0)),"")*N8*C8,0))</f>
        <v>0</v>
      </c>
      <c r="P8" s="8">
        <f>IF(OR(A8="",C8=0),"",IFERROR(O8/C8,""))</f>
        <v>0</v>
      </c>
      <c r="Q8" s="8">
        <f>IF(OR(A8="",G8=""),"",G8-O8)</f>
        <v>0</v>
      </c>
      <c r="R8" s="8">
        <f>IF(OR(A8="",B8=""),"",B8-TODAY())</f>
        <v>0</v>
      </c>
      <c r="S8" s="8">
        <f>IF(A8="","",COUNTIFS('Meal Prep'!$D$5:$D$124,H8)+COUNTIFS('Meal Prep'!$D$5:$D$124,I8)+COUNTIFS('Meal Prep'!$D$5:$D$124,J8)+COUNTIFS('Meal Prep'!$D$5:$D$124,K8)+COUNTIFS('Meal Prep'!$D$5:$D$124,L8))</f>
        <v>0</v>
      </c>
      <c r="T8" s="7"/>
      <c r="U8" s="7"/>
      <c r="V8" s="27"/>
      <c r="W8" s="25"/>
    </row>
    <row r="9" spans="1:23">
      <c r="A9" s="7"/>
      <c r="B9" s="30"/>
      <c r="C9" s="26"/>
      <c r="D9" s="27"/>
      <c r="E9" s="7"/>
      <c r="F9" s="7"/>
      <c r="G9" s="28"/>
      <c r="H9" s="27"/>
      <c r="I9" s="27"/>
      <c r="J9" s="27"/>
      <c r="K9" s="27"/>
      <c r="L9" s="27"/>
      <c r="M9" s="7"/>
      <c r="N9" s="26"/>
      <c r="O9" s="8">
        <f>IF(A9="","",IFERROR(IFERROR(INDEX(Recipes!$Q$5:$Q$204,MATCH(H9,Recipes!$A$5:$A$204,0)),"")*N9*C9,0)+IFERROR(IFERROR(INDEX(Recipes!$Q$5:$Q$204,MATCH(I9,Recipes!$A$5:$A$204,0)),"")*N9*C9,0)+IFERROR(IFERROR(INDEX(Recipes!$Q$5:$Q$204,MATCH(J9,Recipes!$A$5:$A$204,0)),"")*N9*C9,0)+IFERROR(IFERROR(INDEX(Recipes!$Q$5:$Q$204,MATCH(K9,Recipes!$A$5:$A$204,0)),"")*N9*C9,0)+IFERROR(IFERROR(INDEX(Recipes!$Q$5:$Q$204,MATCH(L9,Recipes!$A$5:$A$204,0)),"")*N9*C9,0))</f>
        <v>0</v>
      </c>
      <c r="P9" s="8">
        <f>IF(OR(A9="",C9=0),"",IFERROR(O9/C9,""))</f>
        <v>0</v>
      </c>
      <c r="Q9" s="8">
        <f>IF(OR(A9="",G9=""),"",G9-O9)</f>
        <v>0</v>
      </c>
      <c r="R9" s="8">
        <f>IF(OR(A9="",B9=""),"",B9-TODAY())</f>
        <v>0</v>
      </c>
      <c r="S9" s="8">
        <f>IF(A9="","",COUNTIFS('Meal Prep'!$D$5:$D$124,H9)+COUNTIFS('Meal Prep'!$D$5:$D$124,I9)+COUNTIFS('Meal Prep'!$D$5:$D$124,J9)+COUNTIFS('Meal Prep'!$D$5:$D$124,K9)+COUNTIFS('Meal Prep'!$D$5:$D$124,L9))</f>
        <v>0</v>
      </c>
      <c r="T9" s="7"/>
      <c r="U9" s="7"/>
      <c r="V9" s="27"/>
      <c r="W9" s="25"/>
    </row>
    <row r="10" spans="1:23">
      <c r="A10" s="7"/>
      <c r="B10" s="30"/>
      <c r="C10" s="26"/>
      <c r="D10" s="27"/>
      <c r="E10" s="7"/>
      <c r="F10" s="7"/>
      <c r="G10" s="28"/>
      <c r="H10" s="27"/>
      <c r="I10" s="27"/>
      <c r="J10" s="27"/>
      <c r="K10" s="27"/>
      <c r="L10" s="27"/>
      <c r="M10" s="7"/>
      <c r="N10" s="26"/>
      <c r="O10" s="8">
        <f>IF(A10="","",IFERROR(IFERROR(INDEX(Recipes!$Q$5:$Q$204,MATCH(H10,Recipes!$A$5:$A$204,0)),"")*N10*C10,0)+IFERROR(IFERROR(INDEX(Recipes!$Q$5:$Q$204,MATCH(I10,Recipes!$A$5:$A$204,0)),"")*N10*C10,0)+IFERROR(IFERROR(INDEX(Recipes!$Q$5:$Q$204,MATCH(J10,Recipes!$A$5:$A$204,0)),"")*N10*C10,0)+IFERROR(IFERROR(INDEX(Recipes!$Q$5:$Q$204,MATCH(K10,Recipes!$A$5:$A$204,0)),"")*N10*C10,0)+IFERROR(IFERROR(INDEX(Recipes!$Q$5:$Q$204,MATCH(L10,Recipes!$A$5:$A$204,0)),"")*N10*C10,0))</f>
        <v>0</v>
      </c>
      <c r="P10" s="8">
        <f>IF(OR(A10="",C10=0),"",IFERROR(O10/C10,""))</f>
        <v>0</v>
      </c>
      <c r="Q10" s="8">
        <f>IF(OR(A10="",G10=""),"",G10-O10)</f>
        <v>0</v>
      </c>
      <c r="R10" s="8">
        <f>IF(OR(A10="",B10=""),"",B10-TODAY())</f>
        <v>0</v>
      </c>
      <c r="S10" s="8">
        <f>IF(A10="","",COUNTIFS('Meal Prep'!$D$5:$D$124,H10)+COUNTIFS('Meal Prep'!$D$5:$D$124,I10)+COUNTIFS('Meal Prep'!$D$5:$D$124,J10)+COUNTIFS('Meal Prep'!$D$5:$D$124,K10)+COUNTIFS('Meal Prep'!$D$5:$D$124,L10))</f>
        <v>0</v>
      </c>
      <c r="T10" s="7"/>
      <c r="U10" s="7"/>
      <c r="V10" s="27"/>
      <c r="W10" s="25"/>
    </row>
    <row r="11" spans="1:23">
      <c r="A11" s="7"/>
      <c r="B11" s="30"/>
      <c r="C11" s="26"/>
      <c r="D11" s="27"/>
      <c r="E11" s="7"/>
      <c r="F11" s="7"/>
      <c r="G11" s="28"/>
      <c r="H11" s="27"/>
      <c r="I11" s="27"/>
      <c r="J11" s="27"/>
      <c r="K11" s="27"/>
      <c r="L11" s="27"/>
      <c r="M11" s="7"/>
      <c r="N11" s="26"/>
      <c r="O11" s="8">
        <f>IF(A11="","",IFERROR(IFERROR(INDEX(Recipes!$Q$5:$Q$204,MATCH(H11,Recipes!$A$5:$A$204,0)),"")*N11*C11,0)+IFERROR(IFERROR(INDEX(Recipes!$Q$5:$Q$204,MATCH(I11,Recipes!$A$5:$A$204,0)),"")*N11*C11,0)+IFERROR(IFERROR(INDEX(Recipes!$Q$5:$Q$204,MATCH(J11,Recipes!$A$5:$A$204,0)),"")*N11*C11,0)+IFERROR(IFERROR(INDEX(Recipes!$Q$5:$Q$204,MATCH(K11,Recipes!$A$5:$A$204,0)),"")*N11*C11,0)+IFERROR(IFERROR(INDEX(Recipes!$Q$5:$Q$204,MATCH(L11,Recipes!$A$5:$A$204,0)),"")*N11*C11,0))</f>
        <v>0</v>
      </c>
      <c r="P11" s="8">
        <f>IF(OR(A11="",C11=0),"",IFERROR(O11/C11,""))</f>
        <v>0</v>
      </c>
      <c r="Q11" s="8">
        <f>IF(OR(A11="",G11=""),"",G11-O11)</f>
        <v>0</v>
      </c>
      <c r="R11" s="8">
        <f>IF(OR(A11="",B11=""),"",B11-TODAY())</f>
        <v>0</v>
      </c>
      <c r="S11" s="8">
        <f>IF(A11="","",COUNTIFS('Meal Prep'!$D$5:$D$124,H11)+COUNTIFS('Meal Prep'!$D$5:$D$124,I11)+COUNTIFS('Meal Prep'!$D$5:$D$124,J11)+COUNTIFS('Meal Prep'!$D$5:$D$124,K11)+COUNTIFS('Meal Prep'!$D$5:$D$124,L11))</f>
        <v>0</v>
      </c>
      <c r="T11" s="7"/>
      <c r="U11" s="7"/>
      <c r="V11" s="27"/>
      <c r="W11" s="25"/>
    </row>
    <row r="12" spans="1:23">
      <c r="A12" s="7"/>
      <c r="B12" s="30"/>
      <c r="C12" s="26"/>
      <c r="D12" s="27"/>
      <c r="E12" s="7"/>
      <c r="F12" s="7"/>
      <c r="G12" s="28"/>
      <c r="H12" s="27"/>
      <c r="I12" s="27"/>
      <c r="J12" s="27"/>
      <c r="K12" s="27"/>
      <c r="L12" s="27"/>
      <c r="M12" s="7"/>
      <c r="N12" s="26"/>
      <c r="O12" s="8">
        <f>IF(A12="","",IFERROR(IFERROR(INDEX(Recipes!$Q$5:$Q$204,MATCH(H12,Recipes!$A$5:$A$204,0)),"")*N12*C12,0)+IFERROR(IFERROR(INDEX(Recipes!$Q$5:$Q$204,MATCH(I12,Recipes!$A$5:$A$204,0)),"")*N12*C12,0)+IFERROR(IFERROR(INDEX(Recipes!$Q$5:$Q$204,MATCH(J12,Recipes!$A$5:$A$204,0)),"")*N12*C12,0)+IFERROR(IFERROR(INDEX(Recipes!$Q$5:$Q$204,MATCH(K12,Recipes!$A$5:$A$204,0)),"")*N12*C12,0)+IFERROR(IFERROR(INDEX(Recipes!$Q$5:$Q$204,MATCH(L12,Recipes!$A$5:$A$204,0)),"")*N12*C12,0))</f>
        <v>0</v>
      </c>
      <c r="P12" s="8">
        <f>IF(OR(A12="",C12=0),"",IFERROR(O12/C12,""))</f>
        <v>0</v>
      </c>
      <c r="Q12" s="8">
        <f>IF(OR(A12="",G12=""),"",G12-O12)</f>
        <v>0</v>
      </c>
      <c r="R12" s="8">
        <f>IF(OR(A12="",B12=""),"",B12-TODAY())</f>
        <v>0</v>
      </c>
      <c r="S12" s="8">
        <f>IF(A12="","",COUNTIFS('Meal Prep'!$D$5:$D$124,H12)+COUNTIFS('Meal Prep'!$D$5:$D$124,I12)+COUNTIFS('Meal Prep'!$D$5:$D$124,J12)+COUNTIFS('Meal Prep'!$D$5:$D$124,K12)+COUNTIFS('Meal Prep'!$D$5:$D$124,L12))</f>
        <v>0</v>
      </c>
      <c r="T12" s="7"/>
      <c r="U12" s="7"/>
      <c r="V12" s="27"/>
      <c r="W12" s="25"/>
    </row>
    <row r="13" spans="1:23">
      <c r="A13" s="7"/>
      <c r="B13" s="30"/>
      <c r="C13" s="26"/>
      <c r="D13" s="27"/>
      <c r="E13" s="7"/>
      <c r="F13" s="7"/>
      <c r="G13" s="28"/>
      <c r="H13" s="27"/>
      <c r="I13" s="27"/>
      <c r="J13" s="27"/>
      <c r="K13" s="27"/>
      <c r="L13" s="27"/>
      <c r="M13" s="7"/>
      <c r="N13" s="26"/>
      <c r="O13" s="8">
        <f>IF(A13="","",IFERROR(IFERROR(INDEX(Recipes!$Q$5:$Q$204,MATCH(H13,Recipes!$A$5:$A$204,0)),"")*N13*C13,0)+IFERROR(IFERROR(INDEX(Recipes!$Q$5:$Q$204,MATCH(I13,Recipes!$A$5:$A$204,0)),"")*N13*C13,0)+IFERROR(IFERROR(INDEX(Recipes!$Q$5:$Q$204,MATCH(J13,Recipes!$A$5:$A$204,0)),"")*N13*C13,0)+IFERROR(IFERROR(INDEX(Recipes!$Q$5:$Q$204,MATCH(K13,Recipes!$A$5:$A$204,0)),"")*N13*C13,0)+IFERROR(IFERROR(INDEX(Recipes!$Q$5:$Q$204,MATCH(L13,Recipes!$A$5:$A$204,0)),"")*N13*C13,0))</f>
        <v>0</v>
      </c>
      <c r="P13" s="8">
        <f>IF(OR(A13="",C13=0),"",IFERROR(O13/C13,""))</f>
        <v>0</v>
      </c>
      <c r="Q13" s="8">
        <f>IF(OR(A13="",G13=""),"",G13-O13)</f>
        <v>0</v>
      </c>
      <c r="R13" s="8">
        <f>IF(OR(A13="",B13=""),"",B13-TODAY())</f>
        <v>0</v>
      </c>
      <c r="S13" s="8">
        <f>IF(A13="","",COUNTIFS('Meal Prep'!$D$5:$D$124,H13)+COUNTIFS('Meal Prep'!$D$5:$D$124,I13)+COUNTIFS('Meal Prep'!$D$5:$D$124,J13)+COUNTIFS('Meal Prep'!$D$5:$D$124,K13)+COUNTIFS('Meal Prep'!$D$5:$D$124,L13))</f>
        <v>0</v>
      </c>
      <c r="T13" s="7"/>
      <c r="U13" s="7"/>
      <c r="V13" s="27"/>
      <c r="W13" s="25"/>
    </row>
    <row r="14" spans="1:23">
      <c r="A14" s="7"/>
      <c r="B14" s="30"/>
      <c r="C14" s="26"/>
      <c r="D14" s="27"/>
      <c r="E14" s="7"/>
      <c r="F14" s="7"/>
      <c r="G14" s="28"/>
      <c r="H14" s="27"/>
      <c r="I14" s="27"/>
      <c r="J14" s="27"/>
      <c r="K14" s="27"/>
      <c r="L14" s="27"/>
      <c r="M14" s="7"/>
      <c r="N14" s="26"/>
      <c r="O14" s="8">
        <f>IF(A14="","",IFERROR(IFERROR(INDEX(Recipes!$Q$5:$Q$204,MATCH(H14,Recipes!$A$5:$A$204,0)),"")*N14*C14,0)+IFERROR(IFERROR(INDEX(Recipes!$Q$5:$Q$204,MATCH(I14,Recipes!$A$5:$A$204,0)),"")*N14*C14,0)+IFERROR(IFERROR(INDEX(Recipes!$Q$5:$Q$204,MATCH(J14,Recipes!$A$5:$A$204,0)),"")*N14*C14,0)+IFERROR(IFERROR(INDEX(Recipes!$Q$5:$Q$204,MATCH(K14,Recipes!$A$5:$A$204,0)),"")*N14*C14,0)+IFERROR(IFERROR(INDEX(Recipes!$Q$5:$Q$204,MATCH(L14,Recipes!$A$5:$A$204,0)),"")*N14*C14,0))</f>
        <v>0</v>
      </c>
      <c r="P14" s="8">
        <f>IF(OR(A14="",C14=0),"",IFERROR(O14/C14,""))</f>
        <v>0</v>
      </c>
      <c r="Q14" s="8">
        <f>IF(OR(A14="",G14=""),"",G14-O14)</f>
        <v>0</v>
      </c>
      <c r="R14" s="8">
        <f>IF(OR(A14="",B14=""),"",B14-TODAY())</f>
        <v>0</v>
      </c>
      <c r="S14" s="8">
        <f>IF(A14="","",COUNTIFS('Meal Prep'!$D$5:$D$124,H14)+COUNTIFS('Meal Prep'!$D$5:$D$124,I14)+COUNTIFS('Meal Prep'!$D$5:$D$124,J14)+COUNTIFS('Meal Prep'!$D$5:$D$124,K14)+COUNTIFS('Meal Prep'!$D$5:$D$124,L14))</f>
        <v>0</v>
      </c>
      <c r="T14" s="7"/>
      <c r="U14" s="7"/>
      <c r="V14" s="27"/>
      <c r="W14" s="25"/>
    </row>
    <row r="15" spans="1:23">
      <c r="A15" s="7"/>
      <c r="B15" s="30"/>
      <c r="C15" s="26"/>
      <c r="D15" s="27"/>
      <c r="E15" s="7"/>
      <c r="F15" s="7"/>
      <c r="G15" s="28"/>
      <c r="H15" s="27"/>
      <c r="I15" s="27"/>
      <c r="J15" s="27"/>
      <c r="K15" s="27"/>
      <c r="L15" s="27"/>
      <c r="M15" s="7"/>
      <c r="N15" s="26"/>
      <c r="O15" s="8">
        <f>IF(A15="","",IFERROR(IFERROR(INDEX(Recipes!$Q$5:$Q$204,MATCH(H15,Recipes!$A$5:$A$204,0)),"")*N15*C15,0)+IFERROR(IFERROR(INDEX(Recipes!$Q$5:$Q$204,MATCH(I15,Recipes!$A$5:$A$204,0)),"")*N15*C15,0)+IFERROR(IFERROR(INDEX(Recipes!$Q$5:$Q$204,MATCH(J15,Recipes!$A$5:$A$204,0)),"")*N15*C15,0)+IFERROR(IFERROR(INDEX(Recipes!$Q$5:$Q$204,MATCH(K15,Recipes!$A$5:$A$204,0)),"")*N15*C15,0)+IFERROR(IFERROR(INDEX(Recipes!$Q$5:$Q$204,MATCH(L15,Recipes!$A$5:$A$204,0)),"")*N15*C15,0))</f>
        <v>0</v>
      </c>
      <c r="P15" s="8">
        <f>IF(OR(A15="",C15=0),"",IFERROR(O15/C15,""))</f>
        <v>0</v>
      </c>
      <c r="Q15" s="8">
        <f>IF(OR(A15="",G15=""),"",G15-O15)</f>
        <v>0</v>
      </c>
      <c r="R15" s="8">
        <f>IF(OR(A15="",B15=""),"",B15-TODAY())</f>
        <v>0</v>
      </c>
      <c r="S15" s="8">
        <f>IF(A15="","",COUNTIFS('Meal Prep'!$D$5:$D$124,H15)+COUNTIFS('Meal Prep'!$D$5:$D$124,I15)+COUNTIFS('Meal Prep'!$D$5:$D$124,J15)+COUNTIFS('Meal Prep'!$D$5:$D$124,K15)+COUNTIFS('Meal Prep'!$D$5:$D$124,L15))</f>
        <v>0</v>
      </c>
      <c r="T15" s="7"/>
      <c r="U15" s="7"/>
      <c r="V15" s="27"/>
      <c r="W15" s="25"/>
    </row>
    <row r="16" spans="1:23">
      <c r="A16" s="7"/>
      <c r="B16" s="30"/>
      <c r="C16" s="26"/>
      <c r="D16" s="27"/>
      <c r="E16" s="7"/>
      <c r="F16" s="7"/>
      <c r="G16" s="28"/>
      <c r="H16" s="27"/>
      <c r="I16" s="27"/>
      <c r="J16" s="27"/>
      <c r="K16" s="27"/>
      <c r="L16" s="27"/>
      <c r="M16" s="7"/>
      <c r="N16" s="26"/>
      <c r="O16" s="8">
        <f>IF(A16="","",IFERROR(IFERROR(INDEX(Recipes!$Q$5:$Q$204,MATCH(H16,Recipes!$A$5:$A$204,0)),"")*N16*C16,0)+IFERROR(IFERROR(INDEX(Recipes!$Q$5:$Q$204,MATCH(I16,Recipes!$A$5:$A$204,0)),"")*N16*C16,0)+IFERROR(IFERROR(INDEX(Recipes!$Q$5:$Q$204,MATCH(J16,Recipes!$A$5:$A$204,0)),"")*N16*C16,0)+IFERROR(IFERROR(INDEX(Recipes!$Q$5:$Q$204,MATCH(K16,Recipes!$A$5:$A$204,0)),"")*N16*C16,0)+IFERROR(IFERROR(INDEX(Recipes!$Q$5:$Q$204,MATCH(L16,Recipes!$A$5:$A$204,0)),"")*N16*C16,0))</f>
        <v>0</v>
      </c>
      <c r="P16" s="8">
        <f>IF(OR(A16="",C16=0),"",IFERROR(O16/C16,""))</f>
        <v>0</v>
      </c>
      <c r="Q16" s="8">
        <f>IF(OR(A16="",G16=""),"",G16-O16)</f>
        <v>0</v>
      </c>
      <c r="R16" s="8">
        <f>IF(OR(A16="",B16=""),"",B16-TODAY())</f>
        <v>0</v>
      </c>
      <c r="S16" s="8">
        <f>IF(A16="","",COUNTIFS('Meal Prep'!$D$5:$D$124,H16)+COUNTIFS('Meal Prep'!$D$5:$D$124,I16)+COUNTIFS('Meal Prep'!$D$5:$D$124,J16)+COUNTIFS('Meal Prep'!$D$5:$D$124,K16)+COUNTIFS('Meal Prep'!$D$5:$D$124,L16))</f>
        <v>0</v>
      </c>
      <c r="T16" s="7"/>
      <c r="U16" s="7"/>
      <c r="V16" s="27"/>
      <c r="W16" s="25"/>
    </row>
    <row r="17" spans="1:23">
      <c r="A17" s="7"/>
      <c r="B17" s="30"/>
      <c r="C17" s="26"/>
      <c r="D17" s="27"/>
      <c r="E17" s="7"/>
      <c r="F17" s="7"/>
      <c r="G17" s="28"/>
      <c r="H17" s="27"/>
      <c r="I17" s="27"/>
      <c r="J17" s="27"/>
      <c r="K17" s="27"/>
      <c r="L17" s="27"/>
      <c r="M17" s="7"/>
      <c r="N17" s="26"/>
      <c r="O17" s="8">
        <f>IF(A17="","",IFERROR(IFERROR(INDEX(Recipes!$Q$5:$Q$204,MATCH(H17,Recipes!$A$5:$A$204,0)),"")*N17*C17,0)+IFERROR(IFERROR(INDEX(Recipes!$Q$5:$Q$204,MATCH(I17,Recipes!$A$5:$A$204,0)),"")*N17*C17,0)+IFERROR(IFERROR(INDEX(Recipes!$Q$5:$Q$204,MATCH(J17,Recipes!$A$5:$A$204,0)),"")*N17*C17,0)+IFERROR(IFERROR(INDEX(Recipes!$Q$5:$Q$204,MATCH(K17,Recipes!$A$5:$A$204,0)),"")*N17*C17,0)+IFERROR(IFERROR(INDEX(Recipes!$Q$5:$Q$204,MATCH(L17,Recipes!$A$5:$A$204,0)),"")*N17*C17,0))</f>
        <v>0</v>
      </c>
      <c r="P17" s="8">
        <f>IF(OR(A17="",C17=0),"",IFERROR(O17/C17,""))</f>
        <v>0</v>
      </c>
      <c r="Q17" s="8">
        <f>IF(OR(A17="",G17=""),"",G17-O17)</f>
        <v>0</v>
      </c>
      <c r="R17" s="8">
        <f>IF(OR(A17="",B17=""),"",B17-TODAY())</f>
        <v>0</v>
      </c>
      <c r="S17" s="8">
        <f>IF(A17="","",COUNTIFS('Meal Prep'!$D$5:$D$124,H17)+COUNTIFS('Meal Prep'!$D$5:$D$124,I17)+COUNTIFS('Meal Prep'!$D$5:$D$124,J17)+COUNTIFS('Meal Prep'!$D$5:$D$124,K17)+COUNTIFS('Meal Prep'!$D$5:$D$124,L17))</f>
        <v>0</v>
      </c>
      <c r="T17" s="7"/>
      <c r="U17" s="7"/>
      <c r="V17" s="27"/>
      <c r="W17" s="25"/>
    </row>
    <row r="18" spans="1:23">
      <c r="A18" s="7"/>
      <c r="B18" s="30"/>
      <c r="C18" s="26"/>
      <c r="D18" s="27"/>
      <c r="E18" s="7"/>
      <c r="F18" s="7"/>
      <c r="G18" s="28"/>
      <c r="H18" s="27"/>
      <c r="I18" s="27"/>
      <c r="J18" s="27"/>
      <c r="K18" s="27"/>
      <c r="L18" s="27"/>
      <c r="M18" s="7"/>
      <c r="N18" s="26"/>
      <c r="O18" s="8">
        <f>IF(A18="","",IFERROR(IFERROR(INDEX(Recipes!$Q$5:$Q$204,MATCH(H18,Recipes!$A$5:$A$204,0)),"")*N18*C18,0)+IFERROR(IFERROR(INDEX(Recipes!$Q$5:$Q$204,MATCH(I18,Recipes!$A$5:$A$204,0)),"")*N18*C18,0)+IFERROR(IFERROR(INDEX(Recipes!$Q$5:$Q$204,MATCH(J18,Recipes!$A$5:$A$204,0)),"")*N18*C18,0)+IFERROR(IFERROR(INDEX(Recipes!$Q$5:$Q$204,MATCH(K18,Recipes!$A$5:$A$204,0)),"")*N18*C18,0)+IFERROR(IFERROR(INDEX(Recipes!$Q$5:$Q$204,MATCH(L18,Recipes!$A$5:$A$204,0)),"")*N18*C18,0))</f>
        <v>0</v>
      </c>
      <c r="P18" s="8">
        <f>IF(OR(A18="",C18=0),"",IFERROR(O18/C18,""))</f>
        <v>0</v>
      </c>
      <c r="Q18" s="8">
        <f>IF(OR(A18="",G18=""),"",G18-O18)</f>
        <v>0</v>
      </c>
      <c r="R18" s="8">
        <f>IF(OR(A18="",B18=""),"",B18-TODAY())</f>
        <v>0</v>
      </c>
      <c r="S18" s="8">
        <f>IF(A18="","",COUNTIFS('Meal Prep'!$D$5:$D$124,H18)+COUNTIFS('Meal Prep'!$D$5:$D$124,I18)+COUNTIFS('Meal Prep'!$D$5:$D$124,J18)+COUNTIFS('Meal Prep'!$D$5:$D$124,K18)+COUNTIFS('Meal Prep'!$D$5:$D$124,L18))</f>
        <v>0</v>
      </c>
      <c r="T18" s="7"/>
      <c r="U18" s="7"/>
      <c r="V18" s="27"/>
      <c r="W18" s="25"/>
    </row>
    <row r="19" spans="1:23">
      <c r="A19" s="7"/>
      <c r="B19" s="30"/>
      <c r="C19" s="26"/>
      <c r="D19" s="27"/>
      <c r="E19" s="7"/>
      <c r="F19" s="7"/>
      <c r="G19" s="28"/>
      <c r="H19" s="27"/>
      <c r="I19" s="27"/>
      <c r="J19" s="27"/>
      <c r="K19" s="27"/>
      <c r="L19" s="27"/>
      <c r="M19" s="7"/>
      <c r="N19" s="26"/>
      <c r="O19" s="8">
        <f>IF(A19="","",IFERROR(IFERROR(INDEX(Recipes!$Q$5:$Q$204,MATCH(H19,Recipes!$A$5:$A$204,0)),"")*N19*C19,0)+IFERROR(IFERROR(INDEX(Recipes!$Q$5:$Q$204,MATCH(I19,Recipes!$A$5:$A$204,0)),"")*N19*C19,0)+IFERROR(IFERROR(INDEX(Recipes!$Q$5:$Q$204,MATCH(J19,Recipes!$A$5:$A$204,0)),"")*N19*C19,0)+IFERROR(IFERROR(INDEX(Recipes!$Q$5:$Q$204,MATCH(K19,Recipes!$A$5:$A$204,0)),"")*N19*C19,0)+IFERROR(IFERROR(INDEX(Recipes!$Q$5:$Q$204,MATCH(L19,Recipes!$A$5:$A$204,0)),"")*N19*C19,0))</f>
        <v>0</v>
      </c>
      <c r="P19" s="8">
        <f>IF(OR(A19="",C19=0),"",IFERROR(O19/C19,""))</f>
        <v>0</v>
      </c>
      <c r="Q19" s="8">
        <f>IF(OR(A19="",G19=""),"",G19-O19)</f>
        <v>0</v>
      </c>
      <c r="R19" s="8">
        <f>IF(OR(A19="",B19=""),"",B19-TODAY())</f>
        <v>0</v>
      </c>
      <c r="S19" s="8">
        <f>IF(A19="","",COUNTIFS('Meal Prep'!$D$5:$D$124,H19)+COUNTIFS('Meal Prep'!$D$5:$D$124,I19)+COUNTIFS('Meal Prep'!$D$5:$D$124,J19)+COUNTIFS('Meal Prep'!$D$5:$D$124,K19)+COUNTIFS('Meal Prep'!$D$5:$D$124,L19))</f>
        <v>0</v>
      </c>
      <c r="T19" s="7"/>
      <c r="U19" s="7"/>
      <c r="V19" s="27"/>
      <c r="W19" s="25"/>
    </row>
    <row r="20" spans="1:23">
      <c r="A20" s="7"/>
      <c r="B20" s="30"/>
      <c r="C20" s="26"/>
      <c r="D20" s="27"/>
      <c r="E20" s="7"/>
      <c r="F20" s="7"/>
      <c r="G20" s="28"/>
      <c r="H20" s="27"/>
      <c r="I20" s="27"/>
      <c r="J20" s="27"/>
      <c r="K20" s="27"/>
      <c r="L20" s="27"/>
      <c r="M20" s="7"/>
      <c r="N20" s="26"/>
      <c r="O20" s="8">
        <f>IF(A20="","",IFERROR(IFERROR(INDEX(Recipes!$Q$5:$Q$204,MATCH(H20,Recipes!$A$5:$A$204,0)),"")*N20*C20,0)+IFERROR(IFERROR(INDEX(Recipes!$Q$5:$Q$204,MATCH(I20,Recipes!$A$5:$A$204,0)),"")*N20*C20,0)+IFERROR(IFERROR(INDEX(Recipes!$Q$5:$Q$204,MATCH(J20,Recipes!$A$5:$A$204,0)),"")*N20*C20,0)+IFERROR(IFERROR(INDEX(Recipes!$Q$5:$Q$204,MATCH(K20,Recipes!$A$5:$A$204,0)),"")*N20*C20,0)+IFERROR(IFERROR(INDEX(Recipes!$Q$5:$Q$204,MATCH(L20,Recipes!$A$5:$A$204,0)),"")*N20*C20,0))</f>
        <v>0</v>
      </c>
      <c r="P20" s="8">
        <f>IF(OR(A20="",C20=0),"",IFERROR(O20/C20,""))</f>
        <v>0</v>
      </c>
      <c r="Q20" s="8">
        <f>IF(OR(A20="",G20=""),"",G20-O20)</f>
        <v>0</v>
      </c>
      <c r="R20" s="8">
        <f>IF(OR(A20="",B20=""),"",B20-TODAY())</f>
        <v>0</v>
      </c>
      <c r="S20" s="8">
        <f>IF(A20="","",COUNTIFS('Meal Prep'!$D$5:$D$124,H20)+COUNTIFS('Meal Prep'!$D$5:$D$124,I20)+COUNTIFS('Meal Prep'!$D$5:$D$124,J20)+COUNTIFS('Meal Prep'!$D$5:$D$124,K20)+COUNTIFS('Meal Prep'!$D$5:$D$124,L20))</f>
        <v>0</v>
      </c>
      <c r="T20" s="7"/>
      <c r="U20" s="7"/>
      <c r="V20" s="27"/>
      <c r="W20" s="25"/>
    </row>
    <row r="21" spans="1:23">
      <c r="A21" s="7"/>
      <c r="B21" s="30"/>
      <c r="C21" s="26"/>
      <c r="D21" s="27"/>
      <c r="E21" s="7"/>
      <c r="F21" s="7"/>
      <c r="G21" s="28"/>
      <c r="H21" s="27"/>
      <c r="I21" s="27"/>
      <c r="J21" s="27"/>
      <c r="K21" s="27"/>
      <c r="L21" s="27"/>
      <c r="M21" s="7"/>
      <c r="N21" s="26"/>
      <c r="O21" s="8">
        <f>IF(A21="","",IFERROR(IFERROR(INDEX(Recipes!$Q$5:$Q$204,MATCH(H21,Recipes!$A$5:$A$204,0)),"")*N21*C21,0)+IFERROR(IFERROR(INDEX(Recipes!$Q$5:$Q$204,MATCH(I21,Recipes!$A$5:$A$204,0)),"")*N21*C21,0)+IFERROR(IFERROR(INDEX(Recipes!$Q$5:$Q$204,MATCH(J21,Recipes!$A$5:$A$204,0)),"")*N21*C21,0)+IFERROR(IFERROR(INDEX(Recipes!$Q$5:$Q$204,MATCH(K21,Recipes!$A$5:$A$204,0)),"")*N21*C21,0)+IFERROR(IFERROR(INDEX(Recipes!$Q$5:$Q$204,MATCH(L21,Recipes!$A$5:$A$204,0)),"")*N21*C21,0))</f>
        <v>0</v>
      </c>
      <c r="P21" s="8">
        <f>IF(OR(A21="",C21=0),"",IFERROR(O21/C21,""))</f>
        <v>0</v>
      </c>
      <c r="Q21" s="8">
        <f>IF(OR(A21="",G21=""),"",G21-O21)</f>
        <v>0</v>
      </c>
      <c r="R21" s="8">
        <f>IF(OR(A21="",B21=""),"",B21-TODAY())</f>
        <v>0</v>
      </c>
      <c r="S21" s="8">
        <f>IF(A21="","",COUNTIFS('Meal Prep'!$D$5:$D$124,H21)+COUNTIFS('Meal Prep'!$D$5:$D$124,I21)+COUNTIFS('Meal Prep'!$D$5:$D$124,J21)+COUNTIFS('Meal Prep'!$D$5:$D$124,K21)+COUNTIFS('Meal Prep'!$D$5:$D$124,L21))</f>
        <v>0</v>
      </c>
      <c r="T21" s="7"/>
      <c r="U21" s="7"/>
      <c r="V21" s="27"/>
      <c r="W21" s="25"/>
    </row>
    <row r="22" spans="1:23">
      <c r="A22" s="7"/>
      <c r="B22" s="30"/>
      <c r="C22" s="26"/>
      <c r="D22" s="27"/>
      <c r="E22" s="7"/>
      <c r="F22" s="7"/>
      <c r="G22" s="28"/>
      <c r="H22" s="27"/>
      <c r="I22" s="27"/>
      <c r="J22" s="27"/>
      <c r="K22" s="27"/>
      <c r="L22" s="27"/>
      <c r="M22" s="7"/>
      <c r="N22" s="26"/>
      <c r="O22" s="8">
        <f>IF(A22="","",IFERROR(IFERROR(INDEX(Recipes!$Q$5:$Q$204,MATCH(H22,Recipes!$A$5:$A$204,0)),"")*N22*C22,0)+IFERROR(IFERROR(INDEX(Recipes!$Q$5:$Q$204,MATCH(I22,Recipes!$A$5:$A$204,0)),"")*N22*C22,0)+IFERROR(IFERROR(INDEX(Recipes!$Q$5:$Q$204,MATCH(J22,Recipes!$A$5:$A$204,0)),"")*N22*C22,0)+IFERROR(IFERROR(INDEX(Recipes!$Q$5:$Q$204,MATCH(K22,Recipes!$A$5:$A$204,0)),"")*N22*C22,0)+IFERROR(IFERROR(INDEX(Recipes!$Q$5:$Q$204,MATCH(L22,Recipes!$A$5:$A$204,0)),"")*N22*C22,0))</f>
        <v>0</v>
      </c>
      <c r="P22" s="8">
        <f>IF(OR(A22="",C22=0),"",IFERROR(O22/C22,""))</f>
        <v>0</v>
      </c>
      <c r="Q22" s="8">
        <f>IF(OR(A22="",G22=""),"",G22-O22)</f>
        <v>0</v>
      </c>
      <c r="R22" s="8">
        <f>IF(OR(A22="",B22=""),"",B22-TODAY())</f>
        <v>0</v>
      </c>
      <c r="S22" s="8">
        <f>IF(A22="","",COUNTIFS('Meal Prep'!$D$5:$D$124,H22)+COUNTIFS('Meal Prep'!$D$5:$D$124,I22)+COUNTIFS('Meal Prep'!$D$5:$D$124,J22)+COUNTIFS('Meal Prep'!$D$5:$D$124,K22)+COUNTIFS('Meal Prep'!$D$5:$D$124,L22))</f>
        <v>0</v>
      </c>
      <c r="T22" s="7"/>
      <c r="U22" s="7"/>
      <c r="V22" s="27"/>
      <c r="W22" s="25"/>
    </row>
    <row r="23" spans="1:23">
      <c r="A23" s="7"/>
      <c r="B23" s="30"/>
      <c r="C23" s="26"/>
      <c r="D23" s="27"/>
      <c r="E23" s="7"/>
      <c r="F23" s="7"/>
      <c r="G23" s="28"/>
      <c r="H23" s="27"/>
      <c r="I23" s="27"/>
      <c r="J23" s="27"/>
      <c r="K23" s="27"/>
      <c r="L23" s="27"/>
      <c r="M23" s="7"/>
      <c r="N23" s="26"/>
      <c r="O23" s="8">
        <f>IF(A23="","",IFERROR(IFERROR(INDEX(Recipes!$Q$5:$Q$204,MATCH(H23,Recipes!$A$5:$A$204,0)),"")*N23*C23,0)+IFERROR(IFERROR(INDEX(Recipes!$Q$5:$Q$204,MATCH(I23,Recipes!$A$5:$A$204,0)),"")*N23*C23,0)+IFERROR(IFERROR(INDEX(Recipes!$Q$5:$Q$204,MATCH(J23,Recipes!$A$5:$A$204,0)),"")*N23*C23,0)+IFERROR(IFERROR(INDEX(Recipes!$Q$5:$Q$204,MATCH(K23,Recipes!$A$5:$A$204,0)),"")*N23*C23,0)+IFERROR(IFERROR(INDEX(Recipes!$Q$5:$Q$204,MATCH(L23,Recipes!$A$5:$A$204,0)),"")*N23*C23,0))</f>
        <v>0</v>
      </c>
      <c r="P23" s="8">
        <f>IF(OR(A23="",C23=0),"",IFERROR(O23/C23,""))</f>
        <v>0</v>
      </c>
      <c r="Q23" s="8">
        <f>IF(OR(A23="",G23=""),"",G23-O23)</f>
        <v>0</v>
      </c>
      <c r="R23" s="8">
        <f>IF(OR(A23="",B23=""),"",B23-TODAY())</f>
        <v>0</v>
      </c>
      <c r="S23" s="8">
        <f>IF(A23="","",COUNTIFS('Meal Prep'!$D$5:$D$124,H23)+COUNTIFS('Meal Prep'!$D$5:$D$124,I23)+COUNTIFS('Meal Prep'!$D$5:$D$124,J23)+COUNTIFS('Meal Prep'!$D$5:$D$124,K23)+COUNTIFS('Meal Prep'!$D$5:$D$124,L23))</f>
        <v>0</v>
      </c>
      <c r="T23" s="7"/>
      <c r="U23" s="7"/>
      <c r="V23" s="27"/>
      <c r="W23" s="25"/>
    </row>
    <row r="24" spans="1:23">
      <c r="A24" s="7"/>
      <c r="B24" s="30"/>
      <c r="C24" s="26"/>
      <c r="D24" s="27"/>
      <c r="E24" s="7"/>
      <c r="F24" s="7"/>
      <c r="G24" s="28"/>
      <c r="H24" s="27"/>
      <c r="I24" s="27"/>
      <c r="J24" s="27"/>
      <c r="K24" s="27"/>
      <c r="L24" s="27"/>
      <c r="M24" s="7"/>
      <c r="N24" s="26"/>
      <c r="O24" s="8">
        <f>IF(A24="","",IFERROR(IFERROR(INDEX(Recipes!$Q$5:$Q$204,MATCH(H24,Recipes!$A$5:$A$204,0)),"")*N24*C24,0)+IFERROR(IFERROR(INDEX(Recipes!$Q$5:$Q$204,MATCH(I24,Recipes!$A$5:$A$204,0)),"")*N24*C24,0)+IFERROR(IFERROR(INDEX(Recipes!$Q$5:$Q$204,MATCH(J24,Recipes!$A$5:$A$204,0)),"")*N24*C24,0)+IFERROR(IFERROR(INDEX(Recipes!$Q$5:$Q$204,MATCH(K24,Recipes!$A$5:$A$204,0)),"")*N24*C24,0)+IFERROR(IFERROR(INDEX(Recipes!$Q$5:$Q$204,MATCH(L24,Recipes!$A$5:$A$204,0)),"")*N24*C24,0))</f>
        <v>0</v>
      </c>
      <c r="P24" s="8">
        <f>IF(OR(A24="",C24=0),"",IFERROR(O24/C24,""))</f>
        <v>0</v>
      </c>
      <c r="Q24" s="8">
        <f>IF(OR(A24="",G24=""),"",G24-O24)</f>
        <v>0</v>
      </c>
      <c r="R24" s="8">
        <f>IF(OR(A24="",B24=""),"",B24-TODAY())</f>
        <v>0</v>
      </c>
      <c r="S24" s="8">
        <f>IF(A24="","",COUNTIFS('Meal Prep'!$D$5:$D$124,H24)+COUNTIFS('Meal Prep'!$D$5:$D$124,I24)+COUNTIFS('Meal Prep'!$D$5:$D$124,J24)+COUNTIFS('Meal Prep'!$D$5:$D$124,K24)+COUNTIFS('Meal Prep'!$D$5:$D$124,L24))</f>
        <v>0</v>
      </c>
      <c r="T24" s="7"/>
      <c r="U24" s="7"/>
      <c r="V24" s="27"/>
      <c r="W24" s="25"/>
    </row>
    <row r="25" spans="1:23">
      <c r="A25" s="7"/>
      <c r="B25" s="30"/>
      <c r="C25" s="26"/>
      <c r="D25" s="27"/>
      <c r="E25" s="7"/>
      <c r="F25" s="7"/>
      <c r="G25" s="28"/>
      <c r="H25" s="27"/>
      <c r="I25" s="27"/>
      <c r="J25" s="27"/>
      <c r="K25" s="27"/>
      <c r="L25" s="27"/>
      <c r="M25" s="7"/>
      <c r="N25" s="26"/>
      <c r="O25" s="8">
        <f>IF(A25="","",IFERROR(IFERROR(INDEX(Recipes!$Q$5:$Q$204,MATCH(H25,Recipes!$A$5:$A$204,0)),"")*N25*C25,0)+IFERROR(IFERROR(INDEX(Recipes!$Q$5:$Q$204,MATCH(I25,Recipes!$A$5:$A$204,0)),"")*N25*C25,0)+IFERROR(IFERROR(INDEX(Recipes!$Q$5:$Q$204,MATCH(J25,Recipes!$A$5:$A$204,0)),"")*N25*C25,0)+IFERROR(IFERROR(INDEX(Recipes!$Q$5:$Q$204,MATCH(K25,Recipes!$A$5:$A$204,0)),"")*N25*C25,0)+IFERROR(IFERROR(INDEX(Recipes!$Q$5:$Q$204,MATCH(L25,Recipes!$A$5:$A$204,0)),"")*N25*C25,0))</f>
        <v>0</v>
      </c>
      <c r="P25" s="8">
        <f>IF(OR(A25="",C25=0),"",IFERROR(O25/C25,""))</f>
        <v>0</v>
      </c>
      <c r="Q25" s="8">
        <f>IF(OR(A25="",G25=""),"",G25-O25)</f>
        <v>0</v>
      </c>
      <c r="R25" s="8">
        <f>IF(OR(A25="",B25=""),"",B25-TODAY())</f>
        <v>0</v>
      </c>
      <c r="S25" s="8">
        <f>IF(A25="","",COUNTIFS('Meal Prep'!$D$5:$D$124,H25)+COUNTIFS('Meal Prep'!$D$5:$D$124,I25)+COUNTIFS('Meal Prep'!$D$5:$D$124,J25)+COUNTIFS('Meal Prep'!$D$5:$D$124,K25)+COUNTIFS('Meal Prep'!$D$5:$D$124,L25))</f>
        <v>0</v>
      </c>
      <c r="T25" s="7"/>
      <c r="U25" s="7"/>
      <c r="V25" s="27"/>
      <c r="W25" s="25"/>
    </row>
    <row r="26" spans="1:23">
      <c r="A26" s="7"/>
      <c r="B26" s="30"/>
      <c r="C26" s="26"/>
      <c r="D26" s="27"/>
      <c r="E26" s="7"/>
      <c r="F26" s="7"/>
      <c r="G26" s="28"/>
      <c r="H26" s="27"/>
      <c r="I26" s="27"/>
      <c r="J26" s="27"/>
      <c r="K26" s="27"/>
      <c r="L26" s="27"/>
      <c r="M26" s="7"/>
      <c r="N26" s="26"/>
      <c r="O26" s="8">
        <f>IF(A26="","",IFERROR(IFERROR(INDEX(Recipes!$Q$5:$Q$204,MATCH(H26,Recipes!$A$5:$A$204,0)),"")*N26*C26,0)+IFERROR(IFERROR(INDEX(Recipes!$Q$5:$Q$204,MATCH(I26,Recipes!$A$5:$A$204,0)),"")*N26*C26,0)+IFERROR(IFERROR(INDEX(Recipes!$Q$5:$Q$204,MATCH(J26,Recipes!$A$5:$A$204,0)),"")*N26*C26,0)+IFERROR(IFERROR(INDEX(Recipes!$Q$5:$Q$204,MATCH(K26,Recipes!$A$5:$A$204,0)),"")*N26*C26,0)+IFERROR(IFERROR(INDEX(Recipes!$Q$5:$Q$204,MATCH(L26,Recipes!$A$5:$A$204,0)),"")*N26*C26,0))</f>
        <v>0</v>
      </c>
      <c r="P26" s="8">
        <f>IF(OR(A26="",C26=0),"",IFERROR(O26/C26,""))</f>
        <v>0</v>
      </c>
      <c r="Q26" s="8">
        <f>IF(OR(A26="",G26=""),"",G26-O26)</f>
        <v>0</v>
      </c>
      <c r="R26" s="8">
        <f>IF(OR(A26="",B26=""),"",B26-TODAY())</f>
        <v>0</v>
      </c>
      <c r="S26" s="8">
        <f>IF(A26="","",COUNTIFS('Meal Prep'!$D$5:$D$124,H26)+COUNTIFS('Meal Prep'!$D$5:$D$124,I26)+COUNTIFS('Meal Prep'!$D$5:$D$124,J26)+COUNTIFS('Meal Prep'!$D$5:$D$124,K26)+COUNTIFS('Meal Prep'!$D$5:$D$124,L26))</f>
        <v>0</v>
      </c>
      <c r="T26" s="7"/>
      <c r="U26" s="7"/>
      <c r="V26" s="27"/>
      <c r="W26" s="25"/>
    </row>
    <row r="27" spans="1:23">
      <c r="A27" s="7"/>
      <c r="B27" s="30"/>
      <c r="C27" s="26"/>
      <c r="D27" s="27"/>
      <c r="E27" s="7"/>
      <c r="F27" s="7"/>
      <c r="G27" s="28"/>
      <c r="H27" s="27"/>
      <c r="I27" s="27"/>
      <c r="J27" s="27"/>
      <c r="K27" s="27"/>
      <c r="L27" s="27"/>
      <c r="M27" s="7"/>
      <c r="N27" s="26"/>
      <c r="O27" s="8">
        <f>IF(A27="","",IFERROR(IFERROR(INDEX(Recipes!$Q$5:$Q$204,MATCH(H27,Recipes!$A$5:$A$204,0)),"")*N27*C27,0)+IFERROR(IFERROR(INDEX(Recipes!$Q$5:$Q$204,MATCH(I27,Recipes!$A$5:$A$204,0)),"")*N27*C27,0)+IFERROR(IFERROR(INDEX(Recipes!$Q$5:$Q$204,MATCH(J27,Recipes!$A$5:$A$204,0)),"")*N27*C27,0)+IFERROR(IFERROR(INDEX(Recipes!$Q$5:$Q$204,MATCH(K27,Recipes!$A$5:$A$204,0)),"")*N27*C27,0)+IFERROR(IFERROR(INDEX(Recipes!$Q$5:$Q$204,MATCH(L27,Recipes!$A$5:$A$204,0)),"")*N27*C27,0))</f>
        <v>0</v>
      </c>
      <c r="P27" s="8">
        <f>IF(OR(A27="",C27=0),"",IFERROR(O27/C27,""))</f>
        <v>0</v>
      </c>
      <c r="Q27" s="8">
        <f>IF(OR(A27="",G27=""),"",G27-O27)</f>
        <v>0</v>
      </c>
      <c r="R27" s="8">
        <f>IF(OR(A27="",B27=""),"",B27-TODAY())</f>
        <v>0</v>
      </c>
      <c r="S27" s="8">
        <f>IF(A27="","",COUNTIFS('Meal Prep'!$D$5:$D$124,H27)+COUNTIFS('Meal Prep'!$D$5:$D$124,I27)+COUNTIFS('Meal Prep'!$D$5:$D$124,J27)+COUNTIFS('Meal Prep'!$D$5:$D$124,K27)+COUNTIFS('Meal Prep'!$D$5:$D$124,L27))</f>
        <v>0</v>
      </c>
      <c r="T27" s="7"/>
      <c r="U27" s="7"/>
      <c r="V27" s="27"/>
      <c r="W27" s="25"/>
    </row>
    <row r="28" spans="1:23">
      <c r="A28" s="7"/>
      <c r="B28" s="30"/>
      <c r="C28" s="26"/>
      <c r="D28" s="27"/>
      <c r="E28" s="7"/>
      <c r="F28" s="7"/>
      <c r="G28" s="28"/>
      <c r="H28" s="27"/>
      <c r="I28" s="27"/>
      <c r="J28" s="27"/>
      <c r="K28" s="27"/>
      <c r="L28" s="27"/>
      <c r="M28" s="7"/>
      <c r="N28" s="26"/>
      <c r="O28" s="8">
        <f>IF(A28="","",IFERROR(IFERROR(INDEX(Recipes!$Q$5:$Q$204,MATCH(H28,Recipes!$A$5:$A$204,0)),"")*N28*C28,0)+IFERROR(IFERROR(INDEX(Recipes!$Q$5:$Q$204,MATCH(I28,Recipes!$A$5:$A$204,0)),"")*N28*C28,0)+IFERROR(IFERROR(INDEX(Recipes!$Q$5:$Q$204,MATCH(J28,Recipes!$A$5:$A$204,0)),"")*N28*C28,0)+IFERROR(IFERROR(INDEX(Recipes!$Q$5:$Q$204,MATCH(K28,Recipes!$A$5:$A$204,0)),"")*N28*C28,0)+IFERROR(IFERROR(INDEX(Recipes!$Q$5:$Q$204,MATCH(L28,Recipes!$A$5:$A$204,0)),"")*N28*C28,0))</f>
        <v>0</v>
      </c>
      <c r="P28" s="8">
        <f>IF(OR(A28="",C28=0),"",IFERROR(O28/C28,""))</f>
        <v>0</v>
      </c>
      <c r="Q28" s="8">
        <f>IF(OR(A28="",G28=""),"",G28-O28)</f>
        <v>0</v>
      </c>
      <c r="R28" s="8">
        <f>IF(OR(A28="",B28=""),"",B28-TODAY())</f>
        <v>0</v>
      </c>
      <c r="S28" s="8">
        <f>IF(A28="","",COUNTIFS('Meal Prep'!$D$5:$D$124,H28)+COUNTIFS('Meal Prep'!$D$5:$D$124,I28)+COUNTIFS('Meal Prep'!$D$5:$D$124,J28)+COUNTIFS('Meal Prep'!$D$5:$D$124,K28)+COUNTIFS('Meal Prep'!$D$5:$D$124,L28))</f>
        <v>0</v>
      </c>
      <c r="T28" s="7"/>
      <c r="U28" s="7"/>
      <c r="V28" s="27"/>
      <c r="W28" s="25"/>
    </row>
    <row r="29" spans="1:23">
      <c r="A29" s="7"/>
      <c r="B29" s="30"/>
      <c r="C29" s="26"/>
      <c r="D29" s="27"/>
      <c r="E29" s="7"/>
      <c r="F29" s="7"/>
      <c r="G29" s="28"/>
      <c r="H29" s="27"/>
      <c r="I29" s="27"/>
      <c r="J29" s="27"/>
      <c r="K29" s="27"/>
      <c r="L29" s="27"/>
      <c r="M29" s="7"/>
      <c r="N29" s="26"/>
      <c r="O29" s="8">
        <f>IF(A29="","",IFERROR(IFERROR(INDEX(Recipes!$Q$5:$Q$204,MATCH(H29,Recipes!$A$5:$A$204,0)),"")*N29*C29,0)+IFERROR(IFERROR(INDEX(Recipes!$Q$5:$Q$204,MATCH(I29,Recipes!$A$5:$A$204,0)),"")*N29*C29,0)+IFERROR(IFERROR(INDEX(Recipes!$Q$5:$Q$204,MATCH(J29,Recipes!$A$5:$A$204,0)),"")*N29*C29,0)+IFERROR(IFERROR(INDEX(Recipes!$Q$5:$Q$204,MATCH(K29,Recipes!$A$5:$A$204,0)),"")*N29*C29,0)+IFERROR(IFERROR(INDEX(Recipes!$Q$5:$Q$204,MATCH(L29,Recipes!$A$5:$A$204,0)),"")*N29*C29,0))</f>
        <v>0</v>
      </c>
      <c r="P29" s="8">
        <f>IF(OR(A29="",C29=0),"",IFERROR(O29/C29,""))</f>
        <v>0</v>
      </c>
      <c r="Q29" s="8">
        <f>IF(OR(A29="",G29=""),"",G29-O29)</f>
        <v>0</v>
      </c>
      <c r="R29" s="8">
        <f>IF(OR(A29="",B29=""),"",B29-TODAY())</f>
        <v>0</v>
      </c>
      <c r="S29" s="8">
        <f>IF(A29="","",COUNTIFS('Meal Prep'!$D$5:$D$124,H29)+COUNTIFS('Meal Prep'!$D$5:$D$124,I29)+COUNTIFS('Meal Prep'!$D$5:$D$124,J29)+COUNTIFS('Meal Prep'!$D$5:$D$124,K29)+COUNTIFS('Meal Prep'!$D$5:$D$124,L29))</f>
        <v>0</v>
      </c>
      <c r="T29" s="7"/>
      <c r="U29" s="7"/>
      <c r="V29" s="27"/>
      <c r="W29" s="25"/>
    </row>
    <row r="30" spans="1:23">
      <c r="A30" s="7"/>
      <c r="B30" s="30"/>
      <c r="C30" s="26"/>
      <c r="D30" s="27"/>
      <c r="E30" s="7"/>
      <c r="F30" s="7"/>
      <c r="G30" s="28"/>
      <c r="H30" s="27"/>
      <c r="I30" s="27"/>
      <c r="J30" s="27"/>
      <c r="K30" s="27"/>
      <c r="L30" s="27"/>
      <c r="M30" s="7"/>
      <c r="N30" s="26"/>
      <c r="O30" s="8">
        <f>IF(A30="","",IFERROR(IFERROR(INDEX(Recipes!$Q$5:$Q$204,MATCH(H30,Recipes!$A$5:$A$204,0)),"")*N30*C30,0)+IFERROR(IFERROR(INDEX(Recipes!$Q$5:$Q$204,MATCH(I30,Recipes!$A$5:$A$204,0)),"")*N30*C30,0)+IFERROR(IFERROR(INDEX(Recipes!$Q$5:$Q$204,MATCH(J30,Recipes!$A$5:$A$204,0)),"")*N30*C30,0)+IFERROR(IFERROR(INDEX(Recipes!$Q$5:$Q$204,MATCH(K30,Recipes!$A$5:$A$204,0)),"")*N30*C30,0)+IFERROR(IFERROR(INDEX(Recipes!$Q$5:$Q$204,MATCH(L30,Recipes!$A$5:$A$204,0)),"")*N30*C30,0))</f>
        <v>0</v>
      </c>
      <c r="P30" s="8">
        <f>IF(OR(A30="",C30=0),"",IFERROR(O30/C30,""))</f>
        <v>0</v>
      </c>
      <c r="Q30" s="8">
        <f>IF(OR(A30="",G30=""),"",G30-O30)</f>
        <v>0</v>
      </c>
      <c r="R30" s="8">
        <f>IF(OR(A30="",B30=""),"",B30-TODAY())</f>
        <v>0</v>
      </c>
      <c r="S30" s="8">
        <f>IF(A30="","",COUNTIFS('Meal Prep'!$D$5:$D$124,H30)+COUNTIFS('Meal Prep'!$D$5:$D$124,I30)+COUNTIFS('Meal Prep'!$D$5:$D$124,J30)+COUNTIFS('Meal Prep'!$D$5:$D$124,K30)+COUNTIFS('Meal Prep'!$D$5:$D$124,L30))</f>
        <v>0</v>
      </c>
      <c r="T30" s="7"/>
      <c r="U30" s="7"/>
      <c r="V30" s="27"/>
      <c r="W30" s="25"/>
    </row>
    <row r="31" spans="1:23">
      <c r="A31" s="7"/>
      <c r="B31" s="30"/>
      <c r="C31" s="26"/>
      <c r="D31" s="27"/>
      <c r="E31" s="7"/>
      <c r="F31" s="7"/>
      <c r="G31" s="28"/>
      <c r="H31" s="27"/>
      <c r="I31" s="27"/>
      <c r="J31" s="27"/>
      <c r="K31" s="27"/>
      <c r="L31" s="27"/>
      <c r="M31" s="7"/>
      <c r="N31" s="26"/>
      <c r="O31" s="8">
        <f>IF(A31="","",IFERROR(IFERROR(INDEX(Recipes!$Q$5:$Q$204,MATCH(H31,Recipes!$A$5:$A$204,0)),"")*N31*C31,0)+IFERROR(IFERROR(INDEX(Recipes!$Q$5:$Q$204,MATCH(I31,Recipes!$A$5:$A$204,0)),"")*N31*C31,0)+IFERROR(IFERROR(INDEX(Recipes!$Q$5:$Q$204,MATCH(J31,Recipes!$A$5:$A$204,0)),"")*N31*C31,0)+IFERROR(IFERROR(INDEX(Recipes!$Q$5:$Q$204,MATCH(K31,Recipes!$A$5:$A$204,0)),"")*N31*C31,0)+IFERROR(IFERROR(INDEX(Recipes!$Q$5:$Q$204,MATCH(L31,Recipes!$A$5:$A$204,0)),"")*N31*C31,0))</f>
        <v>0</v>
      </c>
      <c r="P31" s="8">
        <f>IF(OR(A31="",C31=0),"",IFERROR(O31/C31,""))</f>
        <v>0</v>
      </c>
      <c r="Q31" s="8">
        <f>IF(OR(A31="",G31=""),"",G31-O31)</f>
        <v>0</v>
      </c>
      <c r="R31" s="8">
        <f>IF(OR(A31="",B31=""),"",B31-TODAY())</f>
        <v>0</v>
      </c>
      <c r="S31" s="8">
        <f>IF(A31="","",COUNTIFS('Meal Prep'!$D$5:$D$124,H31)+COUNTIFS('Meal Prep'!$D$5:$D$124,I31)+COUNTIFS('Meal Prep'!$D$5:$D$124,J31)+COUNTIFS('Meal Prep'!$D$5:$D$124,K31)+COUNTIFS('Meal Prep'!$D$5:$D$124,L31))</f>
        <v>0</v>
      </c>
      <c r="T31" s="7"/>
      <c r="U31" s="7"/>
      <c r="V31" s="27"/>
      <c r="W31" s="25"/>
    </row>
    <row r="32" spans="1:23">
      <c r="A32" s="7"/>
      <c r="B32" s="30"/>
      <c r="C32" s="26"/>
      <c r="D32" s="27"/>
      <c r="E32" s="7"/>
      <c r="F32" s="7"/>
      <c r="G32" s="28"/>
      <c r="H32" s="27"/>
      <c r="I32" s="27"/>
      <c r="J32" s="27"/>
      <c r="K32" s="27"/>
      <c r="L32" s="27"/>
      <c r="M32" s="7"/>
      <c r="N32" s="26"/>
      <c r="O32" s="8">
        <f>IF(A32="","",IFERROR(IFERROR(INDEX(Recipes!$Q$5:$Q$204,MATCH(H32,Recipes!$A$5:$A$204,0)),"")*N32*C32,0)+IFERROR(IFERROR(INDEX(Recipes!$Q$5:$Q$204,MATCH(I32,Recipes!$A$5:$A$204,0)),"")*N32*C32,0)+IFERROR(IFERROR(INDEX(Recipes!$Q$5:$Q$204,MATCH(J32,Recipes!$A$5:$A$204,0)),"")*N32*C32,0)+IFERROR(IFERROR(INDEX(Recipes!$Q$5:$Q$204,MATCH(K32,Recipes!$A$5:$A$204,0)),"")*N32*C32,0)+IFERROR(IFERROR(INDEX(Recipes!$Q$5:$Q$204,MATCH(L32,Recipes!$A$5:$A$204,0)),"")*N32*C32,0))</f>
        <v>0</v>
      </c>
      <c r="P32" s="8">
        <f>IF(OR(A32="",C32=0),"",IFERROR(O32/C32,""))</f>
        <v>0</v>
      </c>
      <c r="Q32" s="8">
        <f>IF(OR(A32="",G32=""),"",G32-O32)</f>
        <v>0</v>
      </c>
      <c r="R32" s="8">
        <f>IF(OR(A32="",B32=""),"",B32-TODAY())</f>
        <v>0</v>
      </c>
      <c r="S32" s="8">
        <f>IF(A32="","",COUNTIFS('Meal Prep'!$D$5:$D$124,H32)+COUNTIFS('Meal Prep'!$D$5:$D$124,I32)+COUNTIFS('Meal Prep'!$D$5:$D$124,J32)+COUNTIFS('Meal Prep'!$D$5:$D$124,K32)+COUNTIFS('Meal Prep'!$D$5:$D$124,L32))</f>
        <v>0</v>
      </c>
      <c r="T32" s="7"/>
      <c r="U32" s="7"/>
      <c r="V32" s="27"/>
      <c r="W32" s="25"/>
    </row>
    <row r="33" spans="1:23">
      <c r="A33" s="7"/>
      <c r="B33" s="30"/>
      <c r="C33" s="26"/>
      <c r="D33" s="27"/>
      <c r="E33" s="7"/>
      <c r="F33" s="7"/>
      <c r="G33" s="28"/>
      <c r="H33" s="27"/>
      <c r="I33" s="27"/>
      <c r="J33" s="27"/>
      <c r="K33" s="27"/>
      <c r="L33" s="27"/>
      <c r="M33" s="7"/>
      <c r="N33" s="26"/>
      <c r="O33" s="8">
        <f>IF(A33="","",IFERROR(IFERROR(INDEX(Recipes!$Q$5:$Q$204,MATCH(H33,Recipes!$A$5:$A$204,0)),"")*N33*C33,0)+IFERROR(IFERROR(INDEX(Recipes!$Q$5:$Q$204,MATCH(I33,Recipes!$A$5:$A$204,0)),"")*N33*C33,0)+IFERROR(IFERROR(INDEX(Recipes!$Q$5:$Q$204,MATCH(J33,Recipes!$A$5:$A$204,0)),"")*N33*C33,0)+IFERROR(IFERROR(INDEX(Recipes!$Q$5:$Q$204,MATCH(K33,Recipes!$A$5:$A$204,0)),"")*N33*C33,0)+IFERROR(IFERROR(INDEX(Recipes!$Q$5:$Q$204,MATCH(L33,Recipes!$A$5:$A$204,0)),"")*N33*C33,0))</f>
        <v>0</v>
      </c>
      <c r="P33" s="8">
        <f>IF(OR(A33="",C33=0),"",IFERROR(O33/C33,""))</f>
        <v>0</v>
      </c>
      <c r="Q33" s="8">
        <f>IF(OR(A33="",G33=""),"",G33-O33)</f>
        <v>0</v>
      </c>
      <c r="R33" s="8">
        <f>IF(OR(A33="",B33=""),"",B33-TODAY())</f>
        <v>0</v>
      </c>
      <c r="S33" s="8">
        <f>IF(A33="","",COUNTIFS('Meal Prep'!$D$5:$D$124,H33)+COUNTIFS('Meal Prep'!$D$5:$D$124,I33)+COUNTIFS('Meal Prep'!$D$5:$D$124,J33)+COUNTIFS('Meal Prep'!$D$5:$D$124,K33)+COUNTIFS('Meal Prep'!$D$5:$D$124,L33))</f>
        <v>0</v>
      </c>
      <c r="T33" s="7"/>
      <c r="U33" s="7"/>
      <c r="V33" s="27"/>
      <c r="W33" s="25"/>
    </row>
    <row r="34" spans="1:23">
      <c r="A34" s="7"/>
      <c r="B34" s="30"/>
      <c r="C34" s="26"/>
      <c r="D34" s="27"/>
      <c r="E34" s="7"/>
      <c r="F34" s="7"/>
      <c r="G34" s="28"/>
      <c r="H34" s="27"/>
      <c r="I34" s="27"/>
      <c r="J34" s="27"/>
      <c r="K34" s="27"/>
      <c r="L34" s="27"/>
      <c r="M34" s="7"/>
      <c r="N34" s="26"/>
      <c r="O34" s="8">
        <f>IF(A34="","",IFERROR(IFERROR(INDEX(Recipes!$Q$5:$Q$204,MATCH(H34,Recipes!$A$5:$A$204,0)),"")*N34*C34,0)+IFERROR(IFERROR(INDEX(Recipes!$Q$5:$Q$204,MATCH(I34,Recipes!$A$5:$A$204,0)),"")*N34*C34,0)+IFERROR(IFERROR(INDEX(Recipes!$Q$5:$Q$204,MATCH(J34,Recipes!$A$5:$A$204,0)),"")*N34*C34,0)+IFERROR(IFERROR(INDEX(Recipes!$Q$5:$Q$204,MATCH(K34,Recipes!$A$5:$A$204,0)),"")*N34*C34,0)+IFERROR(IFERROR(INDEX(Recipes!$Q$5:$Q$204,MATCH(L34,Recipes!$A$5:$A$204,0)),"")*N34*C34,0))</f>
        <v>0</v>
      </c>
      <c r="P34" s="8">
        <f>IF(OR(A34="",C34=0),"",IFERROR(O34/C34,""))</f>
        <v>0</v>
      </c>
      <c r="Q34" s="8">
        <f>IF(OR(A34="",G34=""),"",G34-O34)</f>
        <v>0</v>
      </c>
      <c r="R34" s="8">
        <f>IF(OR(A34="",B34=""),"",B34-TODAY())</f>
        <v>0</v>
      </c>
      <c r="S34" s="8">
        <f>IF(A34="","",COUNTIFS('Meal Prep'!$D$5:$D$124,H34)+COUNTIFS('Meal Prep'!$D$5:$D$124,I34)+COUNTIFS('Meal Prep'!$D$5:$D$124,J34)+COUNTIFS('Meal Prep'!$D$5:$D$124,K34)+COUNTIFS('Meal Prep'!$D$5:$D$124,L34))</f>
        <v>0</v>
      </c>
      <c r="T34" s="7"/>
      <c r="U34" s="7"/>
      <c r="V34" s="27"/>
      <c r="W34" s="25"/>
    </row>
    <row r="35" spans="1:23">
      <c r="A35" s="7"/>
      <c r="B35" s="30"/>
      <c r="C35" s="26"/>
      <c r="D35" s="27"/>
      <c r="E35" s="7"/>
      <c r="F35" s="7"/>
      <c r="G35" s="28"/>
      <c r="H35" s="27"/>
      <c r="I35" s="27"/>
      <c r="J35" s="27"/>
      <c r="K35" s="27"/>
      <c r="L35" s="27"/>
      <c r="M35" s="7"/>
      <c r="N35" s="26"/>
      <c r="O35" s="8">
        <f>IF(A35="","",IFERROR(IFERROR(INDEX(Recipes!$Q$5:$Q$204,MATCH(H35,Recipes!$A$5:$A$204,0)),"")*N35*C35,0)+IFERROR(IFERROR(INDEX(Recipes!$Q$5:$Q$204,MATCH(I35,Recipes!$A$5:$A$204,0)),"")*N35*C35,0)+IFERROR(IFERROR(INDEX(Recipes!$Q$5:$Q$204,MATCH(J35,Recipes!$A$5:$A$204,0)),"")*N35*C35,0)+IFERROR(IFERROR(INDEX(Recipes!$Q$5:$Q$204,MATCH(K35,Recipes!$A$5:$A$204,0)),"")*N35*C35,0)+IFERROR(IFERROR(INDEX(Recipes!$Q$5:$Q$204,MATCH(L35,Recipes!$A$5:$A$204,0)),"")*N35*C35,0))</f>
        <v>0</v>
      </c>
      <c r="P35" s="8">
        <f>IF(OR(A35="",C35=0),"",IFERROR(O35/C35,""))</f>
        <v>0</v>
      </c>
      <c r="Q35" s="8">
        <f>IF(OR(A35="",G35=""),"",G35-O35)</f>
        <v>0</v>
      </c>
      <c r="R35" s="8">
        <f>IF(OR(A35="",B35=""),"",B35-TODAY())</f>
        <v>0</v>
      </c>
      <c r="S35" s="8">
        <f>IF(A35="","",COUNTIFS('Meal Prep'!$D$5:$D$124,H35)+COUNTIFS('Meal Prep'!$D$5:$D$124,I35)+COUNTIFS('Meal Prep'!$D$5:$D$124,J35)+COUNTIFS('Meal Prep'!$D$5:$D$124,K35)+COUNTIFS('Meal Prep'!$D$5:$D$124,L35))</f>
        <v>0</v>
      </c>
      <c r="T35" s="7"/>
      <c r="U35" s="7"/>
      <c r="V35" s="27"/>
      <c r="W35" s="25"/>
    </row>
    <row r="36" spans="1:23">
      <c r="A36" s="7"/>
      <c r="B36" s="30"/>
      <c r="C36" s="26"/>
      <c r="D36" s="27"/>
      <c r="E36" s="7"/>
      <c r="F36" s="7"/>
      <c r="G36" s="28"/>
      <c r="H36" s="27"/>
      <c r="I36" s="27"/>
      <c r="J36" s="27"/>
      <c r="K36" s="27"/>
      <c r="L36" s="27"/>
      <c r="M36" s="7"/>
      <c r="N36" s="26"/>
      <c r="O36" s="8">
        <f>IF(A36="","",IFERROR(IFERROR(INDEX(Recipes!$Q$5:$Q$204,MATCH(H36,Recipes!$A$5:$A$204,0)),"")*N36*C36,0)+IFERROR(IFERROR(INDEX(Recipes!$Q$5:$Q$204,MATCH(I36,Recipes!$A$5:$A$204,0)),"")*N36*C36,0)+IFERROR(IFERROR(INDEX(Recipes!$Q$5:$Q$204,MATCH(J36,Recipes!$A$5:$A$204,0)),"")*N36*C36,0)+IFERROR(IFERROR(INDEX(Recipes!$Q$5:$Q$204,MATCH(K36,Recipes!$A$5:$A$204,0)),"")*N36*C36,0)+IFERROR(IFERROR(INDEX(Recipes!$Q$5:$Q$204,MATCH(L36,Recipes!$A$5:$A$204,0)),"")*N36*C36,0))</f>
        <v>0</v>
      </c>
      <c r="P36" s="8">
        <f>IF(OR(A36="",C36=0),"",IFERROR(O36/C36,""))</f>
        <v>0</v>
      </c>
      <c r="Q36" s="8">
        <f>IF(OR(A36="",G36=""),"",G36-O36)</f>
        <v>0</v>
      </c>
      <c r="R36" s="8">
        <f>IF(OR(A36="",B36=""),"",B36-TODAY())</f>
        <v>0</v>
      </c>
      <c r="S36" s="8">
        <f>IF(A36="","",COUNTIFS('Meal Prep'!$D$5:$D$124,H36)+COUNTIFS('Meal Prep'!$D$5:$D$124,I36)+COUNTIFS('Meal Prep'!$D$5:$D$124,J36)+COUNTIFS('Meal Prep'!$D$5:$D$124,K36)+COUNTIFS('Meal Prep'!$D$5:$D$124,L36))</f>
        <v>0</v>
      </c>
      <c r="T36" s="7"/>
      <c r="U36" s="7"/>
      <c r="V36" s="27"/>
      <c r="W36" s="25"/>
    </row>
    <row r="37" spans="1:23">
      <c r="A37" s="7"/>
      <c r="B37" s="30"/>
      <c r="C37" s="26"/>
      <c r="D37" s="27"/>
      <c r="E37" s="7"/>
      <c r="F37" s="7"/>
      <c r="G37" s="28"/>
      <c r="H37" s="27"/>
      <c r="I37" s="27"/>
      <c r="J37" s="27"/>
      <c r="K37" s="27"/>
      <c r="L37" s="27"/>
      <c r="M37" s="7"/>
      <c r="N37" s="26"/>
      <c r="O37" s="8">
        <f>IF(A37="","",IFERROR(IFERROR(INDEX(Recipes!$Q$5:$Q$204,MATCH(H37,Recipes!$A$5:$A$204,0)),"")*N37*C37,0)+IFERROR(IFERROR(INDEX(Recipes!$Q$5:$Q$204,MATCH(I37,Recipes!$A$5:$A$204,0)),"")*N37*C37,0)+IFERROR(IFERROR(INDEX(Recipes!$Q$5:$Q$204,MATCH(J37,Recipes!$A$5:$A$204,0)),"")*N37*C37,0)+IFERROR(IFERROR(INDEX(Recipes!$Q$5:$Q$204,MATCH(K37,Recipes!$A$5:$A$204,0)),"")*N37*C37,0)+IFERROR(IFERROR(INDEX(Recipes!$Q$5:$Q$204,MATCH(L37,Recipes!$A$5:$A$204,0)),"")*N37*C37,0))</f>
        <v>0</v>
      </c>
      <c r="P37" s="8">
        <f>IF(OR(A37="",C37=0),"",IFERROR(O37/C37,""))</f>
        <v>0</v>
      </c>
      <c r="Q37" s="8">
        <f>IF(OR(A37="",G37=""),"",G37-O37)</f>
        <v>0</v>
      </c>
      <c r="R37" s="8">
        <f>IF(OR(A37="",B37=""),"",B37-TODAY())</f>
        <v>0</v>
      </c>
      <c r="S37" s="8">
        <f>IF(A37="","",COUNTIFS('Meal Prep'!$D$5:$D$124,H37)+COUNTIFS('Meal Prep'!$D$5:$D$124,I37)+COUNTIFS('Meal Prep'!$D$5:$D$124,J37)+COUNTIFS('Meal Prep'!$D$5:$D$124,K37)+COUNTIFS('Meal Prep'!$D$5:$D$124,L37))</f>
        <v>0</v>
      </c>
      <c r="T37" s="7"/>
      <c r="U37" s="7"/>
      <c r="V37" s="27"/>
      <c r="W37" s="25"/>
    </row>
    <row r="38" spans="1:23">
      <c r="A38" s="7"/>
      <c r="B38" s="30"/>
      <c r="C38" s="26"/>
      <c r="D38" s="27"/>
      <c r="E38" s="7"/>
      <c r="F38" s="7"/>
      <c r="G38" s="28"/>
      <c r="H38" s="27"/>
      <c r="I38" s="27"/>
      <c r="J38" s="27"/>
      <c r="K38" s="27"/>
      <c r="L38" s="27"/>
      <c r="M38" s="7"/>
      <c r="N38" s="26"/>
      <c r="O38" s="8">
        <f>IF(A38="","",IFERROR(IFERROR(INDEX(Recipes!$Q$5:$Q$204,MATCH(H38,Recipes!$A$5:$A$204,0)),"")*N38*C38,0)+IFERROR(IFERROR(INDEX(Recipes!$Q$5:$Q$204,MATCH(I38,Recipes!$A$5:$A$204,0)),"")*N38*C38,0)+IFERROR(IFERROR(INDEX(Recipes!$Q$5:$Q$204,MATCH(J38,Recipes!$A$5:$A$204,0)),"")*N38*C38,0)+IFERROR(IFERROR(INDEX(Recipes!$Q$5:$Q$204,MATCH(K38,Recipes!$A$5:$A$204,0)),"")*N38*C38,0)+IFERROR(IFERROR(INDEX(Recipes!$Q$5:$Q$204,MATCH(L38,Recipes!$A$5:$A$204,0)),"")*N38*C38,0))</f>
        <v>0</v>
      </c>
      <c r="P38" s="8">
        <f>IF(OR(A38="",C38=0),"",IFERROR(O38/C38,""))</f>
        <v>0</v>
      </c>
      <c r="Q38" s="8">
        <f>IF(OR(A38="",G38=""),"",G38-O38)</f>
        <v>0</v>
      </c>
      <c r="R38" s="8">
        <f>IF(OR(A38="",B38=""),"",B38-TODAY())</f>
        <v>0</v>
      </c>
      <c r="S38" s="8">
        <f>IF(A38="","",COUNTIFS('Meal Prep'!$D$5:$D$124,H38)+COUNTIFS('Meal Prep'!$D$5:$D$124,I38)+COUNTIFS('Meal Prep'!$D$5:$D$124,J38)+COUNTIFS('Meal Prep'!$D$5:$D$124,K38)+COUNTIFS('Meal Prep'!$D$5:$D$124,L38))</f>
        <v>0</v>
      </c>
      <c r="T38" s="7"/>
      <c r="U38" s="7"/>
      <c r="V38" s="27"/>
      <c r="W38" s="25"/>
    </row>
    <row r="39" spans="1:23">
      <c r="A39" s="7"/>
      <c r="B39" s="30"/>
      <c r="C39" s="26"/>
      <c r="D39" s="27"/>
      <c r="E39" s="7"/>
      <c r="F39" s="7"/>
      <c r="G39" s="28"/>
      <c r="H39" s="27"/>
      <c r="I39" s="27"/>
      <c r="J39" s="27"/>
      <c r="K39" s="27"/>
      <c r="L39" s="27"/>
      <c r="M39" s="7"/>
      <c r="N39" s="26"/>
      <c r="O39" s="8">
        <f>IF(A39="","",IFERROR(IFERROR(INDEX(Recipes!$Q$5:$Q$204,MATCH(H39,Recipes!$A$5:$A$204,0)),"")*N39*C39,0)+IFERROR(IFERROR(INDEX(Recipes!$Q$5:$Q$204,MATCH(I39,Recipes!$A$5:$A$204,0)),"")*N39*C39,0)+IFERROR(IFERROR(INDEX(Recipes!$Q$5:$Q$204,MATCH(J39,Recipes!$A$5:$A$204,0)),"")*N39*C39,0)+IFERROR(IFERROR(INDEX(Recipes!$Q$5:$Q$204,MATCH(K39,Recipes!$A$5:$A$204,0)),"")*N39*C39,0)+IFERROR(IFERROR(INDEX(Recipes!$Q$5:$Q$204,MATCH(L39,Recipes!$A$5:$A$204,0)),"")*N39*C39,0))</f>
        <v>0</v>
      </c>
      <c r="P39" s="8">
        <f>IF(OR(A39="",C39=0),"",IFERROR(O39/C39,""))</f>
        <v>0</v>
      </c>
      <c r="Q39" s="8">
        <f>IF(OR(A39="",G39=""),"",G39-O39)</f>
        <v>0</v>
      </c>
      <c r="R39" s="8">
        <f>IF(OR(A39="",B39=""),"",B39-TODAY())</f>
        <v>0</v>
      </c>
      <c r="S39" s="8">
        <f>IF(A39="","",COUNTIFS('Meal Prep'!$D$5:$D$124,H39)+COUNTIFS('Meal Prep'!$D$5:$D$124,I39)+COUNTIFS('Meal Prep'!$D$5:$D$124,J39)+COUNTIFS('Meal Prep'!$D$5:$D$124,K39)+COUNTIFS('Meal Prep'!$D$5:$D$124,L39))</f>
        <v>0</v>
      </c>
      <c r="T39" s="7"/>
      <c r="U39" s="7"/>
      <c r="V39" s="27"/>
      <c r="W39" s="25"/>
    </row>
    <row r="40" spans="1:23">
      <c r="A40" s="7"/>
      <c r="B40" s="30"/>
      <c r="C40" s="26"/>
      <c r="D40" s="27"/>
      <c r="E40" s="7"/>
      <c r="F40" s="7"/>
      <c r="G40" s="28"/>
      <c r="H40" s="27"/>
      <c r="I40" s="27"/>
      <c r="J40" s="27"/>
      <c r="K40" s="27"/>
      <c r="L40" s="27"/>
      <c r="M40" s="7"/>
      <c r="N40" s="26"/>
      <c r="O40" s="8">
        <f>IF(A40="","",IFERROR(IFERROR(INDEX(Recipes!$Q$5:$Q$204,MATCH(H40,Recipes!$A$5:$A$204,0)),"")*N40*C40,0)+IFERROR(IFERROR(INDEX(Recipes!$Q$5:$Q$204,MATCH(I40,Recipes!$A$5:$A$204,0)),"")*N40*C40,0)+IFERROR(IFERROR(INDEX(Recipes!$Q$5:$Q$204,MATCH(J40,Recipes!$A$5:$A$204,0)),"")*N40*C40,0)+IFERROR(IFERROR(INDEX(Recipes!$Q$5:$Q$204,MATCH(K40,Recipes!$A$5:$A$204,0)),"")*N40*C40,0)+IFERROR(IFERROR(INDEX(Recipes!$Q$5:$Q$204,MATCH(L40,Recipes!$A$5:$A$204,0)),"")*N40*C40,0))</f>
        <v>0</v>
      </c>
      <c r="P40" s="8">
        <f>IF(OR(A40="",C40=0),"",IFERROR(O40/C40,""))</f>
        <v>0</v>
      </c>
      <c r="Q40" s="8">
        <f>IF(OR(A40="",G40=""),"",G40-O40)</f>
        <v>0</v>
      </c>
      <c r="R40" s="8">
        <f>IF(OR(A40="",B40=""),"",B40-TODAY())</f>
        <v>0</v>
      </c>
      <c r="S40" s="8">
        <f>IF(A40="","",COUNTIFS('Meal Prep'!$D$5:$D$124,H40)+COUNTIFS('Meal Prep'!$D$5:$D$124,I40)+COUNTIFS('Meal Prep'!$D$5:$D$124,J40)+COUNTIFS('Meal Prep'!$D$5:$D$124,K40)+COUNTIFS('Meal Prep'!$D$5:$D$124,L40))</f>
        <v>0</v>
      </c>
      <c r="T40" s="7"/>
      <c r="U40" s="7"/>
      <c r="V40" s="27"/>
      <c r="W40" s="25"/>
    </row>
    <row r="41" spans="1:23">
      <c r="A41" s="7"/>
      <c r="B41" s="30"/>
      <c r="C41" s="26"/>
      <c r="D41" s="27"/>
      <c r="E41" s="7"/>
      <c r="F41" s="7"/>
      <c r="G41" s="28"/>
      <c r="H41" s="27"/>
      <c r="I41" s="27"/>
      <c r="J41" s="27"/>
      <c r="K41" s="27"/>
      <c r="L41" s="27"/>
      <c r="M41" s="7"/>
      <c r="N41" s="26"/>
      <c r="O41" s="8">
        <f>IF(A41="","",IFERROR(IFERROR(INDEX(Recipes!$Q$5:$Q$204,MATCH(H41,Recipes!$A$5:$A$204,0)),"")*N41*C41,0)+IFERROR(IFERROR(INDEX(Recipes!$Q$5:$Q$204,MATCH(I41,Recipes!$A$5:$A$204,0)),"")*N41*C41,0)+IFERROR(IFERROR(INDEX(Recipes!$Q$5:$Q$204,MATCH(J41,Recipes!$A$5:$A$204,0)),"")*N41*C41,0)+IFERROR(IFERROR(INDEX(Recipes!$Q$5:$Q$204,MATCH(K41,Recipes!$A$5:$A$204,0)),"")*N41*C41,0)+IFERROR(IFERROR(INDEX(Recipes!$Q$5:$Q$204,MATCH(L41,Recipes!$A$5:$A$204,0)),"")*N41*C41,0))</f>
        <v>0</v>
      </c>
      <c r="P41" s="8">
        <f>IF(OR(A41="",C41=0),"",IFERROR(O41/C41,""))</f>
        <v>0</v>
      </c>
      <c r="Q41" s="8">
        <f>IF(OR(A41="",G41=""),"",G41-O41)</f>
        <v>0</v>
      </c>
      <c r="R41" s="8">
        <f>IF(OR(A41="",B41=""),"",B41-TODAY())</f>
        <v>0</v>
      </c>
      <c r="S41" s="8">
        <f>IF(A41="","",COUNTIFS('Meal Prep'!$D$5:$D$124,H41)+COUNTIFS('Meal Prep'!$D$5:$D$124,I41)+COUNTIFS('Meal Prep'!$D$5:$D$124,J41)+COUNTIFS('Meal Prep'!$D$5:$D$124,K41)+COUNTIFS('Meal Prep'!$D$5:$D$124,L41))</f>
        <v>0</v>
      </c>
      <c r="T41" s="7"/>
      <c r="U41" s="7"/>
      <c r="V41" s="27"/>
      <c r="W41" s="25"/>
    </row>
    <row r="42" spans="1:23">
      <c r="A42" s="7"/>
      <c r="B42" s="30"/>
      <c r="C42" s="26"/>
      <c r="D42" s="27"/>
      <c r="E42" s="7"/>
      <c r="F42" s="7"/>
      <c r="G42" s="28"/>
      <c r="H42" s="27"/>
      <c r="I42" s="27"/>
      <c r="J42" s="27"/>
      <c r="K42" s="27"/>
      <c r="L42" s="27"/>
      <c r="M42" s="7"/>
      <c r="N42" s="26"/>
      <c r="O42" s="8">
        <f>IF(A42="","",IFERROR(IFERROR(INDEX(Recipes!$Q$5:$Q$204,MATCH(H42,Recipes!$A$5:$A$204,0)),"")*N42*C42,0)+IFERROR(IFERROR(INDEX(Recipes!$Q$5:$Q$204,MATCH(I42,Recipes!$A$5:$A$204,0)),"")*N42*C42,0)+IFERROR(IFERROR(INDEX(Recipes!$Q$5:$Q$204,MATCH(J42,Recipes!$A$5:$A$204,0)),"")*N42*C42,0)+IFERROR(IFERROR(INDEX(Recipes!$Q$5:$Q$204,MATCH(K42,Recipes!$A$5:$A$204,0)),"")*N42*C42,0)+IFERROR(IFERROR(INDEX(Recipes!$Q$5:$Q$204,MATCH(L42,Recipes!$A$5:$A$204,0)),"")*N42*C42,0))</f>
        <v>0</v>
      </c>
      <c r="P42" s="8">
        <f>IF(OR(A42="",C42=0),"",IFERROR(O42/C42,""))</f>
        <v>0</v>
      </c>
      <c r="Q42" s="8">
        <f>IF(OR(A42="",G42=""),"",G42-O42)</f>
        <v>0</v>
      </c>
      <c r="R42" s="8">
        <f>IF(OR(A42="",B42=""),"",B42-TODAY())</f>
        <v>0</v>
      </c>
      <c r="S42" s="8">
        <f>IF(A42="","",COUNTIFS('Meal Prep'!$D$5:$D$124,H42)+COUNTIFS('Meal Prep'!$D$5:$D$124,I42)+COUNTIFS('Meal Prep'!$D$5:$D$124,J42)+COUNTIFS('Meal Prep'!$D$5:$D$124,K42)+COUNTIFS('Meal Prep'!$D$5:$D$124,L42))</f>
        <v>0</v>
      </c>
      <c r="T42" s="7"/>
      <c r="U42" s="7"/>
      <c r="V42" s="27"/>
      <c r="W42" s="25"/>
    </row>
    <row r="43" spans="1:23">
      <c r="A43" s="7"/>
      <c r="B43" s="30"/>
      <c r="C43" s="26"/>
      <c r="D43" s="27"/>
      <c r="E43" s="7"/>
      <c r="F43" s="7"/>
      <c r="G43" s="28"/>
      <c r="H43" s="27"/>
      <c r="I43" s="27"/>
      <c r="J43" s="27"/>
      <c r="K43" s="27"/>
      <c r="L43" s="27"/>
      <c r="M43" s="7"/>
      <c r="N43" s="26"/>
      <c r="O43" s="8">
        <f>IF(A43="","",IFERROR(IFERROR(INDEX(Recipes!$Q$5:$Q$204,MATCH(H43,Recipes!$A$5:$A$204,0)),"")*N43*C43,0)+IFERROR(IFERROR(INDEX(Recipes!$Q$5:$Q$204,MATCH(I43,Recipes!$A$5:$A$204,0)),"")*N43*C43,0)+IFERROR(IFERROR(INDEX(Recipes!$Q$5:$Q$204,MATCH(J43,Recipes!$A$5:$A$204,0)),"")*N43*C43,0)+IFERROR(IFERROR(INDEX(Recipes!$Q$5:$Q$204,MATCH(K43,Recipes!$A$5:$A$204,0)),"")*N43*C43,0)+IFERROR(IFERROR(INDEX(Recipes!$Q$5:$Q$204,MATCH(L43,Recipes!$A$5:$A$204,0)),"")*N43*C43,0))</f>
        <v>0</v>
      </c>
      <c r="P43" s="8">
        <f>IF(OR(A43="",C43=0),"",IFERROR(O43/C43,""))</f>
        <v>0</v>
      </c>
      <c r="Q43" s="8">
        <f>IF(OR(A43="",G43=""),"",G43-O43)</f>
        <v>0</v>
      </c>
      <c r="R43" s="8">
        <f>IF(OR(A43="",B43=""),"",B43-TODAY())</f>
        <v>0</v>
      </c>
      <c r="S43" s="8">
        <f>IF(A43="","",COUNTIFS('Meal Prep'!$D$5:$D$124,H43)+COUNTIFS('Meal Prep'!$D$5:$D$124,I43)+COUNTIFS('Meal Prep'!$D$5:$D$124,J43)+COUNTIFS('Meal Prep'!$D$5:$D$124,K43)+COUNTIFS('Meal Prep'!$D$5:$D$124,L43))</f>
        <v>0</v>
      </c>
      <c r="T43" s="7"/>
      <c r="U43" s="7"/>
      <c r="V43" s="27"/>
      <c r="W43" s="25"/>
    </row>
    <row r="44" spans="1:23">
      <c r="A44" s="7"/>
      <c r="B44" s="30"/>
      <c r="C44" s="26"/>
      <c r="D44" s="27"/>
      <c r="E44" s="7"/>
      <c r="F44" s="7"/>
      <c r="G44" s="28"/>
      <c r="H44" s="27"/>
      <c r="I44" s="27"/>
      <c r="J44" s="27"/>
      <c r="K44" s="27"/>
      <c r="L44" s="27"/>
      <c r="M44" s="7"/>
      <c r="N44" s="26"/>
      <c r="O44" s="8">
        <f>IF(A44="","",IFERROR(IFERROR(INDEX(Recipes!$Q$5:$Q$204,MATCH(H44,Recipes!$A$5:$A$204,0)),"")*N44*C44,0)+IFERROR(IFERROR(INDEX(Recipes!$Q$5:$Q$204,MATCH(I44,Recipes!$A$5:$A$204,0)),"")*N44*C44,0)+IFERROR(IFERROR(INDEX(Recipes!$Q$5:$Q$204,MATCH(J44,Recipes!$A$5:$A$204,0)),"")*N44*C44,0)+IFERROR(IFERROR(INDEX(Recipes!$Q$5:$Q$204,MATCH(K44,Recipes!$A$5:$A$204,0)),"")*N44*C44,0)+IFERROR(IFERROR(INDEX(Recipes!$Q$5:$Q$204,MATCH(L44,Recipes!$A$5:$A$204,0)),"")*N44*C44,0))</f>
        <v>0</v>
      </c>
      <c r="P44" s="8">
        <f>IF(OR(A44="",C44=0),"",IFERROR(O44/C44,""))</f>
        <v>0</v>
      </c>
      <c r="Q44" s="8">
        <f>IF(OR(A44="",G44=""),"",G44-O44)</f>
        <v>0</v>
      </c>
      <c r="R44" s="8">
        <f>IF(OR(A44="",B44=""),"",B44-TODAY())</f>
        <v>0</v>
      </c>
      <c r="S44" s="8">
        <f>IF(A44="","",COUNTIFS('Meal Prep'!$D$5:$D$124,H44)+COUNTIFS('Meal Prep'!$D$5:$D$124,I44)+COUNTIFS('Meal Prep'!$D$5:$D$124,J44)+COUNTIFS('Meal Prep'!$D$5:$D$124,K44)+COUNTIFS('Meal Prep'!$D$5:$D$124,L44))</f>
        <v>0</v>
      </c>
      <c r="T44" s="7"/>
      <c r="U44" s="7"/>
      <c r="V44" s="27"/>
      <c r="W44" s="25"/>
    </row>
  </sheetData>
  <sheetProtection password="EC7C" sheet="1" objects="1" scenarios="1" selectLockedCells="1" selectUnlockedCells="1"/>
  <autoFilter ref="A4:W44"/>
  <conditionalFormatting sqref="A11:W11">
    <cfRule type="expression" dxfId="0" priority="4">
      <formula>MOD(ROW(),2)=0</formula>
    </cfRule>
  </conditionalFormatting>
  <conditionalFormatting sqref="A13:W13">
    <cfRule type="expression" dxfId="0" priority="5">
      <formula>MOD(ROW(),2)=0</formula>
    </cfRule>
  </conditionalFormatting>
  <conditionalFormatting sqref="A15:W15">
    <cfRule type="expression" dxfId="0" priority="6">
      <formula>MOD(ROW(),2)=0</formula>
    </cfRule>
  </conditionalFormatting>
  <conditionalFormatting sqref="A17:W17">
    <cfRule type="expression" dxfId="0" priority="7">
      <formula>MOD(ROW(),2)=0</formula>
    </cfRule>
  </conditionalFormatting>
  <conditionalFormatting sqref="A19:W19">
    <cfRule type="expression" dxfId="0" priority="8">
      <formula>MOD(ROW(),2)=0</formula>
    </cfRule>
  </conditionalFormatting>
  <conditionalFormatting sqref="A21:W21">
    <cfRule type="expression" dxfId="0" priority="9">
      <formula>MOD(ROW(),2)=0</formula>
    </cfRule>
  </conditionalFormatting>
  <conditionalFormatting sqref="A23:W23">
    <cfRule type="expression" dxfId="0" priority="10">
      <formula>MOD(ROW(),2)=0</formula>
    </cfRule>
  </conditionalFormatting>
  <conditionalFormatting sqref="A25:W25">
    <cfRule type="expression" dxfId="0" priority="11">
      <formula>MOD(ROW(),2)=0</formula>
    </cfRule>
  </conditionalFormatting>
  <conditionalFormatting sqref="A27:W27">
    <cfRule type="expression" dxfId="0" priority="12">
      <formula>MOD(ROW(),2)=0</formula>
    </cfRule>
  </conditionalFormatting>
  <conditionalFormatting sqref="A29:W29">
    <cfRule type="expression" dxfId="0" priority="13">
      <formula>MOD(ROW(),2)=0</formula>
    </cfRule>
  </conditionalFormatting>
  <conditionalFormatting sqref="A31:W31">
    <cfRule type="expression" dxfId="0" priority="14">
      <formula>MOD(ROW(),2)=0</formula>
    </cfRule>
  </conditionalFormatting>
  <conditionalFormatting sqref="A33:W33">
    <cfRule type="expression" dxfId="0" priority="15">
      <formula>MOD(ROW(),2)=0</formula>
    </cfRule>
  </conditionalFormatting>
  <conditionalFormatting sqref="A35:W35">
    <cfRule type="expression" dxfId="0" priority="16">
      <formula>MOD(ROW(),2)=0</formula>
    </cfRule>
  </conditionalFormatting>
  <conditionalFormatting sqref="A37:W37">
    <cfRule type="expression" dxfId="0" priority="17">
      <formula>MOD(ROW(),2)=0</formula>
    </cfRule>
  </conditionalFormatting>
  <conditionalFormatting sqref="A39:W39">
    <cfRule type="expression" dxfId="0" priority="18">
      <formula>MOD(ROW(),2)=0</formula>
    </cfRule>
  </conditionalFormatting>
  <conditionalFormatting sqref="A41:W41">
    <cfRule type="expression" dxfId="0" priority="19">
      <formula>MOD(ROW(),2)=0</formula>
    </cfRule>
  </conditionalFormatting>
  <conditionalFormatting sqref="A43:W43">
    <cfRule type="expression" dxfId="0" priority="20">
      <formula>MOD(ROW(),2)=0</formula>
    </cfRule>
  </conditionalFormatting>
  <conditionalFormatting sqref="A5:W5">
    <cfRule type="expression" dxfId="0" priority="1">
      <formula>MOD(ROW(),2)=0</formula>
    </cfRule>
  </conditionalFormatting>
  <conditionalFormatting sqref="A7:W7">
    <cfRule type="expression" dxfId="0" priority="2">
      <formula>MOD(ROW(),2)=0</formula>
    </cfRule>
  </conditionalFormatting>
  <conditionalFormatting sqref="A9:W9">
    <cfRule type="expression" dxfId="0" priority="3">
      <formula>MOD(ROW(),2)=0</formula>
    </cfRule>
  </conditionalFormatting>
  <dataValidations count="400">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Spreadsheet&amp;R&amp;"Calibri,Italic"Events</oddHeader>
    <oddFooter>&amp;LPage &amp;P of &amp;N&amp;R&amp;D</oddFooter>
  </headerFooter>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03C"/>
    <pageSetUpPr fitToPage="1"/>
  </sheetPr>
  <dimension ref="A1:L54"/>
  <sheetViews>
    <sheetView showGridLines="0" workbookViewId="0">
      <pane xSplit="1" ySplit="14" topLeftCell="B15" activePane="bottomRight" state="frozen"/>
      <selection pane="topRight" activeCell="B1" sqref="B1"/>
      <selection pane="bottomLeft" activeCell="A15" sqref="A15"/>
      <selection pane="bottomRight"/>
    </sheetView>
  </sheetViews>
  <sheetFormatPr defaultRowHeight="15" x14ac:dyDescent="0.25"/>
  <cols>
    <col min="1" max="1" width="34.7109375" customWidth="1"/>
    <col min="2" max="2" width="13.7109375" customWidth="1"/>
    <col min="3" max="3" width="11.7109375" customWidth="1"/>
    <col min="4" max="4" width="13.7109375" customWidth="1"/>
    <col min="5" max="6" width="12.7109375" customWidth="1"/>
    <col min="7" max="7" width="11.7109375" customWidth="1"/>
    <col min="8" max="8" width="15.7109375" customWidth="1"/>
    <col min="9" max="9" width="12.7109375" customWidth="1"/>
    <col min="10" max="10" width="11.7109375" customWidth="1"/>
    <col min="11" max="11" width="9.7109375" customWidth="1"/>
    <col min="12" max="12" width="34.7109375" customWidth="1"/>
  </cols>
  <sheetData>
    <row r="1" spans="1:12" ht="30" customHeight="1" x14ac:dyDescent="0.25">
      <c r="A1" s="1" t="s">
        <v>616</v>
      </c>
      <c r="B1" s="1"/>
      <c r="C1" s="1"/>
      <c r="D1" s="1"/>
      <c r="E1" s="1"/>
      <c r="F1" s="1"/>
      <c r="G1" s="1"/>
      <c r="H1" s="1"/>
      <c r="I1" s="1"/>
    </row>
    <row r="2" spans="1:12" ht="18" customHeight="1" x14ac:dyDescent="0.25">
      <c r="A2" s="2" t="s">
        <v>617</v>
      </c>
      <c r="B2" s="2"/>
      <c r="C2" s="2"/>
      <c r="D2" s="2"/>
      <c r="E2" s="2"/>
      <c r="F2" s="2"/>
      <c r="G2" s="2"/>
      <c r="H2" s="2"/>
      <c r="I2" s="2"/>
    </row>
    <row r="3" spans="1:12" ht="20" customHeight="1" x14ac:dyDescent="0.25">
      <c r="A3" s="3" t="s">
        <v>618</v>
      </c>
      <c r="B3" s="3"/>
      <c r="C3" s="3"/>
      <c r="D3" s="3"/>
      <c r="E3" s="3"/>
      <c r="F3" s="3"/>
      <c r="G3" s="3"/>
      <c r="H3" s="3"/>
      <c r="I3" s="3"/>
    </row>
    <row r="5" spans="1:12" ht="22" customHeight="1" x14ac:dyDescent="0.25">
      <c r="A5" s="4" t="s">
        <v>619</v>
      </c>
      <c r="B5" s="4"/>
      <c r="C5" s="4"/>
      <c r="D5" s="4"/>
      <c r="E5" s="4"/>
      <c r="F5" s="4"/>
      <c r="G5" s="4"/>
      <c r="H5" s="4"/>
      <c r="I5" s="4"/>
    </row>
    <row r="7" spans="1:12" x14ac:dyDescent="0.25">
      <c r="B7" s="15" t="s">
        <v>620</v>
      </c>
      <c r="D7" s="15" t="s">
        <v>621</v>
      </c>
      <c r="F7" s="15" t="s">
        <v>622</v>
      </c>
      <c r="H7" s="15" t="s">
        <v>623</v>
      </c>
    </row>
    <row r="8" spans="1:12" ht="30" customHeight="1" x14ac:dyDescent="0.25">
      <c r="B8" s="16">
        <f>COUNTIFS(Goals!$H$15:$H$54,"&lt;&gt;")</f>
        <v>0</v>
      </c>
      <c r="D8" s="16">
        <f>COUNTIFS(Goals!$H$15:$H$54,"Goal hit")</f>
        <v>0</v>
      </c>
      <c r="F8" s="16">
        <f>COUNTIFS(Goals!$H$15:$H$54,"On track")</f>
        <v>0</v>
      </c>
      <c r="H8" s="16">
        <f>COUNTIFS(Goals!$H$15:$H$54,"Needs work")</f>
        <v>0</v>
      </c>
    </row>
    <row r="10" spans="1:12" x14ac:dyDescent="0.25">
      <c r="A10" s="6" t="s">
        <v>624</v>
      </c>
      <c r="B10" s="32">
        <f>IFERROR(AVERAGE(Goals!$G$15:$G$54),0)</f>
        <v>0</v>
      </c>
      <c r="C10" s="6" t="s">
        <v>625</v>
      </c>
      <c r="D10" s="8">
        <f>IFERROR(INDEX(Goals!$A$15:$A$54,MATCH(MAX(Goals!$G$15:$G$54),Goals!$G$15:$G$54,0)),"")</f>
        <v>0</v>
      </c>
      <c r="E10" s="6" t="s">
        <v>626</v>
      </c>
      <c r="F10" s="13">
        <f>IFERROR(MAX(Goals!$I$15:$I$54),0)</f>
        <v>0</v>
      </c>
    </row>
    <row r="12" spans="1:12" x14ac:dyDescent="0.25">
      <c r="A12" s="24" t="s">
        <v>627</v>
      </c>
      <c r="B12" s="24"/>
      <c r="C12" s="24"/>
      <c r="D12" s="24"/>
      <c r="E12" s="24"/>
      <c r="F12" s="24"/>
      <c r="G12" s="24"/>
      <c r="H12" s="24"/>
    </row>
    <row r="14" spans="1:12" ht="32" customHeight="1" x14ac:dyDescent="0.25">
      <c r="A14" s="9" t="s">
        <v>628</v>
      </c>
      <c r="B14" s="9" t="s">
        <v>282</v>
      </c>
      <c r="C14" s="9" t="s">
        <v>154</v>
      </c>
      <c r="D14" s="9" t="s">
        <v>629</v>
      </c>
      <c r="E14" s="9" t="s">
        <v>323</v>
      </c>
      <c r="F14" s="9" t="s">
        <v>630</v>
      </c>
      <c r="G14" s="9" t="s">
        <v>631</v>
      </c>
      <c r="H14" s="9" t="s">
        <v>135</v>
      </c>
      <c r="I14" s="9" t="s">
        <v>632</v>
      </c>
      <c r="J14" s="9" t="s">
        <v>633</v>
      </c>
      <c r="K14" s="9" t="s">
        <v>137</v>
      </c>
      <c r="L14" s="9" t="s">
        <v>173</v>
      </c>
    </row>
    <row r="15" spans="1:12" x14ac:dyDescent="0.25">
      <c r="A15" s="7"/>
      <c r="B15" s="27"/>
      <c r="C15" s="26"/>
      <c r="D15" s="26"/>
      <c r="E15" s="7"/>
      <c r="F15" s="30"/>
      <c r="G15" s="8">
        <f>IF(OR(A15="",C15="",C15=0),"",MIN(1,D15/C15))</f>
        <v>0</v>
      </c>
      <c r="H15" s="8">
        <f>IF(A15="","",IF(G15="","",IF(G15&gt;=1,"Goal hit",IF(F15="","In progress",IF(F15&lt;TODAY(),"Missed deadline",IF(G15&gt;=0.5,"On track","Needs work"))))))</f>
        <v>0</v>
      </c>
      <c r="I15" s="26"/>
      <c r="J15" s="26"/>
      <c r="K15" s="8">
        <f>IF(G15="","",COUNTIFS($G$15:$G$54,"&gt;"&amp;G15)+1)</f>
        <v>0</v>
      </c>
      <c r="L15" s="25"/>
    </row>
    <row r="16" spans="1:12" x14ac:dyDescent="0.25">
      <c r="A16" s="7"/>
      <c r="B16" s="27"/>
      <c r="C16" s="26"/>
      <c r="D16" s="26"/>
      <c r="E16" s="7"/>
      <c r="F16" s="30"/>
      <c r="G16" s="8">
        <f>IF(OR(A16="",C16="",C16=0),"",MIN(1,D16/C16))</f>
        <v>0</v>
      </c>
      <c r="H16" s="8">
        <f>IF(A16="","",IF(G16="","",IF(G16&gt;=1,"Goal hit",IF(F16="","In progress",IF(F16&lt;TODAY(),"Missed deadline",IF(G16&gt;=0.5,"On track","Needs work"))))))</f>
        <v>0</v>
      </c>
      <c r="I16" s="26"/>
      <c r="J16" s="26"/>
      <c r="K16" s="8">
        <f>IF(G16="","",COUNTIFS($G$15:$G$54,"&gt;"&amp;G16)+1)</f>
        <v>0</v>
      </c>
      <c r="L16" s="25"/>
    </row>
    <row r="17" spans="1:12" x14ac:dyDescent="0.25">
      <c r="A17" s="7"/>
      <c r="B17" s="27"/>
      <c r="C17" s="26"/>
      <c r="D17" s="26"/>
      <c r="E17" s="7"/>
      <c r="F17" s="30"/>
      <c r="G17" s="8">
        <f>IF(OR(A17="",C17="",C17=0),"",MIN(1,D17/C17))</f>
        <v>0</v>
      </c>
      <c r="H17" s="8">
        <f>IF(A17="","",IF(G17="","",IF(G17&gt;=1,"Goal hit",IF(F17="","In progress",IF(F17&lt;TODAY(),"Missed deadline",IF(G17&gt;=0.5,"On track","Needs work"))))))</f>
        <v>0</v>
      </c>
      <c r="I17" s="26"/>
      <c r="J17" s="26"/>
      <c r="K17" s="8">
        <f>IF(G17="","",COUNTIFS($G$15:$G$54,"&gt;"&amp;G17)+1)</f>
        <v>0</v>
      </c>
      <c r="L17" s="25"/>
    </row>
    <row r="18" spans="1:12" x14ac:dyDescent="0.25">
      <c r="A18" s="7"/>
      <c r="B18" s="27"/>
      <c r="C18" s="26"/>
      <c r="D18" s="26"/>
      <c r="E18" s="7"/>
      <c r="F18" s="30"/>
      <c r="G18" s="8">
        <f>IF(OR(A18="",C18="",C18=0),"",MIN(1,D18/C18))</f>
        <v>0</v>
      </c>
      <c r="H18" s="8">
        <f>IF(A18="","",IF(G18="","",IF(G18&gt;=1,"Goal hit",IF(F18="","In progress",IF(F18&lt;TODAY(),"Missed deadline",IF(G18&gt;=0.5,"On track","Needs work"))))))</f>
        <v>0</v>
      </c>
      <c r="I18" s="26"/>
      <c r="J18" s="26"/>
      <c r="K18" s="8">
        <f>IF(G18="","",COUNTIFS($G$15:$G$54,"&gt;"&amp;G18)+1)</f>
        <v>0</v>
      </c>
      <c r="L18" s="25"/>
    </row>
    <row r="19" spans="1:12" x14ac:dyDescent="0.25">
      <c r="A19" s="7"/>
      <c r="B19" s="27"/>
      <c r="C19" s="26"/>
      <c r="D19" s="26"/>
      <c r="E19" s="7"/>
      <c r="F19" s="30"/>
      <c r="G19" s="8">
        <f>IF(OR(A19="",C19="",C19=0),"",MIN(1,D19/C19))</f>
        <v>0</v>
      </c>
      <c r="H19" s="8">
        <f>IF(A19="","",IF(G19="","",IF(G19&gt;=1,"Goal hit",IF(F19="","In progress",IF(F19&lt;TODAY(),"Missed deadline",IF(G19&gt;=0.5,"On track","Needs work"))))))</f>
        <v>0</v>
      </c>
      <c r="I19" s="26"/>
      <c r="J19" s="26"/>
      <c r="K19" s="8">
        <f>IF(G19="","",COUNTIFS($G$15:$G$54,"&gt;"&amp;G19)+1)</f>
        <v>0</v>
      </c>
      <c r="L19" s="25"/>
    </row>
    <row r="20" spans="1:12" x14ac:dyDescent="0.25">
      <c r="A20" s="7"/>
      <c r="B20" s="27"/>
      <c r="C20" s="26"/>
      <c r="D20" s="26"/>
      <c r="E20" s="7"/>
      <c r="F20" s="30"/>
      <c r="G20" s="8">
        <f>IF(OR(A20="",C20="",C20=0),"",MIN(1,D20/C20))</f>
        <v>0</v>
      </c>
      <c r="H20" s="8">
        <f>IF(A20="","",IF(G20="","",IF(G20&gt;=1,"Goal hit",IF(F20="","In progress",IF(F20&lt;TODAY(),"Missed deadline",IF(G20&gt;=0.5,"On track","Needs work"))))))</f>
        <v>0</v>
      </c>
      <c r="I20" s="26"/>
      <c r="J20" s="26"/>
      <c r="K20" s="8">
        <f>IF(G20="","",COUNTIFS($G$15:$G$54,"&gt;"&amp;G20)+1)</f>
        <v>0</v>
      </c>
      <c r="L20" s="25"/>
    </row>
    <row r="21" spans="1:12" x14ac:dyDescent="0.25">
      <c r="A21" s="7"/>
      <c r="B21" s="27"/>
      <c r="C21" s="26"/>
      <c r="D21" s="26"/>
      <c r="E21" s="7"/>
      <c r="F21" s="30"/>
      <c r="G21" s="8">
        <f>IF(OR(A21="",C21="",C21=0),"",MIN(1,D21/C21))</f>
        <v>0</v>
      </c>
      <c r="H21" s="8">
        <f>IF(A21="","",IF(G21="","",IF(G21&gt;=1,"Goal hit",IF(F21="","In progress",IF(F21&lt;TODAY(),"Missed deadline",IF(G21&gt;=0.5,"On track","Needs work"))))))</f>
        <v>0</v>
      </c>
      <c r="I21" s="26"/>
      <c r="J21" s="26"/>
      <c r="K21" s="8">
        <f>IF(G21="","",COUNTIFS($G$15:$G$54,"&gt;"&amp;G21)+1)</f>
        <v>0</v>
      </c>
      <c r="L21" s="25"/>
    </row>
    <row r="22" spans="1:12" x14ac:dyDescent="0.25">
      <c r="A22" s="7"/>
      <c r="B22" s="27"/>
      <c r="C22" s="26"/>
      <c r="D22" s="26"/>
      <c r="E22" s="7"/>
      <c r="F22" s="30"/>
      <c r="G22" s="8">
        <f>IF(OR(A22="",C22="",C22=0),"",MIN(1,D22/C22))</f>
        <v>0</v>
      </c>
      <c r="H22" s="8">
        <f>IF(A22="","",IF(G22="","",IF(G22&gt;=1,"Goal hit",IF(F22="","In progress",IF(F22&lt;TODAY(),"Missed deadline",IF(G22&gt;=0.5,"On track","Needs work"))))))</f>
        <v>0</v>
      </c>
      <c r="I22" s="26"/>
      <c r="J22" s="26"/>
      <c r="K22" s="8">
        <f>IF(G22="","",COUNTIFS($G$15:$G$54,"&gt;"&amp;G22)+1)</f>
        <v>0</v>
      </c>
      <c r="L22" s="25"/>
    </row>
    <row r="23" spans="1:12" x14ac:dyDescent="0.25">
      <c r="A23" s="7"/>
      <c r="B23" s="27"/>
      <c r="C23" s="26"/>
      <c r="D23" s="26"/>
      <c r="E23" s="7"/>
      <c r="F23" s="30"/>
      <c r="G23" s="8">
        <f>IF(OR(A23="",C23="",C23=0),"",MIN(1,D23/C23))</f>
        <v>0</v>
      </c>
      <c r="H23" s="8">
        <f>IF(A23="","",IF(G23="","",IF(G23&gt;=1,"Goal hit",IF(F23="","In progress",IF(F23&lt;TODAY(),"Missed deadline",IF(G23&gt;=0.5,"On track","Needs work"))))))</f>
        <v>0</v>
      </c>
      <c r="I23" s="26"/>
      <c r="J23" s="26"/>
      <c r="K23" s="8">
        <f>IF(G23="","",COUNTIFS($G$15:$G$54,"&gt;"&amp;G23)+1)</f>
        <v>0</v>
      </c>
      <c r="L23" s="25"/>
    </row>
    <row r="24" spans="1:12" x14ac:dyDescent="0.25">
      <c r="A24" s="7"/>
      <c r="B24" s="27"/>
      <c r="C24" s="26"/>
      <c r="D24" s="26"/>
      <c r="E24" s="7"/>
      <c r="F24" s="30"/>
      <c r="G24" s="8">
        <f>IF(OR(A24="",C24="",C24=0),"",MIN(1,D24/C24))</f>
        <v>0</v>
      </c>
      <c r="H24" s="8">
        <f>IF(A24="","",IF(G24="","",IF(G24&gt;=1,"Goal hit",IF(F24="","In progress",IF(F24&lt;TODAY(),"Missed deadline",IF(G24&gt;=0.5,"On track","Needs work"))))))</f>
        <v>0</v>
      </c>
      <c r="I24" s="26"/>
      <c r="J24" s="26"/>
      <c r="K24" s="8">
        <f>IF(G24="","",COUNTIFS($G$15:$G$54,"&gt;"&amp;G24)+1)</f>
        <v>0</v>
      </c>
      <c r="L24" s="25"/>
    </row>
    <row r="25" spans="1:12" x14ac:dyDescent="0.25">
      <c r="A25" s="7"/>
      <c r="B25" s="27"/>
      <c r="C25" s="26"/>
      <c r="D25" s="26"/>
      <c r="E25" s="7"/>
      <c r="F25" s="30"/>
      <c r="G25" s="8">
        <f>IF(OR(A25="",C25="",C25=0),"",MIN(1,D25/C25))</f>
        <v>0</v>
      </c>
      <c r="H25" s="8">
        <f>IF(A25="","",IF(G25="","",IF(G25&gt;=1,"Goal hit",IF(F25="","In progress",IF(F25&lt;TODAY(),"Missed deadline",IF(G25&gt;=0.5,"On track","Needs work"))))))</f>
        <v>0</v>
      </c>
      <c r="I25" s="26"/>
      <c r="J25" s="26"/>
      <c r="K25" s="8">
        <f>IF(G25="","",COUNTIFS($G$15:$G$54,"&gt;"&amp;G25)+1)</f>
        <v>0</v>
      </c>
      <c r="L25" s="25"/>
    </row>
    <row r="26" spans="1:12" x14ac:dyDescent="0.25">
      <c r="A26" s="7"/>
      <c r="B26" s="27"/>
      <c r="C26" s="26"/>
      <c r="D26" s="26"/>
      <c r="E26" s="7"/>
      <c r="F26" s="30"/>
      <c r="G26" s="8">
        <f>IF(OR(A26="",C26="",C26=0),"",MIN(1,D26/C26))</f>
        <v>0</v>
      </c>
      <c r="H26" s="8">
        <f>IF(A26="","",IF(G26="","",IF(G26&gt;=1,"Goal hit",IF(F26="","In progress",IF(F26&lt;TODAY(),"Missed deadline",IF(G26&gt;=0.5,"On track","Needs work"))))))</f>
        <v>0</v>
      </c>
      <c r="I26" s="26"/>
      <c r="J26" s="26"/>
      <c r="K26" s="8">
        <f>IF(G26="","",COUNTIFS($G$15:$G$54,"&gt;"&amp;G26)+1)</f>
        <v>0</v>
      </c>
      <c r="L26" s="25"/>
    </row>
    <row r="27" spans="1:12" x14ac:dyDescent="0.25">
      <c r="A27" s="7"/>
      <c r="B27" s="27"/>
      <c r="C27" s="26"/>
      <c r="D27" s="26"/>
      <c r="E27" s="7"/>
      <c r="F27" s="30"/>
      <c r="G27" s="8">
        <f>IF(OR(A27="",C27="",C27=0),"",MIN(1,D27/C27))</f>
        <v>0</v>
      </c>
      <c r="H27" s="8">
        <f>IF(A27="","",IF(G27="","",IF(G27&gt;=1,"Goal hit",IF(F27="","In progress",IF(F27&lt;TODAY(),"Missed deadline",IF(G27&gt;=0.5,"On track","Needs work"))))))</f>
        <v>0</v>
      </c>
      <c r="I27" s="26"/>
      <c r="J27" s="26"/>
      <c r="K27" s="8">
        <f>IF(G27="","",COUNTIFS($G$15:$G$54,"&gt;"&amp;G27)+1)</f>
        <v>0</v>
      </c>
      <c r="L27" s="25"/>
    </row>
    <row r="28" spans="1:12" x14ac:dyDescent="0.25">
      <c r="A28" s="7"/>
      <c r="B28" s="27"/>
      <c r="C28" s="26"/>
      <c r="D28" s="26"/>
      <c r="E28" s="7"/>
      <c r="F28" s="30"/>
      <c r="G28" s="8">
        <f>IF(OR(A28="",C28="",C28=0),"",MIN(1,D28/C28))</f>
        <v>0</v>
      </c>
      <c r="H28" s="8">
        <f>IF(A28="","",IF(G28="","",IF(G28&gt;=1,"Goal hit",IF(F28="","In progress",IF(F28&lt;TODAY(),"Missed deadline",IF(G28&gt;=0.5,"On track","Needs work"))))))</f>
        <v>0</v>
      </c>
      <c r="I28" s="26"/>
      <c r="J28" s="26"/>
      <c r="K28" s="8">
        <f>IF(G28="","",COUNTIFS($G$15:$G$54,"&gt;"&amp;G28)+1)</f>
        <v>0</v>
      </c>
      <c r="L28" s="25"/>
    </row>
    <row r="29" spans="1:12" x14ac:dyDescent="0.25">
      <c r="A29" s="7"/>
      <c r="B29" s="27"/>
      <c r="C29" s="26"/>
      <c r="D29" s="26"/>
      <c r="E29" s="7"/>
      <c r="F29" s="30"/>
      <c r="G29" s="8">
        <f>IF(OR(A29="",C29="",C29=0),"",MIN(1,D29/C29))</f>
        <v>0</v>
      </c>
      <c r="H29" s="8">
        <f>IF(A29="","",IF(G29="","",IF(G29&gt;=1,"Goal hit",IF(F29="","In progress",IF(F29&lt;TODAY(),"Missed deadline",IF(G29&gt;=0.5,"On track","Needs work"))))))</f>
        <v>0</v>
      </c>
      <c r="I29" s="26"/>
      <c r="J29" s="26"/>
      <c r="K29" s="8">
        <f>IF(G29="","",COUNTIFS($G$15:$G$54,"&gt;"&amp;G29)+1)</f>
        <v>0</v>
      </c>
      <c r="L29" s="25"/>
    </row>
    <row r="30" spans="1:12" x14ac:dyDescent="0.25">
      <c r="A30" s="7"/>
      <c r="B30" s="27"/>
      <c r="C30" s="26"/>
      <c r="D30" s="26"/>
      <c r="E30" s="7"/>
      <c r="F30" s="30"/>
      <c r="G30" s="8">
        <f>IF(OR(A30="",C30="",C30=0),"",MIN(1,D30/C30))</f>
        <v>0</v>
      </c>
      <c r="H30" s="8">
        <f>IF(A30="","",IF(G30="","",IF(G30&gt;=1,"Goal hit",IF(F30="","In progress",IF(F30&lt;TODAY(),"Missed deadline",IF(G30&gt;=0.5,"On track","Needs work"))))))</f>
        <v>0</v>
      </c>
      <c r="I30" s="26"/>
      <c r="J30" s="26"/>
      <c r="K30" s="8">
        <f>IF(G30="","",COUNTIFS($G$15:$G$54,"&gt;"&amp;G30)+1)</f>
        <v>0</v>
      </c>
      <c r="L30" s="25"/>
    </row>
    <row r="31" spans="1:12" x14ac:dyDescent="0.25">
      <c r="A31" s="7"/>
      <c r="B31" s="27"/>
      <c r="C31" s="26"/>
      <c r="D31" s="26"/>
      <c r="E31" s="7"/>
      <c r="F31" s="30"/>
      <c r="G31" s="8">
        <f>IF(OR(A31="",C31="",C31=0),"",MIN(1,D31/C31))</f>
        <v>0</v>
      </c>
      <c r="H31" s="8">
        <f>IF(A31="","",IF(G31="","",IF(G31&gt;=1,"Goal hit",IF(F31="","In progress",IF(F31&lt;TODAY(),"Missed deadline",IF(G31&gt;=0.5,"On track","Needs work"))))))</f>
        <v>0</v>
      </c>
      <c r="I31" s="26"/>
      <c r="J31" s="26"/>
      <c r="K31" s="8">
        <f>IF(G31="","",COUNTIFS($G$15:$G$54,"&gt;"&amp;G31)+1)</f>
        <v>0</v>
      </c>
      <c r="L31" s="25"/>
    </row>
    <row r="32" spans="1:12" x14ac:dyDescent="0.25">
      <c r="A32" s="7"/>
      <c r="B32" s="27"/>
      <c r="C32" s="26"/>
      <c r="D32" s="26"/>
      <c r="E32" s="7"/>
      <c r="F32" s="30"/>
      <c r="G32" s="8">
        <f>IF(OR(A32="",C32="",C32=0),"",MIN(1,D32/C32))</f>
        <v>0</v>
      </c>
      <c r="H32" s="8">
        <f>IF(A32="","",IF(G32="","",IF(G32&gt;=1,"Goal hit",IF(F32="","In progress",IF(F32&lt;TODAY(),"Missed deadline",IF(G32&gt;=0.5,"On track","Needs work"))))))</f>
        <v>0</v>
      </c>
      <c r="I32" s="26"/>
      <c r="J32" s="26"/>
      <c r="K32" s="8">
        <f>IF(G32="","",COUNTIFS($G$15:$G$54,"&gt;"&amp;G32)+1)</f>
        <v>0</v>
      </c>
      <c r="L32" s="25"/>
    </row>
    <row r="33" spans="1:12" x14ac:dyDescent="0.25">
      <c r="A33" s="7"/>
      <c r="B33" s="27"/>
      <c r="C33" s="26"/>
      <c r="D33" s="26"/>
      <c r="E33" s="7"/>
      <c r="F33" s="30"/>
      <c r="G33" s="8">
        <f>IF(OR(A33="",C33="",C33=0),"",MIN(1,D33/C33))</f>
        <v>0</v>
      </c>
      <c r="H33" s="8">
        <f>IF(A33="","",IF(G33="","",IF(G33&gt;=1,"Goal hit",IF(F33="","In progress",IF(F33&lt;TODAY(),"Missed deadline",IF(G33&gt;=0.5,"On track","Needs work"))))))</f>
        <v>0</v>
      </c>
      <c r="I33" s="26"/>
      <c r="J33" s="26"/>
      <c r="K33" s="8">
        <f>IF(G33="","",COUNTIFS($G$15:$G$54,"&gt;"&amp;G33)+1)</f>
        <v>0</v>
      </c>
      <c r="L33" s="25"/>
    </row>
    <row r="34" spans="1:12" x14ac:dyDescent="0.25">
      <c r="A34" s="7"/>
      <c r="B34" s="27"/>
      <c r="C34" s="26"/>
      <c r="D34" s="26"/>
      <c r="E34" s="7"/>
      <c r="F34" s="30"/>
      <c r="G34" s="8">
        <f>IF(OR(A34="",C34="",C34=0),"",MIN(1,D34/C34))</f>
        <v>0</v>
      </c>
      <c r="H34" s="8">
        <f>IF(A34="","",IF(G34="","",IF(G34&gt;=1,"Goal hit",IF(F34="","In progress",IF(F34&lt;TODAY(),"Missed deadline",IF(G34&gt;=0.5,"On track","Needs work"))))))</f>
        <v>0</v>
      </c>
      <c r="I34" s="26"/>
      <c r="J34" s="26"/>
      <c r="K34" s="8">
        <f>IF(G34="","",COUNTIFS($G$15:$G$54,"&gt;"&amp;G34)+1)</f>
        <v>0</v>
      </c>
      <c r="L34" s="25"/>
    </row>
    <row r="35" spans="1:12" x14ac:dyDescent="0.25">
      <c r="A35" s="7"/>
      <c r="B35" s="27"/>
      <c r="C35" s="26"/>
      <c r="D35" s="26"/>
      <c r="E35" s="7"/>
      <c r="F35" s="30"/>
      <c r="G35" s="8">
        <f>IF(OR(A35="",C35="",C35=0),"",MIN(1,D35/C35))</f>
        <v>0</v>
      </c>
      <c r="H35" s="8">
        <f>IF(A35="","",IF(G35="","",IF(G35&gt;=1,"Goal hit",IF(F35="","In progress",IF(F35&lt;TODAY(),"Missed deadline",IF(G35&gt;=0.5,"On track","Needs work"))))))</f>
        <v>0</v>
      </c>
      <c r="I35" s="26"/>
      <c r="J35" s="26"/>
      <c r="K35" s="8">
        <f>IF(G35="","",COUNTIFS($G$15:$G$54,"&gt;"&amp;G35)+1)</f>
        <v>0</v>
      </c>
      <c r="L35" s="25"/>
    </row>
    <row r="36" spans="1:12" x14ac:dyDescent="0.25">
      <c r="A36" s="7"/>
      <c r="B36" s="27"/>
      <c r="C36" s="26"/>
      <c r="D36" s="26"/>
      <c r="E36" s="7"/>
      <c r="F36" s="30"/>
      <c r="G36" s="8">
        <f>IF(OR(A36="",C36="",C36=0),"",MIN(1,D36/C36))</f>
        <v>0</v>
      </c>
      <c r="H36" s="8">
        <f>IF(A36="","",IF(G36="","",IF(G36&gt;=1,"Goal hit",IF(F36="","In progress",IF(F36&lt;TODAY(),"Missed deadline",IF(G36&gt;=0.5,"On track","Needs work"))))))</f>
        <v>0</v>
      </c>
      <c r="I36" s="26"/>
      <c r="J36" s="26"/>
      <c r="K36" s="8">
        <f>IF(G36="","",COUNTIFS($G$15:$G$54,"&gt;"&amp;G36)+1)</f>
        <v>0</v>
      </c>
      <c r="L36" s="25"/>
    </row>
    <row r="37" spans="1:12" x14ac:dyDescent="0.25">
      <c r="A37" s="7"/>
      <c r="B37" s="27"/>
      <c r="C37" s="26"/>
      <c r="D37" s="26"/>
      <c r="E37" s="7"/>
      <c r="F37" s="30"/>
      <c r="G37" s="8">
        <f>IF(OR(A37="",C37="",C37=0),"",MIN(1,D37/C37))</f>
        <v>0</v>
      </c>
      <c r="H37" s="8">
        <f>IF(A37="","",IF(G37="","",IF(G37&gt;=1,"Goal hit",IF(F37="","In progress",IF(F37&lt;TODAY(),"Missed deadline",IF(G37&gt;=0.5,"On track","Needs work"))))))</f>
        <v>0</v>
      </c>
      <c r="I37" s="26"/>
      <c r="J37" s="26"/>
      <c r="K37" s="8">
        <f>IF(G37="","",COUNTIFS($G$15:$G$54,"&gt;"&amp;G37)+1)</f>
        <v>0</v>
      </c>
      <c r="L37" s="25"/>
    </row>
    <row r="38" spans="1:12" x14ac:dyDescent="0.25">
      <c r="A38" s="7"/>
      <c r="B38" s="27"/>
      <c r="C38" s="26"/>
      <c r="D38" s="26"/>
      <c r="E38" s="7"/>
      <c r="F38" s="30"/>
      <c r="G38" s="8">
        <f>IF(OR(A38="",C38="",C38=0),"",MIN(1,D38/C38))</f>
        <v>0</v>
      </c>
      <c r="H38" s="8">
        <f>IF(A38="","",IF(G38="","",IF(G38&gt;=1,"Goal hit",IF(F38="","In progress",IF(F38&lt;TODAY(),"Missed deadline",IF(G38&gt;=0.5,"On track","Needs work"))))))</f>
        <v>0</v>
      </c>
      <c r="I38" s="26"/>
      <c r="J38" s="26"/>
      <c r="K38" s="8">
        <f>IF(G38="","",COUNTIFS($G$15:$G$54,"&gt;"&amp;G38)+1)</f>
        <v>0</v>
      </c>
      <c r="L38" s="25"/>
    </row>
    <row r="39" spans="1:12" x14ac:dyDescent="0.25">
      <c r="A39" s="7"/>
      <c r="B39" s="27"/>
      <c r="C39" s="26"/>
      <c r="D39" s="26"/>
      <c r="E39" s="7"/>
      <c r="F39" s="30"/>
      <c r="G39" s="8">
        <f>IF(OR(A39="",C39="",C39=0),"",MIN(1,D39/C39))</f>
        <v>0</v>
      </c>
      <c r="H39" s="8">
        <f>IF(A39="","",IF(G39="","",IF(G39&gt;=1,"Goal hit",IF(F39="","In progress",IF(F39&lt;TODAY(),"Missed deadline",IF(G39&gt;=0.5,"On track","Needs work"))))))</f>
        <v>0</v>
      </c>
      <c r="I39" s="26"/>
      <c r="J39" s="26"/>
      <c r="K39" s="8">
        <f>IF(G39="","",COUNTIFS($G$15:$G$54,"&gt;"&amp;G39)+1)</f>
        <v>0</v>
      </c>
      <c r="L39" s="25"/>
    </row>
    <row r="40" spans="1:12" x14ac:dyDescent="0.25">
      <c r="A40" s="7"/>
      <c r="B40" s="27"/>
      <c r="C40" s="26"/>
      <c r="D40" s="26"/>
      <c r="E40" s="7"/>
      <c r="F40" s="30"/>
      <c r="G40" s="8">
        <f>IF(OR(A40="",C40="",C40=0),"",MIN(1,D40/C40))</f>
        <v>0</v>
      </c>
      <c r="H40" s="8">
        <f>IF(A40="","",IF(G40="","",IF(G40&gt;=1,"Goal hit",IF(F40="","In progress",IF(F40&lt;TODAY(),"Missed deadline",IF(G40&gt;=0.5,"On track","Needs work"))))))</f>
        <v>0</v>
      </c>
      <c r="I40" s="26"/>
      <c r="J40" s="26"/>
      <c r="K40" s="8">
        <f>IF(G40="","",COUNTIFS($G$15:$G$54,"&gt;"&amp;G40)+1)</f>
        <v>0</v>
      </c>
      <c r="L40" s="25"/>
    </row>
    <row r="41" spans="1:12" x14ac:dyDescent="0.25">
      <c r="A41" s="7"/>
      <c r="B41" s="27"/>
      <c r="C41" s="26"/>
      <c r="D41" s="26"/>
      <c r="E41" s="7"/>
      <c r="F41" s="30"/>
      <c r="G41" s="8">
        <f>IF(OR(A41="",C41="",C41=0),"",MIN(1,D41/C41))</f>
        <v>0</v>
      </c>
      <c r="H41" s="8">
        <f>IF(A41="","",IF(G41="","",IF(G41&gt;=1,"Goal hit",IF(F41="","In progress",IF(F41&lt;TODAY(),"Missed deadline",IF(G41&gt;=0.5,"On track","Needs work"))))))</f>
        <v>0</v>
      </c>
      <c r="I41" s="26"/>
      <c r="J41" s="26"/>
      <c r="K41" s="8">
        <f>IF(G41="","",COUNTIFS($G$15:$G$54,"&gt;"&amp;G41)+1)</f>
        <v>0</v>
      </c>
      <c r="L41" s="25"/>
    </row>
    <row r="42" spans="1:12" x14ac:dyDescent="0.25">
      <c r="A42" s="7"/>
      <c r="B42" s="27"/>
      <c r="C42" s="26"/>
      <c r="D42" s="26"/>
      <c r="E42" s="7"/>
      <c r="F42" s="30"/>
      <c r="G42" s="8">
        <f>IF(OR(A42="",C42="",C42=0),"",MIN(1,D42/C42))</f>
        <v>0</v>
      </c>
      <c r="H42" s="8">
        <f>IF(A42="","",IF(G42="","",IF(G42&gt;=1,"Goal hit",IF(F42="","In progress",IF(F42&lt;TODAY(),"Missed deadline",IF(G42&gt;=0.5,"On track","Needs work"))))))</f>
        <v>0</v>
      </c>
      <c r="I42" s="26"/>
      <c r="J42" s="26"/>
      <c r="K42" s="8">
        <f>IF(G42="","",COUNTIFS($G$15:$G$54,"&gt;"&amp;G42)+1)</f>
        <v>0</v>
      </c>
      <c r="L42" s="25"/>
    </row>
    <row r="43" spans="1:12" x14ac:dyDescent="0.25">
      <c r="A43" s="7"/>
      <c r="B43" s="27"/>
      <c r="C43" s="26"/>
      <c r="D43" s="26"/>
      <c r="E43" s="7"/>
      <c r="F43" s="30"/>
      <c r="G43" s="8">
        <f>IF(OR(A43="",C43="",C43=0),"",MIN(1,D43/C43))</f>
        <v>0</v>
      </c>
      <c r="H43" s="8">
        <f>IF(A43="","",IF(G43="","",IF(G43&gt;=1,"Goal hit",IF(F43="","In progress",IF(F43&lt;TODAY(),"Missed deadline",IF(G43&gt;=0.5,"On track","Needs work"))))))</f>
        <v>0</v>
      </c>
      <c r="I43" s="26"/>
      <c r="J43" s="26"/>
      <c r="K43" s="8">
        <f>IF(G43="","",COUNTIFS($G$15:$G$54,"&gt;"&amp;G43)+1)</f>
        <v>0</v>
      </c>
      <c r="L43" s="25"/>
    </row>
    <row r="44" spans="1:12" x14ac:dyDescent="0.25">
      <c r="A44" s="7"/>
      <c r="B44" s="27"/>
      <c r="C44" s="26"/>
      <c r="D44" s="26"/>
      <c r="E44" s="7"/>
      <c r="F44" s="30"/>
      <c r="G44" s="8">
        <f>IF(OR(A44="",C44="",C44=0),"",MIN(1,D44/C44))</f>
        <v>0</v>
      </c>
      <c r="H44" s="8">
        <f>IF(A44="","",IF(G44="","",IF(G44&gt;=1,"Goal hit",IF(F44="","In progress",IF(F44&lt;TODAY(),"Missed deadline",IF(G44&gt;=0.5,"On track","Needs work"))))))</f>
        <v>0</v>
      </c>
      <c r="I44" s="26"/>
      <c r="J44" s="26"/>
      <c r="K44" s="8">
        <f>IF(G44="","",COUNTIFS($G$15:$G$54,"&gt;"&amp;G44)+1)</f>
        <v>0</v>
      </c>
      <c r="L44" s="25"/>
    </row>
    <row r="45" spans="1:12" x14ac:dyDescent="0.25">
      <c r="A45" s="7"/>
      <c r="B45" s="27"/>
      <c r="C45" s="26"/>
      <c r="D45" s="26"/>
      <c r="E45" s="7"/>
      <c r="F45" s="30"/>
      <c r="G45" s="8">
        <f>IF(OR(A45="",C45="",C45=0),"",MIN(1,D45/C45))</f>
        <v>0</v>
      </c>
      <c r="H45" s="8">
        <f>IF(A45="","",IF(G45="","",IF(G45&gt;=1,"Goal hit",IF(F45="","In progress",IF(F45&lt;TODAY(),"Missed deadline",IF(G45&gt;=0.5,"On track","Needs work"))))))</f>
        <v>0</v>
      </c>
      <c r="I45" s="26"/>
      <c r="J45" s="26"/>
      <c r="K45" s="8">
        <f>IF(G45="","",COUNTIFS($G$15:$G$54,"&gt;"&amp;G45)+1)</f>
        <v>0</v>
      </c>
      <c r="L45" s="25"/>
    </row>
    <row r="46" spans="1:12" x14ac:dyDescent="0.25">
      <c r="A46" s="7"/>
      <c r="B46" s="27"/>
      <c r="C46" s="26"/>
      <c r="D46" s="26"/>
      <c r="E46" s="7"/>
      <c r="F46" s="30"/>
      <c r="G46" s="8">
        <f>IF(OR(A46="",C46="",C46=0),"",MIN(1,D46/C46))</f>
        <v>0</v>
      </c>
      <c r="H46" s="8">
        <f>IF(A46="","",IF(G46="","",IF(G46&gt;=1,"Goal hit",IF(F46="","In progress",IF(F46&lt;TODAY(),"Missed deadline",IF(G46&gt;=0.5,"On track","Needs work"))))))</f>
        <v>0</v>
      </c>
      <c r="I46" s="26"/>
      <c r="J46" s="26"/>
      <c r="K46" s="8">
        <f>IF(G46="","",COUNTIFS($G$15:$G$54,"&gt;"&amp;G46)+1)</f>
        <v>0</v>
      </c>
      <c r="L46" s="25"/>
    </row>
    <row r="47" spans="1:12" x14ac:dyDescent="0.25">
      <c r="A47" s="7"/>
      <c r="B47" s="27"/>
      <c r="C47" s="26"/>
      <c r="D47" s="26"/>
      <c r="E47" s="7"/>
      <c r="F47" s="30"/>
      <c r="G47" s="8">
        <f>IF(OR(A47="",C47="",C47=0),"",MIN(1,D47/C47))</f>
        <v>0</v>
      </c>
      <c r="H47" s="8">
        <f>IF(A47="","",IF(G47="","",IF(G47&gt;=1,"Goal hit",IF(F47="","In progress",IF(F47&lt;TODAY(),"Missed deadline",IF(G47&gt;=0.5,"On track","Needs work"))))))</f>
        <v>0</v>
      </c>
      <c r="I47" s="26"/>
      <c r="J47" s="26"/>
      <c r="K47" s="8">
        <f>IF(G47="","",COUNTIFS($G$15:$G$54,"&gt;"&amp;G47)+1)</f>
        <v>0</v>
      </c>
      <c r="L47" s="25"/>
    </row>
    <row r="48" spans="1:12" x14ac:dyDescent="0.25">
      <c r="A48" s="7"/>
      <c r="B48" s="27"/>
      <c r="C48" s="26"/>
      <c r="D48" s="26"/>
      <c r="E48" s="7"/>
      <c r="F48" s="30"/>
      <c r="G48" s="8">
        <f>IF(OR(A48="",C48="",C48=0),"",MIN(1,D48/C48))</f>
        <v>0</v>
      </c>
      <c r="H48" s="8">
        <f>IF(A48="","",IF(G48="","",IF(G48&gt;=1,"Goal hit",IF(F48="","In progress",IF(F48&lt;TODAY(),"Missed deadline",IF(G48&gt;=0.5,"On track","Needs work"))))))</f>
        <v>0</v>
      </c>
      <c r="I48" s="26"/>
      <c r="J48" s="26"/>
      <c r="K48" s="8">
        <f>IF(G48="","",COUNTIFS($G$15:$G$54,"&gt;"&amp;G48)+1)</f>
        <v>0</v>
      </c>
      <c r="L48" s="25"/>
    </row>
    <row r="49" spans="1:12" x14ac:dyDescent="0.25">
      <c r="A49" s="7"/>
      <c r="B49" s="27"/>
      <c r="C49" s="26"/>
      <c r="D49" s="26"/>
      <c r="E49" s="7"/>
      <c r="F49" s="30"/>
      <c r="G49" s="8">
        <f>IF(OR(A49="",C49="",C49=0),"",MIN(1,D49/C49))</f>
        <v>0</v>
      </c>
      <c r="H49" s="8">
        <f>IF(A49="","",IF(G49="","",IF(G49&gt;=1,"Goal hit",IF(F49="","In progress",IF(F49&lt;TODAY(),"Missed deadline",IF(G49&gt;=0.5,"On track","Needs work"))))))</f>
        <v>0</v>
      </c>
      <c r="I49" s="26"/>
      <c r="J49" s="26"/>
      <c r="K49" s="8">
        <f>IF(G49="","",COUNTIFS($G$15:$G$54,"&gt;"&amp;G49)+1)</f>
        <v>0</v>
      </c>
      <c r="L49" s="25"/>
    </row>
    <row r="50" spans="1:12" x14ac:dyDescent="0.25">
      <c r="A50" s="7"/>
      <c r="B50" s="27"/>
      <c r="C50" s="26"/>
      <c r="D50" s="26"/>
      <c r="E50" s="7"/>
      <c r="F50" s="30"/>
      <c r="G50" s="8">
        <f>IF(OR(A50="",C50="",C50=0),"",MIN(1,D50/C50))</f>
        <v>0</v>
      </c>
      <c r="H50" s="8">
        <f>IF(A50="","",IF(G50="","",IF(G50&gt;=1,"Goal hit",IF(F50="","In progress",IF(F50&lt;TODAY(),"Missed deadline",IF(G50&gt;=0.5,"On track","Needs work"))))))</f>
        <v>0</v>
      </c>
      <c r="I50" s="26"/>
      <c r="J50" s="26"/>
      <c r="K50" s="8">
        <f>IF(G50="","",COUNTIFS($G$15:$G$54,"&gt;"&amp;G50)+1)</f>
        <v>0</v>
      </c>
      <c r="L50" s="25"/>
    </row>
    <row r="51" spans="1:12" x14ac:dyDescent="0.25">
      <c r="A51" s="7"/>
      <c r="B51" s="27"/>
      <c r="C51" s="26"/>
      <c r="D51" s="26"/>
      <c r="E51" s="7"/>
      <c r="F51" s="30"/>
      <c r="G51" s="8">
        <f>IF(OR(A51="",C51="",C51=0),"",MIN(1,D51/C51))</f>
        <v>0</v>
      </c>
      <c r="H51" s="8">
        <f>IF(A51="","",IF(G51="","",IF(G51&gt;=1,"Goal hit",IF(F51="","In progress",IF(F51&lt;TODAY(),"Missed deadline",IF(G51&gt;=0.5,"On track","Needs work"))))))</f>
        <v>0</v>
      </c>
      <c r="I51" s="26"/>
      <c r="J51" s="26"/>
      <c r="K51" s="8">
        <f>IF(G51="","",COUNTIFS($G$15:$G$54,"&gt;"&amp;G51)+1)</f>
        <v>0</v>
      </c>
      <c r="L51" s="25"/>
    </row>
    <row r="52" spans="1:12" x14ac:dyDescent="0.25">
      <c r="A52" s="7"/>
      <c r="B52" s="27"/>
      <c r="C52" s="26"/>
      <c r="D52" s="26"/>
      <c r="E52" s="7"/>
      <c r="F52" s="30"/>
      <c r="G52" s="8">
        <f>IF(OR(A52="",C52="",C52=0),"",MIN(1,D52/C52))</f>
        <v>0</v>
      </c>
      <c r="H52" s="8">
        <f>IF(A52="","",IF(G52="","",IF(G52&gt;=1,"Goal hit",IF(F52="","In progress",IF(F52&lt;TODAY(),"Missed deadline",IF(G52&gt;=0.5,"On track","Needs work"))))))</f>
        <v>0</v>
      </c>
      <c r="I52" s="26"/>
      <c r="J52" s="26"/>
      <c r="K52" s="8">
        <f>IF(G52="","",COUNTIFS($G$15:$G$54,"&gt;"&amp;G52)+1)</f>
        <v>0</v>
      </c>
      <c r="L52" s="25"/>
    </row>
    <row r="53" spans="1:12" x14ac:dyDescent="0.25">
      <c r="A53" s="7"/>
      <c r="B53" s="27"/>
      <c r="C53" s="26"/>
      <c r="D53" s="26"/>
      <c r="E53" s="7"/>
      <c r="F53" s="30"/>
      <c r="G53" s="8">
        <f>IF(OR(A53="",C53="",C53=0),"",MIN(1,D53/C53))</f>
        <v>0</v>
      </c>
      <c r="H53" s="8">
        <f>IF(A53="","",IF(G53="","",IF(G53&gt;=1,"Goal hit",IF(F53="","In progress",IF(F53&lt;TODAY(),"Missed deadline",IF(G53&gt;=0.5,"On track","Needs work"))))))</f>
        <v>0</v>
      </c>
      <c r="I53" s="26"/>
      <c r="J53" s="26"/>
      <c r="K53" s="8">
        <f>IF(G53="","",COUNTIFS($G$15:$G$54,"&gt;"&amp;G53)+1)</f>
        <v>0</v>
      </c>
      <c r="L53" s="25"/>
    </row>
    <row r="54" spans="1:12" x14ac:dyDescent="0.25">
      <c r="A54" s="7"/>
      <c r="B54" s="27"/>
      <c r="C54" s="26"/>
      <c r="D54" s="26"/>
      <c r="E54" s="7"/>
      <c r="F54" s="30"/>
      <c r="G54" s="8">
        <f>IF(OR(A54="",C54="",C54=0),"",MIN(1,D54/C54))</f>
        <v>0</v>
      </c>
      <c r="H54" s="8">
        <f>IF(A54="","",IF(G54="","",IF(G54&gt;=1,"Goal hit",IF(F54="","In progress",IF(F54&lt;TODAY(),"Missed deadline",IF(G54&gt;=0.5,"On track","Needs work"))))))</f>
        <v>0</v>
      </c>
      <c r="I54" s="26"/>
      <c r="J54" s="26"/>
      <c r="K54" s="8">
        <f>IF(G54="","",COUNTIFS($G$15:$G$54,"&gt;"&amp;G54)+1)</f>
        <v>0</v>
      </c>
      <c r="L54" s="25"/>
    </row>
  </sheetData>
  <sheetProtection password="EC7C" sheet="1" objects="1" scenarios="1" selectLockedCells="1" selectUnlockedCells="1"/>
  <autoFilter ref="A14:L54"/>
  <mergeCells count="5">
    <mergeCell ref="A1:I1"/>
    <mergeCell ref="A2:I2"/>
    <mergeCell ref="A3:I3"/>
    <mergeCell ref="A5:I5"/>
    <mergeCell ref="A12:H12"/>
  </mergeCells>
  <conditionalFormatting sqref="G15:G54">
    <cfRule type="dataBar" priority="1">
      <dataBar>
        <cfvo type="num" val="0"/>
        <cfvo type="num" val="1"/>
        <color rgb="FF4E8A63"/>
      </dataBar>
      <extLst>
        <ext xmlns:x14="http://schemas.microsoft.com/office/spreadsheetml/2009/9/main" uri="{B025F937-C7B1-47D3-B67F-A62EFF666E3E}">
          <x14:id>{DA7ABA51-AAAA-BBBB-001E-000000000001}</x14:id>
        </ext>
      </extLst>
    </cfRule>
    <cfRule type="cellIs" dxfId="1" priority="2" operator="greaterThanOrEqual">
      <formula>1</formula>
    </cfRule>
  </conditionalFormatting>
  <dataValidations count="200">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s>
  <pageMargins left="0.7" right="0.7" top="0.75" bottom="0.75" header="0.3" footer="0.3"/>
  <pageSetup paperSize="9" fitToHeight="0" orientation="landscape"/>
  <legacyDrawing r:id="rId1"/>
  <extLst>
    <ext xmlns:x14="http://schemas.microsoft.com/office/spreadsheetml/2009/9/main" uri="{78C0D931-6437-407d-A8EE-F0AAD7539E65}">
      <x14:conditionalFormattings>
        <x14:conditionalFormatting xmlns:xm="http://schemas.microsoft.com/office/excel/2006/main">
          <x14:cfRule type="dataBar" id="{DA7ABA51-AAAA-BBBB-001E-000000000001}">
            <x14:dataBar minLength="0" maxLength="100" border="1" gradient="0" negativeBarBorderColorSameAsPositive="0">
              <x14:cfvo type="num">
                <xm:f>0</xm:f>
              </x14:cfvo>
              <x14:cfvo type="num">
                <xm:f>1</xm:f>
              </x14:cfvo>
              <x14:borderColor rgb="FF4E8A63"/>
              <x14:negativeFillColor rgb="FFFF0000"/>
              <x14:negativeBorderColor rgb="FFFF0000"/>
              <x14:axisColor rgb="FF000000"/>
            </x14:dataBar>
          </x14:cfRule>
          <xm:sqref>G15:G54</xm:sqref>
        </x14:conditionalFormatting>
      </x14:conditionalFormattings>
    </ext>
  </extLst>
</worksheet>
</file>

<file path=xl/worksheets/sheet31.xml><?xml version="1.0" encoding="utf-8"?>
<worksheet xmlns="http://schemas.openxmlformats.org/spreadsheetml/2006/main" xmlns:r="http://schemas.openxmlformats.org/officeDocument/2006/relationships">
  <sheetPr>
    <tabColor rgb="FF4E8A63"/>
    <pageSetUpPr fitToPage="1"/>
  </sheetPr>
  <dimension ref="A4:Q28"/>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2" width="12.7109375" customWidth="1"/>
    <col min="3" max="3" width="11.7109375" customWidth="1"/>
    <col min="4" max="4" width="12.7109375" customWidth="1"/>
    <col min="5" max="5" width="13.7109375" customWidth="1"/>
    <col min="6" max="6" width="10.7109375" customWidth="1"/>
    <col min="7" max="7" width="11.7109375" customWidth="1"/>
    <col min="8" max="8" width="12.7109375" customWidth="1"/>
    <col min="9" max="9" width="10.7109375" customWidth="1"/>
    <col min="10" max="14" width="12.7109375" customWidth="1"/>
    <col min="15" max="15" width="11.7109375" customWidth="1"/>
    <col min="16" max="16" width="14.7109375" customWidth="1"/>
    <col min="17" max="17" width="30.7109375" customWidth="1"/>
  </cols>
  <sheetData>
    <row r="4" spans="1:17" ht="32" customHeight="1">
      <c r="A4" s="9" t="s">
        <v>109</v>
      </c>
      <c r="B4" s="9" t="s">
        <v>634</v>
      </c>
      <c r="C4" s="9" t="s">
        <v>511</v>
      </c>
      <c r="D4" s="9" t="s">
        <v>635</v>
      </c>
      <c r="E4" s="9" t="s">
        <v>505</v>
      </c>
      <c r="F4" s="9" t="s">
        <v>154</v>
      </c>
      <c r="G4" s="9" t="s">
        <v>636</v>
      </c>
      <c r="H4" s="9" t="s">
        <v>155</v>
      </c>
      <c r="I4" s="9" t="s">
        <v>637</v>
      </c>
      <c r="J4" s="9" t="s">
        <v>157</v>
      </c>
      <c r="K4" s="9" t="s">
        <v>638</v>
      </c>
      <c r="L4" s="9" t="s">
        <v>639</v>
      </c>
      <c r="M4" s="9" t="s">
        <v>640</v>
      </c>
      <c r="N4" s="9" t="s">
        <v>641</v>
      </c>
      <c r="O4" s="9" t="s">
        <v>642</v>
      </c>
      <c r="P4" s="9" t="s">
        <v>135</v>
      </c>
      <c r="Q4" s="9" t="s">
        <v>173</v>
      </c>
    </row>
    <row r="5" spans="1:17">
      <c r="A5" s="7"/>
      <c r="B5" s="8">
        <f>IF(A5="","",SUMIFS('Grocery Spending'!$J$5:$J$404,'Grocery Spending'!$C$5:$C$404,A5))</f>
        <v>0</v>
      </c>
      <c r="C5" s="8">
        <f>IF(A5="","",SUMIFS('Food Waste'!$H$5:$H$154,'Food Waste'!$O$5:$O$154,A5))</f>
        <v>0</v>
      </c>
      <c r="D5" s="8">
        <f>IF(A5="","",SUMIFS('Food Waste'!$E$5:$E$154,'Food Waste'!$O$5:$O$154,A5))</f>
        <v>0</v>
      </c>
      <c r="E5" s="8">
        <f>IF(OR(A5="",B5="",B5=0),"",IFERROR(C5/B5,""))</f>
        <v>0</v>
      </c>
      <c r="F5" s="8">
        <f>IF(A5="","",Waste_Reduction_Target)</f>
        <v>0</v>
      </c>
      <c r="G5" s="8">
        <f>IF(OR(A5="",E5=""),"",E5-Waste_Reduction_Target)</f>
        <v>0</v>
      </c>
      <c r="H5" s="8">
        <f>IF(A5="","",COUNTIFS('Meal Plan'!$E$5:$E$504,A5,'Meal Plan'!$S$5:$S$504,"Cooked")+COUNTIFS('Meal Plan'!$E$5:$E$504,A5,'Meal Plan'!$S$5:$S$504,"Eaten"))</f>
        <v>0</v>
      </c>
      <c r="I5" s="8">
        <f>IF(A5="","",COUNTIFS('Meal Plan'!$E$5:$E$504,A5,'Meal Plan'!$S$5:$S$504,"Takeaway")+COUNTIFS('Meal Plan'!$E$5:$E$504,A5,'Meal Plan'!$S$5:$S$504,"Eating out"))</f>
        <v>0</v>
      </c>
      <c r="J5" s="8">
        <f>IF(A5="","",COUNTIFS(Recipes!$AM$5:$AM$204,A5))</f>
        <v>0</v>
      </c>
      <c r="K5" s="26"/>
      <c r="L5" s="26"/>
      <c r="M5" s="26"/>
      <c r="N5" s="26"/>
      <c r="O5" s="8">
        <f>IF(A5="","",IF(E5="",0,MAX(0,100-(E5*1000)))+K5*2+L5*2+M5*2+N5)</f>
        <v>0</v>
      </c>
      <c r="P5" s="8">
        <f>IF(A5="","",IF(G5="","",IF(G5&lt;=0,"On target","Over target")))</f>
        <v>0</v>
      </c>
      <c r="Q5" s="25"/>
    </row>
    <row r="6" spans="1:17">
      <c r="A6" s="7"/>
      <c r="B6" s="8">
        <f>IF(A6="","",SUMIFS('Grocery Spending'!$J$5:$J$404,'Grocery Spending'!$C$5:$C$404,A6))</f>
        <v>0</v>
      </c>
      <c r="C6" s="8">
        <f>IF(A6="","",SUMIFS('Food Waste'!$H$5:$H$154,'Food Waste'!$O$5:$O$154,A6))</f>
        <v>0</v>
      </c>
      <c r="D6" s="8">
        <f>IF(A6="","",SUMIFS('Food Waste'!$E$5:$E$154,'Food Waste'!$O$5:$O$154,A6))</f>
        <v>0</v>
      </c>
      <c r="E6" s="8">
        <f>IF(OR(A6="",B6="",B6=0),"",IFERROR(C6/B6,""))</f>
        <v>0</v>
      </c>
      <c r="F6" s="8">
        <f>IF(A6="","",Waste_Reduction_Target)</f>
        <v>0</v>
      </c>
      <c r="G6" s="8">
        <f>IF(OR(A6="",E6=""),"",E6-Waste_Reduction_Target)</f>
        <v>0</v>
      </c>
      <c r="H6" s="8">
        <f>IF(A6="","",COUNTIFS('Meal Plan'!$E$5:$E$504,A6,'Meal Plan'!$S$5:$S$504,"Cooked")+COUNTIFS('Meal Plan'!$E$5:$E$504,A6,'Meal Plan'!$S$5:$S$504,"Eaten"))</f>
        <v>0</v>
      </c>
      <c r="I6" s="8">
        <f>IF(A6="","",COUNTIFS('Meal Plan'!$E$5:$E$504,A6,'Meal Plan'!$S$5:$S$504,"Takeaway")+COUNTIFS('Meal Plan'!$E$5:$E$504,A6,'Meal Plan'!$S$5:$S$504,"Eating out"))</f>
        <v>0</v>
      </c>
      <c r="J6" s="8">
        <f>IF(A6="","",COUNTIFS(Recipes!$AM$5:$AM$204,A6))</f>
        <v>0</v>
      </c>
      <c r="K6" s="26"/>
      <c r="L6" s="26"/>
      <c r="M6" s="26"/>
      <c r="N6" s="26"/>
      <c r="O6" s="8">
        <f>IF(A6="","",IF(E6="",0,MAX(0,100-(E6*1000)))+K6*2+L6*2+M6*2+N6)</f>
        <v>0</v>
      </c>
      <c r="P6" s="8">
        <f>IF(A6="","",IF(G6="","",IF(G6&lt;=0,"On target","Over target")))</f>
        <v>0</v>
      </c>
      <c r="Q6" s="25"/>
    </row>
    <row r="7" spans="1:17">
      <c r="A7" s="7"/>
      <c r="B7" s="8">
        <f>IF(A7="","",SUMIFS('Grocery Spending'!$J$5:$J$404,'Grocery Spending'!$C$5:$C$404,A7))</f>
        <v>0</v>
      </c>
      <c r="C7" s="8">
        <f>IF(A7="","",SUMIFS('Food Waste'!$H$5:$H$154,'Food Waste'!$O$5:$O$154,A7))</f>
        <v>0</v>
      </c>
      <c r="D7" s="8">
        <f>IF(A7="","",SUMIFS('Food Waste'!$E$5:$E$154,'Food Waste'!$O$5:$O$154,A7))</f>
        <v>0</v>
      </c>
      <c r="E7" s="8">
        <f>IF(OR(A7="",B7="",B7=0),"",IFERROR(C7/B7,""))</f>
        <v>0</v>
      </c>
      <c r="F7" s="8">
        <f>IF(A7="","",Waste_Reduction_Target)</f>
        <v>0</v>
      </c>
      <c r="G7" s="8">
        <f>IF(OR(A7="",E7=""),"",E7-Waste_Reduction_Target)</f>
        <v>0</v>
      </c>
      <c r="H7" s="8">
        <f>IF(A7="","",COUNTIFS('Meal Plan'!$E$5:$E$504,A7,'Meal Plan'!$S$5:$S$504,"Cooked")+COUNTIFS('Meal Plan'!$E$5:$E$504,A7,'Meal Plan'!$S$5:$S$504,"Eaten"))</f>
        <v>0</v>
      </c>
      <c r="I7" s="8">
        <f>IF(A7="","",COUNTIFS('Meal Plan'!$E$5:$E$504,A7,'Meal Plan'!$S$5:$S$504,"Takeaway")+COUNTIFS('Meal Plan'!$E$5:$E$504,A7,'Meal Plan'!$S$5:$S$504,"Eating out"))</f>
        <v>0</v>
      </c>
      <c r="J7" s="8">
        <f>IF(A7="","",COUNTIFS(Recipes!$AM$5:$AM$204,A7))</f>
        <v>0</v>
      </c>
      <c r="K7" s="26"/>
      <c r="L7" s="26"/>
      <c r="M7" s="26"/>
      <c r="N7" s="26"/>
      <c r="O7" s="8">
        <f>IF(A7="","",IF(E7="",0,MAX(0,100-(E7*1000)))+K7*2+L7*2+M7*2+N7)</f>
        <v>0</v>
      </c>
      <c r="P7" s="8">
        <f>IF(A7="","",IF(G7="","",IF(G7&lt;=0,"On target","Over target")))</f>
        <v>0</v>
      </c>
      <c r="Q7" s="25"/>
    </row>
    <row r="8" spans="1:17">
      <c r="A8" s="7"/>
      <c r="B8" s="8">
        <f>IF(A8="","",SUMIFS('Grocery Spending'!$J$5:$J$404,'Grocery Spending'!$C$5:$C$404,A8))</f>
        <v>0</v>
      </c>
      <c r="C8" s="8">
        <f>IF(A8="","",SUMIFS('Food Waste'!$H$5:$H$154,'Food Waste'!$O$5:$O$154,A8))</f>
        <v>0</v>
      </c>
      <c r="D8" s="8">
        <f>IF(A8="","",SUMIFS('Food Waste'!$E$5:$E$154,'Food Waste'!$O$5:$O$154,A8))</f>
        <v>0</v>
      </c>
      <c r="E8" s="8">
        <f>IF(OR(A8="",B8="",B8=0),"",IFERROR(C8/B8,""))</f>
        <v>0</v>
      </c>
      <c r="F8" s="8">
        <f>IF(A8="","",Waste_Reduction_Target)</f>
        <v>0</v>
      </c>
      <c r="G8" s="8">
        <f>IF(OR(A8="",E8=""),"",E8-Waste_Reduction_Target)</f>
        <v>0</v>
      </c>
      <c r="H8" s="8">
        <f>IF(A8="","",COUNTIFS('Meal Plan'!$E$5:$E$504,A8,'Meal Plan'!$S$5:$S$504,"Cooked")+COUNTIFS('Meal Plan'!$E$5:$E$504,A8,'Meal Plan'!$S$5:$S$504,"Eaten"))</f>
        <v>0</v>
      </c>
      <c r="I8" s="8">
        <f>IF(A8="","",COUNTIFS('Meal Plan'!$E$5:$E$504,A8,'Meal Plan'!$S$5:$S$504,"Takeaway")+COUNTIFS('Meal Plan'!$E$5:$E$504,A8,'Meal Plan'!$S$5:$S$504,"Eating out"))</f>
        <v>0</v>
      </c>
      <c r="J8" s="8">
        <f>IF(A8="","",COUNTIFS(Recipes!$AM$5:$AM$204,A8))</f>
        <v>0</v>
      </c>
      <c r="K8" s="26"/>
      <c r="L8" s="26"/>
      <c r="M8" s="26"/>
      <c r="N8" s="26"/>
      <c r="O8" s="8">
        <f>IF(A8="","",IF(E8="",0,MAX(0,100-(E8*1000)))+K8*2+L8*2+M8*2+N8)</f>
        <v>0</v>
      </c>
      <c r="P8" s="8">
        <f>IF(A8="","",IF(G8="","",IF(G8&lt;=0,"On target","Over target")))</f>
        <v>0</v>
      </c>
      <c r="Q8" s="25"/>
    </row>
    <row r="9" spans="1:17">
      <c r="A9" s="7"/>
      <c r="B9" s="8">
        <f>IF(A9="","",SUMIFS('Grocery Spending'!$J$5:$J$404,'Grocery Spending'!$C$5:$C$404,A9))</f>
        <v>0</v>
      </c>
      <c r="C9" s="8">
        <f>IF(A9="","",SUMIFS('Food Waste'!$H$5:$H$154,'Food Waste'!$O$5:$O$154,A9))</f>
        <v>0</v>
      </c>
      <c r="D9" s="8">
        <f>IF(A9="","",SUMIFS('Food Waste'!$E$5:$E$154,'Food Waste'!$O$5:$O$154,A9))</f>
        <v>0</v>
      </c>
      <c r="E9" s="8">
        <f>IF(OR(A9="",B9="",B9=0),"",IFERROR(C9/B9,""))</f>
        <v>0</v>
      </c>
      <c r="F9" s="8">
        <f>IF(A9="","",Waste_Reduction_Target)</f>
        <v>0</v>
      </c>
      <c r="G9" s="8">
        <f>IF(OR(A9="",E9=""),"",E9-Waste_Reduction_Target)</f>
        <v>0</v>
      </c>
      <c r="H9" s="8">
        <f>IF(A9="","",COUNTIFS('Meal Plan'!$E$5:$E$504,A9,'Meal Plan'!$S$5:$S$504,"Cooked")+COUNTIFS('Meal Plan'!$E$5:$E$504,A9,'Meal Plan'!$S$5:$S$504,"Eaten"))</f>
        <v>0</v>
      </c>
      <c r="I9" s="8">
        <f>IF(A9="","",COUNTIFS('Meal Plan'!$E$5:$E$504,A9,'Meal Plan'!$S$5:$S$504,"Takeaway")+COUNTIFS('Meal Plan'!$E$5:$E$504,A9,'Meal Plan'!$S$5:$S$504,"Eating out"))</f>
        <v>0</v>
      </c>
      <c r="J9" s="8">
        <f>IF(A9="","",COUNTIFS(Recipes!$AM$5:$AM$204,A9))</f>
        <v>0</v>
      </c>
      <c r="K9" s="26"/>
      <c r="L9" s="26"/>
      <c r="M9" s="26"/>
      <c r="N9" s="26"/>
      <c r="O9" s="8">
        <f>IF(A9="","",IF(E9="",0,MAX(0,100-(E9*1000)))+K9*2+L9*2+M9*2+N9)</f>
        <v>0</v>
      </c>
      <c r="P9" s="8">
        <f>IF(A9="","",IF(G9="","",IF(G9&lt;=0,"On target","Over target")))</f>
        <v>0</v>
      </c>
      <c r="Q9" s="25"/>
    </row>
    <row r="10" spans="1:17">
      <c r="A10" s="7"/>
      <c r="B10" s="8">
        <f>IF(A10="","",SUMIFS('Grocery Spending'!$J$5:$J$404,'Grocery Spending'!$C$5:$C$404,A10))</f>
        <v>0</v>
      </c>
      <c r="C10" s="8">
        <f>IF(A10="","",SUMIFS('Food Waste'!$H$5:$H$154,'Food Waste'!$O$5:$O$154,A10))</f>
        <v>0</v>
      </c>
      <c r="D10" s="8">
        <f>IF(A10="","",SUMIFS('Food Waste'!$E$5:$E$154,'Food Waste'!$O$5:$O$154,A10))</f>
        <v>0</v>
      </c>
      <c r="E10" s="8">
        <f>IF(OR(A10="",B10="",B10=0),"",IFERROR(C10/B10,""))</f>
        <v>0</v>
      </c>
      <c r="F10" s="8">
        <f>IF(A10="","",Waste_Reduction_Target)</f>
        <v>0</v>
      </c>
      <c r="G10" s="8">
        <f>IF(OR(A10="",E10=""),"",E10-Waste_Reduction_Target)</f>
        <v>0</v>
      </c>
      <c r="H10" s="8">
        <f>IF(A10="","",COUNTIFS('Meal Plan'!$E$5:$E$504,A10,'Meal Plan'!$S$5:$S$504,"Cooked")+COUNTIFS('Meal Plan'!$E$5:$E$504,A10,'Meal Plan'!$S$5:$S$504,"Eaten"))</f>
        <v>0</v>
      </c>
      <c r="I10" s="8">
        <f>IF(A10="","",COUNTIFS('Meal Plan'!$E$5:$E$504,A10,'Meal Plan'!$S$5:$S$504,"Takeaway")+COUNTIFS('Meal Plan'!$E$5:$E$504,A10,'Meal Plan'!$S$5:$S$504,"Eating out"))</f>
        <v>0</v>
      </c>
      <c r="J10" s="8">
        <f>IF(A10="","",COUNTIFS(Recipes!$AM$5:$AM$204,A10))</f>
        <v>0</v>
      </c>
      <c r="K10" s="26"/>
      <c r="L10" s="26"/>
      <c r="M10" s="26"/>
      <c r="N10" s="26"/>
      <c r="O10" s="8">
        <f>IF(A10="","",IF(E10="",0,MAX(0,100-(E10*1000)))+K10*2+L10*2+M10*2+N10)</f>
        <v>0</v>
      </c>
      <c r="P10" s="8">
        <f>IF(A10="","",IF(G10="","",IF(G10&lt;=0,"On target","Over target")))</f>
        <v>0</v>
      </c>
      <c r="Q10" s="25"/>
    </row>
    <row r="11" spans="1:17">
      <c r="A11" s="7"/>
      <c r="B11" s="8">
        <f>IF(A11="","",SUMIFS('Grocery Spending'!$J$5:$J$404,'Grocery Spending'!$C$5:$C$404,A11))</f>
        <v>0</v>
      </c>
      <c r="C11" s="8">
        <f>IF(A11="","",SUMIFS('Food Waste'!$H$5:$H$154,'Food Waste'!$O$5:$O$154,A11))</f>
        <v>0</v>
      </c>
      <c r="D11" s="8">
        <f>IF(A11="","",SUMIFS('Food Waste'!$E$5:$E$154,'Food Waste'!$O$5:$O$154,A11))</f>
        <v>0</v>
      </c>
      <c r="E11" s="8">
        <f>IF(OR(A11="",B11="",B11=0),"",IFERROR(C11/B11,""))</f>
        <v>0</v>
      </c>
      <c r="F11" s="8">
        <f>IF(A11="","",Waste_Reduction_Target)</f>
        <v>0</v>
      </c>
      <c r="G11" s="8">
        <f>IF(OR(A11="",E11=""),"",E11-Waste_Reduction_Target)</f>
        <v>0</v>
      </c>
      <c r="H11" s="8">
        <f>IF(A11="","",COUNTIFS('Meal Plan'!$E$5:$E$504,A11,'Meal Plan'!$S$5:$S$504,"Cooked")+COUNTIFS('Meal Plan'!$E$5:$E$504,A11,'Meal Plan'!$S$5:$S$504,"Eaten"))</f>
        <v>0</v>
      </c>
      <c r="I11" s="8">
        <f>IF(A11="","",COUNTIFS('Meal Plan'!$E$5:$E$504,A11,'Meal Plan'!$S$5:$S$504,"Takeaway")+COUNTIFS('Meal Plan'!$E$5:$E$504,A11,'Meal Plan'!$S$5:$S$504,"Eating out"))</f>
        <v>0</v>
      </c>
      <c r="J11" s="8">
        <f>IF(A11="","",COUNTIFS(Recipes!$AM$5:$AM$204,A11))</f>
        <v>0</v>
      </c>
      <c r="K11" s="26"/>
      <c r="L11" s="26"/>
      <c r="M11" s="26"/>
      <c r="N11" s="26"/>
      <c r="O11" s="8">
        <f>IF(A11="","",IF(E11="",0,MAX(0,100-(E11*1000)))+K11*2+L11*2+M11*2+N11)</f>
        <v>0</v>
      </c>
      <c r="P11" s="8">
        <f>IF(A11="","",IF(G11="","",IF(G11&lt;=0,"On target","Over target")))</f>
        <v>0</v>
      </c>
      <c r="Q11" s="25"/>
    </row>
    <row r="12" spans="1:17">
      <c r="A12" s="7"/>
      <c r="B12" s="8">
        <f>IF(A12="","",SUMIFS('Grocery Spending'!$J$5:$J$404,'Grocery Spending'!$C$5:$C$404,A12))</f>
        <v>0</v>
      </c>
      <c r="C12" s="8">
        <f>IF(A12="","",SUMIFS('Food Waste'!$H$5:$H$154,'Food Waste'!$O$5:$O$154,A12))</f>
        <v>0</v>
      </c>
      <c r="D12" s="8">
        <f>IF(A12="","",SUMIFS('Food Waste'!$E$5:$E$154,'Food Waste'!$O$5:$O$154,A12))</f>
        <v>0</v>
      </c>
      <c r="E12" s="8">
        <f>IF(OR(A12="",B12="",B12=0),"",IFERROR(C12/B12,""))</f>
        <v>0</v>
      </c>
      <c r="F12" s="8">
        <f>IF(A12="","",Waste_Reduction_Target)</f>
        <v>0</v>
      </c>
      <c r="G12" s="8">
        <f>IF(OR(A12="",E12=""),"",E12-Waste_Reduction_Target)</f>
        <v>0</v>
      </c>
      <c r="H12" s="8">
        <f>IF(A12="","",COUNTIFS('Meal Plan'!$E$5:$E$504,A12,'Meal Plan'!$S$5:$S$504,"Cooked")+COUNTIFS('Meal Plan'!$E$5:$E$504,A12,'Meal Plan'!$S$5:$S$504,"Eaten"))</f>
        <v>0</v>
      </c>
      <c r="I12" s="8">
        <f>IF(A12="","",COUNTIFS('Meal Plan'!$E$5:$E$504,A12,'Meal Plan'!$S$5:$S$504,"Takeaway")+COUNTIFS('Meal Plan'!$E$5:$E$504,A12,'Meal Plan'!$S$5:$S$504,"Eating out"))</f>
        <v>0</v>
      </c>
      <c r="J12" s="8">
        <f>IF(A12="","",COUNTIFS(Recipes!$AM$5:$AM$204,A12))</f>
        <v>0</v>
      </c>
      <c r="K12" s="26"/>
      <c r="L12" s="26"/>
      <c r="M12" s="26"/>
      <c r="N12" s="26"/>
      <c r="O12" s="8">
        <f>IF(A12="","",IF(E12="",0,MAX(0,100-(E12*1000)))+K12*2+L12*2+M12*2+N12)</f>
        <v>0</v>
      </c>
      <c r="P12" s="8">
        <f>IF(A12="","",IF(G12="","",IF(G12&lt;=0,"On target","Over target")))</f>
        <v>0</v>
      </c>
      <c r="Q12" s="25"/>
    </row>
    <row r="13" spans="1:17">
      <c r="A13" s="7"/>
      <c r="B13" s="8">
        <f>IF(A13="","",SUMIFS('Grocery Spending'!$J$5:$J$404,'Grocery Spending'!$C$5:$C$404,A13))</f>
        <v>0</v>
      </c>
      <c r="C13" s="8">
        <f>IF(A13="","",SUMIFS('Food Waste'!$H$5:$H$154,'Food Waste'!$O$5:$O$154,A13))</f>
        <v>0</v>
      </c>
      <c r="D13" s="8">
        <f>IF(A13="","",SUMIFS('Food Waste'!$E$5:$E$154,'Food Waste'!$O$5:$O$154,A13))</f>
        <v>0</v>
      </c>
      <c r="E13" s="8">
        <f>IF(OR(A13="",B13="",B13=0),"",IFERROR(C13/B13,""))</f>
        <v>0</v>
      </c>
      <c r="F13" s="8">
        <f>IF(A13="","",Waste_Reduction_Target)</f>
        <v>0</v>
      </c>
      <c r="G13" s="8">
        <f>IF(OR(A13="",E13=""),"",E13-Waste_Reduction_Target)</f>
        <v>0</v>
      </c>
      <c r="H13" s="8">
        <f>IF(A13="","",COUNTIFS('Meal Plan'!$E$5:$E$504,A13,'Meal Plan'!$S$5:$S$504,"Cooked")+COUNTIFS('Meal Plan'!$E$5:$E$504,A13,'Meal Plan'!$S$5:$S$504,"Eaten"))</f>
        <v>0</v>
      </c>
      <c r="I13" s="8">
        <f>IF(A13="","",COUNTIFS('Meal Plan'!$E$5:$E$504,A13,'Meal Plan'!$S$5:$S$504,"Takeaway")+COUNTIFS('Meal Plan'!$E$5:$E$504,A13,'Meal Plan'!$S$5:$S$504,"Eating out"))</f>
        <v>0</v>
      </c>
      <c r="J13" s="8">
        <f>IF(A13="","",COUNTIFS(Recipes!$AM$5:$AM$204,A13))</f>
        <v>0</v>
      </c>
      <c r="K13" s="26"/>
      <c r="L13" s="26"/>
      <c r="M13" s="26"/>
      <c r="N13" s="26"/>
      <c r="O13" s="8">
        <f>IF(A13="","",IF(E13="",0,MAX(0,100-(E13*1000)))+K13*2+L13*2+M13*2+N13)</f>
        <v>0</v>
      </c>
      <c r="P13" s="8">
        <f>IF(A13="","",IF(G13="","",IF(G13&lt;=0,"On target","Over target")))</f>
        <v>0</v>
      </c>
      <c r="Q13" s="25"/>
    </row>
    <row r="14" spans="1:17">
      <c r="A14" s="7"/>
      <c r="B14" s="8">
        <f>IF(A14="","",SUMIFS('Grocery Spending'!$J$5:$J$404,'Grocery Spending'!$C$5:$C$404,A14))</f>
        <v>0</v>
      </c>
      <c r="C14" s="8">
        <f>IF(A14="","",SUMIFS('Food Waste'!$H$5:$H$154,'Food Waste'!$O$5:$O$154,A14))</f>
        <v>0</v>
      </c>
      <c r="D14" s="8">
        <f>IF(A14="","",SUMIFS('Food Waste'!$E$5:$E$154,'Food Waste'!$O$5:$O$154,A14))</f>
        <v>0</v>
      </c>
      <c r="E14" s="8">
        <f>IF(OR(A14="",B14="",B14=0),"",IFERROR(C14/B14,""))</f>
        <v>0</v>
      </c>
      <c r="F14" s="8">
        <f>IF(A14="","",Waste_Reduction_Target)</f>
        <v>0</v>
      </c>
      <c r="G14" s="8">
        <f>IF(OR(A14="",E14=""),"",E14-Waste_Reduction_Target)</f>
        <v>0</v>
      </c>
      <c r="H14" s="8">
        <f>IF(A14="","",COUNTIFS('Meal Plan'!$E$5:$E$504,A14,'Meal Plan'!$S$5:$S$504,"Cooked")+COUNTIFS('Meal Plan'!$E$5:$E$504,A14,'Meal Plan'!$S$5:$S$504,"Eaten"))</f>
        <v>0</v>
      </c>
      <c r="I14" s="8">
        <f>IF(A14="","",COUNTIFS('Meal Plan'!$E$5:$E$504,A14,'Meal Plan'!$S$5:$S$504,"Takeaway")+COUNTIFS('Meal Plan'!$E$5:$E$504,A14,'Meal Plan'!$S$5:$S$504,"Eating out"))</f>
        <v>0</v>
      </c>
      <c r="J14" s="8">
        <f>IF(A14="","",COUNTIFS(Recipes!$AM$5:$AM$204,A14))</f>
        <v>0</v>
      </c>
      <c r="K14" s="26"/>
      <c r="L14" s="26"/>
      <c r="M14" s="26"/>
      <c r="N14" s="26"/>
      <c r="O14" s="8">
        <f>IF(A14="","",IF(E14="",0,MAX(0,100-(E14*1000)))+K14*2+L14*2+M14*2+N14)</f>
        <v>0</v>
      </c>
      <c r="P14" s="8">
        <f>IF(A14="","",IF(G14="","",IF(G14&lt;=0,"On target","Over target")))</f>
        <v>0</v>
      </c>
      <c r="Q14" s="25"/>
    </row>
    <row r="15" spans="1:17">
      <c r="A15" s="7"/>
      <c r="B15" s="8">
        <f>IF(A15="","",SUMIFS('Grocery Spending'!$J$5:$J$404,'Grocery Spending'!$C$5:$C$404,A15))</f>
        <v>0</v>
      </c>
      <c r="C15" s="8">
        <f>IF(A15="","",SUMIFS('Food Waste'!$H$5:$H$154,'Food Waste'!$O$5:$O$154,A15))</f>
        <v>0</v>
      </c>
      <c r="D15" s="8">
        <f>IF(A15="","",SUMIFS('Food Waste'!$E$5:$E$154,'Food Waste'!$O$5:$O$154,A15))</f>
        <v>0</v>
      </c>
      <c r="E15" s="8">
        <f>IF(OR(A15="",B15="",B15=0),"",IFERROR(C15/B15,""))</f>
        <v>0</v>
      </c>
      <c r="F15" s="8">
        <f>IF(A15="","",Waste_Reduction_Target)</f>
        <v>0</v>
      </c>
      <c r="G15" s="8">
        <f>IF(OR(A15="",E15=""),"",E15-Waste_Reduction_Target)</f>
        <v>0</v>
      </c>
      <c r="H15" s="8">
        <f>IF(A15="","",COUNTIFS('Meal Plan'!$E$5:$E$504,A15,'Meal Plan'!$S$5:$S$504,"Cooked")+COUNTIFS('Meal Plan'!$E$5:$E$504,A15,'Meal Plan'!$S$5:$S$504,"Eaten"))</f>
        <v>0</v>
      </c>
      <c r="I15" s="8">
        <f>IF(A15="","",COUNTIFS('Meal Plan'!$E$5:$E$504,A15,'Meal Plan'!$S$5:$S$504,"Takeaway")+COUNTIFS('Meal Plan'!$E$5:$E$504,A15,'Meal Plan'!$S$5:$S$504,"Eating out"))</f>
        <v>0</v>
      </c>
      <c r="J15" s="8">
        <f>IF(A15="","",COUNTIFS(Recipes!$AM$5:$AM$204,A15))</f>
        <v>0</v>
      </c>
      <c r="K15" s="26"/>
      <c r="L15" s="26"/>
      <c r="M15" s="26"/>
      <c r="N15" s="26"/>
      <c r="O15" s="8">
        <f>IF(A15="","",IF(E15="",0,MAX(0,100-(E15*1000)))+K15*2+L15*2+M15*2+N15)</f>
        <v>0</v>
      </c>
      <c r="P15" s="8">
        <f>IF(A15="","",IF(G15="","",IF(G15&lt;=0,"On target","Over target")))</f>
        <v>0</v>
      </c>
      <c r="Q15" s="25"/>
    </row>
    <row r="16" spans="1:17">
      <c r="A16" s="7"/>
      <c r="B16" s="8">
        <f>IF(A16="","",SUMIFS('Grocery Spending'!$J$5:$J$404,'Grocery Spending'!$C$5:$C$404,A16))</f>
        <v>0</v>
      </c>
      <c r="C16" s="8">
        <f>IF(A16="","",SUMIFS('Food Waste'!$H$5:$H$154,'Food Waste'!$O$5:$O$154,A16))</f>
        <v>0</v>
      </c>
      <c r="D16" s="8">
        <f>IF(A16="","",SUMIFS('Food Waste'!$E$5:$E$154,'Food Waste'!$O$5:$O$154,A16))</f>
        <v>0</v>
      </c>
      <c r="E16" s="8">
        <f>IF(OR(A16="",B16="",B16=0),"",IFERROR(C16/B16,""))</f>
        <v>0</v>
      </c>
      <c r="F16" s="8">
        <f>IF(A16="","",Waste_Reduction_Target)</f>
        <v>0</v>
      </c>
      <c r="G16" s="8">
        <f>IF(OR(A16="",E16=""),"",E16-Waste_Reduction_Target)</f>
        <v>0</v>
      </c>
      <c r="H16" s="8">
        <f>IF(A16="","",COUNTIFS('Meal Plan'!$E$5:$E$504,A16,'Meal Plan'!$S$5:$S$504,"Cooked")+COUNTIFS('Meal Plan'!$E$5:$E$504,A16,'Meal Plan'!$S$5:$S$504,"Eaten"))</f>
        <v>0</v>
      </c>
      <c r="I16" s="8">
        <f>IF(A16="","",COUNTIFS('Meal Plan'!$E$5:$E$504,A16,'Meal Plan'!$S$5:$S$504,"Takeaway")+COUNTIFS('Meal Plan'!$E$5:$E$504,A16,'Meal Plan'!$S$5:$S$504,"Eating out"))</f>
        <v>0</v>
      </c>
      <c r="J16" s="8">
        <f>IF(A16="","",COUNTIFS(Recipes!$AM$5:$AM$204,A16))</f>
        <v>0</v>
      </c>
      <c r="K16" s="26"/>
      <c r="L16" s="26"/>
      <c r="M16" s="26"/>
      <c r="N16" s="26"/>
      <c r="O16" s="8">
        <f>IF(A16="","",IF(E16="",0,MAX(0,100-(E16*1000)))+K16*2+L16*2+M16*2+N16)</f>
        <v>0</v>
      </c>
      <c r="P16" s="8">
        <f>IF(A16="","",IF(G16="","",IF(G16&lt;=0,"On target","Over target")))</f>
        <v>0</v>
      </c>
      <c r="Q16" s="25"/>
    </row>
    <row r="17" spans="1:17">
      <c r="A17" s="7"/>
      <c r="B17" s="8">
        <f>IF(A17="","",SUMIFS('Grocery Spending'!$J$5:$J$404,'Grocery Spending'!$C$5:$C$404,A17))</f>
        <v>0</v>
      </c>
      <c r="C17" s="8">
        <f>IF(A17="","",SUMIFS('Food Waste'!$H$5:$H$154,'Food Waste'!$O$5:$O$154,A17))</f>
        <v>0</v>
      </c>
      <c r="D17" s="8">
        <f>IF(A17="","",SUMIFS('Food Waste'!$E$5:$E$154,'Food Waste'!$O$5:$O$154,A17))</f>
        <v>0</v>
      </c>
      <c r="E17" s="8">
        <f>IF(OR(A17="",B17="",B17=0),"",IFERROR(C17/B17,""))</f>
        <v>0</v>
      </c>
      <c r="F17" s="8">
        <f>IF(A17="","",Waste_Reduction_Target)</f>
        <v>0</v>
      </c>
      <c r="G17" s="8">
        <f>IF(OR(A17="",E17=""),"",E17-Waste_Reduction_Target)</f>
        <v>0</v>
      </c>
      <c r="H17" s="8">
        <f>IF(A17="","",COUNTIFS('Meal Plan'!$E$5:$E$504,A17,'Meal Plan'!$S$5:$S$504,"Cooked")+COUNTIFS('Meal Plan'!$E$5:$E$504,A17,'Meal Plan'!$S$5:$S$504,"Eaten"))</f>
        <v>0</v>
      </c>
      <c r="I17" s="8">
        <f>IF(A17="","",COUNTIFS('Meal Plan'!$E$5:$E$504,A17,'Meal Plan'!$S$5:$S$504,"Takeaway")+COUNTIFS('Meal Plan'!$E$5:$E$504,A17,'Meal Plan'!$S$5:$S$504,"Eating out"))</f>
        <v>0</v>
      </c>
      <c r="J17" s="8">
        <f>IF(A17="","",COUNTIFS(Recipes!$AM$5:$AM$204,A17))</f>
        <v>0</v>
      </c>
      <c r="K17" s="26"/>
      <c r="L17" s="26"/>
      <c r="M17" s="26"/>
      <c r="N17" s="26"/>
      <c r="O17" s="8">
        <f>IF(A17="","",IF(E17="",0,MAX(0,100-(E17*1000)))+K17*2+L17*2+M17*2+N17)</f>
        <v>0</v>
      </c>
      <c r="P17" s="8">
        <f>IF(A17="","",IF(G17="","",IF(G17&lt;=0,"On target","Over target")))</f>
        <v>0</v>
      </c>
      <c r="Q17" s="25"/>
    </row>
    <row r="18" spans="1:17">
      <c r="A18" s="7"/>
      <c r="B18" s="8">
        <f>IF(A18="","",SUMIFS('Grocery Spending'!$J$5:$J$404,'Grocery Spending'!$C$5:$C$404,A18))</f>
        <v>0</v>
      </c>
      <c r="C18" s="8">
        <f>IF(A18="","",SUMIFS('Food Waste'!$H$5:$H$154,'Food Waste'!$O$5:$O$154,A18))</f>
        <v>0</v>
      </c>
      <c r="D18" s="8">
        <f>IF(A18="","",SUMIFS('Food Waste'!$E$5:$E$154,'Food Waste'!$O$5:$O$154,A18))</f>
        <v>0</v>
      </c>
      <c r="E18" s="8">
        <f>IF(OR(A18="",B18="",B18=0),"",IFERROR(C18/B18,""))</f>
        <v>0</v>
      </c>
      <c r="F18" s="8">
        <f>IF(A18="","",Waste_Reduction_Target)</f>
        <v>0</v>
      </c>
      <c r="G18" s="8">
        <f>IF(OR(A18="",E18=""),"",E18-Waste_Reduction_Target)</f>
        <v>0</v>
      </c>
      <c r="H18" s="8">
        <f>IF(A18="","",COUNTIFS('Meal Plan'!$E$5:$E$504,A18,'Meal Plan'!$S$5:$S$504,"Cooked")+COUNTIFS('Meal Plan'!$E$5:$E$504,A18,'Meal Plan'!$S$5:$S$504,"Eaten"))</f>
        <v>0</v>
      </c>
      <c r="I18" s="8">
        <f>IF(A18="","",COUNTIFS('Meal Plan'!$E$5:$E$504,A18,'Meal Plan'!$S$5:$S$504,"Takeaway")+COUNTIFS('Meal Plan'!$E$5:$E$504,A18,'Meal Plan'!$S$5:$S$504,"Eating out"))</f>
        <v>0</v>
      </c>
      <c r="J18" s="8">
        <f>IF(A18="","",COUNTIFS(Recipes!$AM$5:$AM$204,A18))</f>
        <v>0</v>
      </c>
      <c r="K18" s="26"/>
      <c r="L18" s="26"/>
      <c r="M18" s="26"/>
      <c r="N18" s="26"/>
      <c r="O18" s="8">
        <f>IF(A18="","",IF(E18="",0,MAX(0,100-(E18*1000)))+K18*2+L18*2+M18*2+N18)</f>
        <v>0</v>
      </c>
      <c r="P18" s="8">
        <f>IF(A18="","",IF(G18="","",IF(G18&lt;=0,"On target","Over target")))</f>
        <v>0</v>
      </c>
      <c r="Q18" s="25"/>
    </row>
    <row r="19" spans="1:17">
      <c r="A19" s="7"/>
      <c r="B19" s="8">
        <f>IF(A19="","",SUMIFS('Grocery Spending'!$J$5:$J$404,'Grocery Spending'!$C$5:$C$404,A19))</f>
        <v>0</v>
      </c>
      <c r="C19" s="8">
        <f>IF(A19="","",SUMIFS('Food Waste'!$H$5:$H$154,'Food Waste'!$O$5:$O$154,A19))</f>
        <v>0</v>
      </c>
      <c r="D19" s="8">
        <f>IF(A19="","",SUMIFS('Food Waste'!$E$5:$E$154,'Food Waste'!$O$5:$O$154,A19))</f>
        <v>0</v>
      </c>
      <c r="E19" s="8">
        <f>IF(OR(A19="",B19="",B19=0),"",IFERROR(C19/B19,""))</f>
        <v>0</v>
      </c>
      <c r="F19" s="8">
        <f>IF(A19="","",Waste_Reduction_Target)</f>
        <v>0</v>
      </c>
      <c r="G19" s="8">
        <f>IF(OR(A19="",E19=""),"",E19-Waste_Reduction_Target)</f>
        <v>0</v>
      </c>
      <c r="H19" s="8">
        <f>IF(A19="","",COUNTIFS('Meal Plan'!$E$5:$E$504,A19,'Meal Plan'!$S$5:$S$504,"Cooked")+COUNTIFS('Meal Plan'!$E$5:$E$504,A19,'Meal Plan'!$S$5:$S$504,"Eaten"))</f>
        <v>0</v>
      </c>
      <c r="I19" s="8">
        <f>IF(A19="","",COUNTIFS('Meal Plan'!$E$5:$E$504,A19,'Meal Plan'!$S$5:$S$504,"Takeaway")+COUNTIFS('Meal Plan'!$E$5:$E$504,A19,'Meal Plan'!$S$5:$S$504,"Eating out"))</f>
        <v>0</v>
      </c>
      <c r="J19" s="8">
        <f>IF(A19="","",COUNTIFS(Recipes!$AM$5:$AM$204,A19))</f>
        <v>0</v>
      </c>
      <c r="K19" s="26"/>
      <c r="L19" s="26"/>
      <c r="M19" s="26"/>
      <c r="N19" s="26"/>
      <c r="O19" s="8">
        <f>IF(A19="","",IF(E19="",0,MAX(0,100-(E19*1000)))+K19*2+L19*2+M19*2+N19)</f>
        <v>0</v>
      </c>
      <c r="P19" s="8">
        <f>IF(A19="","",IF(G19="","",IF(G19&lt;=0,"On target","Over target")))</f>
        <v>0</v>
      </c>
      <c r="Q19" s="25"/>
    </row>
    <row r="20" spans="1:17">
      <c r="A20" s="7"/>
      <c r="B20" s="8">
        <f>IF(A20="","",SUMIFS('Grocery Spending'!$J$5:$J$404,'Grocery Spending'!$C$5:$C$404,A20))</f>
        <v>0</v>
      </c>
      <c r="C20" s="8">
        <f>IF(A20="","",SUMIFS('Food Waste'!$H$5:$H$154,'Food Waste'!$O$5:$O$154,A20))</f>
        <v>0</v>
      </c>
      <c r="D20" s="8">
        <f>IF(A20="","",SUMIFS('Food Waste'!$E$5:$E$154,'Food Waste'!$O$5:$O$154,A20))</f>
        <v>0</v>
      </c>
      <c r="E20" s="8">
        <f>IF(OR(A20="",B20="",B20=0),"",IFERROR(C20/B20,""))</f>
        <v>0</v>
      </c>
      <c r="F20" s="8">
        <f>IF(A20="","",Waste_Reduction_Target)</f>
        <v>0</v>
      </c>
      <c r="G20" s="8">
        <f>IF(OR(A20="",E20=""),"",E20-Waste_Reduction_Target)</f>
        <v>0</v>
      </c>
      <c r="H20" s="8">
        <f>IF(A20="","",COUNTIFS('Meal Plan'!$E$5:$E$504,A20,'Meal Plan'!$S$5:$S$504,"Cooked")+COUNTIFS('Meal Plan'!$E$5:$E$504,A20,'Meal Plan'!$S$5:$S$504,"Eaten"))</f>
        <v>0</v>
      </c>
      <c r="I20" s="8">
        <f>IF(A20="","",COUNTIFS('Meal Plan'!$E$5:$E$504,A20,'Meal Plan'!$S$5:$S$504,"Takeaway")+COUNTIFS('Meal Plan'!$E$5:$E$504,A20,'Meal Plan'!$S$5:$S$504,"Eating out"))</f>
        <v>0</v>
      </c>
      <c r="J20" s="8">
        <f>IF(A20="","",COUNTIFS(Recipes!$AM$5:$AM$204,A20))</f>
        <v>0</v>
      </c>
      <c r="K20" s="26"/>
      <c r="L20" s="26"/>
      <c r="M20" s="26"/>
      <c r="N20" s="26"/>
      <c r="O20" s="8">
        <f>IF(A20="","",IF(E20="",0,MAX(0,100-(E20*1000)))+K20*2+L20*2+M20*2+N20)</f>
        <v>0</v>
      </c>
      <c r="P20" s="8">
        <f>IF(A20="","",IF(G20="","",IF(G20&lt;=0,"On target","Over target")))</f>
        <v>0</v>
      </c>
      <c r="Q20" s="25"/>
    </row>
    <row r="21" spans="1:17">
      <c r="A21" s="7"/>
      <c r="B21" s="8">
        <f>IF(A21="","",SUMIFS('Grocery Spending'!$J$5:$J$404,'Grocery Spending'!$C$5:$C$404,A21))</f>
        <v>0</v>
      </c>
      <c r="C21" s="8">
        <f>IF(A21="","",SUMIFS('Food Waste'!$H$5:$H$154,'Food Waste'!$O$5:$O$154,A21))</f>
        <v>0</v>
      </c>
      <c r="D21" s="8">
        <f>IF(A21="","",SUMIFS('Food Waste'!$E$5:$E$154,'Food Waste'!$O$5:$O$154,A21))</f>
        <v>0</v>
      </c>
      <c r="E21" s="8">
        <f>IF(OR(A21="",B21="",B21=0),"",IFERROR(C21/B21,""))</f>
        <v>0</v>
      </c>
      <c r="F21" s="8">
        <f>IF(A21="","",Waste_Reduction_Target)</f>
        <v>0</v>
      </c>
      <c r="G21" s="8">
        <f>IF(OR(A21="",E21=""),"",E21-Waste_Reduction_Target)</f>
        <v>0</v>
      </c>
      <c r="H21" s="8">
        <f>IF(A21="","",COUNTIFS('Meal Plan'!$E$5:$E$504,A21,'Meal Plan'!$S$5:$S$504,"Cooked")+COUNTIFS('Meal Plan'!$E$5:$E$504,A21,'Meal Plan'!$S$5:$S$504,"Eaten"))</f>
        <v>0</v>
      </c>
      <c r="I21" s="8">
        <f>IF(A21="","",COUNTIFS('Meal Plan'!$E$5:$E$504,A21,'Meal Plan'!$S$5:$S$504,"Takeaway")+COUNTIFS('Meal Plan'!$E$5:$E$504,A21,'Meal Plan'!$S$5:$S$504,"Eating out"))</f>
        <v>0</v>
      </c>
      <c r="J21" s="8">
        <f>IF(A21="","",COUNTIFS(Recipes!$AM$5:$AM$204,A21))</f>
        <v>0</v>
      </c>
      <c r="K21" s="26"/>
      <c r="L21" s="26"/>
      <c r="M21" s="26"/>
      <c r="N21" s="26"/>
      <c r="O21" s="8">
        <f>IF(A21="","",IF(E21="",0,MAX(0,100-(E21*1000)))+K21*2+L21*2+M21*2+N21)</f>
        <v>0</v>
      </c>
      <c r="P21" s="8">
        <f>IF(A21="","",IF(G21="","",IF(G21&lt;=0,"On target","Over target")))</f>
        <v>0</v>
      </c>
      <c r="Q21" s="25"/>
    </row>
    <row r="22" spans="1:17">
      <c r="A22" s="7"/>
      <c r="B22" s="8">
        <f>IF(A22="","",SUMIFS('Grocery Spending'!$J$5:$J$404,'Grocery Spending'!$C$5:$C$404,A22))</f>
        <v>0</v>
      </c>
      <c r="C22" s="8">
        <f>IF(A22="","",SUMIFS('Food Waste'!$H$5:$H$154,'Food Waste'!$O$5:$O$154,A22))</f>
        <v>0</v>
      </c>
      <c r="D22" s="8">
        <f>IF(A22="","",SUMIFS('Food Waste'!$E$5:$E$154,'Food Waste'!$O$5:$O$154,A22))</f>
        <v>0</v>
      </c>
      <c r="E22" s="8">
        <f>IF(OR(A22="",B22="",B22=0),"",IFERROR(C22/B22,""))</f>
        <v>0</v>
      </c>
      <c r="F22" s="8">
        <f>IF(A22="","",Waste_Reduction_Target)</f>
        <v>0</v>
      </c>
      <c r="G22" s="8">
        <f>IF(OR(A22="",E22=""),"",E22-Waste_Reduction_Target)</f>
        <v>0</v>
      </c>
      <c r="H22" s="8">
        <f>IF(A22="","",COUNTIFS('Meal Plan'!$E$5:$E$504,A22,'Meal Plan'!$S$5:$S$504,"Cooked")+COUNTIFS('Meal Plan'!$E$5:$E$504,A22,'Meal Plan'!$S$5:$S$504,"Eaten"))</f>
        <v>0</v>
      </c>
      <c r="I22" s="8">
        <f>IF(A22="","",COUNTIFS('Meal Plan'!$E$5:$E$504,A22,'Meal Plan'!$S$5:$S$504,"Takeaway")+COUNTIFS('Meal Plan'!$E$5:$E$504,A22,'Meal Plan'!$S$5:$S$504,"Eating out"))</f>
        <v>0</v>
      </c>
      <c r="J22" s="8">
        <f>IF(A22="","",COUNTIFS(Recipes!$AM$5:$AM$204,A22))</f>
        <v>0</v>
      </c>
      <c r="K22" s="26"/>
      <c r="L22" s="26"/>
      <c r="M22" s="26"/>
      <c r="N22" s="26"/>
      <c r="O22" s="8">
        <f>IF(A22="","",IF(E22="",0,MAX(0,100-(E22*1000)))+K22*2+L22*2+M22*2+N22)</f>
        <v>0</v>
      </c>
      <c r="P22" s="8">
        <f>IF(A22="","",IF(G22="","",IF(G22&lt;=0,"On target","Over target")))</f>
        <v>0</v>
      </c>
      <c r="Q22" s="25"/>
    </row>
    <row r="23" spans="1:17">
      <c r="A23" s="7"/>
      <c r="B23" s="8">
        <f>IF(A23="","",SUMIFS('Grocery Spending'!$J$5:$J$404,'Grocery Spending'!$C$5:$C$404,A23))</f>
        <v>0</v>
      </c>
      <c r="C23" s="8">
        <f>IF(A23="","",SUMIFS('Food Waste'!$H$5:$H$154,'Food Waste'!$O$5:$O$154,A23))</f>
        <v>0</v>
      </c>
      <c r="D23" s="8">
        <f>IF(A23="","",SUMIFS('Food Waste'!$E$5:$E$154,'Food Waste'!$O$5:$O$154,A23))</f>
        <v>0</v>
      </c>
      <c r="E23" s="8">
        <f>IF(OR(A23="",B23="",B23=0),"",IFERROR(C23/B23,""))</f>
        <v>0</v>
      </c>
      <c r="F23" s="8">
        <f>IF(A23="","",Waste_Reduction_Target)</f>
        <v>0</v>
      </c>
      <c r="G23" s="8">
        <f>IF(OR(A23="",E23=""),"",E23-Waste_Reduction_Target)</f>
        <v>0</v>
      </c>
      <c r="H23" s="8">
        <f>IF(A23="","",COUNTIFS('Meal Plan'!$E$5:$E$504,A23,'Meal Plan'!$S$5:$S$504,"Cooked")+COUNTIFS('Meal Plan'!$E$5:$E$504,A23,'Meal Plan'!$S$5:$S$504,"Eaten"))</f>
        <v>0</v>
      </c>
      <c r="I23" s="8">
        <f>IF(A23="","",COUNTIFS('Meal Plan'!$E$5:$E$504,A23,'Meal Plan'!$S$5:$S$504,"Takeaway")+COUNTIFS('Meal Plan'!$E$5:$E$504,A23,'Meal Plan'!$S$5:$S$504,"Eating out"))</f>
        <v>0</v>
      </c>
      <c r="J23" s="8">
        <f>IF(A23="","",COUNTIFS(Recipes!$AM$5:$AM$204,A23))</f>
        <v>0</v>
      </c>
      <c r="K23" s="26"/>
      <c r="L23" s="26"/>
      <c r="M23" s="26"/>
      <c r="N23" s="26"/>
      <c r="O23" s="8">
        <f>IF(A23="","",IF(E23="",0,MAX(0,100-(E23*1000)))+K23*2+L23*2+M23*2+N23)</f>
        <v>0</v>
      </c>
      <c r="P23" s="8">
        <f>IF(A23="","",IF(G23="","",IF(G23&lt;=0,"On target","Over target")))</f>
        <v>0</v>
      </c>
      <c r="Q23" s="25"/>
    </row>
    <row r="24" spans="1:17">
      <c r="A24" s="7"/>
      <c r="B24" s="8">
        <f>IF(A24="","",SUMIFS('Grocery Spending'!$J$5:$J$404,'Grocery Spending'!$C$5:$C$404,A24))</f>
        <v>0</v>
      </c>
      <c r="C24" s="8">
        <f>IF(A24="","",SUMIFS('Food Waste'!$H$5:$H$154,'Food Waste'!$O$5:$O$154,A24))</f>
        <v>0</v>
      </c>
      <c r="D24" s="8">
        <f>IF(A24="","",SUMIFS('Food Waste'!$E$5:$E$154,'Food Waste'!$O$5:$O$154,A24))</f>
        <v>0</v>
      </c>
      <c r="E24" s="8">
        <f>IF(OR(A24="",B24="",B24=0),"",IFERROR(C24/B24,""))</f>
        <v>0</v>
      </c>
      <c r="F24" s="8">
        <f>IF(A24="","",Waste_Reduction_Target)</f>
        <v>0</v>
      </c>
      <c r="G24" s="8">
        <f>IF(OR(A24="",E24=""),"",E24-Waste_Reduction_Target)</f>
        <v>0</v>
      </c>
      <c r="H24" s="8">
        <f>IF(A24="","",COUNTIFS('Meal Plan'!$E$5:$E$504,A24,'Meal Plan'!$S$5:$S$504,"Cooked")+COUNTIFS('Meal Plan'!$E$5:$E$504,A24,'Meal Plan'!$S$5:$S$504,"Eaten"))</f>
        <v>0</v>
      </c>
      <c r="I24" s="8">
        <f>IF(A24="","",COUNTIFS('Meal Plan'!$E$5:$E$504,A24,'Meal Plan'!$S$5:$S$504,"Takeaway")+COUNTIFS('Meal Plan'!$E$5:$E$504,A24,'Meal Plan'!$S$5:$S$504,"Eating out"))</f>
        <v>0</v>
      </c>
      <c r="J24" s="8">
        <f>IF(A24="","",COUNTIFS(Recipes!$AM$5:$AM$204,A24))</f>
        <v>0</v>
      </c>
      <c r="K24" s="26"/>
      <c r="L24" s="26"/>
      <c r="M24" s="26"/>
      <c r="N24" s="26"/>
      <c r="O24" s="8">
        <f>IF(A24="","",IF(E24="",0,MAX(0,100-(E24*1000)))+K24*2+L24*2+M24*2+N24)</f>
        <v>0</v>
      </c>
      <c r="P24" s="8">
        <f>IF(A24="","",IF(G24="","",IF(G24&lt;=0,"On target","Over target")))</f>
        <v>0</v>
      </c>
      <c r="Q24" s="25"/>
    </row>
    <row r="25" spans="1:17">
      <c r="A25" s="7"/>
      <c r="B25" s="8">
        <f>IF(A25="","",SUMIFS('Grocery Spending'!$J$5:$J$404,'Grocery Spending'!$C$5:$C$404,A25))</f>
        <v>0</v>
      </c>
      <c r="C25" s="8">
        <f>IF(A25="","",SUMIFS('Food Waste'!$H$5:$H$154,'Food Waste'!$O$5:$O$154,A25))</f>
        <v>0</v>
      </c>
      <c r="D25" s="8">
        <f>IF(A25="","",SUMIFS('Food Waste'!$E$5:$E$154,'Food Waste'!$O$5:$O$154,A25))</f>
        <v>0</v>
      </c>
      <c r="E25" s="8">
        <f>IF(OR(A25="",B25="",B25=0),"",IFERROR(C25/B25,""))</f>
        <v>0</v>
      </c>
      <c r="F25" s="8">
        <f>IF(A25="","",Waste_Reduction_Target)</f>
        <v>0</v>
      </c>
      <c r="G25" s="8">
        <f>IF(OR(A25="",E25=""),"",E25-Waste_Reduction_Target)</f>
        <v>0</v>
      </c>
      <c r="H25" s="8">
        <f>IF(A25="","",COUNTIFS('Meal Plan'!$E$5:$E$504,A25,'Meal Plan'!$S$5:$S$504,"Cooked")+COUNTIFS('Meal Plan'!$E$5:$E$504,A25,'Meal Plan'!$S$5:$S$504,"Eaten"))</f>
        <v>0</v>
      </c>
      <c r="I25" s="8">
        <f>IF(A25="","",COUNTIFS('Meal Plan'!$E$5:$E$504,A25,'Meal Plan'!$S$5:$S$504,"Takeaway")+COUNTIFS('Meal Plan'!$E$5:$E$504,A25,'Meal Plan'!$S$5:$S$504,"Eating out"))</f>
        <v>0</v>
      </c>
      <c r="J25" s="8">
        <f>IF(A25="","",COUNTIFS(Recipes!$AM$5:$AM$204,A25))</f>
        <v>0</v>
      </c>
      <c r="K25" s="26"/>
      <c r="L25" s="26"/>
      <c r="M25" s="26"/>
      <c r="N25" s="26"/>
      <c r="O25" s="8">
        <f>IF(A25="","",IF(E25="",0,MAX(0,100-(E25*1000)))+K25*2+L25*2+M25*2+N25)</f>
        <v>0</v>
      </c>
      <c r="P25" s="8">
        <f>IF(A25="","",IF(G25="","",IF(G25&lt;=0,"On target","Over target")))</f>
        <v>0</v>
      </c>
      <c r="Q25" s="25"/>
    </row>
    <row r="26" spans="1:17">
      <c r="A26" s="7"/>
      <c r="B26" s="8">
        <f>IF(A26="","",SUMIFS('Grocery Spending'!$J$5:$J$404,'Grocery Spending'!$C$5:$C$404,A26))</f>
        <v>0</v>
      </c>
      <c r="C26" s="8">
        <f>IF(A26="","",SUMIFS('Food Waste'!$H$5:$H$154,'Food Waste'!$O$5:$O$154,A26))</f>
        <v>0</v>
      </c>
      <c r="D26" s="8">
        <f>IF(A26="","",SUMIFS('Food Waste'!$E$5:$E$154,'Food Waste'!$O$5:$O$154,A26))</f>
        <v>0</v>
      </c>
      <c r="E26" s="8">
        <f>IF(OR(A26="",B26="",B26=0),"",IFERROR(C26/B26,""))</f>
        <v>0</v>
      </c>
      <c r="F26" s="8">
        <f>IF(A26="","",Waste_Reduction_Target)</f>
        <v>0</v>
      </c>
      <c r="G26" s="8">
        <f>IF(OR(A26="",E26=""),"",E26-Waste_Reduction_Target)</f>
        <v>0</v>
      </c>
      <c r="H26" s="8">
        <f>IF(A26="","",COUNTIFS('Meal Plan'!$E$5:$E$504,A26,'Meal Plan'!$S$5:$S$504,"Cooked")+COUNTIFS('Meal Plan'!$E$5:$E$504,A26,'Meal Plan'!$S$5:$S$504,"Eaten"))</f>
        <v>0</v>
      </c>
      <c r="I26" s="8">
        <f>IF(A26="","",COUNTIFS('Meal Plan'!$E$5:$E$504,A26,'Meal Plan'!$S$5:$S$504,"Takeaway")+COUNTIFS('Meal Plan'!$E$5:$E$504,A26,'Meal Plan'!$S$5:$S$504,"Eating out"))</f>
        <v>0</v>
      </c>
      <c r="J26" s="8">
        <f>IF(A26="","",COUNTIFS(Recipes!$AM$5:$AM$204,A26))</f>
        <v>0</v>
      </c>
      <c r="K26" s="26"/>
      <c r="L26" s="26"/>
      <c r="M26" s="26"/>
      <c r="N26" s="26"/>
      <c r="O26" s="8">
        <f>IF(A26="","",IF(E26="",0,MAX(0,100-(E26*1000)))+K26*2+L26*2+M26*2+N26)</f>
        <v>0</v>
      </c>
      <c r="P26" s="8">
        <f>IF(A26="","",IF(G26="","",IF(G26&lt;=0,"On target","Over target")))</f>
        <v>0</v>
      </c>
      <c r="Q26" s="25"/>
    </row>
    <row r="27" spans="1:17">
      <c r="A27" s="7"/>
      <c r="B27" s="8">
        <f>IF(A27="","",SUMIFS('Grocery Spending'!$J$5:$J$404,'Grocery Spending'!$C$5:$C$404,A27))</f>
        <v>0</v>
      </c>
      <c r="C27" s="8">
        <f>IF(A27="","",SUMIFS('Food Waste'!$H$5:$H$154,'Food Waste'!$O$5:$O$154,A27))</f>
        <v>0</v>
      </c>
      <c r="D27" s="8">
        <f>IF(A27="","",SUMIFS('Food Waste'!$E$5:$E$154,'Food Waste'!$O$5:$O$154,A27))</f>
        <v>0</v>
      </c>
      <c r="E27" s="8">
        <f>IF(OR(A27="",B27="",B27=0),"",IFERROR(C27/B27,""))</f>
        <v>0</v>
      </c>
      <c r="F27" s="8">
        <f>IF(A27="","",Waste_Reduction_Target)</f>
        <v>0</v>
      </c>
      <c r="G27" s="8">
        <f>IF(OR(A27="",E27=""),"",E27-Waste_Reduction_Target)</f>
        <v>0</v>
      </c>
      <c r="H27" s="8">
        <f>IF(A27="","",COUNTIFS('Meal Plan'!$E$5:$E$504,A27,'Meal Plan'!$S$5:$S$504,"Cooked")+COUNTIFS('Meal Plan'!$E$5:$E$504,A27,'Meal Plan'!$S$5:$S$504,"Eaten"))</f>
        <v>0</v>
      </c>
      <c r="I27" s="8">
        <f>IF(A27="","",COUNTIFS('Meal Plan'!$E$5:$E$504,A27,'Meal Plan'!$S$5:$S$504,"Takeaway")+COUNTIFS('Meal Plan'!$E$5:$E$504,A27,'Meal Plan'!$S$5:$S$504,"Eating out"))</f>
        <v>0</v>
      </c>
      <c r="J27" s="8">
        <f>IF(A27="","",COUNTIFS(Recipes!$AM$5:$AM$204,A27))</f>
        <v>0</v>
      </c>
      <c r="K27" s="26"/>
      <c r="L27" s="26"/>
      <c r="M27" s="26"/>
      <c r="N27" s="26"/>
      <c r="O27" s="8">
        <f>IF(A27="","",IF(E27="",0,MAX(0,100-(E27*1000)))+K27*2+L27*2+M27*2+N27)</f>
        <v>0</v>
      </c>
      <c r="P27" s="8">
        <f>IF(A27="","",IF(G27="","",IF(G27&lt;=0,"On target","Over target")))</f>
        <v>0</v>
      </c>
      <c r="Q27" s="25"/>
    </row>
    <row r="28" spans="1:17">
      <c r="A28" s="7"/>
      <c r="B28" s="8">
        <f>IF(A28="","",SUMIFS('Grocery Spending'!$J$5:$J$404,'Grocery Spending'!$C$5:$C$404,A28))</f>
        <v>0</v>
      </c>
      <c r="C28" s="8">
        <f>IF(A28="","",SUMIFS('Food Waste'!$H$5:$H$154,'Food Waste'!$O$5:$O$154,A28))</f>
        <v>0</v>
      </c>
      <c r="D28" s="8">
        <f>IF(A28="","",SUMIFS('Food Waste'!$E$5:$E$154,'Food Waste'!$O$5:$O$154,A28))</f>
        <v>0</v>
      </c>
      <c r="E28" s="8">
        <f>IF(OR(A28="",B28="",B28=0),"",IFERROR(C28/B28,""))</f>
        <v>0</v>
      </c>
      <c r="F28" s="8">
        <f>IF(A28="","",Waste_Reduction_Target)</f>
        <v>0</v>
      </c>
      <c r="G28" s="8">
        <f>IF(OR(A28="",E28=""),"",E28-Waste_Reduction_Target)</f>
        <v>0</v>
      </c>
      <c r="H28" s="8">
        <f>IF(A28="","",COUNTIFS('Meal Plan'!$E$5:$E$504,A28,'Meal Plan'!$S$5:$S$504,"Cooked")+COUNTIFS('Meal Plan'!$E$5:$E$504,A28,'Meal Plan'!$S$5:$S$504,"Eaten"))</f>
        <v>0</v>
      </c>
      <c r="I28" s="8">
        <f>IF(A28="","",COUNTIFS('Meal Plan'!$E$5:$E$504,A28,'Meal Plan'!$S$5:$S$504,"Takeaway")+COUNTIFS('Meal Plan'!$E$5:$E$504,A28,'Meal Plan'!$S$5:$S$504,"Eating out"))</f>
        <v>0</v>
      </c>
      <c r="J28" s="8">
        <f>IF(A28="","",COUNTIFS(Recipes!$AM$5:$AM$204,A28))</f>
        <v>0</v>
      </c>
      <c r="K28" s="26"/>
      <c r="L28" s="26"/>
      <c r="M28" s="26"/>
      <c r="N28" s="26"/>
      <c r="O28" s="8">
        <f>IF(A28="","",IF(E28="",0,MAX(0,100-(E28*1000)))+K28*2+L28*2+M28*2+N28)</f>
        <v>0</v>
      </c>
      <c r="P28" s="8">
        <f>IF(A28="","",IF(G28="","",IF(G28&lt;=0,"On target","Over target")))</f>
        <v>0</v>
      </c>
      <c r="Q28" s="25"/>
    </row>
  </sheetData>
  <sheetProtection password="EC7C" sheet="1" objects="1" scenarios="1" selectLockedCells="1" selectUnlockedCells="1"/>
  <autoFilter ref="A4:Q28"/>
  <conditionalFormatting sqref="A11:Q11">
    <cfRule type="expression" dxfId="0" priority="4">
      <formula>MOD(ROW(),2)=0</formula>
    </cfRule>
  </conditionalFormatting>
  <conditionalFormatting sqref="A13:Q13">
    <cfRule type="expression" dxfId="0" priority="5">
      <formula>MOD(ROW(),2)=0</formula>
    </cfRule>
  </conditionalFormatting>
  <conditionalFormatting sqref="A15:Q15">
    <cfRule type="expression" dxfId="0" priority="6">
      <formula>MOD(ROW(),2)=0</formula>
    </cfRule>
  </conditionalFormatting>
  <conditionalFormatting sqref="A17:Q17">
    <cfRule type="expression" dxfId="0" priority="7">
      <formula>MOD(ROW(),2)=0</formula>
    </cfRule>
  </conditionalFormatting>
  <conditionalFormatting sqref="A19:Q19">
    <cfRule type="expression" dxfId="0" priority="8">
      <formula>MOD(ROW(),2)=0</formula>
    </cfRule>
  </conditionalFormatting>
  <conditionalFormatting sqref="A21:Q21">
    <cfRule type="expression" dxfId="0" priority="9">
      <formula>MOD(ROW(),2)=0</formula>
    </cfRule>
  </conditionalFormatting>
  <conditionalFormatting sqref="A23:Q23">
    <cfRule type="expression" dxfId="0" priority="10">
      <formula>MOD(ROW(),2)=0</formula>
    </cfRule>
  </conditionalFormatting>
  <conditionalFormatting sqref="A25:Q25">
    <cfRule type="expression" dxfId="0" priority="11">
      <formula>MOD(ROW(),2)=0</formula>
    </cfRule>
  </conditionalFormatting>
  <conditionalFormatting sqref="A27:Q27">
    <cfRule type="expression" dxfId="0" priority="12">
      <formula>MOD(ROW(),2)=0</formula>
    </cfRule>
  </conditionalFormatting>
  <conditionalFormatting sqref="A5:Q5">
    <cfRule type="expression" dxfId="0" priority="1">
      <formula>MOD(ROW(),2)=0</formula>
    </cfRule>
  </conditionalFormatting>
  <conditionalFormatting sqref="A7:Q7">
    <cfRule type="expression" dxfId="0" priority="2">
      <formula>MOD(ROW(),2)=0</formula>
    </cfRule>
  </conditionalFormatting>
  <conditionalFormatting sqref="A9:Q9">
    <cfRule type="expression" dxfId="0" priority="3">
      <formula>MOD(ROW(),2)=0</formula>
    </cfRule>
  </conditionalFormatting>
  <dataValidations count="96">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Spreadsheet&amp;R&amp;"Calibri,Italic"Sustainability</oddHeader>
    <oddFooter>&amp;LPage &amp;P of &amp;N&amp;R&amp;D</oddFooter>
  </headerFooter>
  <legacyDrawing r:id="rId1"/>
</worksheet>
</file>

<file path=xl/worksheets/sheet32.xml><?xml version="1.0" encoding="utf-8"?>
<worksheet xmlns="http://schemas.openxmlformats.org/spreadsheetml/2006/main" xmlns:r="http://schemas.openxmlformats.org/officeDocument/2006/relationships">
  <sheetPr>
    <tabColor rgb="FF2F5E43"/>
    <pageSetUpPr fitToPage="1"/>
  </sheetPr>
  <dimension ref="A1:E78"/>
  <sheetViews>
    <sheetView showGridLines="0" workbookViewId="0"/>
  </sheetViews>
  <sheetFormatPr defaultRowHeight="15"/>
  <cols>
    <col min="1" max="1" width="34.7109375" customWidth="1"/>
    <col min="2" max="3" width="18.7109375" customWidth="1"/>
    <col min="4" max="4" width="16.7109375" customWidth="1"/>
    <col min="5" max="5" width="44.7109375" customWidth="1"/>
  </cols>
  <sheetData>
    <row r="1" spans="1:5" ht="30" customHeight="1">
      <c r="A1" s="1" t="s">
        <v>643</v>
      </c>
      <c r="B1" s="1"/>
      <c r="C1" s="1"/>
      <c r="D1" s="1"/>
      <c r="E1" s="1"/>
    </row>
    <row r="2" spans="1:5" ht="18" customHeight="1">
      <c r="A2" s="2" t="s">
        <v>644</v>
      </c>
      <c r="B2" s="2"/>
      <c r="C2" s="2"/>
      <c r="D2" s="2"/>
      <c r="E2" s="2"/>
    </row>
    <row r="3" spans="1:5" ht="20" customHeight="1">
      <c r="A3" s="3" t="s">
        <v>645</v>
      </c>
      <c r="B3" s="3"/>
      <c r="C3" s="3"/>
      <c r="D3" s="3"/>
      <c r="E3" s="3"/>
    </row>
    <row r="5" spans="1:5" ht="22" customHeight="1">
      <c r="A5" s="4" t="s">
        <v>646</v>
      </c>
      <c r="B5" s="4"/>
      <c r="C5" s="4"/>
      <c r="D5" s="4"/>
      <c r="E5" s="4"/>
    </row>
    <row r="6" spans="1:5">
      <c r="A6" s="6" t="s">
        <v>526</v>
      </c>
      <c r="B6" s="7" t="s">
        <v>108</v>
      </c>
      <c r="C6" s="6" t="s">
        <v>528</v>
      </c>
      <c r="D6" s="7" t="s">
        <v>647</v>
      </c>
      <c r="E6" s="24" t="s">
        <v>648</v>
      </c>
    </row>
    <row r="7" spans="1:5">
      <c r="A7" s="18">
        <f>DATEVALUE($B$6)</f>
        <v>0</v>
      </c>
      <c r="B7" s="18">
        <f>IF($D$6="",TODAY(),DATEVALUE($D$6))</f>
        <v>0</v>
      </c>
      <c r="C7" s="6" t="s">
        <v>649</v>
      </c>
      <c r="D7" s="13">
        <f>$B$7-$A$7+1</f>
        <v>0</v>
      </c>
      <c r="E7" s="24" t="s">
        <v>650</v>
      </c>
    </row>
    <row r="9" spans="1:5" ht="22" customHeight="1">
      <c r="A9" s="4" t="s">
        <v>651</v>
      </c>
      <c r="B9" s="4"/>
      <c r="C9" s="4"/>
      <c r="D9" s="4"/>
      <c r="E9" s="4"/>
    </row>
    <row r="10" spans="1:5">
      <c r="A10" s="6" t="s">
        <v>634</v>
      </c>
      <c r="B10" s="22">
        <f>SUMIFS('Grocery Spending'!$J$5:$J$404,'Grocery Spending'!$A$5:$A$404,"&gt;="&amp;$A$7,'Grocery Spending'!$A$5:$A$404,"&lt;="&amp;$B$7)</f>
        <v>0</v>
      </c>
      <c r="E10" s="24" t="s">
        <v>652</v>
      </c>
    </row>
    <row r="11" spans="1:5">
      <c r="A11" s="6" t="s">
        <v>594</v>
      </c>
      <c r="B11" s="21">
        <f>COUNTIFS('Grocery Spending'!$A$5:$A$404,"&gt;="&amp;$A$7,'Grocery Spending'!$A$5:$A$404,"&lt;="&amp;$B$7)</f>
        <v>0</v>
      </c>
      <c r="E11" s="24" t="s">
        <v>653</v>
      </c>
    </row>
    <row r="12" spans="1:5">
      <c r="A12" s="6" t="s">
        <v>654</v>
      </c>
      <c r="B12" s="22">
        <f>IFERROR(SUMIFS('Grocery Spending'!$J$5:$J$404,'Grocery Spending'!$A$5:$A$404,"&gt;="&amp;$A$7,'Grocery Spending'!$A$5:$A$404,"&lt;="&amp;$B$7)/MAX(1,COUNTIFS('Grocery Spending'!$A$5:$A$404,"&gt;="&amp;$A$7,'Grocery Spending'!$A$5:$A$404,"&lt;="&amp;$B$7)),0)</f>
        <v>0</v>
      </c>
    </row>
    <row r="13" spans="1:5">
      <c r="A13" s="6" t="s">
        <v>655</v>
      </c>
      <c r="B13" s="22">
        <f>IFERROR(SUMIFS('Grocery Spending'!$J$5:$J$404,'Grocery Spending'!$A$5:$A$404,"&gt;="&amp;$A$7,'Grocery Spending'!$A$5:$A$404,"&lt;="&amp;$B$7)/MAX(1,$D$7/7),0)</f>
        <v>0</v>
      </c>
      <c r="E13" s="24" t="s">
        <v>656</v>
      </c>
    </row>
    <row r="14" spans="1:5">
      <c r="A14" s="6" t="s">
        <v>657</v>
      </c>
      <c r="B14" s="22">
        <f>IFERROR(SUMIFS('Grocery Spending'!$J$5:$J$404,'Grocery Spending'!$A$5:$A$404,"&gt;="&amp;$A$7,'Grocery Spending'!$A$5:$A$404,"&lt;="&amp;$B$7)/MAX(1,$D$7/7)-Weekly_Budget,0)</f>
        <v>0</v>
      </c>
    </row>
    <row r="15" spans="1:5">
      <c r="A15" s="6" t="s">
        <v>116</v>
      </c>
      <c r="B15" s="21">
        <f>COUNTIFS('Meal Plan'!$B$5:$B$504,"&gt;="&amp;$A$7,'Meal Plan'!$B$5:$B$504,"&lt;="&amp;$B$7)</f>
        <v>0</v>
      </c>
    </row>
    <row r="16" spans="1:5">
      <c r="A16" s="6" t="s">
        <v>658</v>
      </c>
      <c r="B16" s="21">
        <f>COUNTIFS('Meal Plan'!$B$5:$B$504,"&gt;="&amp;$A$7,'Meal Plan'!$B$5:$B$504,"&lt;="&amp;$B$7,"Cooked")+COUNTIFS('Meal Plan'!$B$5:$B$504,"&gt;="&amp;$A$7,'Meal Plan'!$B$5:$B$504,"&lt;="&amp;$B$7,"Eaten")</f>
        <v>0</v>
      </c>
    </row>
    <row r="17" spans="1:5">
      <c r="A17" s="6" t="s">
        <v>659</v>
      </c>
      <c r="B17" s="21">
        <f>COUNTIFS('Meal Plan'!$B$5:$B$504,"&gt;="&amp;$A$7,'Meal Plan'!$B$5:$B$504,"&lt;="&amp;$B$7,"Takeaway")+COUNTIFS('Meal Plan'!$B$5:$B$504,"&gt;="&amp;$A$7,'Meal Plan'!$B$5:$B$504,"&lt;="&amp;$B$7,"Eating out")</f>
        <v>0</v>
      </c>
    </row>
    <row r="18" spans="1:5">
      <c r="A18" s="6" t="s">
        <v>660</v>
      </c>
      <c r="B18" s="32">
        <f>IFERROR((COUNTIFS('Meal Plan'!$B$5:$B$504,"&gt;="&amp;$A$7,'Meal Plan'!$B$5:$B$504,"&lt;="&amp;$B$7,"Cooked")+COUNTIFS('Meal Plan'!$B$5:$B$504,"&gt;="&amp;$A$7,'Meal Plan'!$B$5:$B$504,"&lt;="&amp;$B$7,"Eaten"))/MAX(1,COUNTIFS('Meal Plan'!$B$5:$B$504,"&gt;="&amp;$A$7,'Meal Plan'!$B$5:$B$504,"&lt;="&amp;$B$7)),0)</f>
        <v>0</v>
      </c>
    </row>
    <row r="19" spans="1:5">
      <c r="A19" s="6" t="s">
        <v>511</v>
      </c>
      <c r="B19" s="22">
        <f>SUMIFS('Food Waste'!$H$5:$H$154,'Food Waste'!$B$5:$B$154,"&gt;="&amp;$A$7,'Food Waste'!$B$5:$B$154,"&lt;="&amp;$B$7)</f>
        <v>0</v>
      </c>
    </row>
    <row r="20" spans="1:5">
      <c r="A20" s="6" t="s">
        <v>635</v>
      </c>
      <c r="B20" s="21">
        <f>SUMIFS('Food Waste'!$E$5:$E$154,'Food Waste'!$B$5:$B$154,"&gt;="&amp;$A$7,'Food Waste'!$B$5:$B$154,"&lt;="&amp;$B$7)</f>
        <v>0</v>
      </c>
    </row>
    <row r="21" spans="1:5">
      <c r="A21" s="6" t="s">
        <v>505</v>
      </c>
      <c r="B21" s="32">
        <f>IFERROR(SUMIFS('Food Waste'!$H$5:$H$154,'Food Waste'!$B$5:$B$154,"&gt;="&amp;$A$7,'Food Waste'!$B$5:$B$154,"&lt;="&amp;$B$7)/MAX(0.01,SUMIFS('Grocery Spending'!$J$5:$J$404,'Grocery Spending'!$A$5:$A$404,"&gt;="&amp;$A$7,'Grocery Spending'!$A$5:$A$404,"&lt;="&amp;$B$7)),0)</f>
        <v>0</v>
      </c>
      <c r="E21" s="24" t="s">
        <v>661</v>
      </c>
    </row>
    <row r="22" spans="1:5">
      <c r="A22" s="6" t="s">
        <v>662</v>
      </c>
      <c r="B22" s="21">
        <f>IFERROR(SUMIFS(Nutrition!$G$19:$G$138,Nutrition!$A$19:$A$138,"&gt;="&amp;$A$7,Nutrition!$A$19:$A$138,"&lt;="&amp;$B$7)/MAX(1,COUNTIFS(Nutrition!$A$19:$A$138,"&gt;="&amp;$A$7,Nutrition!$A$19:$A$138,"&lt;="&amp;$B$7)),0)</f>
        <v>0</v>
      </c>
    </row>
    <row r="24" spans="1:5" ht="22" customHeight="1">
      <c r="A24" s="4" t="s">
        <v>663</v>
      </c>
      <c r="B24" s="4"/>
      <c r="C24" s="4"/>
      <c r="D24" s="4"/>
      <c r="E24" s="4"/>
    </row>
    <row r="25" spans="1:5">
      <c r="A25" s="6" t="s">
        <v>664</v>
      </c>
      <c r="B25" s="22">
        <f>SUMIFS('Grocery Spending'!$J$5:$J$404,'Grocery Spending'!$D$5:$D$404,$A25,'Grocery Spending'!$A$5:$A$404,"&gt;="&amp;$A$7,'Grocery Spending'!$A$5:$A$404,"&lt;="&amp;$B$7)</f>
        <v>0</v>
      </c>
      <c r="C25" s="21">
        <f>COUNTIFS('Grocery Spending'!$D$5:$D$404,$A25,'Grocery Spending'!$A$5:$A$404,"&gt;="&amp;$A$7,'Grocery Spending'!$A$5:$A$404,"&lt;="&amp;$B$7)</f>
        <v>0</v>
      </c>
      <c r="D25" s="24" t="s">
        <v>665</v>
      </c>
    </row>
    <row r="26" spans="1:5">
      <c r="A26" s="6" t="s">
        <v>666</v>
      </c>
      <c r="B26" s="22">
        <f>SUMIFS('Grocery Spending'!$J$5:$J$404,'Grocery Spending'!$D$5:$D$404,$A26,'Grocery Spending'!$A$5:$A$404,"&gt;="&amp;$A$7,'Grocery Spending'!$A$5:$A$404,"&lt;="&amp;$B$7)</f>
        <v>0</v>
      </c>
      <c r="C26" s="21">
        <f>COUNTIFS('Grocery Spending'!$D$5:$D$404,$A26,'Grocery Spending'!$A$5:$A$404,"&gt;="&amp;$A$7,'Grocery Spending'!$A$5:$A$404,"&lt;="&amp;$B$7)</f>
        <v>0</v>
      </c>
      <c r="D26" s="24" t="s">
        <v>665</v>
      </c>
    </row>
    <row r="27" spans="1:5">
      <c r="A27" s="6" t="s">
        <v>667</v>
      </c>
      <c r="B27" s="22">
        <f>SUMIFS('Grocery Spending'!$J$5:$J$404,'Grocery Spending'!$D$5:$D$404,$A27,'Grocery Spending'!$A$5:$A$404,"&gt;="&amp;$A$7,'Grocery Spending'!$A$5:$A$404,"&lt;="&amp;$B$7)</f>
        <v>0</v>
      </c>
      <c r="C27" s="21">
        <f>COUNTIFS('Grocery Spending'!$D$5:$D$404,$A27,'Grocery Spending'!$A$5:$A$404,"&gt;="&amp;$A$7,'Grocery Spending'!$A$5:$A$404,"&lt;="&amp;$B$7)</f>
        <v>0</v>
      </c>
      <c r="D27" s="24" t="s">
        <v>665</v>
      </c>
    </row>
    <row r="28" spans="1:5">
      <c r="A28" s="6" t="s">
        <v>668</v>
      </c>
      <c r="B28" s="22">
        <f>SUMIFS('Grocery Spending'!$J$5:$J$404,'Grocery Spending'!$D$5:$D$404,$A28,'Grocery Spending'!$A$5:$A$404,"&gt;="&amp;$A$7,'Grocery Spending'!$A$5:$A$404,"&lt;="&amp;$B$7)</f>
        <v>0</v>
      </c>
      <c r="C28" s="21">
        <f>COUNTIFS('Grocery Spending'!$D$5:$D$404,$A28,'Grocery Spending'!$A$5:$A$404,"&gt;="&amp;$A$7,'Grocery Spending'!$A$5:$A$404,"&lt;="&amp;$B$7)</f>
        <v>0</v>
      </c>
      <c r="D28" s="24" t="s">
        <v>665</v>
      </c>
    </row>
    <row r="29" spans="1:5">
      <c r="A29" s="6" t="s">
        <v>669</v>
      </c>
      <c r="B29" s="22">
        <f>SUMIFS('Grocery Spending'!$J$5:$J$404,'Grocery Spending'!$D$5:$D$404,$A29,'Grocery Spending'!$A$5:$A$404,"&gt;="&amp;$A$7,'Grocery Spending'!$A$5:$A$404,"&lt;="&amp;$B$7)</f>
        <v>0</v>
      </c>
      <c r="C29" s="21">
        <f>COUNTIFS('Grocery Spending'!$D$5:$D$404,$A29,'Grocery Spending'!$A$5:$A$404,"&gt;="&amp;$A$7,'Grocery Spending'!$A$5:$A$404,"&lt;="&amp;$B$7)</f>
        <v>0</v>
      </c>
      <c r="D29" s="24" t="s">
        <v>665</v>
      </c>
    </row>
    <row r="31" spans="1:5" ht="22" customHeight="1">
      <c r="A31" s="4" t="s">
        <v>670</v>
      </c>
      <c r="B31" s="4"/>
      <c r="C31" s="4"/>
      <c r="D31" s="4"/>
      <c r="E31" s="4"/>
    </row>
    <row r="32" spans="1:5">
      <c r="A32" s="6" t="s">
        <v>671</v>
      </c>
      <c r="B32" s="22">
        <f>SUMIFS('Grocery Spending'!$J$5:$J$404,'Grocery Spending'!$F$5:$F$404,$A32,'Grocery Spending'!$A$5:$A$404,"&gt;="&amp;$A$7,'Grocery Spending'!$A$5:$A$404,"&lt;="&amp;$B$7)</f>
        <v>0</v>
      </c>
      <c r="C32" s="32">
        <f>IFERROR(SUMIFS('Grocery Spending'!$J$5:$J$404,'Grocery Spending'!$F$5:$F$404,$A32,'Grocery Spending'!$A$5:$A$404,"&gt;="&amp;$A$7,'Grocery Spending'!$A$5:$A$404,"&lt;="&amp;$B$7)/MAX(0.01,SUMIFS('Grocery Spending'!$J$5:$J$404,'Grocery Spending'!$A$5:$A$404,"&gt;="&amp;$A$7,'Grocery Spending'!$A$5:$A$404,"&lt;="&amp;$B$7)),0)</f>
        <v>0</v>
      </c>
      <c r="D32" s="24" t="s">
        <v>672</v>
      </c>
    </row>
    <row r="33" spans="1:5">
      <c r="A33" s="6" t="s">
        <v>673</v>
      </c>
      <c r="B33" s="22">
        <f>SUMIFS('Grocery Spending'!$J$5:$J$404,'Grocery Spending'!$F$5:$F$404,$A33,'Grocery Spending'!$A$5:$A$404,"&gt;="&amp;$A$7,'Grocery Spending'!$A$5:$A$404,"&lt;="&amp;$B$7)</f>
        <v>0</v>
      </c>
      <c r="C33" s="32">
        <f>IFERROR(SUMIFS('Grocery Spending'!$J$5:$J$404,'Grocery Spending'!$F$5:$F$404,$A33,'Grocery Spending'!$A$5:$A$404,"&gt;="&amp;$A$7,'Grocery Spending'!$A$5:$A$404,"&lt;="&amp;$B$7)/MAX(0.01,SUMIFS('Grocery Spending'!$J$5:$J$404,'Grocery Spending'!$A$5:$A$404,"&gt;="&amp;$A$7,'Grocery Spending'!$A$5:$A$404,"&lt;="&amp;$B$7)),0)</f>
        <v>0</v>
      </c>
      <c r="D33" s="24" t="s">
        <v>672</v>
      </c>
    </row>
    <row r="34" spans="1:5">
      <c r="A34" s="6" t="s">
        <v>674</v>
      </c>
      <c r="B34" s="22">
        <f>SUMIFS('Grocery Spending'!$J$5:$J$404,'Grocery Spending'!$F$5:$F$404,$A34,'Grocery Spending'!$A$5:$A$404,"&gt;="&amp;$A$7,'Grocery Spending'!$A$5:$A$404,"&lt;="&amp;$B$7)</f>
        <v>0</v>
      </c>
      <c r="C34" s="32">
        <f>IFERROR(SUMIFS('Grocery Spending'!$J$5:$J$404,'Grocery Spending'!$F$5:$F$404,$A34,'Grocery Spending'!$A$5:$A$404,"&gt;="&amp;$A$7,'Grocery Spending'!$A$5:$A$404,"&lt;="&amp;$B$7)/MAX(0.01,SUMIFS('Grocery Spending'!$J$5:$J$404,'Grocery Spending'!$A$5:$A$404,"&gt;="&amp;$A$7,'Grocery Spending'!$A$5:$A$404,"&lt;="&amp;$B$7)),0)</f>
        <v>0</v>
      </c>
      <c r="D34" s="24" t="s">
        <v>672</v>
      </c>
    </row>
    <row r="35" spans="1:5">
      <c r="A35" s="6" t="s">
        <v>675</v>
      </c>
      <c r="B35" s="22">
        <f>SUMIFS('Grocery Spending'!$J$5:$J$404,'Grocery Spending'!$F$5:$F$404,$A35,'Grocery Spending'!$A$5:$A$404,"&gt;="&amp;$A$7,'Grocery Spending'!$A$5:$A$404,"&lt;="&amp;$B$7)</f>
        <v>0</v>
      </c>
      <c r="C35" s="32">
        <f>IFERROR(SUMIFS('Grocery Spending'!$J$5:$J$404,'Grocery Spending'!$F$5:$F$404,$A35,'Grocery Spending'!$A$5:$A$404,"&gt;="&amp;$A$7,'Grocery Spending'!$A$5:$A$404,"&lt;="&amp;$B$7)/MAX(0.01,SUMIFS('Grocery Spending'!$J$5:$J$404,'Grocery Spending'!$A$5:$A$404,"&gt;="&amp;$A$7,'Grocery Spending'!$A$5:$A$404,"&lt;="&amp;$B$7)),0)</f>
        <v>0</v>
      </c>
      <c r="D35" s="24" t="s">
        <v>672</v>
      </c>
    </row>
    <row r="36" spans="1:5">
      <c r="A36" s="6" t="s">
        <v>676</v>
      </c>
      <c r="B36" s="22">
        <f>SUMIFS('Grocery Spending'!$J$5:$J$404,'Grocery Spending'!$F$5:$F$404,$A36,'Grocery Spending'!$A$5:$A$404,"&gt;="&amp;$A$7,'Grocery Spending'!$A$5:$A$404,"&lt;="&amp;$B$7)</f>
        <v>0</v>
      </c>
      <c r="C36" s="32">
        <f>IFERROR(SUMIFS('Grocery Spending'!$J$5:$J$404,'Grocery Spending'!$F$5:$F$404,$A36,'Grocery Spending'!$A$5:$A$404,"&gt;="&amp;$A$7,'Grocery Spending'!$A$5:$A$404,"&lt;="&amp;$B$7)/MAX(0.01,SUMIFS('Grocery Spending'!$J$5:$J$404,'Grocery Spending'!$A$5:$A$404,"&gt;="&amp;$A$7,'Grocery Spending'!$A$5:$A$404,"&lt;="&amp;$B$7)),0)</f>
        <v>0</v>
      </c>
      <c r="D36" s="24" t="s">
        <v>672</v>
      </c>
    </row>
    <row r="37" spans="1:5">
      <c r="A37" s="6" t="s">
        <v>677</v>
      </c>
      <c r="B37" s="22">
        <f>SUMIFS('Grocery Spending'!$J$5:$J$404,'Grocery Spending'!$F$5:$F$404,$A37,'Grocery Spending'!$A$5:$A$404,"&gt;="&amp;$A$7,'Grocery Spending'!$A$5:$A$404,"&lt;="&amp;$B$7)</f>
        <v>0</v>
      </c>
      <c r="C37" s="32">
        <f>IFERROR(SUMIFS('Grocery Spending'!$J$5:$J$404,'Grocery Spending'!$F$5:$F$404,$A37,'Grocery Spending'!$A$5:$A$404,"&gt;="&amp;$A$7,'Grocery Spending'!$A$5:$A$404,"&lt;="&amp;$B$7)/MAX(0.01,SUMIFS('Grocery Spending'!$J$5:$J$404,'Grocery Spending'!$A$5:$A$404,"&gt;="&amp;$A$7,'Grocery Spending'!$A$5:$A$404,"&lt;="&amp;$B$7)),0)</f>
        <v>0</v>
      </c>
      <c r="D37" s="24" t="s">
        <v>672</v>
      </c>
    </row>
    <row r="38" spans="1:5">
      <c r="A38" s="6" t="s">
        <v>678</v>
      </c>
      <c r="B38" s="22">
        <f>SUMIFS('Grocery Spending'!$J$5:$J$404,'Grocery Spending'!$F$5:$F$404,$A38,'Grocery Spending'!$A$5:$A$404,"&gt;="&amp;$A$7,'Grocery Spending'!$A$5:$A$404,"&lt;="&amp;$B$7)</f>
        <v>0</v>
      </c>
      <c r="C38" s="32">
        <f>IFERROR(SUMIFS('Grocery Spending'!$J$5:$J$404,'Grocery Spending'!$F$5:$F$404,$A38,'Grocery Spending'!$A$5:$A$404,"&gt;="&amp;$A$7,'Grocery Spending'!$A$5:$A$404,"&lt;="&amp;$B$7)/MAX(0.01,SUMIFS('Grocery Spending'!$J$5:$J$404,'Grocery Spending'!$A$5:$A$404,"&gt;="&amp;$A$7,'Grocery Spending'!$A$5:$A$404,"&lt;="&amp;$B$7)),0)</f>
        <v>0</v>
      </c>
      <c r="D38" s="24" t="s">
        <v>672</v>
      </c>
    </row>
    <row r="39" spans="1:5">
      <c r="A39" s="6" t="s">
        <v>407</v>
      </c>
      <c r="B39" s="22">
        <f>SUMIFS('Grocery Spending'!$J$5:$J$404,'Grocery Spending'!$F$5:$F$404,$A39,'Grocery Spending'!$A$5:$A$404,"&gt;="&amp;$A$7,'Grocery Spending'!$A$5:$A$404,"&lt;="&amp;$B$7)</f>
        <v>0</v>
      </c>
      <c r="C39" s="32">
        <f>IFERROR(SUMIFS('Grocery Spending'!$J$5:$J$404,'Grocery Spending'!$F$5:$F$404,$A39,'Grocery Spending'!$A$5:$A$404,"&gt;="&amp;$A$7,'Grocery Spending'!$A$5:$A$404,"&lt;="&amp;$B$7)/MAX(0.01,SUMIFS('Grocery Spending'!$J$5:$J$404,'Grocery Spending'!$A$5:$A$404,"&gt;="&amp;$A$7,'Grocery Spending'!$A$5:$A$404,"&lt;="&amp;$B$7)),0)</f>
        <v>0</v>
      </c>
      <c r="D39" s="24" t="s">
        <v>672</v>
      </c>
    </row>
    <row r="40" spans="1:5">
      <c r="A40" s="6" t="s">
        <v>171</v>
      </c>
      <c r="B40" s="22">
        <f>SUMIFS('Grocery Spending'!$J$5:$J$404,'Grocery Spending'!$F$5:$F$404,$A40,'Grocery Spending'!$A$5:$A$404,"&gt;="&amp;$A$7,'Grocery Spending'!$A$5:$A$404,"&lt;="&amp;$B$7)</f>
        <v>0</v>
      </c>
      <c r="C40" s="32">
        <f>IFERROR(SUMIFS('Grocery Spending'!$J$5:$J$404,'Grocery Spending'!$F$5:$F$404,$A40,'Grocery Spending'!$A$5:$A$404,"&gt;="&amp;$A$7,'Grocery Spending'!$A$5:$A$404,"&lt;="&amp;$B$7)/MAX(0.01,SUMIFS('Grocery Spending'!$J$5:$J$404,'Grocery Spending'!$A$5:$A$404,"&gt;="&amp;$A$7,'Grocery Spending'!$A$5:$A$404,"&lt;="&amp;$B$7)),0)</f>
        <v>0</v>
      </c>
      <c r="D40" s="24" t="s">
        <v>672</v>
      </c>
    </row>
    <row r="41" spans="1:5">
      <c r="A41" s="6" t="s">
        <v>607</v>
      </c>
      <c r="B41" s="22">
        <f>SUMIFS('Grocery Spending'!$J$5:$J$404,'Grocery Spending'!$F$5:$F$404,$A41,'Grocery Spending'!$A$5:$A$404,"&gt;="&amp;$A$7,'Grocery Spending'!$A$5:$A$404,"&lt;="&amp;$B$7)</f>
        <v>0</v>
      </c>
      <c r="C41" s="32">
        <f>IFERROR(SUMIFS('Grocery Spending'!$J$5:$J$404,'Grocery Spending'!$F$5:$F$404,$A41,'Grocery Spending'!$A$5:$A$404,"&gt;="&amp;$A$7,'Grocery Spending'!$A$5:$A$404,"&lt;="&amp;$B$7)/MAX(0.01,SUMIFS('Grocery Spending'!$J$5:$J$404,'Grocery Spending'!$A$5:$A$404,"&gt;="&amp;$A$7,'Grocery Spending'!$A$5:$A$404,"&lt;="&amp;$B$7)),0)</f>
        <v>0</v>
      </c>
      <c r="D41" s="24" t="s">
        <v>672</v>
      </c>
    </row>
    <row r="42" spans="1:5">
      <c r="A42" s="6" t="s">
        <v>38</v>
      </c>
      <c r="B42" s="22">
        <f>SUMIFS('Grocery Spending'!$J$5:$J$404,'Grocery Spending'!$F$5:$F$404,$A42,'Grocery Spending'!$A$5:$A$404,"&gt;="&amp;$A$7,'Grocery Spending'!$A$5:$A$404,"&lt;="&amp;$B$7)</f>
        <v>0</v>
      </c>
      <c r="C42" s="32">
        <f>IFERROR(SUMIFS('Grocery Spending'!$J$5:$J$404,'Grocery Spending'!$F$5:$F$404,$A42,'Grocery Spending'!$A$5:$A$404,"&gt;="&amp;$A$7,'Grocery Spending'!$A$5:$A$404,"&lt;="&amp;$B$7)/MAX(0.01,SUMIFS('Grocery Spending'!$J$5:$J$404,'Grocery Spending'!$A$5:$A$404,"&gt;="&amp;$A$7,'Grocery Spending'!$A$5:$A$404,"&lt;="&amp;$B$7)),0)</f>
        <v>0</v>
      </c>
      <c r="D42" s="24" t="s">
        <v>672</v>
      </c>
    </row>
    <row r="44" spans="1:5" ht="22" customHeight="1">
      <c r="A44" s="4" t="s">
        <v>679</v>
      </c>
      <c r="B44" s="4"/>
      <c r="C44" s="4"/>
      <c r="D44" s="4"/>
      <c r="E44" s="4"/>
    </row>
    <row r="45" spans="1:5">
      <c r="A45" s="6" t="s">
        <v>680</v>
      </c>
      <c r="B45" s="22">
        <f>SUMIFS('Food Waste'!$H$5:$H$154,'Food Waste'!$I$5:$I$154,$A45,'Food Waste'!$B$5:$B$154,"&gt;="&amp;$A$7,'Food Waste'!$B$5:$B$154,"&lt;="&amp;$B$7)</f>
        <v>0</v>
      </c>
      <c r="C45" s="21">
        <f>SUMIFS('Food Waste'!$E$5:$E$154,'Food Waste'!$I$5:$I$154,$A45,'Food Waste'!$B$5:$B$154,"&gt;="&amp;$A$7,'Food Waste'!$B$5:$B$154,"&lt;="&amp;$B$7)</f>
        <v>0</v>
      </c>
      <c r="D45" s="24" t="s">
        <v>681</v>
      </c>
    </row>
    <row r="46" spans="1:5">
      <c r="A46" s="6" t="s">
        <v>682</v>
      </c>
      <c r="B46" s="22">
        <f>SUMIFS('Food Waste'!$H$5:$H$154,'Food Waste'!$I$5:$I$154,$A46,'Food Waste'!$B$5:$B$154,"&gt;="&amp;$A$7,'Food Waste'!$B$5:$B$154,"&lt;="&amp;$B$7)</f>
        <v>0</v>
      </c>
      <c r="C46" s="21">
        <f>SUMIFS('Food Waste'!$E$5:$E$154,'Food Waste'!$I$5:$I$154,$A46,'Food Waste'!$B$5:$B$154,"&gt;="&amp;$A$7,'Food Waste'!$B$5:$B$154,"&lt;="&amp;$B$7)</f>
        <v>0</v>
      </c>
      <c r="D46" s="24" t="s">
        <v>681</v>
      </c>
    </row>
    <row r="47" spans="1:5">
      <c r="A47" s="6" t="s">
        <v>683</v>
      </c>
      <c r="B47" s="22">
        <f>SUMIFS('Food Waste'!$H$5:$H$154,'Food Waste'!$I$5:$I$154,$A47,'Food Waste'!$B$5:$B$154,"&gt;="&amp;$A$7,'Food Waste'!$B$5:$B$154,"&lt;="&amp;$B$7)</f>
        <v>0</v>
      </c>
      <c r="C47" s="21">
        <f>SUMIFS('Food Waste'!$E$5:$E$154,'Food Waste'!$I$5:$I$154,$A47,'Food Waste'!$B$5:$B$154,"&gt;="&amp;$A$7,'Food Waste'!$B$5:$B$154,"&lt;="&amp;$B$7)</f>
        <v>0</v>
      </c>
      <c r="D47" s="24" t="s">
        <v>681</v>
      </c>
    </row>
    <row r="48" spans="1:5">
      <c r="A48" s="6" t="s">
        <v>684</v>
      </c>
      <c r="B48" s="22">
        <f>SUMIFS('Food Waste'!$H$5:$H$154,'Food Waste'!$I$5:$I$154,$A48,'Food Waste'!$B$5:$B$154,"&gt;="&amp;$A$7,'Food Waste'!$B$5:$B$154,"&lt;="&amp;$B$7)</f>
        <v>0</v>
      </c>
      <c r="C48" s="21">
        <f>SUMIFS('Food Waste'!$E$5:$E$154,'Food Waste'!$I$5:$I$154,$A48,'Food Waste'!$B$5:$B$154,"&gt;="&amp;$A$7,'Food Waste'!$B$5:$B$154,"&lt;="&amp;$B$7)</f>
        <v>0</v>
      </c>
      <c r="D48" s="24" t="s">
        <v>681</v>
      </c>
    </row>
    <row r="49" spans="1:5">
      <c r="A49" s="6" t="s">
        <v>685</v>
      </c>
      <c r="B49" s="22">
        <f>SUMIFS('Food Waste'!$H$5:$H$154,'Food Waste'!$I$5:$I$154,$A49,'Food Waste'!$B$5:$B$154,"&gt;="&amp;$A$7,'Food Waste'!$B$5:$B$154,"&lt;="&amp;$B$7)</f>
        <v>0</v>
      </c>
      <c r="C49" s="21">
        <f>SUMIFS('Food Waste'!$E$5:$E$154,'Food Waste'!$I$5:$I$154,$A49,'Food Waste'!$B$5:$B$154,"&gt;="&amp;$A$7,'Food Waste'!$B$5:$B$154,"&lt;="&amp;$B$7)</f>
        <v>0</v>
      </c>
      <c r="D49" s="24" t="s">
        <v>681</v>
      </c>
    </row>
    <row r="50" spans="1:5">
      <c r="A50" s="6" t="s">
        <v>686</v>
      </c>
      <c r="B50" s="22">
        <f>SUMIFS('Food Waste'!$H$5:$H$154,'Food Waste'!$I$5:$I$154,$A50,'Food Waste'!$B$5:$B$154,"&gt;="&amp;$A$7,'Food Waste'!$B$5:$B$154,"&lt;="&amp;$B$7)</f>
        <v>0</v>
      </c>
      <c r="C50" s="21">
        <f>SUMIFS('Food Waste'!$E$5:$E$154,'Food Waste'!$I$5:$I$154,$A50,'Food Waste'!$B$5:$B$154,"&gt;="&amp;$A$7,'Food Waste'!$B$5:$B$154,"&lt;="&amp;$B$7)</f>
        <v>0</v>
      </c>
      <c r="D50" s="24" t="s">
        <v>681</v>
      </c>
    </row>
    <row r="51" spans="1:5">
      <c r="A51" s="6" t="s">
        <v>687</v>
      </c>
      <c r="B51" s="22">
        <f>SUMIFS('Food Waste'!$H$5:$H$154,'Food Waste'!$I$5:$I$154,$A51,'Food Waste'!$B$5:$B$154,"&gt;="&amp;$A$7,'Food Waste'!$B$5:$B$154,"&lt;="&amp;$B$7)</f>
        <v>0</v>
      </c>
      <c r="C51" s="21">
        <f>SUMIFS('Food Waste'!$E$5:$E$154,'Food Waste'!$I$5:$I$154,$A51,'Food Waste'!$B$5:$B$154,"&gt;="&amp;$A$7,'Food Waste'!$B$5:$B$154,"&lt;="&amp;$B$7)</f>
        <v>0</v>
      </c>
      <c r="D51" s="24" t="s">
        <v>681</v>
      </c>
    </row>
    <row r="52" spans="1:5">
      <c r="A52" s="6" t="s">
        <v>688</v>
      </c>
      <c r="B52" s="22">
        <f>SUMIFS('Food Waste'!$H$5:$H$154,'Food Waste'!$I$5:$I$154,$A52,'Food Waste'!$B$5:$B$154,"&gt;="&amp;$A$7,'Food Waste'!$B$5:$B$154,"&lt;="&amp;$B$7)</f>
        <v>0</v>
      </c>
      <c r="C52" s="21">
        <f>SUMIFS('Food Waste'!$E$5:$E$154,'Food Waste'!$I$5:$I$154,$A52,'Food Waste'!$B$5:$B$154,"&gt;="&amp;$A$7,'Food Waste'!$B$5:$B$154,"&lt;="&amp;$B$7)</f>
        <v>0</v>
      </c>
      <c r="D52" s="24" t="s">
        <v>681</v>
      </c>
    </row>
    <row r="53" spans="1:5">
      <c r="A53" s="6" t="s">
        <v>689</v>
      </c>
      <c r="B53" s="22">
        <f>SUMIFS('Food Waste'!$H$5:$H$154,'Food Waste'!$I$5:$I$154,$A53,'Food Waste'!$B$5:$B$154,"&gt;="&amp;$A$7,'Food Waste'!$B$5:$B$154,"&lt;="&amp;$B$7)</f>
        <v>0</v>
      </c>
      <c r="C53" s="21">
        <f>SUMIFS('Food Waste'!$E$5:$E$154,'Food Waste'!$I$5:$I$154,$A53,'Food Waste'!$B$5:$B$154,"&gt;="&amp;$A$7,'Food Waste'!$B$5:$B$154,"&lt;="&amp;$B$7)</f>
        <v>0</v>
      </c>
      <c r="D53" s="24" t="s">
        <v>681</v>
      </c>
    </row>
    <row r="54" spans="1:5">
      <c r="A54" s="6" t="s">
        <v>690</v>
      </c>
      <c r="B54" s="22">
        <f>SUMIFS('Food Waste'!$H$5:$H$154,'Food Waste'!$I$5:$I$154,$A54,'Food Waste'!$B$5:$B$154,"&gt;="&amp;$A$7,'Food Waste'!$B$5:$B$154,"&lt;="&amp;$B$7)</f>
        <v>0</v>
      </c>
      <c r="C54" s="21">
        <f>SUMIFS('Food Waste'!$E$5:$E$154,'Food Waste'!$I$5:$I$154,$A54,'Food Waste'!$B$5:$B$154,"&gt;="&amp;$A$7,'Food Waste'!$B$5:$B$154,"&lt;="&amp;$B$7)</f>
        <v>0</v>
      </c>
      <c r="D54" s="24" t="s">
        <v>681</v>
      </c>
    </row>
    <row r="56" spans="1:5" ht="22" customHeight="1">
      <c r="A56" s="4" t="s">
        <v>691</v>
      </c>
      <c r="B56" s="4"/>
      <c r="C56" s="4"/>
      <c r="D56" s="4"/>
      <c r="E56" s="4"/>
    </row>
    <row r="57" spans="1:5">
      <c r="A57" s="9" t="s">
        <v>138</v>
      </c>
      <c r="B57" s="9" t="s">
        <v>298</v>
      </c>
      <c r="C57" s="9" t="s">
        <v>139</v>
      </c>
      <c r="D57" s="9" t="s">
        <v>142</v>
      </c>
      <c r="E57" s="9" t="s">
        <v>141</v>
      </c>
    </row>
    <row r="58" spans="1:5">
      <c r="A58" s="6" t="s">
        <v>692</v>
      </c>
      <c r="B58" s="21">
        <f>COUNTIFS('Meal Plan'!$G$5:$G$504,$A58,'Meal Plan'!$B$5:$B$504,"&gt;="&amp;$A$7,'Meal Plan'!$B$5:$B$504,"&lt;="&amp;$B$7,'Meal Plan'!$S$5:$S$504,"Cooked")+COUNTIFS('Meal Plan'!$G$5:$G$504,$A58,'Meal Plan'!$B$5:$B$504,"&gt;="&amp;$A$7,'Meal Plan'!$B$5:$B$504,"&lt;="&amp;$B$7,'Meal Plan'!$S$5:$S$504,"Eaten")</f>
        <v>0</v>
      </c>
      <c r="C58" s="18">
        <f>IF(SUMPRODUCT(MAX(('Meal Plan'!$G$5:$G$504=$A58)*'Meal Plan'!$B$5:$B$504))=0,"",SUMPRODUCT(MAX(('Meal Plan'!$G$5:$G$504=$A58)*'Meal Plan'!$B$5:$B$504)))</f>
        <v>0</v>
      </c>
      <c r="D58" s="14">
        <f>IFERROR(INDEX(Recipes!$Q$5:$Q$204,MATCH($A58,Recipes!$A$5:$A$204,0)),"")</f>
        <v>0</v>
      </c>
      <c r="E58" s="13">
        <f>IFERROR(INDEX(Recipes!$AN$5:$AN$204,MATCH($A58,Recipes!$A$5:$A$204,0)),"")</f>
        <v>0</v>
      </c>
    </row>
    <row r="59" spans="1:5">
      <c r="A59" s="6" t="s">
        <v>693</v>
      </c>
      <c r="B59" s="21">
        <f>COUNTIFS('Meal Plan'!$G$5:$G$504,$A59,'Meal Plan'!$B$5:$B$504,"&gt;="&amp;$A$7,'Meal Plan'!$B$5:$B$504,"&lt;="&amp;$B$7,'Meal Plan'!$S$5:$S$504,"Cooked")+COUNTIFS('Meal Plan'!$G$5:$G$504,$A59,'Meal Plan'!$B$5:$B$504,"&gt;="&amp;$A$7,'Meal Plan'!$B$5:$B$504,"&lt;="&amp;$B$7,'Meal Plan'!$S$5:$S$504,"Eaten")</f>
        <v>0</v>
      </c>
      <c r="C59" s="18">
        <f>IF(SUMPRODUCT(MAX(('Meal Plan'!$G$5:$G$504=$A59)*'Meal Plan'!$B$5:$B$504))=0,"",SUMPRODUCT(MAX(('Meal Plan'!$G$5:$G$504=$A59)*'Meal Plan'!$B$5:$B$504)))</f>
        <v>0</v>
      </c>
      <c r="D59" s="14">
        <f>IFERROR(INDEX(Recipes!$Q$5:$Q$204,MATCH($A59,Recipes!$A$5:$A$204,0)),"")</f>
        <v>0</v>
      </c>
      <c r="E59" s="13">
        <f>IFERROR(INDEX(Recipes!$AN$5:$AN$204,MATCH($A59,Recipes!$A$5:$A$204,0)),"")</f>
        <v>0</v>
      </c>
    </row>
    <row r="60" spans="1:5">
      <c r="A60" s="6" t="s">
        <v>694</v>
      </c>
      <c r="B60" s="21">
        <f>COUNTIFS('Meal Plan'!$G$5:$G$504,$A60,'Meal Plan'!$B$5:$B$504,"&gt;="&amp;$A$7,'Meal Plan'!$B$5:$B$504,"&lt;="&amp;$B$7,'Meal Plan'!$S$5:$S$504,"Cooked")+COUNTIFS('Meal Plan'!$G$5:$G$504,$A60,'Meal Plan'!$B$5:$B$504,"&gt;="&amp;$A$7,'Meal Plan'!$B$5:$B$504,"&lt;="&amp;$B$7,'Meal Plan'!$S$5:$S$504,"Eaten")</f>
        <v>0</v>
      </c>
      <c r="C60" s="18">
        <f>IF(SUMPRODUCT(MAX(('Meal Plan'!$G$5:$G$504=$A60)*'Meal Plan'!$B$5:$B$504))=0,"",SUMPRODUCT(MAX(('Meal Plan'!$G$5:$G$504=$A60)*'Meal Plan'!$B$5:$B$504)))</f>
        <v>0</v>
      </c>
      <c r="D60" s="14">
        <f>IFERROR(INDEX(Recipes!$Q$5:$Q$204,MATCH($A60,Recipes!$A$5:$A$204,0)),"")</f>
        <v>0</v>
      </c>
      <c r="E60" s="13">
        <f>IFERROR(INDEX(Recipes!$AN$5:$AN$204,MATCH($A60,Recipes!$A$5:$A$204,0)),"")</f>
        <v>0</v>
      </c>
    </row>
    <row r="61" spans="1:5">
      <c r="A61" s="6" t="s">
        <v>695</v>
      </c>
      <c r="B61" s="21">
        <f>COUNTIFS('Meal Plan'!$G$5:$G$504,$A61,'Meal Plan'!$B$5:$B$504,"&gt;="&amp;$A$7,'Meal Plan'!$B$5:$B$504,"&lt;="&amp;$B$7,'Meal Plan'!$S$5:$S$504,"Cooked")+COUNTIFS('Meal Plan'!$G$5:$G$504,$A61,'Meal Plan'!$B$5:$B$504,"&gt;="&amp;$A$7,'Meal Plan'!$B$5:$B$504,"&lt;="&amp;$B$7,'Meal Plan'!$S$5:$S$504,"Eaten")</f>
        <v>0</v>
      </c>
      <c r="C61" s="18">
        <f>IF(SUMPRODUCT(MAX(('Meal Plan'!$G$5:$G$504=$A61)*'Meal Plan'!$B$5:$B$504))=0,"",SUMPRODUCT(MAX(('Meal Plan'!$G$5:$G$504=$A61)*'Meal Plan'!$B$5:$B$504)))</f>
        <v>0</v>
      </c>
      <c r="D61" s="14">
        <f>IFERROR(INDEX(Recipes!$Q$5:$Q$204,MATCH($A61,Recipes!$A$5:$A$204,0)),"")</f>
        <v>0</v>
      </c>
      <c r="E61" s="13">
        <f>IFERROR(INDEX(Recipes!$AN$5:$AN$204,MATCH($A61,Recipes!$A$5:$A$204,0)),"")</f>
        <v>0</v>
      </c>
    </row>
    <row r="62" spans="1:5">
      <c r="A62" s="6" t="s">
        <v>696</v>
      </c>
      <c r="B62" s="21">
        <f>COUNTIFS('Meal Plan'!$G$5:$G$504,$A62,'Meal Plan'!$B$5:$B$504,"&gt;="&amp;$A$7,'Meal Plan'!$B$5:$B$504,"&lt;="&amp;$B$7,'Meal Plan'!$S$5:$S$504,"Cooked")+COUNTIFS('Meal Plan'!$G$5:$G$504,$A62,'Meal Plan'!$B$5:$B$504,"&gt;="&amp;$A$7,'Meal Plan'!$B$5:$B$504,"&lt;="&amp;$B$7,'Meal Plan'!$S$5:$S$504,"Eaten")</f>
        <v>0</v>
      </c>
      <c r="C62" s="18">
        <f>IF(SUMPRODUCT(MAX(('Meal Plan'!$G$5:$G$504=$A62)*'Meal Plan'!$B$5:$B$504))=0,"",SUMPRODUCT(MAX(('Meal Plan'!$G$5:$G$504=$A62)*'Meal Plan'!$B$5:$B$504)))</f>
        <v>0</v>
      </c>
      <c r="D62" s="14">
        <f>IFERROR(INDEX(Recipes!$Q$5:$Q$204,MATCH($A62,Recipes!$A$5:$A$204,0)),"")</f>
        <v>0</v>
      </c>
      <c r="E62" s="13">
        <f>IFERROR(INDEX(Recipes!$AN$5:$AN$204,MATCH($A62,Recipes!$A$5:$A$204,0)),"")</f>
        <v>0</v>
      </c>
    </row>
    <row r="63" spans="1:5">
      <c r="A63" s="6" t="s">
        <v>697</v>
      </c>
      <c r="B63" s="21">
        <f>COUNTIFS('Meal Plan'!$G$5:$G$504,$A63,'Meal Plan'!$B$5:$B$504,"&gt;="&amp;$A$7,'Meal Plan'!$B$5:$B$504,"&lt;="&amp;$B$7,'Meal Plan'!$S$5:$S$504,"Cooked")+COUNTIFS('Meal Plan'!$G$5:$G$504,$A63,'Meal Plan'!$B$5:$B$504,"&gt;="&amp;$A$7,'Meal Plan'!$B$5:$B$504,"&lt;="&amp;$B$7,'Meal Plan'!$S$5:$S$504,"Eaten")</f>
        <v>0</v>
      </c>
      <c r="C63" s="18">
        <f>IF(SUMPRODUCT(MAX(('Meal Plan'!$G$5:$G$504=$A63)*'Meal Plan'!$B$5:$B$504))=0,"",SUMPRODUCT(MAX(('Meal Plan'!$G$5:$G$504=$A63)*'Meal Plan'!$B$5:$B$504)))</f>
        <v>0</v>
      </c>
      <c r="D63" s="14">
        <f>IFERROR(INDEX(Recipes!$Q$5:$Q$204,MATCH($A63,Recipes!$A$5:$A$204,0)),"")</f>
        <v>0</v>
      </c>
      <c r="E63" s="13">
        <f>IFERROR(INDEX(Recipes!$AN$5:$AN$204,MATCH($A63,Recipes!$A$5:$A$204,0)),"")</f>
        <v>0</v>
      </c>
    </row>
    <row r="64" spans="1:5">
      <c r="A64" s="6" t="s">
        <v>698</v>
      </c>
      <c r="B64" s="21">
        <f>COUNTIFS('Meal Plan'!$G$5:$G$504,$A64,'Meal Plan'!$B$5:$B$504,"&gt;="&amp;$A$7,'Meal Plan'!$B$5:$B$504,"&lt;="&amp;$B$7,'Meal Plan'!$S$5:$S$504,"Cooked")+COUNTIFS('Meal Plan'!$G$5:$G$504,$A64,'Meal Plan'!$B$5:$B$504,"&gt;="&amp;$A$7,'Meal Plan'!$B$5:$B$504,"&lt;="&amp;$B$7,'Meal Plan'!$S$5:$S$504,"Eaten")</f>
        <v>0</v>
      </c>
      <c r="C64" s="18">
        <f>IF(SUMPRODUCT(MAX(('Meal Plan'!$G$5:$G$504=$A64)*'Meal Plan'!$B$5:$B$504))=0,"",SUMPRODUCT(MAX(('Meal Plan'!$G$5:$G$504=$A64)*'Meal Plan'!$B$5:$B$504)))</f>
        <v>0</v>
      </c>
      <c r="D64" s="14">
        <f>IFERROR(INDEX(Recipes!$Q$5:$Q$204,MATCH($A64,Recipes!$A$5:$A$204,0)),"")</f>
        <v>0</v>
      </c>
      <c r="E64" s="13">
        <f>IFERROR(INDEX(Recipes!$AN$5:$AN$204,MATCH($A64,Recipes!$A$5:$A$204,0)),"")</f>
        <v>0</v>
      </c>
    </row>
    <row r="65" spans="1:5">
      <c r="A65" s="6" t="s">
        <v>699</v>
      </c>
      <c r="B65" s="21">
        <f>COUNTIFS('Meal Plan'!$G$5:$G$504,$A65,'Meal Plan'!$B$5:$B$504,"&gt;="&amp;$A$7,'Meal Plan'!$B$5:$B$504,"&lt;="&amp;$B$7,'Meal Plan'!$S$5:$S$504,"Cooked")+COUNTIFS('Meal Plan'!$G$5:$G$504,$A65,'Meal Plan'!$B$5:$B$504,"&gt;="&amp;$A$7,'Meal Plan'!$B$5:$B$504,"&lt;="&amp;$B$7,'Meal Plan'!$S$5:$S$504,"Eaten")</f>
        <v>0</v>
      </c>
      <c r="C65" s="18">
        <f>IF(SUMPRODUCT(MAX(('Meal Plan'!$G$5:$G$504=$A65)*'Meal Plan'!$B$5:$B$504))=0,"",SUMPRODUCT(MAX(('Meal Plan'!$G$5:$G$504=$A65)*'Meal Plan'!$B$5:$B$504)))</f>
        <v>0</v>
      </c>
      <c r="D65" s="14">
        <f>IFERROR(INDEX(Recipes!$Q$5:$Q$204,MATCH($A65,Recipes!$A$5:$A$204,0)),"")</f>
        <v>0</v>
      </c>
      <c r="E65" s="13">
        <f>IFERROR(INDEX(Recipes!$AN$5:$AN$204,MATCH($A65,Recipes!$A$5:$A$204,0)),"")</f>
        <v>0</v>
      </c>
    </row>
    <row r="67" spans="1:5" ht="22" customHeight="1">
      <c r="A67" s="4" t="s">
        <v>700</v>
      </c>
      <c r="B67" s="4"/>
      <c r="C67" s="4"/>
      <c r="D67" s="4"/>
      <c r="E67" s="4"/>
    </row>
    <row r="68" spans="1:5">
      <c r="A68" s="9" t="s">
        <v>322</v>
      </c>
      <c r="B68" s="9" t="s">
        <v>701</v>
      </c>
      <c r="C68" s="9" t="s">
        <v>702</v>
      </c>
      <c r="D68" s="9" t="s">
        <v>362</v>
      </c>
      <c r="E68" s="9" t="s">
        <v>363</v>
      </c>
    </row>
    <row r="69" spans="1:5">
      <c r="A69" s="6" t="s">
        <v>703</v>
      </c>
      <c r="B69" s="22">
        <f>SUMIFS('Grocery Spending'!$J$5:$J$404,'Grocery Spending'!$E$5:$E$404,$A69,'Grocery Spending'!$A$5:$A$404,"&gt;="&amp;$A$7,'Grocery Spending'!$A$5:$A$404,"&lt;="&amp;$B$7)</f>
        <v>0</v>
      </c>
      <c r="C69" s="21">
        <f>COUNTIFS('Grocery Spending'!$E$5:$E$404,$A69,'Grocery Spending'!$A$5:$A$404,"&gt;="&amp;$A$7,'Grocery Spending'!$A$5:$A$404,"&lt;="&amp;$B$7)</f>
        <v>0</v>
      </c>
      <c r="D69" s="14">
        <f>IFERROR(INDEX(Ingredients!$AG$5:$AG$304,MATCH($A69,Ingredients!$A$5:$A$304,0)),"")</f>
        <v>0</v>
      </c>
      <c r="E69" s="14">
        <f>IFERROR(INDEX(Ingredients!$AH$5:$AH$304,MATCH($A69,Ingredients!$A$5:$A$304,0)),"")</f>
        <v>0</v>
      </c>
    </row>
    <row r="70" spans="1:5">
      <c r="A70" s="6" t="s">
        <v>704</v>
      </c>
      <c r="B70" s="22">
        <f>SUMIFS('Grocery Spending'!$J$5:$J$404,'Grocery Spending'!$E$5:$E$404,$A70,'Grocery Spending'!$A$5:$A$404,"&gt;="&amp;$A$7,'Grocery Spending'!$A$5:$A$404,"&lt;="&amp;$B$7)</f>
        <v>0</v>
      </c>
      <c r="C70" s="21">
        <f>COUNTIFS('Grocery Spending'!$E$5:$E$404,$A70,'Grocery Spending'!$A$5:$A$404,"&gt;="&amp;$A$7,'Grocery Spending'!$A$5:$A$404,"&lt;="&amp;$B$7)</f>
        <v>0</v>
      </c>
      <c r="D70" s="14">
        <f>IFERROR(INDEX(Ingredients!$AG$5:$AG$304,MATCH($A70,Ingredients!$A$5:$A$304,0)),"")</f>
        <v>0</v>
      </c>
      <c r="E70" s="14">
        <f>IFERROR(INDEX(Ingredients!$AH$5:$AH$304,MATCH($A70,Ingredients!$A$5:$A$304,0)),"")</f>
        <v>0</v>
      </c>
    </row>
    <row r="71" spans="1:5">
      <c r="A71" s="6" t="s">
        <v>705</v>
      </c>
      <c r="B71" s="22">
        <f>SUMIFS('Grocery Spending'!$J$5:$J$404,'Grocery Spending'!$E$5:$E$404,$A71,'Grocery Spending'!$A$5:$A$404,"&gt;="&amp;$A$7,'Grocery Spending'!$A$5:$A$404,"&lt;="&amp;$B$7)</f>
        <v>0</v>
      </c>
      <c r="C71" s="21">
        <f>COUNTIFS('Grocery Spending'!$E$5:$E$404,$A71,'Grocery Spending'!$A$5:$A$404,"&gt;="&amp;$A$7,'Grocery Spending'!$A$5:$A$404,"&lt;="&amp;$B$7)</f>
        <v>0</v>
      </c>
      <c r="D71" s="14">
        <f>IFERROR(INDEX(Ingredients!$AG$5:$AG$304,MATCH($A71,Ingredients!$A$5:$A$304,0)),"")</f>
        <v>0</v>
      </c>
      <c r="E71" s="14">
        <f>IFERROR(INDEX(Ingredients!$AH$5:$AH$304,MATCH($A71,Ingredients!$A$5:$A$304,0)),"")</f>
        <v>0</v>
      </c>
    </row>
    <row r="72" spans="1:5">
      <c r="A72" s="6" t="s">
        <v>706</v>
      </c>
      <c r="B72" s="22">
        <f>SUMIFS('Grocery Spending'!$J$5:$J$404,'Grocery Spending'!$E$5:$E$404,$A72,'Grocery Spending'!$A$5:$A$404,"&gt;="&amp;$A$7,'Grocery Spending'!$A$5:$A$404,"&lt;="&amp;$B$7)</f>
        <v>0</v>
      </c>
      <c r="C72" s="21">
        <f>COUNTIFS('Grocery Spending'!$E$5:$E$404,$A72,'Grocery Spending'!$A$5:$A$404,"&gt;="&amp;$A$7,'Grocery Spending'!$A$5:$A$404,"&lt;="&amp;$B$7)</f>
        <v>0</v>
      </c>
      <c r="D72" s="14">
        <f>IFERROR(INDEX(Ingredients!$AG$5:$AG$304,MATCH($A72,Ingredients!$A$5:$A$304,0)),"")</f>
        <v>0</v>
      </c>
      <c r="E72" s="14">
        <f>IFERROR(INDEX(Ingredients!$AH$5:$AH$304,MATCH($A72,Ingredients!$A$5:$A$304,0)),"")</f>
        <v>0</v>
      </c>
    </row>
    <row r="73" spans="1:5">
      <c r="A73" s="6" t="s">
        <v>707</v>
      </c>
      <c r="B73" s="22">
        <f>SUMIFS('Grocery Spending'!$J$5:$J$404,'Grocery Spending'!$E$5:$E$404,$A73,'Grocery Spending'!$A$5:$A$404,"&gt;="&amp;$A$7,'Grocery Spending'!$A$5:$A$404,"&lt;="&amp;$B$7)</f>
        <v>0</v>
      </c>
      <c r="C73" s="21">
        <f>COUNTIFS('Grocery Spending'!$E$5:$E$404,$A73,'Grocery Spending'!$A$5:$A$404,"&gt;="&amp;$A$7,'Grocery Spending'!$A$5:$A$404,"&lt;="&amp;$B$7)</f>
        <v>0</v>
      </c>
      <c r="D73" s="14">
        <f>IFERROR(INDEX(Ingredients!$AG$5:$AG$304,MATCH($A73,Ingredients!$A$5:$A$304,0)),"")</f>
        <v>0</v>
      </c>
      <c r="E73" s="14">
        <f>IFERROR(INDEX(Ingredients!$AH$5:$AH$304,MATCH($A73,Ingredients!$A$5:$A$304,0)),"")</f>
        <v>0</v>
      </c>
    </row>
    <row r="74" spans="1:5">
      <c r="A74" s="6" t="s">
        <v>708</v>
      </c>
      <c r="B74" s="22">
        <f>SUMIFS('Grocery Spending'!$J$5:$J$404,'Grocery Spending'!$E$5:$E$404,$A74,'Grocery Spending'!$A$5:$A$404,"&gt;="&amp;$A$7,'Grocery Spending'!$A$5:$A$404,"&lt;="&amp;$B$7)</f>
        <v>0</v>
      </c>
      <c r="C74" s="21">
        <f>COUNTIFS('Grocery Spending'!$E$5:$E$404,$A74,'Grocery Spending'!$A$5:$A$404,"&gt;="&amp;$A$7,'Grocery Spending'!$A$5:$A$404,"&lt;="&amp;$B$7)</f>
        <v>0</v>
      </c>
      <c r="D74" s="14">
        <f>IFERROR(INDEX(Ingredients!$AG$5:$AG$304,MATCH($A74,Ingredients!$A$5:$A$304,0)),"")</f>
        <v>0</v>
      </c>
      <c r="E74" s="14">
        <f>IFERROR(INDEX(Ingredients!$AH$5:$AH$304,MATCH($A74,Ingredients!$A$5:$A$304,0)),"")</f>
        <v>0</v>
      </c>
    </row>
    <row r="75" spans="1:5">
      <c r="A75" s="6" t="s">
        <v>709</v>
      </c>
      <c r="B75" s="22">
        <f>SUMIFS('Grocery Spending'!$J$5:$J$404,'Grocery Spending'!$E$5:$E$404,$A75,'Grocery Spending'!$A$5:$A$404,"&gt;="&amp;$A$7,'Grocery Spending'!$A$5:$A$404,"&lt;="&amp;$B$7)</f>
        <v>0</v>
      </c>
      <c r="C75" s="21">
        <f>COUNTIFS('Grocery Spending'!$E$5:$E$404,$A75,'Grocery Spending'!$A$5:$A$404,"&gt;="&amp;$A$7,'Grocery Spending'!$A$5:$A$404,"&lt;="&amp;$B$7)</f>
        <v>0</v>
      </c>
      <c r="D75" s="14">
        <f>IFERROR(INDEX(Ingredients!$AG$5:$AG$304,MATCH($A75,Ingredients!$A$5:$A$304,0)),"")</f>
        <v>0</v>
      </c>
      <c r="E75" s="14">
        <f>IFERROR(INDEX(Ingredients!$AH$5:$AH$304,MATCH($A75,Ingredients!$A$5:$A$304,0)),"")</f>
        <v>0</v>
      </c>
    </row>
    <row r="76" spans="1:5">
      <c r="A76" s="6" t="s">
        <v>710</v>
      </c>
      <c r="B76" s="22">
        <f>SUMIFS('Grocery Spending'!$J$5:$J$404,'Grocery Spending'!$E$5:$E$404,$A76,'Grocery Spending'!$A$5:$A$404,"&gt;="&amp;$A$7,'Grocery Spending'!$A$5:$A$404,"&lt;="&amp;$B$7)</f>
        <v>0</v>
      </c>
      <c r="C76" s="21">
        <f>COUNTIFS('Grocery Spending'!$E$5:$E$404,$A76,'Grocery Spending'!$A$5:$A$404,"&gt;="&amp;$A$7,'Grocery Spending'!$A$5:$A$404,"&lt;="&amp;$B$7)</f>
        <v>0</v>
      </c>
      <c r="D76" s="14">
        <f>IFERROR(INDEX(Ingredients!$AG$5:$AG$304,MATCH($A76,Ingredients!$A$5:$A$304,0)),"")</f>
        <v>0</v>
      </c>
      <c r="E76" s="14">
        <f>IFERROR(INDEX(Ingredients!$AH$5:$AH$304,MATCH($A76,Ingredients!$A$5:$A$304,0)),"")</f>
        <v>0</v>
      </c>
    </row>
    <row r="78" spans="1:5">
      <c r="A78" s="24" t="s">
        <v>711</v>
      </c>
      <c r="B78" s="24"/>
      <c r="C78" s="24"/>
      <c r="D78" s="24"/>
    </row>
  </sheetData>
  <sheetProtection password="EC7C" sheet="1" objects="1" scenarios="1" selectLockedCells="1" selectUnlockedCells="1"/>
  <mergeCells count="11">
    <mergeCell ref="A1:E1"/>
    <mergeCell ref="A2:E2"/>
    <mergeCell ref="A3:E3"/>
    <mergeCell ref="A5:E5"/>
    <mergeCell ref="A9:E9"/>
    <mergeCell ref="A24:E24"/>
    <mergeCell ref="A31:E31"/>
    <mergeCell ref="A44:E44"/>
    <mergeCell ref="A56:E56"/>
    <mergeCell ref="A67:E67"/>
    <mergeCell ref="A78:D78"/>
  </mergeCells>
  <pageMargins left="0.7" right="0.7" top="0.75" bottom="0.75" header="0.3" footer="0.3"/>
  <pageSetup paperSize="9" fitToHeight="0" orientation="landscape"/>
</worksheet>
</file>

<file path=xl/worksheets/sheet33.xml><?xml version="1.0" encoding="utf-8"?>
<worksheet xmlns="http://schemas.openxmlformats.org/spreadsheetml/2006/main" xmlns:r="http://schemas.openxmlformats.org/officeDocument/2006/relationships">
  <sheetPr>
    <tabColor rgb="FFD9703C"/>
    <pageSetUpPr fitToPage="1"/>
  </sheetPr>
  <dimension ref="A1:K12"/>
  <sheetViews>
    <sheetView showGridLines="0" workbookViewId="0"/>
  </sheetViews>
  <sheetFormatPr defaultRowHeight="15"/>
  <cols>
    <col min="1" max="1" width="18.7109375" customWidth="1"/>
    <col min="2" max="2" width="16.7109375" customWidth="1"/>
    <col min="3" max="4" width="12.7109375" customWidth="1"/>
    <col min="5" max="7" width="26.7109375" customWidth="1"/>
    <col min="8" max="8" width="20.7109375" customWidth="1"/>
    <col min="9" max="9" width="10.7109375" customWidth="1"/>
    <col min="10" max="10" width="22.7109375" customWidth="1"/>
  </cols>
  <sheetData>
    <row r="1" spans="1:11" ht="34" customHeight="1">
      <c r="A1" s="1" t="s">
        <v>712</v>
      </c>
      <c r="B1" s="1"/>
      <c r="C1" s="1"/>
      <c r="D1" s="1"/>
      <c r="E1" s="1"/>
      <c r="F1" s="1"/>
      <c r="G1" s="1"/>
      <c r="H1" s="1"/>
      <c r="I1" s="1"/>
      <c r="J1" s="1"/>
    </row>
    <row r="2" spans="1:11" ht="18" customHeight="1">
      <c r="A2" s="2" t="s">
        <v>713</v>
      </c>
      <c r="B2" s="2"/>
      <c r="C2" s="2"/>
      <c r="D2" s="2"/>
      <c r="E2" s="2"/>
      <c r="F2" s="2"/>
      <c r="G2" s="2"/>
      <c r="H2" s="2"/>
      <c r="I2" s="2"/>
      <c r="J2" s="2"/>
    </row>
    <row r="3" spans="1:11" ht="22" customHeight="1">
      <c r="A3" s="6" t="s">
        <v>107</v>
      </c>
      <c r="B3" s="7" t="s">
        <v>108</v>
      </c>
      <c r="D3" s="6" t="s">
        <v>38</v>
      </c>
      <c r="E3" s="8">
        <f>Household_Name</f>
        <v>0</v>
      </c>
      <c r="G3" s="6" t="s">
        <v>110</v>
      </c>
      <c r="H3" s="13">
        <f>Household_Size</f>
        <v>0</v>
      </c>
      <c r="J3" s="6" t="s">
        <v>64</v>
      </c>
      <c r="K3" s="14">
        <f>Weekly_Budget</f>
        <v>0</v>
      </c>
    </row>
    <row r="4" spans="1:11" ht="26" customHeight="1">
      <c r="A4" s="9"/>
      <c r="B4" s="9"/>
      <c r="C4" s="9" t="s">
        <v>127</v>
      </c>
      <c r="D4" s="9" t="s">
        <v>128</v>
      </c>
      <c r="E4" s="9" t="s">
        <v>129</v>
      </c>
      <c r="F4" s="9" t="s">
        <v>130</v>
      </c>
      <c r="G4" s="9" t="s">
        <v>131</v>
      </c>
      <c r="H4" s="9" t="s">
        <v>171</v>
      </c>
      <c r="I4" s="9" t="s">
        <v>133</v>
      </c>
      <c r="J4" s="9" t="s">
        <v>134</v>
      </c>
    </row>
    <row r="6" spans="1:11" ht="26" customHeight="1">
      <c r="C6" s="12">
        <f>TEXT($B$4+0,"dddd")</f>
        <v>0</v>
      </c>
      <c r="D6" s="18">
        <f>$B$4+0</f>
        <v>0</v>
      </c>
      <c r="E6" s="8">
        <f>IFERROR(INDEX('Meal Plan'!$G$5:$G$504,MATCH(1,INDEX(('Meal Plan'!$B$5:$B$504=$D6)*('Meal Plan'!$F$5:$F$504="Breakfast"),0),0)),"")</f>
        <v>0</v>
      </c>
      <c r="F6" s="8">
        <f>IFERROR(INDEX('Meal Plan'!$G$5:$G$504,MATCH(1,INDEX(('Meal Plan'!$B$5:$B$504=$D6)*('Meal Plan'!$F$5:$F$504="Lunch"),0),0)),"")</f>
        <v>0</v>
      </c>
      <c r="G6" s="8">
        <f>IFERROR(INDEX('Meal Plan'!$G$5:$G$504,MATCH(1,INDEX(('Meal Plan'!$B$5:$B$504=$D6)*('Meal Plan'!$F$5:$F$504="Dinner"),0),0)),"")</f>
        <v>0</v>
      </c>
      <c r="H6" s="8">
        <f>IFERROR(INDEX('Meal Plan'!$G$5:$G$504,MATCH(1,INDEX(('Meal Plan'!$B$5:$B$504=$D6)*('Meal Plan'!$F$5:$F$504="Afternoon snack"),0),0)),"")</f>
        <v>0</v>
      </c>
      <c r="I6" s="13">
        <f>SUMIFS('Meal Plan'!$L$5:$L$504,'Meal Plan'!$B$5:$B$504,$D6)</f>
        <v>0</v>
      </c>
      <c r="J6" s="14">
        <f>SUMIFS('Meal Plan'!$Q$5:$Q$504,'Meal Plan'!$B$5:$B$504,$D6)</f>
        <v>0</v>
      </c>
    </row>
    <row r="7" spans="1:11" ht="26" customHeight="1">
      <c r="C7" s="12">
        <f>TEXT($B$4+1,"dddd")</f>
        <v>0</v>
      </c>
      <c r="D7" s="18">
        <f>$B$4+1</f>
        <v>0</v>
      </c>
      <c r="E7" s="8">
        <f>IFERROR(INDEX('Meal Plan'!$G$5:$G$504,MATCH(1,INDEX(('Meal Plan'!$B$5:$B$504=$D7)*('Meal Plan'!$F$5:$F$504="Breakfast"),0),0)),"")</f>
        <v>0</v>
      </c>
      <c r="F7" s="8">
        <f>IFERROR(INDEX('Meal Plan'!$G$5:$G$504,MATCH(1,INDEX(('Meal Plan'!$B$5:$B$504=$D7)*('Meal Plan'!$F$5:$F$504="Lunch"),0),0)),"")</f>
        <v>0</v>
      </c>
      <c r="G7" s="8">
        <f>IFERROR(INDEX('Meal Plan'!$G$5:$G$504,MATCH(1,INDEX(('Meal Plan'!$B$5:$B$504=$D7)*('Meal Plan'!$F$5:$F$504="Dinner"),0),0)),"")</f>
        <v>0</v>
      </c>
      <c r="H7" s="8">
        <f>IFERROR(INDEX('Meal Plan'!$G$5:$G$504,MATCH(1,INDEX(('Meal Plan'!$B$5:$B$504=$D7)*('Meal Plan'!$F$5:$F$504="Afternoon snack"),0),0)),"")</f>
        <v>0</v>
      </c>
      <c r="I7" s="13">
        <f>SUMIFS('Meal Plan'!$L$5:$L$504,'Meal Plan'!$B$5:$B$504,$D7)</f>
        <v>0</v>
      </c>
      <c r="J7" s="14">
        <f>SUMIFS('Meal Plan'!$Q$5:$Q$504,'Meal Plan'!$B$5:$B$504,$D7)</f>
        <v>0</v>
      </c>
    </row>
    <row r="8" spans="1:11" ht="26" customHeight="1">
      <c r="C8" s="12">
        <f>TEXT($B$4+2,"dddd")</f>
        <v>0</v>
      </c>
      <c r="D8" s="18">
        <f>$B$4+2</f>
        <v>0</v>
      </c>
      <c r="E8" s="8">
        <f>IFERROR(INDEX('Meal Plan'!$G$5:$G$504,MATCH(1,INDEX(('Meal Plan'!$B$5:$B$504=$D8)*('Meal Plan'!$F$5:$F$504="Breakfast"),0),0)),"")</f>
        <v>0</v>
      </c>
      <c r="F8" s="8">
        <f>IFERROR(INDEX('Meal Plan'!$G$5:$G$504,MATCH(1,INDEX(('Meal Plan'!$B$5:$B$504=$D8)*('Meal Plan'!$F$5:$F$504="Lunch"),0),0)),"")</f>
        <v>0</v>
      </c>
      <c r="G8" s="8">
        <f>IFERROR(INDEX('Meal Plan'!$G$5:$G$504,MATCH(1,INDEX(('Meal Plan'!$B$5:$B$504=$D8)*('Meal Plan'!$F$5:$F$504="Dinner"),0),0)),"")</f>
        <v>0</v>
      </c>
      <c r="H8" s="8">
        <f>IFERROR(INDEX('Meal Plan'!$G$5:$G$504,MATCH(1,INDEX(('Meal Plan'!$B$5:$B$504=$D8)*('Meal Plan'!$F$5:$F$504="Afternoon snack"),0),0)),"")</f>
        <v>0</v>
      </c>
      <c r="I8" s="13">
        <f>SUMIFS('Meal Plan'!$L$5:$L$504,'Meal Plan'!$B$5:$B$504,$D8)</f>
        <v>0</v>
      </c>
      <c r="J8" s="14">
        <f>SUMIFS('Meal Plan'!$Q$5:$Q$504,'Meal Plan'!$B$5:$B$504,$D8)</f>
        <v>0</v>
      </c>
    </row>
    <row r="9" spans="1:11" ht="26" customHeight="1">
      <c r="C9" s="12">
        <f>TEXT($B$4+3,"dddd")</f>
        <v>0</v>
      </c>
      <c r="D9" s="18">
        <f>$B$4+3</f>
        <v>0</v>
      </c>
      <c r="E9" s="8">
        <f>IFERROR(INDEX('Meal Plan'!$G$5:$G$504,MATCH(1,INDEX(('Meal Plan'!$B$5:$B$504=$D9)*('Meal Plan'!$F$5:$F$504="Breakfast"),0),0)),"")</f>
        <v>0</v>
      </c>
      <c r="F9" s="8">
        <f>IFERROR(INDEX('Meal Plan'!$G$5:$G$504,MATCH(1,INDEX(('Meal Plan'!$B$5:$B$504=$D9)*('Meal Plan'!$F$5:$F$504="Lunch"),0),0)),"")</f>
        <v>0</v>
      </c>
      <c r="G9" s="8">
        <f>IFERROR(INDEX('Meal Plan'!$G$5:$G$504,MATCH(1,INDEX(('Meal Plan'!$B$5:$B$504=$D9)*('Meal Plan'!$F$5:$F$504="Dinner"),0),0)),"")</f>
        <v>0</v>
      </c>
      <c r="H9" s="8">
        <f>IFERROR(INDEX('Meal Plan'!$G$5:$G$504,MATCH(1,INDEX(('Meal Plan'!$B$5:$B$504=$D9)*('Meal Plan'!$F$5:$F$504="Afternoon snack"),0),0)),"")</f>
        <v>0</v>
      </c>
      <c r="I9" s="13">
        <f>SUMIFS('Meal Plan'!$L$5:$L$504,'Meal Plan'!$B$5:$B$504,$D9)</f>
        <v>0</v>
      </c>
      <c r="J9" s="14">
        <f>SUMIFS('Meal Plan'!$Q$5:$Q$504,'Meal Plan'!$B$5:$B$504,$D9)</f>
        <v>0</v>
      </c>
    </row>
    <row r="10" spans="1:11" ht="26" customHeight="1">
      <c r="C10" s="12">
        <f>TEXT($B$4+4,"dddd")</f>
        <v>0</v>
      </c>
      <c r="D10" s="18">
        <f>$B$4+4</f>
        <v>0</v>
      </c>
      <c r="E10" s="8">
        <f>IFERROR(INDEX('Meal Plan'!$G$5:$G$504,MATCH(1,INDEX(('Meal Plan'!$B$5:$B$504=$D10)*('Meal Plan'!$F$5:$F$504="Breakfast"),0),0)),"")</f>
        <v>0</v>
      </c>
      <c r="F10" s="8">
        <f>IFERROR(INDEX('Meal Plan'!$G$5:$G$504,MATCH(1,INDEX(('Meal Plan'!$B$5:$B$504=$D10)*('Meal Plan'!$F$5:$F$504="Lunch"),0),0)),"")</f>
        <v>0</v>
      </c>
      <c r="G10" s="8">
        <f>IFERROR(INDEX('Meal Plan'!$G$5:$G$504,MATCH(1,INDEX(('Meal Plan'!$B$5:$B$504=$D10)*('Meal Plan'!$F$5:$F$504="Dinner"),0),0)),"")</f>
        <v>0</v>
      </c>
      <c r="H10" s="8">
        <f>IFERROR(INDEX('Meal Plan'!$G$5:$G$504,MATCH(1,INDEX(('Meal Plan'!$B$5:$B$504=$D10)*('Meal Plan'!$F$5:$F$504="Afternoon snack"),0),0)),"")</f>
        <v>0</v>
      </c>
      <c r="I10" s="13">
        <f>SUMIFS('Meal Plan'!$L$5:$L$504,'Meal Plan'!$B$5:$B$504,$D10)</f>
        <v>0</v>
      </c>
      <c r="J10" s="14">
        <f>SUMIFS('Meal Plan'!$Q$5:$Q$504,'Meal Plan'!$B$5:$B$504,$D10)</f>
        <v>0</v>
      </c>
    </row>
    <row r="11" spans="1:11" ht="26" customHeight="1">
      <c r="C11" s="12">
        <f>TEXT($B$4+5,"dddd")</f>
        <v>0</v>
      </c>
      <c r="D11" s="18">
        <f>$B$4+5</f>
        <v>0</v>
      </c>
      <c r="E11" s="8">
        <f>IFERROR(INDEX('Meal Plan'!$G$5:$G$504,MATCH(1,INDEX(('Meal Plan'!$B$5:$B$504=$D11)*('Meal Plan'!$F$5:$F$504="Breakfast"),0),0)),"")</f>
        <v>0</v>
      </c>
      <c r="F11" s="8">
        <f>IFERROR(INDEX('Meal Plan'!$G$5:$G$504,MATCH(1,INDEX(('Meal Plan'!$B$5:$B$504=$D11)*('Meal Plan'!$F$5:$F$504="Lunch"),0),0)),"")</f>
        <v>0</v>
      </c>
      <c r="G11" s="8">
        <f>IFERROR(INDEX('Meal Plan'!$G$5:$G$504,MATCH(1,INDEX(('Meal Plan'!$B$5:$B$504=$D11)*('Meal Plan'!$F$5:$F$504="Dinner"),0),0)),"")</f>
        <v>0</v>
      </c>
      <c r="H11" s="8">
        <f>IFERROR(INDEX('Meal Plan'!$G$5:$G$504,MATCH(1,INDEX(('Meal Plan'!$B$5:$B$504=$D11)*('Meal Plan'!$F$5:$F$504="Afternoon snack"),0),0)),"")</f>
        <v>0</v>
      </c>
      <c r="I11" s="13">
        <f>SUMIFS('Meal Plan'!$L$5:$L$504,'Meal Plan'!$B$5:$B$504,$D11)</f>
        <v>0</v>
      </c>
      <c r="J11" s="14">
        <f>SUMIFS('Meal Plan'!$Q$5:$Q$504,'Meal Plan'!$B$5:$B$504,$D11)</f>
        <v>0</v>
      </c>
    </row>
    <row r="12" spans="1:11" ht="26" customHeight="1">
      <c r="C12" s="20" t="s">
        <v>185</v>
      </c>
      <c r="D12" s="20"/>
      <c r="E12" s="20"/>
      <c r="F12" s="20"/>
      <c r="G12" s="20"/>
      <c r="H12" s="20"/>
      <c r="I12" s="21">
        <f>SUM($I$6:$I$11)</f>
        <v>0</v>
      </c>
      <c r="J12" s="22">
        <f>SUM($J$6:$J$11)</f>
        <v>0</v>
      </c>
    </row>
  </sheetData>
  <sheetProtection password="EC7C" sheet="1" objects="1" scenarios="1" selectLockedCells="1" selectUnlockedCells="1"/>
  <mergeCells count="2">
    <mergeCell ref="A1:J1"/>
    <mergeCell ref="A2:J2"/>
  </mergeCells>
  <printOptions horizontalCentered="1"/>
  <pageMargins left="0.5" right="0.5" top="0.6" bottom="0.6" header="0.3" footer="0.3"/>
  <pageSetup paperSize="9" orientation="portrait"/>
  <headerFooter>
    <oddHeader>&amp;L&amp;"Calibri,Bold"Automated Meal Planner &amp; Grocery List Spreadsheet&amp;R&amp;"Calibri,Italic"Weekly meal plan</oddHeader>
    <oddFooter>&amp;L&amp;D&amp;RPage &amp;P of &amp;N</oddFooter>
  </headerFooter>
</worksheet>
</file>

<file path=xl/worksheets/sheet34.xml><?xml version="1.0" encoding="utf-8"?>
<worksheet xmlns="http://schemas.openxmlformats.org/spreadsheetml/2006/main" xmlns:r="http://schemas.openxmlformats.org/officeDocument/2006/relationships">
  <sheetPr>
    <tabColor rgb="FFD9703C"/>
    <pageSetUpPr fitToPage="1"/>
  </sheetPr>
  <dimension ref="A1:I65"/>
  <sheetViews>
    <sheetView showGridLines="0" workbookViewId="0"/>
  </sheetViews>
  <sheetFormatPr defaultRowHeight="15"/>
  <cols>
    <col min="1" max="1" width="14.7109375" customWidth="1"/>
    <col min="2" max="2" width="18.7109375" customWidth="1"/>
    <col min="3" max="3" width="28.7109375" customWidth="1"/>
    <col min="4" max="4" width="18.7109375" customWidth="1"/>
    <col min="5" max="5" width="11.7109375" customWidth="1"/>
    <col min="6" max="6" width="10.7109375" customWidth="1"/>
    <col min="7" max="7" width="18.7109375" customWidth="1"/>
    <col min="8" max="8" width="9.7109375" customWidth="1"/>
    <col min="9" max="9" width="24.7109375" customWidth="1"/>
  </cols>
  <sheetData>
    <row r="1" spans="1:9" ht="34" customHeight="1">
      <c r="A1" s="1" t="s">
        <v>714</v>
      </c>
      <c r="B1" s="1"/>
      <c r="C1" s="1"/>
      <c r="D1" s="1"/>
      <c r="E1" s="1"/>
      <c r="F1" s="1"/>
      <c r="G1" s="1"/>
      <c r="H1" s="1"/>
      <c r="I1" s="1"/>
    </row>
    <row r="2" spans="1:9" ht="18" customHeight="1">
      <c r="A2" s="2" t="s">
        <v>715</v>
      </c>
      <c r="B2" s="2"/>
      <c r="C2" s="2"/>
      <c r="D2" s="2"/>
      <c r="E2" s="2"/>
      <c r="F2" s="2"/>
      <c r="G2" s="2"/>
      <c r="H2" s="2"/>
      <c r="I2" s="2"/>
    </row>
    <row r="3" spans="1:9" ht="22" customHeight="1">
      <c r="A3" s="6" t="s">
        <v>384</v>
      </c>
      <c r="B3" s="7" t="s">
        <v>664</v>
      </c>
      <c r="D3" s="6" t="s">
        <v>107</v>
      </c>
      <c r="E3" s="18">
        <f>Print_Week_Start</f>
        <v>0</v>
      </c>
      <c r="G3" s="6" t="s">
        <v>64</v>
      </c>
      <c r="H3" s="14">
        <f>Weekly_Budget</f>
        <v>0</v>
      </c>
    </row>
    <row r="4" spans="1:9" ht="24" customHeight="1">
      <c r="A4" s="9"/>
      <c r="B4" s="9"/>
      <c r="C4" s="9" t="s">
        <v>147</v>
      </c>
      <c r="D4" s="9" t="s">
        <v>385</v>
      </c>
      <c r="E4" s="9" t="s">
        <v>149</v>
      </c>
      <c r="F4" s="9" t="s">
        <v>323</v>
      </c>
      <c r="G4" s="9" t="s">
        <v>384</v>
      </c>
      <c r="H4" s="9" t="s">
        <v>716</v>
      </c>
      <c r="I4" s="9" t="s">
        <v>173</v>
      </c>
    </row>
    <row r="6" spans="1:9" ht="20" customHeight="1">
      <c r="A6" s="19">
        <v>1</v>
      </c>
      <c r="C6" s="8">
        <f>IFERROR(INDEX('Grocery List'!$A$5:$A$304,MATCH($A6,'Grocery List'!$U$5:$U$304,0)),"")</f>
        <v>0</v>
      </c>
      <c r="D6" s="8">
        <f>IFERROR(INDEX('Grocery List'!$B$5:$B$304,MATCH($A6,'Grocery List'!$U$5:$U$304,0)),"")</f>
        <v>0</v>
      </c>
      <c r="E6" s="13">
        <f>IFERROR(INDEX('Grocery List'!$C$5:$C$304,MATCH($A6,'Grocery List'!$U$5:$U$304,0)),"")</f>
        <v>0</v>
      </c>
      <c r="F6" s="8">
        <f>IFERROR(INDEX('Grocery List'!$D$5:$D$304,MATCH($A6,'Grocery List'!$U$5:$U$304,0)),"")</f>
        <v>0</v>
      </c>
      <c r="G6" s="8">
        <f>IFERROR(INDEX('Grocery List'!$E$5:$E$304,MATCH($A6,'Grocery List'!$U$5:$U$304,0)),"")</f>
        <v>0</v>
      </c>
      <c r="H6" s="8">
        <f>IFERROR(INDEX('Grocery List'!$O$5:$O$304,MATCH($A6,'Grocery List'!$U$5:$U$304,0)),"")</f>
        <v>0</v>
      </c>
      <c r="I6" s="8">
        <f>IFERROR(INDEX('Grocery List'!$AA$5:$AA$304,MATCH($A6,'Grocery List'!$U$5:$U$304,0)),"")</f>
        <v>0</v>
      </c>
    </row>
    <row r="7" spans="1:9" ht="20" customHeight="1">
      <c r="A7" s="19">
        <v>2</v>
      </c>
      <c r="C7" s="8">
        <f>IFERROR(INDEX('Grocery List'!$A$5:$A$304,MATCH($A7,'Grocery List'!$U$5:$U$304,0)),"")</f>
        <v>0</v>
      </c>
      <c r="D7" s="8">
        <f>IFERROR(INDEX('Grocery List'!$B$5:$B$304,MATCH($A7,'Grocery List'!$U$5:$U$304,0)),"")</f>
        <v>0</v>
      </c>
      <c r="E7" s="13">
        <f>IFERROR(INDEX('Grocery List'!$C$5:$C$304,MATCH($A7,'Grocery List'!$U$5:$U$304,0)),"")</f>
        <v>0</v>
      </c>
      <c r="F7" s="8">
        <f>IFERROR(INDEX('Grocery List'!$D$5:$D$304,MATCH($A7,'Grocery List'!$U$5:$U$304,0)),"")</f>
        <v>0</v>
      </c>
      <c r="G7" s="8">
        <f>IFERROR(INDEX('Grocery List'!$E$5:$E$304,MATCH($A7,'Grocery List'!$U$5:$U$304,0)),"")</f>
        <v>0</v>
      </c>
      <c r="H7" s="8">
        <f>IFERROR(INDEX('Grocery List'!$O$5:$O$304,MATCH($A7,'Grocery List'!$U$5:$U$304,0)),"")</f>
        <v>0</v>
      </c>
      <c r="I7" s="8">
        <f>IFERROR(INDEX('Grocery List'!$AA$5:$AA$304,MATCH($A7,'Grocery List'!$U$5:$U$304,0)),"")</f>
        <v>0</v>
      </c>
    </row>
    <row r="8" spans="1:9" ht="20" customHeight="1">
      <c r="A8" s="19">
        <v>3</v>
      </c>
      <c r="C8" s="8">
        <f>IFERROR(INDEX('Grocery List'!$A$5:$A$304,MATCH($A8,'Grocery List'!$U$5:$U$304,0)),"")</f>
        <v>0</v>
      </c>
      <c r="D8" s="8">
        <f>IFERROR(INDEX('Grocery List'!$B$5:$B$304,MATCH($A8,'Grocery List'!$U$5:$U$304,0)),"")</f>
        <v>0</v>
      </c>
      <c r="E8" s="13">
        <f>IFERROR(INDEX('Grocery List'!$C$5:$C$304,MATCH($A8,'Grocery List'!$U$5:$U$304,0)),"")</f>
        <v>0</v>
      </c>
      <c r="F8" s="8">
        <f>IFERROR(INDEX('Grocery List'!$D$5:$D$304,MATCH($A8,'Grocery List'!$U$5:$U$304,0)),"")</f>
        <v>0</v>
      </c>
      <c r="G8" s="8">
        <f>IFERROR(INDEX('Grocery List'!$E$5:$E$304,MATCH($A8,'Grocery List'!$U$5:$U$304,0)),"")</f>
        <v>0</v>
      </c>
      <c r="H8" s="8">
        <f>IFERROR(INDEX('Grocery List'!$O$5:$O$304,MATCH($A8,'Grocery List'!$U$5:$U$304,0)),"")</f>
        <v>0</v>
      </c>
      <c r="I8" s="8">
        <f>IFERROR(INDEX('Grocery List'!$AA$5:$AA$304,MATCH($A8,'Grocery List'!$U$5:$U$304,0)),"")</f>
        <v>0</v>
      </c>
    </row>
    <row r="9" spans="1:9" ht="20" customHeight="1">
      <c r="A9" s="19">
        <v>4</v>
      </c>
      <c r="C9" s="8">
        <f>IFERROR(INDEX('Grocery List'!$A$5:$A$304,MATCH($A9,'Grocery List'!$U$5:$U$304,0)),"")</f>
        <v>0</v>
      </c>
      <c r="D9" s="8">
        <f>IFERROR(INDEX('Grocery List'!$B$5:$B$304,MATCH($A9,'Grocery List'!$U$5:$U$304,0)),"")</f>
        <v>0</v>
      </c>
      <c r="E9" s="13">
        <f>IFERROR(INDEX('Grocery List'!$C$5:$C$304,MATCH($A9,'Grocery List'!$U$5:$U$304,0)),"")</f>
        <v>0</v>
      </c>
      <c r="F9" s="8">
        <f>IFERROR(INDEX('Grocery List'!$D$5:$D$304,MATCH($A9,'Grocery List'!$U$5:$U$304,0)),"")</f>
        <v>0</v>
      </c>
      <c r="G9" s="8">
        <f>IFERROR(INDEX('Grocery List'!$E$5:$E$304,MATCH($A9,'Grocery List'!$U$5:$U$304,0)),"")</f>
        <v>0</v>
      </c>
      <c r="H9" s="8">
        <f>IFERROR(INDEX('Grocery List'!$O$5:$O$304,MATCH($A9,'Grocery List'!$U$5:$U$304,0)),"")</f>
        <v>0</v>
      </c>
      <c r="I9" s="8">
        <f>IFERROR(INDEX('Grocery List'!$AA$5:$AA$304,MATCH($A9,'Grocery List'!$U$5:$U$304,0)),"")</f>
        <v>0</v>
      </c>
    </row>
    <row r="10" spans="1:9" ht="20" customHeight="1">
      <c r="A10" s="19">
        <v>5</v>
      </c>
      <c r="C10" s="8">
        <f>IFERROR(INDEX('Grocery List'!$A$5:$A$304,MATCH($A10,'Grocery List'!$U$5:$U$304,0)),"")</f>
        <v>0</v>
      </c>
      <c r="D10" s="8">
        <f>IFERROR(INDEX('Grocery List'!$B$5:$B$304,MATCH($A10,'Grocery List'!$U$5:$U$304,0)),"")</f>
        <v>0</v>
      </c>
      <c r="E10" s="13">
        <f>IFERROR(INDEX('Grocery List'!$C$5:$C$304,MATCH($A10,'Grocery List'!$U$5:$U$304,0)),"")</f>
        <v>0</v>
      </c>
      <c r="F10" s="8">
        <f>IFERROR(INDEX('Grocery List'!$D$5:$D$304,MATCH($A10,'Grocery List'!$U$5:$U$304,0)),"")</f>
        <v>0</v>
      </c>
      <c r="G10" s="8">
        <f>IFERROR(INDEX('Grocery List'!$E$5:$E$304,MATCH($A10,'Grocery List'!$U$5:$U$304,0)),"")</f>
        <v>0</v>
      </c>
      <c r="H10" s="8">
        <f>IFERROR(INDEX('Grocery List'!$O$5:$O$304,MATCH($A10,'Grocery List'!$U$5:$U$304,0)),"")</f>
        <v>0</v>
      </c>
      <c r="I10" s="8">
        <f>IFERROR(INDEX('Grocery List'!$AA$5:$AA$304,MATCH($A10,'Grocery List'!$U$5:$U$304,0)),"")</f>
        <v>0</v>
      </c>
    </row>
    <row r="11" spans="1:9" ht="20" customHeight="1">
      <c r="A11" s="19">
        <v>6</v>
      </c>
      <c r="C11" s="8">
        <f>IFERROR(INDEX('Grocery List'!$A$5:$A$304,MATCH($A11,'Grocery List'!$U$5:$U$304,0)),"")</f>
        <v>0</v>
      </c>
      <c r="D11" s="8">
        <f>IFERROR(INDEX('Grocery List'!$B$5:$B$304,MATCH($A11,'Grocery List'!$U$5:$U$304,0)),"")</f>
        <v>0</v>
      </c>
      <c r="E11" s="13">
        <f>IFERROR(INDEX('Grocery List'!$C$5:$C$304,MATCH($A11,'Grocery List'!$U$5:$U$304,0)),"")</f>
        <v>0</v>
      </c>
      <c r="F11" s="8">
        <f>IFERROR(INDEX('Grocery List'!$D$5:$D$304,MATCH($A11,'Grocery List'!$U$5:$U$304,0)),"")</f>
        <v>0</v>
      </c>
      <c r="G11" s="8">
        <f>IFERROR(INDEX('Grocery List'!$E$5:$E$304,MATCH($A11,'Grocery List'!$U$5:$U$304,0)),"")</f>
        <v>0</v>
      </c>
      <c r="H11" s="8">
        <f>IFERROR(INDEX('Grocery List'!$O$5:$O$304,MATCH($A11,'Grocery List'!$U$5:$U$304,0)),"")</f>
        <v>0</v>
      </c>
      <c r="I11" s="8">
        <f>IFERROR(INDEX('Grocery List'!$AA$5:$AA$304,MATCH($A11,'Grocery List'!$U$5:$U$304,0)),"")</f>
        <v>0</v>
      </c>
    </row>
    <row r="12" spans="1:9" ht="20" customHeight="1">
      <c r="A12" s="19">
        <v>7</v>
      </c>
      <c r="C12" s="8">
        <f>IFERROR(INDEX('Grocery List'!$A$5:$A$304,MATCH($A12,'Grocery List'!$U$5:$U$304,0)),"")</f>
        <v>0</v>
      </c>
      <c r="D12" s="8">
        <f>IFERROR(INDEX('Grocery List'!$B$5:$B$304,MATCH($A12,'Grocery List'!$U$5:$U$304,0)),"")</f>
        <v>0</v>
      </c>
      <c r="E12" s="13">
        <f>IFERROR(INDEX('Grocery List'!$C$5:$C$304,MATCH($A12,'Grocery List'!$U$5:$U$304,0)),"")</f>
        <v>0</v>
      </c>
      <c r="F12" s="8">
        <f>IFERROR(INDEX('Grocery List'!$D$5:$D$304,MATCH($A12,'Grocery List'!$U$5:$U$304,0)),"")</f>
        <v>0</v>
      </c>
      <c r="G12" s="8">
        <f>IFERROR(INDEX('Grocery List'!$E$5:$E$304,MATCH($A12,'Grocery List'!$U$5:$U$304,0)),"")</f>
        <v>0</v>
      </c>
      <c r="H12" s="8">
        <f>IFERROR(INDEX('Grocery List'!$O$5:$O$304,MATCH($A12,'Grocery List'!$U$5:$U$304,0)),"")</f>
        <v>0</v>
      </c>
      <c r="I12" s="8">
        <f>IFERROR(INDEX('Grocery List'!$AA$5:$AA$304,MATCH($A12,'Grocery List'!$U$5:$U$304,0)),"")</f>
        <v>0</v>
      </c>
    </row>
    <row r="13" spans="1:9" ht="20" customHeight="1">
      <c r="A13" s="19">
        <v>8</v>
      </c>
      <c r="C13" s="8">
        <f>IFERROR(INDEX('Grocery List'!$A$5:$A$304,MATCH($A13,'Grocery List'!$U$5:$U$304,0)),"")</f>
        <v>0</v>
      </c>
      <c r="D13" s="8">
        <f>IFERROR(INDEX('Grocery List'!$B$5:$B$304,MATCH($A13,'Grocery List'!$U$5:$U$304,0)),"")</f>
        <v>0</v>
      </c>
      <c r="E13" s="13">
        <f>IFERROR(INDEX('Grocery List'!$C$5:$C$304,MATCH($A13,'Grocery List'!$U$5:$U$304,0)),"")</f>
        <v>0</v>
      </c>
      <c r="F13" s="8">
        <f>IFERROR(INDEX('Grocery List'!$D$5:$D$304,MATCH($A13,'Grocery List'!$U$5:$U$304,0)),"")</f>
        <v>0</v>
      </c>
      <c r="G13" s="8">
        <f>IFERROR(INDEX('Grocery List'!$E$5:$E$304,MATCH($A13,'Grocery List'!$U$5:$U$304,0)),"")</f>
        <v>0</v>
      </c>
      <c r="H13" s="8">
        <f>IFERROR(INDEX('Grocery List'!$O$5:$O$304,MATCH($A13,'Grocery List'!$U$5:$U$304,0)),"")</f>
        <v>0</v>
      </c>
      <c r="I13" s="8">
        <f>IFERROR(INDEX('Grocery List'!$AA$5:$AA$304,MATCH($A13,'Grocery List'!$U$5:$U$304,0)),"")</f>
        <v>0</v>
      </c>
    </row>
    <row r="14" spans="1:9" ht="20" customHeight="1">
      <c r="A14" s="19">
        <v>9</v>
      </c>
      <c r="C14" s="8">
        <f>IFERROR(INDEX('Grocery List'!$A$5:$A$304,MATCH($A14,'Grocery List'!$U$5:$U$304,0)),"")</f>
        <v>0</v>
      </c>
      <c r="D14" s="8">
        <f>IFERROR(INDEX('Grocery List'!$B$5:$B$304,MATCH($A14,'Grocery List'!$U$5:$U$304,0)),"")</f>
        <v>0</v>
      </c>
      <c r="E14" s="13">
        <f>IFERROR(INDEX('Grocery List'!$C$5:$C$304,MATCH($A14,'Grocery List'!$U$5:$U$304,0)),"")</f>
        <v>0</v>
      </c>
      <c r="F14" s="8">
        <f>IFERROR(INDEX('Grocery List'!$D$5:$D$304,MATCH($A14,'Grocery List'!$U$5:$U$304,0)),"")</f>
        <v>0</v>
      </c>
      <c r="G14" s="8">
        <f>IFERROR(INDEX('Grocery List'!$E$5:$E$304,MATCH($A14,'Grocery List'!$U$5:$U$304,0)),"")</f>
        <v>0</v>
      </c>
      <c r="H14" s="8">
        <f>IFERROR(INDEX('Grocery List'!$O$5:$O$304,MATCH($A14,'Grocery List'!$U$5:$U$304,0)),"")</f>
        <v>0</v>
      </c>
      <c r="I14" s="8">
        <f>IFERROR(INDEX('Grocery List'!$AA$5:$AA$304,MATCH($A14,'Grocery List'!$U$5:$U$304,0)),"")</f>
        <v>0</v>
      </c>
    </row>
    <row r="15" spans="1:9" ht="20" customHeight="1">
      <c r="A15" s="19">
        <v>10</v>
      </c>
      <c r="C15" s="8">
        <f>IFERROR(INDEX('Grocery List'!$A$5:$A$304,MATCH($A15,'Grocery List'!$U$5:$U$304,0)),"")</f>
        <v>0</v>
      </c>
      <c r="D15" s="8">
        <f>IFERROR(INDEX('Grocery List'!$B$5:$B$304,MATCH($A15,'Grocery List'!$U$5:$U$304,0)),"")</f>
        <v>0</v>
      </c>
      <c r="E15" s="13">
        <f>IFERROR(INDEX('Grocery List'!$C$5:$C$304,MATCH($A15,'Grocery List'!$U$5:$U$304,0)),"")</f>
        <v>0</v>
      </c>
      <c r="F15" s="8">
        <f>IFERROR(INDEX('Grocery List'!$D$5:$D$304,MATCH($A15,'Grocery List'!$U$5:$U$304,0)),"")</f>
        <v>0</v>
      </c>
      <c r="G15" s="8">
        <f>IFERROR(INDEX('Grocery List'!$E$5:$E$304,MATCH($A15,'Grocery List'!$U$5:$U$304,0)),"")</f>
        <v>0</v>
      </c>
      <c r="H15" s="8">
        <f>IFERROR(INDEX('Grocery List'!$O$5:$O$304,MATCH($A15,'Grocery List'!$U$5:$U$304,0)),"")</f>
        <v>0</v>
      </c>
      <c r="I15" s="8">
        <f>IFERROR(INDEX('Grocery List'!$AA$5:$AA$304,MATCH($A15,'Grocery List'!$U$5:$U$304,0)),"")</f>
        <v>0</v>
      </c>
    </row>
    <row r="16" spans="1:9" ht="20" customHeight="1">
      <c r="A16" s="19">
        <v>11</v>
      </c>
      <c r="C16" s="8">
        <f>IFERROR(INDEX('Grocery List'!$A$5:$A$304,MATCH($A16,'Grocery List'!$U$5:$U$304,0)),"")</f>
        <v>0</v>
      </c>
      <c r="D16" s="8">
        <f>IFERROR(INDEX('Grocery List'!$B$5:$B$304,MATCH($A16,'Grocery List'!$U$5:$U$304,0)),"")</f>
        <v>0</v>
      </c>
      <c r="E16" s="13">
        <f>IFERROR(INDEX('Grocery List'!$C$5:$C$304,MATCH($A16,'Grocery List'!$U$5:$U$304,0)),"")</f>
        <v>0</v>
      </c>
      <c r="F16" s="8">
        <f>IFERROR(INDEX('Grocery List'!$D$5:$D$304,MATCH($A16,'Grocery List'!$U$5:$U$304,0)),"")</f>
        <v>0</v>
      </c>
      <c r="G16" s="8">
        <f>IFERROR(INDEX('Grocery List'!$E$5:$E$304,MATCH($A16,'Grocery List'!$U$5:$U$304,0)),"")</f>
        <v>0</v>
      </c>
      <c r="H16" s="8">
        <f>IFERROR(INDEX('Grocery List'!$O$5:$O$304,MATCH($A16,'Grocery List'!$U$5:$U$304,0)),"")</f>
        <v>0</v>
      </c>
      <c r="I16" s="8">
        <f>IFERROR(INDEX('Grocery List'!$AA$5:$AA$304,MATCH($A16,'Grocery List'!$U$5:$U$304,0)),"")</f>
        <v>0</v>
      </c>
    </row>
    <row r="17" spans="1:9" ht="20" customHeight="1">
      <c r="A17" s="19">
        <v>12</v>
      </c>
      <c r="C17" s="8">
        <f>IFERROR(INDEX('Grocery List'!$A$5:$A$304,MATCH($A17,'Grocery List'!$U$5:$U$304,0)),"")</f>
        <v>0</v>
      </c>
      <c r="D17" s="8">
        <f>IFERROR(INDEX('Grocery List'!$B$5:$B$304,MATCH($A17,'Grocery List'!$U$5:$U$304,0)),"")</f>
        <v>0</v>
      </c>
      <c r="E17" s="13">
        <f>IFERROR(INDEX('Grocery List'!$C$5:$C$304,MATCH($A17,'Grocery List'!$U$5:$U$304,0)),"")</f>
        <v>0</v>
      </c>
      <c r="F17" s="8">
        <f>IFERROR(INDEX('Grocery List'!$D$5:$D$304,MATCH($A17,'Grocery List'!$U$5:$U$304,0)),"")</f>
        <v>0</v>
      </c>
      <c r="G17" s="8">
        <f>IFERROR(INDEX('Grocery List'!$E$5:$E$304,MATCH($A17,'Grocery List'!$U$5:$U$304,0)),"")</f>
        <v>0</v>
      </c>
      <c r="H17" s="8">
        <f>IFERROR(INDEX('Grocery List'!$O$5:$O$304,MATCH($A17,'Grocery List'!$U$5:$U$304,0)),"")</f>
        <v>0</v>
      </c>
      <c r="I17" s="8">
        <f>IFERROR(INDEX('Grocery List'!$AA$5:$AA$304,MATCH($A17,'Grocery List'!$U$5:$U$304,0)),"")</f>
        <v>0</v>
      </c>
    </row>
    <row r="18" spans="1:9" ht="20" customHeight="1">
      <c r="A18" s="19">
        <v>13</v>
      </c>
      <c r="C18" s="8">
        <f>IFERROR(INDEX('Grocery List'!$A$5:$A$304,MATCH($A18,'Grocery List'!$U$5:$U$304,0)),"")</f>
        <v>0</v>
      </c>
      <c r="D18" s="8">
        <f>IFERROR(INDEX('Grocery List'!$B$5:$B$304,MATCH($A18,'Grocery List'!$U$5:$U$304,0)),"")</f>
        <v>0</v>
      </c>
      <c r="E18" s="13">
        <f>IFERROR(INDEX('Grocery List'!$C$5:$C$304,MATCH($A18,'Grocery List'!$U$5:$U$304,0)),"")</f>
        <v>0</v>
      </c>
      <c r="F18" s="8">
        <f>IFERROR(INDEX('Grocery List'!$D$5:$D$304,MATCH($A18,'Grocery List'!$U$5:$U$304,0)),"")</f>
        <v>0</v>
      </c>
      <c r="G18" s="8">
        <f>IFERROR(INDEX('Grocery List'!$E$5:$E$304,MATCH($A18,'Grocery List'!$U$5:$U$304,0)),"")</f>
        <v>0</v>
      </c>
      <c r="H18" s="8">
        <f>IFERROR(INDEX('Grocery List'!$O$5:$O$304,MATCH($A18,'Grocery List'!$U$5:$U$304,0)),"")</f>
        <v>0</v>
      </c>
      <c r="I18" s="8">
        <f>IFERROR(INDEX('Grocery List'!$AA$5:$AA$304,MATCH($A18,'Grocery List'!$U$5:$U$304,0)),"")</f>
        <v>0</v>
      </c>
    </row>
    <row r="19" spans="1:9" ht="20" customHeight="1">
      <c r="A19" s="19">
        <v>14</v>
      </c>
      <c r="C19" s="8">
        <f>IFERROR(INDEX('Grocery List'!$A$5:$A$304,MATCH($A19,'Grocery List'!$U$5:$U$304,0)),"")</f>
        <v>0</v>
      </c>
      <c r="D19" s="8">
        <f>IFERROR(INDEX('Grocery List'!$B$5:$B$304,MATCH($A19,'Grocery List'!$U$5:$U$304,0)),"")</f>
        <v>0</v>
      </c>
      <c r="E19" s="13">
        <f>IFERROR(INDEX('Grocery List'!$C$5:$C$304,MATCH($A19,'Grocery List'!$U$5:$U$304,0)),"")</f>
        <v>0</v>
      </c>
      <c r="F19" s="8">
        <f>IFERROR(INDEX('Grocery List'!$D$5:$D$304,MATCH($A19,'Grocery List'!$U$5:$U$304,0)),"")</f>
        <v>0</v>
      </c>
      <c r="G19" s="8">
        <f>IFERROR(INDEX('Grocery List'!$E$5:$E$304,MATCH($A19,'Grocery List'!$U$5:$U$304,0)),"")</f>
        <v>0</v>
      </c>
      <c r="H19" s="8">
        <f>IFERROR(INDEX('Grocery List'!$O$5:$O$304,MATCH($A19,'Grocery List'!$U$5:$U$304,0)),"")</f>
        <v>0</v>
      </c>
      <c r="I19" s="8">
        <f>IFERROR(INDEX('Grocery List'!$AA$5:$AA$304,MATCH($A19,'Grocery List'!$U$5:$U$304,0)),"")</f>
        <v>0</v>
      </c>
    </row>
    <row r="20" spans="1:9" ht="20" customHeight="1">
      <c r="A20" s="19">
        <v>15</v>
      </c>
      <c r="C20" s="8">
        <f>IFERROR(INDEX('Grocery List'!$A$5:$A$304,MATCH($A20,'Grocery List'!$U$5:$U$304,0)),"")</f>
        <v>0</v>
      </c>
      <c r="D20" s="8">
        <f>IFERROR(INDEX('Grocery List'!$B$5:$B$304,MATCH($A20,'Grocery List'!$U$5:$U$304,0)),"")</f>
        <v>0</v>
      </c>
      <c r="E20" s="13">
        <f>IFERROR(INDEX('Grocery List'!$C$5:$C$304,MATCH($A20,'Grocery List'!$U$5:$U$304,0)),"")</f>
        <v>0</v>
      </c>
      <c r="F20" s="8">
        <f>IFERROR(INDEX('Grocery List'!$D$5:$D$304,MATCH($A20,'Grocery List'!$U$5:$U$304,0)),"")</f>
        <v>0</v>
      </c>
      <c r="G20" s="8">
        <f>IFERROR(INDEX('Grocery List'!$E$5:$E$304,MATCH($A20,'Grocery List'!$U$5:$U$304,0)),"")</f>
        <v>0</v>
      </c>
      <c r="H20" s="8">
        <f>IFERROR(INDEX('Grocery List'!$O$5:$O$304,MATCH($A20,'Grocery List'!$U$5:$U$304,0)),"")</f>
        <v>0</v>
      </c>
      <c r="I20" s="8">
        <f>IFERROR(INDEX('Grocery List'!$AA$5:$AA$304,MATCH($A20,'Grocery List'!$U$5:$U$304,0)),"")</f>
        <v>0</v>
      </c>
    </row>
    <row r="21" spans="1:9" ht="20" customHeight="1">
      <c r="A21" s="19">
        <v>16</v>
      </c>
      <c r="C21" s="8">
        <f>IFERROR(INDEX('Grocery List'!$A$5:$A$304,MATCH($A21,'Grocery List'!$U$5:$U$304,0)),"")</f>
        <v>0</v>
      </c>
      <c r="D21" s="8">
        <f>IFERROR(INDEX('Grocery List'!$B$5:$B$304,MATCH($A21,'Grocery List'!$U$5:$U$304,0)),"")</f>
        <v>0</v>
      </c>
      <c r="E21" s="13">
        <f>IFERROR(INDEX('Grocery List'!$C$5:$C$304,MATCH($A21,'Grocery List'!$U$5:$U$304,0)),"")</f>
        <v>0</v>
      </c>
      <c r="F21" s="8">
        <f>IFERROR(INDEX('Grocery List'!$D$5:$D$304,MATCH($A21,'Grocery List'!$U$5:$U$304,0)),"")</f>
        <v>0</v>
      </c>
      <c r="G21" s="8">
        <f>IFERROR(INDEX('Grocery List'!$E$5:$E$304,MATCH($A21,'Grocery List'!$U$5:$U$304,0)),"")</f>
        <v>0</v>
      </c>
      <c r="H21" s="8">
        <f>IFERROR(INDEX('Grocery List'!$O$5:$O$304,MATCH($A21,'Grocery List'!$U$5:$U$304,0)),"")</f>
        <v>0</v>
      </c>
      <c r="I21" s="8">
        <f>IFERROR(INDEX('Grocery List'!$AA$5:$AA$304,MATCH($A21,'Grocery List'!$U$5:$U$304,0)),"")</f>
        <v>0</v>
      </c>
    </row>
    <row r="22" spans="1:9" ht="20" customHeight="1">
      <c r="A22" s="19">
        <v>17</v>
      </c>
      <c r="C22" s="8">
        <f>IFERROR(INDEX('Grocery List'!$A$5:$A$304,MATCH($A22,'Grocery List'!$U$5:$U$304,0)),"")</f>
        <v>0</v>
      </c>
      <c r="D22" s="8">
        <f>IFERROR(INDEX('Grocery List'!$B$5:$B$304,MATCH($A22,'Grocery List'!$U$5:$U$304,0)),"")</f>
        <v>0</v>
      </c>
      <c r="E22" s="13">
        <f>IFERROR(INDEX('Grocery List'!$C$5:$C$304,MATCH($A22,'Grocery List'!$U$5:$U$304,0)),"")</f>
        <v>0</v>
      </c>
      <c r="F22" s="8">
        <f>IFERROR(INDEX('Grocery List'!$D$5:$D$304,MATCH($A22,'Grocery List'!$U$5:$U$304,0)),"")</f>
        <v>0</v>
      </c>
      <c r="G22" s="8">
        <f>IFERROR(INDEX('Grocery List'!$E$5:$E$304,MATCH($A22,'Grocery List'!$U$5:$U$304,0)),"")</f>
        <v>0</v>
      </c>
      <c r="H22" s="8">
        <f>IFERROR(INDEX('Grocery List'!$O$5:$O$304,MATCH($A22,'Grocery List'!$U$5:$U$304,0)),"")</f>
        <v>0</v>
      </c>
      <c r="I22" s="8">
        <f>IFERROR(INDEX('Grocery List'!$AA$5:$AA$304,MATCH($A22,'Grocery List'!$U$5:$U$304,0)),"")</f>
        <v>0</v>
      </c>
    </row>
    <row r="23" spans="1:9" ht="20" customHeight="1">
      <c r="A23" s="19">
        <v>18</v>
      </c>
      <c r="C23" s="8">
        <f>IFERROR(INDEX('Grocery List'!$A$5:$A$304,MATCH($A23,'Grocery List'!$U$5:$U$304,0)),"")</f>
        <v>0</v>
      </c>
      <c r="D23" s="8">
        <f>IFERROR(INDEX('Grocery List'!$B$5:$B$304,MATCH($A23,'Grocery List'!$U$5:$U$304,0)),"")</f>
        <v>0</v>
      </c>
      <c r="E23" s="13">
        <f>IFERROR(INDEX('Grocery List'!$C$5:$C$304,MATCH($A23,'Grocery List'!$U$5:$U$304,0)),"")</f>
        <v>0</v>
      </c>
      <c r="F23" s="8">
        <f>IFERROR(INDEX('Grocery List'!$D$5:$D$304,MATCH($A23,'Grocery List'!$U$5:$U$304,0)),"")</f>
        <v>0</v>
      </c>
      <c r="G23" s="8">
        <f>IFERROR(INDEX('Grocery List'!$E$5:$E$304,MATCH($A23,'Grocery List'!$U$5:$U$304,0)),"")</f>
        <v>0</v>
      </c>
      <c r="H23" s="8">
        <f>IFERROR(INDEX('Grocery List'!$O$5:$O$304,MATCH($A23,'Grocery List'!$U$5:$U$304,0)),"")</f>
        <v>0</v>
      </c>
      <c r="I23" s="8">
        <f>IFERROR(INDEX('Grocery List'!$AA$5:$AA$304,MATCH($A23,'Grocery List'!$U$5:$U$304,0)),"")</f>
        <v>0</v>
      </c>
    </row>
    <row r="24" spans="1:9" ht="20" customHeight="1">
      <c r="A24" s="19">
        <v>19</v>
      </c>
      <c r="C24" s="8">
        <f>IFERROR(INDEX('Grocery List'!$A$5:$A$304,MATCH($A24,'Grocery List'!$U$5:$U$304,0)),"")</f>
        <v>0</v>
      </c>
      <c r="D24" s="8">
        <f>IFERROR(INDEX('Grocery List'!$B$5:$B$304,MATCH($A24,'Grocery List'!$U$5:$U$304,0)),"")</f>
        <v>0</v>
      </c>
      <c r="E24" s="13">
        <f>IFERROR(INDEX('Grocery List'!$C$5:$C$304,MATCH($A24,'Grocery List'!$U$5:$U$304,0)),"")</f>
        <v>0</v>
      </c>
      <c r="F24" s="8">
        <f>IFERROR(INDEX('Grocery List'!$D$5:$D$304,MATCH($A24,'Grocery List'!$U$5:$U$304,0)),"")</f>
        <v>0</v>
      </c>
      <c r="G24" s="8">
        <f>IFERROR(INDEX('Grocery List'!$E$5:$E$304,MATCH($A24,'Grocery List'!$U$5:$U$304,0)),"")</f>
        <v>0</v>
      </c>
      <c r="H24" s="8">
        <f>IFERROR(INDEX('Grocery List'!$O$5:$O$304,MATCH($A24,'Grocery List'!$U$5:$U$304,0)),"")</f>
        <v>0</v>
      </c>
      <c r="I24" s="8">
        <f>IFERROR(INDEX('Grocery List'!$AA$5:$AA$304,MATCH($A24,'Grocery List'!$U$5:$U$304,0)),"")</f>
        <v>0</v>
      </c>
    </row>
    <row r="25" spans="1:9" ht="20" customHeight="1">
      <c r="A25" s="19">
        <v>20</v>
      </c>
      <c r="C25" s="8">
        <f>IFERROR(INDEX('Grocery List'!$A$5:$A$304,MATCH($A25,'Grocery List'!$U$5:$U$304,0)),"")</f>
        <v>0</v>
      </c>
      <c r="D25" s="8">
        <f>IFERROR(INDEX('Grocery List'!$B$5:$B$304,MATCH($A25,'Grocery List'!$U$5:$U$304,0)),"")</f>
        <v>0</v>
      </c>
      <c r="E25" s="13">
        <f>IFERROR(INDEX('Grocery List'!$C$5:$C$304,MATCH($A25,'Grocery List'!$U$5:$U$304,0)),"")</f>
        <v>0</v>
      </c>
      <c r="F25" s="8">
        <f>IFERROR(INDEX('Grocery List'!$D$5:$D$304,MATCH($A25,'Grocery List'!$U$5:$U$304,0)),"")</f>
        <v>0</v>
      </c>
      <c r="G25" s="8">
        <f>IFERROR(INDEX('Grocery List'!$E$5:$E$304,MATCH($A25,'Grocery List'!$U$5:$U$304,0)),"")</f>
        <v>0</v>
      </c>
      <c r="H25" s="8">
        <f>IFERROR(INDEX('Grocery List'!$O$5:$O$304,MATCH($A25,'Grocery List'!$U$5:$U$304,0)),"")</f>
        <v>0</v>
      </c>
      <c r="I25" s="8">
        <f>IFERROR(INDEX('Grocery List'!$AA$5:$AA$304,MATCH($A25,'Grocery List'!$U$5:$U$304,0)),"")</f>
        <v>0</v>
      </c>
    </row>
    <row r="26" spans="1:9" ht="20" customHeight="1">
      <c r="A26" s="19">
        <v>21</v>
      </c>
      <c r="C26" s="8">
        <f>IFERROR(INDEX('Grocery List'!$A$5:$A$304,MATCH($A26,'Grocery List'!$U$5:$U$304,0)),"")</f>
        <v>0</v>
      </c>
      <c r="D26" s="8">
        <f>IFERROR(INDEX('Grocery List'!$B$5:$B$304,MATCH($A26,'Grocery List'!$U$5:$U$304,0)),"")</f>
        <v>0</v>
      </c>
      <c r="E26" s="13">
        <f>IFERROR(INDEX('Grocery List'!$C$5:$C$304,MATCH($A26,'Grocery List'!$U$5:$U$304,0)),"")</f>
        <v>0</v>
      </c>
      <c r="F26" s="8">
        <f>IFERROR(INDEX('Grocery List'!$D$5:$D$304,MATCH($A26,'Grocery List'!$U$5:$U$304,0)),"")</f>
        <v>0</v>
      </c>
      <c r="G26" s="8">
        <f>IFERROR(INDEX('Grocery List'!$E$5:$E$304,MATCH($A26,'Grocery List'!$U$5:$U$304,0)),"")</f>
        <v>0</v>
      </c>
      <c r="H26" s="8">
        <f>IFERROR(INDEX('Grocery List'!$O$5:$O$304,MATCH($A26,'Grocery List'!$U$5:$U$304,0)),"")</f>
        <v>0</v>
      </c>
      <c r="I26" s="8">
        <f>IFERROR(INDEX('Grocery List'!$AA$5:$AA$304,MATCH($A26,'Grocery List'!$U$5:$U$304,0)),"")</f>
        <v>0</v>
      </c>
    </row>
    <row r="27" spans="1:9" ht="20" customHeight="1">
      <c r="A27" s="19">
        <v>22</v>
      </c>
      <c r="C27" s="8">
        <f>IFERROR(INDEX('Grocery List'!$A$5:$A$304,MATCH($A27,'Grocery List'!$U$5:$U$304,0)),"")</f>
        <v>0</v>
      </c>
      <c r="D27" s="8">
        <f>IFERROR(INDEX('Grocery List'!$B$5:$B$304,MATCH($A27,'Grocery List'!$U$5:$U$304,0)),"")</f>
        <v>0</v>
      </c>
      <c r="E27" s="13">
        <f>IFERROR(INDEX('Grocery List'!$C$5:$C$304,MATCH($A27,'Grocery List'!$U$5:$U$304,0)),"")</f>
        <v>0</v>
      </c>
      <c r="F27" s="8">
        <f>IFERROR(INDEX('Grocery List'!$D$5:$D$304,MATCH($A27,'Grocery List'!$U$5:$U$304,0)),"")</f>
        <v>0</v>
      </c>
      <c r="G27" s="8">
        <f>IFERROR(INDEX('Grocery List'!$E$5:$E$304,MATCH($A27,'Grocery List'!$U$5:$U$304,0)),"")</f>
        <v>0</v>
      </c>
      <c r="H27" s="8">
        <f>IFERROR(INDEX('Grocery List'!$O$5:$O$304,MATCH($A27,'Grocery List'!$U$5:$U$304,0)),"")</f>
        <v>0</v>
      </c>
      <c r="I27" s="8">
        <f>IFERROR(INDEX('Grocery List'!$AA$5:$AA$304,MATCH($A27,'Grocery List'!$U$5:$U$304,0)),"")</f>
        <v>0</v>
      </c>
    </row>
    <row r="28" spans="1:9" ht="20" customHeight="1">
      <c r="A28" s="19">
        <v>23</v>
      </c>
      <c r="C28" s="8">
        <f>IFERROR(INDEX('Grocery List'!$A$5:$A$304,MATCH($A28,'Grocery List'!$U$5:$U$304,0)),"")</f>
        <v>0</v>
      </c>
      <c r="D28" s="8">
        <f>IFERROR(INDEX('Grocery List'!$B$5:$B$304,MATCH($A28,'Grocery List'!$U$5:$U$304,0)),"")</f>
        <v>0</v>
      </c>
      <c r="E28" s="13">
        <f>IFERROR(INDEX('Grocery List'!$C$5:$C$304,MATCH($A28,'Grocery List'!$U$5:$U$304,0)),"")</f>
        <v>0</v>
      </c>
      <c r="F28" s="8">
        <f>IFERROR(INDEX('Grocery List'!$D$5:$D$304,MATCH($A28,'Grocery List'!$U$5:$U$304,0)),"")</f>
        <v>0</v>
      </c>
      <c r="G28" s="8">
        <f>IFERROR(INDEX('Grocery List'!$E$5:$E$304,MATCH($A28,'Grocery List'!$U$5:$U$304,0)),"")</f>
        <v>0</v>
      </c>
      <c r="H28" s="8">
        <f>IFERROR(INDEX('Grocery List'!$O$5:$O$304,MATCH($A28,'Grocery List'!$U$5:$U$304,0)),"")</f>
        <v>0</v>
      </c>
      <c r="I28" s="8">
        <f>IFERROR(INDEX('Grocery List'!$AA$5:$AA$304,MATCH($A28,'Grocery List'!$U$5:$U$304,0)),"")</f>
        <v>0</v>
      </c>
    </row>
    <row r="29" spans="1:9" ht="20" customHeight="1">
      <c r="A29" s="19">
        <v>24</v>
      </c>
      <c r="C29" s="8">
        <f>IFERROR(INDEX('Grocery List'!$A$5:$A$304,MATCH($A29,'Grocery List'!$U$5:$U$304,0)),"")</f>
        <v>0</v>
      </c>
      <c r="D29" s="8">
        <f>IFERROR(INDEX('Grocery List'!$B$5:$B$304,MATCH($A29,'Grocery List'!$U$5:$U$304,0)),"")</f>
        <v>0</v>
      </c>
      <c r="E29" s="13">
        <f>IFERROR(INDEX('Grocery List'!$C$5:$C$304,MATCH($A29,'Grocery List'!$U$5:$U$304,0)),"")</f>
        <v>0</v>
      </c>
      <c r="F29" s="8">
        <f>IFERROR(INDEX('Grocery List'!$D$5:$D$304,MATCH($A29,'Grocery List'!$U$5:$U$304,0)),"")</f>
        <v>0</v>
      </c>
      <c r="G29" s="8">
        <f>IFERROR(INDEX('Grocery List'!$E$5:$E$304,MATCH($A29,'Grocery List'!$U$5:$U$304,0)),"")</f>
        <v>0</v>
      </c>
      <c r="H29" s="8">
        <f>IFERROR(INDEX('Grocery List'!$O$5:$O$304,MATCH($A29,'Grocery List'!$U$5:$U$304,0)),"")</f>
        <v>0</v>
      </c>
      <c r="I29" s="8">
        <f>IFERROR(INDEX('Grocery List'!$AA$5:$AA$304,MATCH($A29,'Grocery List'!$U$5:$U$304,0)),"")</f>
        <v>0</v>
      </c>
    </row>
    <row r="30" spans="1:9" ht="20" customHeight="1">
      <c r="A30" s="19">
        <v>25</v>
      </c>
      <c r="C30" s="8">
        <f>IFERROR(INDEX('Grocery List'!$A$5:$A$304,MATCH($A30,'Grocery List'!$U$5:$U$304,0)),"")</f>
        <v>0</v>
      </c>
      <c r="D30" s="8">
        <f>IFERROR(INDEX('Grocery List'!$B$5:$B$304,MATCH($A30,'Grocery List'!$U$5:$U$304,0)),"")</f>
        <v>0</v>
      </c>
      <c r="E30" s="13">
        <f>IFERROR(INDEX('Grocery List'!$C$5:$C$304,MATCH($A30,'Grocery List'!$U$5:$U$304,0)),"")</f>
        <v>0</v>
      </c>
      <c r="F30" s="8">
        <f>IFERROR(INDEX('Grocery List'!$D$5:$D$304,MATCH($A30,'Grocery List'!$U$5:$U$304,0)),"")</f>
        <v>0</v>
      </c>
      <c r="G30" s="8">
        <f>IFERROR(INDEX('Grocery List'!$E$5:$E$304,MATCH($A30,'Grocery List'!$U$5:$U$304,0)),"")</f>
        <v>0</v>
      </c>
      <c r="H30" s="8">
        <f>IFERROR(INDEX('Grocery List'!$O$5:$O$304,MATCH($A30,'Grocery List'!$U$5:$U$304,0)),"")</f>
        <v>0</v>
      </c>
      <c r="I30" s="8">
        <f>IFERROR(INDEX('Grocery List'!$AA$5:$AA$304,MATCH($A30,'Grocery List'!$U$5:$U$304,0)),"")</f>
        <v>0</v>
      </c>
    </row>
    <row r="31" spans="1:9" ht="20" customHeight="1">
      <c r="A31" s="19">
        <v>26</v>
      </c>
      <c r="C31" s="8">
        <f>IFERROR(INDEX('Grocery List'!$A$5:$A$304,MATCH($A31,'Grocery List'!$U$5:$U$304,0)),"")</f>
        <v>0</v>
      </c>
      <c r="D31" s="8">
        <f>IFERROR(INDEX('Grocery List'!$B$5:$B$304,MATCH($A31,'Grocery List'!$U$5:$U$304,0)),"")</f>
        <v>0</v>
      </c>
      <c r="E31" s="13">
        <f>IFERROR(INDEX('Grocery List'!$C$5:$C$304,MATCH($A31,'Grocery List'!$U$5:$U$304,0)),"")</f>
        <v>0</v>
      </c>
      <c r="F31" s="8">
        <f>IFERROR(INDEX('Grocery List'!$D$5:$D$304,MATCH($A31,'Grocery List'!$U$5:$U$304,0)),"")</f>
        <v>0</v>
      </c>
      <c r="G31" s="8">
        <f>IFERROR(INDEX('Grocery List'!$E$5:$E$304,MATCH($A31,'Grocery List'!$U$5:$U$304,0)),"")</f>
        <v>0</v>
      </c>
      <c r="H31" s="8">
        <f>IFERROR(INDEX('Grocery List'!$O$5:$O$304,MATCH($A31,'Grocery List'!$U$5:$U$304,0)),"")</f>
        <v>0</v>
      </c>
      <c r="I31" s="8">
        <f>IFERROR(INDEX('Grocery List'!$AA$5:$AA$304,MATCH($A31,'Grocery List'!$U$5:$U$304,0)),"")</f>
        <v>0</v>
      </c>
    </row>
    <row r="32" spans="1:9" ht="20" customHeight="1">
      <c r="A32" s="19">
        <v>27</v>
      </c>
      <c r="C32" s="8">
        <f>IFERROR(INDEX('Grocery List'!$A$5:$A$304,MATCH($A32,'Grocery List'!$U$5:$U$304,0)),"")</f>
        <v>0</v>
      </c>
      <c r="D32" s="8">
        <f>IFERROR(INDEX('Grocery List'!$B$5:$B$304,MATCH($A32,'Grocery List'!$U$5:$U$304,0)),"")</f>
        <v>0</v>
      </c>
      <c r="E32" s="13">
        <f>IFERROR(INDEX('Grocery List'!$C$5:$C$304,MATCH($A32,'Grocery List'!$U$5:$U$304,0)),"")</f>
        <v>0</v>
      </c>
      <c r="F32" s="8">
        <f>IFERROR(INDEX('Grocery List'!$D$5:$D$304,MATCH($A32,'Grocery List'!$U$5:$U$304,0)),"")</f>
        <v>0</v>
      </c>
      <c r="G32" s="8">
        <f>IFERROR(INDEX('Grocery List'!$E$5:$E$304,MATCH($A32,'Grocery List'!$U$5:$U$304,0)),"")</f>
        <v>0</v>
      </c>
      <c r="H32" s="8">
        <f>IFERROR(INDEX('Grocery List'!$O$5:$O$304,MATCH($A32,'Grocery List'!$U$5:$U$304,0)),"")</f>
        <v>0</v>
      </c>
      <c r="I32" s="8">
        <f>IFERROR(INDEX('Grocery List'!$AA$5:$AA$304,MATCH($A32,'Grocery List'!$U$5:$U$304,0)),"")</f>
        <v>0</v>
      </c>
    </row>
    <row r="33" spans="1:9" ht="20" customHeight="1">
      <c r="A33" s="19">
        <v>28</v>
      </c>
      <c r="C33" s="8">
        <f>IFERROR(INDEX('Grocery List'!$A$5:$A$304,MATCH($A33,'Grocery List'!$U$5:$U$304,0)),"")</f>
        <v>0</v>
      </c>
      <c r="D33" s="8">
        <f>IFERROR(INDEX('Grocery List'!$B$5:$B$304,MATCH($A33,'Grocery List'!$U$5:$U$304,0)),"")</f>
        <v>0</v>
      </c>
      <c r="E33" s="13">
        <f>IFERROR(INDEX('Grocery List'!$C$5:$C$304,MATCH($A33,'Grocery List'!$U$5:$U$304,0)),"")</f>
        <v>0</v>
      </c>
      <c r="F33" s="8">
        <f>IFERROR(INDEX('Grocery List'!$D$5:$D$304,MATCH($A33,'Grocery List'!$U$5:$U$304,0)),"")</f>
        <v>0</v>
      </c>
      <c r="G33" s="8">
        <f>IFERROR(INDEX('Grocery List'!$E$5:$E$304,MATCH($A33,'Grocery List'!$U$5:$U$304,0)),"")</f>
        <v>0</v>
      </c>
      <c r="H33" s="8">
        <f>IFERROR(INDEX('Grocery List'!$O$5:$O$304,MATCH($A33,'Grocery List'!$U$5:$U$304,0)),"")</f>
        <v>0</v>
      </c>
      <c r="I33" s="8">
        <f>IFERROR(INDEX('Grocery List'!$AA$5:$AA$304,MATCH($A33,'Grocery List'!$U$5:$U$304,0)),"")</f>
        <v>0</v>
      </c>
    </row>
    <row r="34" spans="1:9" ht="20" customHeight="1">
      <c r="A34" s="19">
        <v>29</v>
      </c>
      <c r="C34" s="8">
        <f>IFERROR(INDEX('Grocery List'!$A$5:$A$304,MATCH($A34,'Grocery List'!$U$5:$U$304,0)),"")</f>
        <v>0</v>
      </c>
      <c r="D34" s="8">
        <f>IFERROR(INDEX('Grocery List'!$B$5:$B$304,MATCH($A34,'Grocery List'!$U$5:$U$304,0)),"")</f>
        <v>0</v>
      </c>
      <c r="E34" s="13">
        <f>IFERROR(INDEX('Grocery List'!$C$5:$C$304,MATCH($A34,'Grocery List'!$U$5:$U$304,0)),"")</f>
        <v>0</v>
      </c>
      <c r="F34" s="8">
        <f>IFERROR(INDEX('Grocery List'!$D$5:$D$304,MATCH($A34,'Grocery List'!$U$5:$U$304,0)),"")</f>
        <v>0</v>
      </c>
      <c r="G34" s="8">
        <f>IFERROR(INDEX('Grocery List'!$E$5:$E$304,MATCH($A34,'Grocery List'!$U$5:$U$304,0)),"")</f>
        <v>0</v>
      </c>
      <c r="H34" s="8">
        <f>IFERROR(INDEX('Grocery List'!$O$5:$O$304,MATCH($A34,'Grocery List'!$U$5:$U$304,0)),"")</f>
        <v>0</v>
      </c>
      <c r="I34" s="8">
        <f>IFERROR(INDEX('Grocery List'!$AA$5:$AA$304,MATCH($A34,'Grocery List'!$U$5:$U$304,0)),"")</f>
        <v>0</v>
      </c>
    </row>
    <row r="35" spans="1:9" ht="20" customHeight="1">
      <c r="A35" s="19">
        <v>30</v>
      </c>
      <c r="C35" s="8">
        <f>IFERROR(INDEX('Grocery List'!$A$5:$A$304,MATCH($A35,'Grocery List'!$U$5:$U$304,0)),"")</f>
        <v>0</v>
      </c>
      <c r="D35" s="8">
        <f>IFERROR(INDEX('Grocery List'!$B$5:$B$304,MATCH($A35,'Grocery List'!$U$5:$U$304,0)),"")</f>
        <v>0</v>
      </c>
      <c r="E35" s="13">
        <f>IFERROR(INDEX('Grocery List'!$C$5:$C$304,MATCH($A35,'Grocery List'!$U$5:$U$304,0)),"")</f>
        <v>0</v>
      </c>
      <c r="F35" s="8">
        <f>IFERROR(INDEX('Grocery List'!$D$5:$D$304,MATCH($A35,'Grocery List'!$U$5:$U$304,0)),"")</f>
        <v>0</v>
      </c>
      <c r="G35" s="8">
        <f>IFERROR(INDEX('Grocery List'!$E$5:$E$304,MATCH($A35,'Grocery List'!$U$5:$U$304,0)),"")</f>
        <v>0</v>
      </c>
      <c r="H35" s="8">
        <f>IFERROR(INDEX('Grocery List'!$O$5:$O$304,MATCH($A35,'Grocery List'!$U$5:$U$304,0)),"")</f>
        <v>0</v>
      </c>
      <c r="I35" s="8">
        <f>IFERROR(INDEX('Grocery List'!$AA$5:$AA$304,MATCH($A35,'Grocery List'!$U$5:$U$304,0)),"")</f>
        <v>0</v>
      </c>
    </row>
    <row r="36" spans="1:9" ht="20" customHeight="1">
      <c r="A36" s="19">
        <v>31</v>
      </c>
      <c r="C36" s="8">
        <f>IFERROR(INDEX('Grocery List'!$A$5:$A$304,MATCH($A36,'Grocery List'!$U$5:$U$304,0)),"")</f>
        <v>0</v>
      </c>
      <c r="D36" s="8">
        <f>IFERROR(INDEX('Grocery List'!$B$5:$B$304,MATCH($A36,'Grocery List'!$U$5:$U$304,0)),"")</f>
        <v>0</v>
      </c>
      <c r="E36" s="13">
        <f>IFERROR(INDEX('Grocery List'!$C$5:$C$304,MATCH($A36,'Grocery List'!$U$5:$U$304,0)),"")</f>
        <v>0</v>
      </c>
      <c r="F36" s="8">
        <f>IFERROR(INDEX('Grocery List'!$D$5:$D$304,MATCH($A36,'Grocery List'!$U$5:$U$304,0)),"")</f>
        <v>0</v>
      </c>
      <c r="G36" s="8">
        <f>IFERROR(INDEX('Grocery List'!$E$5:$E$304,MATCH($A36,'Grocery List'!$U$5:$U$304,0)),"")</f>
        <v>0</v>
      </c>
      <c r="H36" s="8">
        <f>IFERROR(INDEX('Grocery List'!$O$5:$O$304,MATCH($A36,'Grocery List'!$U$5:$U$304,0)),"")</f>
        <v>0</v>
      </c>
      <c r="I36" s="8">
        <f>IFERROR(INDEX('Grocery List'!$AA$5:$AA$304,MATCH($A36,'Grocery List'!$U$5:$U$304,0)),"")</f>
        <v>0</v>
      </c>
    </row>
    <row r="37" spans="1:9" ht="20" customHeight="1">
      <c r="A37" s="19">
        <v>32</v>
      </c>
      <c r="C37" s="8">
        <f>IFERROR(INDEX('Grocery List'!$A$5:$A$304,MATCH($A37,'Grocery List'!$U$5:$U$304,0)),"")</f>
        <v>0</v>
      </c>
      <c r="D37" s="8">
        <f>IFERROR(INDEX('Grocery List'!$B$5:$B$304,MATCH($A37,'Grocery List'!$U$5:$U$304,0)),"")</f>
        <v>0</v>
      </c>
      <c r="E37" s="13">
        <f>IFERROR(INDEX('Grocery List'!$C$5:$C$304,MATCH($A37,'Grocery List'!$U$5:$U$304,0)),"")</f>
        <v>0</v>
      </c>
      <c r="F37" s="8">
        <f>IFERROR(INDEX('Grocery List'!$D$5:$D$304,MATCH($A37,'Grocery List'!$U$5:$U$304,0)),"")</f>
        <v>0</v>
      </c>
      <c r="G37" s="8">
        <f>IFERROR(INDEX('Grocery List'!$E$5:$E$304,MATCH($A37,'Grocery List'!$U$5:$U$304,0)),"")</f>
        <v>0</v>
      </c>
      <c r="H37" s="8">
        <f>IFERROR(INDEX('Grocery List'!$O$5:$O$304,MATCH($A37,'Grocery List'!$U$5:$U$304,0)),"")</f>
        <v>0</v>
      </c>
      <c r="I37" s="8">
        <f>IFERROR(INDEX('Grocery List'!$AA$5:$AA$304,MATCH($A37,'Grocery List'!$U$5:$U$304,0)),"")</f>
        <v>0</v>
      </c>
    </row>
    <row r="38" spans="1:9" ht="20" customHeight="1">
      <c r="A38" s="19">
        <v>33</v>
      </c>
      <c r="C38" s="8">
        <f>IFERROR(INDEX('Grocery List'!$A$5:$A$304,MATCH($A38,'Grocery List'!$U$5:$U$304,0)),"")</f>
        <v>0</v>
      </c>
      <c r="D38" s="8">
        <f>IFERROR(INDEX('Grocery List'!$B$5:$B$304,MATCH($A38,'Grocery List'!$U$5:$U$304,0)),"")</f>
        <v>0</v>
      </c>
      <c r="E38" s="13">
        <f>IFERROR(INDEX('Grocery List'!$C$5:$C$304,MATCH($A38,'Grocery List'!$U$5:$U$304,0)),"")</f>
        <v>0</v>
      </c>
      <c r="F38" s="8">
        <f>IFERROR(INDEX('Grocery List'!$D$5:$D$304,MATCH($A38,'Grocery List'!$U$5:$U$304,0)),"")</f>
        <v>0</v>
      </c>
      <c r="G38" s="8">
        <f>IFERROR(INDEX('Grocery List'!$E$5:$E$304,MATCH($A38,'Grocery List'!$U$5:$U$304,0)),"")</f>
        <v>0</v>
      </c>
      <c r="H38" s="8">
        <f>IFERROR(INDEX('Grocery List'!$O$5:$O$304,MATCH($A38,'Grocery List'!$U$5:$U$304,0)),"")</f>
        <v>0</v>
      </c>
      <c r="I38" s="8">
        <f>IFERROR(INDEX('Grocery List'!$AA$5:$AA$304,MATCH($A38,'Grocery List'!$U$5:$U$304,0)),"")</f>
        <v>0</v>
      </c>
    </row>
    <row r="39" spans="1:9" ht="20" customHeight="1">
      <c r="A39" s="19">
        <v>34</v>
      </c>
      <c r="C39" s="8">
        <f>IFERROR(INDEX('Grocery List'!$A$5:$A$304,MATCH($A39,'Grocery List'!$U$5:$U$304,0)),"")</f>
        <v>0</v>
      </c>
      <c r="D39" s="8">
        <f>IFERROR(INDEX('Grocery List'!$B$5:$B$304,MATCH($A39,'Grocery List'!$U$5:$U$304,0)),"")</f>
        <v>0</v>
      </c>
      <c r="E39" s="13">
        <f>IFERROR(INDEX('Grocery List'!$C$5:$C$304,MATCH($A39,'Grocery List'!$U$5:$U$304,0)),"")</f>
        <v>0</v>
      </c>
      <c r="F39" s="8">
        <f>IFERROR(INDEX('Grocery List'!$D$5:$D$304,MATCH($A39,'Grocery List'!$U$5:$U$304,0)),"")</f>
        <v>0</v>
      </c>
      <c r="G39" s="8">
        <f>IFERROR(INDEX('Grocery List'!$E$5:$E$304,MATCH($A39,'Grocery List'!$U$5:$U$304,0)),"")</f>
        <v>0</v>
      </c>
      <c r="H39" s="8">
        <f>IFERROR(INDEX('Grocery List'!$O$5:$O$304,MATCH($A39,'Grocery List'!$U$5:$U$304,0)),"")</f>
        <v>0</v>
      </c>
      <c r="I39" s="8">
        <f>IFERROR(INDEX('Grocery List'!$AA$5:$AA$304,MATCH($A39,'Grocery List'!$U$5:$U$304,0)),"")</f>
        <v>0</v>
      </c>
    </row>
    <row r="40" spans="1:9" ht="20" customHeight="1">
      <c r="A40" s="19">
        <v>35</v>
      </c>
      <c r="C40" s="8">
        <f>IFERROR(INDEX('Grocery List'!$A$5:$A$304,MATCH($A40,'Grocery List'!$U$5:$U$304,0)),"")</f>
        <v>0</v>
      </c>
      <c r="D40" s="8">
        <f>IFERROR(INDEX('Grocery List'!$B$5:$B$304,MATCH($A40,'Grocery List'!$U$5:$U$304,0)),"")</f>
        <v>0</v>
      </c>
      <c r="E40" s="13">
        <f>IFERROR(INDEX('Grocery List'!$C$5:$C$304,MATCH($A40,'Grocery List'!$U$5:$U$304,0)),"")</f>
        <v>0</v>
      </c>
      <c r="F40" s="8">
        <f>IFERROR(INDEX('Grocery List'!$D$5:$D$304,MATCH($A40,'Grocery List'!$U$5:$U$304,0)),"")</f>
        <v>0</v>
      </c>
      <c r="G40" s="8">
        <f>IFERROR(INDEX('Grocery List'!$E$5:$E$304,MATCH($A40,'Grocery List'!$U$5:$U$304,0)),"")</f>
        <v>0</v>
      </c>
      <c r="H40" s="8">
        <f>IFERROR(INDEX('Grocery List'!$O$5:$O$304,MATCH($A40,'Grocery List'!$U$5:$U$304,0)),"")</f>
        <v>0</v>
      </c>
      <c r="I40" s="8">
        <f>IFERROR(INDEX('Grocery List'!$AA$5:$AA$304,MATCH($A40,'Grocery List'!$U$5:$U$304,0)),"")</f>
        <v>0</v>
      </c>
    </row>
    <row r="41" spans="1:9" ht="20" customHeight="1">
      <c r="A41" s="19">
        <v>36</v>
      </c>
      <c r="C41" s="8">
        <f>IFERROR(INDEX('Grocery List'!$A$5:$A$304,MATCH($A41,'Grocery List'!$U$5:$U$304,0)),"")</f>
        <v>0</v>
      </c>
      <c r="D41" s="8">
        <f>IFERROR(INDEX('Grocery List'!$B$5:$B$304,MATCH($A41,'Grocery List'!$U$5:$U$304,0)),"")</f>
        <v>0</v>
      </c>
      <c r="E41" s="13">
        <f>IFERROR(INDEX('Grocery List'!$C$5:$C$304,MATCH($A41,'Grocery List'!$U$5:$U$304,0)),"")</f>
        <v>0</v>
      </c>
      <c r="F41" s="8">
        <f>IFERROR(INDEX('Grocery List'!$D$5:$D$304,MATCH($A41,'Grocery List'!$U$5:$U$304,0)),"")</f>
        <v>0</v>
      </c>
      <c r="G41" s="8">
        <f>IFERROR(INDEX('Grocery List'!$E$5:$E$304,MATCH($A41,'Grocery List'!$U$5:$U$304,0)),"")</f>
        <v>0</v>
      </c>
      <c r="H41" s="8">
        <f>IFERROR(INDEX('Grocery List'!$O$5:$O$304,MATCH($A41,'Grocery List'!$U$5:$U$304,0)),"")</f>
        <v>0</v>
      </c>
      <c r="I41" s="8">
        <f>IFERROR(INDEX('Grocery List'!$AA$5:$AA$304,MATCH($A41,'Grocery List'!$U$5:$U$304,0)),"")</f>
        <v>0</v>
      </c>
    </row>
    <row r="42" spans="1:9" ht="20" customHeight="1">
      <c r="A42" s="19">
        <v>37</v>
      </c>
      <c r="C42" s="8">
        <f>IFERROR(INDEX('Grocery List'!$A$5:$A$304,MATCH($A42,'Grocery List'!$U$5:$U$304,0)),"")</f>
        <v>0</v>
      </c>
      <c r="D42" s="8">
        <f>IFERROR(INDEX('Grocery List'!$B$5:$B$304,MATCH($A42,'Grocery List'!$U$5:$U$304,0)),"")</f>
        <v>0</v>
      </c>
      <c r="E42" s="13">
        <f>IFERROR(INDEX('Grocery List'!$C$5:$C$304,MATCH($A42,'Grocery List'!$U$5:$U$304,0)),"")</f>
        <v>0</v>
      </c>
      <c r="F42" s="8">
        <f>IFERROR(INDEX('Grocery List'!$D$5:$D$304,MATCH($A42,'Grocery List'!$U$5:$U$304,0)),"")</f>
        <v>0</v>
      </c>
      <c r="G42" s="8">
        <f>IFERROR(INDEX('Grocery List'!$E$5:$E$304,MATCH($A42,'Grocery List'!$U$5:$U$304,0)),"")</f>
        <v>0</v>
      </c>
      <c r="H42" s="8">
        <f>IFERROR(INDEX('Grocery List'!$O$5:$O$304,MATCH($A42,'Grocery List'!$U$5:$U$304,0)),"")</f>
        <v>0</v>
      </c>
      <c r="I42" s="8">
        <f>IFERROR(INDEX('Grocery List'!$AA$5:$AA$304,MATCH($A42,'Grocery List'!$U$5:$U$304,0)),"")</f>
        <v>0</v>
      </c>
    </row>
    <row r="43" spans="1:9" ht="20" customHeight="1">
      <c r="A43" s="19">
        <v>38</v>
      </c>
      <c r="C43" s="8">
        <f>IFERROR(INDEX('Grocery List'!$A$5:$A$304,MATCH($A43,'Grocery List'!$U$5:$U$304,0)),"")</f>
        <v>0</v>
      </c>
      <c r="D43" s="8">
        <f>IFERROR(INDEX('Grocery List'!$B$5:$B$304,MATCH($A43,'Grocery List'!$U$5:$U$304,0)),"")</f>
        <v>0</v>
      </c>
      <c r="E43" s="13">
        <f>IFERROR(INDEX('Grocery List'!$C$5:$C$304,MATCH($A43,'Grocery List'!$U$5:$U$304,0)),"")</f>
        <v>0</v>
      </c>
      <c r="F43" s="8">
        <f>IFERROR(INDEX('Grocery List'!$D$5:$D$304,MATCH($A43,'Grocery List'!$U$5:$U$304,0)),"")</f>
        <v>0</v>
      </c>
      <c r="G43" s="8">
        <f>IFERROR(INDEX('Grocery List'!$E$5:$E$304,MATCH($A43,'Grocery List'!$U$5:$U$304,0)),"")</f>
        <v>0</v>
      </c>
      <c r="H43" s="8">
        <f>IFERROR(INDEX('Grocery List'!$O$5:$O$304,MATCH($A43,'Grocery List'!$U$5:$U$304,0)),"")</f>
        <v>0</v>
      </c>
      <c r="I43" s="8">
        <f>IFERROR(INDEX('Grocery List'!$AA$5:$AA$304,MATCH($A43,'Grocery List'!$U$5:$U$304,0)),"")</f>
        <v>0</v>
      </c>
    </row>
    <row r="44" spans="1:9" ht="20" customHeight="1">
      <c r="A44" s="19">
        <v>39</v>
      </c>
      <c r="C44" s="8">
        <f>IFERROR(INDEX('Grocery List'!$A$5:$A$304,MATCH($A44,'Grocery List'!$U$5:$U$304,0)),"")</f>
        <v>0</v>
      </c>
      <c r="D44" s="8">
        <f>IFERROR(INDEX('Grocery List'!$B$5:$B$304,MATCH($A44,'Grocery List'!$U$5:$U$304,0)),"")</f>
        <v>0</v>
      </c>
      <c r="E44" s="13">
        <f>IFERROR(INDEX('Grocery List'!$C$5:$C$304,MATCH($A44,'Grocery List'!$U$5:$U$304,0)),"")</f>
        <v>0</v>
      </c>
      <c r="F44" s="8">
        <f>IFERROR(INDEX('Grocery List'!$D$5:$D$304,MATCH($A44,'Grocery List'!$U$5:$U$304,0)),"")</f>
        <v>0</v>
      </c>
      <c r="G44" s="8">
        <f>IFERROR(INDEX('Grocery List'!$E$5:$E$304,MATCH($A44,'Grocery List'!$U$5:$U$304,0)),"")</f>
        <v>0</v>
      </c>
      <c r="H44" s="8">
        <f>IFERROR(INDEX('Grocery List'!$O$5:$O$304,MATCH($A44,'Grocery List'!$U$5:$U$304,0)),"")</f>
        <v>0</v>
      </c>
      <c r="I44" s="8">
        <f>IFERROR(INDEX('Grocery List'!$AA$5:$AA$304,MATCH($A44,'Grocery List'!$U$5:$U$304,0)),"")</f>
        <v>0</v>
      </c>
    </row>
    <row r="45" spans="1:9" ht="20" customHeight="1">
      <c r="A45" s="19">
        <v>40</v>
      </c>
      <c r="C45" s="8">
        <f>IFERROR(INDEX('Grocery List'!$A$5:$A$304,MATCH($A45,'Grocery List'!$U$5:$U$304,0)),"")</f>
        <v>0</v>
      </c>
      <c r="D45" s="8">
        <f>IFERROR(INDEX('Grocery List'!$B$5:$B$304,MATCH($A45,'Grocery List'!$U$5:$U$304,0)),"")</f>
        <v>0</v>
      </c>
      <c r="E45" s="13">
        <f>IFERROR(INDEX('Grocery List'!$C$5:$C$304,MATCH($A45,'Grocery List'!$U$5:$U$304,0)),"")</f>
        <v>0</v>
      </c>
      <c r="F45" s="8">
        <f>IFERROR(INDEX('Grocery List'!$D$5:$D$304,MATCH($A45,'Grocery List'!$U$5:$U$304,0)),"")</f>
        <v>0</v>
      </c>
      <c r="G45" s="8">
        <f>IFERROR(INDEX('Grocery List'!$E$5:$E$304,MATCH($A45,'Grocery List'!$U$5:$U$304,0)),"")</f>
        <v>0</v>
      </c>
      <c r="H45" s="8">
        <f>IFERROR(INDEX('Grocery List'!$O$5:$O$304,MATCH($A45,'Grocery List'!$U$5:$U$304,0)),"")</f>
        <v>0</v>
      </c>
      <c r="I45" s="8">
        <f>IFERROR(INDEX('Grocery List'!$AA$5:$AA$304,MATCH($A45,'Grocery List'!$U$5:$U$304,0)),"")</f>
        <v>0</v>
      </c>
    </row>
    <row r="46" spans="1:9" ht="20" customHeight="1">
      <c r="A46" s="19">
        <v>41</v>
      </c>
      <c r="C46" s="8">
        <f>IFERROR(INDEX('Grocery List'!$A$5:$A$304,MATCH($A46,'Grocery List'!$U$5:$U$304,0)),"")</f>
        <v>0</v>
      </c>
      <c r="D46" s="8">
        <f>IFERROR(INDEX('Grocery List'!$B$5:$B$304,MATCH($A46,'Grocery List'!$U$5:$U$304,0)),"")</f>
        <v>0</v>
      </c>
      <c r="E46" s="13">
        <f>IFERROR(INDEX('Grocery List'!$C$5:$C$304,MATCH($A46,'Grocery List'!$U$5:$U$304,0)),"")</f>
        <v>0</v>
      </c>
      <c r="F46" s="8">
        <f>IFERROR(INDEX('Grocery List'!$D$5:$D$304,MATCH($A46,'Grocery List'!$U$5:$U$304,0)),"")</f>
        <v>0</v>
      </c>
      <c r="G46" s="8">
        <f>IFERROR(INDEX('Grocery List'!$E$5:$E$304,MATCH($A46,'Grocery List'!$U$5:$U$304,0)),"")</f>
        <v>0</v>
      </c>
      <c r="H46" s="8">
        <f>IFERROR(INDEX('Grocery List'!$O$5:$O$304,MATCH($A46,'Grocery List'!$U$5:$U$304,0)),"")</f>
        <v>0</v>
      </c>
      <c r="I46" s="8">
        <f>IFERROR(INDEX('Grocery List'!$AA$5:$AA$304,MATCH($A46,'Grocery List'!$U$5:$U$304,0)),"")</f>
        <v>0</v>
      </c>
    </row>
    <row r="47" spans="1:9" ht="20" customHeight="1">
      <c r="A47" s="19">
        <v>42</v>
      </c>
      <c r="C47" s="8">
        <f>IFERROR(INDEX('Grocery List'!$A$5:$A$304,MATCH($A47,'Grocery List'!$U$5:$U$304,0)),"")</f>
        <v>0</v>
      </c>
      <c r="D47" s="8">
        <f>IFERROR(INDEX('Grocery List'!$B$5:$B$304,MATCH($A47,'Grocery List'!$U$5:$U$304,0)),"")</f>
        <v>0</v>
      </c>
      <c r="E47" s="13">
        <f>IFERROR(INDEX('Grocery List'!$C$5:$C$304,MATCH($A47,'Grocery List'!$U$5:$U$304,0)),"")</f>
        <v>0</v>
      </c>
      <c r="F47" s="8">
        <f>IFERROR(INDEX('Grocery List'!$D$5:$D$304,MATCH($A47,'Grocery List'!$U$5:$U$304,0)),"")</f>
        <v>0</v>
      </c>
      <c r="G47" s="8">
        <f>IFERROR(INDEX('Grocery List'!$E$5:$E$304,MATCH($A47,'Grocery List'!$U$5:$U$304,0)),"")</f>
        <v>0</v>
      </c>
      <c r="H47" s="8">
        <f>IFERROR(INDEX('Grocery List'!$O$5:$O$304,MATCH($A47,'Grocery List'!$U$5:$U$304,0)),"")</f>
        <v>0</v>
      </c>
      <c r="I47" s="8">
        <f>IFERROR(INDEX('Grocery List'!$AA$5:$AA$304,MATCH($A47,'Grocery List'!$U$5:$U$304,0)),"")</f>
        <v>0</v>
      </c>
    </row>
    <row r="48" spans="1:9" ht="20" customHeight="1">
      <c r="A48" s="19">
        <v>43</v>
      </c>
      <c r="C48" s="8">
        <f>IFERROR(INDEX('Grocery List'!$A$5:$A$304,MATCH($A48,'Grocery List'!$U$5:$U$304,0)),"")</f>
        <v>0</v>
      </c>
      <c r="D48" s="8">
        <f>IFERROR(INDEX('Grocery List'!$B$5:$B$304,MATCH($A48,'Grocery List'!$U$5:$U$304,0)),"")</f>
        <v>0</v>
      </c>
      <c r="E48" s="13">
        <f>IFERROR(INDEX('Grocery List'!$C$5:$C$304,MATCH($A48,'Grocery List'!$U$5:$U$304,0)),"")</f>
        <v>0</v>
      </c>
      <c r="F48" s="8">
        <f>IFERROR(INDEX('Grocery List'!$D$5:$D$304,MATCH($A48,'Grocery List'!$U$5:$U$304,0)),"")</f>
        <v>0</v>
      </c>
      <c r="G48" s="8">
        <f>IFERROR(INDEX('Grocery List'!$E$5:$E$304,MATCH($A48,'Grocery List'!$U$5:$U$304,0)),"")</f>
        <v>0</v>
      </c>
      <c r="H48" s="8">
        <f>IFERROR(INDEX('Grocery List'!$O$5:$O$304,MATCH($A48,'Grocery List'!$U$5:$U$304,0)),"")</f>
        <v>0</v>
      </c>
      <c r="I48" s="8">
        <f>IFERROR(INDEX('Grocery List'!$AA$5:$AA$304,MATCH($A48,'Grocery List'!$U$5:$U$304,0)),"")</f>
        <v>0</v>
      </c>
    </row>
    <row r="49" spans="1:9" ht="20" customHeight="1">
      <c r="A49" s="19">
        <v>44</v>
      </c>
      <c r="C49" s="8">
        <f>IFERROR(INDEX('Grocery List'!$A$5:$A$304,MATCH($A49,'Grocery List'!$U$5:$U$304,0)),"")</f>
        <v>0</v>
      </c>
      <c r="D49" s="8">
        <f>IFERROR(INDEX('Grocery List'!$B$5:$B$304,MATCH($A49,'Grocery List'!$U$5:$U$304,0)),"")</f>
        <v>0</v>
      </c>
      <c r="E49" s="13">
        <f>IFERROR(INDEX('Grocery List'!$C$5:$C$304,MATCH($A49,'Grocery List'!$U$5:$U$304,0)),"")</f>
        <v>0</v>
      </c>
      <c r="F49" s="8">
        <f>IFERROR(INDEX('Grocery List'!$D$5:$D$304,MATCH($A49,'Grocery List'!$U$5:$U$304,0)),"")</f>
        <v>0</v>
      </c>
      <c r="G49" s="8">
        <f>IFERROR(INDEX('Grocery List'!$E$5:$E$304,MATCH($A49,'Grocery List'!$U$5:$U$304,0)),"")</f>
        <v>0</v>
      </c>
      <c r="H49" s="8">
        <f>IFERROR(INDEX('Grocery List'!$O$5:$O$304,MATCH($A49,'Grocery List'!$U$5:$U$304,0)),"")</f>
        <v>0</v>
      </c>
      <c r="I49" s="8">
        <f>IFERROR(INDEX('Grocery List'!$AA$5:$AA$304,MATCH($A49,'Grocery List'!$U$5:$U$304,0)),"")</f>
        <v>0</v>
      </c>
    </row>
    <row r="50" spans="1:9" ht="20" customHeight="1">
      <c r="A50" s="19">
        <v>45</v>
      </c>
      <c r="C50" s="8">
        <f>IFERROR(INDEX('Grocery List'!$A$5:$A$304,MATCH($A50,'Grocery List'!$U$5:$U$304,0)),"")</f>
        <v>0</v>
      </c>
      <c r="D50" s="8">
        <f>IFERROR(INDEX('Grocery List'!$B$5:$B$304,MATCH($A50,'Grocery List'!$U$5:$U$304,0)),"")</f>
        <v>0</v>
      </c>
      <c r="E50" s="13">
        <f>IFERROR(INDEX('Grocery List'!$C$5:$C$304,MATCH($A50,'Grocery List'!$U$5:$U$304,0)),"")</f>
        <v>0</v>
      </c>
      <c r="F50" s="8">
        <f>IFERROR(INDEX('Grocery List'!$D$5:$D$304,MATCH($A50,'Grocery List'!$U$5:$U$304,0)),"")</f>
        <v>0</v>
      </c>
      <c r="G50" s="8">
        <f>IFERROR(INDEX('Grocery List'!$E$5:$E$304,MATCH($A50,'Grocery List'!$U$5:$U$304,0)),"")</f>
        <v>0</v>
      </c>
      <c r="H50" s="8">
        <f>IFERROR(INDEX('Grocery List'!$O$5:$O$304,MATCH($A50,'Grocery List'!$U$5:$U$304,0)),"")</f>
        <v>0</v>
      </c>
      <c r="I50" s="8">
        <f>IFERROR(INDEX('Grocery List'!$AA$5:$AA$304,MATCH($A50,'Grocery List'!$U$5:$U$304,0)),"")</f>
        <v>0</v>
      </c>
    </row>
    <row r="51" spans="1:9" ht="20" customHeight="1">
      <c r="A51" s="19">
        <v>46</v>
      </c>
      <c r="C51" s="8">
        <f>IFERROR(INDEX('Grocery List'!$A$5:$A$304,MATCH($A51,'Grocery List'!$U$5:$U$304,0)),"")</f>
        <v>0</v>
      </c>
      <c r="D51" s="8">
        <f>IFERROR(INDEX('Grocery List'!$B$5:$B$304,MATCH($A51,'Grocery List'!$U$5:$U$304,0)),"")</f>
        <v>0</v>
      </c>
      <c r="E51" s="13">
        <f>IFERROR(INDEX('Grocery List'!$C$5:$C$304,MATCH($A51,'Grocery List'!$U$5:$U$304,0)),"")</f>
        <v>0</v>
      </c>
      <c r="F51" s="8">
        <f>IFERROR(INDEX('Grocery List'!$D$5:$D$304,MATCH($A51,'Grocery List'!$U$5:$U$304,0)),"")</f>
        <v>0</v>
      </c>
      <c r="G51" s="8">
        <f>IFERROR(INDEX('Grocery List'!$E$5:$E$304,MATCH($A51,'Grocery List'!$U$5:$U$304,0)),"")</f>
        <v>0</v>
      </c>
      <c r="H51" s="8">
        <f>IFERROR(INDEX('Grocery List'!$O$5:$O$304,MATCH($A51,'Grocery List'!$U$5:$U$304,0)),"")</f>
        <v>0</v>
      </c>
      <c r="I51" s="8">
        <f>IFERROR(INDEX('Grocery List'!$AA$5:$AA$304,MATCH($A51,'Grocery List'!$U$5:$U$304,0)),"")</f>
        <v>0</v>
      </c>
    </row>
    <row r="52" spans="1:9" ht="20" customHeight="1">
      <c r="A52" s="19">
        <v>47</v>
      </c>
      <c r="C52" s="8">
        <f>IFERROR(INDEX('Grocery List'!$A$5:$A$304,MATCH($A52,'Grocery List'!$U$5:$U$304,0)),"")</f>
        <v>0</v>
      </c>
      <c r="D52" s="8">
        <f>IFERROR(INDEX('Grocery List'!$B$5:$B$304,MATCH($A52,'Grocery List'!$U$5:$U$304,0)),"")</f>
        <v>0</v>
      </c>
      <c r="E52" s="13">
        <f>IFERROR(INDEX('Grocery List'!$C$5:$C$304,MATCH($A52,'Grocery List'!$U$5:$U$304,0)),"")</f>
        <v>0</v>
      </c>
      <c r="F52" s="8">
        <f>IFERROR(INDEX('Grocery List'!$D$5:$D$304,MATCH($A52,'Grocery List'!$U$5:$U$304,0)),"")</f>
        <v>0</v>
      </c>
      <c r="G52" s="8">
        <f>IFERROR(INDEX('Grocery List'!$E$5:$E$304,MATCH($A52,'Grocery List'!$U$5:$U$304,0)),"")</f>
        <v>0</v>
      </c>
      <c r="H52" s="8">
        <f>IFERROR(INDEX('Grocery List'!$O$5:$O$304,MATCH($A52,'Grocery List'!$U$5:$U$304,0)),"")</f>
        <v>0</v>
      </c>
      <c r="I52" s="8">
        <f>IFERROR(INDEX('Grocery List'!$AA$5:$AA$304,MATCH($A52,'Grocery List'!$U$5:$U$304,0)),"")</f>
        <v>0</v>
      </c>
    </row>
    <row r="53" spans="1:9" ht="20" customHeight="1">
      <c r="A53" s="19">
        <v>48</v>
      </c>
      <c r="C53" s="8">
        <f>IFERROR(INDEX('Grocery List'!$A$5:$A$304,MATCH($A53,'Grocery List'!$U$5:$U$304,0)),"")</f>
        <v>0</v>
      </c>
      <c r="D53" s="8">
        <f>IFERROR(INDEX('Grocery List'!$B$5:$B$304,MATCH($A53,'Grocery List'!$U$5:$U$304,0)),"")</f>
        <v>0</v>
      </c>
      <c r="E53" s="13">
        <f>IFERROR(INDEX('Grocery List'!$C$5:$C$304,MATCH($A53,'Grocery List'!$U$5:$U$304,0)),"")</f>
        <v>0</v>
      </c>
      <c r="F53" s="8">
        <f>IFERROR(INDEX('Grocery List'!$D$5:$D$304,MATCH($A53,'Grocery List'!$U$5:$U$304,0)),"")</f>
        <v>0</v>
      </c>
      <c r="G53" s="8">
        <f>IFERROR(INDEX('Grocery List'!$E$5:$E$304,MATCH($A53,'Grocery List'!$U$5:$U$304,0)),"")</f>
        <v>0</v>
      </c>
      <c r="H53" s="8">
        <f>IFERROR(INDEX('Grocery List'!$O$5:$O$304,MATCH($A53,'Grocery List'!$U$5:$U$304,0)),"")</f>
        <v>0</v>
      </c>
      <c r="I53" s="8">
        <f>IFERROR(INDEX('Grocery List'!$AA$5:$AA$304,MATCH($A53,'Grocery List'!$U$5:$U$304,0)),"")</f>
        <v>0</v>
      </c>
    </row>
    <row r="54" spans="1:9" ht="20" customHeight="1">
      <c r="A54" s="19">
        <v>49</v>
      </c>
      <c r="C54" s="8">
        <f>IFERROR(INDEX('Grocery List'!$A$5:$A$304,MATCH($A54,'Grocery List'!$U$5:$U$304,0)),"")</f>
        <v>0</v>
      </c>
      <c r="D54" s="8">
        <f>IFERROR(INDEX('Grocery List'!$B$5:$B$304,MATCH($A54,'Grocery List'!$U$5:$U$304,0)),"")</f>
        <v>0</v>
      </c>
      <c r="E54" s="13">
        <f>IFERROR(INDEX('Grocery List'!$C$5:$C$304,MATCH($A54,'Grocery List'!$U$5:$U$304,0)),"")</f>
        <v>0</v>
      </c>
      <c r="F54" s="8">
        <f>IFERROR(INDEX('Grocery List'!$D$5:$D$304,MATCH($A54,'Grocery List'!$U$5:$U$304,0)),"")</f>
        <v>0</v>
      </c>
      <c r="G54" s="8">
        <f>IFERROR(INDEX('Grocery List'!$E$5:$E$304,MATCH($A54,'Grocery List'!$U$5:$U$304,0)),"")</f>
        <v>0</v>
      </c>
      <c r="H54" s="8">
        <f>IFERROR(INDEX('Grocery List'!$O$5:$O$304,MATCH($A54,'Grocery List'!$U$5:$U$304,0)),"")</f>
        <v>0</v>
      </c>
      <c r="I54" s="8">
        <f>IFERROR(INDEX('Grocery List'!$AA$5:$AA$304,MATCH($A54,'Grocery List'!$U$5:$U$304,0)),"")</f>
        <v>0</v>
      </c>
    </row>
    <row r="55" spans="1:9" ht="20" customHeight="1">
      <c r="A55" s="19">
        <v>50</v>
      </c>
      <c r="C55" s="8">
        <f>IFERROR(INDEX('Grocery List'!$A$5:$A$304,MATCH($A55,'Grocery List'!$U$5:$U$304,0)),"")</f>
        <v>0</v>
      </c>
      <c r="D55" s="8">
        <f>IFERROR(INDEX('Grocery List'!$B$5:$B$304,MATCH($A55,'Grocery List'!$U$5:$U$304,0)),"")</f>
        <v>0</v>
      </c>
      <c r="E55" s="13">
        <f>IFERROR(INDEX('Grocery List'!$C$5:$C$304,MATCH($A55,'Grocery List'!$U$5:$U$304,0)),"")</f>
        <v>0</v>
      </c>
      <c r="F55" s="8">
        <f>IFERROR(INDEX('Grocery List'!$D$5:$D$304,MATCH($A55,'Grocery List'!$U$5:$U$304,0)),"")</f>
        <v>0</v>
      </c>
      <c r="G55" s="8">
        <f>IFERROR(INDEX('Grocery List'!$E$5:$E$304,MATCH($A55,'Grocery List'!$U$5:$U$304,0)),"")</f>
        <v>0</v>
      </c>
      <c r="H55" s="8">
        <f>IFERROR(INDEX('Grocery List'!$O$5:$O$304,MATCH($A55,'Grocery List'!$U$5:$U$304,0)),"")</f>
        <v>0</v>
      </c>
      <c r="I55" s="8">
        <f>IFERROR(INDEX('Grocery List'!$AA$5:$AA$304,MATCH($A55,'Grocery List'!$U$5:$U$304,0)),"")</f>
        <v>0</v>
      </c>
    </row>
    <row r="56" spans="1:9" ht="20" customHeight="1">
      <c r="A56" s="19">
        <v>51</v>
      </c>
      <c r="C56" s="8">
        <f>IFERROR(INDEX('Grocery List'!$A$5:$A$304,MATCH($A56,'Grocery List'!$U$5:$U$304,0)),"")</f>
        <v>0</v>
      </c>
      <c r="D56" s="8">
        <f>IFERROR(INDEX('Grocery List'!$B$5:$B$304,MATCH($A56,'Grocery List'!$U$5:$U$304,0)),"")</f>
        <v>0</v>
      </c>
      <c r="E56" s="13">
        <f>IFERROR(INDEX('Grocery List'!$C$5:$C$304,MATCH($A56,'Grocery List'!$U$5:$U$304,0)),"")</f>
        <v>0</v>
      </c>
      <c r="F56" s="8">
        <f>IFERROR(INDEX('Grocery List'!$D$5:$D$304,MATCH($A56,'Grocery List'!$U$5:$U$304,0)),"")</f>
        <v>0</v>
      </c>
      <c r="G56" s="8">
        <f>IFERROR(INDEX('Grocery List'!$E$5:$E$304,MATCH($A56,'Grocery List'!$U$5:$U$304,0)),"")</f>
        <v>0</v>
      </c>
      <c r="H56" s="8">
        <f>IFERROR(INDEX('Grocery List'!$O$5:$O$304,MATCH($A56,'Grocery List'!$U$5:$U$304,0)),"")</f>
        <v>0</v>
      </c>
      <c r="I56" s="8">
        <f>IFERROR(INDEX('Grocery List'!$AA$5:$AA$304,MATCH($A56,'Grocery List'!$U$5:$U$304,0)),"")</f>
        <v>0</v>
      </c>
    </row>
    <row r="57" spans="1:9" ht="20" customHeight="1">
      <c r="A57" s="19">
        <v>52</v>
      </c>
      <c r="C57" s="8">
        <f>IFERROR(INDEX('Grocery List'!$A$5:$A$304,MATCH($A57,'Grocery List'!$U$5:$U$304,0)),"")</f>
        <v>0</v>
      </c>
      <c r="D57" s="8">
        <f>IFERROR(INDEX('Grocery List'!$B$5:$B$304,MATCH($A57,'Grocery List'!$U$5:$U$304,0)),"")</f>
        <v>0</v>
      </c>
      <c r="E57" s="13">
        <f>IFERROR(INDEX('Grocery List'!$C$5:$C$304,MATCH($A57,'Grocery List'!$U$5:$U$304,0)),"")</f>
        <v>0</v>
      </c>
      <c r="F57" s="8">
        <f>IFERROR(INDEX('Grocery List'!$D$5:$D$304,MATCH($A57,'Grocery List'!$U$5:$U$304,0)),"")</f>
        <v>0</v>
      </c>
      <c r="G57" s="8">
        <f>IFERROR(INDEX('Grocery List'!$E$5:$E$304,MATCH($A57,'Grocery List'!$U$5:$U$304,0)),"")</f>
        <v>0</v>
      </c>
      <c r="H57" s="8">
        <f>IFERROR(INDEX('Grocery List'!$O$5:$O$304,MATCH($A57,'Grocery List'!$U$5:$U$304,0)),"")</f>
        <v>0</v>
      </c>
      <c r="I57" s="8">
        <f>IFERROR(INDEX('Grocery List'!$AA$5:$AA$304,MATCH($A57,'Grocery List'!$U$5:$U$304,0)),"")</f>
        <v>0</v>
      </c>
    </row>
    <row r="58" spans="1:9" ht="20" customHeight="1">
      <c r="A58" s="19">
        <v>53</v>
      </c>
      <c r="C58" s="8">
        <f>IFERROR(INDEX('Grocery List'!$A$5:$A$304,MATCH($A58,'Grocery List'!$U$5:$U$304,0)),"")</f>
        <v>0</v>
      </c>
      <c r="D58" s="8">
        <f>IFERROR(INDEX('Grocery List'!$B$5:$B$304,MATCH($A58,'Grocery List'!$U$5:$U$304,0)),"")</f>
        <v>0</v>
      </c>
      <c r="E58" s="13">
        <f>IFERROR(INDEX('Grocery List'!$C$5:$C$304,MATCH($A58,'Grocery List'!$U$5:$U$304,0)),"")</f>
        <v>0</v>
      </c>
      <c r="F58" s="8">
        <f>IFERROR(INDEX('Grocery List'!$D$5:$D$304,MATCH($A58,'Grocery List'!$U$5:$U$304,0)),"")</f>
        <v>0</v>
      </c>
      <c r="G58" s="8">
        <f>IFERROR(INDEX('Grocery List'!$E$5:$E$304,MATCH($A58,'Grocery List'!$U$5:$U$304,0)),"")</f>
        <v>0</v>
      </c>
      <c r="H58" s="8">
        <f>IFERROR(INDEX('Grocery List'!$O$5:$O$304,MATCH($A58,'Grocery List'!$U$5:$U$304,0)),"")</f>
        <v>0</v>
      </c>
      <c r="I58" s="8">
        <f>IFERROR(INDEX('Grocery List'!$AA$5:$AA$304,MATCH($A58,'Grocery List'!$U$5:$U$304,0)),"")</f>
        <v>0</v>
      </c>
    </row>
    <row r="59" spans="1:9" ht="20" customHeight="1">
      <c r="A59" s="19">
        <v>54</v>
      </c>
      <c r="C59" s="8">
        <f>IFERROR(INDEX('Grocery List'!$A$5:$A$304,MATCH($A59,'Grocery List'!$U$5:$U$304,0)),"")</f>
        <v>0</v>
      </c>
      <c r="D59" s="8">
        <f>IFERROR(INDEX('Grocery List'!$B$5:$B$304,MATCH($A59,'Grocery List'!$U$5:$U$304,0)),"")</f>
        <v>0</v>
      </c>
      <c r="E59" s="13">
        <f>IFERROR(INDEX('Grocery List'!$C$5:$C$304,MATCH($A59,'Grocery List'!$U$5:$U$304,0)),"")</f>
        <v>0</v>
      </c>
      <c r="F59" s="8">
        <f>IFERROR(INDEX('Grocery List'!$D$5:$D$304,MATCH($A59,'Grocery List'!$U$5:$U$304,0)),"")</f>
        <v>0</v>
      </c>
      <c r="G59" s="8">
        <f>IFERROR(INDEX('Grocery List'!$E$5:$E$304,MATCH($A59,'Grocery List'!$U$5:$U$304,0)),"")</f>
        <v>0</v>
      </c>
      <c r="H59" s="8">
        <f>IFERROR(INDEX('Grocery List'!$O$5:$O$304,MATCH($A59,'Grocery List'!$U$5:$U$304,0)),"")</f>
        <v>0</v>
      </c>
      <c r="I59" s="8">
        <f>IFERROR(INDEX('Grocery List'!$AA$5:$AA$304,MATCH($A59,'Grocery List'!$U$5:$U$304,0)),"")</f>
        <v>0</v>
      </c>
    </row>
    <row r="60" spans="1:9" ht="20" customHeight="1">
      <c r="A60" s="19">
        <v>55</v>
      </c>
      <c r="C60" s="8">
        <f>IFERROR(INDEX('Grocery List'!$A$5:$A$304,MATCH($A60,'Grocery List'!$U$5:$U$304,0)),"")</f>
        <v>0</v>
      </c>
      <c r="D60" s="8">
        <f>IFERROR(INDEX('Grocery List'!$B$5:$B$304,MATCH($A60,'Grocery List'!$U$5:$U$304,0)),"")</f>
        <v>0</v>
      </c>
      <c r="E60" s="13">
        <f>IFERROR(INDEX('Grocery List'!$C$5:$C$304,MATCH($A60,'Grocery List'!$U$5:$U$304,0)),"")</f>
        <v>0</v>
      </c>
      <c r="F60" s="8">
        <f>IFERROR(INDEX('Grocery List'!$D$5:$D$304,MATCH($A60,'Grocery List'!$U$5:$U$304,0)),"")</f>
        <v>0</v>
      </c>
      <c r="G60" s="8">
        <f>IFERROR(INDEX('Grocery List'!$E$5:$E$304,MATCH($A60,'Grocery List'!$U$5:$U$304,0)),"")</f>
        <v>0</v>
      </c>
      <c r="H60" s="8">
        <f>IFERROR(INDEX('Grocery List'!$O$5:$O$304,MATCH($A60,'Grocery List'!$U$5:$U$304,0)),"")</f>
        <v>0</v>
      </c>
      <c r="I60" s="8">
        <f>IFERROR(INDEX('Grocery List'!$AA$5:$AA$304,MATCH($A60,'Grocery List'!$U$5:$U$304,0)),"")</f>
        <v>0</v>
      </c>
    </row>
    <row r="61" spans="1:9" ht="20" customHeight="1">
      <c r="A61" s="19">
        <v>56</v>
      </c>
      <c r="C61" s="8">
        <f>IFERROR(INDEX('Grocery List'!$A$5:$A$304,MATCH($A61,'Grocery List'!$U$5:$U$304,0)),"")</f>
        <v>0</v>
      </c>
      <c r="D61" s="8">
        <f>IFERROR(INDEX('Grocery List'!$B$5:$B$304,MATCH($A61,'Grocery List'!$U$5:$U$304,0)),"")</f>
        <v>0</v>
      </c>
      <c r="E61" s="13">
        <f>IFERROR(INDEX('Grocery List'!$C$5:$C$304,MATCH($A61,'Grocery List'!$U$5:$U$304,0)),"")</f>
        <v>0</v>
      </c>
      <c r="F61" s="8">
        <f>IFERROR(INDEX('Grocery List'!$D$5:$D$304,MATCH($A61,'Grocery List'!$U$5:$U$304,0)),"")</f>
        <v>0</v>
      </c>
      <c r="G61" s="8">
        <f>IFERROR(INDEX('Grocery List'!$E$5:$E$304,MATCH($A61,'Grocery List'!$U$5:$U$304,0)),"")</f>
        <v>0</v>
      </c>
      <c r="H61" s="8">
        <f>IFERROR(INDEX('Grocery List'!$O$5:$O$304,MATCH($A61,'Grocery List'!$U$5:$U$304,0)),"")</f>
        <v>0</v>
      </c>
      <c r="I61" s="8">
        <f>IFERROR(INDEX('Grocery List'!$AA$5:$AA$304,MATCH($A61,'Grocery List'!$U$5:$U$304,0)),"")</f>
        <v>0</v>
      </c>
    </row>
    <row r="62" spans="1:9" ht="20" customHeight="1">
      <c r="A62" s="19">
        <v>57</v>
      </c>
      <c r="C62" s="8">
        <f>IFERROR(INDEX('Grocery List'!$A$5:$A$304,MATCH($A62,'Grocery List'!$U$5:$U$304,0)),"")</f>
        <v>0</v>
      </c>
      <c r="D62" s="8">
        <f>IFERROR(INDEX('Grocery List'!$B$5:$B$304,MATCH($A62,'Grocery List'!$U$5:$U$304,0)),"")</f>
        <v>0</v>
      </c>
      <c r="E62" s="13">
        <f>IFERROR(INDEX('Grocery List'!$C$5:$C$304,MATCH($A62,'Grocery List'!$U$5:$U$304,0)),"")</f>
        <v>0</v>
      </c>
      <c r="F62" s="8">
        <f>IFERROR(INDEX('Grocery List'!$D$5:$D$304,MATCH($A62,'Grocery List'!$U$5:$U$304,0)),"")</f>
        <v>0</v>
      </c>
      <c r="G62" s="8">
        <f>IFERROR(INDEX('Grocery List'!$E$5:$E$304,MATCH($A62,'Grocery List'!$U$5:$U$304,0)),"")</f>
        <v>0</v>
      </c>
      <c r="H62" s="8">
        <f>IFERROR(INDEX('Grocery List'!$O$5:$O$304,MATCH($A62,'Grocery List'!$U$5:$U$304,0)),"")</f>
        <v>0</v>
      </c>
      <c r="I62" s="8">
        <f>IFERROR(INDEX('Grocery List'!$AA$5:$AA$304,MATCH($A62,'Grocery List'!$U$5:$U$304,0)),"")</f>
        <v>0</v>
      </c>
    </row>
    <row r="63" spans="1:9" ht="20" customHeight="1">
      <c r="A63" s="19">
        <v>58</v>
      </c>
      <c r="C63" s="8">
        <f>IFERROR(INDEX('Grocery List'!$A$5:$A$304,MATCH($A63,'Grocery List'!$U$5:$U$304,0)),"")</f>
        <v>0</v>
      </c>
      <c r="D63" s="8">
        <f>IFERROR(INDEX('Grocery List'!$B$5:$B$304,MATCH($A63,'Grocery List'!$U$5:$U$304,0)),"")</f>
        <v>0</v>
      </c>
      <c r="E63" s="13">
        <f>IFERROR(INDEX('Grocery List'!$C$5:$C$304,MATCH($A63,'Grocery List'!$U$5:$U$304,0)),"")</f>
        <v>0</v>
      </c>
      <c r="F63" s="8">
        <f>IFERROR(INDEX('Grocery List'!$D$5:$D$304,MATCH($A63,'Grocery List'!$U$5:$U$304,0)),"")</f>
        <v>0</v>
      </c>
      <c r="G63" s="8">
        <f>IFERROR(INDEX('Grocery List'!$E$5:$E$304,MATCH($A63,'Grocery List'!$U$5:$U$304,0)),"")</f>
        <v>0</v>
      </c>
      <c r="H63" s="8">
        <f>IFERROR(INDEX('Grocery List'!$O$5:$O$304,MATCH($A63,'Grocery List'!$U$5:$U$304,0)),"")</f>
        <v>0</v>
      </c>
      <c r="I63" s="8">
        <f>IFERROR(INDEX('Grocery List'!$AA$5:$AA$304,MATCH($A63,'Grocery List'!$U$5:$U$304,0)),"")</f>
        <v>0</v>
      </c>
    </row>
    <row r="64" spans="1:9" ht="20" customHeight="1">
      <c r="A64" s="19">
        <v>59</v>
      </c>
      <c r="C64" s="8">
        <f>IFERROR(INDEX('Grocery List'!$A$5:$A$304,MATCH($A64,'Grocery List'!$U$5:$U$304,0)),"")</f>
        <v>0</v>
      </c>
      <c r="D64" s="8">
        <f>IFERROR(INDEX('Grocery List'!$B$5:$B$304,MATCH($A64,'Grocery List'!$U$5:$U$304,0)),"")</f>
        <v>0</v>
      </c>
      <c r="E64" s="13">
        <f>IFERROR(INDEX('Grocery List'!$C$5:$C$304,MATCH($A64,'Grocery List'!$U$5:$U$304,0)),"")</f>
        <v>0</v>
      </c>
      <c r="F64" s="8">
        <f>IFERROR(INDEX('Grocery List'!$D$5:$D$304,MATCH($A64,'Grocery List'!$U$5:$U$304,0)),"")</f>
        <v>0</v>
      </c>
      <c r="G64" s="8">
        <f>IFERROR(INDEX('Grocery List'!$E$5:$E$304,MATCH($A64,'Grocery List'!$U$5:$U$304,0)),"")</f>
        <v>0</v>
      </c>
      <c r="H64" s="8">
        <f>IFERROR(INDEX('Grocery List'!$O$5:$O$304,MATCH($A64,'Grocery List'!$U$5:$U$304,0)),"")</f>
        <v>0</v>
      </c>
      <c r="I64" s="8">
        <f>IFERROR(INDEX('Grocery List'!$AA$5:$AA$304,MATCH($A64,'Grocery List'!$U$5:$U$304,0)),"")</f>
        <v>0</v>
      </c>
    </row>
    <row r="65" spans="1:9" ht="20" customHeight="1">
      <c r="A65" s="19">
        <v>60</v>
      </c>
      <c r="C65" s="20" t="s">
        <v>717</v>
      </c>
      <c r="D65" s="20"/>
      <c r="E65" s="20"/>
      <c r="F65" s="20"/>
      <c r="G65" s="20"/>
      <c r="H65" s="20">
        <f>COUNTIFS('Grocery List'!$N$5:$N$304,"Yes")&amp;" items"</f>
        <v>0</v>
      </c>
      <c r="I65" s="22">
        <f>SUMIFS('Grocery List'!$H$5:$H$304,'Grocery List'!$N$5:$N$304,"Yes")</f>
        <v>0</v>
      </c>
    </row>
  </sheetData>
  <sheetProtection password="EC7C" sheet="1" objects="1" scenarios="1" selectLockedCells="1" selectUnlockedCells="1"/>
  <mergeCells count="2">
    <mergeCell ref="A1:I1"/>
    <mergeCell ref="A2:I2"/>
  </mergeCells>
  <printOptions horizontalCentered="1"/>
  <pageMargins left="0.5" right="0.5" top="0.6" bottom="0.6" header="0.3" footer="0.3"/>
  <pageSetup paperSize="9" orientation="portrait"/>
  <headerFooter>
    <oddHeader>&amp;L&amp;"Calibri,Bold"Automated Meal Planner &amp; Grocery List Spreadsheet&amp;R&amp;"Calibri,Italic"Grocery list</oddHeader>
    <oddFooter>&amp;L&amp;D&amp;RPage &amp;P of &amp;N</oddFooter>
  </headerFooter>
</worksheet>
</file>

<file path=xl/worksheets/sheet35.xml><?xml version="1.0" encoding="utf-8"?>
<worksheet xmlns="http://schemas.openxmlformats.org/spreadsheetml/2006/main" xmlns:r="http://schemas.openxmlformats.org/officeDocument/2006/relationships">
  <sheetPr>
    <tabColor rgb="FFD9703C"/>
    <pageSetUpPr fitToPage="1"/>
  </sheetPr>
  <dimension ref="A1:F58"/>
  <sheetViews>
    <sheetView showGridLines="0" workbookViewId="0"/>
  </sheetViews>
  <sheetFormatPr defaultRowHeight="15"/>
  <cols>
    <col min="1" max="1" width="16.7109375" customWidth="1"/>
    <col min="2" max="2" width="26.7109375" customWidth="1"/>
    <col min="3" max="3" width="28.7109375" customWidth="1"/>
    <col min="4" max="4" width="12.7109375" customWidth="1"/>
    <col min="5" max="5" width="10.7109375" customWidth="1"/>
    <col min="6" max="6" width="40.7109375" customWidth="1"/>
  </cols>
  <sheetData>
    <row r="1" spans="1:6" ht="34" customHeight="1">
      <c r="A1" s="1" t="s">
        <v>718</v>
      </c>
      <c r="B1" s="1"/>
      <c r="C1" s="1"/>
      <c r="D1" s="1"/>
      <c r="E1" s="1"/>
      <c r="F1" s="1"/>
    </row>
    <row r="2" spans="1:6" ht="18" customHeight="1">
      <c r="A2" s="2" t="s">
        <v>719</v>
      </c>
      <c r="B2" s="2"/>
      <c r="C2" s="2"/>
      <c r="D2" s="2"/>
      <c r="E2" s="2"/>
      <c r="F2" s="2"/>
    </row>
    <row r="3" spans="1:6" ht="22" customHeight="1">
      <c r="A3" s="6" t="s">
        <v>138</v>
      </c>
      <c r="B3" s="7" t="s">
        <v>692</v>
      </c>
    </row>
    <row r="4" spans="1:6">
      <c r="A4" s="6" t="s">
        <v>720</v>
      </c>
      <c r="B4" s="13">
        <f>IFERROR(MATCH($B$3,Recipes!$A$5:$A$204,0),0)</f>
        <v>0</v>
      </c>
    </row>
    <row r="6" spans="1:6" ht="22" customHeight="1">
      <c r="A6" s="4" t="s">
        <v>721</v>
      </c>
      <c r="B6" s="4"/>
      <c r="C6" s="4"/>
      <c r="D6" s="4"/>
      <c r="E6" s="4"/>
      <c r="F6" s="4"/>
    </row>
    <row r="7" spans="1:6">
      <c r="A7" s="6" t="s">
        <v>282</v>
      </c>
      <c r="B7" s="8">
        <f>IF($B$4=0,"",IFERROR(INDEX(Recipes!$B$5:$B$204,$B$4),""))</f>
        <v>0</v>
      </c>
      <c r="D7" s="6" t="s">
        <v>283</v>
      </c>
      <c r="E7" s="8">
        <f>IF($B$4=0,"",IFERROR(INDEX(Recipes!$C$5:$C$204,$B$4),""))</f>
        <v>0</v>
      </c>
    </row>
    <row r="8" spans="1:6">
      <c r="A8" s="6" t="s">
        <v>111</v>
      </c>
      <c r="B8" s="13">
        <f>IF($B$4=0,"",IFERROR(INDEX(Recipes!$D$5:$D$204,$B$4),""))</f>
        <v>0</v>
      </c>
      <c r="D8" s="6" t="s">
        <v>722</v>
      </c>
      <c r="E8" s="13">
        <f>IF($B$4=0,"",IFERROR(INDEX(Recipes!$E$5:$E$204,$B$4),""))</f>
        <v>0</v>
      </c>
    </row>
    <row r="9" spans="1:6">
      <c r="A9" s="6" t="s">
        <v>723</v>
      </c>
      <c r="B9" s="13">
        <f>IF($B$4=0,"",IFERROR(INDEX(Recipes!$F$5:$F$204,$B$4),""))</f>
        <v>0</v>
      </c>
      <c r="D9" s="6" t="s">
        <v>724</v>
      </c>
      <c r="E9" s="13">
        <f>IF($B$4=0,"",IFERROR(INDEX(Recipes!$H$5:$H$204,$B$4),""))</f>
        <v>0</v>
      </c>
    </row>
    <row r="10" spans="1:6">
      <c r="A10" s="6" t="s">
        <v>287</v>
      </c>
      <c r="B10" s="13">
        <f>IF($B$4=0,"",IFERROR(INDEX(Recipes!$I$5:$I$204,$B$4),""))</f>
        <v>0</v>
      </c>
      <c r="D10" s="6" t="s">
        <v>288</v>
      </c>
      <c r="E10" s="13">
        <f>IF($B$4=0,"",IFERROR(INDEX(Recipes!$J$5:$J$204,$B$4),""))</f>
        <v>0</v>
      </c>
    </row>
    <row r="11" spans="1:6">
      <c r="A11" s="6" t="s">
        <v>289</v>
      </c>
      <c r="B11" s="13">
        <f>IF($B$4=0,"",IFERROR(INDEX(Recipes!$K$5:$K$204,$B$4),""))</f>
        <v>0</v>
      </c>
      <c r="D11" s="6" t="s">
        <v>290</v>
      </c>
      <c r="E11" s="13">
        <f>IF($B$4=0,"",IFERROR(INDEX(Recipes!$L$5:$L$204,$B$4),""))</f>
        <v>0</v>
      </c>
    </row>
    <row r="12" spans="1:6">
      <c r="A12" s="6" t="s">
        <v>725</v>
      </c>
      <c r="B12" s="14">
        <f>IF($B$4=0,"",IFERROR(INDEX(Recipes!$Q$5:$Q$204,$B$4),""))</f>
        <v>0</v>
      </c>
      <c r="D12" s="6" t="s">
        <v>293</v>
      </c>
      <c r="E12" s="14">
        <f>IF($B$4=0,"",IFERROR(INDEX(Recipes!$P$5:$P$204,$B$4),""))</f>
        <v>0</v>
      </c>
    </row>
    <row r="13" spans="1:6">
      <c r="A13" s="6" t="s">
        <v>141</v>
      </c>
      <c r="B13" s="13">
        <f>IF($B$4=0,"",IFERROR(INDEX(Recipes!$AN$5:$AN$204,$B$4),""))</f>
        <v>0</v>
      </c>
      <c r="D13" s="6" t="s">
        <v>298</v>
      </c>
      <c r="E13" s="13">
        <f>IF($B$4=0,"",IFERROR(INDEX(Recipes!$W$5:$W$204,$B$4),""))</f>
        <v>0</v>
      </c>
    </row>
    <row r="15" spans="1:6" ht="22" customHeight="1">
      <c r="A15" s="4" t="s">
        <v>726</v>
      </c>
      <c r="B15" s="4"/>
      <c r="C15" s="4"/>
      <c r="D15" s="4"/>
      <c r="E15" s="4"/>
      <c r="F15" s="4"/>
    </row>
    <row r="16" spans="1:6" ht="24" customHeight="1">
      <c r="A16" s="9" t="s">
        <v>727</v>
      </c>
      <c r="B16" s="9"/>
      <c r="C16" s="9" t="s">
        <v>322</v>
      </c>
      <c r="D16" s="9" t="s">
        <v>149</v>
      </c>
      <c r="E16" s="9" t="s">
        <v>323</v>
      </c>
      <c r="F16" s="9" t="s">
        <v>134</v>
      </c>
    </row>
    <row r="17" spans="1:6">
      <c r="A17" s="19">
        <v>1</v>
      </c>
      <c r="C17" s="8">
        <f>IF($B$4=0,"",IFERROR(INDEX('Recipe Ingredients'!$B$5:$B$1204,MATCH(1,INDEX(('Recipe Ingredients'!$A$5:$A$1204=$B$3)*('Recipe Ingredients'!$AB$5:$AB$1204=$A17),0),0)),""))</f>
        <v>0</v>
      </c>
      <c r="D17" s="13">
        <f>IF($B$4=0,"",IFERROR(INDEX('Recipe Ingredients'!$C$5:$C$1204,MATCH(1,INDEX(('Recipe Ingredients'!$A$5:$A$1204=$B$3)*('Recipe Ingredients'!$AB$5:$AB$1204=$A17),0),0)),""))</f>
        <v>0</v>
      </c>
      <c r="E17" s="19">
        <f>IF($B$4=0,"",IFERROR(INDEX('Recipe Ingredients'!$D$5:$D$1204,MATCH(1,INDEX(('Recipe Ingredients'!$A$5:$A$1204=$B$3)*('Recipe Ingredients'!$AB$5:$AB$1204=$A17),0),0)),""))</f>
        <v>0</v>
      </c>
      <c r="F17" s="14">
        <f>IF($B$4=0,"",IFERROR(INDEX('Recipe Ingredients'!$H$5:$H$1204,MATCH(1,INDEX(('Recipe Ingredients'!$A$5:$A$1204=$B$3)*('Recipe Ingredients'!$AB$5:$AB$1204=$A17),0),0)),""))</f>
        <v>0</v>
      </c>
    </row>
    <row r="18" spans="1:6">
      <c r="A18" s="19">
        <v>2</v>
      </c>
      <c r="C18" s="8">
        <f>IF($B$4=0,"",IFERROR(INDEX('Recipe Ingredients'!$B$5:$B$1204,MATCH(1,INDEX(('Recipe Ingredients'!$A$5:$A$1204=$B$3)*('Recipe Ingredients'!$AB$5:$AB$1204=$A18),0),0)),""))</f>
        <v>0</v>
      </c>
      <c r="D18" s="13">
        <f>IF($B$4=0,"",IFERROR(INDEX('Recipe Ingredients'!$C$5:$C$1204,MATCH(1,INDEX(('Recipe Ingredients'!$A$5:$A$1204=$B$3)*('Recipe Ingredients'!$AB$5:$AB$1204=$A18),0),0)),""))</f>
        <v>0</v>
      </c>
      <c r="E18" s="19">
        <f>IF($B$4=0,"",IFERROR(INDEX('Recipe Ingredients'!$D$5:$D$1204,MATCH(1,INDEX(('Recipe Ingredients'!$A$5:$A$1204=$B$3)*('Recipe Ingredients'!$AB$5:$AB$1204=$A18),0),0)),""))</f>
        <v>0</v>
      </c>
      <c r="F18" s="14">
        <f>IF($B$4=0,"",IFERROR(INDEX('Recipe Ingredients'!$H$5:$H$1204,MATCH(1,INDEX(('Recipe Ingredients'!$A$5:$A$1204=$B$3)*('Recipe Ingredients'!$AB$5:$AB$1204=$A18),0),0)),""))</f>
        <v>0</v>
      </c>
    </row>
    <row r="19" spans="1:6">
      <c r="A19" s="19">
        <v>3</v>
      </c>
      <c r="C19" s="8">
        <f>IF($B$4=0,"",IFERROR(INDEX('Recipe Ingredients'!$B$5:$B$1204,MATCH(1,INDEX(('Recipe Ingredients'!$A$5:$A$1204=$B$3)*('Recipe Ingredients'!$AB$5:$AB$1204=$A19),0),0)),""))</f>
        <v>0</v>
      </c>
      <c r="D19" s="13">
        <f>IF($B$4=0,"",IFERROR(INDEX('Recipe Ingredients'!$C$5:$C$1204,MATCH(1,INDEX(('Recipe Ingredients'!$A$5:$A$1204=$B$3)*('Recipe Ingredients'!$AB$5:$AB$1204=$A19),0),0)),""))</f>
        <v>0</v>
      </c>
      <c r="E19" s="19">
        <f>IF($B$4=0,"",IFERROR(INDEX('Recipe Ingredients'!$D$5:$D$1204,MATCH(1,INDEX(('Recipe Ingredients'!$A$5:$A$1204=$B$3)*('Recipe Ingredients'!$AB$5:$AB$1204=$A19),0),0)),""))</f>
        <v>0</v>
      </c>
      <c r="F19" s="14">
        <f>IF($B$4=0,"",IFERROR(INDEX('Recipe Ingredients'!$H$5:$H$1204,MATCH(1,INDEX(('Recipe Ingredients'!$A$5:$A$1204=$B$3)*('Recipe Ingredients'!$AB$5:$AB$1204=$A19),0),0)),""))</f>
        <v>0</v>
      </c>
    </row>
    <row r="20" spans="1:6">
      <c r="A20" s="19">
        <v>4</v>
      </c>
      <c r="C20" s="8">
        <f>IF($B$4=0,"",IFERROR(INDEX('Recipe Ingredients'!$B$5:$B$1204,MATCH(1,INDEX(('Recipe Ingredients'!$A$5:$A$1204=$B$3)*('Recipe Ingredients'!$AB$5:$AB$1204=$A20),0),0)),""))</f>
        <v>0</v>
      </c>
      <c r="D20" s="13">
        <f>IF($B$4=0,"",IFERROR(INDEX('Recipe Ingredients'!$C$5:$C$1204,MATCH(1,INDEX(('Recipe Ingredients'!$A$5:$A$1204=$B$3)*('Recipe Ingredients'!$AB$5:$AB$1204=$A20),0),0)),""))</f>
        <v>0</v>
      </c>
      <c r="E20" s="19">
        <f>IF($B$4=0,"",IFERROR(INDEX('Recipe Ingredients'!$D$5:$D$1204,MATCH(1,INDEX(('Recipe Ingredients'!$A$5:$A$1204=$B$3)*('Recipe Ingredients'!$AB$5:$AB$1204=$A20),0),0)),""))</f>
        <v>0</v>
      </c>
      <c r="F20" s="14">
        <f>IF($B$4=0,"",IFERROR(INDEX('Recipe Ingredients'!$H$5:$H$1204,MATCH(1,INDEX(('Recipe Ingredients'!$A$5:$A$1204=$B$3)*('Recipe Ingredients'!$AB$5:$AB$1204=$A20),0),0)),""))</f>
        <v>0</v>
      </c>
    </row>
    <row r="21" spans="1:6">
      <c r="A21" s="19">
        <v>5</v>
      </c>
      <c r="C21" s="8">
        <f>IF($B$4=0,"",IFERROR(INDEX('Recipe Ingredients'!$B$5:$B$1204,MATCH(1,INDEX(('Recipe Ingredients'!$A$5:$A$1204=$B$3)*('Recipe Ingredients'!$AB$5:$AB$1204=$A21),0),0)),""))</f>
        <v>0</v>
      </c>
      <c r="D21" s="13">
        <f>IF($B$4=0,"",IFERROR(INDEX('Recipe Ingredients'!$C$5:$C$1204,MATCH(1,INDEX(('Recipe Ingredients'!$A$5:$A$1204=$B$3)*('Recipe Ingredients'!$AB$5:$AB$1204=$A21),0),0)),""))</f>
        <v>0</v>
      </c>
      <c r="E21" s="19">
        <f>IF($B$4=0,"",IFERROR(INDEX('Recipe Ingredients'!$D$5:$D$1204,MATCH(1,INDEX(('Recipe Ingredients'!$A$5:$A$1204=$B$3)*('Recipe Ingredients'!$AB$5:$AB$1204=$A21),0),0)),""))</f>
        <v>0</v>
      </c>
      <c r="F21" s="14">
        <f>IF($B$4=0,"",IFERROR(INDEX('Recipe Ingredients'!$H$5:$H$1204,MATCH(1,INDEX(('Recipe Ingredients'!$A$5:$A$1204=$B$3)*('Recipe Ingredients'!$AB$5:$AB$1204=$A21),0),0)),""))</f>
        <v>0</v>
      </c>
    </row>
    <row r="22" spans="1:6">
      <c r="A22" s="19">
        <v>6</v>
      </c>
      <c r="C22" s="8">
        <f>IF($B$4=0,"",IFERROR(INDEX('Recipe Ingredients'!$B$5:$B$1204,MATCH(1,INDEX(('Recipe Ingredients'!$A$5:$A$1204=$B$3)*('Recipe Ingredients'!$AB$5:$AB$1204=$A22),0),0)),""))</f>
        <v>0</v>
      </c>
      <c r="D22" s="13">
        <f>IF($B$4=0,"",IFERROR(INDEX('Recipe Ingredients'!$C$5:$C$1204,MATCH(1,INDEX(('Recipe Ingredients'!$A$5:$A$1204=$B$3)*('Recipe Ingredients'!$AB$5:$AB$1204=$A22),0),0)),""))</f>
        <v>0</v>
      </c>
      <c r="E22" s="19">
        <f>IF($B$4=0,"",IFERROR(INDEX('Recipe Ingredients'!$D$5:$D$1204,MATCH(1,INDEX(('Recipe Ingredients'!$A$5:$A$1204=$B$3)*('Recipe Ingredients'!$AB$5:$AB$1204=$A22),0),0)),""))</f>
        <v>0</v>
      </c>
      <c r="F22" s="14">
        <f>IF($B$4=0,"",IFERROR(INDEX('Recipe Ingredients'!$H$5:$H$1204,MATCH(1,INDEX(('Recipe Ingredients'!$A$5:$A$1204=$B$3)*('Recipe Ingredients'!$AB$5:$AB$1204=$A22),0),0)),""))</f>
        <v>0</v>
      </c>
    </row>
    <row r="23" spans="1:6">
      <c r="A23" s="19">
        <v>7</v>
      </c>
      <c r="C23" s="8">
        <f>IF($B$4=0,"",IFERROR(INDEX('Recipe Ingredients'!$B$5:$B$1204,MATCH(1,INDEX(('Recipe Ingredients'!$A$5:$A$1204=$B$3)*('Recipe Ingredients'!$AB$5:$AB$1204=$A23),0),0)),""))</f>
        <v>0</v>
      </c>
      <c r="D23" s="13">
        <f>IF($B$4=0,"",IFERROR(INDEX('Recipe Ingredients'!$C$5:$C$1204,MATCH(1,INDEX(('Recipe Ingredients'!$A$5:$A$1204=$B$3)*('Recipe Ingredients'!$AB$5:$AB$1204=$A23),0),0)),""))</f>
        <v>0</v>
      </c>
      <c r="E23" s="19">
        <f>IF($B$4=0,"",IFERROR(INDEX('Recipe Ingredients'!$D$5:$D$1204,MATCH(1,INDEX(('Recipe Ingredients'!$A$5:$A$1204=$B$3)*('Recipe Ingredients'!$AB$5:$AB$1204=$A23),0),0)),""))</f>
        <v>0</v>
      </c>
      <c r="F23" s="14">
        <f>IF($B$4=0,"",IFERROR(INDEX('Recipe Ingredients'!$H$5:$H$1204,MATCH(1,INDEX(('Recipe Ingredients'!$A$5:$A$1204=$B$3)*('Recipe Ingredients'!$AB$5:$AB$1204=$A23),0),0)),""))</f>
        <v>0</v>
      </c>
    </row>
    <row r="24" spans="1:6">
      <c r="A24" s="19">
        <v>8</v>
      </c>
      <c r="C24" s="8">
        <f>IF($B$4=0,"",IFERROR(INDEX('Recipe Ingredients'!$B$5:$B$1204,MATCH(1,INDEX(('Recipe Ingredients'!$A$5:$A$1204=$B$3)*('Recipe Ingredients'!$AB$5:$AB$1204=$A24),0),0)),""))</f>
        <v>0</v>
      </c>
      <c r="D24" s="13">
        <f>IF($B$4=0,"",IFERROR(INDEX('Recipe Ingredients'!$C$5:$C$1204,MATCH(1,INDEX(('Recipe Ingredients'!$A$5:$A$1204=$B$3)*('Recipe Ingredients'!$AB$5:$AB$1204=$A24),0),0)),""))</f>
        <v>0</v>
      </c>
      <c r="E24" s="19">
        <f>IF($B$4=0,"",IFERROR(INDEX('Recipe Ingredients'!$D$5:$D$1204,MATCH(1,INDEX(('Recipe Ingredients'!$A$5:$A$1204=$B$3)*('Recipe Ingredients'!$AB$5:$AB$1204=$A24),0),0)),""))</f>
        <v>0</v>
      </c>
      <c r="F24" s="14">
        <f>IF($B$4=0,"",IFERROR(INDEX('Recipe Ingredients'!$H$5:$H$1204,MATCH(1,INDEX(('Recipe Ingredients'!$A$5:$A$1204=$B$3)*('Recipe Ingredients'!$AB$5:$AB$1204=$A24),0),0)),""))</f>
        <v>0</v>
      </c>
    </row>
    <row r="25" spans="1:6">
      <c r="A25" s="19">
        <v>9</v>
      </c>
      <c r="C25" s="8">
        <f>IF($B$4=0,"",IFERROR(INDEX('Recipe Ingredients'!$B$5:$B$1204,MATCH(1,INDEX(('Recipe Ingredients'!$A$5:$A$1204=$B$3)*('Recipe Ingredients'!$AB$5:$AB$1204=$A25),0),0)),""))</f>
        <v>0</v>
      </c>
      <c r="D25" s="13">
        <f>IF($B$4=0,"",IFERROR(INDEX('Recipe Ingredients'!$C$5:$C$1204,MATCH(1,INDEX(('Recipe Ingredients'!$A$5:$A$1204=$B$3)*('Recipe Ingredients'!$AB$5:$AB$1204=$A25),0),0)),""))</f>
        <v>0</v>
      </c>
      <c r="E25" s="19">
        <f>IF($B$4=0,"",IFERROR(INDEX('Recipe Ingredients'!$D$5:$D$1204,MATCH(1,INDEX(('Recipe Ingredients'!$A$5:$A$1204=$B$3)*('Recipe Ingredients'!$AB$5:$AB$1204=$A25),0),0)),""))</f>
        <v>0</v>
      </c>
      <c r="F25" s="14">
        <f>IF($B$4=0,"",IFERROR(INDEX('Recipe Ingredients'!$H$5:$H$1204,MATCH(1,INDEX(('Recipe Ingredients'!$A$5:$A$1204=$B$3)*('Recipe Ingredients'!$AB$5:$AB$1204=$A25),0),0)),""))</f>
        <v>0</v>
      </c>
    </row>
    <row r="26" spans="1:6">
      <c r="A26" s="19">
        <v>10</v>
      </c>
      <c r="C26" s="8">
        <f>IF($B$4=0,"",IFERROR(INDEX('Recipe Ingredients'!$B$5:$B$1204,MATCH(1,INDEX(('Recipe Ingredients'!$A$5:$A$1204=$B$3)*('Recipe Ingredients'!$AB$5:$AB$1204=$A26),0),0)),""))</f>
        <v>0</v>
      </c>
      <c r="D26" s="13">
        <f>IF($B$4=0,"",IFERROR(INDEX('Recipe Ingredients'!$C$5:$C$1204,MATCH(1,INDEX(('Recipe Ingredients'!$A$5:$A$1204=$B$3)*('Recipe Ingredients'!$AB$5:$AB$1204=$A26),0),0)),""))</f>
        <v>0</v>
      </c>
      <c r="E26" s="19">
        <f>IF($B$4=0,"",IFERROR(INDEX('Recipe Ingredients'!$D$5:$D$1204,MATCH(1,INDEX(('Recipe Ingredients'!$A$5:$A$1204=$B$3)*('Recipe Ingredients'!$AB$5:$AB$1204=$A26),0),0)),""))</f>
        <v>0</v>
      </c>
      <c r="F26" s="14">
        <f>IF($B$4=0,"",IFERROR(INDEX('Recipe Ingredients'!$H$5:$H$1204,MATCH(1,INDEX(('Recipe Ingredients'!$A$5:$A$1204=$B$3)*('Recipe Ingredients'!$AB$5:$AB$1204=$A26),0),0)),""))</f>
        <v>0</v>
      </c>
    </row>
    <row r="27" spans="1:6">
      <c r="A27" s="19">
        <v>11</v>
      </c>
      <c r="C27" s="8">
        <f>IF($B$4=0,"",IFERROR(INDEX('Recipe Ingredients'!$B$5:$B$1204,MATCH(1,INDEX(('Recipe Ingredients'!$A$5:$A$1204=$B$3)*('Recipe Ingredients'!$AB$5:$AB$1204=$A27),0),0)),""))</f>
        <v>0</v>
      </c>
      <c r="D27" s="13">
        <f>IF($B$4=0,"",IFERROR(INDEX('Recipe Ingredients'!$C$5:$C$1204,MATCH(1,INDEX(('Recipe Ingredients'!$A$5:$A$1204=$B$3)*('Recipe Ingredients'!$AB$5:$AB$1204=$A27),0),0)),""))</f>
        <v>0</v>
      </c>
      <c r="E27" s="19">
        <f>IF($B$4=0,"",IFERROR(INDEX('Recipe Ingredients'!$D$5:$D$1204,MATCH(1,INDEX(('Recipe Ingredients'!$A$5:$A$1204=$B$3)*('Recipe Ingredients'!$AB$5:$AB$1204=$A27),0),0)),""))</f>
        <v>0</v>
      </c>
      <c r="F27" s="14">
        <f>IF($B$4=0,"",IFERROR(INDEX('Recipe Ingredients'!$H$5:$H$1204,MATCH(1,INDEX(('Recipe Ingredients'!$A$5:$A$1204=$B$3)*('Recipe Ingredients'!$AB$5:$AB$1204=$A27),0),0)),""))</f>
        <v>0</v>
      </c>
    </row>
    <row r="28" spans="1:6">
      <c r="A28" s="19">
        <v>12</v>
      </c>
      <c r="C28" s="8">
        <f>IF($B$4=0,"",IFERROR(INDEX('Recipe Ingredients'!$B$5:$B$1204,MATCH(1,INDEX(('Recipe Ingredients'!$A$5:$A$1204=$B$3)*('Recipe Ingredients'!$AB$5:$AB$1204=$A28),0),0)),""))</f>
        <v>0</v>
      </c>
      <c r="D28" s="13">
        <f>IF($B$4=0,"",IFERROR(INDEX('Recipe Ingredients'!$C$5:$C$1204,MATCH(1,INDEX(('Recipe Ingredients'!$A$5:$A$1204=$B$3)*('Recipe Ingredients'!$AB$5:$AB$1204=$A28),0),0)),""))</f>
        <v>0</v>
      </c>
      <c r="E28" s="19">
        <f>IF($B$4=0,"",IFERROR(INDEX('Recipe Ingredients'!$D$5:$D$1204,MATCH(1,INDEX(('Recipe Ingredients'!$A$5:$A$1204=$B$3)*('Recipe Ingredients'!$AB$5:$AB$1204=$A28),0),0)),""))</f>
        <v>0</v>
      </c>
      <c r="F28" s="14">
        <f>IF($B$4=0,"",IFERROR(INDEX('Recipe Ingredients'!$H$5:$H$1204,MATCH(1,INDEX(('Recipe Ingredients'!$A$5:$A$1204=$B$3)*('Recipe Ingredients'!$AB$5:$AB$1204=$A28),0),0)),""))</f>
        <v>0</v>
      </c>
    </row>
    <row r="29" spans="1:6">
      <c r="A29" s="19">
        <v>13</v>
      </c>
      <c r="C29" s="8">
        <f>IF($B$4=0,"",IFERROR(INDEX('Recipe Ingredients'!$B$5:$B$1204,MATCH(1,INDEX(('Recipe Ingredients'!$A$5:$A$1204=$B$3)*('Recipe Ingredients'!$AB$5:$AB$1204=$A29),0),0)),""))</f>
        <v>0</v>
      </c>
      <c r="D29" s="13">
        <f>IF($B$4=0,"",IFERROR(INDEX('Recipe Ingredients'!$C$5:$C$1204,MATCH(1,INDEX(('Recipe Ingredients'!$A$5:$A$1204=$B$3)*('Recipe Ingredients'!$AB$5:$AB$1204=$A29),0),0)),""))</f>
        <v>0</v>
      </c>
      <c r="E29" s="19">
        <f>IF($B$4=0,"",IFERROR(INDEX('Recipe Ingredients'!$D$5:$D$1204,MATCH(1,INDEX(('Recipe Ingredients'!$A$5:$A$1204=$B$3)*('Recipe Ingredients'!$AB$5:$AB$1204=$A29),0),0)),""))</f>
        <v>0</v>
      </c>
      <c r="F29" s="14">
        <f>IF($B$4=0,"",IFERROR(INDEX('Recipe Ingredients'!$H$5:$H$1204,MATCH(1,INDEX(('Recipe Ingredients'!$A$5:$A$1204=$B$3)*('Recipe Ingredients'!$AB$5:$AB$1204=$A29),0),0)),""))</f>
        <v>0</v>
      </c>
    </row>
    <row r="30" spans="1:6">
      <c r="A30" s="19">
        <v>14</v>
      </c>
      <c r="C30" s="8">
        <f>IF($B$4=0,"",IFERROR(INDEX('Recipe Ingredients'!$B$5:$B$1204,MATCH(1,INDEX(('Recipe Ingredients'!$A$5:$A$1204=$B$3)*('Recipe Ingredients'!$AB$5:$AB$1204=$A30),0),0)),""))</f>
        <v>0</v>
      </c>
      <c r="D30" s="13">
        <f>IF($B$4=0,"",IFERROR(INDEX('Recipe Ingredients'!$C$5:$C$1204,MATCH(1,INDEX(('Recipe Ingredients'!$A$5:$A$1204=$B$3)*('Recipe Ingredients'!$AB$5:$AB$1204=$A30),0),0)),""))</f>
        <v>0</v>
      </c>
      <c r="E30" s="19">
        <f>IF($B$4=0,"",IFERROR(INDEX('Recipe Ingredients'!$D$5:$D$1204,MATCH(1,INDEX(('Recipe Ingredients'!$A$5:$A$1204=$B$3)*('Recipe Ingredients'!$AB$5:$AB$1204=$A30),0),0)),""))</f>
        <v>0</v>
      </c>
      <c r="F30" s="14">
        <f>IF($B$4=0,"",IFERROR(INDEX('Recipe Ingredients'!$H$5:$H$1204,MATCH(1,INDEX(('Recipe Ingredients'!$A$5:$A$1204=$B$3)*('Recipe Ingredients'!$AB$5:$AB$1204=$A30),0),0)),""))</f>
        <v>0</v>
      </c>
    </row>
    <row r="31" spans="1:6">
      <c r="A31" s="19">
        <v>15</v>
      </c>
      <c r="C31" s="8">
        <f>IF($B$4=0,"",IFERROR(INDEX('Recipe Ingredients'!$B$5:$B$1204,MATCH(1,INDEX(('Recipe Ingredients'!$A$5:$A$1204=$B$3)*('Recipe Ingredients'!$AB$5:$AB$1204=$A31),0),0)),""))</f>
        <v>0</v>
      </c>
      <c r="D31" s="13">
        <f>IF($B$4=0,"",IFERROR(INDEX('Recipe Ingredients'!$C$5:$C$1204,MATCH(1,INDEX(('Recipe Ingredients'!$A$5:$A$1204=$B$3)*('Recipe Ingredients'!$AB$5:$AB$1204=$A31),0),0)),""))</f>
        <v>0</v>
      </c>
      <c r="E31" s="19">
        <f>IF($B$4=0,"",IFERROR(INDEX('Recipe Ingredients'!$D$5:$D$1204,MATCH(1,INDEX(('Recipe Ingredients'!$A$5:$A$1204=$B$3)*('Recipe Ingredients'!$AB$5:$AB$1204=$A31),0),0)),""))</f>
        <v>0</v>
      </c>
      <c r="F31" s="14">
        <f>IF($B$4=0,"",IFERROR(INDEX('Recipe Ingredients'!$H$5:$H$1204,MATCH(1,INDEX(('Recipe Ingredients'!$A$5:$A$1204=$B$3)*('Recipe Ingredients'!$AB$5:$AB$1204=$A31),0),0)),""))</f>
        <v>0</v>
      </c>
    </row>
    <row r="32" spans="1:6">
      <c r="A32" s="19">
        <v>16</v>
      </c>
      <c r="C32" s="8">
        <f>IF($B$4=0,"",IFERROR(INDEX('Recipe Ingredients'!$B$5:$B$1204,MATCH(1,INDEX(('Recipe Ingredients'!$A$5:$A$1204=$B$3)*('Recipe Ingredients'!$AB$5:$AB$1204=$A32),0),0)),""))</f>
        <v>0</v>
      </c>
      <c r="D32" s="13">
        <f>IF($B$4=0,"",IFERROR(INDEX('Recipe Ingredients'!$C$5:$C$1204,MATCH(1,INDEX(('Recipe Ingredients'!$A$5:$A$1204=$B$3)*('Recipe Ingredients'!$AB$5:$AB$1204=$A32),0),0)),""))</f>
        <v>0</v>
      </c>
      <c r="E32" s="19">
        <f>IF($B$4=0,"",IFERROR(INDEX('Recipe Ingredients'!$D$5:$D$1204,MATCH(1,INDEX(('Recipe Ingredients'!$A$5:$A$1204=$B$3)*('Recipe Ingredients'!$AB$5:$AB$1204=$A32),0),0)),""))</f>
        <v>0</v>
      </c>
      <c r="F32" s="14">
        <f>IF($B$4=0,"",IFERROR(INDEX('Recipe Ingredients'!$H$5:$H$1204,MATCH(1,INDEX(('Recipe Ingredients'!$A$5:$A$1204=$B$3)*('Recipe Ingredients'!$AB$5:$AB$1204=$A32),0),0)),""))</f>
        <v>0</v>
      </c>
    </row>
    <row r="33" spans="1:6">
      <c r="A33" s="19">
        <v>17</v>
      </c>
      <c r="C33" s="8">
        <f>IF($B$4=0,"",IFERROR(INDEX('Recipe Ingredients'!$B$5:$B$1204,MATCH(1,INDEX(('Recipe Ingredients'!$A$5:$A$1204=$B$3)*('Recipe Ingredients'!$AB$5:$AB$1204=$A33),0),0)),""))</f>
        <v>0</v>
      </c>
      <c r="D33" s="13">
        <f>IF($B$4=0,"",IFERROR(INDEX('Recipe Ingredients'!$C$5:$C$1204,MATCH(1,INDEX(('Recipe Ingredients'!$A$5:$A$1204=$B$3)*('Recipe Ingredients'!$AB$5:$AB$1204=$A33),0),0)),""))</f>
        <v>0</v>
      </c>
      <c r="E33" s="19">
        <f>IF($B$4=0,"",IFERROR(INDEX('Recipe Ingredients'!$D$5:$D$1204,MATCH(1,INDEX(('Recipe Ingredients'!$A$5:$A$1204=$B$3)*('Recipe Ingredients'!$AB$5:$AB$1204=$A33),0),0)),""))</f>
        <v>0</v>
      </c>
      <c r="F33" s="14">
        <f>IF($B$4=0,"",IFERROR(INDEX('Recipe Ingredients'!$H$5:$H$1204,MATCH(1,INDEX(('Recipe Ingredients'!$A$5:$A$1204=$B$3)*('Recipe Ingredients'!$AB$5:$AB$1204=$A33),0),0)),""))</f>
        <v>0</v>
      </c>
    </row>
    <row r="34" spans="1:6">
      <c r="A34" s="19">
        <v>18</v>
      </c>
      <c r="C34" s="8">
        <f>IF($B$4=0,"",IFERROR(INDEX('Recipe Ingredients'!$B$5:$B$1204,MATCH(1,INDEX(('Recipe Ingredients'!$A$5:$A$1204=$B$3)*('Recipe Ingredients'!$AB$5:$AB$1204=$A34),0),0)),""))</f>
        <v>0</v>
      </c>
      <c r="D34" s="13">
        <f>IF($B$4=0,"",IFERROR(INDEX('Recipe Ingredients'!$C$5:$C$1204,MATCH(1,INDEX(('Recipe Ingredients'!$A$5:$A$1204=$B$3)*('Recipe Ingredients'!$AB$5:$AB$1204=$A34),0),0)),""))</f>
        <v>0</v>
      </c>
      <c r="E34" s="19">
        <f>IF($B$4=0,"",IFERROR(INDEX('Recipe Ingredients'!$D$5:$D$1204,MATCH(1,INDEX(('Recipe Ingredients'!$A$5:$A$1204=$B$3)*('Recipe Ingredients'!$AB$5:$AB$1204=$A34),0),0)),""))</f>
        <v>0</v>
      </c>
      <c r="F34" s="14">
        <f>IF($B$4=0,"",IFERROR(INDEX('Recipe Ingredients'!$H$5:$H$1204,MATCH(1,INDEX(('Recipe Ingredients'!$A$5:$A$1204=$B$3)*('Recipe Ingredients'!$AB$5:$AB$1204=$A34),0),0)),""))</f>
        <v>0</v>
      </c>
    </row>
    <row r="35" spans="1:6">
      <c r="A35" s="19">
        <v>19</v>
      </c>
      <c r="C35" s="8">
        <f>IF($B$4=0,"",IFERROR(INDEX('Recipe Ingredients'!$B$5:$B$1204,MATCH(1,INDEX(('Recipe Ingredients'!$A$5:$A$1204=$B$3)*('Recipe Ingredients'!$AB$5:$AB$1204=$A35),0),0)),""))</f>
        <v>0</v>
      </c>
      <c r="D35" s="13">
        <f>IF($B$4=0,"",IFERROR(INDEX('Recipe Ingredients'!$C$5:$C$1204,MATCH(1,INDEX(('Recipe Ingredients'!$A$5:$A$1204=$B$3)*('Recipe Ingredients'!$AB$5:$AB$1204=$A35),0),0)),""))</f>
        <v>0</v>
      </c>
      <c r="E35" s="19">
        <f>IF($B$4=0,"",IFERROR(INDEX('Recipe Ingredients'!$D$5:$D$1204,MATCH(1,INDEX(('Recipe Ingredients'!$A$5:$A$1204=$B$3)*('Recipe Ingredients'!$AB$5:$AB$1204=$A35),0),0)),""))</f>
        <v>0</v>
      </c>
      <c r="F35" s="14">
        <f>IF($B$4=0,"",IFERROR(INDEX('Recipe Ingredients'!$H$5:$H$1204,MATCH(1,INDEX(('Recipe Ingredients'!$A$5:$A$1204=$B$3)*('Recipe Ingredients'!$AB$5:$AB$1204=$A35),0),0)),""))</f>
        <v>0</v>
      </c>
    </row>
    <row r="36" spans="1:6">
      <c r="A36" s="19">
        <v>20</v>
      </c>
      <c r="C36" s="8">
        <f>IF($B$4=0,"",IFERROR(INDEX('Recipe Ingredients'!$B$5:$B$1204,MATCH(1,INDEX(('Recipe Ingredients'!$A$5:$A$1204=$B$3)*('Recipe Ingredients'!$AB$5:$AB$1204=$A36),0),0)),""))</f>
        <v>0</v>
      </c>
      <c r="D36" s="13">
        <f>IF($B$4=0,"",IFERROR(INDEX('Recipe Ingredients'!$C$5:$C$1204,MATCH(1,INDEX(('Recipe Ingredients'!$A$5:$A$1204=$B$3)*('Recipe Ingredients'!$AB$5:$AB$1204=$A36),0),0)),""))</f>
        <v>0</v>
      </c>
      <c r="E36" s="19">
        <f>IF($B$4=0,"",IFERROR(INDEX('Recipe Ingredients'!$D$5:$D$1204,MATCH(1,INDEX(('Recipe Ingredients'!$A$5:$A$1204=$B$3)*('Recipe Ingredients'!$AB$5:$AB$1204=$A36),0),0)),""))</f>
        <v>0</v>
      </c>
      <c r="F36" s="14">
        <f>IF($B$4=0,"",IFERROR(INDEX('Recipe Ingredients'!$H$5:$H$1204,MATCH(1,INDEX(('Recipe Ingredients'!$A$5:$A$1204=$B$3)*('Recipe Ingredients'!$AB$5:$AB$1204=$A36),0),0)),""))</f>
        <v>0</v>
      </c>
    </row>
    <row r="37" spans="1:6">
      <c r="A37" s="19">
        <v>21</v>
      </c>
      <c r="C37" s="8">
        <f>IF($B$4=0,"",IFERROR(INDEX('Recipe Ingredients'!$B$5:$B$1204,MATCH(1,INDEX(('Recipe Ingredients'!$A$5:$A$1204=$B$3)*('Recipe Ingredients'!$AB$5:$AB$1204=$A37),0),0)),""))</f>
        <v>0</v>
      </c>
      <c r="D37" s="13">
        <f>IF($B$4=0,"",IFERROR(INDEX('Recipe Ingredients'!$C$5:$C$1204,MATCH(1,INDEX(('Recipe Ingredients'!$A$5:$A$1204=$B$3)*('Recipe Ingredients'!$AB$5:$AB$1204=$A37),0),0)),""))</f>
        <v>0</v>
      </c>
      <c r="E37" s="19">
        <f>IF($B$4=0,"",IFERROR(INDEX('Recipe Ingredients'!$D$5:$D$1204,MATCH(1,INDEX(('Recipe Ingredients'!$A$5:$A$1204=$B$3)*('Recipe Ingredients'!$AB$5:$AB$1204=$A37),0),0)),""))</f>
        <v>0</v>
      </c>
      <c r="F37" s="14">
        <f>IF($B$4=0,"",IFERROR(INDEX('Recipe Ingredients'!$H$5:$H$1204,MATCH(1,INDEX(('Recipe Ingredients'!$A$5:$A$1204=$B$3)*('Recipe Ingredients'!$AB$5:$AB$1204=$A37),0),0)),""))</f>
        <v>0</v>
      </c>
    </row>
    <row r="38" spans="1:6">
      <c r="A38" s="19">
        <v>22</v>
      </c>
      <c r="C38" s="8">
        <f>IF($B$4=0,"",IFERROR(INDEX('Recipe Ingredients'!$B$5:$B$1204,MATCH(1,INDEX(('Recipe Ingredients'!$A$5:$A$1204=$B$3)*('Recipe Ingredients'!$AB$5:$AB$1204=$A38),0),0)),""))</f>
        <v>0</v>
      </c>
      <c r="D38" s="13">
        <f>IF($B$4=0,"",IFERROR(INDEX('Recipe Ingredients'!$C$5:$C$1204,MATCH(1,INDEX(('Recipe Ingredients'!$A$5:$A$1204=$B$3)*('Recipe Ingredients'!$AB$5:$AB$1204=$A38),0),0)),""))</f>
        <v>0</v>
      </c>
      <c r="E38" s="19">
        <f>IF($B$4=0,"",IFERROR(INDEX('Recipe Ingredients'!$D$5:$D$1204,MATCH(1,INDEX(('Recipe Ingredients'!$A$5:$A$1204=$B$3)*('Recipe Ingredients'!$AB$5:$AB$1204=$A38),0),0)),""))</f>
        <v>0</v>
      </c>
      <c r="F38" s="14">
        <f>IF($B$4=0,"",IFERROR(INDEX('Recipe Ingredients'!$H$5:$H$1204,MATCH(1,INDEX(('Recipe Ingredients'!$A$5:$A$1204=$B$3)*('Recipe Ingredients'!$AB$5:$AB$1204=$A38),0),0)),""))</f>
        <v>0</v>
      </c>
    </row>
    <row r="39" spans="1:6">
      <c r="A39" s="19">
        <v>23</v>
      </c>
      <c r="C39" s="8">
        <f>IF($B$4=0,"",IFERROR(INDEX('Recipe Ingredients'!$B$5:$B$1204,MATCH(1,INDEX(('Recipe Ingredients'!$A$5:$A$1204=$B$3)*('Recipe Ingredients'!$AB$5:$AB$1204=$A39),0),0)),""))</f>
        <v>0</v>
      </c>
      <c r="D39" s="13">
        <f>IF($B$4=0,"",IFERROR(INDEX('Recipe Ingredients'!$C$5:$C$1204,MATCH(1,INDEX(('Recipe Ingredients'!$A$5:$A$1204=$B$3)*('Recipe Ingredients'!$AB$5:$AB$1204=$A39),0),0)),""))</f>
        <v>0</v>
      </c>
      <c r="E39" s="19">
        <f>IF($B$4=0,"",IFERROR(INDEX('Recipe Ingredients'!$D$5:$D$1204,MATCH(1,INDEX(('Recipe Ingredients'!$A$5:$A$1204=$B$3)*('Recipe Ingredients'!$AB$5:$AB$1204=$A39),0),0)),""))</f>
        <v>0</v>
      </c>
      <c r="F39" s="14">
        <f>IF($B$4=0,"",IFERROR(INDEX('Recipe Ingredients'!$H$5:$H$1204,MATCH(1,INDEX(('Recipe Ingredients'!$A$5:$A$1204=$B$3)*('Recipe Ingredients'!$AB$5:$AB$1204=$A39),0),0)),""))</f>
        <v>0</v>
      </c>
    </row>
    <row r="40" spans="1:6">
      <c r="A40" s="19">
        <v>24</v>
      </c>
      <c r="C40" s="8">
        <f>IF($B$4=0,"",IFERROR(INDEX('Recipe Ingredients'!$B$5:$B$1204,MATCH(1,INDEX(('Recipe Ingredients'!$A$5:$A$1204=$B$3)*('Recipe Ingredients'!$AB$5:$AB$1204=$A40),0),0)),""))</f>
        <v>0</v>
      </c>
      <c r="D40" s="13">
        <f>IF($B$4=0,"",IFERROR(INDEX('Recipe Ingredients'!$C$5:$C$1204,MATCH(1,INDEX(('Recipe Ingredients'!$A$5:$A$1204=$B$3)*('Recipe Ingredients'!$AB$5:$AB$1204=$A40),0),0)),""))</f>
        <v>0</v>
      </c>
      <c r="E40" s="19">
        <f>IF($B$4=0,"",IFERROR(INDEX('Recipe Ingredients'!$D$5:$D$1204,MATCH(1,INDEX(('Recipe Ingredients'!$A$5:$A$1204=$B$3)*('Recipe Ingredients'!$AB$5:$AB$1204=$A40),0),0)),""))</f>
        <v>0</v>
      </c>
      <c r="F40" s="14">
        <f>IF($B$4=0,"",IFERROR(INDEX('Recipe Ingredients'!$H$5:$H$1204,MATCH(1,INDEX(('Recipe Ingredients'!$A$5:$A$1204=$B$3)*('Recipe Ingredients'!$AB$5:$AB$1204=$A40),0),0)),""))</f>
        <v>0</v>
      </c>
    </row>
    <row r="41" spans="1:6">
      <c r="A41" s="19">
        <v>25</v>
      </c>
      <c r="C41" s="8">
        <f>IF($B$4=0,"",IFERROR(INDEX('Recipe Ingredients'!$B$5:$B$1204,MATCH(1,INDEX(('Recipe Ingredients'!$A$5:$A$1204=$B$3)*('Recipe Ingredients'!$AB$5:$AB$1204=$A41),0),0)),""))</f>
        <v>0</v>
      </c>
      <c r="D41" s="13">
        <f>IF($B$4=0,"",IFERROR(INDEX('Recipe Ingredients'!$C$5:$C$1204,MATCH(1,INDEX(('Recipe Ingredients'!$A$5:$A$1204=$B$3)*('Recipe Ingredients'!$AB$5:$AB$1204=$A41),0),0)),""))</f>
        <v>0</v>
      </c>
      <c r="E41" s="19">
        <f>IF($B$4=0,"",IFERROR(INDEX('Recipe Ingredients'!$D$5:$D$1204,MATCH(1,INDEX(('Recipe Ingredients'!$A$5:$A$1204=$B$3)*('Recipe Ingredients'!$AB$5:$AB$1204=$A41),0),0)),""))</f>
        <v>0</v>
      </c>
      <c r="F41" s="14">
        <f>IF($B$4=0,"",IFERROR(INDEX('Recipe Ingredients'!$H$5:$H$1204,MATCH(1,INDEX(('Recipe Ingredients'!$A$5:$A$1204=$B$3)*('Recipe Ingredients'!$AB$5:$AB$1204=$A41),0),0)),""))</f>
        <v>0</v>
      </c>
    </row>
    <row r="42" spans="1:6">
      <c r="C42" s="20" t="s">
        <v>728</v>
      </c>
      <c r="D42" s="20"/>
      <c r="E42" s="20"/>
      <c r="F42" s="22">
        <f>IF($B$4=0,"",IFERROR(INDEX(Recipes!$P$5:$P$204,$B$4),""))</f>
        <v>0</v>
      </c>
    </row>
    <row r="44" spans="1:6" ht="22" customHeight="1">
      <c r="A44" s="4" t="s">
        <v>729</v>
      </c>
      <c r="B44" s="4"/>
      <c r="C44" s="4"/>
      <c r="D44" s="4"/>
      <c r="E44" s="4"/>
      <c r="F44" s="4"/>
    </row>
    <row r="45" spans="1:6">
      <c r="A45" s="5" t="s">
        <v>730</v>
      </c>
      <c r="B45" s="5"/>
      <c r="C45" s="5"/>
      <c r="D45" s="5"/>
      <c r="E45" s="5"/>
      <c r="F45" s="5"/>
    </row>
    <row r="46" spans="1:6">
      <c r="A46" s="5"/>
      <c r="B46" s="5"/>
      <c r="C46" s="5"/>
      <c r="D46" s="5"/>
      <c r="E46" s="5"/>
      <c r="F46" s="5"/>
    </row>
    <row r="47" spans="1:6">
      <c r="A47" s="5"/>
      <c r="B47" s="5"/>
      <c r="C47" s="5"/>
      <c r="D47" s="5"/>
      <c r="E47" s="5"/>
      <c r="F47" s="5"/>
    </row>
    <row r="48" spans="1:6">
      <c r="A48" s="5"/>
      <c r="B48" s="5"/>
      <c r="C48" s="5"/>
      <c r="D48" s="5"/>
      <c r="E48" s="5"/>
      <c r="F48" s="5"/>
    </row>
    <row r="49" spans="1:6">
      <c r="A49" s="5"/>
      <c r="B49" s="5"/>
      <c r="C49" s="5"/>
      <c r="D49" s="5"/>
      <c r="E49" s="5"/>
      <c r="F49" s="5"/>
    </row>
    <row r="50" spans="1:6">
      <c r="A50" s="5"/>
      <c r="B50" s="5"/>
      <c r="C50" s="5"/>
      <c r="D50" s="5"/>
      <c r="E50" s="5"/>
      <c r="F50" s="5"/>
    </row>
    <row r="51" spans="1:6">
      <c r="A51" s="5"/>
      <c r="B51" s="5"/>
      <c r="C51" s="5"/>
      <c r="D51" s="5"/>
      <c r="E51" s="5"/>
      <c r="F51" s="5"/>
    </row>
    <row r="52" spans="1:6">
      <c r="A52" s="5"/>
      <c r="B52" s="5"/>
      <c r="C52" s="5"/>
      <c r="D52" s="5"/>
      <c r="E52" s="5"/>
      <c r="F52" s="5"/>
    </row>
    <row r="54" spans="1:6" ht="22" customHeight="1">
      <c r="A54" s="4" t="s">
        <v>731</v>
      </c>
      <c r="B54" s="4"/>
      <c r="C54" s="4"/>
      <c r="D54" s="4"/>
      <c r="E54" s="4"/>
      <c r="F54" s="4"/>
    </row>
    <row r="55" spans="1:6">
      <c r="A55" s="5" t="s">
        <v>732</v>
      </c>
      <c r="B55" s="5"/>
      <c r="C55" s="5"/>
      <c r="D55" s="5"/>
      <c r="E55" s="5"/>
      <c r="F55" s="5"/>
    </row>
    <row r="56" spans="1:6">
      <c r="A56" s="5"/>
      <c r="B56" s="5"/>
      <c r="C56" s="5"/>
      <c r="D56" s="5"/>
      <c r="E56" s="5"/>
      <c r="F56" s="5"/>
    </row>
    <row r="57" spans="1:6">
      <c r="A57" s="5"/>
      <c r="B57" s="5"/>
      <c r="C57" s="5"/>
      <c r="D57" s="5"/>
      <c r="E57" s="5"/>
      <c r="F57" s="5"/>
    </row>
    <row r="58" spans="1:6">
      <c r="A58" s="5"/>
      <c r="B58" s="5"/>
      <c r="C58" s="5"/>
      <c r="D58" s="5"/>
      <c r="E58" s="5"/>
      <c r="F58" s="5"/>
    </row>
  </sheetData>
  <sheetProtection password="EC7C" sheet="1" objects="1" scenarios="1" selectLockedCells="1" selectUnlockedCells="1"/>
  <mergeCells count="8">
    <mergeCell ref="A1:F1"/>
    <mergeCell ref="A2:F2"/>
    <mergeCell ref="A6:F6"/>
    <mergeCell ref="A15:F15"/>
    <mergeCell ref="A44:F44"/>
    <mergeCell ref="A45:F52"/>
    <mergeCell ref="A54:F54"/>
    <mergeCell ref="A55:F58"/>
  </mergeCells>
  <printOptions horizontalCentered="1"/>
  <pageMargins left="0.5" right="0.5" top="0.6" bottom="0.6" header="0.3" footer="0.3"/>
  <pageSetup paperSize="9" orientation="portrait"/>
  <headerFooter>
    <oddHeader>&amp;L&amp;"Calibri,Bold"Automated Meal Planner &amp; Grocery List Spreadsheet&amp;R&amp;"Calibri,Italic"Recipe card</oddHeader>
    <oddFooter>&amp;L&amp;D&amp;RPage &amp;P of &amp;N</oddFooter>
  </headerFooter>
</worksheet>
</file>

<file path=xl/worksheets/sheet36.xml><?xml version="1.0" encoding="utf-8"?>
<worksheet xmlns="http://schemas.openxmlformats.org/spreadsheetml/2006/main" xmlns:r="http://schemas.openxmlformats.org/officeDocument/2006/relationships">
  <sheetPr>
    <tabColor rgb="FF5A6560"/>
    <pageSetUpPr fitToPage="1"/>
  </sheetPr>
  <dimension ref="A1:C36"/>
  <sheetViews>
    <sheetView showGridLines="0" workbookViewId="0"/>
  </sheetViews>
  <sheetFormatPr defaultRowHeight="15"/>
  <cols>
    <col min="1" max="1" width="3.7109375" customWidth="1"/>
    <col min="2" max="2" width="44.7109375" customWidth="1"/>
    <col min="3" max="3" width="92.7109375" customWidth="1"/>
  </cols>
  <sheetData>
    <row r="1" spans="1:3" ht="32" customHeight="1">
      <c r="A1" s="1" t="s">
        <v>733</v>
      </c>
      <c r="B1" s="1"/>
      <c r="C1" s="1"/>
    </row>
    <row r="2" spans="1:3" ht="18" customHeight="1">
      <c r="A2" s="2" t="s">
        <v>734</v>
      </c>
      <c r="B2" s="2"/>
      <c r="C2" s="2"/>
    </row>
    <row r="3" spans="1:3" ht="20" customHeight="1">
      <c r="A3" s="3" t="s">
        <v>735</v>
      </c>
      <c r="B3" s="3"/>
      <c r="C3" s="3"/>
    </row>
    <row r="5" spans="1:3">
      <c r="A5" s="4" t="s">
        <v>736</v>
      </c>
      <c r="B5" s="4"/>
      <c r="C5" s="4"/>
    </row>
    <row r="6" spans="1:3" ht="46" customHeight="1">
      <c r="B6" s="6" t="s">
        <v>737</v>
      </c>
      <c r="C6" s="5" t="s">
        <v>738</v>
      </c>
    </row>
    <row r="7" spans="1:3" ht="46" customHeight="1">
      <c r="B7" s="6" t="s">
        <v>739</v>
      </c>
      <c r="C7" s="5" t="s">
        <v>740</v>
      </c>
    </row>
    <row r="8" spans="1:3" ht="46" customHeight="1">
      <c r="B8" s="6" t="s">
        <v>741</v>
      </c>
      <c r="C8" s="5" t="s">
        <v>742</v>
      </c>
    </row>
    <row r="9" spans="1:3" ht="46" customHeight="1">
      <c r="B9" s="6" t="s">
        <v>743</v>
      </c>
      <c r="C9" s="5" t="s">
        <v>744</v>
      </c>
    </row>
    <row r="10" spans="1:3" ht="46" customHeight="1">
      <c r="B10" s="6" t="s">
        <v>745</v>
      </c>
      <c r="C10" s="5" t="s">
        <v>746</v>
      </c>
    </row>
    <row r="11" spans="1:3" ht="46" customHeight="1">
      <c r="B11" s="6" t="s">
        <v>747</v>
      </c>
      <c r="C11" s="5" t="s">
        <v>748</v>
      </c>
    </row>
    <row r="12" spans="1:3" ht="46" customHeight="1">
      <c r="B12" s="6" t="s">
        <v>749</v>
      </c>
      <c r="C12" s="5" t="s">
        <v>750</v>
      </c>
    </row>
    <row r="13" spans="1:3" ht="46" customHeight="1">
      <c r="B13" s="6" t="s">
        <v>751</v>
      </c>
      <c r="C13" s="5" t="s">
        <v>752</v>
      </c>
    </row>
    <row r="14" spans="1:3" ht="46" customHeight="1">
      <c r="B14" s="6" t="s">
        <v>753</v>
      </c>
      <c r="C14" s="5" t="s">
        <v>754</v>
      </c>
    </row>
    <row r="15" spans="1:3" ht="46" customHeight="1">
      <c r="B15" s="6" t="s">
        <v>755</v>
      </c>
      <c r="C15" s="5" t="s">
        <v>756</v>
      </c>
    </row>
    <row r="16" spans="1:3" ht="46" customHeight="1">
      <c r="B16" s="6" t="s">
        <v>757</v>
      </c>
      <c r="C16" s="5" t="s">
        <v>758</v>
      </c>
    </row>
    <row r="17" spans="1:3" ht="46" customHeight="1">
      <c r="B17" s="6" t="s">
        <v>759</v>
      </c>
      <c r="C17" s="5" t="s">
        <v>760</v>
      </c>
    </row>
    <row r="18" spans="1:3" ht="46" customHeight="1">
      <c r="B18" s="6" t="s">
        <v>761</v>
      </c>
      <c r="C18" s="5" t="s">
        <v>762</v>
      </c>
    </row>
    <row r="19" spans="1:3" ht="46" customHeight="1">
      <c r="B19" s="6" t="s">
        <v>763</v>
      </c>
      <c r="C19" s="5" t="s">
        <v>764</v>
      </c>
    </row>
    <row r="21" spans="1:3">
      <c r="A21" s="4" t="s">
        <v>765</v>
      </c>
      <c r="B21" s="4"/>
      <c r="C21" s="4"/>
    </row>
    <row r="22" spans="1:3" ht="30" customHeight="1">
      <c r="B22" s="6" t="s">
        <v>766</v>
      </c>
      <c r="C22" s="5" t="s">
        <v>767</v>
      </c>
    </row>
    <row r="23" spans="1:3" ht="30" customHeight="1">
      <c r="B23" s="6" t="s">
        <v>768</v>
      </c>
      <c r="C23" s="5" t="s">
        <v>769</v>
      </c>
    </row>
    <row r="24" spans="1:3" ht="30" customHeight="1">
      <c r="B24" s="6" t="s">
        <v>770</v>
      </c>
      <c r="C24" s="5" t="s">
        <v>771</v>
      </c>
    </row>
    <row r="25" spans="1:3" ht="30" customHeight="1">
      <c r="B25" s="6" t="s">
        <v>772</v>
      </c>
      <c r="C25" s="5" t="s">
        <v>773</v>
      </c>
    </row>
    <row r="26" spans="1:3" ht="30" customHeight="1">
      <c r="B26" s="6" t="s">
        <v>774</v>
      </c>
      <c r="C26" s="5" t="s">
        <v>775</v>
      </c>
    </row>
    <row r="28" spans="1:3">
      <c r="A28" s="4" t="s">
        <v>776</v>
      </c>
      <c r="B28" s="4"/>
      <c r="C28" s="4"/>
    </row>
    <row r="29" spans="1:3" ht="20" customHeight="1">
      <c r="B29" s="33" t="s">
        <v>777</v>
      </c>
      <c r="C29" s="5" t="s">
        <v>778</v>
      </c>
    </row>
    <row r="30" spans="1:3" ht="20" customHeight="1">
      <c r="B30" s="33" t="s">
        <v>777</v>
      </c>
      <c r="C30" s="5" t="s">
        <v>779</v>
      </c>
    </row>
    <row r="31" spans="1:3" ht="20" customHeight="1">
      <c r="B31" s="33" t="s">
        <v>777</v>
      </c>
      <c r="C31" s="5" t="s">
        <v>780</v>
      </c>
    </row>
    <row r="32" spans="1:3" ht="20" customHeight="1">
      <c r="B32" s="33" t="s">
        <v>777</v>
      </c>
      <c r="C32" s="5" t="s">
        <v>781</v>
      </c>
    </row>
    <row r="33" spans="1:3" ht="20" customHeight="1">
      <c r="B33" s="33" t="s">
        <v>777</v>
      </c>
      <c r="C33" s="5" t="s">
        <v>782</v>
      </c>
    </row>
    <row r="34" spans="1:3" ht="20" customHeight="1">
      <c r="B34" s="33" t="s">
        <v>777</v>
      </c>
      <c r="C34" s="5" t="s">
        <v>783</v>
      </c>
    </row>
    <row r="36" spans="1:3">
      <c r="A36" s="4" t="s">
        <v>784</v>
      </c>
      <c r="B36" s="4"/>
      <c r="C36" s="4"/>
    </row>
  </sheetData>
  <sheetProtection password="EC7C" sheet="1" objects="1" scenarios="1" selectLockedCells="1" selectUnlockedCells="1"/>
  <mergeCells count="7">
    <mergeCell ref="A1:C1"/>
    <mergeCell ref="A2:C2"/>
    <mergeCell ref="A3:C3"/>
    <mergeCell ref="A5:C5"/>
    <mergeCell ref="A21:C21"/>
    <mergeCell ref="A28:C28"/>
    <mergeCell ref="A36:C36"/>
  </mergeCell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121</vt:i4>
      </vt:variant>
    </vt:vector>
  </HeadingPairs>
  <TitlesOfParts>
    <vt:vector size="157" baseType="lpstr">
      <vt:lpstr>Start Here</vt:lpstr>
      <vt:lpstr>Dashboard</vt:lpstr>
      <vt:lpstr>Weekly Planner</vt:lpstr>
      <vt:lpstr>Monthly Planner</vt:lpstr>
      <vt:lpstr>Settings</vt:lpstr>
      <vt:lpstr>Lists</vt:lpstr>
      <vt:lpstr>Household</vt:lpstr>
      <vt:lpstr>Recipes</vt:lpstr>
      <vt:lpstr>Recipe Ingredients</vt:lpstr>
      <vt:lpstr>Ingredients</vt:lpstr>
      <vt:lpstr>Meal Plan</vt:lpstr>
      <vt:lpstr>Grocery List</vt:lpstr>
      <vt:lpstr>Pantry</vt:lpstr>
      <vt:lpstr>Staples</vt:lpstr>
      <vt:lpstr>Leftovers</vt:lpstr>
      <vt:lpstr>Food Waste</vt:lpstr>
      <vt:lpstr>Meal Prep</vt:lpstr>
      <vt:lpstr>Dietary Filters</vt:lpstr>
      <vt:lpstr>Nutrition</vt:lpstr>
      <vt:lpstr>Budget</vt:lpstr>
      <vt:lpstr>Recipe Costs</vt:lpstr>
      <vt:lpstr>Converter</vt:lpstr>
      <vt:lpstr>Rotation</vt:lpstr>
      <vt:lpstr>Food Safety</vt:lpstr>
      <vt:lpstr>Fridge &amp; Freezer</vt:lpstr>
      <vt:lpstr>Grocery Spending</vt:lpstr>
      <vt:lpstr>Store Prices</vt:lpstr>
      <vt:lpstr>Stores</vt:lpstr>
      <vt:lpstr>Events</vt:lpstr>
      <vt:lpstr>Goals</vt:lpstr>
      <vt:lpstr>Sustainability</vt:lpstr>
      <vt:lpstr>Reports</vt:lpstr>
      <vt:lpstr>Print Week</vt:lpstr>
      <vt:lpstr>Print Shopping</vt:lpstr>
      <vt:lpstr>Print Recipe</vt:lpstr>
      <vt:lpstr>Help</vt:lpstr>
      <vt:lpstr>Annual_Budget</vt:lpstr>
      <vt:lpstr>Calorie_Target</vt:lpstr>
      <vt:lpstr>Carb_Target</vt:lpstr>
      <vt:lpstr>Category_List</vt:lpstr>
      <vt:lpstr>Cuisine_List</vt:lpstr>
      <vt:lpstr>Currency_Code</vt:lpstr>
      <vt:lpstr>Currency_Symbol</vt:lpstr>
      <vt:lpstr>Default_Servings</vt:lpstr>
      <vt:lpstr>Diet_List</vt:lpstr>
      <vt:lpstr>Eating_Out_Budget</vt:lpstr>
      <vt:lpstr>Expiry_Warning_Days</vt:lpstr>
      <vt:lpstr>Fat_Target</vt:lpstr>
      <vt:lpstr>Fibre_Target</vt:lpstr>
      <vt:lpstr>Freezer_Review_Days</vt:lpstr>
      <vt:lpstr>Grocery_Items</vt:lpstr>
      <vt:lpstr>Home_Cooked_Target</vt:lpstr>
      <vt:lpstr>Household_Name</vt:lpstr>
      <vt:lpstr>Household_Size</vt:lpstr>
      <vt:lpstr>Ingredient_Names</vt:lpstr>
      <vt:lpstr>Leftover_Items</vt:lpstr>
      <vt:lpstr>Leftover_Safe_Days</vt:lpstr>
      <vt:lpstr>Low_Stock_Days</vt:lpstr>
      <vt:lpstr>Meal_Slots</vt:lpstr>
      <vt:lpstr>Measurement_System</vt:lpstr>
      <vt:lpstr>Monthly_Budget</vt:lpstr>
      <vt:lpstr>New_Recipe_Target</vt:lpstr>
      <vt:lpstr>Packed_Lunch_Target</vt:lpstr>
      <vt:lpstr>Pantry_Items</vt:lpstr>
      <vt:lpstr>Plan_Cook</vt:lpstr>
      <vt:lpstr>Plan_Month</vt:lpstr>
      <vt:lpstr>Plan_Week</vt:lpstr>
      <vt:lpstr>Plan_Year</vt:lpstr>
      <vt:lpstr>Prep_Day</vt:lpstr>
      <vt:lpstr>Prep_Reminder_Days</vt:lpstr>
      <vt:lpstr>Budget!Print_Area</vt:lpstr>
      <vt:lpstr>Converter!Print_Area</vt:lpstr>
      <vt:lpstr>Dashboard!Print_Area</vt:lpstr>
      <vt:lpstr>'Dietary Filters'!Print_Area</vt:lpstr>
      <vt:lpstr>Events!Print_Area</vt:lpstr>
      <vt:lpstr>'Food Safety'!Print_Area</vt:lpstr>
      <vt:lpstr>'Food Waste'!Print_Area</vt:lpstr>
      <vt:lpstr>'Fridge &amp; Freezer'!Print_Area</vt:lpstr>
      <vt:lpstr>Goals!Print_Area</vt:lpstr>
      <vt:lpstr>'Grocery List'!Print_Area</vt:lpstr>
      <vt:lpstr>'Grocery Spending'!Print_Area</vt:lpstr>
      <vt:lpstr>Help!Print_Area</vt:lpstr>
      <vt:lpstr>Household!Print_Area</vt:lpstr>
      <vt:lpstr>Ingredients!Print_Area</vt:lpstr>
      <vt:lpstr>Leftovers!Print_Area</vt:lpstr>
      <vt:lpstr>Lists!Print_Area</vt:lpstr>
      <vt:lpstr>'Meal Plan'!Print_Area</vt:lpstr>
      <vt:lpstr>'Meal Prep'!Print_Area</vt:lpstr>
      <vt:lpstr>'Monthly Planner'!Print_Area</vt:lpstr>
      <vt:lpstr>Nutrition!Print_Area</vt:lpstr>
      <vt:lpstr>Pantry!Print_Area</vt:lpstr>
      <vt:lpstr>'Print Recipe'!Print_Area</vt:lpstr>
      <vt:lpstr>'Print Shopping'!Print_Area</vt:lpstr>
      <vt:lpstr>'Print Week'!Print_Area</vt:lpstr>
      <vt:lpstr>'Recipe Costs'!Print_Area</vt:lpstr>
      <vt:lpstr>'Recipe Ingredients'!Print_Area</vt:lpstr>
      <vt:lpstr>Recipes!Print_Area</vt:lpstr>
      <vt:lpstr>Reports!Print_Area</vt:lpstr>
      <vt:lpstr>Rotation!Print_Area</vt:lpstr>
      <vt:lpstr>Settings!Print_Area</vt:lpstr>
      <vt:lpstr>Staples!Print_Area</vt:lpstr>
      <vt:lpstr>'Start Here'!Print_Area</vt:lpstr>
      <vt:lpstr>'Store Prices'!Print_Area</vt:lpstr>
      <vt:lpstr>Stores!Print_Area</vt:lpstr>
      <vt:lpstr>Sustainability!Print_Area</vt:lpstr>
      <vt:lpstr>'Weekly Planner'!Print_Area</vt:lpstr>
      <vt:lpstr>Print_List_Store</vt:lpstr>
      <vt:lpstr>Print_Recipe_Title</vt:lpstr>
      <vt:lpstr>Budget!Print_Titles</vt:lpstr>
      <vt:lpstr>Converter!Print_Titles</vt:lpstr>
      <vt:lpstr>'Dietary Filters'!Print_Titles</vt:lpstr>
      <vt:lpstr>Events!Print_Titles</vt:lpstr>
      <vt:lpstr>'Food Safety'!Print_Titles</vt:lpstr>
      <vt:lpstr>'Food Waste'!Print_Titles</vt:lpstr>
      <vt:lpstr>'Fridge &amp; Freezer'!Print_Titles</vt:lpstr>
      <vt:lpstr>Goals!Print_Titles</vt:lpstr>
      <vt:lpstr>'Grocery List'!Print_Titles</vt:lpstr>
      <vt:lpstr>'Grocery Spending'!Print_Titles</vt:lpstr>
      <vt:lpstr>Household!Print_Titles</vt:lpstr>
      <vt:lpstr>Ingredients!Print_Titles</vt:lpstr>
      <vt:lpstr>Leftovers!Print_Titles</vt:lpstr>
      <vt:lpstr>Lists!Print_Titles</vt:lpstr>
      <vt:lpstr>'Meal Plan'!Print_Titles</vt:lpstr>
      <vt:lpstr>'Meal Prep'!Print_Titles</vt:lpstr>
      <vt:lpstr>'Monthly Planner'!Print_Titles</vt:lpstr>
      <vt:lpstr>Nutrition!Print_Titles</vt:lpstr>
      <vt:lpstr>Pantry!Print_Titles</vt:lpstr>
      <vt:lpstr>'Recipe Costs'!Print_Titles</vt:lpstr>
      <vt:lpstr>'Recipe Ingredients'!Print_Titles</vt:lpstr>
      <vt:lpstr>Recipes!Print_Titles</vt:lpstr>
      <vt:lpstr>Rotation!Print_Titles</vt:lpstr>
      <vt:lpstr>Staples!Print_Titles</vt:lpstr>
      <vt:lpstr>'Store Prices'!Print_Titles</vt:lpstr>
      <vt:lpstr>Stores!Print_Titles</vt:lpstr>
      <vt:lpstr>Sustainability!Print_Titles</vt:lpstr>
      <vt:lpstr>'Weekly Planner'!Print_Titles</vt:lpstr>
      <vt:lpstr>Print_Week_Start</vt:lpstr>
      <vt:lpstr>Protein_Target</vt:lpstr>
      <vt:lpstr>Recipe_Category_List</vt:lpstr>
      <vt:lpstr>Recipe_Titles</vt:lpstr>
      <vt:lpstr>Rep_From</vt:lpstr>
      <vt:lpstr>Rep_To</vt:lpstr>
      <vt:lpstr>Rotation_Gap_Days</vt:lpstr>
      <vt:lpstr>Shopping_Day</vt:lpstr>
      <vt:lpstr>Sodium_Limit</vt:lpstr>
      <vt:lpstr>Status_List</vt:lpstr>
      <vt:lpstr>Store_List</vt:lpstr>
      <vt:lpstr>Sugar_Limit</vt:lpstr>
      <vt:lpstr>Tag_List</vt:lpstr>
      <vt:lpstr>Takeaway_Limit</vt:lpstr>
      <vt:lpstr>Top_Rows</vt:lpstr>
      <vt:lpstr>Unit_List</vt:lpstr>
      <vt:lpstr>Waste_Cost_Target</vt:lpstr>
      <vt:lpstr>Waste_Reduction_Target</vt:lpstr>
      <vt:lpstr>Water_Target</vt:lpstr>
      <vt:lpstr>Week_Start_Day</vt:lpstr>
      <vt:lpstr>Weekly_Budget</vt:lpstr>
    </vt:vector>
  </TitlesOfParts>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Automated Meal Planner &amp; Grocery List Spreadsheet</dc:title>
  <dc:subject>Weekly &amp; Monthly Meal Planner, Recipe Organizer, Automatic Grocery List, Pantry Inventory, Food Budget &amp; Nutrition Tracker</dc:subject>
  <dc:creator>Novality Store</dc:creator>
  <cp:keywords>meal planner, grocery list, recipe organizer, meal prep, pantry inventory, food budget, nutrition</cp:keywords>
  <dc:description>Automated Meal Planner &amp; Grocery List Spreadsheet by Novality Store. Version 1.0.0.</dc:description>
  <cp:lastModifiedBy>Novality Store</cp:lastModifiedBy>
  <dcterms:created xsi:type="dcterms:W3CDTF">2026-10-11T15:37:58Z</dcterms:created>
  <dcterms:modified xsi:type="dcterms:W3CDTF">2026-10-11T15:37:58Z</dcterms:modified>
  <cp:category>Spreadsheet</cp:category>
  <cp:contentStatus>Finished</cp:contentStatus>
</cp:coreProperties>
</file>